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6.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14"/>
  <workbookPr defaultThemeVersion="166925"/>
  <mc:AlternateContent xmlns:mc="http://schemas.openxmlformats.org/markup-compatibility/2006">
    <mc:Choice Requires="x15">
      <x15ac:absPath xmlns:x15ac="http://schemas.microsoft.com/office/spreadsheetml/2010/11/ac" url="https://catrockcap-my.sharepoint.com/personal/dberring_catrockcap_com/Documents/Documents/AI folder for models/12.31.24/"/>
    </mc:Choice>
  </mc:AlternateContent>
  <xr:revisionPtr revIDLastSave="32" documentId="8_{E4700AF8-FF57-4B78-A2EB-BD4DEA0F004A}" xr6:coauthVersionLast="47" xr6:coauthVersionMax="47" xr10:uidLastSave="{BCEF7346-B44F-4432-8451-70E49870DC9B}"/>
  <bookViews>
    <workbookView xWindow="-110" yWindow="-110" windowWidth="19420" windowHeight="11500" tabRatio="756" firstSheet="2" activeTab="2" xr2:uid="{00000000-000D-0000-FFFF-FFFF00000000}"/>
  </bookViews>
  <sheets>
    <sheet name="__snloffice" sheetId="517" state="veryHidden" r:id="rId1"/>
    <sheet name="_CIQHiddenCacheSheet" sheetId="516" state="veryHidden" r:id="rId2"/>
    <sheet name="Base" sheetId="198" r:id="rId3"/>
    <sheet name="Simple - ROIC driven" sheetId="523" r:id="rId4"/>
    <sheet name="Case 2 - upside" sheetId="503" r:id="rId5"/>
    <sheet name="Case 3 - downside" sheetId="504" r:id="rId6"/>
    <sheet name="Historical Financials" sheetId="1" r:id="rId7"/>
    <sheet name="Segmentation Bridge" sheetId="525" r:id="rId8"/>
    <sheet name="Vs. Guidance" sheetId="276" r:id="rId9"/>
    <sheet name="D&amp;A forecast - Case 1" sheetId="519" r:id="rId10"/>
    <sheet name="D&amp;A forecast - Case 2" sheetId="521" r:id="rId11"/>
    <sheet name="D&amp;A forecast - Case 3" sheetId="520" r:id="rId12"/>
    <sheet name="EBIT growth" sheetId="267" r:id="rId13"/>
    <sheet name="Azure" sheetId="468" r:id="rId14"/>
    <sheet name="Windows OEM" sheetId="359" r:id="rId15"/>
    <sheet name="Capex analysis" sheetId="522" r:id="rId16"/>
    <sheet name="Guidance Commentary" sheetId="518" r:id="rId17"/>
    <sheet name="VA segmentation - 22 Aug 2024" sheetId="524" r:id="rId18"/>
    <sheet name="VA segmentation" sheetId="447" r:id="rId19"/>
    <sheet name="Long Term Annuals" sheetId="298" r:id="rId20"/>
    <sheet name="D&amp;A Analysis" sheetId="313" r:id="rId21"/>
    <sheet name="Simple Model - Base Case" sheetId="3" r:id="rId22"/>
    <sheet name="ATVI" sheetId="293" r:id="rId23"/>
    <sheet name="Simple + ATVI" sheetId="292" r:id="rId24"/>
    <sheet name="Revenue Build" sheetId="51" r:id="rId25"/>
    <sheet name="Historical Financial Summary" sheetId="28" r:id="rId26"/>
    <sheet name="Commentary" sheetId="2" r:id="rId27"/>
    <sheet name="CapIQ" sheetId="110" r:id="rId28"/>
    <sheet name="Sheet2" sheetId="230" r:id="rId29"/>
  </sheets>
  <definedNames>
    <definedName name="_xlnm._FilterDatabase" localSheetId="14" hidden="1">'Windows OEM'!#REF!</definedName>
    <definedName name="CIQWBGuid" localSheetId="25" hidden="1">"be626fff-5df3-4ebc-86d6-85049b46fc58"</definedName>
    <definedName name="CIQWBGuid" hidden="1">"0f0d142a-0fb2-46fa-8a88-b633e8f8826a"</definedName>
    <definedName name="CIQWBInfo" hidden="1">"{ ""CIQVersion"":""9.45.614.5792""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44767.4675462963</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_xlnm.Print_Area" localSheetId="13">Azure!$A$1:$AY$83</definedName>
    <definedName name="_xlnm.Print_Area" localSheetId="2">Base!$A$1:$V$126</definedName>
    <definedName name="_xlnm.Print_Area" localSheetId="15">'Capex analysis'!$B$2:$AD$76</definedName>
    <definedName name="_xlnm.Print_Area" localSheetId="4">'Case 2 - upside'!$A$1:$V$127</definedName>
    <definedName name="_xlnm.Print_Area" localSheetId="5">'Case 3 - downside'!$A$1:$V$127</definedName>
    <definedName name="_xlnm.Print_Area" localSheetId="26">Commentary!$B$2:$D$174</definedName>
    <definedName name="_xlnm.Print_Area" localSheetId="20">'D&amp;A Analysis'!$A$1:$Y$161</definedName>
    <definedName name="_xlnm.Print_Area" localSheetId="9">'D&amp;A forecast - Case 1'!$A$1:$AG$213</definedName>
    <definedName name="_xlnm.Print_Area" localSheetId="10">'D&amp;A forecast - Case 2'!$A$1:$AG$211</definedName>
    <definedName name="_xlnm.Print_Area" localSheetId="11">'D&amp;A forecast - Case 3'!$A$1:$AG$211</definedName>
    <definedName name="_xlnm.Print_Area" localSheetId="12">'EBIT growth'!$A$1:$AC$38</definedName>
    <definedName name="_xlnm.Print_Area" localSheetId="25">'Historical Financial Summary'!$B$2:$AN$108</definedName>
    <definedName name="_xlnm.Print_Area" localSheetId="6">'Historical Financials'!$B$2:$BP$1413</definedName>
    <definedName name="_xlnm.Print_Area" localSheetId="19">'Long Term Annuals'!$B$2:$BF$723</definedName>
    <definedName name="_xlnm.Print_Area" localSheetId="24">'Revenue Build'!$B$2:$L$98</definedName>
    <definedName name="_xlnm.Print_Area" localSheetId="7">'Segmentation Bridge'!$A$1:$AA$64</definedName>
    <definedName name="_xlnm.Print_Area" localSheetId="3">'Simple - ROIC driven'!$A$1:$V$127</definedName>
    <definedName name="_xlnm.Print_Area" localSheetId="23">'Simple + ATVI'!$A$1:$S$125</definedName>
    <definedName name="_xlnm.Print_Area" localSheetId="21">'Simple Model - Base Case'!$B$2:$R$108</definedName>
    <definedName name="_xlnm.Print_Area" localSheetId="8">'Vs. Guidance'!$A$1:$H$59</definedName>
    <definedName name="_xlnm.Print_Area" localSheetId="14">'Windows OEM'!$A$1:$AR$123</definedName>
    <definedName name="_xlnm.Print_Titles" localSheetId="2">Base!$1:$5</definedName>
    <definedName name="_xlnm.Print_Titles" localSheetId="26">Commentary!$2:$4</definedName>
    <definedName name="_xlnm.Print_Titles" localSheetId="20">'D&amp;A Analysis'!$1:$5</definedName>
    <definedName name="_xlnm.Print_Titles" localSheetId="9">'D&amp;A forecast - Case 1'!$1:$5</definedName>
    <definedName name="_xlnm.Print_Titles" localSheetId="6">'Historical Financials'!$2:$9</definedName>
    <definedName name="_xlnm.Print_Titles" localSheetId="19">'Long Term Annuals'!$2:$9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504" l="1"/>
  <c r="V1" i="504"/>
  <c r="K3" i="503"/>
  <c r="V1" i="503"/>
  <c r="K3" i="523"/>
  <c r="V1" i="523"/>
  <c r="J15" i="504"/>
  <c r="I15" i="504"/>
  <c r="H15" i="504"/>
  <c r="G15" i="504"/>
  <c r="F15" i="504"/>
  <c r="E15" i="504"/>
  <c r="D15" i="504"/>
  <c r="C15" i="504"/>
  <c r="K15" i="504"/>
  <c r="J15" i="503"/>
  <c r="I15" i="503"/>
  <c r="H15" i="503"/>
  <c r="G15" i="503"/>
  <c r="F15" i="503"/>
  <c r="E15" i="503"/>
  <c r="D15" i="503"/>
  <c r="C15" i="503"/>
  <c r="K15" i="503"/>
  <c r="J15" i="523"/>
  <c r="I15" i="523"/>
  <c r="H15" i="523"/>
  <c r="G15" i="523"/>
  <c r="F15" i="523"/>
  <c r="E15" i="523"/>
  <c r="D15" i="523"/>
  <c r="C15" i="523"/>
  <c r="K15" i="523"/>
  <c r="J15" i="198"/>
  <c r="I15" i="198"/>
  <c r="H15" i="198"/>
  <c r="G15" i="198"/>
  <c r="F15" i="198"/>
  <c r="E15" i="198"/>
  <c r="D15" i="198"/>
  <c r="C15" i="198"/>
  <c r="K15" i="198"/>
  <c r="E100" i="198"/>
  <c r="AR15" i="28"/>
  <c r="AS15" i="28"/>
  <c r="AT15" i="28"/>
  <c r="AU15" i="28"/>
  <c r="AV15" i="28"/>
  <c r="D71" i="28"/>
  <c r="E71" i="28"/>
  <c r="F71" i="28"/>
  <c r="G71" i="28"/>
  <c r="H71" i="28"/>
  <c r="I71" i="28"/>
  <c r="J71" i="28"/>
  <c r="K71" i="28"/>
  <c r="L71" i="28"/>
  <c r="M71" i="28"/>
  <c r="N71" i="28"/>
  <c r="O71" i="28"/>
  <c r="P71" i="28"/>
  <c r="Q71" i="28"/>
  <c r="R71" i="28"/>
  <c r="S71" i="28"/>
  <c r="T71" i="28"/>
  <c r="U71" i="28"/>
  <c r="V71" i="28"/>
  <c r="W71" i="28"/>
  <c r="X71" i="28"/>
  <c r="Y71" i="28"/>
  <c r="Z71" i="28"/>
  <c r="AA71" i="28"/>
  <c r="AB71" i="28"/>
  <c r="AC71" i="28"/>
  <c r="AD71" i="28"/>
  <c r="AE71" i="28"/>
  <c r="AF71" i="28"/>
  <c r="AG71" i="28"/>
  <c r="AH71" i="28"/>
  <c r="O89" i="28"/>
  <c r="P89" i="28"/>
  <c r="Q89" i="28"/>
  <c r="R89" i="28"/>
  <c r="S89" i="28"/>
  <c r="T89" i="28"/>
  <c r="U89" i="28"/>
  <c r="V89" i="28"/>
  <c r="W89" i="28"/>
  <c r="X89" i="28"/>
  <c r="Y89" i="28"/>
  <c r="Z89" i="28"/>
  <c r="AA89" i="28"/>
  <c r="AB89" i="28"/>
  <c r="AC89" i="28"/>
  <c r="AD89" i="28"/>
  <c r="AE89" i="28"/>
  <c r="AF89" i="28"/>
  <c r="AG89" i="28"/>
  <c r="AH89"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AG97" i="28"/>
  <c r="AH97"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AG101" i="28"/>
  <c r="AH101" i="28"/>
  <c r="G14" i="3"/>
  <c r="H14" i="3"/>
  <c r="G23" i="3"/>
  <c r="H23" i="3"/>
  <c r="G41" i="3"/>
  <c r="H41" i="3"/>
  <c r="G81" i="3"/>
  <c r="H81" i="3"/>
  <c r="D1400" i="1"/>
  <c r="E1400" i="1"/>
  <c r="F1400" i="1"/>
  <c r="G1400" i="1"/>
  <c r="H1400" i="1"/>
  <c r="I1400" i="1"/>
  <c r="J1400" i="1"/>
  <c r="K1400" i="1"/>
  <c r="L1400" i="1"/>
  <c r="M1400" i="1"/>
  <c r="N1400" i="1"/>
  <c r="O1400" i="1"/>
  <c r="P1400" i="1"/>
  <c r="Q1400" i="1"/>
  <c r="R1400" i="1"/>
  <c r="S1400" i="1"/>
  <c r="T1400" i="1"/>
  <c r="U1400" i="1"/>
  <c r="V1400" i="1"/>
  <c r="W1400" i="1"/>
  <c r="X1400" i="1"/>
  <c r="Y1400" i="1"/>
  <c r="Z1400" i="1"/>
  <c r="AA1400" i="1"/>
  <c r="AB1400" i="1"/>
  <c r="AC1400" i="1"/>
  <c r="AD1400" i="1"/>
  <c r="AE1400" i="1"/>
  <c r="AF1400" i="1"/>
  <c r="AG1400" i="1"/>
  <c r="AH1400" i="1"/>
  <c r="AI1400" i="1"/>
  <c r="AJ1400" i="1"/>
  <c r="AK1400" i="1"/>
  <c r="AL1400" i="1"/>
  <c r="AM1400" i="1"/>
  <c r="AN1400" i="1"/>
  <c r="AO1400" i="1"/>
  <c r="AP1400" i="1"/>
  <c r="D1403" i="1"/>
  <c r="E1403" i="1"/>
  <c r="F1403" i="1"/>
  <c r="G1403" i="1"/>
  <c r="H1403" i="1"/>
  <c r="I1403" i="1"/>
  <c r="J1403" i="1"/>
  <c r="K1403" i="1"/>
  <c r="L1403" i="1"/>
  <c r="M1403" i="1"/>
  <c r="N1403" i="1"/>
  <c r="O1403" i="1"/>
  <c r="P1403" i="1"/>
  <c r="Q1403" i="1"/>
  <c r="R1403" i="1"/>
  <c r="S1403" i="1"/>
  <c r="T1403" i="1"/>
  <c r="U1403" i="1"/>
  <c r="V1403" i="1"/>
  <c r="W1403" i="1"/>
  <c r="X1403" i="1"/>
  <c r="Y1403" i="1"/>
  <c r="Z1403" i="1"/>
  <c r="AA1403" i="1"/>
  <c r="AB1403" i="1"/>
  <c r="AC1403" i="1"/>
  <c r="AD1403" i="1"/>
  <c r="AE1403" i="1"/>
  <c r="AF1403" i="1"/>
  <c r="AG1403" i="1"/>
  <c r="AH1403" i="1"/>
  <c r="AI1403" i="1"/>
  <c r="AJ1403" i="1"/>
  <c r="AK1403" i="1"/>
  <c r="AL1403" i="1"/>
  <c r="AM1403" i="1"/>
  <c r="AN1403" i="1"/>
  <c r="AO1403" i="1"/>
  <c r="AP1403" i="1"/>
  <c r="D1406" i="1"/>
  <c r="E1406" i="1"/>
  <c r="F1406" i="1"/>
  <c r="G1406" i="1"/>
  <c r="H1406" i="1"/>
  <c r="I1406" i="1"/>
  <c r="J1406" i="1"/>
  <c r="K1406" i="1"/>
  <c r="L1406" i="1"/>
  <c r="M1406" i="1"/>
  <c r="N1406" i="1"/>
  <c r="O1406" i="1"/>
  <c r="P1406" i="1"/>
  <c r="Q1406" i="1"/>
  <c r="R1406" i="1"/>
  <c r="S1406" i="1"/>
  <c r="T1406" i="1"/>
  <c r="U1406" i="1"/>
  <c r="V1406" i="1"/>
  <c r="W1406" i="1"/>
  <c r="X1406" i="1"/>
  <c r="Y1406" i="1"/>
  <c r="Z1406" i="1"/>
  <c r="AA1406" i="1"/>
  <c r="AB1406" i="1"/>
  <c r="AC1406" i="1"/>
  <c r="AD1406" i="1"/>
  <c r="AE1406" i="1"/>
  <c r="AF1406" i="1"/>
  <c r="AG1406" i="1"/>
  <c r="AH1406" i="1"/>
  <c r="AI1406" i="1"/>
  <c r="AJ1406" i="1"/>
  <c r="AK1406" i="1"/>
  <c r="AL1406" i="1"/>
  <c r="AM1406" i="1"/>
  <c r="AN1406" i="1"/>
  <c r="AO1406" i="1"/>
  <c r="AP1406" i="1"/>
  <c r="D1409" i="1"/>
  <c r="E1409" i="1"/>
  <c r="F1409" i="1"/>
  <c r="G1409" i="1"/>
  <c r="H1409" i="1"/>
  <c r="I1409" i="1"/>
  <c r="J1409" i="1"/>
  <c r="K1409" i="1"/>
  <c r="L1409" i="1"/>
  <c r="M1409" i="1"/>
  <c r="N1409" i="1"/>
  <c r="O1409" i="1"/>
  <c r="P1409" i="1"/>
  <c r="Q1409" i="1"/>
  <c r="R1409" i="1"/>
  <c r="S1409" i="1"/>
  <c r="T1409" i="1"/>
  <c r="U1409" i="1"/>
  <c r="V1409" i="1"/>
  <c r="W1409" i="1"/>
  <c r="X1409" i="1"/>
  <c r="Y1409" i="1"/>
  <c r="Z1409" i="1"/>
  <c r="AA1409" i="1"/>
  <c r="AB1409" i="1"/>
  <c r="AC1409" i="1"/>
  <c r="AD1409" i="1"/>
  <c r="AE1409" i="1"/>
  <c r="AF1409" i="1"/>
  <c r="AG1409" i="1"/>
  <c r="AH1409" i="1"/>
  <c r="AI1409" i="1"/>
  <c r="AJ1409" i="1"/>
  <c r="AK1409" i="1"/>
  <c r="AL1409" i="1"/>
  <c r="AM1409" i="1"/>
  <c r="AN1409" i="1"/>
  <c r="AO1409" i="1"/>
  <c r="AP1409" i="1"/>
  <c r="D1412" i="1"/>
  <c r="E1412" i="1"/>
  <c r="F1412" i="1"/>
  <c r="G1412" i="1"/>
  <c r="H1412" i="1"/>
  <c r="I1412" i="1"/>
  <c r="J1412" i="1"/>
  <c r="K1412" i="1"/>
  <c r="L1412" i="1"/>
  <c r="M1412" i="1"/>
  <c r="N1412" i="1"/>
  <c r="O1412" i="1"/>
  <c r="P1412" i="1"/>
  <c r="Q1412" i="1"/>
  <c r="R1412" i="1"/>
  <c r="S1412" i="1"/>
  <c r="T1412" i="1"/>
  <c r="U1412" i="1"/>
  <c r="V1412" i="1"/>
  <c r="W1412" i="1"/>
  <c r="X1412" i="1"/>
  <c r="Y1412" i="1"/>
  <c r="Z1412" i="1"/>
  <c r="AA1412" i="1"/>
  <c r="AB1412" i="1"/>
  <c r="AC1412" i="1"/>
  <c r="AD1412" i="1"/>
  <c r="AE1412" i="1"/>
  <c r="AF1412" i="1"/>
  <c r="AG1412" i="1"/>
  <c r="AH1412" i="1"/>
  <c r="AI1412" i="1"/>
  <c r="AJ1412" i="1"/>
  <c r="AK1412" i="1"/>
  <c r="AL1412" i="1"/>
  <c r="AM1412" i="1"/>
  <c r="AN1412" i="1"/>
  <c r="AO1412" i="1"/>
  <c r="AP1412" i="1"/>
  <c r="AP1398" i="1"/>
  <c r="AP1397" i="1"/>
  <c r="AO1398" i="1"/>
  <c r="AO1356" i="1"/>
  <c r="K3" i="198"/>
  <c r="AM302" i="1" l="1"/>
  <c r="AL302" i="1"/>
  <c r="AK302" i="1"/>
  <c r="AJ302" i="1"/>
  <c r="AN302" i="1"/>
  <c r="AN297" i="1"/>
  <c r="AM297" i="1"/>
  <c r="AL297" i="1"/>
  <c r="AK297" i="1"/>
  <c r="AJ297" i="1"/>
  <c r="B296" i="1"/>
  <c r="B303" i="1" s="1"/>
  <c r="B295" i="1"/>
  <c r="B302" i="1" s="1"/>
  <c r="AN351" i="1" l="1"/>
  <c r="U39" i="525"/>
  <c r="T39" i="525"/>
  <c r="S39" i="525"/>
  <c r="R39" i="525"/>
  <c r="Q39" i="525"/>
  <c r="P39" i="525"/>
  <c r="O39" i="525"/>
  <c r="V39" i="525"/>
  <c r="AE750" i="1"/>
  <c r="AD750" i="1"/>
  <c r="AC750" i="1"/>
  <c r="AB750" i="1"/>
  <c r="AA750" i="1"/>
  <c r="Z750" i="1"/>
  <c r="Y750" i="1"/>
  <c r="X750" i="1"/>
  <c r="W750" i="1"/>
  <c r="V750" i="1"/>
  <c r="U750" i="1"/>
  <c r="T750" i="1"/>
  <c r="S750" i="1"/>
  <c r="R750" i="1"/>
  <c r="Q750" i="1"/>
  <c r="P750" i="1"/>
  <c r="O750" i="1"/>
  <c r="N750" i="1"/>
  <c r="M750" i="1"/>
  <c r="L750" i="1"/>
  <c r="K750" i="1"/>
  <c r="J750" i="1"/>
  <c r="I750" i="1"/>
  <c r="H750" i="1"/>
  <c r="G750" i="1"/>
  <c r="F750" i="1"/>
  <c r="E750" i="1"/>
  <c r="D750" i="1"/>
  <c r="G698" i="1"/>
  <c r="G700" i="1" s="1"/>
  <c r="G751" i="1" s="1"/>
  <c r="F698" i="1"/>
  <c r="F700" i="1" s="1"/>
  <c r="F751" i="1" s="1"/>
  <c r="E698" i="1"/>
  <c r="E700" i="1" s="1"/>
  <c r="E751" i="1" s="1"/>
  <c r="D698" i="1"/>
  <c r="D700" i="1" s="1"/>
  <c r="D751" i="1" s="1"/>
  <c r="AK192" i="1"/>
  <c r="AK191" i="1"/>
  <c r="AG720" i="1"/>
  <c r="BH1279" i="1"/>
  <c r="BJ1279" i="1"/>
  <c r="BI1279" i="1"/>
  <c r="AM1296" i="1"/>
  <c r="AL1296" i="1"/>
  <c r="AK1296" i="1"/>
  <c r="AJ1296" i="1"/>
  <c r="AI1296" i="1"/>
  <c r="AH1296" i="1"/>
  <c r="AG1296" i="1"/>
  <c r="AF1296" i="1"/>
  <c r="AM1295" i="1"/>
  <c r="AL1295" i="1"/>
  <c r="AK1295" i="1"/>
  <c r="AJ1295" i="1"/>
  <c r="AI1295" i="1"/>
  <c r="AH1295" i="1"/>
  <c r="AG1295" i="1"/>
  <c r="AF1295" i="1"/>
  <c r="AM1294" i="1"/>
  <c r="AL1294" i="1"/>
  <c r="AK1294" i="1"/>
  <c r="AJ1294" i="1"/>
  <c r="AI1294" i="1"/>
  <c r="AH1294" i="1"/>
  <c r="AG1294" i="1"/>
  <c r="AF1294" i="1"/>
  <c r="AK1279" i="1"/>
  <c r="AJ1279" i="1"/>
  <c r="AI1279" i="1"/>
  <c r="AH1279" i="1"/>
  <c r="AG1279" i="1"/>
  <c r="AF1279" i="1"/>
  <c r="AE1279" i="1"/>
  <c r="AD1279" i="1"/>
  <c r="AC1279" i="1"/>
  <c r="AB1279" i="1"/>
  <c r="AA1279" i="1"/>
  <c r="Z1279" i="1"/>
  <c r="Y1279" i="1"/>
  <c r="X1279" i="1"/>
  <c r="W1279" i="1"/>
  <c r="V1279" i="1"/>
  <c r="U1279" i="1"/>
  <c r="T1279" i="1"/>
  <c r="R1279" i="1"/>
  <c r="Q1279" i="1"/>
  <c r="P1279" i="1"/>
  <c r="O1279" i="1"/>
  <c r="N1279" i="1"/>
  <c r="M1279" i="1"/>
  <c r="L1279" i="1"/>
  <c r="K1279" i="1"/>
  <c r="J1279" i="1"/>
  <c r="I1279" i="1"/>
  <c r="H1279" i="1"/>
  <c r="G1279" i="1"/>
  <c r="F1279" i="1"/>
  <c r="E1279" i="1"/>
  <c r="D1279" i="1"/>
  <c r="AM1279" i="1"/>
  <c r="AL1279" i="1"/>
  <c r="BI1291" i="1" l="1"/>
  <c r="AF1297" i="1"/>
  <c r="AM1291" i="1"/>
  <c r="AB1291" i="1"/>
  <c r="AJ1291" i="1"/>
  <c r="AG1297" i="1"/>
  <c r="AL1297" i="1"/>
  <c r="BJ1291" i="1"/>
  <c r="AE1291" i="1"/>
  <c r="X1285" i="1"/>
  <c r="AF1285" i="1"/>
  <c r="AM1297" i="1"/>
  <c r="AG1285" i="1"/>
  <c r="Z1285" i="1"/>
  <c r="AH1285" i="1"/>
  <c r="Y1285" i="1"/>
  <c r="AL1291" i="1"/>
  <c r="AF1291" i="1"/>
  <c r="AF1303" i="1" s="1"/>
  <c r="AA1291" i="1"/>
  <c r="AI1291" i="1"/>
  <c r="U1291" i="1"/>
  <c r="AC1291" i="1"/>
  <c r="AK1291" i="1"/>
  <c r="V1291" i="1"/>
  <c r="AD1291" i="1"/>
  <c r="AA1285" i="1"/>
  <c r="BI1285" i="1"/>
  <c r="X1291" i="1"/>
  <c r="W1291" i="1"/>
  <c r="AI1285" i="1"/>
  <c r="T1285" i="1"/>
  <c r="AB1285" i="1"/>
  <c r="AJ1285" i="1"/>
  <c r="Y1291" i="1"/>
  <c r="AG1291" i="1"/>
  <c r="U1285" i="1"/>
  <c r="AC1285" i="1"/>
  <c r="AK1285" i="1"/>
  <c r="Z1291" i="1"/>
  <c r="AH1291" i="1"/>
  <c r="AH1297" i="1"/>
  <c r="V1285" i="1"/>
  <c r="AD1285" i="1"/>
  <c r="AL1285" i="1"/>
  <c r="AI1297" i="1"/>
  <c r="AE1285" i="1"/>
  <c r="AJ1297" i="1"/>
  <c r="AK1297" i="1"/>
  <c r="BJ1285" i="1"/>
  <c r="AI750" i="1"/>
  <c r="AH750" i="1"/>
  <c r="AG750" i="1"/>
  <c r="AF750" i="1"/>
  <c r="AI751" i="1"/>
  <c r="AH751" i="1"/>
  <c r="AG751" i="1"/>
  <c r="AF751" i="1"/>
  <c r="S749" i="1"/>
  <c r="R749" i="1"/>
  <c r="Q749" i="1"/>
  <c r="P749" i="1"/>
  <c r="O749" i="1"/>
  <c r="N749" i="1"/>
  <c r="M749" i="1"/>
  <c r="L749" i="1"/>
  <c r="K749" i="1"/>
  <c r="J749" i="1"/>
  <c r="I749" i="1"/>
  <c r="H749" i="1"/>
  <c r="G749" i="1"/>
  <c r="F749" i="1"/>
  <c r="E749" i="1"/>
  <c r="D749" i="1"/>
  <c r="AG749" i="1"/>
  <c r="AF749" i="1"/>
  <c r="AE749" i="1"/>
  <c r="AD749" i="1"/>
  <c r="AC749" i="1"/>
  <c r="AB749" i="1"/>
  <c r="AA749" i="1"/>
  <c r="Z749" i="1"/>
  <c r="Y749" i="1"/>
  <c r="X749" i="1"/>
  <c r="W749" i="1"/>
  <c r="V749" i="1"/>
  <c r="U749" i="1"/>
  <c r="T749" i="1"/>
  <c r="AM751" i="1"/>
  <c r="AL751" i="1"/>
  <c r="AK751" i="1"/>
  <c r="AJ751" i="1"/>
  <c r="AN751" i="1"/>
  <c r="AM750" i="1"/>
  <c r="AQ750" i="1" s="1"/>
  <c r="AQ699" i="1" s="1"/>
  <c r="AL750" i="1"/>
  <c r="AP750" i="1" s="1"/>
  <c r="AP699" i="1" s="1"/>
  <c r="AK750" i="1"/>
  <c r="AO750" i="1" s="1"/>
  <c r="AO699" i="1" s="1"/>
  <c r="AJ750" i="1"/>
  <c r="AN750" i="1"/>
  <c r="B754" i="1"/>
  <c r="B762" i="1" s="1"/>
  <c r="B766" i="1"/>
  <c r="B757" i="1"/>
  <c r="B765" i="1" s="1"/>
  <c r="B756" i="1"/>
  <c r="B764" i="1" s="1"/>
  <c r="B755" i="1"/>
  <c r="B763" i="1" s="1"/>
  <c r="BJ770" i="1"/>
  <c r="BK770" i="1"/>
  <c r="BL770" i="1"/>
  <c r="BM770" i="1"/>
  <c r="BN770" i="1"/>
  <c r="BO770" i="1"/>
  <c r="T771" i="1"/>
  <c r="U771" i="1"/>
  <c r="V771" i="1"/>
  <c r="W771" i="1"/>
  <c r="X771" i="1"/>
  <c r="Y771" i="1"/>
  <c r="Z771" i="1"/>
  <c r="AA771" i="1"/>
  <c r="AB771" i="1"/>
  <c r="AC771" i="1"/>
  <c r="AD771" i="1"/>
  <c r="AE771" i="1"/>
  <c r="AF771" i="1"/>
  <c r="AG771" i="1"/>
  <c r="AH771" i="1"/>
  <c r="AI771" i="1"/>
  <c r="AJ771" i="1"/>
  <c r="AK771" i="1"/>
  <c r="AL771" i="1"/>
  <c r="AM771" i="1"/>
  <c r="AO867" i="1"/>
  <c r="BN555" i="1"/>
  <c r="AJ743" i="1"/>
  <c r="AN743" i="1"/>
  <c r="BO738" i="1"/>
  <c r="BO733" i="1"/>
  <c r="AJ722" i="1"/>
  <c r="AI722" i="1"/>
  <c r="AI720" i="1" s="1"/>
  <c r="AH722" i="1"/>
  <c r="AH720" i="1" s="1"/>
  <c r="AG722" i="1"/>
  <c r="AF722" i="1"/>
  <c r="AF720" i="1" s="1"/>
  <c r="AN721" i="1"/>
  <c r="AN730" i="1" s="1"/>
  <c r="AK797" i="1"/>
  <c r="AN714" i="1"/>
  <c r="AN707" i="1"/>
  <c r="AN703" i="1"/>
  <c r="AM700" i="1"/>
  <c r="AL700" i="1"/>
  <c r="AK700" i="1"/>
  <c r="AJ700" i="1"/>
  <c r="AI700" i="1"/>
  <c r="AH700" i="1"/>
  <c r="AG700" i="1"/>
  <c r="AF700" i="1"/>
  <c r="AN700" i="1"/>
  <c r="AN698" i="1" s="1"/>
  <c r="AM721" i="1"/>
  <c r="AL721" i="1"/>
  <c r="AK721" i="1"/>
  <c r="AM714" i="1"/>
  <c r="AM707" i="1"/>
  <c r="AL707" i="1"/>
  <c r="AK707" i="1"/>
  <c r="AM580" i="1"/>
  <c r="AL580" i="1"/>
  <c r="AK580" i="1"/>
  <c r="AJ580" i="1"/>
  <c r="AJ1303" i="1" l="1"/>
  <c r="AJ1309" i="1" s="1"/>
  <c r="AG698" i="1"/>
  <c r="BO771" i="1"/>
  <c r="AM1303" i="1"/>
  <c r="AF698" i="1"/>
  <c r="AH698" i="1"/>
  <c r="AI698" i="1"/>
  <c r="BL771" i="1"/>
  <c r="AN744" i="1"/>
  <c r="AG1303" i="1"/>
  <c r="AN758" i="1"/>
  <c r="Y756" i="1"/>
  <c r="AG756" i="1"/>
  <c r="AI1303" i="1"/>
  <c r="AL1303" i="1"/>
  <c r="BN750" i="1"/>
  <c r="AK1303" i="1"/>
  <c r="BP699" i="1"/>
  <c r="AH1303" i="1"/>
  <c r="P756" i="1"/>
  <c r="Q756" i="1"/>
  <c r="R756" i="1"/>
  <c r="X756" i="1"/>
  <c r="T756" i="1"/>
  <c r="S756" i="1"/>
  <c r="BP750" i="1"/>
  <c r="BI749" i="1"/>
  <c r="BN751" i="1"/>
  <c r="BO750" i="1"/>
  <c r="AJ748" i="1"/>
  <c r="BO751" i="1"/>
  <c r="AD756" i="1"/>
  <c r="BM771" i="1"/>
  <c r="AK758" i="1"/>
  <c r="AL758" i="1"/>
  <c r="AM758" i="1"/>
  <c r="AE756" i="1"/>
  <c r="AJ758" i="1"/>
  <c r="AN748" i="1"/>
  <c r="U756" i="1"/>
  <c r="V756" i="1"/>
  <c r="W756" i="1"/>
  <c r="AC756" i="1"/>
  <c r="AO707" i="1"/>
  <c r="AO721" i="1" s="1"/>
  <c r="AB756" i="1"/>
  <c r="Z756" i="1"/>
  <c r="BJ749" i="1"/>
  <c r="BK749" i="1"/>
  <c r="BH749" i="1"/>
  <c r="AF756" i="1"/>
  <c r="BL749" i="1"/>
  <c r="AA756" i="1"/>
  <c r="BM749" i="1"/>
  <c r="BN771" i="1"/>
  <c r="BK771" i="1"/>
  <c r="AP707" i="1"/>
  <c r="AP721" i="1" s="1"/>
  <c r="AP730" i="1" s="1"/>
  <c r="AQ707" i="1"/>
  <c r="AQ721" i="1" s="1"/>
  <c r="AQ730" i="1" s="1"/>
  <c r="AH729" i="1"/>
  <c r="AI727" i="1"/>
  <c r="AF729" i="1"/>
  <c r="AJ727" i="1"/>
  <c r="AI729" i="1"/>
  <c r="AJ720" i="1"/>
  <c r="AJ724" i="1" s="1"/>
  <c r="AJ723" i="1"/>
  <c r="AF727" i="1"/>
  <c r="AH727" i="1"/>
  <c r="AJ698" i="1"/>
  <c r="AJ701" i="1"/>
  <c r="AN701" i="1"/>
  <c r="AM730" i="1"/>
  <c r="AK730" i="1"/>
  <c r="BO721" i="1"/>
  <c r="BO699" i="1"/>
  <c r="AL730" i="1"/>
  <c r="B591" i="1"/>
  <c r="B598" i="1" s="1"/>
  <c r="B597" i="1"/>
  <c r="B589" i="1"/>
  <c r="B596" i="1" s="1"/>
  <c r="B588" i="1"/>
  <c r="B595" i="1" s="1"/>
  <c r="B587" i="1"/>
  <c r="B594" i="1" s="1"/>
  <c r="BO571" i="1"/>
  <c r="BO574" i="1"/>
  <c r="BN574" i="1"/>
  <c r="BM574" i="1"/>
  <c r="BL574" i="1"/>
  <c r="BK574" i="1"/>
  <c r="BJ574" i="1"/>
  <c r="BI574" i="1"/>
  <c r="BH574" i="1"/>
  <c r="BO573" i="1"/>
  <c r="BN573" i="1"/>
  <c r="BM573" i="1"/>
  <c r="BL573" i="1"/>
  <c r="BK573" i="1"/>
  <c r="BJ573" i="1"/>
  <c r="BI573" i="1"/>
  <c r="BH573" i="1"/>
  <c r="BO572" i="1"/>
  <c r="BN572" i="1"/>
  <c r="BM572" i="1"/>
  <c r="BL572" i="1"/>
  <c r="BK572" i="1"/>
  <c r="BJ572" i="1"/>
  <c r="BI572" i="1"/>
  <c r="BH572" i="1"/>
  <c r="BO570" i="1"/>
  <c r="BO302" i="1" s="1"/>
  <c r="BO567" i="1"/>
  <c r="BN567" i="1"/>
  <c r="BM567" i="1"/>
  <c r="BL567" i="1"/>
  <c r="BK567" i="1"/>
  <c r="BJ567" i="1"/>
  <c r="BI567" i="1"/>
  <c r="BH567" i="1"/>
  <c r="BO566" i="1"/>
  <c r="BN566" i="1"/>
  <c r="BM566" i="1"/>
  <c r="BL566" i="1"/>
  <c r="BK566" i="1"/>
  <c r="BJ566" i="1"/>
  <c r="BI566" i="1"/>
  <c r="BH566" i="1"/>
  <c r="BO565" i="1"/>
  <c r="BN565" i="1"/>
  <c r="BM565" i="1"/>
  <c r="BL565" i="1"/>
  <c r="BK565" i="1"/>
  <c r="BJ565" i="1"/>
  <c r="BI565" i="1"/>
  <c r="BH565" i="1"/>
  <c r="BO564" i="1"/>
  <c r="BO563" i="1"/>
  <c r="AM555" i="1"/>
  <c r="AL555" i="1"/>
  <c r="AK555" i="1"/>
  <c r="AJ555" i="1"/>
  <c r="AI555" i="1"/>
  <c r="AH555" i="1"/>
  <c r="AG555" i="1"/>
  <c r="AF555" i="1"/>
  <c r="AN555" i="1"/>
  <c r="AM541" i="1"/>
  <c r="AL541" i="1"/>
  <c r="AK541" i="1"/>
  <c r="AJ541" i="1"/>
  <c r="AJ677" i="1" s="1"/>
  <c r="AI541" i="1"/>
  <c r="AH541" i="1"/>
  <c r="AG541" i="1"/>
  <c r="AF541" i="1"/>
  <c r="AF677" i="1" s="1"/>
  <c r="AN541" i="1"/>
  <c r="AJ384" i="1"/>
  <c r="AJ518" i="1" s="1"/>
  <c r="AJ394" i="1" s="1"/>
  <c r="AH959" i="1"/>
  <c r="AG959" i="1"/>
  <c r="AF959" i="1"/>
  <c r="AD959" i="1"/>
  <c r="AC959" i="1"/>
  <c r="Z959" i="1"/>
  <c r="Y959" i="1"/>
  <c r="X959" i="1"/>
  <c r="V959" i="1"/>
  <c r="U959" i="1"/>
  <c r="T959" i="1"/>
  <c r="R959" i="1"/>
  <c r="Q959" i="1"/>
  <c r="P959" i="1"/>
  <c r="N959" i="1"/>
  <c r="M959" i="1"/>
  <c r="L959" i="1"/>
  <c r="J959" i="1"/>
  <c r="I959" i="1"/>
  <c r="H959" i="1"/>
  <c r="G959" i="1"/>
  <c r="F959" i="1"/>
  <c r="E959" i="1"/>
  <c r="D959" i="1"/>
  <c r="AH957" i="1"/>
  <c r="AH384" i="1" s="1"/>
  <c r="AH518" i="1" s="1"/>
  <c r="AH394" i="1" s="1"/>
  <c r="AG957" i="1"/>
  <c r="AG384" i="1" s="1"/>
  <c r="AG518" i="1" s="1"/>
  <c r="AG394" i="1" s="1"/>
  <c r="AF957" i="1"/>
  <c r="AD957" i="1"/>
  <c r="AD384" i="1" s="1"/>
  <c r="AD518" i="1" s="1"/>
  <c r="AC957" i="1"/>
  <c r="AC384" i="1" s="1"/>
  <c r="AC518" i="1" s="1"/>
  <c r="Z957" i="1"/>
  <c r="Y957" i="1"/>
  <c r="Y384" i="1" s="1"/>
  <c r="Y518" i="1" s="1"/>
  <c r="X957" i="1"/>
  <c r="V957" i="1"/>
  <c r="U957" i="1"/>
  <c r="T957" i="1"/>
  <c r="R957" i="1"/>
  <c r="R384" i="1" s="1"/>
  <c r="R518" i="1" s="1"/>
  <c r="Q957" i="1"/>
  <c r="Q384" i="1" s="1"/>
  <c r="Q518" i="1" s="1"/>
  <c r="P957" i="1"/>
  <c r="N957" i="1"/>
  <c r="N384" i="1" s="1"/>
  <c r="N518" i="1" s="1"/>
  <c r="M957" i="1"/>
  <c r="M384" i="1" s="1"/>
  <c r="M518" i="1" s="1"/>
  <c r="L957" i="1"/>
  <c r="J957" i="1"/>
  <c r="J384" i="1" s="1"/>
  <c r="J518" i="1" s="1"/>
  <c r="I957" i="1"/>
  <c r="I384" i="1" s="1"/>
  <c r="I518" i="1" s="1"/>
  <c r="H957" i="1"/>
  <c r="G957" i="1"/>
  <c r="G384" i="1" s="1"/>
  <c r="G518" i="1" s="1"/>
  <c r="F957" i="1"/>
  <c r="F384" i="1" s="1"/>
  <c r="F518" i="1" s="1"/>
  <c r="E957" i="1"/>
  <c r="E384" i="1" s="1"/>
  <c r="E518" i="1" s="1"/>
  <c r="D957" i="1"/>
  <c r="D384" i="1" s="1"/>
  <c r="D518" i="1" s="1"/>
  <c r="AH955" i="1"/>
  <c r="AH743" i="1" s="1"/>
  <c r="AH748" i="1" s="1"/>
  <c r="AG955" i="1"/>
  <c r="AG743" i="1" s="1"/>
  <c r="AG748" i="1" s="1"/>
  <c r="AF955" i="1"/>
  <c r="AD955" i="1"/>
  <c r="AD743" i="1" s="1"/>
  <c r="AD748" i="1" s="1"/>
  <c r="AC955" i="1"/>
  <c r="AC743" i="1" s="1"/>
  <c r="AC748" i="1" s="1"/>
  <c r="Z955" i="1"/>
  <c r="Z743" i="1" s="1"/>
  <c r="Z748" i="1" s="1"/>
  <c r="Y955" i="1"/>
  <c r="Y743" i="1" s="1"/>
  <c r="Y748" i="1" s="1"/>
  <c r="X955" i="1"/>
  <c r="V955" i="1"/>
  <c r="V743" i="1" s="1"/>
  <c r="V748" i="1" s="1"/>
  <c r="U955" i="1"/>
  <c r="U743" i="1" s="1"/>
  <c r="U748" i="1" s="1"/>
  <c r="T955" i="1"/>
  <c r="R955" i="1"/>
  <c r="R743" i="1" s="1"/>
  <c r="R748" i="1" s="1"/>
  <c r="Q955" i="1"/>
  <c r="Q743" i="1" s="1"/>
  <c r="Q748" i="1" s="1"/>
  <c r="P955" i="1"/>
  <c r="N955" i="1"/>
  <c r="N743" i="1" s="1"/>
  <c r="N748" i="1" s="1"/>
  <c r="M955" i="1"/>
  <c r="M743" i="1" s="1"/>
  <c r="M748" i="1" s="1"/>
  <c r="L955" i="1"/>
  <c r="J955" i="1"/>
  <c r="J743" i="1" s="1"/>
  <c r="J748" i="1" s="1"/>
  <c r="I955" i="1"/>
  <c r="I743" i="1" s="1"/>
  <c r="I748" i="1" s="1"/>
  <c r="H955" i="1"/>
  <c r="G955" i="1"/>
  <c r="G743" i="1" s="1"/>
  <c r="G748" i="1" s="1"/>
  <c r="G747" i="1" s="1"/>
  <c r="F955" i="1"/>
  <c r="F743" i="1" s="1"/>
  <c r="F748" i="1" s="1"/>
  <c r="F747" i="1" s="1"/>
  <c r="E955" i="1"/>
  <c r="E743" i="1" s="1"/>
  <c r="E748" i="1" s="1"/>
  <c r="E747" i="1" s="1"/>
  <c r="D955" i="1"/>
  <c r="D743" i="1" s="1"/>
  <c r="D748" i="1" s="1"/>
  <c r="D747" i="1" s="1"/>
  <c r="AL957" i="1"/>
  <c r="AL384" i="1" s="1"/>
  <c r="AL518" i="1" s="1"/>
  <c r="AL394" i="1" s="1"/>
  <c r="AK957" i="1"/>
  <c r="AN384" i="1"/>
  <c r="BO388" i="1"/>
  <c r="BN388" i="1"/>
  <c r="BM388" i="1"/>
  <c r="BL388" i="1"/>
  <c r="BK388" i="1"/>
  <c r="BJ388" i="1"/>
  <c r="BK386" i="1"/>
  <c r="BJ386" i="1"/>
  <c r="AN379" i="1"/>
  <c r="AK379" i="1"/>
  <c r="AK378" i="1" s="1"/>
  <c r="AI379" i="1"/>
  <c r="AH379" i="1"/>
  <c r="AG379" i="1"/>
  <c r="AF379" i="1"/>
  <c r="AE379" i="1"/>
  <c r="AD379" i="1"/>
  <c r="AC379" i="1"/>
  <c r="AB379" i="1"/>
  <c r="AA379" i="1"/>
  <c r="Z379" i="1"/>
  <c r="Y379" i="1"/>
  <c r="X379" i="1"/>
  <c r="W379" i="1"/>
  <c r="V379" i="1"/>
  <c r="U379" i="1"/>
  <c r="T379" i="1"/>
  <c r="S379" i="1"/>
  <c r="R379" i="1"/>
  <c r="Q379" i="1"/>
  <c r="P379" i="1"/>
  <c r="O379" i="1"/>
  <c r="N379" i="1"/>
  <c r="M379" i="1"/>
  <c r="L379" i="1"/>
  <c r="K379" i="1"/>
  <c r="J379" i="1"/>
  <c r="I379" i="1"/>
  <c r="H379" i="1"/>
  <c r="BN378" i="1"/>
  <c r="BM378" i="1"/>
  <c r="BL378" i="1"/>
  <c r="BK378" i="1"/>
  <c r="BJ378" i="1"/>
  <c r="BI378" i="1"/>
  <c r="BH378" i="1"/>
  <c r="BG378" i="1"/>
  <c r="AM378" i="1"/>
  <c r="BO378" i="1" s="1"/>
  <c r="AL378" i="1"/>
  <c r="AJ378" i="1"/>
  <c r="BO377" i="1"/>
  <c r="BN377" i="1"/>
  <c r="BM377" i="1"/>
  <c r="BL377" i="1"/>
  <c r="BK377" i="1"/>
  <c r="BJ377" i="1"/>
  <c r="BI377" i="1"/>
  <c r="BH377" i="1"/>
  <c r="BO370" i="1"/>
  <c r="BN370" i="1"/>
  <c r="BM370" i="1"/>
  <c r="BL370" i="1"/>
  <c r="BK370" i="1"/>
  <c r="BJ370" i="1"/>
  <c r="BI370" i="1"/>
  <c r="BO369" i="1"/>
  <c r="BN369" i="1"/>
  <c r="BM369" i="1"/>
  <c r="BL369" i="1"/>
  <c r="BK369" i="1"/>
  <c r="BJ369" i="1"/>
  <c r="BI369" i="1"/>
  <c r="BH369" i="1"/>
  <c r="BO368" i="1"/>
  <c r="BN368" i="1"/>
  <c r="BM368" i="1"/>
  <c r="BL368" i="1"/>
  <c r="BK368" i="1"/>
  <c r="BJ368" i="1"/>
  <c r="BI368" i="1"/>
  <c r="BH368" i="1"/>
  <c r="BO361" i="1"/>
  <c r="BN361" i="1"/>
  <c r="BM361" i="1"/>
  <c r="BL361" i="1"/>
  <c r="BK361" i="1"/>
  <c r="BJ361" i="1"/>
  <c r="BI361" i="1"/>
  <c r="BO360" i="1"/>
  <c r="BN360" i="1"/>
  <c r="BM360" i="1"/>
  <c r="BL360" i="1"/>
  <c r="BK360" i="1"/>
  <c r="BJ360" i="1"/>
  <c r="BI360" i="1"/>
  <c r="BH360" i="1"/>
  <c r="BO359" i="1"/>
  <c r="BN359" i="1"/>
  <c r="BM359" i="1"/>
  <c r="BL359" i="1"/>
  <c r="BK359" i="1"/>
  <c r="BJ359" i="1"/>
  <c r="BI359" i="1"/>
  <c r="BH359" i="1"/>
  <c r="AM351" i="1"/>
  <c r="AL351" i="1"/>
  <c r="AK351" i="1"/>
  <c r="AJ351" i="1"/>
  <c r="AN352" i="1" s="1"/>
  <c r="AI351" i="1"/>
  <c r="AH351" i="1"/>
  <c r="AG351" i="1"/>
  <c r="AF351" i="1"/>
  <c r="AM332" i="1"/>
  <c r="AM396" i="1" s="1"/>
  <c r="AL332" i="1"/>
  <c r="AL396" i="1" s="1"/>
  <c r="AK332" i="1"/>
  <c r="AK396" i="1" s="1"/>
  <c r="AJ332" i="1"/>
  <c r="AJ396" i="1" s="1"/>
  <c r="AI332" i="1"/>
  <c r="AI396" i="1" s="1"/>
  <c r="AH332" i="1"/>
  <c r="AH396" i="1" s="1"/>
  <c r="AG332" i="1"/>
  <c r="AG396" i="1" s="1"/>
  <c r="AF332" i="1"/>
  <c r="AF396" i="1" s="1"/>
  <c r="AN332" i="1"/>
  <c r="BP757" i="1" l="1"/>
  <c r="AM1309" i="1"/>
  <c r="AN396" i="1"/>
  <c r="AN404" i="1" s="1"/>
  <c r="AN354" i="1"/>
  <c r="AL581" i="1"/>
  <c r="AL579" i="1" s="1"/>
  <c r="AL677" i="1"/>
  <c r="AK581" i="1"/>
  <c r="AK579" i="1" s="1"/>
  <c r="AK677" i="1"/>
  <c r="AM581" i="1"/>
  <c r="AM579" i="1" s="1"/>
  <c r="AM677" i="1"/>
  <c r="AG581" i="1"/>
  <c r="AG579" i="1" s="1"/>
  <c r="AG677" i="1"/>
  <c r="AJ702" i="1"/>
  <c r="AH581" i="1"/>
  <c r="AH579" i="1" s="1"/>
  <c r="AH677" i="1"/>
  <c r="AI581" i="1"/>
  <c r="AI579" i="1" s="1"/>
  <c r="AI677" i="1"/>
  <c r="AK1309" i="1"/>
  <c r="AN766" i="1"/>
  <c r="AG764" i="1"/>
  <c r="BJ756" i="1"/>
  <c r="X764" i="1"/>
  <c r="Z764" i="1"/>
  <c r="AB764" i="1"/>
  <c r="AL1309" i="1"/>
  <c r="AN702" i="1"/>
  <c r="AJ215" i="1"/>
  <c r="U764" i="1"/>
  <c r="AD764" i="1"/>
  <c r="BO758" i="1"/>
  <c r="Q755" i="1"/>
  <c r="R755" i="1"/>
  <c r="W764" i="1"/>
  <c r="V764" i="1"/>
  <c r="AF764" i="1"/>
  <c r="BI756" i="1"/>
  <c r="AC764" i="1"/>
  <c r="AA764" i="1"/>
  <c r="BK756" i="1"/>
  <c r="BL756" i="1"/>
  <c r="T764" i="1"/>
  <c r="Y764" i="1"/>
  <c r="BM756" i="1"/>
  <c r="AN755" i="1"/>
  <c r="AO730" i="1"/>
  <c r="BP721" i="1"/>
  <c r="BP730" i="1" s="1"/>
  <c r="AE764" i="1"/>
  <c r="AG747" i="1"/>
  <c r="AG755" i="1"/>
  <c r="AH755" i="1"/>
  <c r="V755" i="1"/>
  <c r="Z755" i="1"/>
  <c r="AC755" i="1"/>
  <c r="Y755" i="1"/>
  <c r="AD755" i="1"/>
  <c r="U755" i="1"/>
  <c r="BO555" i="1"/>
  <c r="AN704" i="1"/>
  <c r="L743" i="1"/>
  <c r="L748" i="1" s="1"/>
  <c r="P743" i="1"/>
  <c r="P748" i="1" s="1"/>
  <c r="X743" i="1"/>
  <c r="X748" i="1" s="1"/>
  <c r="H384" i="1"/>
  <c r="H518" i="1" s="1"/>
  <c r="L384" i="1"/>
  <c r="L518" i="1" s="1"/>
  <c r="X384" i="1"/>
  <c r="X518" i="1" s="1"/>
  <c r="AJ970" i="1"/>
  <c r="AK384" i="1"/>
  <c r="T743" i="1"/>
  <c r="P384" i="1"/>
  <c r="P518" i="1" s="1"/>
  <c r="H743" i="1"/>
  <c r="AJ972" i="1"/>
  <c r="AF581" i="1"/>
  <c r="AF579" i="1" s="1"/>
  <c r="BN541" i="1"/>
  <c r="AJ581" i="1"/>
  <c r="AJ579" i="1" s="1"/>
  <c r="BO541" i="1"/>
  <c r="U744" i="1"/>
  <c r="Y744" i="1"/>
  <c r="Z744" i="1"/>
  <c r="AC744" i="1"/>
  <c r="AG744" i="1"/>
  <c r="AH744" i="1"/>
  <c r="AJ968" i="1"/>
  <c r="AF743" i="1"/>
  <c r="AF748" i="1" s="1"/>
  <c r="N744" i="1"/>
  <c r="V744" i="1"/>
  <c r="AD744" i="1"/>
  <c r="M744" i="1"/>
  <c r="AF384" i="1"/>
  <c r="AJ729" i="1"/>
  <c r="BO730" i="1"/>
  <c r="AG385" i="1"/>
  <c r="AN542" i="1"/>
  <c r="AN581" i="1"/>
  <c r="AN558" i="1"/>
  <c r="AF558" i="1"/>
  <c r="AH558" i="1"/>
  <c r="AI558" i="1"/>
  <c r="AN545" i="1"/>
  <c r="AN548" i="1" s="1"/>
  <c r="AK558" i="1"/>
  <c r="AD968" i="1"/>
  <c r="AN556" i="1"/>
  <c r="AL556" i="1"/>
  <c r="AM556" i="1"/>
  <c r="AJ558" i="1"/>
  <c r="AH972" i="1"/>
  <c r="AJ542" i="1"/>
  <c r="AL542" i="1"/>
  <c r="AM542" i="1"/>
  <c r="AD972" i="1"/>
  <c r="AL558" i="1"/>
  <c r="AK542" i="1"/>
  <c r="AG968" i="1"/>
  <c r="AJ556" i="1"/>
  <c r="AM558" i="1"/>
  <c r="AN337" i="1"/>
  <c r="Y972" i="1"/>
  <c r="Z972" i="1"/>
  <c r="V970" i="1"/>
  <c r="AN385" i="1"/>
  <c r="AL385" i="1"/>
  <c r="V972" i="1"/>
  <c r="X972" i="1"/>
  <c r="AG337" i="1"/>
  <c r="AH968" i="1"/>
  <c r="AN553" i="1"/>
  <c r="U972" i="1"/>
  <c r="AN378" i="1"/>
  <c r="AH337" i="1"/>
  <c r="T970" i="1"/>
  <c r="U970" i="1"/>
  <c r="U384" i="1"/>
  <c r="N385" i="1"/>
  <c r="AC972" i="1"/>
  <c r="T384" i="1"/>
  <c r="T518" i="1" s="1"/>
  <c r="AG970" i="1"/>
  <c r="X970" i="1"/>
  <c r="AH970" i="1"/>
  <c r="Y970" i="1"/>
  <c r="X968" i="1"/>
  <c r="BL379" i="1"/>
  <c r="BM379" i="1"/>
  <c r="V384" i="1"/>
  <c r="AC970" i="1"/>
  <c r="AK970" i="1"/>
  <c r="AL970" i="1"/>
  <c r="AJ337" i="1"/>
  <c r="AD970" i="1"/>
  <c r="Y968" i="1"/>
  <c r="AC968" i="1"/>
  <c r="AG972" i="1"/>
  <c r="AH385" i="1"/>
  <c r="BO379" i="1"/>
  <c r="T968" i="1"/>
  <c r="Z968" i="1"/>
  <c r="AC385" i="1"/>
  <c r="Q385" i="1"/>
  <c r="Z970" i="1"/>
  <c r="U968" i="1"/>
  <c r="Z384" i="1"/>
  <c r="Z518" i="1" s="1"/>
  <c r="BN379" i="1"/>
  <c r="AL337" i="1"/>
  <c r="R385" i="1"/>
  <c r="V968" i="1"/>
  <c r="T972" i="1"/>
  <c r="AJ333" i="1"/>
  <c r="BJ379" i="1"/>
  <c r="BK379" i="1"/>
  <c r="BH379" i="1"/>
  <c r="BI379" i="1"/>
  <c r="AL354" i="1"/>
  <c r="AK333" i="1"/>
  <c r="AL333" i="1"/>
  <c r="BO351" i="1"/>
  <c r="AM354" i="1"/>
  <c r="AN333" i="1"/>
  <c r="AM333" i="1"/>
  <c r="AH354" i="1"/>
  <c r="AI354" i="1"/>
  <c r="AK354" i="1"/>
  <c r="BN332" i="1"/>
  <c r="AJ352" i="1"/>
  <c r="AM352" i="1"/>
  <c r="AJ354" i="1"/>
  <c r="AN341" i="1"/>
  <c r="AJ341" i="1" s="1"/>
  <c r="BO332" i="1"/>
  <c r="AL352" i="1"/>
  <c r="AF354" i="1"/>
  <c r="AN349" i="1"/>
  <c r="AJ385" i="1" l="1"/>
  <c r="AF518" i="1"/>
  <c r="AF394" i="1" s="1"/>
  <c r="V385" i="1"/>
  <c r="V518" i="1"/>
  <c r="U385" i="1"/>
  <c r="U518" i="1"/>
  <c r="AK385" i="1"/>
  <c r="AK518" i="1"/>
  <c r="AK394" i="1" s="1"/>
  <c r="BK764" i="1"/>
  <c r="BJ764" i="1"/>
  <c r="P755" i="1"/>
  <c r="AK337" i="1"/>
  <c r="AK338" i="1" s="1"/>
  <c r="AD763" i="1"/>
  <c r="BL764" i="1"/>
  <c r="V763" i="1"/>
  <c r="U763" i="1"/>
  <c r="BM764" i="1"/>
  <c r="P385" i="1"/>
  <c r="AN344" i="1"/>
  <c r="Z763" i="1"/>
  <c r="BO558" i="1"/>
  <c r="BO542" i="1"/>
  <c r="Y763" i="1"/>
  <c r="L744" i="1"/>
  <c r="H748" i="1"/>
  <c r="T744" i="1"/>
  <c r="T748" i="1"/>
  <c r="T755" i="1" s="1"/>
  <c r="AF747" i="1"/>
  <c r="AJ755" i="1"/>
  <c r="AG763" i="1"/>
  <c r="AC763" i="1"/>
  <c r="AH763" i="1"/>
  <c r="AF337" i="1"/>
  <c r="AJ338" i="1" s="1"/>
  <c r="X385" i="1"/>
  <c r="X744" i="1"/>
  <c r="T385" i="1"/>
  <c r="AJ744" i="1"/>
  <c r="AL338" i="1"/>
  <c r="AN338" i="1"/>
  <c r="AN591" i="1"/>
  <c r="BN581" i="1"/>
  <c r="AL591" i="1"/>
  <c r="AK591" i="1"/>
  <c r="AM591" i="1"/>
  <c r="AJ591" i="1"/>
  <c r="BO581" i="1"/>
  <c r="Y385" i="1"/>
  <c r="Z385" i="1"/>
  <c r="AN339" i="1"/>
  <c r="BO333" i="1"/>
  <c r="AD385" i="1"/>
  <c r="AJ346" i="1"/>
  <c r="AJ344" i="1"/>
  <c r="BO354" i="1"/>
  <c r="BO591" i="1" l="1"/>
  <c r="AN763" i="1"/>
  <c r="T763" i="1"/>
  <c r="X755" i="1"/>
  <c r="X763" i="1" s="1"/>
  <c r="AN598" i="1"/>
  <c r="AN347" i="1"/>
  <c r="AJ349" i="1"/>
  <c r="AN348" i="1"/>
  <c r="AL959" i="1" l="1"/>
  <c r="AK959" i="1"/>
  <c r="AL955" i="1"/>
  <c r="AL743" i="1" s="1"/>
  <c r="AL748" i="1" s="1"/>
  <c r="AK955" i="1"/>
  <c r="B976" i="1"/>
  <c r="B989" i="1" s="1"/>
  <c r="AN975" i="1"/>
  <c r="B975" i="1"/>
  <c r="B988" i="1" s="1"/>
  <c r="AN974" i="1"/>
  <c r="B974" i="1"/>
  <c r="B987" i="1" s="1"/>
  <c r="AN973" i="1"/>
  <c r="B973" i="1"/>
  <c r="B986" i="1" s="1"/>
  <c r="AN972" i="1"/>
  <c r="B972" i="1"/>
  <c r="B985" i="1" s="1"/>
  <c r="AN971" i="1"/>
  <c r="B971" i="1"/>
  <c r="B984" i="1" s="1"/>
  <c r="AN970" i="1"/>
  <c r="B970" i="1"/>
  <c r="B983" i="1" s="1"/>
  <c r="AN969" i="1"/>
  <c r="B969" i="1"/>
  <c r="B982" i="1" s="1"/>
  <c r="AN968" i="1"/>
  <c r="B968" i="1"/>
  <c r="B981" i="1" s="1"/>
  <c r="AN967" i="1"/>
  <c r="B967" i="1"/>
  <c r="B980" i="1" s="1"/>
  <c r="AN966" i="1"/>
  <c r="AN963" i="1"/>
  <c r="AN989" i="1" s="1"/>
  <c r="B966" i="1"/>
  <c r="B979" i="1" s="1"/>
  <c r="AN1296" i="1"/>
  <c r="AN1295" i="1"/>
  <c r="AN1294" i="1"/>
  <c r="AN1290" i="1"/>
  <c r="AN1289" i="1"/>
  <c r="AN1288" i="1"/>
  <c r="AN1284" i="1"/>
  <c r="AN1283" i="1"/>
  <c r="AN1282" i="1"/>
  <c r="AN1279" i="1"/>
  <c r="AM1284" i="1"/>
  <c r="AM1283" i="1"/>
  <c r="AM1282" i="1"/>
  <c r="B1309" i="1"/>
  <c r="B1308" i="1"/>
  <c r="B1307" i="1"/>
  <c r="B1306" i="1"/>
  <c r="B1285" i="1"/>
  <c r="B1284" i="1"/>
  <c r="B1283" i="1"/>
  <c r="B1282" i="1"/>
  <c r="AL755" i="1" l="1"/>
  <c r="AP748" i="1"/>
  <c r="AP743" i="1" s="1"/>
  <c r="AP744" i="1" s="1"/>
  <c r="AL744" i="1"/>
  <c r="AK743" i="1"/>
  <c r="AK748" i="1" s="1"/>
  <c r="AN983" i="1"/>
  <c r="AN984" i="1"/>
  <c r="AN985" i="1"/>
  <c r="AL972" i="1"/>
  <c r="AL968" i="1"/>
  <c r="AK972" i="1"/>
  <c r="AK968" i="1"/>
  <c r="AN979" i="1"/>
  <c r="AN980" i="1"/>
  <c r="AN981" i="1"/>
  <c r="AN982" i="1"/>
  <c r="AN986" i="1"/>
  <c r="AN987" i="1"/>
  <c r="AN988" i="1"/>
  <c r="AN1291" i="1"/>
  <c r="AN1302" i="1"/>
  <c r="AN1301" i="1"/>
  <c r="AN1300" i="1"/>
  <c r="AM1285" i="1"/>
  <c r="AN1285" i="1"/>
  <c r="AN1297" i="1"/>
  <c r="AN201" i="1"/>
  <c r="AN725" i="1" s="1"/>
  <c r="AN726" i="1" s="1"/>
  <c r="AN207" i="1" s="1"/>
  <c r="AK744" i="1" l="1"/>
  <c r="AN1303" i="1"/>
  <c r="AN1309" i="1" s="1"/>
  <c r="AO748" i="1"/>
  <c r="AK755" i="1"/>
  <c r="AP763" i="1"/>
  <c r="AL763" i="1"/>
  <c r="AN479" i="1"/>
  <c r="BP124" i="1"/>
  <c r="S51" i="198"/>
  <c r="T51" i="198" s="1"/>
  <c r="U51" i="198" s="1"/>
  <c r="V51" i="198" s="1"/>
  <c r="AN814" i="1"/>
  <c r="AN805" i="1"/>
  <c r="AO743" i="1" l="1"/>
  <c r="AO763" i="1"/>
  <c r="AK763" i="1"/>
  <c r="AQ194" i="1"/>
  <c r="AP194" i="1"/>
  <c r="AO194" i="1"/>
  <c r="AQ162" i="1"/>
  <c r="AP162" i="1"/>
  <c r="AO162" i="1"/>
  <c r="AO744" i="1" l="1"/>
  <c r="BF156" i="1"/>
  <c r="BF188" i="1"/>
  <c r="AN203" i="1"/>
  <c r="AN171" i="1"/>
  <c r="AN14" i="1" s="1"/>
  <c r="AN1369" i="1" s="1"/>
  <c r="AK186" i="1" l="1"/>
  <c r="AK193" i="1" s="1"/>
  <c r="AL186" i="1"/>
  <c r="AL257" i="1"/>
  <c r="AM186" i="1"/>
  <c r="AM257" i="1"/>
  <c r="AN186" i="1"/>
  <c r="AO233" i="1"/>
  <c r="AP233" i="1"/>
  <c r="AQ233" i="1"/>
  <c r="AO1084" i="1"/>
  <c r="AP1084" i="1"/>
  <c r="AQ1084" i="1"/>
  <c r="AO1105" i="1"/>
  <c r="AP1105" i="1"/>
  <c r="AQ1105" i="1"/>
  <c r="AO1107" i="1"/>
  <c r="AP1107" i="1"/>
  <c r="AQ1107" i="1"/>
  <c r="AO1110" i="1"/>
  <c r="AP1110" i="1"/>
  <c r="AQ1110" i="1"/>
  <c r="BP1099" i="1"/>
  <c r="BP1100" i="1"/>
  <c r="BP1106" i="1"/>
  <c r="BP1108" i="1"/>
  <c r="AN75" i="1"/>
  <c r="E103" i="198" s="1"/>
  <c r="AN211" i="1"/>
  <c r="AN210" i="1"/>
  <c r="AI212" i="1"/>
  <c r="AH212" i="1"/>
  <c r="AF212" i="1"/>
  <c r="AI211" i="1"/>
  <c r="AH211" i="1"/>
  <c r="AF211" i="1"/>
  <c r="AI210" i="1"/>
  <c r="AH210" i="1"/>
  <c r="AF210" i="1"/>
  <c r="AJ210" i="1"/>
  <c r="AK210" i="1"/>
  <c r="AL210" i="1"/>
  <c r="AM210" i="1"/>
  <c r="AJ211" i="1"/>
  <c r="AK211" i="1"/>
  <c r="AL211" i="1"/>
  <c r="AM211" i="1"/>
  <c r="AJ212" i="1"/>
  <c r="AI156" i="1"/>
  <c r="AI213" i="1" s="1"/>
  <c r="AH156" i="1"/>
  <c r="AH213" i="1" s="1"/>
  <c r="AG156" i="1"/>
  <c r="AG213" i="1" s="1"/>
  <c r="AF156" i="1"/>
  <c r="AI188" i="1"/>
  <c r="AH188" i="1"/>
  <c r="AF188" i="1"/>
  <c r="BX147" i="1"/>
  <c r="BY147" i="1" s="1"/>
  <c r="AN156" i="1"/>
  <c r="B214" i="1"/>
  <c r="B213" i="1"/>
  <c r="B212" i="1"/>
  <c r="B211" i="1"/>
  <c r="AN191" i="1"/>
  <c r="B210" i="1"/>
  <c r="B195" i="1"/>
  <c r="B203" i="1" s="1"/>
  <c r="AM194" i="1"/>
  <c r="AL194" i="1"/>
  <c r="AK194" i="1"/>
  <c r="AJ194" i="1"/>
  <c r="B194" i="1"/>
  <c r="B202" i="1" s="1"/>
  <c r="AJ193" i="1"/>
  <c r="B193" i="1"/>
  <c r="B201" i="1" s="1"/>
  <c r="AM192" i="1"/>
  <c r="AL192" i="1"/>
  <c r="AJ192" i="1"/>
  <c r="B192" i="1"/>
  <c r="B200" i="1" s="1"/>
  <c r="AM191" i="1"/>
  <c r="AL191" i="1"/>
  <c r="AJ191" i="1"/>
  <c r="B191" i="1"/>
  <c r="B199" i="1" s="1"/>
  <c r="AJ188" i="1"/>
  <c r="BO187" i="1"/>
  <c r="BN187" i="1"/>
  <c r="BO185" i="1"/>
  <c r="BO184" i="1"/>
  <c r="B176" i="1"/>
  <c r="B175" i="1"/>
  <c r="B174" i="1"/>
  <c r="B163" i="1"/>
  <c r="B171" i="1" s="1"/>
  <c r="B177" i="1" s="1"/>
  <c r="AN162" i="1"/>
  <c r="AM162" i="1"/>
  <c r="AL162" i="1"/>
  <c r="AK162" i="1"/>
  <c r="AJ162" i="1"/>
  <c r="B162" i="1"/>
  <c r="AM161" i="1"/>
  <c r="AL161" i="1"/>
  <c r="AK161" i="1"/>
  <c r="AJ161" i="1"/>
  <c r="B161" i="1"/>
  <c r="AN160" i="1"/>
  <c r="AM160" i="1"/>
  <c r="AL160" i="1"/>
  <c r="AK160" i="1"/>
  <c r="AJ160" i="1"/>
  <c r="B160" i="1"/>
  <c r="AM159" i="1"/>
  <c r="AL159" i="1"/>
  <c r="AK159" i="1"/>
  <c r="AJ159" i="1"/>
  <c r="B159" i="1"/>
  <c r="AM156" i="1"/>
  <c r="AM213" i="1" s="1"/>
  <c r="AL156" i="1"/>
  <c r="AK156" i="1"/>
  <c r="AJ156" i="1"/>
  <c r="AJ213" i="1" s="1"/>
  <c r="BP155" i="1"/>
  <c r="BO155" i="1"/>
  <c r="BN155" i="1"/>
  <c r="BO154" i="1"/>
  <c r="BO1296" i="1" s="1"/>
  <c r="BN154" i="1"/>
  <c r="BN1296" i="1" s="1"/>
  <c r="AN161" i="1"/>
  <c r="BO153" i="1"/>
  <c r="BO1295" i="1" s="1"/>
  <c r="BN153" i="1"/>
  <c r="BN1295" i="1" s="1"/>
  <c r="BO152" i="1"/>
  <c r="BO1294" i="1" s="1"/>
  <c r="BN152" i="1"/>
  <c r="BN1294" i="1" s="1"/>
  <c r="BX149" i="1"/>
  <c r="AN1058" i="1"/>
  <c r="E7" i="276" s="1"/>
  <c r="AN71" i="1"/>
  <c r="AN69" i="1"/>
  <c r="AN68" i="1"/>
  <c r="AN88" i="1"/>
  <c r="AO88" i="1" s="1"/>
  <c r="AN309" i="1"/>
  <c r="AN138" i="1"/>
  <c r="AN134" i="1"/>
  <c r="AN133" i="1"/>
  <c r="AN132" i="1"/>
  <c r="AN129" i="1"/>
  <c r="AN121" i="1"/>
  <c r="AN114" i="1"/>
  <c r="BP1084" i="1" l="1"/>
  <c r="BO1297" i="1"/>
  <c r="AM212" i="1"/>
  <c r="AM722" i="1"/>
  <c r="AM727" i="1" s="1"/>
  <c r="AN212" i="1"/>
  <c r="AN722" i="1"/>
  <c r="AN727" i="1" s="1"/>
  <c r="AL212" i="1"/>
  <c r="AL722" i="1"/>
  <c r="AL727" i="1" s="1"/>
  <c r="AK212" i="1"/>
  <c r="AK722" i="1"/>
  <c r="AK727" i="1" s="1"/>
  <c r="AH214" i="1"/>
  <c r="AL188" i="1"/>
  <c r="AI214" i="1"/>
  <c r="AO210" i="1"/>
  <c r="AP210" i="1" s="1"/>
  <c r="AQ210" i="1" s="1"/>
  <c r="AF214" i="1"/>
  <c r="AM188" i="1"/>
  <c r="AK163" i="1"/>
  <c r="AF213" i="1"/>
  <c r="AL213" i="1"/>
  <c r="AK213" i="1"/>
  <c r="AM163" i="1"/>
  <c r="AJ195" i="1"/>
  <c r="BO211" i="1"/>
  <c r="BO160" i="1"/>
  <c r="BO159" i="1"/>
  <c r="AN192" i="1"/>
  <c r="BO161" i="1"/>
  <c r="BO156" i="1"/>
  <c r="AJ163" i="1"/>
  <c r="AJ214" i="1"/>
  <c r="BO186" i="1"/>
  <c r="AL163" i="1"/>
  <c r="AN163" i="1"/>
  <c r="AK188" i="1"/>
  <c r="AL193" i="1"/>
  <c r="AM193" i="1"/>
  <c r="AN193" i="1"/>
  <c r="AN159" i="1"/>
  <c r="BO210" i="1"/>
  <c r="AN70" i="1"/>
  <c r="AM214" i="1" l="1"/>
  <c r="AL195" i="1"/>
  <c r="AK720" i="1"/>
  <c r="BO722" i="1"/>
  <c r="AL214" i="1"/>
  <c r="BO188" i="1"/>
  <c r="BO214" i="1" s="1"/>
  <c r="AN170" i="1"/>
  <c r="AM195" i="1"/>
  <c r="AK214" i="1"/>
  <c r="BO212" i="1"/>
  <c r="BO213" i="1"/>
  <c r="AN1259" i="1"/>
  <c r="AN1253" i="1"/>
  <c r="AN137" i="1" s="1"/>
  <c r="AN139" i="1" s="1"/>
  <c r="D101" i="198" s="1"/>
  <c r="AN1191" i="1"/>
  <c r="AN1167" i="1"/>
  <c r="AN1180" i="1"/>
  <c r="AN1158" i="1"/>
  <c r="AN128" i="1" s="1"/>
  <c r="AN125" i="1" s="1"/>
  <c r="AN1198" i="1"/>
  <c r="AN1197" i="1" s="1"/>
  <c r="AN31" i="1"/>
  <c r="AN904" i="1" s="1"/>
  <c r="AN30" i="1"/>
  <c r="AN903" i="1" s="1"/>
  <c r="AN29" i="1"/>
  <c r="AN902" i="1" s="1"/>
  <c r="AN1123" i="1"/>
  <c r="AN1264" i="1"/>
  <c r="AN1263" i="1"/>
  <c r="AN1247" i="1"/>
  <c r="AN1234" i="1"/>
  <c r="AN1241" i="1" s="1"/>
  <c r="AN1215" i="1"/>
  <c r="AN1223" i="1" s="1"/>
  <c r="AN1109" i="1"/>
  <c r="BP1109" i="1" s="1"/>
  <c r="AN1071" i="1"/>
  <c r="AN1076" i="1" s="1"/>
  <c r="AN1070" i="1"/>
  <c r="AN1075" i="1" s="1"/>
  <c r="AN1068" i="1"/>
  <c r="AN1062" i="1"/>
  <c r="AN1061" i="1"/>
  <c r="AL723" i="1" l="1"/>
  <c r="AL720" i="1"/>
  <c r="AM720" i="1"/>
  <c r="AM723" i="1"/>
  <c r="AN1265" i="1"/>
  <c r="AN1183" i="1"/>
  <c r="AN1194" i="1"/>
  <c r="AN32" i="1"/>
  <c r="AN1258" i="1"/>
  <c r="AN1248" i="1"/>
  <c r="AN905" i="1"/>
  <c r="AL724" i="1" l="1"/>
  <c r="AM724" i="1"/>
  <c r="BO720" i="1"/>
  <c r="U232" i="519"/>
  <c r="U231" i="519"/>
  <c r="U230" i="519"/>
  <c r="U229" i="519"/>
  <c r="U228" i="519"/>
  <c r="AL51" i="198"/>
  <c r="AM51" i="198" s="1"/>
  <c r="AN51" i="198" s="1"/>
  <c r="AO51" i="198" s="1"/>
  <c r="U233" i="519" l="1"/>
  <c r="U241" i="519" s="1"/>
  <c r="N12" i="521"/>
  <c r="N11" i="521"/>
  <c r="N10" i="521"/>
  <c r="N12" i="520"/>
  <c r="N11" i="520"/>
  <c r="N10" i="520"/>
  <c r="M174" i="521"/>
  <c r="L174" i="521"/>
  <c r="K174" i="521"/>
  <c r="J174" i="521"/>
  <c r="I174" i="521"/>
  <c r="H174" i="521"/>
  <c r="G174" i="521"/>
  <c r="F174" i="521"/>
  <c r="E174" i="521"/>
  <c r="D174" i="521"/>
  <c r="C174" i="521"/>
  <c r="M174" i="520"/>
  <c r="L174" i="520"/>
  <c r="K174" i="520"/>
  <c r="J174" i="520"/>
  <c r="I174" i="520"/>
  <c r="H174" i="520"/>
  <c r="G174" i="520"/>
  <c r="F174" i="520"/>
  <c r="E174" i="520"/>
  <c r="D174" i="520"/>
  <c r="C174" i="520"/>
  <c r="A174" i="519"/>
  <c r="A174" i="520" s="1"/>
  <c r="A174" i="521" l="1"/>
  <c r="AA1" i="525" l="1"/>
  <c r="N59" i="525"/>
  <c r="N58" i="525"/>
  <c r="N57" i="525"/>
  <c r="N56" i="525"/>
  <c r="N55" i="525"/>
  <c r="A57" i="525"/>
  <c r="A56" i="525"/>
  <c r="A55" i="525"/>
  <c r="A59" i="525"/>
  <c r="A58" i="525"/>
  <c r="N43" i="525"/>
  <c r="N39" i="525"/>
  <c r="I36" i="525"/>
  <c r="H36" i="525"/>
  <c r="G36" i="525"/>
  <c r="F36" i="525"/>
  <c r="E36" i="525"/>
  <c r="D36" i="525"/>
  <c r="A36" i="525"/>
  <c r="N23" i="525"/>
  <c r="N28" i="525" s="1"/>
  <c r="A23" i="525"/>
  <c r="A28" i="525" s="1"/>
  <c r="A22" i="525"/>
  <c r="A27" i="525" s="1"/>
  <c r="A21" i="525"/>
  <c r="A26" i="525" s="1"/>
  <c r="N9" i="525"/>
  <c r="N13" i="525" s="1"/>
  <c r="N8" i="525"/>
  <c r="N12" i="525" s="1"/>
  <c r="A9" i="525"/>
  <c r="A13" i="525" s="1"/>
  <c r="A8" i="525"/>
  <c r="A12" i="525" s="1"/>
  <c r="H37" i="525" l="1"/>
  <c r="L36" i="525"/>
  <c r="I37" i="525"/>
  <c r="N22" i="525"/>
  <c r="N27" i="525" s="1"/>
  <c r="BO470" i="1"/>
  <c r="B470" i="1"/>
  <c r="BO457" i="1"/>
  <c r="BO840" i="1"/>
  <c r="BO848" i="1"/>
  <c r="B848" i="1"/>
  <c r="B847" i="1"/>
  <c r="B897" i="1"/>
  <c r="B894" i="1"/>
  <c r="BG869" i="1" l="1"/>
  <c r="BF869" i="1"/>
  <c r="BE869" i="1"/>
  <c r="BD869" i="1"/>
  <c r="BC869" i="1"/>
  <c r="BB869" i="1"/>
  <c r="BA869" i="1"/>
  <c r="AZ869" i="1"/>
  <c r="AY869" i="1"/>
  <c r="AX869" i="1"/>
  <c r="AW869" i="1"/>
  <c r="AV869" i="1"/>
  <c r="AU869" i="1"/>
  <c r="AT869" i="1"/>
  <c r="AS869" i="1"/>
  <c r="AN861" i="1"/>
  <c r="AN872" i="1" s="1"/>
  <c r="AH873" i="1"/>
  <c r="AI873" i="1"/>
  <c r="AJ873" i="1"/>
  <c r="AK873" i="1"/>
  <c r="AL873" i="1"/>
  <c r="AM873" i="1"/>
  <c r="AM872" i="1"/>
  <c r="AL872" i="1"/>
  <c r="AN643" i="1" l="1"/>
  <c r="K645" i="1"/>
  <c r="J645" i="1"/>
  <c r="I645" i="1"/>
  <c r="H645" i="1"/>
  <c r="O645" i="1" l="1"/>
  <c r="S645" i="1" s="1"/>
  <c r="W645" i="1" s="1"/>
  <c r="AA645" i="1" s="1"/>
  <c r="AE645" i="1" s="1"/>
  <c r="N645" i="1"/>
  <c r="R645" i="1" s="1"/>
  <c r="V645" i="1" s="1"/>
  <c r="Z645" i="1" s="1"/>
  <c r="AD645" i="1" s="1"/>
  <c r="M645" i="1"/>
  <c r="Q645" i="1" s="1"/>
  <c r="U645" i="1" s="1"/>
  <c r="Y645" i="1" s="1"/>
  <c r="AC645" i="1" s="1"/>
  <c r="AG645" i="1" s="1"/>
  <c r="C23" i="525" s="1"/>
  <c r="L645" i="1"/>
  <c r="P645" i="1" s="1"/>
  <c r="T645" i="1" s="1"/>
  <c r="X645" i="1" s="1"/>
  <c r="AB645" i="1" s="1"/>
  <c r="AF645" i="1" s="1"/>
  <c r="B23" i="525" s="1"/>
  <c r="AG672" i="1" l="1"/>
  <c r="AF672" i="1"/>
  <c r="B686" i="1"/>
  <c r="B694" i="1" s="1"/>
  <c r="B685" i="1"/>
  <c r="B693" i="1" s="1"/>
  <c r="B684" i="1"/>
  <c r="B692" i="1" s="1"/>
  <c r="B683" i="1"/>
  <c r="B691" i="1" s="1"/>
  <c r="B682" i="1"/>
  <c r="B690" i="1" s="1"/>
  <c r="B681" i="1"/>
  <c r="B689" i="1" s="1"/>
  <c r="AG647" i="1"/>
  <c r="AF647" i="1"/>
  <c r="BO627" i="1"/>
  <c r="BO636" i="1"/>
  <c r="B404" i="1"/>
  <c r="B412" i="1" s="1"/>
  <c r="B403" i="1"/>
  <c r="B411" i="1" s="1"/>
  <c r="B402" i="1"/>
  <c r="B410" i="1" s="1"/>
  <c r="B401" i="1"/>
  <c r="B409" i="1" s="1"/>
  <c r="B400" i="1"/>
  <c r="B408" i="1" s="1"/>
  <c r="B399" i="1"/>
  <c r="B407" i="1" s="1"/>
  <c r="H603" i="1"/>
  <c r="I603" i="1"/>
  <c r="J603" i="1"/>
  <c r="K603" i="1"/>
  <c r="L603" i="1"/>
  <c r="M603" i="1"/>
  <c r="N603" i="1"/>
  <c r="O603" i="1"/>
  <c r="P603" i="1"/>
  <c r="Q603" i="1"/>
  <c r="R603" i="1"/>
  <c r="T603" i="1"/>
  <c r="U603" i="1"/>
  <c r="V603" i="1"/>
  <c r="W603" i="1"/>
  <c r="X603" i="1"/>
  <c r="Y603" i="1"/>
  <c r="Z603" i="1"/>
  <c r="AA603" i="1"/>
  <c r="AB603" i="1"/>
  <c r="AC603" i="1"/>
  <c r="AD603" i="1"/>
  <c r="AE603" i="1"/>
  <c r="AF603" i="1"/>
  <c r="AG603" i="1"/>
  <c r="AH603" i="1"/>
  <c r="AI603" i="1"/>
  <c r="AJ603" i="1"/>
  <c r="AK603" i="1"/>
  <c r="AL603" i="1"/>
  <c r="AM603" i="1"/>
  <c r="BB603" i="1"/>
  <c r="BC603" i="1"/>
  <c r="BD603" i="1"/>
  <c r="BE603" i="1"/>
  <c r="BG603" i="1"/>
  <c r="BJ603" i="1"/>
  <c r="H607" i="1"/>
  <c r="I607" i="1"/>
  <c r="J607" i="1"/>
  <c r="K607" i="1"/>
  <c r="L607" i="1"/>
  <c r="M607" i="1"/>
  <c r="N607" i="1"/>
  <c r="O607" i="1"/>
  <c r="P607" i="1"/>
  <c r="Q607" i="1"/>
  <c r="R607" i="1"/>
  <c r="S607" i="1"/>
  <c r="T607" i="1"/>
  <c r="U607" i="1"/>
  <c r="V607" i="1"/>
  <c r="W607" i="1"/>
  <c r="X607" i="1"/>
  <c r="Y607" i="1"/>
  <c r="Z607" i="1"/>
  <c r="AA607" i="1"/>
  <c r="AB607" i="1"/>
  <c r="AF607" i="1" s="1"/>
  <c r="AC607" i="1"/>
  <c r="AG607" i="1" s="1"/>
  <c r="AD607" i="1"/>
  <c r="AH607" i="1" s="1"/>
  <c r="AE607" i="1"/>
  <c r="AI607" i="1" s="1"/>
  <c r="BG607" i="1"/>
  <c r="BH607" i="1"/>
  <c r="BI607" i="1"/>
  <c r="BC604" i="1" l="1"/>
  <c r="BG610" i="1"/>
  <c r="AA610" i="1"/>
  <c r="R610" i="1"/>
  <c r="J610" i="1"/>
  <c r="M610" i="1"/>
  <c r="V610" i="1"/>
  <c r="Z610" i="1"/>
  <c r="N610" i="1"/>
  <c r="AH604" i="1"/>
  <c r="Z604" i="1"/>
  <c r="M604" i="1"/>
  <c r="BI608" i="1"/>
  <c r="BD604" i="1"/>
  <c r="BG604" i="1" s="1"/>
  <c r="X610" i="1"/>
  <c r="P610" i="1"/>
  <c r="H610" i="1"/>
  <c r="AC610" i="1"/>
  <c r="U610" i="1"/>
  <c r="P604" i="1"/>
  <c r="AF604" i="1"/>
  <c r="X604" i="1"/>
  <c r="K610" i="1"/>
  <c r="AD610" i="1"/>
  <c r="T610" i="1"/>
  <c r="BJ609" i="1"/>
  <c r="AA604" i="1"/>
  <c r="R604" i="1"/>
  <c r="BH608" i="1"/>
  <c r="BL607" i="1"/>
  <c r="BM609" i="1" s="1"/>
  <c r="BJ607" i="1"/>
  <c r="BJ610" i="1" s="1"/>
  <c r="U604" i="1"/>
  <c r="AK604" i="1"/>
  <c r="Y604" i="1"/>
  <c r="AM604" i="1"/>
  <c r="AI604" i="1"/>
  <c r="AB610" i="1"/>
  <c r="AM607" i="1"/>
  <c r="AM610" i="1" s="1"/>
  <c r="AI610" i="1"/>
  <c r="BI609" i="1"/>
  <c r="BE604" i="1"/>
  <c r="L610" i="1"/>
  <c r="AJ604" i="1"/>
  <c r="AB604" i="1"/>
  <c r="T604" i="1"/>
  <c r="L604" i="1"/>
  <c r="AE610" i="1"/>
  <c r="W610" i="1"/>
  <c r="O610" i="1"/>
  <c r="BM607" i="1"/>
  <c r="BK607" i="1"/>
  <c r="AL604" i="1"/>
  <c r="AD604" i="1"/>
  <c r="V604" i="1"/>
  <c r="N604" i="1"/>
  <c r="AL607" i="1"/>
  <c r="AL610" i="1" s="1"/>
  <c r="AH610" i="1"/>
  <c r="BN607" i="1"/>
  <c r="BO609" i="1" s="1"/>
  <c r="AJ607" i="1"/>
  <c r="AF610" i="1"/>
  <c r="AG610" i="1"/>
  <c r="AK607" i="1"/>
  <c r="AK610" i="1" s="1"/>
  <c r="BO603" i="1"/>
  <c r="BN603" i="1"/>
  <c r="Q604" i="1"/>
  <c r="AE604" i="1"/>
  <c r="O604" i="1"/>
  <c r="Y610" i="1"/>
  <c r="Q610" i="1"/>
  <c r="I610" i="1"/>
  <c r="AG604" i="1"/>
  <c r="AC604" i="1"/>
  <c r="K12" i="523"/>
  <c r="K7" i="523"/>
  <c r="BF1271" i="1"/>
  <c r="U199" i="520"/>
  <c r="T199" i="520"/>
  <c r="S199" i="520"/>
  <c r="R199" i="520"/>
  <c r="Q199" i="520"/>
  <c r="P199" i="520"/>
  <c r="O199" i="520"/>
  <c r="N199" i="520"/>
  <c r="M199" i="520"/>
  <c r="L199" i="520"/>
  <c r="K199" i="520"/>
  <c r="J199" i="520"/>
  <c r="I199" i="520"/>
  <c r="H199" i="520"/>
  <c r="G199" i="520"/>
  <c r="F199" i="520"/>
  <c r="E199" i="520"/>
  <c r="D199" i="520"/>
  <c r="C199" i="520"/>
  <c r="P191" i="520"/>
  <c r="O191" i="520"/>
  <c r="N191" i="520"/>
  <c r="M191" i="520"/>
  <c r="L191" i="520"/>
  <c r="K191" i="520"/>
  <c r="J191" i="520"/>
  <c r="I191" i="520"/>
  <c r="H191" i="520"/>
  <c r="G191" i="520"/>
  <c r="F191" i="520"/>
  <c r="E191" i="520"/>
  <c r="D191" i="520"/>
  <c r="U187" i="520"/>
  <c r="V184" i="520" s="1"/>
  <c r="T187" i="520"/>
  <c r="S187" i="520"/>
  <c r="R187" i="520"/>
  <c r="Q187" i="520"/>
  <c r="P187" i="520"/>
  <c r="O187" i="520"/>
  <c r="N187" i="520"/>
  <c r="O184" i="520" s="1"/>
  <c r="M187" i="520"/>
  <c r="N184" i="520" s="1"/>
  <c r="L187" i="520"/>
  <c r="M184" i="520" s="1"/>
  <c r="K187" i="520"/>
  <c r="L184" i="520" s="1"/>
  <c r="J187" i="520"/>
  <c r="K184" i="520" s="1"/>
  <c r="I187" i="520"/>
  <c r="J184" i="520" s="1"/>
  <c r="H187" i="520"/>
  <c r="I184" i="520" s="1"/>
  <c r="G187" i="520"/>
  <c r="H184" i="520" s="1"/>
  <c r="F187" i="520"/>
  <c r="G184" i="520" s="1"/>
  <c r="E187" i="520"/>
  <c r="F184" i="520" s="1"/>
  <c r="D187" i="520"/>
  <c r="E184" i="520" s="1"/>
  <c r="U185" i="520"/>
  <c r="T185" i="520"/>
  <c r="S185" i="520"/>
  <c r="S204" i="520" s="1"/>
  <c r="R185" i="520"/>
  <c r="R204" i="520" s="1"/>
  <c r="Q185" i="520"/>
  <c r="Q192" i="520" s="1"/>
  <c r="P185" i="520"/>
  <c r="P204" i="520" s="1"/>
  <c r="O185" i="520"/>
  <c r="O204" i="520" s="1"/>
  <c r="N185" i="520"/>
  <c r="N204" i="520" s="1"/>
  <c r="M185" i="520"/>
  <c r="M204" i="520" s="1"/>
  <c r="C185" i="520"/>
  <c r="C192" i="520" s="1"/>
  <c r="D184" i="520"/>
  <c r="U170" i="520"/>
  <c r="U198" i="520" s="1"/>
  <c r="T170" i="520"/>
  <c r="T198" i="520" s="1"/>
  <c r="S170" i="520"/>
  <c r="S179" i="520" s="1"/>
  <c r="R170" i="520"/>
  <c r="R198" i="520" s="1"/>
  <c r="Q170" i="520"/>
  <c r="Q198" i="520" s="1"/>
  <c r="P170" i="520"/>
  <c r="O170" i="520"/>
  <c r="O198" i="520" s="1"/>
  <c r="N170" i="520"/>
  <c r="N198" i="520" s="1"/>
  <c r="M170" i="520"/>
  <c r="M198" i="520" s="1"/>
  <c r="L170" i="520"/>
  <c r="M176" i="520" s="1"/>
  <c r="K170" i="520"/>
  <c r="L176" i="520" s="1"/>
  <c r="J170" i="520"/>
  <c r="I170" i="520"/>
  <c r="H170" i="520"/>
  <c r="I176" i="520" s="1"/>
  <c r="G170" i="520"/>
  <c r="H176" i="520" s="1"/>
  <c r="F170" i="520"/>
  <c r="F198" i="520" s="1"/>
  <c r="E170" i="520"/>
  <c r="D170" i="520"/>
  <c r="C170" i="520"/>
  <c r="C198" i="520" s="1"/>
  <c r="A97" i="520"/>
  <c r="A130" i="520" s="1"/>
  <c r="U57" i="520"/>
  <c r="T57" i="520"/>
  <c r="S57" i="520"/>
  <c r="R57" i="520"/>
  <c r="Q57" i="520"/>
  <c r="P57" i="520"/>
  <c r="O57" i="520"/>
  <c r="N57" i="520"/>
  <c r="M57" i="520"/>
  <c r="C52" i="520"/>
  <c r="AA51" i="520"/>
  <c r="AB51" i="520" s="1"/>
  <c r="U51" i="520"/>
  <c r="T51" i="520"/>
  <c r="S51" i="520"/>
  <c r="R51" i="520"/>
  <c r="Q51" i="520"/>
  <c r="P51" i="520"/>
  <c r="O51" i="520"/>
  <c r="N51" i="520"/>
  <c r="M51" i="520"/>
  <c r="L51" i="520"/>
  <c r="K51" i="520"/>
  <c r="J51" i="520"/>
  <c r="I51" i="520"/>
  <c r="H51" i="520"/>
  <c r="G51" i="520"/>
  <c r="F51" i="520"/>
  <c r="E51" i="520"/>
  <c r="D51" i="520"/>
  <c r="A14" i="520"/>
  <c r="D4" i="520"/>
  <c r="M4" i="520" s="1"/>
  <c r="N4" i="520" s="1"/>
  <c r="AG1" i="520"/>
  <c r="U199" i="521"/>
  <c r="T199" i="521"/>
  <c r="S199" i="521"/>
  <c r="R199" i="521"/>
  <c r="Q199" i="521"/>
  <c r="P199" i="521"/>
  <c r="O199" i="521"/>
  <c r="N199" i="521"/>
  <c r="M199" i="521"/>
  <c r="L199" i="521"/>
  <c r="K199" i="521"/>
  <c r="J199" i="521"/>
  <c r="I199" i="521"/>
  <c r="H199" i="521"/>
  <c r="G199" i="521"/>
  <c r="F199" i="521"/>
  <c r="E199" i="521"/>
  <c r="D199" i="521"/>
  <c r="C199" i="521"/>
  <c r="P191" i="521"/>
  <c r="O191" i="521"/>
  <c r="N191" i="521"/>
  <c r="M191" i="521"/>
  <c r="L191" i="521"/>
  <c r="L214" i="521" s="1"/>
  <c r="K191" i="521"/>
  <c r="K214" i="521" s="1"/>
  <c r="K57" i="521" s="1"/>
  <c r="J191" i="521"/>
  <c r="J214" i="521" s="1"/>
  <c r="I191" i="521"/>
  <c r="I214" i="521" s="1"/>
  <c r="H191" i="521"/>
  <c r="H214" i="521" s="1"/>
  <c r="H57" i="521" s="1"/>
  <c r="G191" i="521"/>
  <c r="G214" i="521" s="1"/>
  <c r="F191" i="521"/>
  <c r="F214" i="521" s="1"/>
  <c r="E191" i="521"/>
  <c r="E214" i="521" s="1"/>
  <c r="D191" i="521"/>
  <c r="D214" i="521" s="1"/>
  <c r="U187" i="521"/>
  <c r="V184" i="521" s="1"/>
  <c r="T187" i="521"/>
  <c r="S187" i="521"/>
  <c r="T184" i="521" s="1"/>
  <c r="R187" i="521"/>
  <c r="S184" i="521" s="1"/>
  <c r="Q187" i="521"/>
  <c r="R184" i="521" s="1"/>
  <c r="P187" i="521"/>
  <c r="Q184" i="521" s="1"/>
  <c r="O187" i="521"/>
  <c r="P184" i="521" s="1"/>
  <c r="N187" i="521"/>
  <c r="O184" i="521" s="1"/>
  <c r="M187" i="521"/>
  <c r="N184" i="521" s="1"/>
  <c r="L187" i="521"/>
  <c r="M184" i="521" s="1"/>
  <c r="K187" i="521"/>
  <c r="L184" i="521" s="1"/>
  <c r="J187" i="521"/>
  <c r="K184" i="521" s="1"/>
  <c r="I187" i="521"/>
  <c r="J184" i="521" s="1"/>
  <c r="H187" i="521"/>
  <c r="I184" i="521" s="1"/>
  <c r="G187" i="521"/>
  <c r="H184" i="521" s="1"/>
  <c r="F187" i="521"/>
  <c r="G184" i="521" s="1"/>
  <c r="E187" i="521"/>
  <c r="F184" i="521" s="1"/>
  <c r="D187" i="521"/>
  <c r="E184" i="521" s="1"/>
  <c r="U185" i="521"/>
  <c r="T185" i="521"/>
  <c r="S185" i="521"/>
  <c r="S204" i="521" s="1"/>
  <c r="R185" i="521"/>
  <c r="R192" i="521" s="1"/>
  <c r="Q185" i="521"/>
  <c r="Q192" i="521" s="1"/>
  <c r="P185" i="521"/>
  <c r="P192" i="521" s="1"/>
  <c r="O185" i="521"/>
  <c r="O192" i="521" s="1"/>
  <c r="N185" i="521"/>
  <c r="N192" i="521" s="1"/>
  <c r="M185" i="521"/>
  <c r="M192" i="521" s="1"/>
  <c r="C185" i="521"/>
  <c r="C192" i="521" s="1"/>
  <c r="D184" i="521"/>
  <c r="U170" i="521"/>
  <c r="T170" i="521"/>
  <c r="S170" i="521"/>
  <c r="S198" i="521" s="1"/>
  <c r="R170" i="521"/>
  <c r="Q170" i="521"/>
  <c r="P170" i="521"/>
  <c r="Q176" i="521" s="1"/>
  <c r="O170" i="521"/>
  <c r="O179" i="521" s="1"/>
  <c r="N170" i="521"/>
  <c r="N198" i="521" s="1"/>
  <c r="M170" i="521"/>
  <c r="L170" i="521"/>
  <c r="L179" i="521" s="1"/>
  <c r="K170" i="521"/>
  <c r="L176" i="521" s="1"/>
  <c r="J170" i="521"/>
  <c r="K176" i="521" s="1"/>
  <c r="I170" i="521"/>
  <c r="J176" i="521" s="1"/>
  <c r="H170" i="521"/>
  <c r="H179" i="521" s="1"/>
  <c r="G170" i="521"/>
  <c r="F170" i="521"/>
  <c r="F198" i="521" s="1"/>
  <c r="E170" i="521"/>
  <c r="D170" i="521"/>
  <c r="D179" i="521" s="1"/>
  <c r="C170" i="521"/>
  <c r="C198" i="521" s="1"/>
  <c r="A97" i="521"/>
  <c r="A130" i="521" s="1"/>
  <c r="U57" i="521"/>
  <c r="T57" i="521"/>
  <c r="S57" i="521"/>
  <c r="R57" i="521"/>
  <c r="Q57" i="521"/>
  <c r="P57" i="521"/>
  <c r="O57" i="521"/>
  <c r="N57" i="521"/>
  <c r="M57" i="521"/>
  <c r="L53" i="521"/>
  <c r="K53" i="521"/>
  <c r="J53" i="521"/>
  <c r="I53" i="521"/>
  <c r="H53" i="521"/>
  <c r="G53" i="521"/>
  <c r="F53" i="521"/>
  <c r="E53" i="521"/>
  <c r="D53" i="521"/>
  <c r="C52" i="521"/>
  <c r="AA51" i="521"/>
  <c r="AB51" i="521" s="1"/>
  <c r="AC51" i="521" s="1"/>
  <c r="U51" i="521"/>
  <c r="T51" i="521"/>
  <c r="S51" i="521"/>
  <c r="R51" i="521"/>
  <c r="Q51" i="521"/>
  <c r="P51" i="521"/>
  <c r="O51" i="521"/>
  <c r="N51" i="521"/>
  <c r="M51" i="521"/>
  <c r="L51" i="521"/>
  <c r="K51" i="521"/>
  <c r="J51" i="521"/>
  <c r="I51" i="521"/>
  <c r="H51" i="521"/>
  <c r="G51" i="521"/>
  <c r="F51" i="521"/>
  <c r="E51" i="521"/>
  <c r="D51" i="521"/>
  <c r="A14" i="521"/>
  <c r="D4" i="521"/>
  <c r="M4" i="521" s="1"/>
  <c r="N4" i="521" s="1"/>
  <c r="AG1" i="521"/>
  <c r="K16" i="520" l="1"/>
  <c r="R204" i="521"/>
  <c r="R210" i="521" s="1"/>
  <c r="N200" i="521"/>
  <c r="N206" i="521" s="1"/>
  <c r="Q204" i="521"/>
  <c r="Q210" i="521" s="1"/>
  <c r="H16" i="521"/>
  <c r="H68" i="521" s="1"/>
  <c r="I68" i="521" s="1"/>
  <c r="T200" i="520"/>
  <c r="U202" i="520" s="1"/>
  <c r="P198" i="521"/>
  <c r="P200" i="521" s="1"/>
  <c r="S198" i="520"/>
  <c r="S200" i="520" s="1"/>
  <c r="G198" i="521"/>
  <c r="G200" i="521" s="1"/>
  <c r="H198" i="521"/>
  <c r="H200" i="521" s="1"/>
  <c r="H206" i="521" s="1"/>
  <c r="BK608" i="1"/>
  <c r="BL608" i="1"/>
  <c r="BL609" i="1"/>
  <c r="BJ608" i="1"/>
  <c r="BK609" i="1"/>
  <c r="BM608" i="1"/>
  <c r="BN609" i="1"/>
  <c r="BN608" i="1"/>
  <c r="BN610" i="1"/>
  <c r="BO605" i="1"/>
  <c r="BO604" i="1"/>
  <c r="AJ610" i="1"/>
  <c r="BO607" i="1"/>
  <c r="S209" i="521"/>
  <c r="N186" i="521"/>
  <c r="S210" i="521"/>
  <c r="N186" i="520"/>
  <c r="H185" i="521"/>
  <c r="H204" i="521" s="1"/>
  <c r="O176" i="520"/>
  <c r="O188" i="520" s="1"/>
  <c r="M192" i="520"/>
  <c r="M194" i="520" s="1"/>
  <c r="D176" i="521"/>
  <c r="N176" i="520"/>
  <c r="N188" i="520" s="1"/>
  <c r="K179" i="520"/>
  <c r="M186" i="520"/>
  <c r="L179" i="520"/>
  <c r="M179" i="520"/>
  <c r="E16" i="520"/>
  <c r="E65" i="520" s="1"/>
  <c r="E64" i="520" s="1"/>
  <c r="N192" i="520"/>
  <c r="N194" i="520" s="1"/>
  <c r="Q16" i="521"/>
  <c r="Q77" i="521" s="1"/>
  <c r="Q32" i="521" s="1"/>
  <c r="Q110" i="521" s="1"/>
  <c r="P210" i="520"/>
  <c r="N179" i="520"/>
  <c r="I198" i="521"/>
  <c r="I200" i="521" s="1"/>
  <c r="J202" i="521" s="1"/>
  <c r="P176" i="520"/>
  <c r="P188" i="520" s="1"/>
  <c r="F200" i="520"/>
  <c r="G202" i="520" s="1"/>
  <c r="C200" i="521"/>
  <c r="D202" i="521" s="1"/>
  <c r="I16" i="520"/>
  <c r="I69" i="520" s="1"/>
  <c r="M204" i="521"/>
  <c r="F200" i="521"/>
  <c r="F206" i="521" s="1"/>
  <c r="N204" i="521"/>
  <c r="N210" i="521" s="1"/>
  <c r="M188" i="520"/>
  <c r="O204" i="521"/>
  <c r="O210" i="521" s="1"/>
  <c r="M200" i="520"/>
  <c r="M206" i="520" s="1"/>
  <c r="P204" i="521"/>
  <c r="P210" i="521" s="1"/>
  <c r="O198" i="521"/>
  <c r="O200" i="521" s="1"/>
  <c r="T16" i="520"/>
  <c r="T80" i="520" s="1"/>
  <c r="T35" i="520" s="1"/>
  <c r="T113" i="520" s="1"/>
  <c r="T146" i="520" s="1"/>
  <c r="M186" i="521"/>
  <c r="U16" i="520"/>
  <c r="U81" i="520" s="1"/>
  <c r="U147" i="520" s="1"/>
  <c r="H179" i="520"/>
  <c r="L16" i="521"/>
  <c r="L72" i="521" s="1"/>
  <c r="N179" i="521"/>
  <c r="O16" i="521"/>
  <c r="O75" i="521" s="1"/>
  <c r="P75" i="521" s="1"/>
  <c r="Q75" i="521" s="1"/>
  <c r="Q179" i="521"/>
  <c r="P16" i="521"/>
  <c r="P76" i="521" s="1"/>
  <c r="P31" i="521" s="1"/>
  <c r="P109" i="521" s="1"/>
  <c r="J198" i="521"/>
  <c r="J200" i="521" s="1"/>
  <c r="S16" i="520"/>
  <c r="S79" i="520" s="1"/>
  <c r="Q176" i="520"/>
  <c r="Q188" i="520" s="1"/>
  <c r="O179" i="520"/>
  <c r="P179" i="520"/>
  <c r="D16" i="520"/>
  <c r="T179" i="520"/>
  <c r="K198" i="521"/>
  <c r="K200" i="521" s="1"/>
  <c r="L198" i="521"/>
  <c r="L200" i="521" s="1"/>
  <c r="F179" i="520"/>
  <c r="G179" i="520"/>
  <c r="U179" i="520"/>
  <c r="V176" i="520" s="1"/>
  <c r="N209" i="520"/>
  <c r="N200" i="520"/>
  <c r="O202" i="520" s="1"/>
  <c r="O209" i="520"/>
  <c r="O200" i="520"/>
  <c r="P202" i="520" s="1"/>
  <c r="G16" i="521"/>
  <c r="G67" i="521" s="1"/>
  <c r="G22" i="521" s="1"/>
  <c r="G100" i="521" s="1"/>
  <c r="G133" i="521" s="1"/>
  <c r="F16" i="520"/>
  <c r="F66" i="520" s="1"/>
  <c r="P192" i="520"/>
  <c r="P194" i="520" s="1"/>
  <c r="R192" i="520"/>
  <c r="S192" i="520"/>
  <c r="G16" i="520"/>
  <c r="G67" i="520" s="1"/>
  <c r="H67" i="520" s="1"/>
  <c r="G176" i="521"/>
  <c r="H16" i="520"/>
  <c r="H68" i="520" s="1"/>
  <c r="I68" i="520" s="1"/>
  <c r="H198" i="520"/>
  <c r="H200" i="520" s="1"/>
  <c r="H206" i="520" s="1"/>
  <c r="H176" i="521"/>
  <c r="I176" i="521"/>
  <c r="N16" i="520"/>
  <c r="N74" i="520" s="1"/>
  <c r="O176" i="521"/>
  <c r="O188" i="521" s="1"/>
  <c r="R186" i="521"/>
  <c r="S186" i="521"/>
  <c r="Q204" i="520"/>
  <c r="Q209" i="520" s="1"/>
  <c r="F179" i="521"/>
  <c r="F176" i="520"/>
  <c r="G179" i="521"/>
  <c r="S192" i="521"/>
  <c r="G176" i="520"/>
  <c r="N210" i="520"/>
  <c r="O192" i="520"/>
  <c r="O194" i="520" s="1"/>
  <c r="G198" i="520"/>
  <c r="G200" i="520" s="1"/>
  <c r="H202" i="520" s="1"/>
  <c r="K198" i="520"/>
  <c r="K200" i="520" s="1"/>
  <c r="L202" i="520" s="1"/>
  <c r="L16" i="520"/>
  <c r="L72" i="520" s="1"/>
  <c r="L198" i="520"/>
  <c r="L200" i="520" s="1"/>
  <c r="L206" i="520" s="1"/>
  <c r="M16" i="520"/>
  <c r="M73" i="520" s="1"/>
  <c r="M194" i="521"/>
  <c r="M195" i="521" s="1"/>
  <c r="L195" i="521" s="1"/>
  <c r="K195" i="521" s="1"/>
  <c r="J195" i="521" s="1"/>
  <c r="I195" i="521" s="1"/>
  <c r="H195" i="521" s="1"/>
  <c r="G195" i="521" s="1"/>
  <c r="F195" i="521" s="1"/>
  <c r="E195" i="521" s="1"/>
  <c r="D195" i="521" s="1"/>
  <c r="N194" i="521"/>
  <c r="N195" i="521" s="1"/>
  <c r="O16" i="520"/>
  <c r="O75" i="520" s="1"/>
  <c r="Q200" i="520"/>
  <c r="R202" i="520" s="1"/>
  <c r="M176" i="521"/>
  <c r="M188" i="521" s="1"/>
  <c r="O194" i="521"/>
  <c r="O195" i="521" s="1"/>
  <c r="P194" i="521"/>
  <c r="P195" i="521" s="1"/>
  <c r="D176" i="520"/>
  <c r="K179" i="521"/>
  <c r="O210" i="520"/>
  <c r="O186" i="521"/>
  <c r="P198" i="520"/>
  <c r="P176" i="521"/>
  <c r="P188" i="521" s="1"/>
  <c r="K71" i="520"/>
  <c r="S184" i="520"/>
  <c r="S186" i="520" s="1"/>
  <c r="T184" i="520"/>
  <c r="T186" i="520" s="1"/>
  <c r="U184" i="520"/>
  <c r="U186" i="520" s="1"/>
  <c r="V186" i="520" s="1"/>
  <c r="P184" i="520"/>
  <c r="P186" i="520" s="1"/>
  <c r="O186" i="520"/>
  <c r="J16" i="520"/>
  <c r="R184" i="520"/>
  <c r="R186" i="520" s="1"/>
  <c r="R209" i="520"/>
  <c r="R200" i="520"/>
  <c r="U200" i="520"/>
  <c r="Q184" i="520"/>
  <c r="Q186" i="520" s="1"/>
  <c r="J179" i="520"/>
  <c r="J198" i="520"/>
  <c r="J200" i="520" s="1"/>
  <c r="K176" i="520"/>
  <c r="T204" i="520"/>
  <c r="T210" i="520" s="1"/>
  <c r="T192" i="520"/>
  <c r="U204" i="520"/>
  <c r="U210" i="520" s="1"/>
  <c r="U192" i="520"/>
  <c r="Q16" i="520"/>
  <c r="R176" i="520"/>
  <c r="R188" i="520" s="1"/>
  <c r="Q179" i="520"/>
  <c r="R16" i="520"/>
  <c r="S176" i="520"/>
  <c r="S188" i="520" s="1"/>
  <c r="R210" i="520"/>
  <c r="R179" i="520"/>
  <c r="AC51" i="520"/>
  <c r="D64" i="520"/>
  <c r="D198" i="520"/>
  <c r="D200" i="520" s="1"/>
  <c r="E176" i="520"/>
  <c r="E179" i="520"/>
  <c r="E198" i="520"/>
  <c r="E200" i="520" s="1"/>
  <c r="D179" i="520"/>
  <c r="J176" i="520"/>
  <c r="I179" i="520"/>
  <c r="I198" i="520"/>
  <c r="I200" i="520" s="1"/>
  <c r="C200" i="520"/>
  <c r="D202" i="520" s="1"/>
  <c r="T176" i="520"/>
  <c r="T188" i="520" s="1"/>
  <c r="S210" i="520"/>
  <c r="U176" i="520"/>
  <c r="P16" i="520"/>
  <c r="E176" i="521"/>
  <c r="D16" i="521"/>
  <c r="D64" i="521"/>
  <c r="D198" i="521"/>
  <c r="D200" i="521" s="1"/>
  <c r="F176" i="521"/>
  <c r="E179" i="521"/>
  <c r="E16" i="521"/>
  <c r="E198" i="521"/>
  <c r="E200" i="521" s="1"/>
  <c r="AD51" i="521"/>
  <c r="E57" i="521"/>
  <c r="E185" i="521"/>
  <c r="F185" i="521"/>
  <c r="F57" i="521"/>
  <c r="J185" i="521"/>
  <c r="J186" i="521" s="1"/>
  <c r="J57" i="521"/>
  <c r="L57" i="521"/>
  <c r="L185" i="521"/>
  <c r="G185" i="521"/>
  <c r="G186" i="521" s="1"/>
  <c r="G57" i="521"/>
  <c r="D185" i="521"/>
  <c r="D186" i="521" s="1"/>
  <c r="D57" i="521"/>
  <c r="M198" i="521"/>
  <c r="M200" i="521" s="1"/>
  <c r="N176" i="521"/>
  <c r="N16" i="521"/>
  <c r="M16" i="521"/>
  <c r="M179" i="521"/>
  <c r="K185" i="521"/>
  <c r="K188" i="521" s="1"/>
  <c r="I57" i="521"/>
  <c r="I185" i="521"/>
  <c r="T204" i="521"/>
  <c r="T210" i="521" s="1"/>
  <c r="T192" i="521"/>
  <c r="T198" i="521"/>
  <c r="U176" i="521"/>
  <c r="U188" i="521" s="1"/>
  <c r="T179" i="521"/>
  <c r="T16" i="521"/>
  <c r="U184" i="521"/>
  <c r="U186" i="521" s="1"/>
  <c r="V186" i="521" s="1"/>
  <c r="T186" i="521"/>
  <c r="U198" i="521"/>
  <c r="U179" i="521"/>
  <c r="U16" i="521"/>
  <c r="P186" i="521"/>
  <c r="U204" i="521"/>
  <c r="U210" i="521" s="1"/>
  <c r="U192" i="521"/>
  <c r="Q186" i="521"/>
  <c r="S200" i="521"/>
  <c r="R176" i="521"/>
  <c r="R188" i="521" s="1"/>
  <c r="S176" i="521"/>
  <c r="S188" i="521" s="1"/>
  <c r="R179" i="521"/>
  <c r="Q198" i="521"/>
  <c r="R16" i="521"/>
  <c r="T176" i="521"/>
  <c r="T188" i="521" s="1"/>
  <c r="S16" i="521"/>
  <c r="S179" i="521"/>
  <c r="R198" i="521"/>
  <c r="F16" i="521"/>
  <c r="J179" i="521"/>
  <c r="J16" i="521"/>
  <c r="Q188" i="521"/>
  <c r="I179" i="521"/>
  <c r="I16" i="521"/>
  <c r="K16" i="521"/>
  <c r="P179" i="521"/>
  <c r="T206" i="520" l="1"/>
  <c r="I202" i="521"/>
  <c r="O202" i="521"/>
  <c r="H23" i="521"/>
  <c r="H101" i="521" s="1"/>
  <c r="H134" i="521" s="1"/>
  <c r="I23" i="521" s="1"/>
  <c r="S209" i="520"/>
  <c r="H188" i="521"/>
  <c r="BO608" i="1"/>
  <c r="BO610" i="1"/>
  <c r="H186" i="521"/>
  <c r="H192" i="521"/>
  <c r="N202" i="520"/>
  <c r="K206" i="520"/>
  <c r="O209" i="521"/>
  <c r="R77" i="521"/>
  <c r="S77" i="521" s="1"/>
  <c r="Q143" i="521"/>
  <c r="T209" i="520"/>
  <c r="N209" i="521"/>
  <c r="N211" i="521"/>
  <c r="P209" i="521"/>
  <c r="P142" i="521"/>
  <c r="F206" i="520"/>
  <c r="U80" i="520"/>
  <c r="U35" i="520" s="1"/>
  <c r="U113" i="520" s="1"/>
  <c r="U146" i="520" s="1"/>
  <c r="G206" i="520"/>
  <c r="N206" i="520"/>
  <c r="N211" i="520" s="1"/>
  <c r="M202" i="520"/>
  <c r="H23" i="520"/>
  <c r="H101" i="520" s="1"/>
  <c r="H134" i="520" s="1"/>
  <c r="I23" i="520" s="1"/>
  <c r="Q76" i="521"/>
  <c r="R76" i="521" s="1"/>
  <c r="S76" i="521" s="1"/>
  <c r="T76" i="521" s="1"/>
  <c r="U76" i="521" s="1"/>
  <c r="P53" i="521"/>
  <c r="U36" i="520"/>
  <c r="V81" i="520"/>
  <c r="W81" i="520" s="1"/>
  <c r="M72" i="521"/>
  <c r="N72" i="521" s="1"/>
  <c r="O72" i="521" s="1"/>
  <c r="P72" i="521" s="1"/>
  <c r="Q72" i="521" s="1"/>
  <c r="Q206" i="520"/>
  <c r="Q211" i="520" s="1"/>
  <c r="L27" i="521"/>
  <c r="L105" i="521" s="1"/>
  <c r="L138" i="521" s="1"/>
  <c r="I206" i="521"/>
  <c r="G202" i="521"/>
  <c r="O206" i="520"/>
  <c r="O211" i="520" s="1"/>
  <c r="G22" i="520"/>
  <c r="G100" i="520" s="1"/>
  <c r="G133" i="520" s="1"/>
  <c r="H22" i="520" s="1"/>
  <c r="O30" i="521"/>
  <c r="O108" i="521" s="1"/>
  <c r="O141" i="521" s="1"/>
  <c r="P30" i="521" s="1"/>
  <c r="P195" i="520"/>
  <c r="P53" i="520"/>
  <c r="T211" i="520"/>
  <c r="Q210" i="520"/>
  <c r="G66" i="520"/>
  <c r="H66" i="520" s="1"/>
  <c r="I66" i="520" s="1"/>
  <c r="F21" i="520"/>
  <c r="F99" i="520" s="1"/>
  <c r="F132" i="520" s="1"/>
  <c r="M53" i="521"/>
  <c r="I188" i="521"/>
  <c r="I202" i="520"/>
  <c r="P209" i="520"/>
  <c r="P200" i="520"/>
  <c r="N53" i="521"/>
  <c r="H67" i="521"/>
  <c r="H22" i="521" s="1"/>
  <c r="H100" i="521" s="1"/>
  <c r="O53" i="521"/>
  <c r="I186" i="521"/>
  <c r="J188" i="521"/>
  <c r="E188" i="521"/>
  <c r="J70" i="520"/>
  <c r="M195" i="520"/>
  <c r="L195" i="520" s="1"/>
  <c r="K195" i="520" s="1"/>
  <c r="J195" i="520" s="1"/>
  <c r="I195" i="520" s="1"/>
  <c r="H195" i="520" s="1"/>
  <c r="G195" i="520" s="1"/>
  <c r="F195" i="520" s="1"/>
  <c r="E195" i="520" s="1"/>
  <c r="D195" i="520" s="1"/>
  <c r="M53" i="520"/>
  <c r="D206" i="520"/>
  <c r="E202" i="520"/>
  <c r="D19" i="520"/>
  <c r="J69" i="520"/>
  <c r="I24" i="520"/>
  <c r="T79" i="520"/>
  <c r="S34" i="520"/>
  <c r="M72" i="520"/>
  <c r="L27" i="520"/>
  <c r="U188" i="520"/>
  <c r="E206" i="520"/>
  <c r="F202" i="520"/>
  <c r="K202" i="520"/>
  <c r="J206" i="520"/>
  <c r="M28" i="520"/>
  <c r="N73" i="520"/>
  <c r="U209" i="520"/>
  <c r="V202" i="520"/>
  <c r="U206" i="520"/>
  <c r="O195" i="520"/>
  <c r="O53" i="520"/>
  <c r="J68" i="520"/>
  <c r="I206" i="520"/>
  <c r="J202" i="520"/>
  <c r="O74" i="520"/>
  <c r="N29" i="520"/>
  <c r="S202" i="520"/>
  <c r="R206" i="520"/>
  <c r="Q77" i="520"/>
  <c r="P75" i="520"/>
  <c r="O30" i="520"/>
  <c r="N195" i="520"/>
  <c r="N53" i="520"/>
  <c r="AD51" i="520"/>
  <c r="P76" i="520"/>
  <c r="I67" i="520"/>
  <c r="E20" i="520"/>
  <c r="F65" i="520"/>
  <c r="K26" i="520"/>
  <c r="L71" i="520"/>
  <c r="R78" i="520"/>
  <c r="T202" i="520"/>
  <c r="S206" i="520"/>
  <c r="T202" i="521"/>
  <c r="S206" i="521"/>
  <c r="G204" i="521"/>
  <c r="G192" i="521"/>
  <c r="L204" i="521"/>
  <c r="L192" i="521"/>
  <c r="F202" i="521"/>
  <c r="E206" i="521"/>
  <c r="J70" i="521"/>
  <c r="K204" i="521"/>
  <c r="K192" i="521"/>
  <c r="J68" i="521"/>
  <c r="Q202" i="521"/>
  <c r="P206" i="521"/>
  <c r="M202" i="521"/>
  <c r="L206" i="521"/>
  <c r="J204" i="521"/>
  <c r="J192" i="521"/>
  <c r="E202" i="521"/>
  <c r="D206" i="521"/>
  <c r="F204" i="521"/>
  <c r="F186" i="521"/>
  <c r="F192" i="521"/>
  <c r="T80" i="521"/>
  <c r="E204" i="521"/>
  <c r="E186" i="521"/>
  <c r="E192" i="521"/>
  <c r="D188" i="521"/>
  <c r="V176" i="521"/>
  <c r="K71" i="521"/>
  <c r="I69" i="521"/>
  <c r="E65" i="521"/>
  <c r="L202" i="521"/>
  <c r="K206" i="521"/>
  <c r="K202" i="521"/>
  <c r="J206" i="521"/>
  <c r="S79" i="521"/>
  <c r="T200" i="521"/>
  <c r="T209" i="521"/>
  <c r="I204" i="521"/>
  <c r="I192" i="521"/>
  <c r="Q209" i="521"/>
  <c r="Q200" i="521"/>
  <c r="M73" i="521"/>
  <c r="P202" i="521"/>
  <c r="O206" i="521"/>
  <c r="G206" i="521"/>
  <c r="H202" i="521"/>
  <c r="F66" i="521"/>
  <c r="R209" i="521"/>
  <c r="R200" i="521"/>
  <c r="G188" i="521"/>
  <c r="U81" i="521"/>
  <c r="U200" i="521"/>
  <c r="U209" i="521"/>
  <c r="R75" i="521"/>
  <c r="K186" i="521"/>
  <c r="N74" i="521"/>
  <c r="AE51" i="521"/>
  <c r="N188" i="521"/>
  <c r="N202" i="521"/>
  <c r="M206" i="521"/>
  <c r="D204" i="521"/>
  <c r="D192" i="521"/>
  <c r="L188" i="521"/>
  <c r="L186" i="521"/>
  <c r="F188" i="521"/>
  <c r="D19" i="521"/>
  <c r="R78" i="521"/>
  <c r="R32" i="521" l="1"/>
  <c r="V36" i="520"/>
  <c r="V114" i="520" s="1"/>
  <c r="V147" i="520" s="1"/>
  <c r="W36" i="520" s="1"/>
  <c r="M27" i="521"/>
  <c r="M105" i="521" s="1"/>
  <c r="M138" i="521" s="1"/>
  <c r="N27" i="521" s="1"/>
  <c r="G21" i="520"/>
  <c r="G99" i="520" s="1"/>
  <c r="G132" i="520" s="1"/>
  <c r="H21" i="520" s="1"/>
  <c r="H99" i="520" s="1"/>
  <c r="H132" i="520" s="1"/>
  <c r="I21" i="520" s="1"/>
  <c r="I99" i="520" s="1"/>
  <c r="I132" i="520" s="1"/>
  <c r="V80" i="520"/>
  <c r="V35" i="520" s="1"/>
  <c r="I101" i="520"/>
  <c r="I134" i="520" s="1"/>
  <c r="J23" i="520" s="1"/>
  <c r="J101" i="520" s="1"/>
  <c r="J134" i="520" s="1"/>
  <c r="P108" i="521"/>
  <c r="P141" i="521" s="1"/>
  <c r="Q30" i="521" s="1"/>
  <c r="Q108" i="521" s="1"/>
  <c r="Q141" i="521" s="1"/>
  <c r="R30" i="521" s="1"/>
  <c r="Q31" i="521"/>
  <c r="Q109" i="521" s="1"/>
  <c r="Q142" i="521" s="1"/>
  <c r="R31" i="521" s="1"/>
  <c r="R109" i="521" s="1"/>
  <c r="R142" i="521" s="1"/>
  <c r="S31" i="521" s="1"/>
  <c r="I67" i="521"/>
  <c r="J67" i="521" s="1"/>
  <c r="Q202" i="520"/>
  <c r="P206" i="520"/>
  <c r="P211" i="520" s="1"/>
  <c r="H133" i="521"/>
  <c r="K69" i="520"/>
  <c r="N107" i="520"/>
  <c r="N140" i="520" s="1"/>
  <c r="O29" i="520" s="1"/>
  <c r="O107" i="520" s="1"/>
  <c r="O140" i="520" s="1"/>
  <c r="Q75" i="520"/>
  <c r="G65" i="520"/>
  <c r="F64" i="520"/>
  <c r="AE51" i="520"/>
  <c r="P74" i="520"/>
  <c r="R33" i="520"/>
  <c r="S78" i="520"/>
  <c r="E98" i="520"/>
  <c r="E131" i="520" s="1"/>
  <c r="F20" i="520" s="1"/>
  <c r="F98" i="520" s="1"/>
  <c r="F131" i="520" s="1"/>
  <c r="J67" i="520"/>
  <c r="D97" i="520"/>
  <c r="D130" i="520" s="1"/>
  <c r="E19" i="520" s="1"/>
  <c r="E50" i="520" s="1"/>
  <c r="D50" i="520"/>
  <c r="P31" i="520"/>
  <c r="Q76" i="520"/>
  <c r="S211" i="520"/>
  <c r="K70" i="520"/>
  <c r="J25" i="520"/>
  <c r="O108" i="520"/>
  <c r="O141" i="520" s="1"/>
  <c r="P30" i="520" s="1"/>
  <c r="K68" i="520"/>
  <c r="J66" i="520"/>
  <c r="H100" i="520"/>
  <c r="H133" i="520" s="1"/>
  <c r="I22" i="520" s="1"/>
  <c r="I100" i="520" s="1"/>
  <c r="I133" i="520" s="1"/>
  <c r="U211" i="520"/>
  <c r="O73" i="520"/>
  <c r="K104" i="520"/>
  <c r="K137" i="520" s="1"/>
  <c r="L26" i="520" s="1"/>
  <c r="S112" i="520"/>
  <c r="S145" i="520" s="1"/>
  <c r="T34" i="520" s="1"/>
  <c r="T112" i="520" s="1"/>
  <c r="T145" i="520" s="1"/>
  <c r="U79" i="520"/>
  <c r="R77" i="520"/>
  <c r="Q32" i="520"/>
  <c r="R211" i="520"/>
  <c r="X81" i="520"/>
  <c r="L105" i="520"/>
  <c r="L138" i="520" s="1"/>
  <c r="M27" i="520" s="1"/>
  <c r="N72" i="520"/>
  <c r="M71" i="520"/>
  <c r="M106" i="520"/>
  <c r="M139" i="520" s="1"/>
  <c r="N28" i="520" s="1"/>
  <c r="I102" i="520"/>
  <c r="I135" i="520" s="1"/>
  <c r="J24" i="520" s="1"/>
  <c r="J102" i="520" s="1"/>
  <c r="J135" i="520" s="1"/>
  <c r="U147" i="521"/>
  <c r="V81" i="521"/>
  <c r="U36" i="521"/>
  <c r="R206" i="521"/>
  <c r="S202" i="521"/>
  <c r="G66" i="521"/>
  <c r="F21" i="521"/>
  <c r="R72" i="521"/>
  <c r="O211" i="521"/>
  <c r="O74" i="521"/>
  <c r="N29" i="521"/>
  <c r="S211" i="521"/>
  <c r="P211" i="521"/>
  <c r="K26" i="521"/>
  <c r="L71" i="521"/>
  <c r="V76" i="521"/>
  <c r="R202" i="521"/>
  <c r="Q206" i="521"/>
  <c r="S78" i="521"/>
  <c r="R33" i="521"/>
  <c r="K70" i="521"/>
  <c r="J25" i="521"/>
  <c r="D50" i="521"/>
  <c r="D97" i="521"/>
  <c r="D130" i="521" s="1"/>
  <c r="F65" i="521"/>
  <c r="E20" i="521"/>
  <c r="E64" i="521"/>
  <c r="T77" i="521"/>
  <c r="J69" i="521"/>
  <c r="I24" i="521"/>
  <c r="M28" i="521"/>
  <c r="N73" i="521"/>
  <c r="AF51" i="521"/>
  <c r="K68" i="521"/>
  <c r="U80" i="521"/>
  <c r="T35" i="521"/>
  <c r="R110" i="521"/>
  <c r="R143" i="521" s="1"/>
  <c r="S32" i="521" s="1"/>
  <c r="S75" i="521"/>
  <c r="U202" i="521"/>
  <c r="T206" i="521"/>
  <c r="I101" i="521"/>
  <c r="I134" i="521" s="1"/>
  <c r="J23" i="521" s="1"/>
  <c r="S34" i="521"/>
  <c r="T79" i="521"/>
  <c r="V202" i="521"/>
  <c r="U206" i="521"/>
  <c r="N105" i="521" l="1"/>
  <c r="N138" i="521" s="1"/>
  <c r="O27" i="521" s="1"/>
  <c r="O105" i="521" s="1"/>
  <c r="O138" i="521" s="1"/>
  <c r="P27" i="521" s="1"/>
  <c r="W80" i="520"/>
  <c r="X80" i="520" s="1"/>
  <c r="G20" i="520"/>
  <c r="G98" i="520" s="1"/>
  <c r="G131" i="520" s="1"/>
  <c r="K24" i="520"/>
  <c r="K102" i="520" s="1"/>
  <c r="K135" i="520" s="1"/>
  <c r="I22" i="521"/>
  <c r="I100" i="521" s="1"/>
  <c r="I133" i="521" s="1"/>
  <c r="J22" i="521" s="1"/>
  <c r="J22" i="520"/>
  <c r="J100" i="520" s="1"/>
  <c r="J133" i="520" s="1"/>
  <c r="S109" i="521"/>
  <c r="S142" i="521" s="1"/>
  <c r="T31" i="521" s="1"/>
  <c r="T109" i="521" s="1"/>
  <c r="T142" i="521" s="1"/>
  <c r="U31" i="521" s="1"/>
  <c r="J21" i="520"/>
  <c r="J99" i="520" s="1"/>
  <c r="J132" i="520" s="1"/>
  <c r="P29" i="520"/>
  <c r="P107" i="520" s="1"/>
  <c r="P140" i="520" s="1"/>
  <c r="U34" i="520"/>
  <c r="U112" i="520" s="1"/>
  <c r="U145" i="520" s="1"/>
  <c r="T78" i="520"/>
  <c r="L70" i="520"/>
  <c r="AF51" i="520"/>
  <c r="Y81" i="520"/>
  <c r="K66" i="520"/>
  <c r="R76" i="520"/>
  <c r="R75" i="520"/>
  <c r="D52" i="520"/>
  <c r="D61" i="520"/>
  <c r="R111" i="520"/>
  <c r="R144" i="520" s="1"/>
  <c r="S33" i="520" s="1"/>
  <c r="N71" i="520"/>
  <c r="J103" i="520"/>
  <c r="J136" i="520" s="1"/>
  <c r="K25" i="520" s="1"/>
  <c r="V113" i="520"/>
  <c r="V146" i="520" s="1"/>
  <c r="K67" i="520"/>
  <c r="Q74" i="520"/>
  <c r="O72" i="520"/>
  <c r="K23" i="520"/>
  <c r="V79" i="520"/>
  <c r="L104" i="520"/>
  <c r="L137" i="520" s="1"/>
  <c r="M26" i="520" s="1"/>
  <c r="M104" i="520" s="1"/>
  <c r="M137" i="520" s="1"/>
  <c r="N106" i="520"/>
  <c r="N139" i="520" s="1"/>
  <c r="O28" i="520" s="1"/>
  <c r="O106" i="520" s="1"/>
  <c r="O139" i="520" s="1"/>
  <c r="P108" i="520"/>
  <c r="P141" i="520" s="1"/>
  <c r="Q30" i="520" s="1"/>
  <c r="Q108" i="520" s="1"/>
  <c r="Q141" i="520" s="1"/>
  <c r="P73" i="520"/>
  <c r="E52" i="520"/>
  <c r="E61" i="520"/>
  <c r="Q110" i="520"/>
  <c r="Q143" i="520" s="1"/>
  <c r="R32" i="520" s="1"/>
  <c r="H65" i="520"/>
  <c r="G64" i="520"/>
  <c r="M105" i="520"/>
  <c r="M138" i="520" s="1"/>
  <c r="N27" i="520" s="1"/>
  <c r="N105" i="520" s="1"/>
  <c r="N138" i="520" s="1"/>
  <c r="L69" i="520"/>
  <c r="W114" i="520"/>
  <c r="W147" i="520" s="1"/>
  <c r="X36" i="520" s="1"/>
  <c r="X114" i="520" s="1"/>
  <c r="X147" i="520" s="1"/>
  <c r="E97" i="520"/>
  <c r="E130" i="520" s="1"/>
  <c r="F19" i="520" s="1"/>
  <c r="F97" i="520" s="1"/>
  <c r="F130" i="520" s="1"/>
  <c r="S77" i="520"/>
  <c r="L68" i="520"/>
  <c r="P109" i="520"/>
  <c r="P142" i="520" s="1"/>
  <c r="Q31" i="520" s="1"/>
  <c r="Q109" i="520" s="1"/>
  <c r="Q142" i="520" s="1"/>
  <c r="E98" i="521"/>
  <c r="E131" i="521" s="1"/>
  <c r="F20" i="521" s="1"/>
  <c r="Q211" i="521"/>
  <c r="K69" i="521"/>
  <c r="U77" i="521"/>
  <c r="K104" i="521"/>
  <c r="K137" i="521" s="1"/>
  <c r="L26" i="521" s="1"/>
  <c r="L104" i="521" s="1"/>
  <c r="L137" i="521" s="1"/>
  <c r="L68" i="521"/>
  <c r="K67" i="521"/>
  <c r="AG51" i="521"/>
  <c r="I102" i="521"/>
  <c r="I135" i="521" s="1"/>
  <c r="J24" i="521" s="1"/>
  <c r="M71" i="521"/>
  <c r="V80" i="521"/>
  <c r="S72" i="521"/>
  <c r="R211" i="521"/>
  <c r="S110" i="521"/>
  <c r="S143" i="521" s="1"/>
  <c r="T32" i="521" s="1"/>
  <c r="U211" i="521"/>
  <c r="G65" i="521"/>
  <c r="F64" i="521"/>
  <c r="W76" i="521"/>
  <c r="T113" i="521"/>
  <c r="T146" i="521" s="1"/>
  <c r="U35" i="521" s="1"/>
  <c r="U79" i="521"/>
  <c r="J101" i="521"/>
  <c r="J134" i="521" s="1"/>
  <c r="K23" i="521" s="1"/>
  <c r="H66" i="521"/>
  <c r="T211" i="521"/>
  <c r="T75" i="521"/>
  <c r="W81" i="521"/>
  <c r="N107" i="521"/>
  <c r="N140" i="521" s="1"/>
  <c r="O29" i="521" s="1"/>
  <c r="O107" i="521" s="1"/>
  <c r="O140" i="521" s="1"/>
  <c r="R111" i="521"/>
  <c r="R144" i="521" s="1"/>
  <c r="S33" i="521" s="1"/>
  <c r="S111" i="521" s="1"/>
  <c r="S144" i="521" s="1"/>
  <c r="D61" i="521"/>
  <c r="D52" i="521"/>
  <c r="D54" i="521"/>
  <c r="D58" i="521"/>
  <c r="D59" i="521"/>
  <c r="E19" i="521"/>
  <c r="S112" i="521"/>
  <c r="S145" i="521" s="1"/>
  <c r="T34" i="521" s="1"/>
  <c r="T112" i="521" s="1"/>
  <c r="T145" i="521" s="1"/>
  <c r="F99" i="521"/>
  <c r="F132" i="521" s="1"/>
  <c r="G21" i="521" s="1"/>
  <c r="G99" i="521" s="1"/>
  <c r="G132" i="521" s="1"/>
  <c r="R108" i="521"/>
  <c r="R141" i="521" s="1"/>
  <c r="S30" i="521" s="1"/>
  <c r="S108" i="521" s="1"/>
  <c r="S141" i="521" s="1"/>
  <c r="J103" i="521"/>
  <c r="J136" i="521" s="1"/>
  <c r="K25" i="521" s="1"/>
  <c r="L70" i="521"/>
  <c r="V36" i="521"/>
  <c r="V114" i="521" s="1"/>
  <c r="V147" i="521" s="1"/>
  <c r="O73" i="521"/>
  <c r="P74" i="521"/>
  <c r="M106" i="521"/>
  <c r="M139" i="521" s="1"/>
  <c r="N28" i="521" s="1"/>
  <c r="T78" i="521"/>
  <c r="W35" i="520" l="1"/>
  <c r="P105" i="521"/>
  <c r="P138" i="521" s="1"/>
  <c r="Q27" i="521" s="1"/>
  <c r="Q105" i="521" s="1"/>
  <c r="Q138" i="521" s="1"/>
  <c r="R27" i="521" s="1"/>
  <c r="P29" i="521"/>
  <c r="P107" i="521" s="1"/>
  <c r="P140" i="521" s="1"/>
  <c r="Y36" i="520"/>
  <c r="Y114" i="520" s="1"/>
  <c r="Y147" i="520" s="1"/>
  <c r="G19" i="520"/>
  <c r="G50" i="520" s="1"/>
  <c r="P28" i="520"/>
  <c r="P106" i="520" s="1"/>
  <c r="P139" i="520" s="1"/>
  <c r="H20" i="520"/>
  <c r="H98" i="520" s="1"/>
  <c r="H131" i="520" s="1"/>
  <c r="R31" i="520"/>
  <c r="R109" i="520" s="1"/>
  <c r="R142" i="520" s="1"/>
  <c r="L24" i="520"/>
  <c r="L102" i="520" s="1"/>
  <c r="L135" i="520" s="1"/>
  <c r="T33" i="521"/>
  <c r="T111" i="521" s="1"/>
  <c r="T144" i="521" s="1"/>
  <c r="U109" i="521"/>
  <c r="U142" i="521" s="1"/>
  <c r="V31" i="521" s="1"/>
  <c r="V109" i="521" s="1"/>
  <c r="V142" i="521" s="1"/>
  <c r="W31" i="521" s="1"/>
  <c r="V34" i="520"/>
  <c r="V112" i="520" s="1"/>
  <c r="V145" i="520" s="1"/>
  <c r="U34" i="521"/>
  <c r="U112" i="521" s="1"/>
  <c r="U145" i="521" s="1"/>
  <c r="T30" i="521"/>
  <c r="T108" i="521" s="1"/>
  <c r="T141" i="521" s="1"/>
  <c r="M26" i="521"/>
  <c r="M104" i="521" s="1"/>
  <c r="M137" i="521" s="1"/>
  <c r="Q29" i="520"/>
  <c r="Q107" i="520" s="1"/>
  <c r="Q140" i="520" s="1"/>
  <c r="O27" i="520"/>
  <c r="O105" i="520" s="1"/>
  <c r="O138" i="520" s="1"/>
  <c r="H21" i="521"/>
  <c r="H99" i="521" s="1"/>
  <c r="H132" i="521" s="1"/>
  <c r="N26" i="520"/>
  <c r="N104" i="520" s="1"/>
  <c r="N137" i="520" s="1"/>
  <c r="K21" i="520"/>
  <c r="K99" i="520" s="1"/>
  <c r="K132" i="520" s="1"/>
  <c r="L67" i="520"/>
  <c r="F50" i="520"/>
  <c r="R110" i="520"/>
  <c r="R143" i="520" s="1"/>
  <c r="S32" i="520" s="1"/>
  <c r="W113" i="520"/>
  <c r="W146" i="520" s="1"/>
  <c r="X35" i="520" s="1"/>
  <c r="S76" i="520"/>
  <c r="Q73" i="520"/>
  <c r="K101" i="520"/>
  <c r="K134" i="520" s="1"/>
  <c r="L23" i="520" s="1"/>
  <c r="L66" i="520"/>
  <c r="K103" i="520"/>
  <c r="K136" i="520" s="1"/>
  <c r="L25" i="520" s="1"/>
  <c r="I65" i="520"/>
  <c r="H64" i="520"/>
  <c r="S111" i="520"/>
  <c r="S144" i="520" s="1"/>
  <c r="T33" i="520" s="1"/>
  <c r="T111" i="520" s="1"/>
  <c r="T144" i="520" s="1"/>
  <c r="AG51" i="520"/>
  <c r="M69" i="520"/>
  <c r="Y80" i="520"/>
  <c r="U78" i="520"/>
  <c r="S75" i="520"/>
  <c r="R30" i="520"/>
  <c r="O71" i="520"/>
  <c r="P72" i="520"/>
  <c r="Z81" i="520"/>
  <c r="T77" i="520"/>
  <c r="M70" i="520"/>
  <c r="K22" i="520"/>
  <c r="W79" i="520"/>
  <c r="M68" i="520"/>
  <c r="R74" i="520"/>
  <c r="E50" i="521"/>
  <c r="E97" i="521"/>
  <c r="E130" i="521" s="1"/>
  <c r="F19" i="521" s="1"/>
  <c r="F50" i="521" s="1"/>
  <c r="T110" i="521"/>
  <c r="T143" i="521" s="1"/>
  <c r="U32" i="521" s="1"/>
  <c r="U110" i="521" s="1"/>
  <c r="U143" i="521" s="1"/>
  <c r="J102" i="521"/>
  <c r="J135" i="521" s="1"/>
  <c r="K24" i="521" s="1"/>
  <c r="K102" i="521" s="1"/>
  <c r="K135" i="521" s="1"/>
  <c r="M70" i="521"/>
  <c r="U78" i="521"/>
  <c r="H65" i="521"/>
  <c r="G64" i="521"/>
  <c r="J100" i="521"/>
  <c r="J133" i="521" s="1"/>
  <c r="K22" i="521" s="1"/>
  <c r="K100" i="521" s="1"/>
  <c r="K133" i="521" s="1"/>
  <c r="T72" i="521"/>
  <c r="U113" i="521"/>
  <c r="U146" i="521" s="1"/>
  <c r="V35" i="521" s="1"/>
  <c r="V113" i="521" s="1"/>
  <c r="V146" i="521" s="1"/>
  <c r="W80" i="521"/>
  <c r="I66" i="521"/>
  <c r="U75" i="521"/>
  <c r="N71" i="521"/>
  <c r="K103" i="521"/>
  <c r="K136" i="521" s="1"/>
  <c r="L25" i="521" s="1"/>
  <c r="L103" i="521" s="1"/>
  <c r="L136" i="521" s="1"/>
  <c r="M68" i="521"/>
  <c r="L69" i="521"/>
  <c r="W36" i="521"/>
  <c r="L67" i="521"/>
  <c r="X81" i="521"/>
  <c r="V79" i="521"/>
  <c r="Q74" i="521"/>
  <c r="P73" i="521"/>
  <c r="N106" i="521"/>
  <c r="N139" i="521" s="1"/>
  <c r="O28" i="521" s="1"/>
  <c r="O106" i="521" s="1"/>
  <c r="O139" i="521" s="1"/>
  <c r="K101" i="521"/>
  <c r="K134" i="521" s="1"/>
  <c r="L23" i="521" s="1"/>
  <c r="L101" i="521" s="1"/>
  <c r="L134" i="521" s="1"/>
  <c r="F98" i="521"/>
  <c r="F131" i="521" s="1"/>
  <c r="G20" i="521" s="1"/>
  <c r="V77" i="521"/>
  <c r="X76" i="521"/>
  <c r="G97" i="520" l="1"/>
  <c r="G130" i="520" s="1"/>
  <c r="Q28" i="520"/>
  <c r="Q106" i="520" s="1"/>
  <c r="Q139" i="520" s="1"/>
  <c r="P28" i="521"/>
  <c r="P106" i="521" s="1"/>
  <c r="P139" i="521" s="1"/>
  <c r="U30" i="521"/>
  <c r="U108" i="521" s="1"/>
  <c r="U141" i="521" s="1"/>
  <c r="V34" i="521"/>
  <c r="V112" i="521" s="1"/>
  <c r="V145" i="521" s="1"/>
  <c r="I21" i="521"/>
  <c r="I99" i="521" s="1"/>
  <c r="I132" i="521" s="1"/>
  <c r="P27" i="520"/>
  <c r="P105" i="520" s="1"/>
  <c r="P138" i="520" s="1"/>
  <c r="U33" i="520"/>
  <c r="U111" i="520" s="1"/>
  <c r="U144" i="520" s="1"/>
  <c r="W109" i="521"/>
  <c r="W142" i="521" s="1"/>
  <c r="X31" i="521" s="1"/>
  <c r="V32" i="521"/>
  <c r="V110" i="521" s="1"/>
  <c r="V143" i="521" s="1"/>
  <c r="R29" i="520"/>
  <c r="R107" i="520" s="1"/>
  <c r="R140" i="520" s="1"/>
  <c r="M25" i="521"/>
  <c r="M103" i="521" s="1"/>
  <c r="M136" i="521" s="1"/>
  <c r="Q29" i="521"/>
  <c r="Q107" i="521" s="1"/>
  <c r="Q140" i="521" s="1"/>
  <c r="L22" i="521"/>
  <c r="L100" i="521" s="1"/>
  <c r="L133" i="521" s="1"/>
  <c r="U33" i="521"/>
  <c r="U111" i="521" s="1"/>
  <c r="U144" i="521" s="1"/>
  <c r="H19" i="520"/>
  <c r="H97" i="520" s="1"/>
  <c r="H130" i="520" s="1"/>
  <c r="I20" i="520"/>
  <c r="I98" i="520" s="1"/>
  <c r="I131" i="520" s="1"/>
  <c r="L21" i="520"/>
  <c r="L99" i="520" s="1"/>
  <c r="L132" i="520" s="1"/>
  <c r="L24" i="521"/>
  <c r="P71" i="520"/>
  <c r="V78" i="520"/>
  <c r="AA81" i="520"/>
  <c r="O26" i="520"/>
  <c r="U77" i="520"/>
  <c r="S31" i="520"/>
  <c r="N69" i="520"/>
  <c r="N70" i="520"/>
  <c r="X79" i="520"/>
  <c r="W34" i="520"/>
  <c r="Z36" i="520"/>
  <c r="J65" i="520"/>
  <c r="I64" i="520"/>
  <c r="S74" i="520"/>
  <c r="L101" i="520"/>
  <c r="L134" i="520" s="1"/>
  <c r="M23" i="520" s="1"/>
  <c r="M101" i="520" s="1"/>
  <c r="M134" i="520" s="1"/>
  <c r="L103" i="520"/>
  <c r="L136" i="520" s="1"/>
  <c r="M25" i="520" s="1"/>
  <c r="M103" i="520" s="1"/>
  <c r="M136" i="520" s="1"/>
  <c r="N68" i="520"/>
  <c r="G52" i="520"/>
  <c r="G61" i="520"/>
  <c r="X113" i="520"/>
  <c r="X146" i="520" s="1"/>
  <c r="Y35" i="520" s="1"/>
  <c r="Y113" i="520" s="1"/>
  <c r="Y146" i="520" s="1"/>
  <c r="S110" i="520"/>
  <c r="S143" i="520" s="1"/>
  <c r="T32" i="520" s="1"/>
  <c r="T75" i="520"/>
  <c r="Z80" i="520"/>
  <c r="F61" i="520"/>
  <c r="F52" i="520"/>
  <c r="R108" i="520"/>
  <c r="R141" i="520" s="1"/>
  <c r="S30" i="520" s="1"/>
  <c r="S108" i="520" s="1"/>
  <c r="S141" i="520" s="1"/>
  <c r="T76" i="520"/>
  <c r="K100" i="520"/>
  <c r="K133" i="520" s="1"/>
  <c r="L22" i="520" s="1"/>
  <c r="L100" i="520" s="1"/>
  <c r="L133" i="520" s="1"/>
  <c r="M24" i="520"/>
  <c r="M67" i="520"/>
  <c r="Q72" i="520"/>
  <c r="M66" i="520"/>
  <c r="R73" i="520"/>
  <c r="W114" i="521"/>
  <c r="W147" i="521" s="1"/>
  <c r="X36" i="521" s="1"/>
  <c r="M67" i="521"/>
  <c r="R74" i="521"/>
  <c r="O71" i="521"/>
  <c r="J66" i="521"/>
  <c r="M69" i="521"/>
  <c r="V75" i="521"/>
  <c r="U72" i="521"/>
  <c r="W79" i="521"/>
  <c r="Y81" i="521"/>
  <c r="G98" i="521"/>
  <c r="G131" i="521" s="1"/>
  <c r="H20" i="521" s="1"/>
  <c r="F97" i="521"/>
  <c r="F130" i="521" s="1"/>
  <c r="G19" i="521" s="1"/>
  <c r="G97" i="521" s="1"/>
  <c r="G130" i="521" s="1"/>
  <c r="Y76" i="521"/>
  <c r="M23" i="521"/>
  <c r="X80" i="521"/>
  <c r="N26" i="521"/>
  <c r="F61" i="521"/>
  <c r="F54" i="521"/>
  <c r="F52" i="521"/>
  <c r="F59" i="521"/>
  <c r="F58" i="521"/>
  <c r="N70" i="521"/>
  <c r="Q73" i="521"/>
  <c r="W35" i="521"/>
  <c r="E61" i="521"/>
  <c r="E54" i="521"/>
  <c r="E52" i="521"/>
  <c r="E59" i="521"/>
  <c r="E58" i="521"/>
  <c r="I65" i="521"/>
  <c r="H64" i="521"/>
  <c r="N68" i="521"/>
  <c r="W77" i="521"/>
  <c r="R105" i="521"/>
  <c r="R138" i="521" s="1"/>
  <c r="S27" i="521" s="1"/>
  <c r="V78" i="521"/>
  <c r="W34" i="521" l="1"/>
  <c r="Q28" i="521"/>
  <c r="V30" i="521"/>
  <c r="V108" i="521" s="1"/>
  <c r="V141" i="521" s="1"/>
  <c r="H50" i="520"/>
  <c r="S29" i="520"/>
  <c r="S107" i="520" s="1"/>
  <c r="S140" i="520" s="1"/>
  <c r="Z35" i="520"/>
  <c r="Z113" i="520" s="1"/>
  <c r="Z146" i="520" s="1"/>
  <c r="M22" i="521"/>
  <c r="M100" i="521" s="1"/>
  <c r="M133" i="521" s="1"/>
  <c r="H19" i="521"/>
  <c r="H50" i="521" s="1"/>
  <c r="R28" i="520"/>
  <c r="R106" i="520" s="1"/>
  <c r="R139" i="520" s="1"/>
  <c r="Q27" i="520"/>
  <c r="Q105" i="520" s="1"/>
  <c r="Q138" i="520" s="1"/>
  <c r="R29" i="521"/>
  <c r="R107" i="521" s="1"/>
  <c r="R140" i="521" s="1"/>
  <c r="J21" i="521"/>
  <c r="J99" i="521" s="1"/>
  <c r="J132" i="521" s="1"/>
  <c r="T30" i="520"/>
  <c r="T108" i="520" s="1"/>
  <c r="T141" i="520" s="1"/>
  <c r="J20" i="520"/>
  <c r="J98" i="520" s="1"/>
  <c r="J131" i="520" s="1"/>
  <c r="M22" i="520"/>
  <c r="M100" i="520" s="1"/>
  <c r="M133" i="520" s="1"/>
  <c r="V33" i="520"/>
  <c r="V111" i="520" s="1"/>
  <c r="V144" i="520" s="1"/>
  <c r="N25" i="520"/>
  <c r="N103" i="520" s="1"/>
  <c r="N136" i="520" s="1"/>
  <c r="N23" i="520"/>
  <c r="N101" i="520" s="1"/>
  <c r="N134" i="520" s="1"/>
  <c r="V33" i="521"/>
  <c r="V111" i="521" s="1"/>
  <c r="V144" i="521" s="1"/>
  <c r="L102" i="521"/>
  <c r="L135" i="521" s="1"/>
  <c r="M24" i="521" s="1"/>
  <c r="M102" i="521" s="1"/>
  <c r="M135" i="521" s="1"/>
  <c r="N25" i="521"/>
  <c r="N103" i="521" s="1"/>
  <c r="N136" i="521" s="1"/>
  <c r="M21" i="520"/>
  <c r="M99" i="520" s="1"/>
  <c r="M132" i="520" s="1"/>
  <c r="N21" i="520" s="1"/>
  <c r="N99" i="520" s="1"/>
  <c r="I19" i="520"/>
  <c r="I50" i="520" s="1"/>
  <c r="W32" i="521"/>
  <c r="W110" i="521" s="1"/>
  <c r="W143" i="521" s="1"/>
  <c r="V77" i="520"/>
  <c r="Y79" i="520"/>
  <c r="AA80" i="520"/>
  <c r="Z114" i="520"/>
  <c r="Z147" i="520" s="1"/>
  <c r="AA36" i="520" s="1"/>
  <c r="AA114" i="520" s="1"/>
  <c r="AA147" i="520" s="1"/>
  <c r="K65" i="520"/>
  <c r="J64" i="520"/>
  <c r="Q71" i="520"/>
  <c r="N67" i="520"/>
  <c r="S109" i="520"/>
  <c r="S142" i="520" s="1"/>
  <c r="T31" i="520" s="1"/>
  <c r="W78" i="520"/>
  <c r="U75" i="520"/>
  <c r="W112" i="520"/>
  <c r="W145" i="520" s="1"/>
  <c r="X34" i="520" s="1"/>
  <c r="X112" i="520" s="1"/>
  <c r="X145" i="520" s="1"/>
  <c r="T110" i="520"/>
  <c r="T143" i="520" s="1"/>
  <c r="U32" i="520" s="1"/>
  <c r="O70" i="520"/>
  <c r="M102" i="520"/>
  <c r="M135" i="520" s="1"/>
  <c r="N24" i="520" s="1"/>
  <c r="N102" i="520" s="1"/>
  <c r="N135" i="520" s="1"/>
  <c r="O104" i="520"/>
  <c r="O137" i="520" s="1"/>
  <c r="P26" i="520" s="1"/>
  <c r="P104" i="520" s="1"/>
  <c r="P137" i="520" s="1"/>
  <c r="AB81" i="520"/>
  <c r="S73" i="520"/>
  <c r="N66" i="520"/>
  <c r="O68" i="520"/>
  <c r="R72" i="520"/>
  <c r="U76" i="520"/>
  <c r="O69" i="520"/>
  <c r="T74" i="520"/>
  <c r="W112" i="521"/>
  <c r="W145" i="521" s="1"/>
  <c r="R73" i="521"/>
  <c r="Z81" i="521"/>
  <c r="S74" i="521"/>
  <c r="X114" i="521"/>
  <c r="X147" i="521" s="1"/>
  <c r="Y36" i="521" s="1"/>
  <c r="N67" i="521"/>
  <c r="G50" i="521"/>
  <c r="X79" i="521"/>
  <c r="J65" i="521"/>
  <c r="I64" i="521"/>
  <c r="X77" i="521"/>
  <c r="O68" i="521"/>
  <c r="N69" i="521"/>
  <c r="V72" i="521"/>
  <c r="M101" i="521"/>
  <c r="M134" i="521" s="1"/>
  <c r="N23" i="521" s="1"/>
  <c r="K66" i="521"/>
  <c r="X109" i="521"/>
  <c r="X142" i="521" s="1"/>
  <c r="Y31" i="521" s="1"/>
  <c r="Y109" i="521" s="1"/>
  <c r="Y142" i="521" s="1"/>
  <c r="Z31" i="521" s="1"/>
  <c r="Z109" i="521" s="1"/>
  <c r="Z76" i="521"/>
  <c r="W78" i="521"/>
  <c r="W75" i="521"/>
  <c r="Y80" i="521"/>
  <c r="O70" i="521"/>
  <c r="W113" i="521"/>
  <c r="W146" i="521" s="1"/>
  <c r="X35" i="521" s="1"/>
  <c r="N104" i="521"/>
  <c r="N137" i="521" s="1"/>
  <c r="O26" i="521" s="1"/>
  <c r="S105" i="521"/>
  <c r="S138" i="521" s="1"/>
  <c r="T27" i="521" s="1"/>
  <c r="Q106" i="521"/>
  <c r="Q139" i="521" s="1"/>
  <c r="H98" i="521"/>
  <c r="H131" i="521" s="1"/>
  <c r="I20" i="521" s="1"/>
  <c r="P71" i="521"/>
  <c r="R27" i="520" l="1"/>
  <c r="R105" i="520" s="1"/>
  <c r="R138" i="520" s="1"/>
  <c r="H52" i="520"/>
  <c r="H61" i="520"/>
  <c r="H97" i="521"/>
  <c r="H130" i="521" s="1"/>
  <c r="I19" i="521" s="1"/>
  <c r="I97" i="520"/>
  <c r="I130" i="520" s="1"/>
  <c r="J19" i="520" s="1"/>
  <c r="J50" i="520" s="1"/>
  <c r="O25" i="521"/>
  <c r="O103" i="521" s="1"/>
  <c r="O136" i="521" s="1"/>
  <c r="W30" i="521"/>
  <c r="W108" i="521" s="1"/>
  <c r="W141" i="521" s="1"/>
  <c r="AB36" i="520"/>
  <c r="AB114" i="520" s="1"/>
  <c r="AB147" i="520" s="1"/>
  <c r="X32" i="521"/>
  <c r="X110" i="521" s="1"/>
  <c r="X143" i="521" s="1"/>
  <c r="O23" i="520"/>
  <c r="O101" i="520" s="1"/>
  <c r="O134" i="520" s="1"/>
  <c r="P23" i="520" s="1"/>
  <c r="P101" i="520" s="1"/>
  <c r="K21" i="521"/>
  <c r="K99" i="521" s="1"/>
  <c r="K132" i="521" s="1"/>
  <c r="O25" i="520"/>
  <c r="O103" i="520" s="1"/>
  <c r="O136" i="520" s="1"/>
  <c r="AA35" i="520"/>
  <c r="AA113" i="520" s="1"/>
  <c r="AA146" i="520" s="1"/>
  <c r="Y34" i="520"/>
  <c r="Y112" i="520" s="1"/>
  <c r="Y145" i="520" s="1"/>
  <c r="X34" i="521"/>
  <c r="X112" i="521" s="1"/>
  <c r="X145" i="521" s="1"/>
  <c r="S28" i="520"/>
  <c r="S106" i="520" s="1"/>
  <c r="S139" i="520" s="1"/>
  <c r="S29" i="521"/>
  <c r="S107" i="521" s="1"/>
  <c r="S140" i="521" s="1"/>
  <c r="R28" i="521"/>
  <c r="R106" i="521" s="1"/>
  <c r="R139" i="521" s="1"/>
  <c r="N24" i="521"/>
  <c r="N102" i="521" s="1"/>
  <c r="N135" i="521" s="1"/>
  <c r="O24" i="520"/>
  <c r="O102" i="520" s="1"/>
  <c r="O135" i="520" s="1"/>
  <c r="T29" i="520"/>
  <c r="T107" i="520" s="1"/>
  <c r="T140" i="520" s="1"/>
  <c r="Q26" i="520"/>
  <c r="Q104" i="520" s="1"/>
  <c r="Q137" i="520" s="1"/>
  <c r="W33" i="520"/>
  <c r="W111" i="520" s="1"/>
  <c r="W144" i="520" s="1"/>
  <c r="K20" i="520"/>
  <c r="K98" i="520" s="1"/>
  <c r="K131" i="520" s="1"/>
  <c r="U30" i="520"/>
  <c r="U108" i="520" s="1"/>
  <c r="U141" i="520" s="1"/>
  <c r="R71" i="520"/>
  <c r="L65" i="520"/>
  <c r="K64" i="520"/>
  <c r="O67" i="520"/>
  <c r="P69" i="520"/>
  <c r="N22" i="520"/>
  <c r="P70" i="520"/>
  <c r="O66" i="520"/>
  <c r="N132" i="520"/>
  <c r="O21" i="520" s="1"/>
  <c r="O99" i="520" s="1"/>
  <c r="T73" i="520"/>
  <c r="W77" i="520"/>
  <c r="S72" i="520"/>
  <c r="AC81" i="520"/>
  <c r="U110" i="520"/>
  <c r="U143" i="520" s="1"/>
  <c r="V32" i="520" s="1"/>
  <c r="V110" i="520" s="1"/>
  <c r="V143" i="520" s="1"/>
  <c r="U74" i="520"/>
  <c r="P68" i="520"/>
  <c r="I61" i="520"/>
  <c r="I52" i="520"/>
  <c r="AB80" i="520"/>
  <c r="V76" i="520"/>
  <c r="V75" i="520"/>
  <c r="Z79" i="520"/>
  <c r="T109" i="520"/>
  <c r="T142" i="520" s="1"/>
  <c r="U31" i="520" s="1"/>
  <c r="U109" i="520" s="1"/>
  <c r="U142" i="520" s="1"/>
  <c r="X78" i="520"/>
  <c r="Y77" i="521"/>
  <c r="G61" i="521"/>
  <c r="G54" i="521"/>
  <c r="G52" i="521"/>
  <c r="G58" i="521"/>
  <c r="G59" i="521"/>
  <c r="Z80" i="521"/>
  <c r="X78" i="521"/>
  <c r="I98" i="521"/>
  <c r="I131" i="521" s="1"/>
  <c r="J20" i="521" s="1"/>
  <c r="J98" i="521" s="1"/>
  <c r="J131" i="521" s="1"/>
  <c r="W72" i="521"/>
  <c r="Y79" i="521"/>
  <c r="H61" i="521"/>
  <c r="H54" i="521"/>
  <c r="H58" i="521"/>
  <c r="H52" i="521"/>
  <c r="H59" i="521"/>
  <c r="W33" i="521"/>
  <c r="AA76" i="521"/>
  <c r="Z142" i="521"/>
  <c r="AA31" i="521" s="1"/>
  <c r="AA109" i="521" s="1"/>
  <c r="S73" i="521"/>
  <c r="O67" i="521"/>
  <c r="Y114" i="521"/>
  <c r="Y147" i="521" s="1"/>
  <c r="Z36" i="521" s="1"/>
  <c r="O104" i="521"/>
  <c r="O137" i="521" s="1"/>
  <c r="P26" i="521" s="1"/>
  <c r="T74" i="521"/>
  <c r="X113" i="521"/>
  <c r="X146" i="521" s="1"/>
  <c r="Y35" i="521" s="1"/>
  <c r="L66" i="521"/>
  <c r="O69" i="521"/>
  <c r="P68" i="521"/>
  <c r="Q71" i="521"/>
  <c r="N101" i="521"/>
  <c r="N134" i="521" s="1"/>
  <c r="O23" i="521" s="1"/>
  <c r="O101" i="521" s="1"/>
  <c r="O134" i="521" s="1"/>
  <c r="P23" i="521" s="1"/>
  <c r="P101" i="521" s="1"/>
  <c r="N22" i="521"/>
  <c r="N100" i="521" s="1"/>
  <c r="N133" i="521" s="1"/>
  <c r="O22" i="521" s="1"/>
  <c r="O100" i="521" s="1"/>
  <c r="T105" i="521"/>
  <c r="T138" i="521" s="1"/>
  <c r="U27" i="521" s="1"/>
  <c r="U105" i="521" s="1"/>
  <c r="U138" i="521" s="1"/>
  <c r="V27" i="521" s="1"/>
  <c r="V105" i="521" s="1"/>
  <c r="V138" i="521" s="1"/>
  <c r="W27" i="521" s="1"/>
  <c r="W105" i="521" s="1"/>
  <c r="K65" i="521"/>
  <c r="J64" i="521"/>
  <c r="X75" i="521"/>
  <c r="AA81" i="521"/>
  <c r="P70" i="521"/>
  <c r="V30" i="520" l="1"/>
  <c r="V108" i="520" s="1"/>
  <c r="V141" i="520" s="1"/>
  <c r="J61" i="520"/>
  <c r="K20" i="521"/>
  <c r="K98" i="521" s="1"/>
  <c r="K131" i="521" s="1"/>
  <c r="J52" i="520"/>
  <c r="J97" i="520"/>
  <c r="J130" i="520" s="1"/>
  <c r="K19" i="520" s="1"/>
  <c r="K50" i="520" s="1"/>
  <c r="T29" i="521"/>
  <c r="T107" i="521" s="1"/>
  <c r="T140" i="521" s="1"/>
  <c r="L21" i="521"/>
  <c r="L99" i="521" s="1"/>
  <c r="L132" i="521" s="1"/>
  <c r="Y34" i="521"/>
  <c r="Y112" i="521" s="1"/>
  <c r="Y145" i="521" s="1"/>
  <c r="S28" i="521"/>
  <c r="S106" i="521" s="1"/>
  <c r="S139" i="521" s="1"/>
  <c r="V31" i="520"/>
  <c r="V109" i="520" s="1"/>
  <c r="V142" i="520" s="1"/>
  <c r="Z34" i="520"/>
  <c r="Z112" i="520" s="1"/>
  <c r="Z145" i="520" s="1"/>
  <c r="T28" i="520"/>
  <c r="T106" i="520" s="1"/>
  <c r="T139" i="520" s="1"/>
  <c r="P24" i="520"/>
  <c r="P102" i="520" s="1"/>
  <c r="P135" i="520" s="1"/>
  <c r="Q24" i="520" s="1"/>
  <c r="AB35" i="520"/>
  <c r="AB113" i="520" s="1"/>
  <c r="AB146" i="520" s="1"/>
  <c r="X33" i="520"/>
  <c r="X111" i="520" s="1"/>
  <c r="X144" i="520" s="1"/>
  <c r="O24" i="521"/>
  <c r="O102" i="521" s="1"/>
  <c r="O135" i="521" s="1"/>
  <c r="W32" i="520"/>
  <c r="W110" i="520" s="1"/>
  <c r="W143" i="520" s="1"/>
  <c r="Q70" i="520"/>
  <c r="M65" i="520"/>
  <c r="L64" i="520"/>
  <c r="P25" i="520"/>
  <c r="L20" i="520"/>
  <c r="U29" i="520"/>
  <c r="AA79" i="520"/>
  <c r="AC80" i="520"/>
  <c r="W75" i="520"/>
  <c r="P66" i="520"/>
  <c r="O132" i="520"/>
  <c r="P21" i="520" s="1"/>
  <c r="P99" i="520" s="1"/>
  <c r="N100" i="520"/>
  <c r="N133" i="520" s="1"/>
  <c r="O22" i="520" s="1"/>
  <c r="O100" i="520" s="1"/>
  <c r="O133" i="520" s="1"/>
  <c r="P22" i="520" s="1"/>
  <c r="P100" i="520" s="1"/>
  <c r="S27" i="520"/>
  <c r="S105" i="520" s="1"/>
  <c r="S138" i="520" s="1"/>
  <c r="T27" i="520" s="1"/>
  <c r="T105" i="520" s="1"/>
  <c r="Y78" i="520"/>
  <c r="Q69" i="520"/>
  <c r="R26" i="520"/>
  <c r="R104" i="520" s="1"/>
  <c r="R137" i="520" s="1"/>
  <c r="S26" i="520" s="1"/>
  <c r="S104" i="520" s="1"/>
  <c r="X77" i="520"/>
  <c r="P67" i="520"/>
  <c r="U73" i="520"/>
  <c r="V74" i="520"/>
  <c r="W76" i="520"/>
  <c r="Q68" i="520"/>
  <c r="P134" i="520"/>
  <c r="Q23" i="520" s="1"/>
  <c r="Q101" i="520" s="1"/>
  <c r="S71" i="520"/>
  <c r="AD81" i="520"/>
  <c r="AC36" i="520"/>
  <c r="AC114" i="520" s="1"/>
  <c r="AC147" i="520" s="1"/>
  <c r="T72" i="520"/>
  <c r="Z79" i="521"/>
  <c r="W138" i="521"/>
  <c r="X27" i="521" s="1"/>
  <c r="X105" i="521" s="1"/>
  <c r="X72" i="521"/>
  <c r="L65" i="521"/>
  <c r="K64" i="521"/>
  <c r="Z77" i="521"/>
  <c r="P134" i="521"/>
  <c r="Q23" i="521" s="1"/>
  <c r="Q101" i="521" s="1"/>
  <c r="Q68" i="521"/>
  <c r="Y113" i="521"/>
  <c r="Y146" i="521" s="1"/>
  <c r="Z35" i="521" s="1"/>
  <c r="Y32" i="521"/>
  <c r="Y110" i="521" s="1"/>
  <c r="Y143" i="521" s="1"/>
  <c r="I50" i="521"/>
  <c r="I97" i="521"/>
  <c r="I130" i="521" s="1"/>
  <c r="J19" i="521" s="1"/>
  <c r="J50" i="521" s="1"/>
  <c r="P25" i="521"/>
  <c r="M66" i="521"/>
  <c r="R71" i="521"/>
  <c r="W111" i="521"/>
  <c r="W144" i="521" s="1"/>
  <c r="X33" i="521" s="1"/>
  <c r="X111" i="521" s="1"/>
  <c r="X144" i="521" s="1"/>
  <c r="Q70" i="521"/>
  <c r="AA80" i="521"/>
  <c r="X30" i="521"/>
  <c r="X108" i="521" s="1"/>
  <c r="X141" i="521" s="1"/>
  <c r="Y30" i="521" s="1"/>
  <c r="Y108" i="521" s="1"/>
  <c r="T73" i="521"/>
  <c r="Y75" i="521"/>
  <c r="AB76" i="521"/>
  <c r="AA142" i="521"/>
  <c r="AB31" i="521" s="1"/>
  <c r="AB109" i="521" s="1"/>
  <c r="Y78" i="521"/>
  <c r="U74" i="521"/>
  <c r="P69" i="521"/>
  <c r="Z114" i="521"/>
  <c r="Z147" i="521" s="1"/>
  <c r="AA36" i="521" s="1"/>
  <c r="AA114" i="521" s="1"/>
  <c r="AA147" i="521" s="1"/>
  <c r="P67" i="521"/>
  <c r="O133" i="521"/>
  <c r="P22" i="521" s="1"/>
  <c r="P100" i="521" s="1"/>
  <c r="AB81" i="521"/>
  <c r="P104" i="521"/>
  <c r="P137" i="521" s="1"/>
  <c r="Q26" i="521" s="1"/>
  <c r="U28" i="520" l="1"/>
  <c r="U106" i="520" s="1"/>
  <c r="U139" i="520" s="1"/>
  <c r="V28" i="520" s="1"/>
  <c r="T28" i="521"/>
  <c r="T106" i="521" s="1"/>
  <c r="T139" i="521" s="1"/>
  <c r="K97" i="520"/>
  <c r="K130" i="520" s="1"/>
  <c r="L19" i="520" s="1"/>
  <c r="L97" i="520" s="1"/>
  <c r="L130" i="520" s="1"/>
  <c r="M19" i="520" s="1"/>
  <c r="Z32" i="521"/>
  <c r="Z110" i="521" s="1"/>
  <c r="Z143" i="521" s="1"/>
  <c r="X32" i="520"/>
  <c r="X110" i="520" s="1"/>
  <c r="X143" i="520" s="1"/>
  <c r="Z34" i="521"/>
  <c r="Z112" i="521" s="1"/>
  <c r="Z145" i="521" s="1"/>
  <c r="AA34" i="520"/>
  <c r="AA112" i="520" s="1"/>
  <c r="AA145" i="520" s="1"/>
  <c r="U29" i="521"/>
  <c r="U107" i="521" s="1"/>
  <c r="U140" i="521" s="1"/>
  <c r="AD36" i="520"/>
  <c r="AD114" i="520" s="1"/>
  <c r="AD147" i="520" s="1"/>
  <c r="Y33" i="521"/>
  <c r="Y111" i="521" s="1"/>
  <c r="Y144" i="521" s="1"/>
  <c r="L20" i="521"/>
  <c r="L98" i="521" s="1"/>
  <c r="L131" i="521" s="1"/>
  <c r="M20" i="521" s="1"/>
  <c r="M98" i="521" s="1"/>
  <c r="AB36" i="521"/>
  <c r="AB114" i="521" s="1"/>
  <c r="AB147" i="521" s="1"/>
  <c r="M21" i="521"/>
  <c r="M99" i="521" s="1"/>
  <c r="M132" i="521" s="1"/>
  <c r="N21" i="521" s="1"/>
  <c r="N99" i="521" s="1"/>
  <c r="N65" i="520"/>
  <c r="M64" i="520"/>
  <c r="R70" i="520"/>
  <c r="L98" i="520"/>
  <c r="L131" i="520" s="1"/>
  <c r="M20" i="520" s="1"/>
  <c r="M98" i="520" s="1"/>
  <c r="M131" i="520" s="1"/>
  <c r="N20" i="520" s="1"/>
  <c r="N98" i="520" s="1"/>
  <c r="Z78" i="520"/>
  <c r="L50" i="520"/>
  <c r="X76" i="520"/>
  <c r="W31" i="520"/>
  <c r="Y33" i="520"/>
  <c r="V73" i="520"/>
  <c r="Y77" i="520"/>
  <c r="W30" i="520"/>
  <c r="W108" i="520" s="1"/>
  <c r="W141" i="520" s="1"/>
  <c r="P103" i="520"/>
  <c r="P136" i="520" s="1"/>
  <c r="Q25" i="520" s="1"/>
  <c r="Q103" i="520" s="1"/>
  <c r="Q136" i="520" s="1"/>
  <c r="R25" i="520" s="1"/>
  <c r="R103" i="520" s="1"/>
  <c r="X75" i="520"/>
  <c r="W74" i="520"/>
  <c r="Q102" i="520"/>
  <c r="Q135" i="520" s="1"/>
  <c r="R24" i="520" s="1"/>
  <c r="R102" i="520" s="1"/>
  <c r="Q134" i="520"/>
  <c r="R23" i="520" s="1"/>
  <c r="R101" i="520" s="1"/>
  <c r="R68" i="520"/>
  <c r="Q67" i="520"/>
  <c r="P133" i="520"/>
  <c r="Q22" i="520" s="1"/>
  <c r="Q100" i="520" s="1"/>
  <c r="AB79" i="520"/>
  <c r="AD80" i="520"/>
  <c r="U107" i="520"/>
  <c r="U140" i="520" s="1"/>
  <c r="V29" i="520" s="1"/>
  <c r="V107" i="520" s="1"/>
  <c r="V140" i="520" s="1"/>
  <c r="W29" i="520" s="1"/>
  <c r="W107" i="520" s="1"/>
  <c r="Q66" i="520"/>
  <c r="P132" i="520"/>
  <c r="Q21" i="520" s="1"/>
  <c r="Q99" i="520" s="1"/>
  <c r="AC35" i="520"/>
  <c r="AC113" i="520" s="1"/>
  <c r="AC146" i="520" s="1"/>
  <c r="AE81" i="520"/>
  <c r="K61" i="520"/>
  <c r="K52" i="520"/>
  <c r="T138" i="520"/>
  <c r="U27" i="520" s="1"/>
  <c r="U105" i="520" s="1"/>
  <c r="U72" i="520"/>
  <c r="S137" i="520"/>
  <c r="T26" i="520" s="1"/>
  <c r="T104" i="520" s="1"/>
  <c r="T71" i="520"/>
  <c r="R69" i="520"/>
  <c r="Q69" i="521"/>
  <c r="Z78" i="521"/>
  <c r="N66" i="521"/>
  <c r="P103" i="521"/>
  <c r="P136" i="521" s="1"/>
  <c r="Q25" i="521" s="1"/>
  <c r="Q103" i="521" s="1"/>
  <c r="Q136" i="521" s="1"/>
  <c r="R25" i="521" s="1"/>
  <c r="R103" i="521" s="1"/>
  <c r="V74" i="521"/>
  <c r="R68" i="521"/>
  <c r="Q134" i="521"/>
  <c r="R23" i="521" s="1"/>
  <c r="R101" i="521" s="1"/>
  <c r="AB142" i="521"/>
  <c r="AC31" i="521" s="1"/>
  <c r="AC109" i="521" s="1"/>
  <c r="AC76" i="521"/>
  <c r="Z75" i="521"/>
  <c r="Y141" i="521"/>
  <c r="Z30" i="521" s="1"/>
  <c r="Z108" i="521" s="1"/>
  <c r="I61" i="521"/>
  <c r="I54" i="521"/>
  <c r="I52" i="521"/>
  <c r="I59" i="521"/>
  <c r="I58" i="521"/>
  <c r="AC81" i="521"/>
  <c r="Z113" i="521"/>
  <c r="Z146" i="521" s="1"/>
  <c r="AA35" i="521" s="1"/>
  <c r="AA113" i="521" s="1"/>
  <c r="AA146" i="521" s="1"/>
  <c r="AB80" i="521"/>
  <c r="Y72" i="521"/>
  <c r="X138" i="521"/>
  <c r="Y27" i="521" s="1"/>
  <c r="Y105" i="521" s="1"/>
  <c r="AA77" i="521"/>
  <c r="Q104" i="521"/>
  <c r="Q137" i="521" s="1"/>
  <c r="R26" i="521" s="1"/>
  <c r="R104" i="521" s="1"/>
  <c r="R137" i="521" s="1"/>
  <c r="S26" i="521" s="1"/>
  <c r="S104" i="521" s="1"/>
  <c r="S71" i="521"/>
  <c r="Q67" i="521"/>
  <c r="P133" i="521"/>
  <c r="Q22" i="521" s="1"/>
  <c r="Q100" i="521" s="1"/>
  <c r="J52" i="521"/>
  <c r="J61" i="521"/>
  <c r="J54" i="521"/>
  <c r="J58" i="521"/>
  <c r="J59" i="521"/>
  <c r="U73" i="521"/>
  <c r="R70" i="521"/>
  <c r="J97" i="521"/>
  <c r="J130" i="521" s="1"/>
  <c r="K19" i="521" s="1"/>
  <c r="M65" i="521"/>
  <c r="L64" i="521"/>
  <c r="AA79" i="521"/>
  <c r="P24" i="521"/>
  <c r="Z33" i="521" l="1"/>
  <c r="Z111" i="521" s="1"/>
  <c r="Z144" i="521" s="1"/>
  <c r="AC36" i="521"/>
  <c r="AC114" i="521" s="1"/>
  <c r="AC147" i="521" s="1"/>
  <c r="AA32" i="521"/>
  <c r="AA110" i="521" s="1"/>
  <c r="AE36" i="520"/>
  <c r="AE114" i="520" s="1"/>
  <c r="AE147" i="520" s="1"/>
  <c r="AF36" i="520" s="1"/>
  <c r="AF114" i="520" s="1"/>
  <c r="AB35" i="521"/>
  <c r="AB113" i="521" s="1"/>
  <c r="AB146" i="521" s="1"/>
  <c r="X30" i="520"/>
  <c r="X108" i="520" s="1"/>
  <c r="X141" i="520" s="1"/>
  <c r="Y30" i="520" s="1"/>
  <c r="Y108" i="520" s="1"/>
  <c r="AE80" i="520"/>
  <c r="AD35" i="520"/>
  <c r="AD113" i="520" s="1"/>
  <c r="AD146" i="520" s="1"/>
  <c r="AE35" i="520" s="1"/>
  <c r="AE113" i="520" s="1"/>
  <c r="Z77" i="520"/>
  <c r="AC79" i="520"/>
  <c r="Y32" i="520"/>
  <c r="Y110" i="520" s="1"/>
  <c r="Y143" i="520" s="1"/>
  <c r="AB34" i="520"/>
  <c r="AB112" i="520" s="1"/>
  <c r="AB145" i="520" s="1"/>
  <c r="M50" i="520"/>
  <c r="M97" i="520"/>
  <c r="M130" i="520" s="1"/>
  <c r="N19" i="520" s="1"/>
  <c r="V106" i="520"/>
  <c r="V139" i="520" s="1"/>
  <c r="W28" i="520" s="1"/>
  <c r="W106" i="520" s="1"/>
  <c r="W73" i="520"/>
  <c r="W109" i="520"/>
  <c r="W142" i="520" s="1"/>
  <c r="X31" i="520" s="1"/>
  <c r="X109" i="520" s="1"/>
  <c r="X142" i="520" s="1"/>
  <c r="R135" i="520"/>
  <c r="S24" i="520" s="1"/>
  <c r="S102" i="520" s="1"/>
  <c r="S69" i="520"/>
  <c r="Y111" i="520"/>
  <c r="Y144" i="520" s="1"/>
  <c r="Z33" i="520" s="1"/>
  <c r="Z111" i="520" s="1"/>
  <c r="Z144" i="520" s="1"/>
  <c r="T137" i="520"/>
  <c r="U26" i="520" s="1"/>
  <c r="U104" i="520" s="1"/>
  <c r="U71" i="520"/>
  <c r="Y76" i="520"/>
  <c r="U138" i="520"/>
  <c r="V27" i="520" s="1"/>
  <c r="V105" i="520" s="1"/>
  <c r="V72" i="520"/>
  <c r="W140" i="520"/>
  <c r="X29" i="520" s="1"/>
  <c r="X107" i="520" s="1"/>
  <c r="X74" i="520"/>
  <c r="L61" i="520"/>
  <c r="L52" i="520"/>
  <c r="AA78" i="520"/>
  <c r="R67" i="520"/>
  <c r="Q133" i="520"/>
  <c r="R22" i="520" s="1"/>
  <c r="R100" i="520" s="1"/>
  <c r="Y75" i="520"/>
  <c r="AF81" i="520"/>
  <c r="R134" i="520"/>
  <c r="S23" i="520" s="1"/>
  <c r="S101" i="520" s="1"/>
  <c r="S68" i="520"/>
  <c r="S70" i="520"/>
  <c r="R136" i="520"/>
  <c r="S25" i="520" s="1"/>
  <c r="S103" i="520" s="1"/>
  <c r="Q132" i="520"/>
  <c r="R21" i="520" s="1"/>
  <c r="R99" i="520" s="1"/>
  <c r="R66" i="520"/>
  <c r="O65" i="520"/>
  <c r="N131" i="520"/>
  <c r="O20" i="520" s="1"/>
  <c r="O98" i="520" s="1"/>
  <c r="N64" i="520"/>
  <c r="S70" i="521"/>
  <c r="R136" i="521"/>
  <c r="S25" i="521" s="1"/>
  <c r="S103" i="521" s="1"/>
  <c r="U28" i="521"/>
  <c r="U106" i="521" s="1"/>
  <c r="U139" i="521" s="1"/>
  <c r="V28" i="521" s="1"/>
  <c r="V106" i="521" s="1"/>
  <c r="AB77" i="521"/>
  <c r="AA143" i="521"/>
  <c r="AB32" i="521" s="1"/>
  <c r="AB110" i="521" s="1"/>
  <c r="V73" i="521"/>
  <c r="Y138" i="521"/>
  <c r="Z27" i="521" s="1"/>
  <c r="Z105" i="521" s="1"/>
  <c r="Z72" i="521"/>
  <c r="AC80" i="521"/>
  <c r="R67" i="521"/>
  <c r="Q133" i="521"/>
  <c r="R22" i="521" s="1"/>
  <c r="R100" i="521" s="1"/>
  <c r="N132" i="521"/>
  <c r="O21" i="521" s="1"/>
  <c r="O99" i="521" s="1"/>
  <c r="O66" i="521"/>
  <c r="R69" i="521"/>
  <c r="Z141" i="521"/>
  <c r="AA30" i="521" s="1"/>
  <c r="AA108" i="521" s="1"/>
  <c r="AA75" i="521"/>
  <c r="P102" i="521"/>
  <c r="P135" i="521" s="1"/>
  <c r="Q24" i="521" s="1"/>
  <c r="Q102" i="521" s="1"/>
  <c r="Q135" i="521" s="1"/>
  <c r="R24" i="521" s="1"/>
  <c r="R102" i="521" s="1"/>
  <c r="AB79" i="521"/>
  <c r="AC142" i="521"/>
  <c r="AD31" i="521" s="1"/>
  <c r="AD109" i="521" s="1"/>
  <c r="AD76" i="521"/>
  <c r="AA78" i="521"/>
  <c r="AA34" i="521"/>
  <c r="AA112" i="521" s="1"/>
  <c r="AA145" i="521" s="1"/>
  <c r="S137" i="521"/>
  <c r="T26" i="521" s="1"/>
  <c r="T104" i="521" s="1"/>
  <c r="T71" i="521"/>
  <c r="N65" i="521"/>
  <c r="M131" i="521"/>
  <c r="N20" i="521" s="1"/>
  <c r="N98" i="521" s="1"/>
  <c r="M64" i="521"/>
  <c r="S68" i="521"/>
  <c r="R134" i="521"/>
  <c r="S23" i="521" s="1"/>
  <c r="S101" i="521" s="1"/>
  <c r="K50" i="521"/>
  <c r="K97" i="521"/>
  <c r="K130" i="521" s="1"/>
  <c r="L19" i="521" s="1"/>
  <c r="W74" i="521"/>
  <c r="AD81" i="521"/>
  <c r="V29" i="521"/>
  <c r="V107" i="521" s="1"/>
  <c r="V140" i="521" s="1"/>
  <c r="W29" i="521" s="1"/>
  <c r="W107" i="521" s="1"/>
  <c r="AC34" i="520" l="1"/>
  <c r="AC112" i="520" s="1"/>
  <c r="AC145" i="520" s="1"/>
  <c r="AD34" i="520" s="1"/>
  <c r="AD112" i="520" s="1"/>
  <c r="Z32" i="520"/>
  <c r="Z110" i="520" s="1"/>
  <c r="Z143" i="520" s="1"/>
  <c r="AA33" i="521"/>
  <c r="AA111" i="521" s="1"/>
  <c r="AA144" i="521" s="1"/>
  <c r="AC35" i="521"/>
  <c r="AC113" i="521" s="1"/>
  <c r="AC146" i="521" s="1"/>
  <c r="AA33" i="520"/>
  <c r="AA111" i="520" s="1"/>
  <c r="AA144" i="520" s="1"/>
  <c r="AB34" i="521"/>
  <c r="AB112" i="521" s="1"/>
  <c r="AB145" i="521" s="1"/>
  <c r="Y31" i="520"/>
  <c r="Y109" i="520" s="1"/>
  <c r="Y142" i="520" s="1"/>
  <c r="Z31" i="520" s="1"/>
  <c r="Z109" i="520" s="1"/>
  <c r="S66" i="520"/>
  <c r="R132" i="520"/>
  <c r="S21" i="520" s="1"/>
  <c r="S99" i="520" s="1"/>
  <c r="N50" i="520"/>
  <c r="N97" i="520"/>
  <c r="N130" i="520" s="1"/>
  <c r="O19" i="520" s="1"/>
  <c r="S135" i="520"/>
  <c r="T24" i="520" s="1"/>
  <c r="T102" i="520" s="1"/>
  <c r="T69" i="520"/>
  <c r="T70" i="520"/>
  <c r="S136" i="520"/>
  <c r="T25" i="520" s="1"/>
  <c r="T103" i="520" s="1"/>
  <c r="S134" i="520"/>
  <c r="T23" i="520" s="1"/>
  <c r="T101" i="520" s="1"/>
  <c r="T68" i="520"/>
  <c r="AG81" i="520"/>
  <c r="AF147" i="520"/>
  <c r="AG36" i="520" s="1"/>
  <c r="AG114" i="520" s="1"/>
  <c r="Z75" i="520"/>
  <c r="Y141" i="520"/>
  <c r="Z30" i="520" s="1"/>
  <c r="Z108" i="520" s="1"/>
  <c r="W139" i="520"/>
  <c r="X28" i="520" s="1"/>
  <c r="X106" i="520" s="1"/>
  <c r="X73" i="520"/>
  <c r="S67" i="520"/>
  <c r="R133" i="520"/>
  <c r="S22" i="520" s="1"/>
  <c r="S100" i="520" s="1"/>
  <c r="AB78" i="520"/>
  <c r="M61" i="520"/>
  <c r="M58" i="520"/>
  <c r="M59" i="520"/>
  <c r="M52" i="520"/>
  <c r="M54" i="520"/>
  <c r="P65" i="520"/>
  <c r="O131" i="520"/>
  <c r="P20" i="520" s="1"/>
  <c r="P98" i="520" s="1"/>
  <c r="O64" i="520"/>
  <c r="X140" i="520"/>
  <c r="Y29" i="520" s="1"/>
  <c r="Y107" i="520" s="1"/>
  <c r="Y74" i="520"/>
  <c r="AD79" i="520"/>
  <c r="V138" i="520"/>
  <c r="W27" i="520" s="1"/>
  <c r="W105" i="520" s="1"/>
  <c r="W72" i="520"/>
  <c r="AA77" i="520"/>
  <c r="Z76" i="520"/>
  <c r="AE146" i="520"/>
  <c r="AF35" i="520" s="1"/>
  <c r="AF113" i="520" s="1"/>
  <c r="AF80" i="520"/>
  <c r="U137" i="520"/>
  <c r="V26" i="520" s="1"/>
  <c r="V104" i="520" s="1"/>
  <c r="V71" i="520"/>
  <c r="AE81" i="521"/>
  <c r="AD36" i="521"/>
  <c r="AD114" i="521" s="1"/>
  <c r="AD147" i="521" s="1"/>
  <c r="L50" i="521"/>
  <c r="L97" i="521"/>
  <c r="L130" i="521" s="1"/>
  <c r="M19" i="521" s="1"/>
  <c r="AA141" i="521"/>
  <c r="AB30" i="521" s="1"/>
  <c r="AB108" i="521" s="1"/>
  <c r="AB75" i="521"/>
  <c r="R135" i="521"/>
  <c r="S24" i="521" s="1"/>
  <c r="S102" i="521" s="1"/>
  <c r="S69" i="521"/>
  <c r="S67" i="521"/>
  <c r="R133" i="521"/>
  <c r="S22" i="521" s="1"/>
  <c r="S100" i="521" s="1"/>
  <c r="K61" i="521"/>
  <c r="K52" i="521"/>
  <c r="K59" i="521"/>
  <c r="K54" i="521"/>
  <c r="K58" i="521"/>
  <c r="T68" i="521"/>
  <c r="S134" i="521"/>
  <c r="T23" i="521" s="1"/>
  <c r="T101" i="521" s="1"/>
  <c r="AD80" i="521"/>
  <c r="O65" i="521"/>
  <c r="N64" i="521"/>
  <c r="N131" i="521"/>
  <c r="O20" i="521" s="1"/>
  <c r="O98" i="521" s="1"/>
  <c r="T137" i="521"/>
  <c r="U26" i="521" s="1"/>
  <c r="U104" i="521" s="1"/>
  <c r="U71" i="521"/>
  <c r="O132" i="521"/>
  <c r="P21" i="521" s="1"/>
  <c r="P99" i="521" s="1"/>
  <c r="P66" i="521"/>
  <c r="W73" i="521"/>
  <c r="V139" i="521"/>
  <c r="W28" i="521" s="1"/>
  <c r="W106" i="521" s="1"/>
  <c r="AC77" i="521"/>
  <c r="AB143" i="521"/>
  <c r="AC32" i="521" s="1"/>
  <c r="AC110" i="521" s="1"/>
  <c r="W140" i="521"/>
  <c r="X29" i="521" s="1"/>
  <c r="X107" i="521" s="1"/>
  <c r="X74" i="521"/>
  <c r="Z138" i="521"/>
  <c r="AA27" i="521" s="1"/>
  <c r="AA105" i="521" s="1"/>
  <c r="AA72" i="521"/>
  <c r="AB78" i="521"/>
  <c r="AD142" i="521"/>
  <c r="AE31" i="521" s="1"/>
  <c r="AE109" i="521" s="1"/>
  <c r="AE76" i="521"/>
  <c r="T70" i="521"/>
  <c r="S136" i="521"/>
  <c r="T25" i="521" s="1"/>
  <c r="T103" i="521" s="1"/>
  <c r="AC79" i="521"/>
  <c r="AE36" i="521" l="1"/>
  <c r="AE114" i="521" s="1"/>
  <c r="AE147" i="521" s="1"/>
  <c r="AF36" i="521" s="1"/>
  <c r="AF114" i="521" s="1"/>
  <c r="AD35" i="521"/>
  <c r="AD113" i="521" s="1"/>
  <c r="AD146" i="521" s="1"/>
  <c r="AE35" i="521" s="1"/>
  <c r="AE113" i="521" s="1"/>
  <c r="AB33" i="521"/>
  <c r="AB111" i="521" s="1"/>
  <c r="AB144" i="521" s="1"/>
  <c r="AC33" i="521" s="1"/>
  <c r="AC111" i="521" s="1"/>
  <c r="AA32" i="520"/>
  <c r="AA110" i="520" s="1"/>
  <c r="AA143" i="520" s="1"/>
  <c r="AB32" i="520" s="1"/>
  <c r="AB110" i="520" s="1"/>
  <c r="O50" i="520"/>
  <c r="O97" i="520"/>
  <c r="O130" i="520" s="1"/>
  <c r="P19" i="520" s="1"/>
  <c r="T67" i="520"/>
  <c r="S133" i="520"/>
  <c r="T22" i="520" s="1"/>
  <c r="T100" i="520" s="1"/>
  <c r="X139" i="520"/>
  <c r="Y28" i="520" s="1"/>
  <c r="Y106" i="520" s="1"/>
  <c r="Y73" i="520"/>
  <c r="V137" i="520"/>
  <c r="W26" i="520" s="1"/>
  <c r="W104" i="520" s="1"/>
  <c r="W71" i="520"/>
  <c r="AA75" i="520"/>
  <c r="Z141" i="520"/>
  <c r="AA30" i="520" s="1"/>
  <c r="AA108" i="520" s="1"/>
  <c r="Z142" i="520"/>
  <c r="AA31" i="520" s="1"/>
  <c r="AA109" i="520" s="1"/>
  <c r="AA76" i="520"/>
  <c r="T134" i="520"/>
  <c r="U23" i="520" s="1"/>
  <c r="U101" i="520" s="1"/>
  <c r="U68" i="520"/>
  <c r="AG147" i="520"/>
  <c r="AB77" i="520"/>
  <c r="T136" i="520"/>
  <c r="U25" i="520" s="1"/>
  <c r="U103" i="520" s="1"/>
  <c r="U70" i="520"/>
  <c r="AC78" i="520"/>
  <c r="U69" i="520"/>
  <c r="T135" i="520"/>
  <c r="U24" i="520" s="1"/>
  <c r="U102" i="520" s="1"/>
  <c r="AB33" i="520"/>
  <c r="AB111" i="520" s="1"/>
  <c r="AB144" i="520" s="1"/>
  <c r="AC33" i="520" s="1"/>
  <c r="AC111" i="520" s="1"/>
  <c r="N61" i="520"/>
  <c r="N58" i="520"/>
  <c r="N52" i="520"/>
  <c r="N59" i="520"/>
  <c r="N54" i="520"/>
  <c r="P131" i="520"/>
  <c r="Q20" i="520" s="1"/>
  <c r="Q98" i="520" s="1"/>
  <c r="Q65" i="520"/>
  <c r="P64" i="520"/>
  <c r="AF146" i="520"/>
  <c r="AG35" i="520" s="1"/>
  <c r="AG113" i="520" s="1"/>
  <c r="AG80" i="520"/>
  <c r="AD145" i="520"/>
  <c r="AE34" i="520" s="1"/>
  <c r="AE112" i="520" s="1"/>
  <c r="AE79" i="520"/>
  <c r="Y140" i="520"/>
  <c r="Z29" i="520" s="1"/>
  <c r="Z107" i="520" s="1"/>
  <c r="Z74" i="520"/>
  <c r="T66" i="520"/>
  <c r="S132" i="520"/>
  <c r="T21" i="520" s="1"/>
  <c r="T99" i="520" s="1"/>
  <c r="X72" i="520"/>
  <c r="W138" i="520"/>
  <c r="X27" i="520" s="1"/>
  <c r="X105" i="520" s="1"/>
  <c r="AF76" i="521"/>
  <c r="AE142" i="521"/>
  <c r="AF31" i="521" s="1"/>
  <c r="AF109" i="521" s="1"/>
  <c r="T67" i="521"/>
  <c r="S133" i="521"/>
  <c r="T22" i="521" s="1"/>
  <c r="T100" i="521" s="1"/>
  <c r="AC78" i="521"/>
  <c r="U68" i="521"/>
  <c r="T134" i="521"/>
  <c r="U23" i="521" s="1"/>
  <c r="U101" i="521" s="1"/>
  <c r="AA138" i="521"/>
  <c r="AB27" i="521" s="1"/>
  <c r="AB105" i="521" s="1"/>
  <c r="AB72" i="521"/>
  <c r="AC34" i="521"/>
  <c r="AC112" i="521" s="1"/>
  <c r="AC145" i="521" s="1"/>
  <c r="AD34" i="521" s="1"/>
  <c r="AD112" i="521" s="1"/>
  <c r="U70" i="521"/>
  <c r="T136" i="521"/>
  <c r="U25" i="521" s="1"/>
  <c r="U103" i="521" s="1"/>
  <c r="X140" i="521"/>
  <c r="Y29" i="521" s="1"/>
  <c r="Y107" i="521" s="1"/>
  <c r="Y74" i="521"/>
  <c r="U137" i="521"/>
  <c r="V26" i="521" s="1"/>
  <c r="V104" i="521" s="1"/>
  <c r="V71" i="521"/>
  <c r="AE80" i="521"/>
  <c r="AD79" i="521"/>
  <c r="T69" i="521"/>
  <c r="S135" i="521"/>
  <c r="T24" i="521" s="1"/>
  <c r="T102" i="521" s="1"/>
  <c r="AD77" i="521"/>
  <c r="AC143" i="521"/>
  <c r="AD32" i="521" s="1"/>
  <c r="AD110" i="521" s="1"/>
  <c r="M50" i="521"/>
  <c r="M97" i="521"/>
  <c r="M130" i="521" s="1"/>
  <c r="N19" i="521" s="1"/>
  <c r="L61" i="521"/>
  <c r="L52" i="521"/>
  <c r="L54" i="521"/>
  <c r="L59" i="521"/>
  <c r="L58" i="521"/>
  <c r="W139" i="521"/>
  <c r="X28" i="521" s="1"/>
  <c r="X106" i="521" s="1"/>
  <c r="X73" i="521"/>
  <c r="P65" i="521"/>
  <c r="O131" i="521"/>
  <c r="P20" i="521" s="1"/>
  <c r="P98" i="521" s="1"/>
  <c r="O64" i="521"/>
  <c r="P132" i="521"/>
  <c r="Q21" i="521" s="1"/>
  <c r="Q99" i="521" s="1"/>
  <c r="Q66" i="521"/>
  <c r="AB141" i="521"/>
  <c r="AC30" i="521" s="1"/>
  <c r="AC108" i="521" s="1"/>
  <c r="AC75" i="521"/>
  <c r="AF81" i="521"/>
  <c r="AG146" i="520" l="1"/>
  <c r="V69" i="520"/>
  <c r="U135" i="520"/>
  <c r="V24" i="520" s="1"/>
  <c r="V102" i="520" s="1"/>
  <c r="AC144" i="520"/>
  <c r="AD33" i="520" s="1"/>
  <c r="AD111" i="520" s="1"/>
  <c r="AD78" i="520"/>
  <c r="AA142" i="520"/>
  <c r="AB31" i="520" s="1"/>
  <c r="AB109" i="520" s="1"/>
  <c r="AB76" i="520"/>
  <c r="Y72" i="520"/>
  <c r="X138" i="520"/>
  <c r="Y27" i="520" s="1"/>
  <c r="Y105" i="520" s="1"/>
  <c r="U66" i="520"/>
  <c r="T132" i="520"/>
  <c r="U21" i="520" s="1"/>
  <c r="U99" i="520" s="1"/>
  <c r="AB75" i="520"/>
  <c r="AA141" i="520"/>
  <c r="AB30" i="520" s="1"/>
  <c r="AB108" i="520" s="1"/>
  <c r="AE145" i="520"/>
  <c r="AF34" i="520" s="1"/>
  <c r="AF112" i="520" s="1"/>
  <c r="AF79" i="520"/>
  <c r="Y139" i="520"/>
  <c r="Z28" i="520" s="1"/>
  <c r="Z106" i="520" s="1"/>
  <c r="Z73" i="520"/>
  <c r="U136" i="520"/>
  <c r="V25" i="520" s="1"/>
  <c r="V103" i="520" s="1"/>
  <c r="V70" i="520"/>
  <c r="U134" i="520"/>
  <c r="V23" i="520" s="1"/>
  <c r="V101" i="520" s="1"/>
  <c r="V68" i="520"/>
  <c r="U67" i="520"/>
  <c r="T133" i="520"/>
  <c r="U22" i="520" s="1"/>
  <c r="U100" i="520" s="1"/>
  <c r="P50" i="520"/>
  <c r="P97" i="520"/>
  <c r="P130" i="520" s="1"/>
  <c r="Q19" i="520" s="1"/>
  <c r="AC77" i="520"/>
  <c r="AB143" i="520"/>
  <c r="AC32" i="520" s="1"/>
  <c r="AC110" i="520" s="1"/>
  <c r="Z140" i="520"/>
  <c r="AA29" i="520" s="1"/>
  <c r="AA107" i="520" s="1"/>
  <c r="AA74" i="520"/>
  <c r="Q131" i="520"/>
  <c r="R20" i="520" s="1"/>
  <c r="R98" i="520" s="1"/>
  <c r="R65" i="520"/>
  <c r="Q64" i="520"/>
  <c r="W137" i="520"/>
  <c r="X26" i="520" s="1"/>
  <c r="X104" i="520" s="1"/>
  <c r="X71" i="520"/>
  <c r="O59" i="520"/>
  <c r="O61" i="520"/>
  <c r="O58" i="520"/>
  <c r="O52" i="520"/>
  <c r="O54" i="520"/>
  <c r="U69" i="521"/>
  <c r="T135" i="521"/>
  <c r="U24" i="521" s="1"/>
  <c r="U102" i="521" s="1"/>
  <c r="M61" i="521"/>
  <c r="M52" i="521"/>
  <c r="M59" i="521"/>
  <c r="M58" i="521"/>
  <c r="M54" i="521"/>
  <c r="Y140" i="521"/>
  <c r="Z29" i="521" s="1"/>
  <c r="Z107" i="521" s="1"/>
  <c r="Z74" i="521"/>
  <c r="AF147" i="521"/>
  <c r="AG36" i="521" s="1"/>
  <c r="AG114" i="521" s="1"/>
  <c r="AG81" i="521"/>
  <c r="Q132" i="521"/>
  <c r="R21" i="521" s="1"/>
  <c r="R99" i="521" s="1"/>
  <c r="R66" i="521"/>
  <c r="V68" i="521"/>
  <c r="U134" i="521"/>
  <c r="V23" i="521" s="1"/>
  <c r="V101" i="521" s="1"/>
  <c r="AD143" i="521"/>
  <c r="AE32" i="521" s="1"/>
  <c r="AE110" i="521" s="1"/>
  <c r="AE77" i="521"/>
  <c r="V137" i="521"/>
  <c r="W26" i="521" s="1"/>
  <c r="W104" i="521" s="1"/>
  <c r="W71" i="521"/>
  <c r="Y73" i="521"/>
  <c r="X139" i="521"/>
  <c r="Y28" i="521" s="1"/>
  <c r="Y106" i="521" s="1"/>
  <c r="AD145" i="521"/>
  <c r="AE34" i="521" s="1"/>
  <c r="AE112" i="521" s="1"/>
  <c r="AE79" i="521"/>
  <c r="T133" i="521"/>
  <c r="U22" i="521" s="1"/>
  <c r="U100" i="521" s="1"/>
  <c r="U67" i="521"/>
  <c r="P131" i="521"/>
  <c r="Q20" i="521" s="1"/>
  <c r="Q98" i="521" s="1"/>
  <c r="Q65" i="521"/>
  <c r="P64" i="521"/>
  <c r="U136" i="521"/>
  <c r="V25" i="521" s="1"/>
  <c r="V103" i="521" s="1"/>
  <c r="V70" i="521"/>
  <c r="N50" i="521"/>
  <c r="N97" i="521"/>
  <c r="N130" i="521" s="1"/>
  <c r="O19" i="521" s="1"/>
  <c r="AF80" i="521"/>
  <c r="AE146" i="521"/>
  <c r="AF35" i="521" s="1"/>
  <c r="AF113" i="521" s="1"/>
  <c r="AC141" i="521"/>
  <c r="AD30" i="521" s="1"/>
  <c r="AD108" i="521" s="1"/>
  <c r="AD75" i="521"/>
  <c r="AC144" i="521"/>
  <c r="AD33" i="521" s="1"/>
  <c r="AD111" i="521" s="1"/>
  <c r="AD78" i="521"/>
  <c r="AF142" i="521"/>
  <c r="AG31" i="521" s="1"/>
  <c r="AG109" i="521" s="1"/>
  <c r="AG76" i="521"/>
  <c r="AB138" i="521"/>
  <c r="AC27" i="521" s="1"/>
  <c r="AC105" i="521" s="1"/>
  <c r="AC72" i="521"/>
  <c r="AG142" i="521" l="1"/>
  <c r="Q50" i="520"/>
  <c r="Q97" i="520"/>
  <c r="Q130" i="520" s="1"/>
  <c r="R19" i="520" s="1"/>
  <c r="AD77" i="520"/>
  <c r="AC143" i="520"/>
  <c r="AD32" i="520" s="1"/>
  <c r="AD110" i="520" s="1"/>
  <c r="P59" i="520"/>
  <c r="P58" i="520"/>
  <c r="P61" i="520"/>
  <c r="P52" i="520"/>
  <c r="P54" i="520"/>
  <c r="AA140" i="520"/>
  <c r="AB29" i="520" s="1"/>
  <c r="AB107" i="520" s="1"/>
  <c r="AB74" i="520"/>
  <c r="AF145" i="520"/>
  <c r="AG34" i="520" s="1"/>
  <c r="AG112" i="520" s="1"/>
  <c r="AG79" i="520"/>
  <c r="AC75" i="520"/>
  <c r="AB141" i="520"/>
  <c r="AC30" i="520" s="1"/>
  <c r="AC108" i="520" s="1"/>
  <c r="V67" i="520"/>
  <c r="U133" i="520"/>
  <c r="V22" i="520" s="1"/>
  <c r="V100" i="520" s="1"/>
  <c r="V134" i="520"/>
  <c r="W23" i="520" s="1"/>
  <c r="W101" i="520" s="1"/>
  <c r="W68" i="520"/>
  <c r="V136" i="520"/>
  <c r="W25" i="520" s="1"/>
  <c r="W103" i="520" s="1"/>
  <c r="W70" i="520"/>
  <c r="Z72" i="520"/>
  <c r="Y138" i="520"/>
  <c r="Z27" i="520" s="1"/>
  <c r="Z105" i="520" s="1"/>
  <c r="AB142" i="520"/>
  <c r="AC31" i="520" s="1"/>
  <c r="AC109" i="520" s="1"/>
  <c r="AC76" i="520"/>
  <c r="AA73" i="520"/>
  <c r="Z139" i="520"/>
  <c r="AA28" i="520" s="1"/>
  <c r="AA106" i="520" s="1"/>
  <c r="V66" i="520"/>
  <c r="U132" i="520"/>
  <c r="V21" i="520" s="1"/>
  <c r="V99" i="520" s="1"/>
  <c r="AD144" i="520"/>
  <c r="AE33" i="520" s="1"/>
  <c r="AE111" i="520" s="1"/>
  <c r="AE78" i="520"/>
  <c r="X137" i="520"/>
  <c r="Y26" i="520" s="1"/>
  <c r="Y104" i="520" s="1"/>
  <c r="Y71" i="520"/>
  <c r="S65" i="520"/>
  <c r="R131" i="520"/>
  <c r="S20" i="520" s="1"/>
  <c r="S98" i="520" s="1"/>
  <c r="R64" i="520"/>
  <c r="V135" i="520"/>
  <c r="W24" i="520" s="1"/>
  <c r="W102" i="520" s="1"/>
  <c r="W69" i="520"/>
  <c r="Q131" i="521"/>
  <c r="R20" i="521" s="1"/>
  <c r="R98" i="521" s="1"/>
  <c r="R65" i="521"/>
  <c r="Q64" i="521"/>
  <c r="AE145" i="521"/>
  <c r="AF34" i="521" s="1"/>
  <c r="AF112" i="521" s="1"/>
  <c r="AF79" i="521"/>
  <c r="Z73" i="521"/>
  <c r="Y139" i="521"/>
  <c r="Z28" i="521" s="1"/>
  <c r="Z106" i="521" s="1"/>
  <c r="AF77" i="521"/>
  <c r="AE143" i="521"/>
  <c r="AF32" i="521" s="1"/>
  <c r="AF110" i="521" s="1"/>
  <c r="AG147" i="521"/>
  <c r="W137" i="521"/>
  <c r="X26" i="521" s="1"/>
  <c r="X104" i="521" s="1"/>
  <c r="X71" i="521"/>
  <c r="U133" i="521"/>
  <c r="V22" i="521" s="1"/>
  <c r="V100" i="521" s="1"/>
  <c r="V67" i="521"/>
  <c r="W68" i="521"/>
  <c r="V134" i="521"/>
  <c r="W23" i="521" s="1"/>
  <c r="W101" i="521" s="1"/>
  <c r="S66" i="521"/>
  <c r="R132" i="521"/>
  <c r="S21" i="521" s="1"/>
  <c r="S99" i="521" s="1"/>
  <c r="Z140" i="521"/>
  <c r="AA29" i="521" s="1"/>
  <c r="AA107" i="521" s="1"/>
  <c r="AA74" i="521"/>
  <c r="AD141" i="521"/>
  <c r="AE30" i="521" s="1"/>
  <c r="AE108" i="521" s="1"/>
  <c r="AE75" i="521"/>
  <c r="AD144" i="521"/>
  <c r="AE33" i="521" s="1"/>
  <c r="AE111" i="521" s="1"/>
  <c r="AE78" i="521"/>
  <c r="AG80" i="521"/>
  <c r="AF146" i="521"/>
  <c r="AG35" i="521" s="1"/>
  <c r="AG113" i="521" s="1"/>
  <c r="AC138" i="521"/>
  <c r="AD27" i="521" s="1"/>
  <c r="AD105" i="521" s="1"/>
  <c r="AD72" i="521"/>
  <c r="O50" i="521"/>
  <c r="O97" i="521"/>
  <c r="O130" i="521" s="1"/>
  <c r="P19" i="521" s="1"/>
  <c r="N52" i="521"/>
  <c r="N61" i="521"/>
  <c r="N59" i="521"/>
  <c r="N58" i="521"/>
  <c r="N54" i="521"/>
  <c r="V136" i="521"/>
  <c r="W25" i="521" s="1"/>
  <c r="W103" i="521" s="1"/>
  <c r="W70" i="521"/>
  <c r="U135" i="521"/>
  <c r="V24" i="521" s="1"/>
  <c r="V102" i="521" s="1"/>
  <c r="V69" i="521"/>
  <c r="AG145" i="520" l="1"/>
  <c r="R50" i="520"/>
  <c r="R97" i="520"/>
  <c r="R130" i="520" s="1"/>
  <c r="S19" i="520" s="1"/>
  <c r="W136" i="520"/>
  <c r="X25" i="520" s="1"/>
  <c r="X103" i="520" s="1"/>
  <c r="X70" i="520"/>
  <c r="AC142" i="520"/>
  <c r="AD31" i="520" s="1"/>
  <c r="AD109" i="520" s="1"/>
  <c r="AD76" i="520"/>
  <c r="W66" i="520"/>
  <c r="V132" i="520"/>
  <c r="W21" i="520" s="1"/>
  <c r="W99" i="520" s="1"/>
  <c r="AB73" i="520"/>
  <c r="AA139" i="520"/>
  <c r="AB28" i="520" s="1"/>
  <c r="AB106" i="520" s="1"/>
  <c r="X68" i="520"/>
  <c r="W134" i="520"/>
  <c r="X23" i="520" s="1"/>
  <c r="X101" i="520" s="1"/>
  <c r="AC74" i="520"/>
  <c r="AB140" i="520"/>
  <c r="AC29" i="520" s="1"/>
  <c r="AC107" i="520" s="1"/>
  <c r="Z138" i="520"/>
  <c r="AA27" i="520" s="1"/>
  <c r="AA105" i="520" s="1"/>
  <c r="AA72" i="520"/>
  <c r="AE144" i="520"/>
  <c r="AF33" i="520" s="1"/>
  <c r="AF111" i="520" s="1"/>
  <c r="AF78" i="520"/>
  <c r="W67" i="520"/>
  <c r="V133" i="520"/>
  <c r="W22" i="520" s="1"/>
  <c r="W100" i="520" s="1"/>
  <c r="AD75" i="520"/>
  <c r="AC141" i="520"/>
  <c r="AD30" i="520" s="1"/>
  <c r="AD108" i="520" s="1"/>
  <c r="W135" i="520"/>
  <c r="X24" i="520" s="1"/>
  <c r="X102" i="520" s="1"/>
  <c r="X69" i="520"/>
  <c r="S131" i="520"/>
  <c r="T20" i="520" s="1"/>
  <c r="T98" i="520" s="1"/>
  <c r="T65" i="520"/>
  <c r="S64" i="520"/>
  <c r="Z71" i="520"/>
  <c r="Y137" i="520"/>
  <c r="Z26" i="520" s="1"/>
  <c r="Z104" i="520" s="1"/>
  <c r="AE77" i="520"/>
  <c r="AD143" i="520"/>
  <c r="AE32" i="520" s="1"/>
  <c r="AE110" i="520" s="1"/>
  <c r="Q59" i="520"/>
  <c r="Q58" i="520"/>
  <c r="Q61" i="520"/>
  <c r="Q52" i="520"/>
  <c r="AE144" i="521"/>
  <c r="AF33" i="521" s="1"/>
  <c r="AF111" i="521" s="1"/>
  <c r="AF78" i="521"/>
  <c r="P50" i="521"/>
  <c r="P97" i="521"/>
  <c r="P130" i="521" s="1"/>
  <c r="Q19" i="521" s="1"/>
  <c r="X68" i="521"/>
  <c r="W134" i="521"/>
  <c r="X23" i="521" s="1"/>
  <c r="X101" i="521" s="1"/>
  <c r="V135" i="521"/>
  <c r="W24" i="521" s="1"/>
  <c r="W102" i="521" s="1"/>
  <c r="W69" i="521"/>
  <c r="AG77" i="521"/>
  <c r="AF143" i="521"/>
  <c r="AG32" i="521" s="1"/>
  <c r="AG110" i="521" s="1"/>
  <c r="AB74" i="521"/>
  <c r="AA140" i="521"/>
  <c r="AB29" i="521" s="1"/>
  <c r="AB107" i="521" s="1"/>
  <c r="V133" i="521"/>
  <c r="W22" i="521" s="1"/>
  <c r="W100" i="521" s="1"/>
  <c r="W67" i="521"/>
  <c r="AA73" i="521"/>
  <c r="Z139" i="521"/>
  <c r="AA28" i="521" s="1"/>
  <c r="AA106" i="521" s="1"/>
  <c r="O61" i="521"/>
  <c r="O52" i="521"/>
  <c r="O59" i="521"/>
  <c r="O58" i="521"/>
  <c r="O54" i="521"/>
  <c r="X137" i="521"/>
  <c r="Y26" i="521" s="1"/>
  <c r="Y104" i="521" s="1"/>
  <c r="Y71" i="521"/>
  <c r="X70" i="521"/>
  <c r="W136" i="521"/>
  <c r="X25" i="521" s="1"/>
  <c r="X103" i="521" s="1"/>
  <c r="AF145" i="521"/>
  <c r="AG34" i="521" s="1"/>
  <c r="AG112" i="521" s="1"/>
  <c r="AG79" i="521"/>
  <c r="AE72" i="521"/>
  <c r="AD138" i="521"/>
  <c r="AE27" i="521" s="1"/>
  <c r="AE105" i="521" s="1"/>
  <c r="AG146" i="521"/>
  <c r="S65" i="521"/>
  <c r="R64" i="521"/>
  <c r="R131" i="521"/>
  <c r="S20" i="521" s="1"/>
  <c r="S98" i="521" s="1"/>
  <c r="AE141" i="521"/>
  <c r="AF30" i="521" s="1"/>
  <c r="AF108" i="521" s="1"/>
  <c r="AF75" i="521"/>
  <c r="T66" i="521"/>
  <c r="S132" i="521"/>
  <c r="T21" i="521" s="1"/>
  <c r="T99" i="521" s="1"/>
  <c r="AF77" i="520" l="1"/>
  <c r="AE143" i="520"/>
  <c r="AF32" i="520" s="1"/>
  <c r="AF110" i="520" s="1"/>
  <c r="AE75" i="520"/>
  <c r="AD141" i="520"/>
  <c r="AE30" i="520" s="1"/>
  <c r="AE108" i="520" s="1"/>
  <c r="X135" i="520"/>
  <c r="Y24" i="520" s="1"/>
  <c r="Y102" i="520" s="1"/>
  <c r="Y69" i="520"/>
  <c r="AC73" i="520"/>
  <c r="AB139" i="520"/>
  <c r="AC28" i="520" s="1"/>
  <c r="AC106" i="520" s="1"/>
  <c r="X67" i="520"/>
  <c r="W133" i="520"/>
  <c r="X22" i="520" s="1"/>
  <c r="X100" i="520" s="1"/>
  <c r="AG78" i="520"/>
  <c r="AF144" i="520"/>
  <c r="AG33" i="520" s="1"/>
  <c r="AG111" i="520" s="1"/>
  <c r="AA71" i="520"/>
  <c r="Z137" i="520"/>
  <c r="AA26" i="520" s="1"/>
  <c r="AA104" i="520" s="1"/>
  <c r="X66" i="520"/>
  <c r="W132" i="520"/>
  <c r="X21" i="520" s="1"/>
  <c r="X99" i="520" s="1"/>
  <c r="S50" i="520"/>
  <c r="S97" i="520"/>
  <c r="S130" i="520" s="1"/>
  <c r="T19" i="520" s="1"/>
  <c r="AA138" i="520"/>
  <c r="AB27" i="520" s="1"/>
  <c r="AB105" i="520" s="1"/>
  <c r="AB72" i="520"/>
  <c r="AC140" i="520"/>
  <c r="AD29" i="520" s="1"/>
  <c r="AD107" i="520" s="1"/>
  <c r="AD74" i="520"/>
  <c r="Y68" i="520"/>
  <c r="X134" i="520"/>
  <c r="Y23" i="520" s="1"/>
  <c r="Y101" i="520" s="1"/>
  <c r="AD142" i="520"/>
  <c r="AE31" i="520" s="1"/>
  <c r="AE109" i="520" s="1"/>
  <c r="AE76" i="520"/>
  <c r="Y70" i="520"/>
  <c r="X136" i="520"/>
  <c r="Y25" i="520" s="1"/>
  <c r="Y103" i="520" s="1"/>
  <c r="U65" i="520"/>
  <c r="T64" i="520"/>
  <c r="T131" i="520"/>
  <c r="U20" i="520" s="1"/>
  <c r="U98" i="520" s="1"/>
  <c r="R58" i="520"/>
  <c r="R59" i="520"/>
  <c r="R61" i="520"/>
  <c r="R52" i="520"/>
  <c r="T65" i="521"/>
  <c r="S131" i="521"/>
  <c r="T20" i="521" s="1"/>
  <c r="T98" i="521" s="1"/>
  <c r="S64" i="521"/>
  <c r="AF72" i="521"/>
  <c r="AE138" i="521"/>
  <c r="AF27" i="521" s="1"/>
  <c r="AF105" i="521" s="1"/>
  <c r="Z71" i="521"/>
  <c r="Y137" i="521"/>
  <c r="Z26" i="521" s="1"/>
  <c r="Z104" i="521" s="1"/>
  <c r="AG145" i="521"/>
  <c r="X67" i="521"/>
  <c r="W133" i="521"/>
  <c r="X22" i="521" s="1"/>
  <c r="X100" i="521" s="1"/>
  <c r="AB73" i="521"/>
  <c r="AA139" i="521"/>
  <c r="AB28" i="521" s="1"/>
  <c r="AB106" i="521" s="1"/>
  <c r="Y68" i="521"/>
  <c r="X134" i="521"/>
  <c r="Y23" i="521" s="1"/>
  <c r="Y101" i="521" s="1"/>
  <c r="Y70" i="521"/>
  <c r="X136" i="521"/>
  <c r="Y25" i="521" s="1"/>
  <c r="Y103" i="521" s="1"/>
  <c r="W135" i="521"/>
  <c r="X24" i="521" s="1"/>
  <c r="X102" i="521" s="1"/>
  <c r="X69" i="521"/>
  <c r="T132" i="521"/>
  <c r="U21" i="521" s="1"/>
  <c r="U99" i="521" s="1"/>
  <c r="U66" i="521"/>
  <c r="Q50" i="521"/>
  <c r="Q97" i="521"/>
  <c r="Q130" i="521" s="1"/>
  <c r="R19" i="521" s="1"/>
  <c r="AF141" i="521"/>
  <c r="AG30" i="521" s="1"/>
  <c r="AG108" i="521" s="1"/>
  <c r="AG75" i="521"/>
  <c r="P61" i="521"/>
  <c r="P59" i="521"/>
  <c r="P52" i="521"/>
  <c r="P58" i="521"/>
  <c r="P54" i="521"/>
  <c r="AF144" i="521"/>
  <c r="AG33" i="521" s="1"/>
  <c r="AG111" i="521" s="1"/>
  <c r="AG78" i="521"/>
  <c r="AB140" i="521"/>
  <c r="AC29" i="521" s="1"/>
  <c r="AC107" i="521" s="1"/>
  <c r="AC74" i="521"/>
  <c r="AG143" i="521"/>
  <c r="AG144" i="521" l="1"/>
  <c r="T50" i="520"/>
  <c r="T97" i="520"/>
  <c r="T130" i="520" s="1"/>
  <c r="U19" i="520" s="1"/>
  <c r="Y136" i="520"/>
  <c r="Z25" i="520" s="1"/>
  <c r="Z103" i="520" s="1"/>
  <c r="Z70" i="520"/>
  <c r="AE142" i="520"/>
  <c r="AF31" i="520" s="1"/>
  <c r="AF109" i="520" s="1"/>
  <c r="AF76" i="520"/>
  <c r="U64" i="520"/>
  <c r="V65" i="520"/>
  <c r="U131" i="520"/>
  <c r="V20" i="520" s="1"/>
  <c r="V98" i="520" s="1"/>
  <c r="AD140" i="520"/>
  <c r="AE29" i="520" s="1"/>
  <c r="AE107" i="520" s="1"/>
  <c r="AE74" i="520"/>
  <c r="AC139" i="520"/>
  <c r="AD28" i="520" s="1"/>
  <c r="AD106" i="520" s="1"/>
  <c r="AD73" i="520"/>
  <c r="Y134" i="520"/>
  <c r="Z23" i="520" s="1"/>
  <c r="Z101" i="520" s="1"/>
  <c r="Z68" i="520"/>
  <c r="S61" i="520"/>
  <c r="S52" i="520"/>
  <c r="S58" i="520"/>
  <c r="S59" i="520"/>
  <c r="Y66" i="520"/>
  <c r="X132" i="520"/>
  <c r="Y21" i="520" s="1"/>
  <c r="Y99" i="520" s="1"/>
  <c r="Y67" i="520"/>
  <c r="X133" i="520"/>
  <c r="Y22" i="520" s="1"/>
  <c r="Y100" i="520" s="1"/>
  <c r="Z69" i="520"/>
  <c r="Y135" i="520"/>
  <c r="Z24" i="520" s="1"/>
  <c r="Z102" i="520" s="1"/>
  <c r="AB138" i="520"/>
  <c r="AC27" i="520" s="1"/>
  <c r="AC105" i="520" s="1"/>
  <c r="AC72" i="520"/>
  <c r="AA137" i="520"/>
  <c r="AB26" i="520" s="1"/>
  <c r="AB104" i="520" s="1"/>
  <c r="AB71" i="520"/>
  <c r="AG144" i="520"/>
  <c r="AE141" i="520"/>
  <c r="AF30" i="520" s="1"/>
  <c r="AF108" i="520" s="1"/>
  <c r="AF75" i="520"/>
  <c r="AG77" i="520"/>
  <c r="AF143" i="520"/>
  <c r="AG32" i="520" s="1"/>
  <c r="AG110" i="520" s="1"/>
  <c r="Q61" i="521"/>
  <c r="Q59" i="521"/>
  <c r="Q52" i="521"/>
  <c r="Q58" i="521"/>
  <c r="X135" i="521"/>
  <c r="Y24" i="521" s="1"/>
  <c r="Y102" i="521" s="1"/>
  <c r="Y69" i="521"/>
  <c r="AC73" i="521"/>
  <c r="AB139" i="521"/>
  <c r="AC28" i="521" s="1"/>
  <c r="AC106" i="521" s="1"/>
  <c r="Y67" i="521"/>
  <c r="X133" i="521"/>
  <c r="Y22" i="521" s="1"/>
  <c r="Y100" i="521" s="1"/>
  <c r="AA71" i="521"/>
  <c r="Z137" i="521"/>
  <c r="AA26" i="521" s="1"/>
  <c r="AA104" i="521" s="1"/>
  <c r="AG141" i="521"/>
  <c r="R50" i="521"/>
  <c r="R97" i="521"/>
  <c r="R130" i="521" s="1"/>
  <c r="S19" i="521" s="1"/>
  <c r="AD74" i="521"/>
  <c r="AC140" i="521"/>
  <c r="AD29" i="521" s="1"/>
  <c r="AD107" i="521" s="1"/>
  <c r="U65" i="521"/>
  <c r="T131" i="521"/>
  <c r="U20" i="521" s="1"/>
  <c r="U98" i="521" s="1"/>
  <c r="T64" i="521"/>
  <c r="U132" i="521"/>
  <c r="V21" i="521" s="1"/>
  <c r="V99" i="521" s="1"/>
  <c r="V66" i="521"/>
  <c r="Y136" i="521"/>
  <c r="Z25" i="521" s="1"/>
  <c r="Z103" i="521" s="1"/>
  <c r="Z70" i="521"/>
  <c r="Z68" i="521"/>
  <c r="Y134" i="521"/>
  <c r="Z23" i="521" s="1"/>
  <c r="Z101" i="521" s="1"/>
  <c r="AG72" i="521"/>
  <c r="AF138" i="521"/>
  <c r="AG27" i="521" s="1"/>
  <c r="AG105" i="521" s="1"/>
  <c r="V131" i="520" l="1"/>
  <c r="W20" i="520" s="1"/>
  <c r="W98" i="520" s="1"/>
  <c r="W65" i="520"/>
  <c r="Z136" i="520"/>
  <c r="AA25" i="520" s="1"/>
  <c r="AA103" i="520" s="1"/>
  <c r="AA70" i="520"/>
  <c r="AC71" i="520"/>
  <c r="AB137" i="520"/>
  <c r="AC26" i="520" s="1"/>
  <c r="AC104" i="520" s="1"/>
  <c r="AC138" i="520"/>
  <c r="AD27" i="520" s="1"/>
  <c r="AD105" i="520" s="1"/>
  <c r="AD72" i="520"/>
  <c r="AD139" i="520"/>
  <c r="AE28" i="520" s="1"/>
  <c r="AE106" i="520" s="1"/>
  <c r="AE73" i="520"/>
  <c r="AE140" i="520"/>
  <c r="AF29" i="520" s="1"/>
  <c r="AF107" i="520" s="1"/>
  <c r="AF74" i="520"/>
  <c r="V64" i="520"/>
  <c r="AG143" i="520"/>
  <c r="U50" i="520"/>
  <c r="U97" i="520"/>
  <c r="U130" i="520" s="1"/>
  <c r="V19" i="520" s="1"/>
  <c r="AA68" i="520"/>
  <c r="Z134" i="520"/>
  <c r="AA23" i="520" s="1"/>
  <c r="AA101" i="520" s="1"/>
  <c r="AF142" i="520"/>
  <c r="AG31" i="520" s="1"/>
  <c r="AG109" i="520" s="1"/>
  <c r="AG76" i="520"/>
  <c r="AF141" i="520"/>
  <c r="AG30" i="520" s="1"/>
  <c r="AG108" i="520" s="1"/>
  <c r="AG75" i="520"/>
  <c r="AA69" i="520"/>
  <c r="Z135" i="520"/>
  <c r="AA24" i="520" s="1"/>
  <c r="AA102" i="520" s="1"/>
  <c r="Y133" i="520"/>
  <c r="Z22" i="520" s="1"/>
  <c r="Z100" i="520" s="1"/>
  <c r="Z67" i="520"/>
  <c r="Z66" i="520"/>
  <c r="Y132" i="520"/>
  <c r="Z21" i="520" s="1"/>
  <c r="Z99" i="520" s="1"/>
  <c r="T61" i="520"/>
  <c r="T58" i="520"/>
  <c r="T59" i="520"/>
  <c r="T52" i="520"/>
  <c r="AE74" i="521"/>
  <c r="AD140" i="521"/>
  <c r="AE29" i="521" s="1"/>
  <c r="AE107" i="521" s="1"/>
  <c r="S50" i="521"/>
  <c r="S97" i="521"/>
  <c r="S130" i="521" s="1"/>
  <c r="T19" i="521" s="1"/>
  <c r="AA137" i="521"/>
  <c r="AB26" i="521" s="1"/>
  <c r="AB104" i="521" s="1"/>
  <c r="AB71" i="521"/>
  <c r="Y133" i="521"/>
  <c r="Z22" i="521" s="1"/>
  <c r="Z100" i="521" s="1"/>
  <c r="Z67" i="521"/>
  <c r="V132" i="521"/>
  <c r="W21" i="521" s="1"/>
  <c r="W99" i="521" s="1"/>
  <c r="W66" i="521"/>
  <c r="AA70" i="521"/>
  <c r="Z136" i="521"/>
  <c r="AA25" i="521" s="1"/>
  <c r="AA103" i="521" s="1"/>
  <c r="R61" i="521"/>
  <c r="R59" i="521"/>
  <c r="R52" i="521"/>
  <c r="R58" i="521"/>
  <c r="AG138" i="521"/>
  <c r="AA68" i="521"/>
  <c r="Z134" i="521"/>
  <c r="AA23" i="521" s="1"/>
  <c r="AA101" i="521" s="1"/>
  <c r="V65" i="521"/>
  <c r="U131" i="521"/>
  <c r="V20" i="521" s="1"/>
  <c r="V98" i="521" s="1"/>
  <c r="U64" i="521"/>
  <c r="AD73" i="521"/>
  <c r="AC139" i="521"/>
  <c r="AD28" i="521" s="1"/>
  <c r="AD106" i="521" s="1"/>
  <c r="Y135" i="521"/>
  <c r="Z24" i="521" s="1"/>
  <c r="Z102" i="521" s="1"/>
  <c r="Z69" i="521"/>
  <c r="AG141" i="520" l="1"/>
  <c r="V97" i="520"/>
  <c r="V130" i="520" s="1"/>
  <c r="W19" i="520" s="1"/>
  <c r="Z133" i="520"/>
  <c r="AA22" i="520" s="1"/>
  <c r="AA100" i="520" s="1"/>
  <c r="AA67" i="520"/>
  <c r="U61" i="520"/>
  <c r="U58" i="520"/>
  <c r="U59" i="520"/>
  <c r="U52" i="520"/>
  <c r="W64" i="520"/>
  <c r="AA135" i="520"/>
  <c r="AB24" i="520" s="1"/>
  <c r="AB102" i="520" s="1"/>
  <c r="AB69" i="520"/>
  <c r="AG142" i="520"/>
  <c r="Z132" i="520"/>
  <c r="AA21" i="520" s="1"/>
  <c r="AA99" i="520" s="1"/>
  <c r="AA66" i="520"/>
  <c r="AB68" i="520"/>
  <c r="AA134" i="520"/>
  <c r="AB23" i="520" s="1"/>
  <c r="AB101" i="520" s="1"/>
  <c r="AE139" i="520"/>
  <c r="AF28" i="520" s="1"/>
  <c r="AF106" i="520" s="1"/>
  <c r="AF73" i="520"/>
  <c r="AD138" i="520"/>
  <c r="AE27" i="520" s="1"/>
  <c r="AE105" i="520" s="1"/>
  <c r="AE72" i="520"/>
  <c r="W131" i="520"/>
  <c r="X20" i="520" s="1"/>
  <c r="X98" i="520" s="1"/>
  <c r="X65" i="520"/>
  <c r="AF140" i="520"/>
  <c r="AG29" i="520" s="1"/>
  <c r="AG107" i="520" s="1"/>
  <c r="AG74" i="520"/>
  <c r="AD71" i="520"/>
  <c r="AC137" i="520"/>
  <c r="AD26" i="520" s="1"/>
  <c r="AD104" i="520" s="1"/>
  <c r="AA136" i="520"/>
  <c r="AB25" i="520" s="1"/>
  <c r="AB103" i="520" s="1"/>
  <c r="AB70" i="520"/>
  <c r="AD139" i="521"/>
  <c r="AE28" i="521" s="1"/>
  <c r="AE106" i="521" s="1"/>
  <c r="AE73" i="521"/>
  <c r="T50" i="521"/>
  <c r="T97" i="521"/>
  <c r="T130" i="521" s="1"/>
  <c r="U19" i="521" s="1"/>
  <c r="V64" i="521"/>
  <c r="V131" i="521"/>
  <c r="W20" i="521" s="1"/>
  <c r="W98" i="521" s="1"/>
  <c r="W65" i="521"/>
  <c r="X66" i="521"/>
  <c r="W132" i="521"/>
  <c r="X21" i="521" s="1"/>
  <c r="X99" i="521" s="1"/>
  <c r="AB137" i="521"/>
  <c r="AC26" i="521" s="1"/>
  <c r="AC104" i="521" s="1"/>
  <c r="AC71" i="521"/>
  <c r="S61" i="521"/>
  <c r="S52" i="521"/>
  <c r="S58" i="521"/>
  <c r="S59" i="521"/>
  <c r="AA69" i="521"/>
  <c r="Z135" i="521"/>
  <c r="AA24" i="521" s="1"/>
  <c r="AA102" i="521" s="1"/>
  <c r="AB70" i="521"/>
  <c r="AA136" i="521"/>
  <c r="AB25" i="521" s="1"/>
  <c r="AB103" i="521" s="1"/>
  <c r="AB68" i="521"/>
  <c r="AA134" i="521"/>
  <c r="AB23" i="521" s="1"/>
  <c r="AB101" i="521" s="1"/>
  <c r="Z133" i="521"/>
  <c r="AA22" i="521" s="1"/>
  <c r="AA100" i="521" s="1"/>
  <c r="AA67" i="521"/>
  <c r="AF74" i="521"/>
  <c r="AE140" i="521"/>
  <c r="AF29" i="521" s="1"/>
  <c r="AF107" i="521" s="1"/>
  <c r="AG140" i="520" l="1"/>
  <c r="AE71" i="520"/>
  <c r="AD137" i="520"/>
  <c r="AE26" i="520" s="1"/>
  <c r="AE104" i="520" s="1"/>
  <c r="X131" i="520"/>
  <c r="Y20" i="520" s="1"/>
  <c r="Y98" i="520" s="1"/>
  <c r="Y65" i="520"/>
  <c r="AE138" i="520"/>
  <c r="AF27" i="520" s="1"/>
  <c r="AF105" i="520" s="1"/>
  <c r="AF72" i="520"/>
  <c r="AC70" i="520"/>
  <c r="AB136" i="520"/>
  <c r="AC25" i="520" s="1"/>
  <c r="AC103" i="520" s="1"/>
  <c r="AF139" i="520"/>
  <c r="AG28" i="520" s="1"/>
  <c r="AG106" i="520" s="1"/>
  <c r="AG73" i="520"/>
  <c r="AB135" i="520"/>
  <c r="AC24" i="520" s="1"/>
  <c r="AC102" i="520" s="1"/>
  <c r="AC69" i="520"/>
  <c r="X64" i="520"/>
  <c r="AC68" i="520"/>
  <c r="AB134" i="520"/>
  <c r="AC23" i="520" s="1"/>
  <c r="AC101" i="520" s="1"/>
  <c r="AA132" i="520"/>
  <c r="AB21" i="520" s="1"/>
  <c r="AB99" i="520" s="1"/>
  <c r="AB66" i="520"/>
  <c r="W97" i="520"/>
  <c r="W130" i="520" s="1"/>
  <c r="X19" i="520" s="1"/>
  <c r="AA133" i="520"/>
  <c r="AB22" i="520" s="1"/>
  <c r="AB100" i="520" s="1"/>
  <c r="AB67" i="520"/>
  <c r="AB134" i="521"/>
  <c r="AC23" i="521" s="1"/>
  <c r="AC101" i="521" s="1"/>
  <c r="AC68" i="521"/>
  <c r="AD71" i="521"/>
  <c r="AC137" i="521"/>
  <c r="AD26" i="521" s="1"/>
  <c r="AD104" i="521" s="1"/>
  <c r="X65" i="521"/>
  <c r="W131" i="521"/>
  <c r="X20" i="521" s="1"/>
  <c r="X98" i="521" s="1"/>
  <c r="AB67" i="521"/>
  <c r="AA133" i="521"/>
  <c r="AB22" i="521" s="1"/>
  <c r="AB100" i="521" s="1"/>
  <c r="AC70" i="521"/>
  <c r="AB136" i="521"/>
  <c r="AC25" i="521" s="1"/>
  <c r="AC103" i="521" s="1"/>
  <c r="AB69" i="521"/>
  <c r="AA135" i="521"/>
  <c r="AB24" i="521" s="1"/>
  <c r="AB102" i="521" s="1"/>
  <c r="U50" i="521"/>
  <c r="U97" i="521"/>
  <c r="U130" i="521" s="1"/>
  <c r="V19" i="521" s="1"/>
  <c r="AE139" i="521"/>
  <c r="AF28" i="521" s="1"/>
  <c r="AF106" i="521" s="1"/>
  <c r="AF73" i="521"/>
  <c r="AF140" i="521"/>
  <c r="AG29" i="521" s="1"/>
  <c r="AG107" i="521" s="1"/>
  <c r="AG74" i="521"/>
  <c r="X132" i="521"/>
  <c r="Y21" i="521" s="1"/>
  <c r="Y99" i="521" s="1"/>
  <c r="Y66" i="521"/>
  <c r="W64" i="521"/>
  <c r="T61" i="521"/>
  <c r="T52" i="521"/>
  <c r="T58" i="521"/>
  <c r="T59" i="521"/>
  <c r="AG139" i="520" l="1"/>
  <c r="X97" i="520"/>
  <c r="X130" i="520" s="1"/>
  <c r="Y19" i="520" s="1"/>
  <c r="AB132" i="520"/>
  <c r="AC21" i="520" s="1"/>
  <c r="AC99" i="520" s="1"/>
  <c r="AC66" i="520"/>
  <c r="AB133" i="520"/>
  <c r="AC22" i="520" s="1"/>
  <c r="AC100" i="520" s="1"/>
  <c r="AC67" i="520"/>
  <c r="AC134" i="520"/>
  <c r="AD23" i="520" s="1"/>
  <c r="AD101" i="520" s="1"/>
  <c r="AD68" i="520"/>
  <c r="Y64" i="520"/>
  <c r="AC135" i="520"/>
  <c r="AD24" i="520" s="1"/>
  <c r="AD102" i="520" s="1"/>
  <c r="AD69" i="520"/>
  <c r="AD70" i="520"/>
  <c r="AC136" i="520"/>
  <c r="AD25" i="520" s="1"/>
  <c r="AD103" i="520" s="1"/>
  <c r="AF138" i="520"/>
  <c r="AG27" i="520" s="1"/>
  <c r="AG105" i="520" s="1"/>
  <c r="AG72" i="520"/>
  <c r="Y131" i="520"/>
  <c r="Z20" i="520" s="1"/>
  <c r="Z98" i="520" s="1"/>
  <c r="Z65" i="520"/>
  <c r="AF71" i="520"/>
  <c r="AE137" i="520"/>
  <c r="AF26" i="520" s="1"/>
  <c r="AF104" i="520" s="1"/>
  <c r="V97" i="521"/>
  <c r="V130" i="521" s="1"/>
  <c r="W19" i="521" s="1"/>
  <c r="AG73" i="521"/>
  <c r="AF139" i="521"/>
  <c r="AG28" i="521" s="1"/>
  <c r="AG106" i="521" s="1"/>
  <c r="AC69" i="521"/>
  <c r="AB135" i="521"/>
  <c r="AC24" i="521" s="1"/>
  <c r="AC102" i="521" s="1"/>
  <c r="AD137" i="521"/>
  <c r="AE26" i="521" s="1"/>
  <c r="AE104" i="521" s="1"/>
  <c r="AE71" i="521"/>
  <c r="X64" i="521"/>
  <c r="Y132" i="521"/>
  <c r="Z21" i="521" s="1"/>
  <c r="Z99" i="521" s="1"/>
  <c r="Z66" i="521"/>
  <c r="U61" i="521"/>
  <c r="U52" i="521"/>
  <c r="U59" i="521"/>
  <c r="U58" i="521"/>
  <c r="AC136" i="521"/>
  <c r="AD25" i="521" s="1"/>
  <c r="AD103" i="521" s="1"/>
  <c r="AD70" i="521"/>
  <c r="AC67" i="521"/>
  <c r="AB133" i="521"/>
  <c r="AC22" i="521" s="1"/>
  <c r="AC100" i="521" s="1"/>
  <c r="X131" i="521"/>
  <c r="Y20" i="521" s="1"/>
  <c r="Y98" i="521" s="1"/>
  <c r="Y65" i="521"/>
  <c r="AC134" i="521"/>
  <c r="AD23" i="521" s="1"/>
  <c r="AD101" i="521" s="1"/>
  <c r="AD68" i="521"/>
  <c r="AG140" i="521"/>
  <c r="AG138" i="520" l="1"/>
  <c r="Z131" i="520"/>
  <c r="AA20" i="520" s="1"/>
  <c r="AA98" i="520" s="1"/>
  <c r="AA65" i="520"/>
  <c r="AE70" i="520"/>
  <c r="AD136" i="520"/>
  <c r="AE25" i="520" s="1"/>
  <c r="AE103" i="520" s="1"/>
  <c r="AD135" i="520"/>
  <c r="AE24" i="520" s="1"/>
  <c r="AE102" i="520" s="1"/>
  <c r="AE69" i="520"/>
  <c r="AF137" i="520"/>
  <c r="AG26" i="520" s="1"/>
  <c r="AG104" i="520" s="1"/>
  <c r="AG71" i="520"/>
  <c r="Y97" i="520"/>
  <c r="Y130" i="520" s="1"/>
  <c r="Z19" i="520" s="1"/>
  <c r="Z64" i="520"/>
  <c r="AE68" i="520"/>
  <c r="AD134" i="520"/>
  <c r="AE23" i="520" s="1"/>
  <c r="AE101" i="520" s="1"/>
  <c r="AC133" i="520"/>
  <c r="AD22" i="520" s="1"/>
  <c r="AD100" i="520" s="1"/>
  <c r="AD67" i="520"/>
  <c r="AC132" i="520"/>
  <c r="AD21" i="520" s="1"/>
  <c r="AD99" i="520" s="1"/>
  <c r="AD66" i="520"/>
  <c r="AC133" i="521"/>
  <c r="AD22" i="521" s="1"/>
  <c r="AD100" i="521" s="1"/>
  <c r="AD67" i="521"/>
  <c r="AD134" i="521"/>
  <c r="AE23" i="521" s="1"/>
  <c r="AE101" i="521" s="1"/>
  <c r="AE68" i="521"/>
  <c r="AE70" i="521"/>
  <c r="AD136" i="521"/>
  <c r="AE25" i="521" s="1"/>
  <c r="AE103" i="521" s="1"/>
  <c r="AG139" i="521"/>
  <c r="Z132" i="521"/>
  <c r="AA21" i="521" s="1"/>
  <c r="AA99" i="521" s="1"/>
  <c r="AA66" i="521"/>
  <c r="Y64" i="521"/>
  <c r="AE137" i="521"/>
  <c r="AF26" i="521" s="1"/>
  <c r="AF104" i="521" s="1"/>
  <c r="AF71" i="521"/>
  <c r="W97" i="521"/>
  <c r="W130" i="521" s="1"/>
  <c r="X19" i="521" s="1"/>
  <c r="Y131" i="521"/>
  <c r="Z20" i="521" s="1"/>
  <c r="Z98" i="521" s="1"/>
  <c r="Z65" i="521"/>
  <c r="AD69" i="521"/>
  <c r="AC135" i="521"/>
  <c r="AD24" i="521" s="1"/>
  <c r="AD102" i="521" s="1"/>
  <c r="AD132" i="520" l="1"/>
  <c r="AE21" i="520" s="1"/>
  <c r="AE99" i="520" s="1"/>
  <c r="AE66" i="520"/>
  <c r="AD133" i="520"/>
  <c r="AE22" i="520" s="1"/>
  <c r="AE100" i="520" s="1"/>
  <c r="AE67" i="520"/>
  <c r="AF68" i="520"/>
  <c r="AE134" i="520"/>
  <c r="AF23" i="520" s="1"/>
  <c r="AF101" i="520" s="1"/>
  <c r="AA64" i="520"/>
  <c r="AE135" i="520"/>
  <c r="AF24" i="520" s="1"/>
  <c r="AF102" i="520" s="1"/>
  <c r="AF69" i="520"/>
  <c r="AA131" i="520"/>
  <c r="AB20" i="520" s="1"/>
  <c r="AB98" i="520" s="1"/>
  <c r="AB65" i="520"/>
  <c r="Z97" i="520"/>
  <c r="Z130" i="520" s="1"/>
  <c r="AA19" i="520" s="1"/>
  <c r="AG137" i="520"/>
  <c r="AE136" i="520"/>
  <c r="AF25" i="520" s="1"/>
  <c r="AF103" i="520" s="1"/>
  <c r="AF70" i="520"/>
  <c r="Z131" i="521"/>
  <c r="AA20" i="521" s="1"/>
  <c r="AA98" i="521" s="1"/>
  <c r="AA65" i="521"/>
  <c r="AE136" i="521"/>
  <c r="AF25" i="521" s="1"/>
  <c r="AF103" i="521" s="1"/>
  <c r="AF70" i="521"/>
  <c r="Z64" i="521"/>
  <c r="AE134" i="521"/>
  <c r="AF23" i="521" s="1"/>
  <c r="AF101" i="521" s="1"/>
  <c r="AF68" i="521"/>
  <c r="AE69" i="521"/>
  <c r="AD135" i="521"/>
  <c r="AE24" i="521" s="1"/>
  <c r="AE102" i="521" s="1"/>
  <c r="X97" i="521"/>
  <c r="X130" i="521" s="1"/>
  <c r="Y19" i="521" s="1"/>
  <c r="AB66" i="521"/>
  <c r="AA132" i="521"/>
  <c r="AB21" i="521" s="1"/>
  <c r="AB99" i="521" s="1"/>
  <c r="AD133" i="521"/>
  <c r="AE22" i="521" s="1"/>
  <c r="AE100" i="521" s="1"/>
  <c r="AE67" i="521"/>
  <c r="AF137" i="521"/>
  <c r="AG26" i="521" s="1"/>
  <c r="AG104" i="521" s="1"/>
  <c r="AG71" i="521"/>
  <c r="AG137" i="521" l="1"/>
  <c r="AA97" i="520"/>
  <c r="AA130" i="520" s="1"/>
  <c r="AB19" i="520" s="1"/>
  <c r="AF136" i="520"/>
  <c r="AG25" i="520" s="1"/>
  <c r="AG103" i="520" s="1"/>
  <c r="AG70" i="520"/>
  <c r="AB131" i="520"/>
  <c r="AC20" i="520" s="1"/>
  <c r="AC98" i="520" s="1"/>
  <c r="AC65" i="520"/>
  <c r="AB64" i="520"/>
  <c r="AG68" i="520"/>
  <c r="AF134" i="520"/>
  <c r="AG23" i="520" s="1"/>
  <c r="AG101" i="520" s="1"/>
  <c r="AE133" i="520"/>
  <c r="AF22" i="520" s="1"/>
  <c r="AF100" i="520" s="1"/>
  <c r="AF67" i="520"/>
  <c r="AF135" i="520"/>
  <c r="AG24" i="520" s="1"/>
  <c r="AG102" i="520" s="1"/>
  <c r="AG69" i="520"/>
  <c r="AE132" i="520"/>
  <c r="AF21" i="520" s="1"/>
  <c r="AF99" i="520" s="1"/>
  <c r="AF66" i="520"/>
  <c r="Y97" i="521"/>
  <c r="Y130" i="521" s="1"/>
  <c r="Z19" i="521" s="1"/>
  <c r="AF134" i="521"/>
  <c r="AG23" i="521" s="1"/>
  <c r="AG101" i="521" s="1"/>
  <c r="AG68" i="521"/>
  <c r="AA131" i="521"/>
  <c r="AB20" i="521" s="1"/>
  <c r="AB98" i="521" s="1"/>
  <c r="AB65" i="521"/>
  <c r="AC66" i="521"/>
  <c r="AB132" i="521"/>
  <c r="AC21" i="521" s="1"/>
  <c r="AC99" i="521" s="1"/>
  <c r="AF69" i="521"/>
  <c r="AE135" i="521"/>
  <c r="AF24" i="521" s="1"/>
  <c r="AF102" i="521" s="1"/>
  <c r="AA64" i="521"/>
  <c r="AF67" i="521"/>
  <c r="AE133" i="521"/>
  <c r="AF22" i="521" s="1"/>
  <c r="AF100" i="521" s="1"/>
  <c r="AF136" i="521"/>
  <c r="AG25" i="521" s="1"/>
  <c r="AG103" i="521" s="1"/>
  <c r="AG70" i="521"/>
  <c r="AG136" i="520" l="1"/>
  <c r="AG134" i="521"/>
  <c r="AG135" i="520"/>
  <c r="AF132" i="520"/>
  <c r="AG21" i="520" s="1"/>
  <c r="AG99" i="520" s="1"/>
  <c r="AG66" i="520"/>
  <c r="AG134" i="520"/>
  <c r="AG67" i="520"/>
  <c r="AF133" i="520"/>
  <c r="AG22" i="520" s="1"/>
  <c r="AG100" i="520" s="1"/>
  <c r="AB97" i="520"/>
  <c r="AB130" i="520" s="1"/>
  <c r="AC19" i="520" s="1"/>
  <c r="AC131" i="520"/>
  <c r="AD20" i="520" s="1"/>
  <c r="AD98" i="520" s="1"/>
  <c r="AD65" i="520"/>
  <c r="AC64" i="520"/>
  <c r="AG67" i="521"/>
  <c r="AF133" i="521"/>
  <c r="AG22" i="521" s="1"/>
  <c r="AG100" i="521" s="1"/>
  <c r="AB64" i="521"/>
  <c r="AG69" i="521"/>
  <c r="AF135" i="521"/>
  <c r="AG24" i="521" s="1"/>
  <c r="AG102" i="521" s="1"/>
  <c r="AD66" i="521"/>
  <c r="AC132" i="521"/>
  <c r="AD21" i="521" s="1"/>
  <c r="AD99" i="521" s="1"/>
  <c r="AB131" i="521"/>
  <c r="AC20" i="521" s="1"/>
  <c r="AC98" i="521" s="1"/>
  <c r="AC65" i="521"/>
  <c r="Z97" i="521"/>
  <c r="Z130" i="521" s="1"/>
  <c r="AA19" i="521" s="1"/>
  <c r="AG136" i="521"/>
  <c r="AG132" i="520" l="1"/>
  <c r="AC97" i="520"/>
  <c r="AC130" i="520" s="1"/>
  <c r="AD19" i="520" s="1"/>
  <c r="AG133" i="520"/>
  <c r="AD64" i="520"/>
  <c r="AE65" i="520"/>
  <c r="AD131" i="520"/>
  <c r="AE20" i="520" s="1"/>
  <c r="AE98" i="520" s="1"/>
  <c r="AC131" i="521"/>
  <c r="AD20" i="521" s="1"/>
  <c r="AD98" i="521" s="1"/>
  <c r="AD65" i="521"/>
  <c r="AA97" i="521"/>
  <c r="AA130" i="521" s="1"/>
  <c r="AB19" i="521" s="1"/>
  <c r="AG135" i="521"/>
  <c r="AG133" i="521"/>
  <c r="AE66" i="521"/>
  <c r="AD132" i="521"/>
  <c r="AE21" i="521" s="1"/>
  <c r="AE99" i="521" s="1"/>
  <c r="AC64" i="521"/>
  <c r="AF65" i="520" l="1"/>
  <c r="AE131" i="520"/>
  <c r="AF20" i="520" s="1"/>
  <c r="AF98" i="520" s="1"/>
  <c r="AE64" i="520"/>
  <c r="AD97" i="520"/>
  <c r="AD130" i="520" s="1"/>
  <c r="AE19" i="520" s="1"/>
  <c r="AF66" i="521"/>
  <c r="AE132" i="521"/>
  <c r="AF21" i="521" s="1"/>
  <c r="AF99" i="521" s="1"/>
  <c r="AB97" i="521"/>
  <c r="AB130" i="521" s="1"/>
  <c r="AC19" i="521" s="1"/>
  <c r="AD131" i="521"/>
  <c r="AE20" i="521" s="1"/>
  <c r="AE98" i="521" s="1"/>
  <c r="AE65" i="521"/>
  <c r="AD64" i="521"/>
  <c r="AE97" i="520" l="1"/>
  <c r="AE130" i="520" s="1"/>
  <c r="AF19" i="520" s="1"/>
  <c r="AF64" i="520"/>
  <c r="AF131" i="520"/>
  <c r="AG20" i="520" s="1"/>
  <c r="AG98" i="520" s="1"/>
  <c r="AG65" i="520"/>
  <c r="AC97" i="521"/>
  <c r="AC130" i="521" s="1"/>
  <c r="AD19" i="521" s="1"/>
  <c r="AE64" i="521"/>
  <c r="AE131" i="521"/>
  <c r="AF20" i="521" s="1"/>
  <c r="AF98" i="521" s="1"/>
  <c r="AF65" i="521"/>
  <c r="AG66" i="521"/>
  <c r="AF132" i="521"/>
  <c r="AG21" i="521" s="1"/>
  <c r="AG99" i="521" s="1"/>
  <c r="AG131" i="520" l="1"/>
  <c r="AG64" i="520"/>
  <c r="AF97" i="520"/>
  <c r="AF130" i="520" s="1"/>
  <c r="AG19" i="520" s="1"/>
  <c r="AG132" i="521"/>
  <c r="AF131" i="521"/>
  <c r="AG20" i="521" s="1"/>
  <c r="AG98" i="521" s="1"/>
  <c r="AG65" i="521"/>
  <c r="AF64" i="521"/>
  <c r="AD97" i="521"/>
  <c r="AD130" i="521" s="1"/>
  <c r="AE19" i="521" s="1"/>
  <c r="AG131" i="521" l="1"/>
  <c r="AG97" i="520"/>
  <c r="AG130" i="520" s="1"/>
  <c r="AE97" i="521"/>
  <c r="AE130" i="521" s="1"/>
  <c r="AF19" i="521" s="1"/>
  <c r="AG64" i="521"/>
  <c r="AF97" i="521" l="1"/>
  <c r="AF130" i="521" s="1"/>
  <c r="AG19" i="521" s="1"/>
  <c r="AG97" i="521" l="1"/>
  <c r="AG130" i="521" s="1"/>
  <c r="A14" i="519" l="1"/>
  <c r="AA51" i="519" l="1"/>
  <c r="AB51" i="519" s="1"/>
  <c r="AC51" i="519" s="1"/>
  <c r="AD51" i="519" s="1"/>
  <c r="AE51" i="519" s="1"/>
  <c r="AF51" i="519" s="1"/>
  <c r="AG51" i="519" s="1"/>
  <c r="L53" i="519"/>
  <c r="K53" i="519"/>
  <c r="J53" i="519"/>
  <c r="I53" i="519"/>
  <c r="H53" i="519"/>
  <c r="G53" i="519"/>
  <c r="F53" i="519"/>
  <c r="E53" i="519"/>
  <c r="D53" i="519"/>
  <c r="M51" i="519"/>
  <c r="L51" i="519"/>
  <c r="K51" i="519"/>
  <c r="J51" i="519"/>
  <c r="I51" i="519"/>
  <c r="H51" i="519"/>
  <c r="G51" i="519"/>
  <c r="F51" i="519"/>
  <c r="E51" i="519"/>
  <c r="D51" i="519"/>
  <c r="T51" i="519"/>
  <c r="S51" i="519"/>
  <c r="R51" i="519"/>
  <c r="Q51" i="519"/>
  <c r="P51" i="519"/>
  <c r="O51" i="519"/>
  <c r="N51" i="519"/>
  <c r="U51" i="519"/>
  <c r="AM1263" i="1" l="1"/>
  <c r="AL1263" i="1"/>
  <c r="AK1263" i="1"/>
  <c r="AJ1263" i="1"/>
  <c r="AI1263" i="1"/>
  <c r="AH1263" i="1"/>
  <c r="AG1263" i="1"/>
  <c r="AF1263" i="1"/>
  <c r="AE1263" i="1"/>
  <c r="AD1263" i="1"/>
  <c r="AC1263" i="1"/>
  <c r="AB1263" i="1"/>
  <c r="AA1263" i="1"/>
  <c r="Z1263" i="1"/>
  <c r="Y1263" i="1"/>
  <c r="X1263" i="1"/>
  <c r="W1263" i="1"/>
  <c r="V1263" i="1"/>
  <c r="U1263" i="1"/>
  <c r="T1263" i="1"/>
  <c r="R1263" i="1"/>
  <c r="Q1263" i="1"/>
  <c r="P1263" i="1"/>
  <c r="O1263" i="1"/>
  <c r="N1263" i="1"/>
  <c r="M1263" i="1"/>
  <c r="L1263" i="1"/>
  <c r="K1263" i="1"/>
  <c r="J1263" i="1"/>
  <c r="I1263" i="1"/>
  <c r="H1263" i="1"/>
  <c r="G1263" i="1"/>
  <c r="F1263" i="1"/>
  <c r="E1263" i="1"/>
  <c r="D1263" i="1"/>
  <c r="BJ1263" i="1"/>
  <c r="BI1263" i="1"/>
  <c r="D109" i="504" s="1"/>
  <c r="Y110" i="198"/>
  <c r="BV150" i="1"/>
  <c r="D6" i="276" s="1"/>
  <c r="E101" i="523"/>
  <c r="M164" i="523"/>
  <c r="L164" i="523"/>
  <c r="J164" i="523"/>
  <c r="J163" i="523"/>
  <c r="J156" i="523"/>
  <c r="J155" i="523"/>
  <c r="P152" i="523"/>
  <c r="O152" i="523"/>
  <c r="N152" i="523"/>
  <c r="M152" i="523"/>
  <c r="M156" i="523" s="1"/>
  <c r="L152" i="523"/>
  <c r="L156" i="523" s="1"/>
  <c r="M148" i="523"/>
  <c r="J148" i="523"/>
  <c r="J147" i="523"/>
  <c r="N144" i="523"/>
  <c r="O144" i="523" s="1"/>
  <c r="E119" i="523"/>
  <c r="D119" i="523"/>
  <c r="C119" i="523"/>
  <c r="K118" i="523"/>
  <c r="L118" i="523" s="1"/>
  <c r="M118" i="523" s="1"/>
  <c r="N118" i="523" s="1"/>
  <c r="O118" i="523" s="1"/>
  <c r="P118" i="523" s="1"/>
  <c r="Q118" i="523" s="1"/>
  <c r="R118" i="523" s="1"/>
  <c r="S118" i="523" s="1"/>
  <c r="T118" i="523" s="1"/>
  <c r="U118" i="523" s="1"/>
  <c r="V118" i="523" s="1"/>
  <c r="E117" i="523"/>
  <c r="D117" i="523"/>
  <c r="C117" i="523"/>
  <c r="E115" i="523"/>
  <c r="D115" i="523"/>
  <c r="C115" i="523"/>
  <c r="E114" i="523"/>
  <c r="D114" i="523"/>
  <c r="C114" i="523"/>
  <c r="E113" i="523"/>
  <c r="D113" i="523"/>
  <c r="C113" i="523"/>
  <c r="M78" i="523"/>
  <c r="N78" i="523" s="1"/>
  <c r="Z73" i="523"/>
  <c r="AC68" i="523"/>
  <c r="AB68" i="523"/>
  <c r="AA68" i="523"/>
  <c r="Z68" i="523"/>
  <c r="A68" i="523"/>
  <c r="A67" i="523"/>
  <c r="D62" i="523"/>
  <c r="D59" i="523"/>
  <c r="E59" i="523" s="1"/>
  <c r="F59" i="523" s="1"/>
  <c r="G59" i="523" s="1"/>
  <c r="H59" i="523" s="1"/>
  <c r="I59" i="523" s="1"/>
  <c r="J59" i="523" s="1"/>
  <c r="K59" i="523" s="1"/>
  <c r="L59" i="523" s="1"/>
  <c r="M59" i="523" s="1"/>
  <c r="N59" i="523" s="1"/>
  <c r="O59" i="523" s="1"/>
  <c r="P59" i="523" s="1"/>
  <c r="Q59" i="523" s="1"/>
  <c r="R59" i="523" s="1"/>
  <c r="S59" i="523" s="1"/>
  <c r="T59" i="523" s="1"/>
  <c r="U59" i="523" s="1"/>
  <c r="V59" i="523" s="1"/>
  <c r="S52" i="523"/>
  <c r="V39" i="523"/>
  <c r="AA31" i="523"/>
  <c r="D4" i="523"/>
  <c r="K140" i="523" s="1"/>
  <c r="E119" i="504"/>
  <c r="D119" i="504"/>
  <c r="C119" i="504"/>
  <c r="K118" i="504"/>
  <c r="L118" i="504" s="1"/>
  <c r="M118" i="504" s="1"/>
  <c r="N118" i="504" s="1"/>
  <c r="O118" i="504" s="1"/>
  <c r="P118" i="504" s="1"/>
  <c r="Q118" i="504" s="1"/>
  <c r="R118" i="504" s="1"/>
  <c r="S118" i="504" s="1"/>
  <c r="T118" i="504" s="1"/>
  <c r="U118" i="504" s="1"/>
  <c r="V118" i="504" s="1"/>
  <c r="E117" i="504"/>
  <c r="D117" i="504"/>
  <c r="C117" i="504"/>
  <c r="E115" i="504"/>
  <c r="D115" i="504"/>
  <c r="C115" i="504"/>
  <c r="E114" i="504"/>
  <c r="D114" i="504"/>
  <c r="C114" i="504"/>
  <c r="E113" i="504"/>
  <c r="D113" i="504"/>
  <c r="C113" i="504"/>
  <c r="E119" i="503"/>
  <c r="D119" i="503"/>
  <c r="C119" i="503"/>
  <c r="K118" i="503"/>
  <c r="L118" i="503" s="1"/>
  <c r="M118" i="503" s="1"/>
  <c r="N118" i="503" s="1"/>
  <c r="O118" i="503" s="1"/>
  <c r="P118" i="503" s="1"/>
  <c r="Q118" i="503" s="1"/>
  <c r="R118" i="503" s="1"/>
  <c r="S118" i="503" s="1"/>
  <c r="T118" i="503" s="1"/>
  <c r="U118" i="503" s="1"/>
  <c r="V118" i="503" s="1"/>
  <c r="E117" i="503"/>
  <c r="D117" i="503"/>
  <c r="C117" i="503"/>
  <c r="E115" i="503"/>
  <c r="D115" i="503"/>
  <c r="C115" i="503"/>
  <c r="E114" i="503"/>
  <c r="D114" i="503"/>
  <c r="C114" i="503"/>
  <c r="E113" i="503"/>
  <c r="D113" i="503"/>
  <c r="C113" i="503"/>
  <c r="K117" i="198"/>
  <c r="L117" i="198" s="1"/>
  <c r="M117" i="198" s="1"/>
  <c r="N117" i="198" s="1"/>
  <c r="O117" i="198" s="1"/>
  <c r="P117" i="198" s="1"/>
  <c r="Q117" i="198" s="1"/>
  <c r="R117" i="198" s="1"/>
  <c r="S117" i="198" s="1"/>
  <c r="T117" i="198" s="1"/>
  <c r="U117" i="198" s="1"/>
  <c r="V117" i="198" s="1"/>
  <c r="E114" i="198"/>
  <c r="D114" i="198"/>
  <c r="C114" i="198"/>
  <c r="BJ1264" i="1"/>
  <c r="BI1264" i="1"/>
  <c r="BH1264" i="1"/>
  <c r="BF1264" i="1"/>
  <c r="BE1264" i="1"/>
  <c r="BD1264" i="1"/>
  <c r="BC1264" i="1"/>
  <c r="BB1264" i="1"/>
  <c r="BA1264" i="1"/>
  <c r="AZ1264" i="1"/>
  <c r="AY1264" i="1"/>
  <c r="AX1264" i="1"/>
  <c r="AW1264" i="1"/>
  <c r="AV1264" i="1"/>
  <c r="AU1264" i="1"/>
  <c r="AT1264" i="1"/>
  <c r="AS1264" i="1"/>
  <c r="AL1264" i="1"/>
  <c r="AK1264" i="1"/>
  <c r="AJ1264" i="1"/>
  <c r="AI1264" i="1"/>
  <c r="AH1264" i="1"/>
  <c r="AG1264" i="1"/>
  <c r="AF1264" i="1"/>
  <c r="AE1264" i="1"/>
  <c r="AD1264" i="1"/>
  <c r="AC1264" i="1"/>
  <c r="AB1264" i="1"/>
  <c r="AA1264" i="1"/>
  <c r="Z1264" i="1"/>
  <c r="Y1264" i="1"/>
  <c r="X1264" i="1"/>
  <c r="W1264" i="1"/>
  <c r="V1264" i="1"/>
  <c r="U1264" i="1"/>
  <c r="T1264" i="1"/>
  <c r="R1264" i="1"/>
  <c r="Q1264" i="1"/>
  <c r="P1264" i="1"/>
  <c r="O1264" i="1"/>
  <c r="N1264" i="1"/>
  <c r="M1264" i="1"/>
  <c r="L1264" i="1"/>
  <c r="K1264" i="1"/>
  <c r="J1264" i="1"/>
  <c r="I1264" i="1"/>
  <c r="H1264" i="1"/>
  <c r="G1264" i="1"/>
  <c r="F1264" i="1"/>
  <c r="E1264" i="1"/>
  <c r="D1264" i="1"/>
  <c r="AM1264" i="1"/>
  <c r="BF1263" i="1"/>
  <c r="AS1263" i="1"/>
  <c r="U187" i="519"/>
  <c r="U185" i="519"/>
  <c r="U192" i="519" s="1"/>
  <c r="U170" i="519"/>
  <c r="U179" i="519" s="1"/>
  <c r="U57" i="519"/>
  <c r="E116" i="198"/>
  <c r="D116" i="198"/>
  <c r="C116" i="198"/>
  <c r="E113" i="198"/>
  <c r="D113" i="198"/>
  <c r="C113" i="198"/>
  <c r="E112" i="198"/>
  <c r="D112" i="198"/>
  <c r="C112" i="198"/>
  <c r="E118" i="198"/>
  <c r="D118" i="198"/>
  <c r="C118" i="198"/>
  <c r="BF1267" i="1"/>
  <c r="N156" i="523" l="1"/>
  <c r="C116" i="504"/>
  <c r="C120" i="504" s="1"/>
  <c r="O156" i="523"/>
  <c r="D116" i="503"/>
  <c r="D120" i="503" s="1"/>
  <c r="E115" i="198"/>
  <c r="E119" i="198" s="1"/>
  <c r="AS1265" i="1"/>
  <c r="E116" i="503"/>
  <c r="E120" i="503" s="1"/>
  <c r="E116" i="504"/>
  <c r="E120" i="504" s="1"/>
  <c r="D108" i="198"/>
  <c r="C116" i="523"/>
  <c r="C120" i="523" s="1"/>
  <c r="D116" i="523"/>
  <c r="D120" i="523" s="1"/>
  <c r="E116" i="523"/>
  <c r="E120" i="523" s="1"/>
  <c r="C116" i="503"/>
  <c r="C120" i="503" s="1"/>
  <c r="D116" i="504"/>
  <c r="D120" i="504" s="1"/>
  <c r="D123" i="504" s="1"/>
  <c r="D109" i="503"/>
  <c r="D109" i="523"/>
  <c r="T52" i="523"/>
  <c r="O78" i="523"/>
  <c r="P144" i="523"/>
  <c r="O164" i="523"/>
  <c r="N164" i="523"/>
  <c r="C115" i="198"/>
  <c r="C119" i="198" s="1"/>
  <c r="D115" i="198"/>
  <c r="D119" i="198" s="1"/>
  <c r="BF1265" i="1"/>
  <c r="BI1265" i="1"/>
  <c r="D123" i="503" l="1"/>
  <c r="D123" i="523"/>
  <c r="P78" i="523"/>
  <c r="P164" i="523"/>
  <c r="P156" i="523"/>
  <c r="U52" i="523"/>
  <c r="BO131" i="1"/>
  <c r="V52" i="523" l="1"/>
  <c r="Q78" i="523"/>
  <c r="S28" i="522"/>
  <c r="S60" i="522" s="1"/>
  <c r="S25" i="522"/>
  <c r="S14" i="522"/>
  <c r="S13" i="522"/>
  <c r="S12" i="522"/>
  <c r="S11" i="522"/>
  <c r="S10" i="522"/>
  <c r="AB15" i="522"/>
  <c r="E101" i="504"/>
  <c r="M78" i="504"/>
  <c r="N78" i="504" s="1"/>
  <c r="O78" i="504" s="1"/>
  <c r="P78" i="504" s="1"/>
  <c r="Q78" i="504" s="1"/>
  <c r="A68" i="504"/>
  <c r="A67" i="504"/>
  <c r="D62" i="504"/>
  <c r="D59" i="504"/>
  <c r="E59" i="504" s="1"/>
  <c r="F59" i="504" s="1"/>
  <c r="G59" i="504" s="1"/>
  <c r="H59" i="504" s="1"/>
  <c r="I59" i="504" s="1"/>
  <c r="J59" i="504" s="1"/>
  <c r="K59" i="504" s="1"/>
  <c r="L59" i="504" s="1"/>
  <c r="M59" i="504" s="1"/>
  <c r="N59" i="504" s="1"/>
  <c r="O59" i="504" s="1"/>
  <c r="P59" i="504" s="1"/>
  <c r="Q59" i="504" s="1"/>
  <c r="R59" i="504" s="1"/>
  <c r="S59" i="504" s="1"/>
  <c r="T59" i="504" s="1"/>
  <c r="U59" i="504" s="1"/>
  <c r="V59" i="504" s="1"/>
  <c r="V39" i="504"/>
  <c r="AA31" i="504"/>
  <c r="K12" i="504"/>
  <c r="L10" i="504"/>
  <c r="M9" i="504"/>
  <c r="M10" i="504" s="1"/>
  <c r="K7" i="504"/>
  <c r="D4" i="504"/>
  <c r="E101" i="503"/>
  <c r="M78" i="503"/>
  <c r="A73" i="503"/>
  <c r="A73" i="504" s="1"/>
  <c r="A68" i="503"/>
  <c r="A67" i="503"/>
  <c r="D62" i="503"/>
  <c r="D59" i="503"/>
  <c r="E59" i="503" s="1"/>
  <c r="F59" i="503" s="1"/>
  <c r="G59" i="503" s="1"/>
  <c r="H59" i="503" s="1"/>
  <c r="I59" i="503" s="1"/>
  <c r="J59" i="503" s="1"/>
  <c r="K59" i="503" s="1"/>
  <c r="L59" i="503" s="1"/>
  <c r="M59" i="503" s="1"/>
  <c r="N59" i="503" s="1"/>
  <c r="O59" i="503" s="1"/>
  <c r="P59" i="503" s="1"/>
  <c r="Q59" i="503" s="1"/>
  <c r="R59" i="503" s="1"/>
  <c r="S59" i="503" s="1"/>
  <c r="T59" i="503" s="1"/>
  <c r="U59" i="503" s="1"/>
  <c r="V59" i="503" s="1"/>
  <c r="V39" i="503"/>
  <c r="AA31" i="503"/>
  <c r="K12" i="503"/>
  <c r="L10" i="503"/>
  <c r="M9" i="503"/>
  <c r="M10" i="503" s="1"/>
  <c r="K7" i="503"/>
  <c r="D4" i="503"/>
  <c r="AG1" i="519"/>
  <c r="V38" i="198"/>
  <c r="BO328" i="1"/>
  <c r="BO326" i="1"/>
  <c r="BO325" i="1"/>
  <c r="BO290" i="1"/>
  <c r="BO847" i="1"/>
  <c r="BO846" i="1"/>
  <c r="BO839" i="1"/>
  <c r="BO838" i="1"/>
  <c r="BO837" i="1"/>
  <c r="AM937" i="1"/>
  <c r="AM936" i="1"/>
  <c r="AM935" i="1"/>
  <c r="AM934" i="1"/>
  <c r="AM923" i="1"/>
  <c r="AM922" i="1"/>
  <c r="BO930" i="1"/>
  <c r="BO929" i="1"/>
  <c r="BO924" i="1"/>
  <c r="AM924" i="1" s="1"/>
  <c r="BO944" i="1"/>
  <c r="BO943" i="1"/>
  <c r="BO942" i="1"/>
  <c r="BO941" i="1"/>
  <c r="BO938" i="1"/>
  <c r="AM938" i="1" s="1"/>
  <c r="BO1086" i="1"/>
  <c r="BO1084" i="1"/>
  <c r="BO1082" i="1"/>
  <c r="BO1081" i="1"/>
  <c r="BO1080" i="1"/>
  <c r="BO1079" i="1"/>
  <c r="BO1067" i="1"/>
  <c r="BO1066" i="1"/>
  <c r="BO1057" i="1"/>
  <c r="BO1056" i="1"/>
  <c r="BO1199" i="1"/>
  <c r="BO1182" i="1"/>
  <c r="BO1179" i="1"/>
  <c r="BO1178" i="1"/>
  <c r="BO1177" i="1"/>
  <c r="BO1176" i="1"/>
  <c r="BO1175" i="1"/>
  <c r="BO1174" i="1"/>
  <c r="BO1173" i="1"/>
  <c r="BO1172" i="1"/>
  <c r="BO1171" i="1"/>
  <c r="BO1170" i="1"/>
  <c r="BO1166" i="1"/>
  <c r="BO1165" i="1"/>
  <c r="BO1164" i="1"/>
  <c r="BO1163" i="1"/>
  <c r="BO1162" i="1"/>
  <c r="BO1161" i="1"/>
  <c r="BO1157" i="1"/>
  <c r="BO1156" i="1"/>
  <c r="BO1155" i="1"/>
  <c r="BO1154" i="1"/>
  <c r="BO1153" i="1"/>
  <c r="BO1152" i="1"/>
  <c r="BO1151" i="1"/>
  <c r="BO1150" i="1"/>
  <c r="BO1149" i="1"/>
  <c r="BO1148" i="1"/>
  <c r="BO1147" i="1"/>
  <c r="BO1146" i="1"/>
  <c r="BO1145" i="1"/>
  <c r="BO1191" i="1" s="1"/>
  <c r="BO1144" i="1"/>
  <c r="BO1143" i="1"/>
  <c r="BO1142" i="1"/>
  <c r="BO1141" i="1"/>
  <c r="BO1246" i="1"/>
  <c r="BO1245" i="1"/>
  <c r="BO1244" i="1"/>
  <c r="BO1240" i="1"/>
  <c r="BO1239" i="1"/>
  <c r="BO1238" i="1"/>
  <c r="BO1237" i="1"/>
  <c r="BO1236" i="1"/>
  <c r="BO1235" i="1"/>
  <c r="BO1233" i="1"/>
  <c r="BO1232" i="1"/>
  <c r="BO1231" i="1"/>
  <c r="BO1230" i="1"/>
  <c r="BO1229" i="1"/>
  <c r="BO1228" i="1"/>
  <c r="BO1227" i="1"/>
  <c r="BO1226" i="1"/>
  <c r="BO1222" i="1"/>
  <c r="BO1221" i="1"/>
  <c r="BO1220" i="1"/>
  <c r="BO1219" i="1"/>
  <c r="BO1218" i="1"/>
  <c r="BO1217" i="1"/>
  <c r="BO1216" i="1"/>
  <c r="BO1214" i="1"/>
  <c r="BO1213" i="1"/>
  <c r="BO1212" i="1"/>
  <c r="BO1211" i="1"/>
  <c r="BO1210" i="1"/>
  <c r="BO1209" i="1"/>
  <c r="BO1316" i="1"/>
  <c r="BO1315" i="1"/>
  <c r="BO1314" i="1"/>
  <c r="BO1259" i="1"/>
  <c r="AM1255" i="1"/>
  <c r="BO1252" i="1"/>
  <c r="BO1251" i="1"/>
  <c r="AM1253" i="1"/>
  <c r="BO640" i="1"/>
  <c r="BO639" i="1"/>
  <c r="BO638" i="1"/>
  <c r="BO634" i="1"/>
  <c r="BO631" i="1"/>
  <c r="BO630" i="1"/>
  <c r="BO629" i="1"/>
  <c r="BO625" i="1"/>
  <c r="BO492" i="1"/>
  <c r="BO477" i="1"/>
  <c r="BO469" i="1"/>
  <c r="BO468" i="1"/>
  <c r="BO467" i="1"/>
  <c r="BO466" i="1"/>
  <c r="BO465" i="1"/>
  <c r="BO464" i="1"/>
  <c r="BO456" i="1"/>
  <c r="BO455" i="1"/>
  <c r="BO454" i="1"/>
  <c r="BO453" i="1"/>
  <c r="BO452" i="1"/>
  <c r="BO451" i="1"/>
  <c r="BO130" i="1"/>
  <c r="BO123" i="1"/>
  <c r="AM1121" i="1"/>
  <c r="AM1120" i="1"/>
  <c r="AM1119" i="1"/>
  <c r="AM1118" i="1"/>
  <c r="AM1117" i="1"/>
  <c r="AM68" i="1" s="1"/>
  <c r="AM1122" i="1"/>
  <c r="BO1123" i="1"/>
  <c r="BO1014" i="1"/>
  <c r="BO1013" i="1"/>
  <c r="BO1012" i="1"/>
  <c r="BO1011" i="1"/>
  <c r="BO1010" i="1"/>
  <c r="BO1009" i="1"/>
  <c r="BO1008" i="1"/>
  <c r="BO1007" i="1"/>
  <c r="AM1002" i="1"/>
  <c r="AM957" i="1" s="1"/>
  <c r="BO957" i="1" s="1"/>
  <c r="AM1001" i="1"/>
  <c r="AM1000" i="1"/>
  <c r="AM959" i="1" s="1"/>
  <c r="BO959" i="1" s="1"/>
  <c r="AM999" i="1"/>
  <c r="AM998" i="1"/>
  <c r="AM997" i="1"/>
  <c r="AM955" i="1" s="1"/>
  <c r="AM996" i="1"/>
  <c r="AM995" i="1"/>
  <c r="AM138" i="1"/>
  <c r="AM134" i="1"/>
  <c r="AM133" i="1"/>
  <c r="AM132" i="1"/>
  <c r="AM129" i="1"/>
  <c r="AM121" i="1"/>
  <c r="AM114" i="1"/>
  <c r="AM88" i="1"/>
  <c r="S27" i="522" s="1"/>
  <c r="AM75" i="1"/>
  <c r="E104" i="523" s="1"/>
  <c r="D101" i="523" s="1"/>
  <c r="AM71" i="1"/>
  <c r="AM31" i="1"/>
  <c r="AM904" i="1" s="1"/>
  <c r="AM30" i="1"/>
  <c r="AM903" i="1" s="1"/>
  <c r="AM29" i="1"/>
  <c r="AM902" i="1" s="1"/>
  <c r="AM876" i="1"/>
  <c r="AM824" i="1"/>
  <c r="AM823" i="1"/>
  <c r="AM822" i="1"/>
  <c r="AM814" i="1"/>
  <c r="AM805" i="1"/>
  <c r="AM798" i="1"/>
  <c r="AM797" i="1"/>
  <c r="AU25" i="468"/>
  <c r="AM658" i="1"/>
  <c r="AM656" i="1"/>
  <c r="AM617" i="1"/>
  <c r="AM526" i="1"/>
  <c r="AM524" i="1"/>
  <c r="AM523" i="1"/>
  <c r="AM478" i="1"/>
  <c r="BO478" i="1" s="1"/>
  <c r="AM437" i="1"/>
  <c r="AM418" i="1"/>
  <c r="AM309" i="1"/>
  <c r="AM280" i="1"/>
  <c r="AQ280" i="1" s="1"/>
  <c r="AM279" i="1"/>
  <c r="AQ279" i="1" s="1"/>
  <c r="AM1109" i="1"/>
  <c r="AM825" i="1"/>
  <c r="AM1198" i="1"/>
  <c r="AM1197" i="1" s="1"/>
  <c r="S23" i="522" s="1"/>
  <c r="S55" i="522" s="1"/>
  <c r="AM1334" i="1"/>
  <c r="AM1333" i="1"/>
  <c r="AM1332" i="1"/>
  <c r="AM1328" i="1"/>
  <c r="AM1327" i="1"/>
  <c r="AM1326" i="1"/>
  <c r="AM1322" i="1"/>
  <c r="AM1321" i="1"/>
  <c r="AM1320" i="1"/>
  <c r="AM1317" i="1"/>
  <c r="AM1191" i="1"/>
  <c r="AM1167" i="1"/>
  <c r="AM1180" i="1"/>
  <c r="AM1158" i="1"/>
  <c r="AM1247" i="1"/>
  <c r="AM1234" i="1"/>
  <c r="BO1234" i="1" s="1"/>
  <c r="AM1215" i="1"/>
  <c r="AM1071" i="1"/>
  <c r="AM1076" i="1" s="1"/>
  <c r="AM1070" i="1"/>
  <c r="AM1075" i="1" s="1"/>
  <c r="AM1068" i="1"/>
  <c r="AM1062" i="1"/>
  <c r="AM1061" i="1"/>
  <c r="BO1279" i="1" l="1"/>
  <c r="AM743" i="1"/>
  <c r="AM748" i="1" s="1"/>
  <c r="BO955" i="1"/>
  <c r="BO138" i="1"/>
  <c r="AM384" i="1"/>
  <c r="AM518" i="1" s="1"/>
  <c r="AM137" i="1"/>
  <c r="BO137" i="1" s="1"/>
  <c r="AN1256" i="1"/>
  <c r="U177" i="520"/>
  <c r="U177" i="521"/>
  <c r="U191" i="521"/>
  <c r="U194" i="521" s="1"/>
  <c r="U191" i="520"/>
  <c r="U194" i="520" s="1"/>
  <c r="AB25" i="522"/>
  <c r="U177" i="519"/>
  <c r="BO1263" i="1"/>
  <c r="J117" i="523"/>
  <c r="K117" i="523" s="1"/>
  <c r="L117" i="523" s="1"/>
  <c r="M117" i="523" s="1"/>
  <c r="N117" i="523" s="1"/>
  <c r="O117" i="523" s="1"/>
  <c r="P117" i="523" s="1"/>
  <c r="Q117" i="523" s="1"/>
  <c r="R117" i="523" s="1"/>
  <c r="S117" i="523" s="1"/>
  <c r="T117" i="523" s="1"/>
  <c r="U117" i="523" s="1"/>
  <c r="V117" i="523" s="1"/>
  <c r="J116" i="198"/>
  <c r="K116" i="198" s="1"/>
  <c r="L116" i="198" s="1"/>
  <c r="M116" i="198" s="1"/>
  <c r="N116" i="198" s="1"/>
  <c r="O116" i="198" s="1"/>
  <c r="P116" i="198" s="1"/>
  <c r="Q116" i="198" s="1"/>
  <c r="R116" i="198" s="1"/>
  <c r="S116" i="198" s="1"/>
  <c r="T116" i="198" s="1"/>
  <c r="U116" i="198" s="1"/>
  <c r="V116" i="198" s="1"/>
  <c r="J117" i="504"/>
  <c r="K117" i="504" s="1"/>
  <c r="L117" i="504" s="1"/>
  <c r="M117" i="504" s="1"/>
  <c r="N117" i="504" s="1"/>
  <c r="O117" i="504" s="1"/>
  <c r="P117" i="504" s="1"/>
  <c r="Q117" i="504" s="1"/>
  <c r="R117" i="504" s="1"/>
  <c r="S117" i="504" s="1"/>
  <c r="T117" i="504" s="1"/>
  <c r="U117" i="504" s="1"/>
  <c r="V117" i="504" s="1"/>
  <c r="J117" i="503"/>
  <c r="K117" i="503" s="1"/>
  <c r="L117" i="503" s="1"/>
  <c r="M117" i="503" s="1"/>
  <c r="N117" i="503" s="1"/>
  <c r="O117" i="503" s="1"/>
  <c r="P117" i="503" s="1"/>
  <c r="Q117" i="503" s="1"/>
  <c r="R117" i="503" s="1"/>
  <c r="S117" i="503" s="1"/>
  <c r="T117" i="503" s="1"/>
  <c r="U117" i="503" s="1"/>
  <c r="V117" i="503" s="1"/>
  <c r="J113" i="504"/>
  <c r="J113" i="523"/>
  <c r="J113" i="503"/>
  <c r="J112" i="198"/>
  <c r="J115" i="504"/>
  <c r="J115" i="523"/>
  <c r="J115" i="503"/>
  <c r="J114" i="198"/>
  <c r="K96" i="523"/>
  <c r="J114" i="504"/>
  <c r="J114" i="523"/>
  <c r="J114" i="503"/>
  <c r="J113" i="198"/>
  <c r="AM1265" i="1"/>
  <c r="AN1266" i="1" s="1"/>
  <c r="BO1264" i="1"/>
  <c r="J119" i="503"/>
  <c r="J119" i="504"/>
  <c r="J119" i="523"/>
  <c r="J118" i="198"/>
  <c r="AB28" i="522"/>
  <c r="U191" i="519"/>
  <c r="U194" i="519" s="1"/>
  <c r="R78" i="523"/>
  <c r="BO1215" i="1"/>
  <c r="AM796" i="1"/>
  <c r="AM829" i="1"/>
  <c r="S15" i="522"/>
  <c r="BO931" i="1"/>
  <c r="AM1259" i="1"/>
  <c r="AM69" i="1"/>
  <c r="AM70" i="1" s="1"/>
  <c r="BO1253" i="1"/>
  <c r="AM1340" i="1"/>
  <c r="AM1339" i="1"/>
  <c r="S59" i="522"/>
  <c r="S41" i="522"/>
  <c r="AM520" i="1"/>
  <c r="I16" i="525" s="1"/>
  <c r="AM1223" i="1"/>
  <c r="BO1223" i="1" s="1"/>
  <c r="AM1123" i="1"/>
  <c r="AM1241" i="1"/>
  <c r="BO1241" i="1" s="1"/>
  <c r="BO1247" i="1"/>
  <c r="AM128" i="1"/>
  <c r="AM125" i="1" s="1"/>
  <c r="AM1194" i="1"/>
  <c r="AM650" i="1"/>
  <c r="I31" i="525" s="1"/>
  <c r="E104" i="504"/>
  <c r="D101" i="504" s="1"/>
  <c r="E104" i="503"/>
  <c r="AM868" i="1"/>
  <c r="I39" i="525" s="1"/>
  <c r="S24" i="522"/>
  <c r="S56" i="522" s="1"/>
  <c r="AM281" i="1"/>
  <c r="S57" i="522"/>
  <c r="S19" i="522"/>
  <c r="AM1183" i="1"/>
  <c r="AM620" i="1"/>
  <c r="BO1198" i="1"/>
  <c r="U174" i="519" s="1"/>
  <c r="AM821" i="1"/>
  <c r="AM440" i="1"/>
  <c r="AM1335" i="1"/>
  <c r="N9" i="504"/>
  <c r="R78" i="504"/>
  <c r="N9" i="503"/>
  <c r="N78" i="503"/>
  <c r="AM32" i="1"/>
  <c r="AM905" i="1"/>
  <c r="AM1338" i="1"/>
  <c r="BO918" i="1" l="1"/>
  <c r="BO925" i="1"/>
  <c r="AN906" i="1"/>
  <c r="AM1258" i="1"/>
  <c r="AN1260" i="1" s="1"/>
  <c r="AM139" i="1"/>
  <c r="AM1271" i="1" s="1"/>
  <c r="AQ748" i="1"/>
  <c r="BO748" i="1"/>
  <c r="BO743" i="1"/>
  <c r="AM698" i="1"/>
  <c r="AM337" i="1"/>
  <c r="BO384" i="1"/>
  <c r="AN33" i="1"/>
  <c r="U174" i="521"/>
  <c r="U174" i="520"/>
  <c r="I49" i="525"/>
  <c r="I43" i="525"/>
  <c r="I51" i="525"/>
  <c r="I48" i="525"/>
  <c r="AM869" i="1"/>
  <c r="D102" i="523"/>
  <c r="E102" i="523" s="1"/>
  <c r="U195" i="521"/>
  <c r="U53" i="521"/>
  <c r="U53" i="520"/>
  <c r="U195" i="520"/>
  <c r="U203" i="521"/>
  <c r="U205" i="521" s="1"/>
  <c r="U14" i="521"/>
  <c r="U15" i="521" s="1"/>
  <c r="V15" i="521" s="1"/>
  <c r="U178" i="521"/>
  <c r="V178" i="521" s="1"/>
  <c r="U203" i="520"/>
  <c r="U205" i="520" s="1"/>
  <c r="U14" i="520"/>
  <c r="U15" i="520" s="1"/>
  <c r="V15" i="520" s="1"/>
  <c r="U178" i="520"/>
  <c r="V178" i="520" s="1"/>
  <c r="U195" i="519"/>
  <c r="U53" i="519"/>
  <c r="S21" i="522"/>
  <c r="S47" i="522"/>
  <c r="J115" i="198"/>
  <c r="J119" i="198" s="1"/>
  <c r="J108" i="198"/>
  <c r="J109" i="503"/>
  <c r="J109" i="504"/>
  <c r="J109" i="523"/>
  <c r="J116" i="503"/>
  <c r="J116" i="523"/>
  <c r="J116" i="504"/>
  <c r="S78" i="523"/>
  <c r="BO1265" i="1"/>
  <c r="AM1248" i="1"/>
  <c r="BO1248" i="1" s="1"/>
  <c r="BO1258" i="1"/>
  <c r="D101" i="503"/>
  <c r="BO1197" i="1"/>
  <c r="AB24" i="522"/>
  <c r="K96" i="504"/>
  <c r="N10" i="504"/>
  <c r="O9" i="504"/>
  <c r="S78" i="504"/>
  <c r="O9" i="503"/>
  <c r="N10" i="503"/>
  <c r="O78" i="503"/>
  <c r="AM270" i="1"/>
  <c r="AM702" i="1" l="1"/>
  <c r="AM215" i="1"/>
  <c r="AQ743" i="1"/>
  <c r="BP748" i="1"/>
  <c r="BP755" i="1" s="1"/>
  <c r="AM729" i="1"/>
  <c r="AM218" i="1" s="1"/>
  <c r="BO337" i="1"/>
  <c r="V49" i="525"/>
  <c r="I50" i="525"/>
  <c r="I52" i="525" s="1"/>
  <c r="D102" i="503"/>
  <c r="E102" i="503" s="1"/>
  <c r="D103" i="523"/>
  <c r="E103" i="523" s="1"/>
  <c r="D102" i="504"/>
  <c r="E102" i="504" s="1"/>
  <c r="V53" i="521"/>
  <c r="U54" i="521"/>
  <c r="V53" i="520"/>
  <c r="U54" i="520"/>
  <c r="V53" i="519"/>
  <c r="K72" i="198" s="1"/>
  <c r="J39" i="523"/>
  <c r="J73" i="523"/>
  <c r="J120" i="523"/>
  <c r="J123" i="523" s="1"/>
  <c r="J39" i="503"/>
  <c r="J120" i="503"/>
  <c r="J123" i="503" s="1"/>
  <c r="J39" i="504"/>
  <c r="J120" i="504"/>
  <c r="J123" i="504" s="1"/>
  <c r="T78" i="523"/>
  <c r="K96" i="503"/>
  <c r="AB23" i="522"/>
  <c r="T78" i="504"/>
  <c r="P9" i="504"/>
  <c r="O10" i="504"/>
  <c r="P9" i="503"/>
  <c r="O10" i="503"/>
  <c r="P78" i="503"/>
  <c r="Z72" i="198"/>
  <c r="AQ744" i="1" l="1"/>
  <c r="BP743" i="1"/>
  <c r="BP744" i="1" s="1"/>
  <c r="D103" i="504"/>
  <c r="E103" i="504" s="1"/>
  <c r="D103" i="503"/>
  <c r="E103" i="503" s="1"/>
  <c r="W53" i="520"/>
  <c r="K73" i="504"/>
  <c r="W53" i="521"/>
  <c r="K73" i="503"/>
  <c r="W53" i="519"/>
  <c r="L72" i="198" s="1"/>
  <c r="K39" i="523"/>
  <c r="K73" i="523"/>
  <c r="U78" i="523"/>
  <c r="Q9" i="504"/>
  <c r="P10" i="504"/>
  <c r="U78" i="504"/>
  <c r="Q78" i="503"/>
  <c r="Q9" i="503"/>
  <c r="P10" i="503"/>
  <c r="BH94" i="1"/>
  <c r="BE94" i="1"/>
  <c r="BD94" i="1"/>
  <c r="BG94" i="1" s="1"/>
  <c r="BC94" i="1"/>
  <c r="BB94" i="1"/>
  <c r="BA94" i="1"/>
  <c r="AZ94" i="1"/>
  <c r="AY94" i="1"/>
  <c r="AX94" i="1"/>
  <c r="AW94" i="1"/>
  <c r="AV94" i="1"/>
  <c r="AU94" i="1"/>
  <c r="AT94" i="1"/>
  <c r="C52" i="519"/>
  <c r="BP122" i="1"/>
  <c r="S57" i="519"/>
  <c r="R57" i="519"/>
  <c r="Q57" i="519"/>
  <c r="P57" i="519"/>
  <c r="O57" i="519"/>
  <c r="N57" i="519"/>
  <c r="M57" i="519"/>
  <c r="T57" i="519"/>
  <c r="S185" i="519"/>
  <c r="S192" i="519" s="1"/>
  <c r="R185" i="519"/>
  <c r="R192" i="519" s="1"/>
  <c r="Q185" i="519"/>
  <c r="Q192" i="519" s="1"/>
  <c r="P185" i="519"/>
  <c r="P192" i="519" s="1"/>
  <c r="O185" i="519"/>
  <c r="O192" i="519" s="1"/>
  <c r="N185" i="519"/>
  <c r="N192" i="519" s="1"/>
  <c r="M185" i="519"/>
  <c r="M192" i="519" s="1"/>
  <c r="C185" i="519"/>
  <c r="C192" i="519" s="1"/>
  <c r="T185" i="519"/>
  <c r="T192" i="519" s="1"/>
  <c r="T187" i="519"/>
  <c r="U184" i="519" s="1"/>
  <c r="U186" i="519" s="1"/>
  <c r="AO797" i="1"/>
  <c r="X53" i="521" l="1"/>
  <c r="L73" i="503"/>
  <c r="X53" i="520"/>
  <c r="L73" i="504"/>
  <c r="X53" i="519"/>
  <c r="M72" i="198" s="1"/>
  <c r="L39" i="523"/>
  <c r="L73" i="523"/>
  <c r="V78" i="523"/>
  <c r="AQ122" i="1"/>
  <c r="AO122" i="1"/>
  <c r="AP122" i="1"/>
  <c r="K39" i="504"/>
  <c r="K39" i="503"/>
  <c r="V78" i="504"/>
  <c r="Q10" i="504"/>
  <c r="R9" i="504"/>
  <c r="Q10" i="503"/>
  <c r="R9" i="503"/>
  <c r="R78" i="503"/>
  <c r="K187" i="519"/>
  <c r="K191" i="519"/>
  <c r="J191" i="519"/>
  <c r="I191" i="519"/>
  <c r="H191" i="519"/>
  <c r="G191" i="519"/>
  <c r="F191" i="519"/>
  <c r="E191" i="519"/>
  <c r="D191" i="519"/>
  <c r="L191" i="519"/>
  <c r="P191" i="519"/>
  <c r="P194" i="519" s="1"/>
  <c r="O191" i="519"/>
  <c r="O194" i="519" s="1"/>
  <c r="N191" i="519"/>
  <c r="N194" i="519" s="1"/>
  <c r="M191" i="519"/>
  <c r="M194" i="519" s="1"/>
  <c r="Y53" i="520" l="1"/>
  <c r="M73" i="504"/>
  <c r="Y53" i="521"/>
  <c r="M73" i="503"/>
  <c r="M195" i="519"/>
  <c r="L195" i="519" s="1"/>
  <c r="K195" i="519" s="1"/>
  <c r="J195" i="519" s="1"/>
  <c r="I195" i="519" s="1"/>
  <c r="H195" i="519" s="1"/>
  <c r="G195" i="519" s="1"/>
  <c r="F195" i="519" s="1"/>
  <c r="E195" i="519" s="1"/>
  <c r="D195" i="519" s="1"/>
  <c r="M53" i="519"/>
  <c r="N195" i="519"/>
  <c r="N53" i="519"/>
  <c r="O195" i="519"/>
  <c r="O53" i="519"/>
  <c r="P195" i="519"/>
  <c r="P53" i="519"/>
  <c r="Y53" i="519"/>
  <c r="N72" i="198" s="1"/>
  <c r="M39" i="523"/>
  <c r="M73" i="523"/>
  <c r="L39" i="503"/>
  <c r="L39" i="504"/>
  <c r="R10" i="504"/>
  <c r="S9" i="504"/>
  <c r="S78" i="503"/>
  <c r="R10" i="503"/>
  <c r="S9" i="503"/>
  <c r="BI87" i="1"/>
  <c r="BJ87" i="1"/>
  <c r="BK87" i="1"/>
  <c r="BL87" i="1"/>
  <c r="BM87" i="1"/>
  <c r="BN87" i="1"/>
  <c r="AJ87" i="1"/>
  <c r="AK87" i="1" s="1"/>
  <c r="Z53" i="521" l="1"/>
  <c r="N73" i="503"/>
  <c r="Z53" i="520"/>
  <c r="N73" i="504"/>
  <c r="Z53" i="519"/>
  <c r="O72" i="198" s="1"/>
  <c r="N39" i="523"/>
  <c r="N73" i="523"/>
  <c r="M39" i="503"/>
  <c r="M39" i="504"/>
  <c r="S10" i="504"/>
  <c r="T9" i="504"/>
  <c r="S10" i="503"/>
  <c r="T9" i="503"/>
  <c r="T78" i="503"/>
  <c r="AL87" i="1"/>
  <c r="AM87" i="1" s="1"/>
  <c r="AA53" i="520" l="1"/>
  <c r="O73" i="504"/>
  <c r="AA53" i="521"/>
  <c r="O73" i="503"/>
  <c r="AA53" i="519"/>
  <c r="P72" i="198" s="1"/>
  <c r="O39" i="523"/>
  <c r="O73" i="523"/>
  <c r="N39" i="504"/>
  <c r="N39" i="503"/>
  <c r="T10" i="504"/>
  <c r="U9" i="504"/>
  <c r="U78" i="503"/>
  <c r="T10" i="503"/>
  <c r="U9" i="503"/>
  <c r="BO87" i="1"/>
  <c r="AN87" i="1"/>
  <c r="AB53" i="521" l="1"/>
  <c r="P73" i="503"/>
  <c r="AB53" i="520"/>
  <c r="P73" i="504"/>
  <c r="AB53" i="519"/>
  <c r="Q72" i="198" s="1"/>
  <c r="P39" i="523"/>
  <c r="P73" i="523"/>
  <c r="O39" i="503"/>
  <c r="O39" i="504"/>
  <c r="U10" i="504"/>
  <c r="V9" i="504"/>
  <c r="V10" i="504" s="1"/>
  <c r="U10" i="503"/>
  <c r="V9" i="503"/>
  <c r="V10" i="503" s="1"/>
  <c r="V78" i="503"/>
  <c r="AO87" i="1"/>
  <c r="AC53" i="520" l="1"/>
  <c r="Q73" i="504"/>
  <c r="AC53" i="521"/>
  <c r="Q73" i="503"/>
  <c r="AC53" i="519"/>
  <c r="R72" i="198" s="1"/>
  <c r="Q39" i="523"/>
  <c r="Q73" i="523"/>
  <c r="P39" i="504"/>
  <c r="P39" i="503"/>
  <c r="AP87" i="1"/>
  <c r="AD53" i="521" l="1"/>
  <c r="R73" i="503"/>
  <c r="AD53" i="520"/>
  <c r="R73" i="504"/>
  <c r="AD53" i="519"/>
  <c r="S72" i="198" s="1"/>
  <c r="R39" i="523"/>
  <c r="R73" i="523"/>
  <c r="Q39" i="503"/>
  <c r="Q39" i="504"/>
  <c r="AQ87" i="1"/>
  <c r="BP87" i="1" s="1"/>
  <c r="AE53" i="520" l="1"/>
  <c r="S73" i="504"/>
  <c r="AE53" i="521"/>
  <c r="S73" i="503"/>
  <c r="AE53" i="519"/>
  <c r="T72" i="198" s="1"/>
  <c r="S73" i="523"/>
  <c r="S39" i="523"/>
  <c r="R39" i="504"/>
  <c r="R39" i="503"/>
  <c r="BF93" i="1"/>
  <c r="BF96" i="1" s="1"/>
  <c r="AF53" i="521" l="1"/>
  <c r="T73" i="503"/>
  <c r="AF53" i="520"/>
  <c r="T73" i="504"/>
  <c r="AF53" i="519"/>
  <c r="U72" i="198" s="1"/>
  <c r="T39" i="523"/>
  <c r="T73" i="523"/>
  <c r="S39" i="503"/>
  <c r="S39" i="504"/>
  <c r="A97" i="519"/>
  <c r="A130" i="519" s="1"/>
  <c r="AG53" i="520" l="1"/>
  <c r="V73" i="504" s="1"/>
  <c r="U73" i="504"/>
  <c r="AG53" i="521"/>
  <c r="V73" i="503" s="1"/>
  <c r="U73" i="503"/>
  <c r="AG53" i="519"/>
  <c r="V72" i="198" s="1"/>
  <c r="U39" i="523"/>
  <c r="U73" i="523"/>
  <c r="T39" i="504"/>
  <c r="T39" i="503"/>
  <c r="O35" i="522"/>
  <c r="O67" i="522" s="1"/>
  <c r="O75" i="522" s="1"/>
  <c r="P72" i="522" s="1"/>
  <c r="O34" i="522"/>
  <c r="K35" i="522"/>
  <c r="K34" i="522"/>
  <c r="G35" i="522"/>
  <c r="D35" i="522" s="1"/>
  <c r="G34" i="522"/>
  <c r="D34" i="522" s="1"/>
  <c r="E34" i="522" s="1"/>
  <c r="F34" i="522" s="1"/>
  <c r="G14" i="522"/>
  <c r="D14" i="522" s="1"/>
  <c r="G13" i="522"/>
  <c r="G12" i="522"/>
  <c r="D12" i="522" s="1"/>
  <c r="E12" i="522" s="1"/>
  <c r="F12" i="522" s="1"/>
  <c r="G11" i="522"/>
  <c r="D11" i="522" s="1"/>
  <c r="G10" i="522"/>
  <c r="D10" i="522" s="1"/>
  <c r="K14" i="522"/>
  <c r="K13" i="522"/>
  <c r="K12" i="522"/>
  <c r="K11" i="522"/>
  <c r="K10" i="522"/>
  <c r="O14" i="522"/>
  <c r="O13" i="522"/>
  <c r="O12" i="522"/>
  <c r="O11" i="522"/>
  <c r="O10" i="522"/>
  <c r="S51" i="522"/>
  <c r="B57" i="522"/>
  <c r="W28" i="522"/>
  <c r="W60" i="522" s="1"/>
  <c r="V28" i="522"/>
  <c r="V60" i="522" s="1"/>
  <c r="U36" i="522"/>
  <c r="U37" i="522" s="1"/>
  <c r="Q28" i="522"/>
  <c r="Q60" i="522" s="1"/>
  <c r="P28" i="522"/>
  <c r="P60" i="522" s="1"/>
  <c r="O28" i="522"/>
  <c r="O60" i="522" s="1"/>
  <c r="N28" i="522"/>
  <c r="N60" i="522" s="1"/>
  <c r="M28" i="522"/>
  <c r="M60" i="522" s="1"/>
  <c r="L28" i="522"/>
  <c r="L60" i="522" s="1"/>
  <c r="K28" i="522"/>
  <c r="K60" i="522" s="1"/>
  <c r="J28" i="522"/>
  <c r="J60" i="522" s="1"/>
  <c r="I28" i="522"/>
  <c r="I60" i="522" s="1"/>
  <c r="H28" i="522"/>
  <c r="H60" i="522" s="1"/>
  <c r="G28" i="522"/>
  <c r="G60" i="522" s="1"/>
  <c r="F28" i="522"/>
  <c r="F60" i="522" s="1"/>
  <c r="E28" i="522"/>
  <c r="E60" i="522" s="1"/>
  <c r="D28" i="522"/>
  <c r="D60" i="522" s="1"/>
  <c r="R28" i="522"/>
  <c r="R60" i="522" s="1"/>
  <c r="Q25" i="522"/>
  <c r="Q57" i="522" s="1"/>
  <c r="Q51" i="522" s="1"/>
  <c r="P25" i="522"/>
  <c r="P19" i="522" s="1"/>
  <c r="O25" i="522"/>
  <c r="O57" i="522" s="1"/>
  <c r="O51" i="522" s="1"/>
  <c r="N25" i="522"/>
  <c r="N57" i="522" s="1"/>
  <c r="M25" i="522"/>
  <c r="M19" i="522" s="1"/>
  <c r="L25" i="522"/>
  <c r="L19" i="522" s="1"/>
  <c r="K25" i="522"/>
  <c r="K57" i="522" s="1"/>
  <c r="J25" i="522"/>
  <c r="J19" i="522" s="1"/>
  <c r="I25" i="522"/>
  <c r="I19" i="522" s="1"/>
  <c r="H25" i="522"/>
  <c r="H19" i="522" s="1"/>
  <c r="G25" i="522"/>
  <c r="G19" i="522" s="1"/>
  <c r="F25" i="522"/>
  <c r="F19" i="522" s="1"/>
  <c r="E25" i="522"/>
  <c r="E19" i="522" s="1"/>
  <c r="D25" i="522"/>
  <c r="D19" i="522" s="1"/>
  <c r="R25" i="522"/>
  <c r="R19" i="522" s="1"/>
  <c r="B24" i="522"/>
  <c r="B56" i="522" s="1"/>
  <c r="AA67" i="522"/>
  <c r="AA75" i="522" s="1"/>
  <c r="AB72" i="522" s="1"/>
  <c r="Z67" i="522"/>
  <c r="Z75" i="522" s="1"/>
  <c r="Y67" i="522"/>
  <c r="Y75" i="522" s="1"/>
  <c r="Z72" i="522" s="1"/>
  <c r="X67" i="522"/>
  <c r="D72" i="522" s="1"/>
  <c r="W67" i="522"/>
  <c r="W75" i="522" s="1"/>
  <c r="X72" i="522" s="1"/>
  <c r="V67" i="522"/>
  <c r="V75" i="522" s="1"/>
  <c r="W72" i="522" s="1"/>
  <c r="V72" i="522"/>
  <c r="V50" i="522"/>
  <c r="AA43" i="522"/>
  <c r="Z43" i="522"/>
  <c r="Y43" i="522"/>
  <c r="X43" i="522"/>
  <c r="W43" i="522"/>
  <c r="X40" i="522" s="1"/>
  <c r="V43" i="522"/>
  <c r="V40" i="522"/>
  <c r="D40" i="522"/>
  <c r="AA36" i="522"/>
  <c r="Z36" i="522"/>
  <c r="Y36" i="522"/>
  <c r="X36" i="522"/>
  <c r="W36" i="522"/>
  <c r="V36" i="522"/>
  <c r="AD2" i="522"/>
  <c r="V73" i="523" l="1"/>
  <c r="U39" i="503"/>
  <c r="U39" i="504"/>
  <c r="L35" i="522"/>
  <c r="L67" i="522" s="1"/>
  <c r="L75" i="522" s="1"/>
  <c r="M72" i="522" s="1"/>
  <c r="H12" i="522"/>
  <c r="I12" i="522" s="1"/>
  <c r="J12" i="522" s="1"/>
  <c r="G43" i="522"/>
  <c r="H40" i="522" s="1"/>
  <c r="G67" i="522"/>
  <c r="G75" i="522" s="1"/>
  <c r="H72" i="522" s="1"/>
  <c r="H11" i="522"/>
  <c r="I11" i="522" s="1"/>
  <c r="J11" i="522" s="1"/>
  <c r="H10" i="522"/>
  <c r="I10" i="522" s="1"/>
  <c r="J10" i="522" s="1"/>
  <c r="L34" i="522"/>
  <c r="M34" i="522" s="1"/>
  <c r="N34" i="522" s="1"/>
  <c r="E10" i="522"/>
  <c r="K67" i="522"/>
  <c r="K75" i="522" s="1"/>
  <c r="L72" i="522" s="1"/>
  <c r="L13" i="522"/>
  <c r="M13" i="522" s="1"/>
  <c r="N13" i="522" s="1"/>
  <c r="E11" i="522"/>
  <c r="F11" i="522" s="1"/>
  <c r="L12" i="522"/>
  <c r="M12" i="522" s="1"/>
  <c r="N12" i="522" s="1"/>
  <c r="L14" i="522"/>
  <c r="M14" i="522" s="1"/>
  <c r="N14" i="522" s="1"/>
  <c r="H13" i="522"/>
  <c r="I13" i="522" s="1"/>
  <c r="J13" i="522" s="1"/>
  <c r="L11" i="522"/>
  <c r="M11" i="522" s="1"/>
  <c r="N11" i="522" s="1"/>
  <c r="H34" i="522"/>
  <c r="I34" i="522" s="1"/>
  <c r="J34" i="522" s="1"/>
  <c r="E35" i="522"/>
  <c r="E43" i="522" s="1"/>
  <c r="F40" i="522" s="1"/>
  <c r="D67" i="522"/>
  <c r="D75" i="522" s="1"/>
  <c r="E72" i="522" s="1"/>
  <c r="H14" i="522"/>
  <c r="I14" i="522" s="1"/>
  <c r="J14" i="522" s="1"/>
  <c r="D13" i="522"/>
  <c r="E13" i="522" s="1"/>
  <c r="F13" i="522" s="1"/>
  <c r="L10" i="522"/>
  <c r="K43" i="522"/>
  <c r="L40" i="522" s="1"/>
  <c r="H35" i="522"/>
  <c r="E14" i="522"/>
  <c r="F14" i="522" s="1"/>
  <c r="O43" i="522"/>
  <c r="P40" i="522" s="1"/>
  <c r="D43" i="522"/>
  <c r="E40" i="522" s="1"/>
  <c r="R57" i="522"/>
  <c r="R51" i="522" s="1"/>
  <c r="Y15" i="522"/>
  <c r="Y47" i="522" s="1"/>
  <c r="Y66" i="522" s="1"/>
  <c r="Y68" i="522" s="1"/>
  <c r="Q19" i="522"/>
  <c r="Z15" i="522"/>
  <c r="Z21" i="522" s="1"/>
  <c r="AA18" i="522" s="1"/>
  <c r="O15" i="522"/>
  <c r="U15" i="522"/>
  <c r="V18" i="522" s="1"/>
  <c r="AA15" i="522"/>
  <c r="AA21" i="522" s="1"/>
  <c r="AB18" i="522" s="1"/>
  <c r="G57" i="522"/>
  <c r="G51" i="522" s="1"/>
  <c r="J57" i="522"/>
  <c r="F57" i="522"/>
  <c r="F51" i="522" s="1"/>
  <c r="H57" i="522"/>
  <c r="H51" i="522" s="1"/>
  <c r="I57" i="522"/>
  <c r="W15" i="522"/>
  <c r="X15" i="522"/>
  <c r="V15" i="522"/>
  <c r="K15" i="522"/>
  <c r="G15" i="522"/>
  <c r="G36" i="522" s="1"/>
  <c r="D57" i="522"/>
  <c r="E57" i="522"/>
  <c r="L57" i="522"/>
  <c r="M57" i="522"/>
  <c r="M51" i="522" s="1"/>
  <c r="P57" i="522"/>
  <c r="K19" i="522"/>
  <c r="N19" i="522"/>
  <c r="O19" i="522"/>
  <c r="K51" i="522"/>
  <c r="N51" i="522"/>
  <c r="X75" i="522"/>
  <c r="Y72" i="522" s="1"/>
  <c r="Y40" i="522"/>
  <c r="AA40" i="522"/>
  <c r="AB40" i="522"/>
  <c r="W40" i="522"/>
  <c r="Z40" i="522"/>
  <c r="AA72" i="522"/>
  <c r="N143" i="198"/>
  <c r="N163" i="198" s="1"/>
  <c r="M147" i="198"/>
  <c r="J147" i="198"/>
  <c r="J146" i="198"/>
  <c r="P151" i="198"/>
  <c r="O151" i="198"/>
  <c r="N151" i="198"/>
  <c r="M151" i="198"/>
  <c r="M155" i="198" s="1"/>
  <c r="L151" i="198"/>
  <c r="L155" i="198" s="1"/>
  <c r="L163" i="198"/>
  <c r="M163" i="198"/>
  <c r="J163" i="198"/>
  <c r="J162" i="198"/>
  <c r="J155" i="198"/>
  <c r="J154" i="198"/>
  <c r="L43" i="522" l="1"/>
  <c r="M40" i="522" s="1"/>
  <c r="M35" i="522"/>
  <c r="F35" i="522"/>
  <c r="F43" i="522" s="1"/>
  <c r="G40" i="522" s="1"/>
  <c r="J15" i="522"/>
  <c r="J47" i="522" s="1"/>
  <c r="H15" i="522"/>
  <c r="H36" i="522" s="1"/>
  <c r="E67" i="522"/>
  <c r="E75" i="522" s="1"/>
  <c r="F72" i="522" s="1"/>
  <c r="I15" i="522"/>
  <c r="I21" i="522" s="1"/>
  <c r="J18" i="522" s="1"/>
  <c r="I35" i="522"/>
  <c r="I36" i="522" s="1"/>
  <c r="H67" i="522"/>
  <c r="H75" i="522" s="1"/>
  <c r="I72" i="522" s="1"/>
  <c r="H43" i="522"/>
  <c r="I40" i="522" s="1"/>
  <c r="N155" i="198"/>
  <c r="P51" i="522"/>
  <c r="AB57" i="522"/>
  <c r="AB51" i="522" s="1"/>
  <c r="K47" i="522"/>
  <c r="K53" i="522" s="1"/>
  <c r="L50" i="522" s="1"/>
  <c r="K36" i="522"/>
  <c r="Y21" i="522"/>
  <c r="Z18" i="522" s="1"/>
  <c r="O47" i="522"/>
  <c r="O36" i="522"/>
  <c r="Z47" i="522"/>
  <c r="AA47" i="522"/>
  <c r="AA66" i="522" s="1"/>
  <c r="AA68" i="522" s="1"/>
  <c r="O21" i="522"/>
  <c r="P18" i="522" s="1"/>
  <c r="E51" i="522"/>
  <c r="Y53" i="522"/>
  <c r="Z50" i="522" s="1"/>
  <c r="I51" i="522"/>
  <c r="J51" i="522"/>
  <c r="K21" i="522"/>
  <c r="L18" i="522" s="1"/>
  <c r="W47" i="522"/>
  <c r="W21" i="522"/>
  <c r="V21" i="522"/>
  <c r="V47" i="522"/>
  <c r="D18" i="522"/>
  <c r="X47" i="522"/>
  <c r="X21" i="522"/>
  <c r="D51" i="522"/>
  <c r="G21" i="522"/>
  <c r="G47" i="522"/>
  <c r="L51" i="522"/>
  <c r="O143" i="198"/>
  <c r="J21" i="522" l="1"/>
  <c r="K18" i="522" s="1"/>
  <c r="K20" i="522" s="1"/>
  <c r="M67" i="522"/>
  <c r="M75" i="522" s="1"/>
  <c r="N72" i="522" s="1"/>
  <c r="N35" i="522"/>
  <c r="M43" i="522"/>
  <c r="N40" i="522" s="1"/>
  <c r="F67" i="522"/>
  <c r="F75" i="522" s="1"/>
  <c r="G72" i="522" s="1"/>
  <c r="K66" i="522"/>
  <c r="K68" i="522" s="1"/>
  <c r="H21" i="522"/>
  <c r="I18" i="522" s="1"/>
  <c r="I20" i="522" s="1"/>
  <c r="H47" i="522"/>
  <c r="H66" i="522" s="1"/>
  <c r="H68" i="522" s="1"/>
  <c r="I47" i="522"/>
  <c r="I66" i="522" s="1"/>
  <c r="I43" i="522"/>
  <c r="J40" i="522" s="1"/>
  <c r="I67" i="522"/>
  <c r="I75" i="522" s="1"/>
  <c r="J72" i="522" s="1"/>
  <c r="J35" i="522"/>
  <c r="O66" i="522"/>
  <c r="O68" i="522" s="1"/>
  <c r="AA53" i="522"/>
  <c r="AB50" i="522" s="1"/>
  <c r="Z66" i="522"/>
  <c r="Z68" i="522" s="1"/>
  <c r="O53" i="522"/>
  <c r="P50" i="522" s="1"/>
  <c r="Z53" i="522"/>
  <c r="AA50" i="522" s="1"/>
  <c r="Y18" i="522"/>
  <c r="W66" i="522"/>
  <c r="W68" i="522" s="1"/>
  <c r="W53" i="522"/>
  <c r="X66" i="522"/>
  <c r="X68" i="522" s="1"/>
  <c r="D50" i="522"/>
  <c r="X53" i="522"/>
  <c r="V53" i="522"/>
  <c r="V66" i="522"/>
  <c r="V68" i="522" s="1"/>
  <c r="W18" i="522"/>
  <c r="X18" i="522"/>
  <c r="G53" i="522"/>
  <c r="G66" i="522"/>
  <c r="G68" i="522" s="1"/>
  <c r="H18" i="522"/>
  <c r="J66" i="522"/>
  <c r="J53" i="522"/>
  <c r="P143" i="198"/>
  <c r="O163" i="198"/>
  <c r="O155" i="198"/>
  <c r="BO784" i="1"/>
  <c r="BN784" i="1"/>
  <c r="BM784" i="1"/>
  <c r="BL784" i="1"/>
  <c r="BK784" i="1"/>
  <c r="BJ784" i="1"/>
  <c r="AM775" i="1"/>
  <c r="AM777" i="1" s="1"/>
  <c r="AM780" i="1" s="1"/>
  <c r="AL775" i="1"/>
  <c r="AL777" i="1" s="1"/>
  <c r="AK775" i="1"/>
  <c r="AK777" i="1" s="1"/>
  <c r="AJ775" i="1"/>
  <c r="AJ777" i="1" s="1"/>
  <c r="AI775" i="1"/>
  <c r="AI777" i="1" s="1"/>
  <c r="AH775" i="1"/>
  <c r="AH785" i="1" s="1"/>
  <c r="AH786" i="1" s="1"/>
  <c r="AG775" i="1"/>
  <c r="AG785" i="1" s="1"/>
  <c r="AG786" i="1" s="1"/>
  <c r="AF775" i="1"/>
  <c r="AF785" i="1" s="1"/>
  <c r="AF786" i="1" s="1"/>
  <c r="AE775" i="1"/>
  <c r="AE777" i="1" s="1"/>
  <c r="AD775" i="1"/>
  <c r="AD777" i="1" s="1"/>
  <c r="AC775" i="1"/>
  <c r="AC777" i="1" s="1"/>
  <c r="AB775" i="1"/>
  <c r="AB777" i="1" s="1"/>
  <c r="AA775" i="1"/>
  <c r="AA777" i="1" s="1"/>
  <c r="Z775" i="1"/>
  <c r="Z777" i="1" s="1"/>
  <c r="Y775" i="1"/>
  <c r="Y777" i="1" s="1"/>
  <c r="X775" i="1"/>
  <c r="X777" i="1" s="1"/>
  <c r="W775" i="1"/>
  <c r="W777" i="1" s="1"/>
  <c r="V775" i="1"/>
  <c r="V777" i="1" s="1"/>
  <c r="U775" i="1"/>
  <c r="U777" i="1" s="1"/>
  <c r="T775" i="1"/>
  <c r="T777" i="1" s="1"/>
  <c r="S775" i="1"/>
  <c r="S777" i="1" s="1"/>
  <c r="R775" i="1"/>
  <c r="R777" i="1" s="1"/>
  <c r="Q775" i="1"/>
  <c r="Q777" i="1" s="1"/>
  <c r="P775" i="1"/>
  <c r="P777" i="1" s="1"/>
  <c r="BO774" i="1"/>
  <c r="BN774" i="1"/>
  <c r="BM774" i="1"/>
  <c r="BL774" i="1"/>
  <c r="BK774" i="1"/>
  <c r="BJ774" i="1"/>
  <c r="J20" i="522" l="1"/>
  <c r="N43" i="522"/>
  <c r="O40" i="522" s="1"/>
  <c r="N67" i="522"/>
  <c r="N75" i="522" s="1"/>
  <c r="O72" i="522" s="1"/>
  <c r="H53" i="522"/>
  <c r="I50" i="522" s="1"/>
  <c r="T785" i="1"/>
  <c r="T786" i="1" s="1"/>
  <c r="I53" i="522"/>
  <c r="J50" i="522" s="1"/>
  <c r="J52" i="522" s="1"/>
  <c r="H20" i="522"/>
  <c r="J67" i="522"/>
  <c r="J75" i="522" s="1"/>
  <c r="J36" i="522"/>
  <c r="J43" i="522"/>
  <c r="I68" i="522"/>
  <c r="P785" i="1"/>
  <c r="P786" i="1" s="1"/>
  <c r="Q785" i="1"/>
  <c r="Q786" i="1" s="1"/>
  <c r="W50" i="522"/>
  <c r="Y50" i="522"/>
  <c r="X50" i="522"/>
  <c r="K50" i="522"/>
  <c r="K52" i="522" s="1"/>
  <c r="H50" i="522"/>
  <c r="AF777" i="1"/>
  <c r="P163" i="198"/>
  <c r="P155" i="198"/>
  <c r="AJ785" i="1"/>
  <c r="AJ786" i="1" s="1"/>
  <c r="AG777" i="1"/>
  <c r="W785" i="1"/>
  <c r="W786" i="1" s="1"/>
  <c r="X785" i="1"/>
  <c r="X786" i="1" s="1"/>
  <c r="Y785" i="1"/>
  <c r="Y786" i="1" s="1"/>
  <c r="AI785" i="1"/>
  <c r="AI786" i="1" s="1"/>
  <c r="BN786" i="1" s="1"/>
  <c r="AH777" i="1"/>
  <c r="AK785" i="1"/>
  <c r="AK786" i="1" s="1"/>
  <c r="R785" i="1"/>
  <c r="R786" i="1" s="1"/>
  <c r="Z785" i="1"/>
  <c r="Z786" i="1" s="1"/>
  <c r="AL785" i="1"/>
  <c r="AL786" i="1" s="1"/>
  <c r="S785" i="1"/>
  <c r="S786" i="1" s="1"/>
  <c r="AA785" i="1"/>
  <c r="AA786" i="1" s="1"/>
  <c r="AM785" i="1"/>
  <c r="AM786" i="1" s="1"/>
  <c r="U785" i="1"/>
  <c r="U786" i="1" s="1"/>
  <c r="V785" i="1"/>
  <c r="V786" i="1" s="1"/>
  <c r="AB785" i="1"/>
  <c r="AB786" i="1" s="1"/>
  <c r="AC785" i="1"/>
  <c r="AC786" i="1" s="1"/>
  <c r="AD785" i="1"/>
  <c r="AD786" i="1" s="1"/>
  <c r="AE785" i="1"/>
  <c r="AE786" i="1" s="1"/>
  <c r="H52" i="522" l="1"/>
  <c r="I52" i="522"/>
  <c r="J68" i="522"/>
  <c r="BJ786" i="1"/>
  <c r="K72" i="522"/>
  <c r="K40" i="522"/>
  <c r="BK786" i="1"/>
  <c r="BL786" i="1"/>
  <c r="BO786" i="1"/>
  <c r="BM786" i="1"/>
  <c r="AJ271" i="1"/>
  <c r="AI271" i="1"/>
  <c r="AH271" i="1"/>
  <c r="AF271" i="1"/>
  <c r="AE271" i="1"/>
  <c r="AD271" i="1"/>
  <c r="AC271" i="1"/>
  <c r="AB271" i="1"/>
  <c r="AA271" i="1"/>
  <c r="Z271" i="1"/>
  <c r="Y271" i="1"/>
  <c r="X271" i="1"/>
  <c r="W271" i="1"/>
  <c r="V271" i="1"/>
  <c r="U271" i="1"/>
  <c r="T271" i="1"/>
  <c r="S271" i="1"/>
  <c r="R271" i="1"/>
  <c r="Q271" i="1"/>
  <c r="P271" i="1"/>
  <c r="O271" i="1"/>
  <c r="N271" i="1"/>
  <c r="M271" i="1"/>
  <c r="L271" i="1"/>
  <c r="AJ270" i="1"/>
  <c r="AI270" i="1"/>
  <c r="AH270" i="1"/>
  <c r="AF270" i="1"/>
  <c r="AE270" i="1"/>
  <c r="AD270" i="1"/>
  <c r="AC270" i="1"/>
  <c r="AB270" i="1"/>
  <c r="AA270" i="1"/>
  <c r="Z270" i="1"/>
  <c r="Y270" i="1"/>
  <c r="X270" i="1"/>
  <c r="W270" i="1"/>
  <c r="V270" i="1"/>
  <c r="U270" i="1"/>
  <c r="T270" i="1"/>
  <c r="S270" i="1"/>
  <c r="R270" i="1"/>
  <c r="Q270" i="1"/>
  <c r="P270" i="1"/>
  <c r="O270" i="1"/>
  <c r="N270" i="1"/>
  <c r="M270" i="1"/>
  <c r="L270" i="1"/>
  <c r="AJ269" i="1"/>
  <c r="AI269" i="1"/>
  <c r="AH269" i="1"/>
  <c r="AF269" i="1"/>
  <c r="AE269" i="1"/>
  <c r="AD269" i="1"/>
  <c r="AC269" i="1"/>
  <c r="AB269" i="1"/>
  <c r="AA269" i="1"/>
  <c r="Z269" i="1"/>
  <c r="Y269" i="1"/>
  <c r="X269" i="1"/>
  <c r="W269" i="1"/>
  <c r="V269" i="1"/>
  <c r="U269" i="1"/>
  <c r="T269" i="1"/>
  <c r="S269" i="1"/>
  <c r="R269" i="1"/>
  <c r="Q269" i="1"/>
  <c r="P269" i="1"/>
  <c r="O269" i="1"/>
  <c r="N269" i="1"/>
  <c r="M269" i="1"/>
  <c r="L269" i="1"/>
  <c r="AK1259" i="1"/>
  <c r="AJ1259" i="1"/>
  <c r="AI1259" i="1"/>
  <c r="AH1259" i="1"/>
  <c r="AG1259" i="1"/>
  <c r="AF1259" i="1"/>
  <c r="AE1259" i="1"/>
  <c r="AD1259" i="1"/>
  <c r="AC1259" i="1"/>
  <c r="AB1259" i="1"/>
  <c r="AA1259" i="1"/>
  <c r="Z1259" i="1"/>
  <c r="Y1259" i="1"/>
  <c r="X1259" i="1"/>
  <c r="W1259" i="1"/>
  <c r="V1259" i="1"/>
  <c r="U1259" i="1"/>
  <c r="T1259" i="1"/>
  <c r="S1259" i="1"/>
  <c r="R1259" i="1"/>
  <c r="Q1259" i="1"/>
  <c r="P1259" i="1"/>
  <c r="O1259" i="1"/>
  <c r="N1259" i="1"/>
  <c r="M1259" i="1"/>
  <c r="L1259" i="1"/>
  <c r="K1259" i="1"/>
  <c r="J1259" i="1"/>
  <c r="I1259" i="1"/>
  <c r="H1259" i="1"/>
  <c r="G1259" i="1"/>
  <c r="F1259" i="1"/>
  <c r="E1259" i="1"/>
  <c r="D1259" i="1"/>
  <c r="AL1259" i="1"/>
  <c r="BN69" i="1"/>
  <c r="BM69" i="1"/>
  <c r="BL69" i="1"/>
  <c r="BK69" i="1"/>
  <c r="BJ69" i="1"/>
  <c r="BI69" i="1"/>
  <c r="BH69" i="1"/>
  <c r="BG69" i="1"/>
  <c r="BF69" i="1"/>
  <c r="BE69" i="1"/>
  <c r="BD69" i="1"/>
  <c r="BC69" i="1"/>
  <c r="BB69" i="1"/>
  <c r="BN68" i="1"/>
  <c r="BM68" i="1"/>
  <c r="BL68" i="1"/>
  <c r="BK68" i="1"/>
  <c r="BJ68" i="1"/>
  <c r="BI68" i="1"/>
  <c r="BH68" i="1"/>
  <c r="BG68" i="1"/>
  <c r="BF68" i="1"/>
  <c r="BE68" i="1"/>
  <c r="BD68" i="1"/>
  <c r="BC68" i="1"/>
  <c r="BB68" i="1"/>
  <c r="BA69" i="1"/>
  <c r="BA68" i="1"/>
  <c r="AL69" i="1"/>
  <c r="AK69" i="1"/>
  <c r="AJ69" i="1"/>
  <c r="AI69" i="1"/>
  <c r="AH69" i="1"/>
  <c r="AG69" i="1"/>
  <c r="AF69" i="1"/>
  <c r="AE69" i="1"/>
  <c r="AD69" i="1"/>
  <c r="AC69" i="1"/>
  <c r="AB69" i="1"/>
  <c r="AA69" i="1"/>
  <c r="Z69" i="1"/>
  <c r="Y69" i="1"/>
  <c r="X69" i="1"/>
  <c r="W69" i="1"/>
  <c r="V69" i="1"/>
  <c r="U69" i="1"/>
  <c r="T69" i="1"/>
  <c r="S69" i="1"/>
  <c r="R69" i="1"/>
  <c r="Q69" i="1"/>
  <c r="P69" i="1"/>
  <c r="O69" i="1"/>
  <c r="N69" i="1"/>
  <c r="M69" i="1"/>
  <c r="L69" i="1"/>
  <c r="K69" i="1"/>
  <c r="J69" i="1"/>
  <c r="I69" i="1"/>
  <c r="H69" i="1"/>
  <c r="G69" i="1"/>
  <c r="F69" i="1"/>
  <c r="E69" i="1"/>
  <c r="D69" i="1"/>
  <c r="AL68" i="1"/>
  <c r="AK68" i="1"/>
  <c r="AJ68" i="1"/>
  <c r="AI68" i="1"/>
  <c r="AH68" i="1"/>
  <c r="AG68" i="1"/>
  <c r="AF68" i="1"/>
  <c r="AE68" i="1"/>
  <c r="AD68" i="1"/>
  <c r="AC68" i="1"/>
  <c r="AB68" i="1"/>
  <c r="AA68" i="1"/>
  <c r="Z68" i="1"/>
  <c r="Y68" i="1"/>
  <c r="X68" i="1"/>
  <c r="W68" i="1"/>
  <c r="V68" i="1"/>
  <c r="U68" i="1"/>
  <c r="T68" i="1"/>
  <c r="S68" i="1"/>
  <c r="R68" i="1"/>
  <c r="Q68" i="1"/>
  <c r="P68" i="1"/>
  <c r="O68" i="1"/>
  <c r="N68" i="1"/>
  <c r="M68" i="1"/>
  <c r="L68" i="1"/>
  <c r="K68" i="1"/>
  <c r="J68" i="1"/>
  <c r="I68" i="1"/>
  <c r="H68" i="1"/>
  <c r="G68" i="1"/>
  <c r="F68" i="1"/>
  <c r="E68" i="1"/>
  <c r="D68" i="1"/>
  <c r="B69" i="1"/>
  <c r="B68" i="1"/>
  <c r="AL1123" i="1"/>
  <c r="AK1123" i="1"/>
  <c r="AJ1123" i="1"/>
  <c r="AI1123" i="1"/>
  <c r="AH1123" i="1"/>
  <c r="AG1123" i="1"/>
  <c r="AF1123" i="1"/>
  <c r="AE1123" i="1"/>
  <c r="AD1123" i="1"/>
  <c r="AC1123" i="1"/>
  <c r="AB1123" i="1"/>
  <c r="AA1123" i="1"/>
  <c r="Z1123" i="1"/>
  <c r="Y1123" i="1"/>
  <c r="X1123" i="1"/>
  <c r="W1123" i="1"/>
  <c r="V1123" i="1"/>
  <c r="U1123" i="1"/>
  <c r="T1123" i="1"/>
  <c r="S1123" i="1"/>
  <c r="R1123" i="1"/>
  <c r="Q1123" i="1"/>
  <c r="P1123" i="1"/>
  <c r="O1123" i="1"/>
  <c r="N1123" i="1"/>
  <c r="M1123" i="1"/>
  <c r="L1123" i="1"/>
  <c r="K1123" i="1"/>
  <c r="J1123" i="1"/>
  <c r="I1123" i="1"/>
  <c r="H1123" i="1"/>
  <c r="G1123" i="1"/>
  <c r="F1123" i="1"/>
  <c r="E1123" i="1"/>
  <c r="D1123" i="1"/>
  <c r="BF137" i="1"/>
  <c r="BE137" i="1"/>
  <c r="BD137" i="1"/>
  <c r="BC137" i="1"/>
  <c r="BB137" i="1"/>
  <c r="BA137" i="1"/>
  <c r="AZ137" i="1"/>
  <c r="AY137" i="1"/>
  <c r="AX137" i="1"/>
  <c r="AW137" i="1"/>
  <c r="AV137" i="1"/>
  <c r="AU137" i="1"/>
  <c r="AT137" i="1"/>
  <c r="AS137" i="1"/>
  <c r="L137" i="1"/>
  <c r="L1258" i="1" s="1"/>
  <c r="J137" i="1"/>
  <c r="J1258" i="1" s="1"/>
  <c r="I137" i="1"/>
  <c r="I1258" i="1" s="1"/>
  <c r="H137" i="1"/>
  <c r="H1258" i="1" s="1"/>
  <c r="G137" i="1"/>
  <c r="G1258" i="1" s="1"/>
  <c r="F137" i="1"/>
  <c r="F1258" i="1" s="1"/>
  <c r="E137" i="1"/>
  <c r="E1258" i="1" s="1"/>
  <c r="D137" i="1"/>
  <c r="D1258" i="1" s="1"/>
  <c r="K1253" i="1"/>
  <c r="K137" i="1" s="1"/>
  <c r="K1258" i="1" s="1"/>
  <c r="AL1253" i="1"/>
  <c r="AK1253" i="1"/>
  <c r="AJ1253" i="1"/>
  <c r="AI1253" i="1"/>
  <c r="AI137" i="1" s="1"/>
  <c r="AI1258" i="1" s="1"/>
  <c r="AH1253" i="1"/>
  <c r="AH137" i="1" s="1"/>
  <c r="AH1258" i="1" s="1"/>
  <c r="AG1253" i="1"/>
  <c r="AG137" i="1" s="1"/>
  <c r="AG1258" i="1" s="1"/>
  <c r="AF1253" i="1"/>
  <c r="AF137" i="1" s="1"/>
  <c r="AF1258" i="1" s="1"/>
  <c r="AE1253" i="1"/>
  <c r="AE137" i="1" s="1"/>
  <c r="AE1258" i="1" s="1"/>
  <c r="AD1253" i="1"/>
  <c r="AD137" i="1" s="1"/>
  <c r="AD1258" i="1" s="1"/>
  <c r="AC1253" i="1"/>
  <c r="AB1253" i="1"/>
  <c r="AA1253" i="1"/>
  <c r="AA137" i="1" s="1"/>
  <c r="AA1258" i="1" s="1"/>
  <c r="Z1253" i="1"/>
  <c r="Z137" i="1" s="1"/>
  <c r="Z1258" i="1" s="1"/>
  <c r="Y1253" i="1"/>
  <c r="Y137" i="1" s="1"/>
  <c r="Y1258" i="1" s="1"/>
  <c r="X1253" i="1"/>
  <c r="X137" i="1" s="1"/>
  <c r="X1258" i="1" s="1"/>
  <c r="W1253" i="1"/>
  <c r="W137" i="1" s="1"/>
  <c r="W1258" i="1" s="1"/>
  <c r="V1253" i="1"/>
  <c r="V137" i="1" s="1"/>
  <c r="V1258" i="1" s="1"/>
  <c r="U1253" i="1"/>
  <c r="T1253" i="1"/>
  <c r="S1253" i="1"/>
  <c r="R1253" i="1"/>
  <c r="R137" i="1" s="1"/>
  <c r="R1258" i="1" s="1"/>
  <c r="Q1253" i="1"/>
  <c r="Q137" i="1" s="1"/>
  <c r="Q1258" i="1" s="1"/>
  <c r="P1253" i="1"/>
  <c r="P137" i="1" s="1"/>
  <c r="P1258" i="1" s="1"/>
  <c r="O1253" i="1"/>
  <c r="O137" i="1" s="1"/>
  <c r="O1258" i="1" s="1"/>
  <c r="N1253" i="1"/>
  <c r="N137" i="1" s="1"/>
  <c r="N1258" i="1" s="1"/>
  <c r="M1253" i="1"/>
  <c r="BH1255" i="1"/>
  <c r="BH1259" i="1" s="1"/>
  <c r="BI1255" i="1"/>
  <c r="BI1259" i="1" s="1"/>
  <c r="BJ1255" i="1"/>
  <c r="BJ1259" i="1" s="1"/>
  <c r="BN1255" i="1"/>
  <c r="BN1259" i="1" s="1"/>
  <c r="BM1255" i="1"/>
  <c r="BM1259" i="1" s="1"/>
  <c r="BL1255" i="1"/>
  <c r="BL1259" i="1" s="1"/>
  <c r="BK1255" i="1"/>
  <c r="BK1259" i="1" s="1"/>
  <c r="BN1252" i="1"/>
  <c r="BM1252" i="1"/>
  <c r="BL1252" i="1"/>
  <c r="BK1252" i="1"/>
  <c r="BJ1252" i="1"/>
  <c r="BI1252" i="1"/>
  <c r="BH1252" i="1"/>
  <c r="BN1251" i="1"/>
  <c r="BM1251" i="1"/>
  <c r="BL1251" i="1"/>
  <c r="BK1251" i="1"/>
  <c r="BJ1251" i="1"/>
  <c r="BI1251" i="1"/>
  <c r="BH1251" i="1"/>
  <c r="AC1" i="267"/>
  <c r="AQ114" i="1"/>
  <c r="AP114" i="1"/>
  <c r="AO114" i="1"/>
  <c r="AL31" i="1"/>
  <c r="BO68" i="1" l="1"/>
  <c r="BO69" i="1"/>
  <c r="AL137" i="1"/>
  <c r="AL1258" i="1" s="1"/>
  <c r="AM1260" i="1" s="1"/>
  <c r="AM1256" i="1"/>
  <c r="L1260" i="1"/>
  <c r="F1260" i="1"/>
  <c r="G1260" i="1"/>
  <c r="P1260" i="1"/>
  <c r="X1260" i="1"/>
  <c r="AF1260" i="1"/>
  <c r="O1260" i="1"/>
  <c r="W1260" i="1"/>
  <c r="AE1260" i="1"/>
  <c r="H1260" i="1"/>
  <c r="I1260" i="1"/>
  <c r="Q1260" i="1"/>
  <c r="Y1260" i="1"/>
  <c r="AG1260" i="1"/>
  <c r="J1260" i="1"/>
  <c r="R1260" i="1"/>
  <c r="Z1260" i="1"/>
  <c r="AH1260" i="1"/>
  <c r="K1260" i="1"/>
  <c r="AA1260" i="1"/>
  <c r="AI1260" i="1"/>
  <c r="E1260" i="1"/>
  <c r="BJ1253" i="1"/>
  <c r="BJ137" i="1" s="1"/>
  <c r="BJ1258" i="1" s="1"/>
  <c r="BF70" i="1"/>
  <c r="BL1253" i="1"/>
  <c r="BM1253" i="1"/>
  <c r="BK1253" i="1"/>
  <c r="BH1253" i="1"/>
  <c r="BH137" i="1" s="1"/>
  <c r="BH1258" i="1" s="1"/>
  <c r="U1256" i="1"/>
  <c r="AC1256" i="1"/>
  <c r="AK1256" i="1"/>
  <c r="N1256" i="1"/>
  <c r="V1256" i="1"/>
  <c r="AD1256" i="1"/>
  <c r="AL1256" i="1"/>
  <c r="BI1253" i="1"/>
  <c r="BI137" i="1" s="1"/>
  <c r="BI1258" i="1" s="1"/>
  <c r="AB137" i="1"/>
  <c r="AB1258" i="1" s="1"/>
  <c r="AJ137" i="1"/>
  <c r="AJ1258" i="1" s="1"/>
  <c r="AJ1260" i="1" s="1"/>
  <c r="O1256" i="1"/>
  <c r="W1256" i="1"/>
  <c r="BN1253" i="1"/>
  <c r="BO1256" i="1" s="1"/>
  <c r="AE1256" i="1"/>
  <c r="T1256" i="1"/>
  <c r="T137" i="1"/>
  <c r="T1258" i="1" s="1"/>
  <c r="P1256" i="1"/>
  <c r="X1256" i="1"/>
  <c r="AF1256" i="1"/>
  <c r="M137" i="1"/>
  <c r="M1258" i="1" s="1"/>
  <c r="M1260" i="1" s="1"/>
  <c r="U137" i="1"/>
  <c r="U1258" i="1" s="1"/>
  <c r="V1260" i="1" s="1"/>
  <c r="AC137" i="1"/>
  <c r="AC1258" i="1" s="1"/>
  <c r="AD1260" i="1" s="1"/>
  <c r="AK137" i="1"/>
  <c r="AK1258" i="1" s="1"/>
  <c r="Q1256" i="1"/>
  <c r="Y1256" i="1"/>
  <c r="AG1256" i="1"/>
  <c r="R1256" i="1"/>
  <c r="Z1256" i="1"/>
  <c r="AH1256" i="1"/>
  <c r="S1256" i="1"/>
  <c r="AA1256" i="1"/>
  <c r="AI1256" i="1"/>
  <c r="AB1256" i="1"/>
  <c r="AJ1256" i="1"/>
  <c r="AT25" i="468"/>
  <c r="AL138" i="1"/>
  <c r="AL134" i="1"/>
  <c r="AL133" i="1"/>
  <c r="AL132" i="1"/>
  <c r="AL129" i="1"/>
  <c r="AL121" i="1"/>
  <c r="AL114" i="1"/>
  <c r="AL100" i="1" s="1"/>
  <c r="AL88" i="1"/>
  <c r="AL75" i="1"/>
  <c r="AL71" i="1"/>
  <c r="AL904" i="1"/>
  <c r="AL30" i="1"/>
  <c r="AL903" i="1" s="1"/>
  <c r="AL29" i="1"/>
  <c r="AL902" i="1" s="1"/>
  <c r="AL698" i="1" l="1"/>
  <c r="AL139" i="1"/>
  <c r="AL1260" i="1"/>
  <c r="R27" i="522"/>
  <c r="R41" i="522" s="1"/>
  <c r="AL86" i="1"/>
  <c r="AC1260" i="1"/>
  <c r="BI1260" i="1"/>
  <c r="U1260" i="1"/>
  <c r="BJ1260" i="1"/>
  <c r="AB1260" i="1"/>
  <c r="BN1256" i="1"/>
  <c r="BM1256" i="1"/>
  <c r="AK1260" i="1"/>
  <c r="N1260" i="1"/>
  <c r="BL1256" i="1"/>
  <c r="AL115" i="1"/>
  <c r="AL70" i="1"/>
  <c r="BI1256" i="1"/>
  <c r="BK1256" i="1"/>
  <c r="BJ1256" i="1"/>
  <c r="AL905" i="1"/>
  <c r="AL32" i="1"/>
  <c r="AL1014" i="1"/>
  <c r="AL1013" i="1"/>
  <c r="AL1012" i="1"/>
  <c r="AL1011" i="1"/>
  <c r="AL1010" i="1"/>
  <c r="AL1009" i="1"/>
  <c r="AL1008" i="1"/>
  <c r="AL1007" i="1"/>
  <c r="AL1334" i="1"/>
  <c r="AL1333" i="1"/>
  <c r="AL1332" i="1"/>
  <c r="AL1328" i="1"/>
  <c r="AL1327" i="1"/>
  <c r="AL1326" i="1"/>
  <c r="AL1322" i="1"/>
  <c r="AL1321" i="1"/>
  <c r="AL1320" i="1"/>
  <c r="AL1317" i="1"/>
  <c r="AM1329" i="1" s="1"/>
  <c r="AM1341" i="1" s="1"/>
  <c r="AL1247" i="1"/>
  <c r="AL1234" i="1"/>
  <c r="AL1241" i="1" s="1"/>
  <c r="AL1215" i="1"/>
  <c r="AL1198" i="1"/>
  <c r="AL1191" i="1"/>
  <c r="AL1167" i="1"/>
  <c r="AL1180" i="1"/>
  <c r="AL1158" i="1"/>
  <c r="AL1109" i="1"/>
  <c r="AL1071" i="1"/>
  <c r="AL1076" i="1" s="1"/>
  <c r="AL1070" i="1"/>
  <c r="AL1075" i="1" s="1"/>
  <c r="AL1068" i="1"/>
  <c r="AL1062" i="1"/>
  <c r="AL1061" i="1"/>
  <c r="AL876" i="1"/>
  <c r="AL824" i="1"/>
  <c r="AL825" i="1"/>
  <c r="AL823" i="1"/>
  <c r="AL822" i="1"/>
  <c r="AL805" i="1"/>
  <c r="AL798" i="1"/>
  <c r="AL868" i="1" s="1"/>
  <c r="H39" i="525" s="1"/>
  <c r="AL797" i="1"/>
  <c r="AL658" i="1"/>
  <c r="AL656" i="1"/>
  <c r="AL617" i="1"/>
  <c r="AL650" i="1"/>
  <c r="H31" i="525" s="1"/>
  <c r="AL526" i="1"/>
  <c r="AL524" i="1"/>
  <c r="AL523" i="1"/>
  <c r="AL478" i="1"/>
  <c r="AL437" i="1"/>
  <c r="AL418" i="1"/>
  <c r="AL520" i="1" s="1"/>
  <c r="H16" i="525" s="1"/>
  <c r="AL309" i="1"/>
  <c r="AL281" i="1"/>
  <c r="AL280" i="1"/>
  <c r="AP280" i="1" s="1"/>
  <c r="AL279" i="1"/>
  <c r="AP279" i="1" s="1"/>
  <c r="AL264" i="1"/>
  <c r="AL263" i="1"/>
  <c r="AL262" i="1"/>
  <c r="AM906" i="1" l="1"/>
  <c r="AL702" i="1"/>
  <c r="AL215" i="1"/>
  <c r="AL729" i="1"/>
  <c r="AM33" i="1"/>
  <c r="H51" i="525"/>
  <c r="H49" i="525"/>
  <c r="H43" i="525"/>
  <c r="H48" i="525"/>
  <c r="AL869" i="1"/>
  <c r="AL1271" i="1"/>
  <c r="AL1265" i="1"/>
  <c r="AM1266" i="1" s="1"/>
  <c r="AL1223" i="1"/>
  <c r="R59" i="522"/>
  <c r="R73" i="522" s="1"/>
  <c r="AL1197" i="1"/>
  <c r="R23" i="522" s="1"/>
  <c r="R55" i="522" s="1"/>
  <c r="R24" i="522"/>
  <c r="R56" i="522" s="1"/>
  <c r="AL796" i="1"/>
  <c r="AL1335" i="1"/>
  <c r="AL1339" i="1"/>
  <c r="AL1194" i="1"/>
  <c r="AL128" i="1"/>
  <c r="AL125" i="1" s="1"/>
  <c r="AL1340" i="1"/>
  <c r="AL1183" i="1"/>
  <c r="AL440" i="1"/>
  <c r="AL1248" i="1"/>
  <c r="AL1338" i="1"/>
  <c r="AL832" i="1"/>
  <c r="AL829" i="1"/>
  <c r="AL620" i="1"/>
  <c r="AL821" i="1"/>
  <c r="AR136" i="359"/>
  <c r="AR141" i="359" s="1"/>
  <c r="AQ136" i="359"/>
  <c r="AQ141" i="359" s="1"/>
  <c r="AP136" i="359"/>
  <c r="AP141" i="359" s="1"/>
  <c r="AO136" i="359"/>
  <c r="AO141" i="359" s="1"/>
  <c r="S15" i="1"/>
  <c r="R15" i="1"/>
  <c r="Q15" i="1"/>
  <c r="P15" i="1"/>
  <c r="O15" i="1"/>
  <c r="N15" i="1"/>
  <c r="M15" i="1"/>
  <c r="L15" i="1"/>
  <c r="K15" i="1"/>
  <c r="J15" i="1"/>
  <c r="I15" i="1"/>
  <c r="H15" i="1"/>
  <c r="G15" i="1"/>
  <c r="F15" i="1"/>
  <c r="E15" i="1"/>
  <c r="D15" i="1"/>
  <c r="BP80" i="1"/>
  <c r="U38" i="198"/>
  <c r="T38" i="198"/>
  <c r="S38" i="198"/>
  <c r="R38" i="198"/>
  <c r="Q38" i="198"/>
  <c r="P38" i="198"/>
  <c r="O38" i="198"/>
  <c r="N38" i="198"/>
  <c r="M38" i="198"/>
  <c r="L38" i="198"/>
  <c r="K38" i="198"/>
  <c r="BP98" i="1" s="1"/>
  <c r="BP823" i="1"/>
  <c r="BP813" i="1"/>
  <c r="BP804" i="1"/>
  <c r="BP516" i="1"/>
  <c r="BP226" i="1"/>
  <c r="AK88" i="1"/>
  <c r="BP123" i="1"/>
  <c r="BP121" i="1"/>
  <c r="BP71" i="1"/>
  <c r="K58" i="523" s="1"/>
  <c r="BP18" i="1"/>
  <c r="AQ115" i="1"/>
  <c r="AP115" i="1"/>
  <c r="AO115" i="1"/>
  <c r="AN115" i="1"/>
  <c r="AN233" i="1"/>
  <c r="AQ534" i="1"/>
  <c r="AP534" i="1"/>
  <c r="AQ532" i="1"/>
  <c r="AP532" i="1"/>
  <c r="AQ531" i="1"/>
  <c r="AP531" i="1"/>
  <c r="AQ666" i="1"/>
  <c r="AP666" i="1"/>
  <c r="AY1" i="468"/>
  <c r="AY46" i="468"/>
  <c r="AX46" i="468"/>
  <c r="AW46" i="468"/>
  <c r="AV46" i="468"/>
  <c r="AY44" i="468"/>
  <c r="AX44" i="468"/>
  <c r="AW44" i="468"/>
  <c r="AV44" i="468"/>
  <c r="AY30" i="468"/>
  <c r="AX30" i="468"/>
  <c r="AY6" i="468"/>
  <c r="AX6" i="468"/>
  <c r="AW6" i="468"/>
  <c r="AV6" i="468"/>
  <c r="AY5" i="468"/>
  <c r="AX5" i="468"/>
  <c r="AW5" i="468"/>
  <c r="AV5" i="468"/>
  <c r="AR1" i="359"/>
  <c r="AR35" i="359"/>
  <c r="AQ35" i="359"/>
  <c r="AP35" i="359"/>
  <c r="AO35" i="359"/>
  <c r="AQ890" i="1"/>
  <c r="AP890" i="1"/>
  <c r="AQ886" i="1"/>
  <c r="AP886" i="1"/>
  <c r="AQ822" i="1"/>
  <c r="AP822" i="1"/>
  <c r="AO822" i="1"/>
  <c r="AN822" i="1"/>
  <c r="AN1110" i="1"/>
  <c r="BP1110" i="1" s="1"/>
  <c r="AN1107" i="1"/>
  <c r="BP1107" i="1" s="1"/>
  <c r="AN1105" i="1"/>
  <c r="BP1105" i="1" s="1"/>
  <c r="AP729" i="1" l="1"/>
  <c r="AL218" i="1"/>
  <c r="H50" i="525"/>
  <c r="H52" i="525" s="1"/>
  <c r="U49" i="525"/>
  <c r="K58" i="503"/>
  <c r="K58" i="504"/>
  <c r="AB60" i="522"/>
  <c r="Q27" i="522"/>
  <c r="Q59" i="522" s="1"/>
  <c r="Q73" i="522" s="1"/>
  <c r="AK86" i="1"/>
  <c r="AL831" i="1"/>
  <c r="BP822" i="1"/>
  <c r="AY56" i="468"/>
  <c r="AY54" i="468"/>
  <c r="AR56" i="359"/>
  <c r="AR137" i="359" s="1"/>
  <c r="K57" i="198"/>
  <c r="AQ98" i="1"/>
  <c r="AO98" i="1"/>
  <c r="AN98" i="1"/>
  <c r="AM98" i="1" s="1"/>
  <c r="AP98" i="1"/>
  <c r="BP115" i="1"/>
  <c r="AR44" i="359"/>
  <c r="AR51" i="359"/>
  <c r="AP51" i="359"/>
  <c r="AQ51" i="359"/>
  <c r="AO44" i="359"/>
  <c r="AP44" i="359"/>
  <c r="AQ44" i="359"/>
  <c r="BP2" i="1"/>
  <c r="T170" i="519"/>
  <c r="U176" i="519" s="1"/>
  <c r="U178" i="519" s="1"/>
  <c r="S170" i="519"/>
  <c r="R170" i="519"/>
  <c r="Q170" i="519"/>
  <c r="P170" i="519"/>
  <c r="O170" i="519"/>
  <c r="N170" i="519"/>
  <c r="M170" i="519"/>
  <c r="L170" i="519"/>
  <c r="K170" i="519"/>
  <c r="J170" i="519"/>
  <c r="I170" i="519"/>
  <c r="H170" i="519"/>
  <c r="G170" i="519"/>
  <c r="F170" i="519"/>
  <c r="E170" i="519"/>
  <c r="D170" i="519"/>
  <c r="C170" i="519"/>
  <c r="D176" i="519" s="1"/>
  <c r="P204" i="519"/>
  <c r="N204" i="519"/>
  <c r="M204" i="519"/>
  <c r="D4" i="519"/>
  <c r="M4" i="519" s="1"/>
  <c r="N4" i="519" s="1"/>
  <c r="T199" i="519"/>
  <c r="S199" i="519"/>
  <c r="R199" i="519"/>
  <c r="Q199" i="519"/>
  <c r="P199" i="519"/>
  <c r="O199" i="519"/>
  <c r="N199" i="519"/>
  <c r="M199" i="519"/>
  <c r="L199" i="519"/>
  <c r="K199" i="519"/>
  <c r="J199" i="519"/>
  <c r="I199" i="519"/>
  <c r="H199" i="519"/>
  <c r="G199" i="519"/>
  <c r="F199" i="519"/>
  <c r="E199" i="519"/>
  <c r="D199" i="519"/>
  <c r="C199" i="519"/>
  <c r="S187" i="519"/>
  <c r="R187" i="519"/>
  <c r="Q187" i="519"/>
  <c r="P187" i="519"/>
  <c r="Q184" i="519" s="1"/>
  <c r="O187" i="519"/>
  <c r="N187" i="519"/>
  <c r="M187" i="519"/>
  <c r="N184" i="519" s="1"/>
  <c r="L187" i="519"/>
  <c r="M184" i="519" s="1"/>
  <c r="L184" i="519"/>
  <c r="J187" i="519"/>
  <c r="K184" i="519" s="1"/>
  <c r="I187" i="519"/>
  <c r="H187" i="519"/>
  <c r="G187" i="519"/>
  <c r="F187" i="519"/>
  <c r="E187" i="519"/>
  <c r="D187" i="519"/>
  <c r="D184" i="519"/>
  <c r="U188" i="519" l="1"/>
  <c r="N210" i="519"/>
  <c r="P210" i="519"/>
  <c r="BO98" i="1"/>
  <c r="J73" i="504" s="1"/>
  <c r="S73" i="522"/>
  <c r="Q41" i="522"/>
  <c r="K16" i="519"/>
  <c r="S16" i="519"/>
  <c r="R16" i="519"/>
  <c r="R78" i="519" s="1"/>
  <c r="Q16" i="519"/>
  <c r="Q77" i="519" s="1"/>
  <c r="Q32" i="519" s="1"/>
  <c r="J16" i="519"/>
  <c r="O16" i="519"/>
  <c r="O75" i="519" s="1"/>
  <c r="H16" i="519"/>
  <c r="P16" i="519"/>
  <c r="I16" i="519"/>
  <c r="M16" i="519"/>
  <c r="F16" i="519"/>
  <c r="N16" i="519"/>
  <c r="T16" i="519"/>
  <c r="G16" i="519"/>
  <c r="L16" i="519"/>
  <c r="D16" i="519"/>
  <c r="E16" i="519"/>
  <c r="H179" i="519"/>
  <c r="K179" i="519"/>
  <c r="I179" i="519"/>
  <c r="D179" i="519"/>
  <c r="D64" i="519"/>
  <c r="E179" i="519"/>
  <c r="F179" i="519"/>
  <c r="J179" i="519"/>
  <c r="L179" i="519"/>
  <c r="M179" i="519"/>
  <c r="G179" i="519"/>
  <c r="O204" i="519"/>
  <c r="O210" i="519" s="1"/>
  <c r="M186" i="519"/>
  <c r="K176" i="519"/>
  <c r="L176" i="519"/>
  <c r="D198" i="519"/>
  <c r="D200" i="519" s="1"/>
  <c r="E202" i="519" s="1"/>
  <c r="F176" i="519"/>
  <c r="G198" i="519"/>
  <c r="G200" i="519" s="1"/>
  <c r="F198" i="519"/>
  <c r="F200" i="519" s="1"/>
  <c r="H198" i="519"/>
  <c r="H200" i="519" s="1"/>
  <c r="I202" i="519" s="1"/>
  <c r="J176" i="519"/>
  <c r="I198" i="519"/>
  <c r="I200" i="519" s="1"/>
  <c r="K198" i="519"/>
  <c r="K200" i="519" s="1"/>
  <c r="K206" i="519" s="1"/>
  <c r="L198" i="519"/>
  <c r="L200" i="519" s="1"/>
  <c r="L206" i="519" s="1"/>
  <c r="E198" i="519"/>
  <c r="E200" i="519" s="1"/>
  <c r="F202" i="519" s="1"/>
  <c r="J198" i="519"/>
  <c r="J200" i="519" s="1"/>
  <c r="I176" i="519"/>
  <c r="H176" i="519"/>
  <c r="C198" i="519"/>
  <c r="C200" i="519" s="1"/>
  <c r="D202" i="519" s="1"/>
  <c r="S184" i="519"/>
  <c r="T184" i="519"/>
  <c r="N198" i="519"/>
  <c r="N200" i="519" s="1"/>
  <c r="O176" i="519"/>
  <c r="O188" i="519" s="1"/>
  <c r="N179" i="519"/>
  <c r="F184" i="519"/>
  <c r="G184" i="519"/>
  <c r="I184" i="519"/>
  <c r="P179" i="519"/>
  <c r="Q176" i="519"/>
  <c r="P198" i="519"/>
  <c r="P200" i="519" s="1"/>
  <c r="H184" i="519"/>
  <c r="R184" i="519"/>
  <c r="O179" i="519"/>
  <c r="P176" i="519"/>
  <c r="P188" i="519" s="1"/>
  <c r="O198" i="519"/>
  <c r="O200" i="519" s="1"/>
  <c r="E184" i="519"/>
  <c r="N186" i="519"/>
  <c r="O184" i="519"/>
  <c r="O186" i="519" s="1"/>
  <c r="P184" i="519"/>
  <c r="P186" i="519" s="1"/>
  <c r="J184" i="519"/>
  <c r="G176" i="519"/>
  <c r="M176" i="519"/>
  <c r="M188" i="519" s="1"/>
  <c r="M198" i="519"/>
  <c r="M200" i="519" s="1"/>
  <c r="N176" i="519"/>
  <c r="N188" i="519" s="1"/>
  <c r="Q198" i="519"/>
  <c r="Q200" i="519" s="1"/>
  <c r="Q179" i="519"/>
  <c r="R176" i="519"/>
  <c r="E176" i="519"/>
  <c r="J72" i="198" l="1"/>
  <c r="J73" i="503"/>
  <c r="P209" i="519"/>
  <c r="O209" i="519"/>
  <c r="N209" i="519"/>
  <c r="P76" i="519"/>
  <c r="N74" i="519"/>
  <c r="N29" i="519" s="1"/>
  <c r="D19" i="519"/>
  <c r="E65" i="519"/>
  <c r="D206" i="519"/>
  <c r="M202" i="519"/>
  <c r="H206" i="519"/>
  <c r="L202" i="519"/>
  <c r="I206" i="519"/>
  <c r="J202" i="519"/>
  <c r="E206" i="519"/>
  <c r="J206" i="519"/>
  <c r="K202" i="519"/>
  <c r="N202" i="519"/>
  <c r="M206" i="519"/>
  <c r="M73" i="519"/>
  <c r="L72" i="519"/>
  <c r="H68" i="519"/>
  <c r="O206" i="519"/>
  <c r="O211" i="519" s="1"/>
  <c r="P202" i="519"/>
  <c r="G67" i="519"/>
  <c r="Q202" i="519"/>
  <c r="P206" i="519"/>
  <c r="P211" i="519" s="1"/>
  <c r="G202" i="519"/>
  <c r="F206" i="519"/>
  <c r="J70" i="519"/>
  <c r="I69" i="519"/>
  <c r="F66" i="519"/>
  <c r="H202" i="519"/>
  <c r="G206" i="519"/>
  <c r="O202" i="519"/>
  <c r="N206" i="519"/>
  <c r="N211" i="519" s="1"/>
  <c r="Q206" i="519"/>
  <c r="R202" i="519"/>
  <c r="K71" i="519"/>
  <c r="J38" i="198" l="1"/>
  <c r="E20" i="519"/>
  <c r="E98" i="519" s="1"/>
  <c r="E131" i="519" s="1"/>
  <c r="E64" i="519"/>
  <c r="F65" i="519"/>
  <c r="G66" i="519"/>
  <c r="F21" i="519"/>
  <c r="H23" i="519"/>
  <c r="I68" i="519"/>
  <c r="D97" i="519"/>
  <c r="I24" i="519"/>
  <c r="J69" i="519"/>
  <c r="G22" i="519"/>
  <c r="H67" i="519"/>
  <c r="O74" i="519"/>
  <c r="P75" i="519"/>
  <c r="O30" i="519"/>
  <c r="K70" i="519"/>
  <c r="J25" i="519"/>
  <c r="M72" i="519"/>
  <c r="L27" i="519"/>
  <c r="R77" i="519"/>
  <c r="N73" i="519"/>
  <c r="M28" i="519"/>
  <c r="L71" i="519"/>
  <c r="K26" i="519"/>
  <c r="Q76" i="519"/>
  <c r="P31" i="519"/>
  <c r="G65" i="519" l="1"/>
  <c r="G64" i="519" s="1"/>
  <c r="F64" i="519"/>
  <c r="F20" i="519"/>
  <c r="F98" i="519" s="1"/>
  <c r="F131" i="519" s="1"/>
  <c r="S77" i="519"/>
  <c r="K69" i="519"/>
  <c r="N72" i="519"/>
  <c r="J103" i="519"/>
  <c r="J136" i="519" s="1"/>
  <c r="K25" i="519" s="1"/>
  <c r="L70" i="519"/>
  <c r="D50" i="519"/>
  <c r="D130" i="519"/>
  <c r="Q75" i="519"/>
  <c r="F99" i="519"/>
  <c r="F132" i="519" s="1"/>
  <c r="G21" i="519" s="1"/>
  <c r="G99" i="519" s="1"/>
  <c r="G132" i="519" s="1"/>
  <c r="O108" i="519"/>
  <c r="O141" i="519" s="1"/>
  <c r="P30" i="519" s="1"/>
  <c r="G100" i="519"/>
  <c r="G133" i="519" s="1"/>
  <c r="H22" i="519" s="1"/>
  <c r="H100" i="519" s="1"/>
  <c r="H133" i="519" s="1"/>
  <c r="J68" i="519"/>
  <c r="H101" i="519"/>
  <c r="H134" i="519" s="1"/>
  <c r="I23" i="519" s="1"/>
  <c r="I101" i="519" s="1"/>
  <c r="I134" i="519" s="1"/>
  <c r="Q110" i="519"/>
  <c r="Q143" i="519" s="1"/>
  <c r="R32" i="519" s="1"/>
  <c r="H66" i="519"/>
  <c r="L105" i="519"/>
  <c r="L138" i="519" s="1"/>
  <c r="M27" i="519" s="1"/>
  <c r="P109" i="519"/>
  <c r="N107" i="519"/>
  <c r="N140" i="519" s="1"/>
  <c r="O29" i="519" s="1"/>
  <c r="R76" i="519"/>
  <c r="I102" i="519"/>
  <c r="I135" i="519" s="1"/>
  <c r="J24" i="519" s="1"/>
  <c r="I67" i="519"/>
  <c r="M106" i="519"/>
  <c r="M139" i="519" s="1"/>
  <c r="N28" i="519" s="1"/>
  <c r="N106" i="519" s="1"/>
  <c r="N139" i="519" s="1"/>
  <c r="P74" i="519"/>
  <c r="K104" i="519"/>
  <c r="K137" i="519" s="1"/>
  <c r="L26" i="519" s="1"/>
  <c r="L104" i="519" s="1"/>
  <c r="L137" i="519" s="1"/>
  <c r="M71" i="519"/>
  <c r="O73" i="519"/>
  <c r="H65" i="519" l="1"/>
  <c r="H64" i="519" s="1"/>
  <c r="G20" i="519"/>
  <c r="G98" i="519" s="1"/>
  <c r="G131" i="519" s="1"/>
  <c r="O28" i="519"/>
  <c r="P142" i="519"/>
  <c r="Q31" i="519" s="1"/>
  <c r="Q109" i="519" s="1"/>
  <c r="Q142" i="519" s="1"/>
  <c r="D61" i="519"/>
  <c r="E19" i="519"/>
  <c r="E50" i="519" s="1"/>
  <c r="J23" i="519"/>
  <c r="J101" i="519" s="1"/>
  <c r="J134" i="519" s="1"/>
  <c r="I22" i="519"/>
  <c r="I100" i="519" s="1"/>
  <c r="I133" i="519" s="1"/>
  <c r="H21" i="519"/>
  <c r="H99" i="519" s="1"/>
  <c r="H132" i="519" s="1"/>
  <c r="M26" i="519"/>
  <c r="M104" i="519" s="1"/>
  <c r="M137" i="519" s="1"/>
  <c r="M70" i="519"/>
  <c r="M105" i="519"/>
  <c r="M138" i="519" s="1"/>
  <c r="N27" i="519" s="1"/>
  <c r="N105" i="519" s="1"/>
  <c r="N138" i="519" s="1"/>
  <c r="I66" i="519"/>
  <c r="J102" i="519"/>
  <c r="J135" i="519" s="1"/>
  <c r="K24" i="519" s="1"/>
  <c r="K102" i="519" s="1"/>
  <c r="K135" i="519" s="1"/>
  <c r="S76" i="519"/>
  <c r="L69" i="519"/>
  <c r="P73" i="519"/>
  <c r="T77" i="519"/>
  <c r="U77" i="519" s="1"/>
  <c r="Q74" i="519"/>
  <c r="R75" i="519"/>
  <c r="O72" i="519"/>
  <c r="N71" i="519"/>
  <c r="O107" i="519"/>
  <c r="O140" i="519" s="1"/>
  <c r="P29" i="519" s="1"/>
  <c r="P108" i="519"/>
  <c r="P141" i="519" s="1"/>
  <c r="Q30" i="519" s="1"/>
  <c r="Q108" i="519" s="1"/>
  <c r="Q141" i="519" s="1"/>
  <c r="R110" i="519"/>
  <c r="R143" i="519" s="1"/>
  <c r="S32" i="519" s="1"/>
  <c r="K103" i="519"/>
  <c r="K136" i="519" s="1"/>
  <c r="L25" i="519" s="1"/>
  <c r="J67" i="519"/>
  <c r="K68" i="519"/>
  <c r="H20" i="519" l="1"/>
  <c r="H98" i="519" s="1"/>
  <c r="H131" i="519" s="1"/>
  <c r="R30" i="519"/>
  <c r="R108" i="519" s="1"/>
  <c r="R141" i="519" s="1"/>
  <c r="I65" i="519"/>
  <c r="J65" i="519" s="1"/>
  <c r="E97" i="519"/>
  <c r="E130" i="519" s="1"/>
  <c r="F19" i="519" s="1"/>
  <c r="F50" i="519" s="1"/>
  <c r="R31" i="519"/>
  <c r="R109" i="519" s="1"/>
  <c r="R142" i="519" s="1"/>
  <c r="S31" i="519" s="1"/>
  <c r="S109" i="519" s="1"/>
  <c r="S142" i="519" s="1"/>
  <c r="E61" i="519"/>
  <c r="N26" i="519"/>
  <c r="N104" i="519" s="1"/>
  <c r="N137" i="519" s="1"/>
  <c r="L24" i="519"/>
  <c r="L102" i="519" s="1"/>
  <c r="L135" i="519" s="1"/>
  <c r="O27" i="519"/>
  <c r="O105" i="519" s="1"/>
  <c r="O138" i="519" s="1"/>
  <c r="O106" i="519"/>
  <c r="O139" i="519" s="1"/>
  <c r="P28" i="519" s="1"/>
  <c r="P106" i="519" s="1"/>
  <c r="P139" i="519" s="1"/>
  <c r="I21" i="519"/>
  <c r="I99" i="519" s="1"/>
  <c r="I132" i="519" s="1"/>
  <c r="J22" i="519"/>
  <c r="J100" i="519" s="1"/>
  <c r="J133" i="519" s="1"/>
  <c r="S110" i="519"/>
  <c r="S143" i="519" s="1"/>
  <c r="T32" i="519" s="1"/>
  <c r="P72" i="519"/>
  <c r="L103" i="519"/>
  <c r="L136" i="519" s="1"/>
  <c r="M25" i="519" s="1"/>
  <c r="N70" i="519"/>
  <c r="Q73" i="519"/>
  <c r="M69" i="519"/>
  <c r="P107" i="519"/>
  <c r="P140" i="519" s="1"/>
  <c r="Q29" i="519" s="1"/>
  <c r="Q107" i="519" s="1"/>
  <c r="Q140" i="519" s="1"/>
  <c r="T76" i="519"/>
  <c r="U76" i="519" s="1"/>
  <c r="O71" i="519"/>
  <c r="K67" i="519"/>
  <c r="J66" i="519"/>
  <c r="L68" i="519"/>
  <c r="S75" i="519"/>
  <c r="K23" i="519"/>
  <c r="R74" i="519"/>
  <c r="I20" i="519" l="1"/>
  <c r="I98" i="519" s="1"/>
  <c r="I131" i="519" s="1"/>
  <c r="J20" i="519" s="1"/>
  <c r="J98" i="519" s="1"/>
  <c r="J131" i="519" s="1"/>
  <c r="R29" i="519"/>
  <c r="F61" i="519"/>
  <c r="I64" i="519"/>
  <c r="T31" i="519"/>
  <c r="J64" i="519"/>
  <c r="S30" i="519"/>
  <c r="S108" i="519" s="1"/>
  <c r="S141" i="519" s="1"/>
  <c r="F97" i="519"/>
  <c r="F130" i="519" s="1"/>
  <c r="G19" i="519" s="1"/>
  <c r="G50" i="519" s="1"/>
  <c r="T110" i="519"/>
  <c r="T143" i="519" s="1"/>
  <c r="M24" i="519"/>
  <c r="M102" i="519" s="1"/>
  <c r="M135" i="519" s="1"/>
  <c r="J21" i="519"/>
  <c r="J99" i="519" s="1"/>
  <c r="J132" i="519" s="1"/>
  <c r="K22" i="519"/>
  <c r="K100" i="519" s="1"/>
  <c r="K133" i="519" s="1"/>
  <c r="P27" i="519"/>
  <c r="P105" i="519" s="1"/>
  <c r="P138" i="519" s="1"/>
  <c r="O26" i="519"/>
  <c r="O104" i="519" s="1"/>
  <c r="O137" i="519" s="1"/>
  <c r="M68" i="519"/>
  <c r="V77" i="519"/>
  <c r="K66" i="519"/>
  <c r="Q28" i="519"/>
  <c r="S74" i="519"/>
  <c r="O70" i="519"/>
  <c r="P71" i="519"/>
  <c r="R73" i="519"/>
  <c r="K101" i="519"/>
  <c r="K134" i="519" s="1"/>
  <c r="L23" i="519" s="1"/>
  <c r="M103" i="519"/>
  <c r="M136" i="519" s="1"/>
  <c r="N25" i="519" s="1"/>
  <c r="K65" i="519"/>
  <c r="T75" i="519"/>
  <c r="U75" i="519" s="1"/>
  <c r="Q72" i="519"/>
  <c r="L67" i="519"/>
  <c r="N69" i="519"/>
  <c r="K20" i="519" l="1"/>
  <c r="K98" i="519" s="1"/>
  <c r="K131" i="519" s="1"/>
  <c r="T30" i="519"/>
  <c r="K64" i="519"/>
  <c r="G97" i="519"/>
  <c r="G130" i="519" s="1"/>
  <c r="H19" i="519" s="1"/>
  <c r="H50" i="519" s="1"/>
  <c r="U32" i="519"/>
  <c r="G61" i="519"/>
  <c r="Q27" i="519"/>
  <c r="Q105" i="519" s="1"/>
  <c r="Q138" i="519" s="1"/>
  <c r="L22" i="519"/>
  <c r="L100" i="519" s="1"/>
  <c r="L133" i="519" s="1"/>
  <c r="L101" i="519"/>
  <c r="L134" i="519" s="1"/>
  <c r="M23" i="519" s="1"/>
  <c r="M101" i="519" s="1"/>
  <c r="M134" i="519" s="1"/>
  <c r="N24" i="519"/>
  <c r="N102" i="519" s="1"/>
  <c r="N135" i="519" s="1"/>
  <c r="K21" i="519"/>
  <c r="K99" i="519" s="1"/>
  <c r="K132" i="519" s="1"/>
  <c r="N103" i="519"/>
  <c r="N136" i="519" s="1"/>
  <c r="O25" i="519" s="1"/>
  <c r="T109" i="519"/>
  <c r="T142" i="519" s="1"/>
  <c r="Q71" i="519"/>
  <c r="P26" i="519"/>
  <c r="O69" i="519"/>
  <c r="V76" i="519"/>
  <c r="P70" i="519"/>
  <c r="R72" i="519"/>
  <c r="W77" i="519"/>
  <c r="M67" i="519"/>
  <c r="S73" i="519"/>
  <c r="Q106" i="519"/>
  <c r="Q139" i="519" s="1"/>
  <c r="R28" i="519" s="1"/>
  <c r="N68" i="519"/>
  <c r="T74" i="519"/>
  <c r="U74" i="519" s="1"/>
  <c r="L65" i="519"/>
  <c r="L66" i="519"/>
  <c r="M22" i="519" l="1"/>
  <c r="M100" i="519" s="1"/>
  <c r="M133" i="519" s="1"/>
  <c r="T108" i="519"/>
  <c r="T141" i="519" s="1"/>
  <c r="U30" i="519" s="1"/>
  <c r="U108" i="519" s="1"/>
  <c r="U141" i="519" s="1"/>
  <c r="U110" i="519"/>
  <c r="U143" i="519" s="1"/>
  <c r="V32" i="519" s="1"/>
  <c r="V110" i="519" s="1"/>
  <c r="V143" i="519" s="1"/>
  <c r="W32" i="519" s="1"/>
  <c r="W110" i="519" s="1"/>
  <c r="W143" i="519" s="1"/>
  <c r="N23" i="519"/>
  <c r="N101" i="519" s="1"/>
  <c r="N134" i="519" s="1"/>
  <c r="L20" i="519"/>
  <c r="L98" i="519" s="1"/>
  <c r="L131" i="519" s="1"/>
  <c r="M20" i="519" s="1"/>
  <c r="M98" i="519" s="1"/>
  <c r="L21" i="519"/>
  <c r="L99" i="519" s="1"/>
  <c r="L132" i="519" s="1"/>
  <c r="O24" i="519"/>
  <c r="O102" i="519" s="1"/>
  <c r="O135" i="519" s="1"/>
  <c r="H61" i="519"/>
  <c r="L64" i="519"/>
  <c r="H97" i="519"/>
  <c r="H130" i="519" s="1"/>
  <c r="I19" i="519" s="1"/>
  <c r="I50" i="519" s="1"/>
  <c r="U31" i="519"/>
  <c r="R27" i="519"/>
  <c r="R105" i="519" s="1"/>
  <c r="R138" i="519" s="1"/>
  <c r="W76" i="519"/>
  <c r="T73" i="519"/>
  <c r="U73" i="519" s="1"/>
  <c r="M66" i="519"/>
  <c r="M65" i="519"/>
  <c r="P104" i="519"/>
  <c r="P137" i="519" s="1"/>
  <c r="Q26" i="519" s="1"/>
  <c r="Q104" i="519" s="1"/>
  <c r="Q137" i="519" s="1"/>
  <c r="N67" i="519"/>
  <c r="O68" i="519"/>
  <c r="V75" i="519"/>
  <c r="Q70" i="519"/>
  <c r="P69" i="519"/>
  <c r="S72" i="519"/>
  <c r="O103" i="519"/>
  <c r="O136" i="519" s="1"/>
  <c r="P25" i="519" s="1"/>
  <c r="R106" i="519"/>
  <c r="R139" i="519" s="1"/>
  <c r="S28" i="519" s="1"/>
  <c r="X77" i="519"/>
  <c r="R71" i="519"/>
  <c r="U109" i="519" l="1"/>
  <c r="U142" i="519" s="1"/>
  <c r="V31" i="519" s="1"/>
  <c r="V109" i="519" s="1"/>
  <c r="V142" i="519" s="1"/>
  <c r="W31" i="519" s="1"/>
  <c r="W109" i="519" s="1"/>
  <c r="W142" i="519" s="1"/>
  <c r="R26" i="519"/>
  <c r="R104" i="519" s="1"/>
  <c r="R137" i="519" s="1"/>
  <c r="M21" i="519"/>
  <c r="M99" i="519" s="1"/>
  <c r="M132" i="519" s="1"/>
  <c r="N21" i="519" s="1"/>
  <c r="N99" i="519" s="1"/>
  <c r="N22" i="519"/>
  <c r="N100" i="519" s="1"/>
  <c r="N133" i="519" s="1"/>
  <c r="O22" i="519" s="1"/>
  <c r="O100" i="519" s="1"/>
  <c r="O23" i="519"/>
  <c r="P24" i="519"/>
  <c r="P102" i="519" s="1"/>
  <c r="P135" i="519" s="1"/>
  <c r="Q24" i="519" s="1"/>
  <c r="Q102" i="519" s="1"/>
  <c r="X32" i="519"/>
  <c r="X110" i="519" s="1"/>
  <c r="X143" i="519" s="1"/>
  <c r="M64" i="519"/>
  <c r="I97" i="519"/>
  <c r="I130" i="519" s="1"/>
  <c r="J19" i="519" s="1"/>
  <c r="J50" i="519" s="1"/>
  <c r="I61" i="519"/>
  <c r="V30" i="519"/>
  <c r="V108" i="519" s="1"/>
  <c r="V141" i="519" s="1"/>
  <c r="S27" i="519"/>
  <c r="S105" i="519" s="1"/>
  <c r="S138" i="519" s="1"/>
  <c r="N66" i="519"/>
  <c r="X76" i="519"/>
  <c r="S106" i="519"/>
  <c r="S139" i="519" s="1"/>
  <c r="O101" i="519"/>
  <c r="O134" i="519" s="1"/>
  <c r="P23" i="519" s="1"/>
  <c r="P101" i="519" s="1"/>
  <c r="O67" i="519"/>
  <c r="Q69" i="519"/>
  <c r="W75" i="519"/>
  <c r="S71" i="519"/>
  <c r="R70" i="519"/>
  <c r="T72" i="519"/>
  <c r="U72" i="519" s="1"/>
  <c r="V74" i="519"/>
  <c r="P103" i="519"/>
  <c r="P136" i="519" s="1"/>
  <c r="Q25" i="519" s="1"/>
  <c r="Q103" i="519" s="1"/>
  <c r="Q136" i="519" s="1"/>
  <c r="R25" i="519" s="1"/>
  <c r="M131" i="519"/>
  <c r="N20" i="519" s="1"/>
  <c r="N98" i="519" s="1"/>
  <c r="N65" i="519"/>
  <c r="Y77" i="519"/>
  <c r="P68" i="519"/>
  <c r="X31" i="519" l="1"/>
  <c r="X109" i="519" s="1"/>
  <c r="X142" i="519" s="1"/>
  <c r="W30" i="519"/>
  <c r="W108" i="519" s="1"/>
  <c r="W141" i="519" s="1"/>
  <c r="Y32" i="519"/>
  <c r="Y110" i="519" s="1"/>
  <c r="Y143" i="519" s="1"/>
  <c r="J61" i="519"/>
  <c r="J97" i="519"/>
  <c r="J130" i="519" s="1"/>
  <c r="K19" i="519" s="1"/>
  <c r="K97" i="519" s="1"/>
  <c r="K130" i="519" s="1"/>
  <c r="L19" i="519" s="1"/>
  <c r="L50" i="519" s="1"/>
  <c r="N64" i="519"/>
  <c r="T27" i="519"/>
  <c r="S26" i="519"/>
  <c r="S104" i="519" s="1"/>
  <c r="S137" i="519" s="1"/>
  <c r="T28" i="519"/>
  <c r="Q68" i="519"/>
  <c r="P134" i="519"/>
  <c r="Q23" i="519" s="1"/>
  <c r="Q101" i="519" s="1"/>
  <c r="Z77" i="519"/>
  <c r="V73" i="519"/>
  <c r="Y76" i="519"/>
  <c r="T71" i="519"/>
  <c r="U71" i="519" s="1"/>
  <c r="R103" i="519"/>
  <c r="R136" i="519" s="1"/>
  <c r="S70" i="519"/>
  <c r="R69" i="519"/>
  <c r="Q135" i="519"/>
  <c r="X75" i="519"/>
  <c r="O133" i="519"/>
  <c r="P22" i="519" s="1"/>
  <c r="P100" i="519" s="1"/>
  <c r="P67" i="519"/>
  <c r="O65" i="519"/>
  <c r="N131" i="519"/>
  <c r="O20" i="519" s="1"/>
  <c r="O98" i="519" s="1"/>
  <c r="N132" i="519"/>
  <c r="O21" i="519" s="1"/>
  <c r="O99" i="519" s="1"/>
  <c r="O66" i="519"/>
  <c r="W74" i="519"/>
  <c r="X30" i="519" l="1"/>
  <c r="X108" i="519" s="1"/>
  <c r="X141" i="519" s="1"/>
  <c r="Y30" i="519" s="1"/>
  <c r="Y108" i="519" s="1"/>
  <c r="T106" i="519"/>
  <c r="T139" i="519" s="1"/>
  <c r="U28" i="519" s="1"/>
  <c r="U106" i="519" s="1"/>
  <c r="U139" i="519" s="1"/>
  <c r="T105" i="519"/>
  <c r="T138" i="519" s="1"/>
  <c r="U27" i="519" s="1"/>
  <c r="U105" i="519" s="1"/>
  <c r="U138" i="519" s="1"/>
  <c r="Y31" i="519"/>
  <c r="Y109" i="519" s="1"/>
  <c r="Y142" i="519" s="1"/>
  <c r="Z31" i="519" s="1"/>
  <c r="Z109" i="519" s="1"/>
  <c r="Z32" i="519"/>
  <c r="Z110" i="519" s="1"/>
  <c r="Z143" i="519" s="1"/>
  <c r="L97" i="519"/>
  <c r="L130" i="519" s="1"/>
  <c r="M19" i="519" s="1"/>
  <c r="M50" i="519" s="1"/>
  <c r="K50" i="519"/>
  <c r="O64" i="519"/>
  <c r="T26" i="519"/>
  <c r="S25" i="519"/>
  <c r="S103" i="519" s="1"/>
  <c r="S136" i="519" s="1"/>
  <c r="R24" i="519"/>
  <c r="R102" i="519" s="1"/>
  <c r="R135" i="519" s="1"/>
  <c r="L61" i="519"/>
  <c r="V72" i="519"/>
  <c r="P65" i="519"/>
  <c r="O131" i="519"/>
  <c r="P20" i="519" s="1"/>
  <c r="P98" i="519" s="1"/>
  <c r="Z76" i="519"/>
  <c r="W73" i="519"/>
  <c r="Q134" i="519"/>
  <c r="R68" i="519"/>
  <c r="S69" i="519"/>
  <c r="T70" i="519"/>
  <c r="U70" i="519" s="1"/>
  <c r="AA77" i="519"/>
  <c r="P133" i="519"/>
  <c r="Q22" i="519" s="1"/>
  <c r="Q100" i="519" s="1"/>
  <c r="Q67" i="519"/>
  <c r="Y75" i="519"/>
  <c r="X74" i="519"/>
  <c r="P66" i="519"/>
  <c r="O132" i="519"/>
  <c r="P21" i="519" s="1"/>
  <c r="P99" i="519" s="1"/>
  <c r="T104" i="519" l="1"/>
  <c r="T137" i="519" s="1"/>
  <c r="U26" i="519" s="1"/>
  <c r="U104" i="519" s="1"/>
  <c r="U137" i="519" s="1"/>
  <c r="AA32" i="519"/>
  <c r="AA110" i="519" s="1"/>
  <c r="AA143" i="519" s="1"/>
  <c r="AB32" i="519" s="1"/>
  <c r="AB110" i="519" s="1"/>
  <c r="M97" i="519"/>
  <c r="M130" i="519" s="1"/>
  <c r="N19" i="519" s="1"/>
  <c r="N97" i="519" s="1"/>
  <c r="N130" i="519" s="1"/>
  <c r="O19" i="519" s="1"/>
  <c r="M54" i="519"/>
  <c r="M52" i="519"/>
  <c r="P64" i="519"/>
  <c r="K61" i="519"/>
  <c r="V27" i="519"/>
  <c r="V105" i="519" s="1"/>
  <c r="V138" i="519" s="1"/>
  <c r="W27" i="519" s="1"/>
  <c r="W105" i="519" s="1"/>
  <c r="V28" i="519"/>
  <c r="V106" i="519" s="1"/>
  <c r="V139" i="519" s="1"/>
  <c r="W28" i="519" s="1"/>
  <c r="W106" i="519" s="1"/>
  <c r="W139" i="519" s="1"/>
  <c r="X28" i="519" s="1"/>
  <c r="X106" i="519" s="1"/>
  <c r="S24" i="519"/>
  <c r="S102" i="519" s="1"/>
  <c r="S135" i="519" s="1"/>
  <c r="T25" i="519"/>
  <c r="R23" i="519"/>
  <c r="R101" i="519" s="1"/>
  <c r="R134" i="519" s="1"/>
  <c r="M61" i="519"/>
  <c r="X73" i="519"/>
  <c r="Y141" i="519"/>
  <c r="Z30" i="519" s="1"/>
  <c r="Z108" i="519" s="1"/>
  <c r="Z75" i="519"/>
  <c r="R67" i="519"/>
  <c r="Q133" i="519"/>
  <c r="S68" i="519"/>
  <c r="W72" i="519"/>
  <c r="P131" i="519"/>
  <c r="Q20" i="519" s="1"/>
  <c r="Q98" i="519" s="1"/>
  <c r="Q65" i="519"/>
  <c r="T69" i="519"/>
  <c r="U69" i="519" s="1"/>
  <c r="Z142" i="519"/>
  <c r="AA31" i="519" s="1"/>
  <c r="AA109" i="519" s="1"/>
  <c r="AA76" i="519"/>
  <c r="P132" i="519"/>
  <c r="Q21" i="519" s="1"/>
  <c r="Q99" i="519" s="1"/>
  <c r="Q66" i="519"/>
  <c r="Y74" i="519"/>
  <c r="V71" i="519"/>
  <c r="AB77" i="519"/>
  <c r="M58" i="519"/>
  <c r="M59" i="519"/>
  <c r="T103" i="519" l="1"/>
  <c r="T136" i="519" s="1"/>
  <c r="U25" i="519" s="1"/>
  <c r="U103" i="519" s="1"/>
  <c r="U136" i="519" s="1"/>
  <c r="N50" i="519"/>
  <c r="N54" i="519" s="1"/>
  <c r="Q64" i="519"/>
  <c r="V26" i="519"/>
  <c r="V104" i="519" s="1"/>
  <c r="V137" i="519" s="1"/>
  <c r="W26" i="519" s="1"/>
  <c r="W104" i="519" s="1"/>
  <c r="S23" i="519"/>
  <c r="S101" i="519" s="1"/>
  <c r="S134" i="519" s="1"/>
  <c r="T24" i="519"/>
  <c r="R22" i="519"/>
  <c r="R100" i="519" s="1"/>
  <c r="R133" i="519" s="1"/>
  <c r="Q131" i="519"/>
  <c r="R65" i="519"/>
  <c r="T68" i="519"/>
  <c r="U68" i="519" s="1"/>
  <c r="W71" i="519"/>
  <c r="O50" i="519"/>
  <c r="O97" i="519"/>
  <c r="O130" i="519" s="1"/>
  <c r="P19" i="519" s="1"/>
  <c r="Z141" i="519"/>
  <c r="AA30" i="519" s="1"/>
  <c r="AA108" i="519" s="1"/>
  <c r="AA75" i="519"/>
  <c r="W138" i="519"/>
  <c r="X27" i="519" s="1"/>
  <c r="X105" i="519" s="1"/>
  <c r="X72" i="519"/>
  <c r="Y73" i="519"/>
  <c r="X139" i="519"/>
  <c r="Y28" i="519" s="1"/>
  <c r="Y106" i="519" s="1"/>
  <c r="Z74" i="519"/>
  <c r="R66" i="519"/>
  <c r="Q132" i="519"/>
  <c r="AA142" i="519"/>
  <c r="AB31" i="519" s="1"/>
  <c r="AB109" i="519" s="1"/>
  <c r="AB76" i="519"/>
  <c r="S67" i="519"/>
  <c r="AC77" i="519"/>
  <c r="AB143" i="519"/>
  <c r="AC32" i="519" s="1"/>
  <c r="AC110" i="519" s="1"/>
  <c r="V70" i="519"/>
  <c r="T102" i="519" l="1"/>
  <c r="T135" i="519" s="1"/>
  <c r="U24" i="519" s="1"/>
  <c r="U102" i="519" s="1"/>
  <c r="U135" i="519" s="1"/>
  <c r="N52" i="519"/>
  <c r="N59" i="519"/>
  <c r="N58" i="519"/>
  <c r="N61" i="519"/>
  <c r="O54" i="519"/>
  <c r="O52" i="519"/>
  <c r="R64" i="519"/>
  <c r="V25" i="519"/>
  <c r="V103" i="519" s="1"/>
  <c r="V136" i="519" s="1"/>
  <c r="W25" i="519" s="1"/>
  <c r="W103" i="519" s="1"/>
  <c r="S22" i="519"/>
  <c r="S100" i="519" s="1"/>
  <c r="S133" i="519" s="1"/>
  <c r="T23" i="519"/>
  <c r="R21" i="519"/>
  <c r="R99" i="519" s="1"/>
  <c r="R132" i="519" s="1"/>
  <c r="R20" i="519"/>
  <c r="R98" i="519" s="1"/>
  <c r="R131" i="519" s="1"/>
  <c r="O61" i="519"/>
  <c r="S66" i="519"/>
  <c r="X71" i="519"/>
  <c r="W137" i="519"/>
  <c r="X26" i="519" s="1"/>
  <c r="X104" i="519" s="1"/>
  <c r="Y72" i="519"/>
  <c r="X138" i="519"/>
  <c r="Y27" i="519" s="1"/>
  <c r="Y105" i="519" s="1"/>
  <c r="AC143" i="519"/>
  <c r="AD32" i="519" s="1"/>
  <c r="AD110" i="519" s="1"/>
  <c r="AD77" i="519"/>
  <c r="AC76" i="519"/>
  <c r="AB142" i="519"/>
  <c r="AC31" i="519" s="1"/>
  <c r="AC109" i="519" s="1"/>
  <c r="AA74" i="519"/>
  <c r="Y139" i="519"/>
  <c r="Z28" i="519" s="1"/>
  <c r="Z106" i="519" s="1"/>
  <c r="Z73" i="519"/>
  <c r="V69" i="519"/>
  <c r="O59" i="519"/>
  <c r="O58" i="519"/>
  <c r="T67" i="519"/>
  <c r="U67" i="519" s="1"/>
  <c r="S65" i="519"/>
  <c r="AB75" i="519"/>
  <c r="AA141" i="519"/>
  <c r="AB30" i="519" s="1"/>
  <c r="AB108" i="519" s="1"/>
  <c r="P50" i="519"/>
  <c r="P97" i="519"/>
  <c r="W70" i="519"/>
  <c r="T101" i="519" l="1"/>
  <c r="T134" i="519" s="1"/>
  <c r="U23" i="519" s="1"/>
  <c r="U101" i="519" s="1"/>
  <c r="U134" i="519" s="1"/>
  <c r="P54" i="519"/>
  <c r="P52" i="519"/>
  <c r="P130" i="519"/>
  <c r="Q19" i="519" s="1"/>
  <c r="V24" i="519"/>
  <c r="V102" i="519" s="1"/>
  <c r="V135" i="519" s="1"/>
  <c r="W24" i="519" s="1"/>
  <c r="W102" i="519" s="1"/>
  <c r="S20" i="519"/>
  <c r="S98" i="519" s="1"/>
  <c r="S131" i="519" s="1"/>
  <c r="S21" i="519"/>
  <c r="S99" i="519" s="1"/>
  <c r="S132" i="519" s="1"/>
  <c r="T22" i="519"/>
  <c r="P61" i="519"/>
  <c r="P59" i="519"/>
  <c r="P58" i="519"/>
  <c r="AB141" i="519"/>
  <c r="AC30" i="519" s="1"/>
  <c r="AC108" i="519" s="1"/>
  <c r="AC75" i="519"/>
  <c r="T65" i="519"/>
  <c r="U65" i="519" s="1"/>
  <c r="AB74" i="519"/>
  <c r="Y138" i="519"/>
  <c r="Z27" i="519" s="1"/>
  <c r="Z105" i="519" s="1"/>
  <c r="Z72" i="519"/>
  <c r="W136" i="519"/>
  <c r="X25" i="519" s="1"/>
  <c r="X103" i="519" s="1"/>
  <c r="X70" i="519"/>
  <c r="W69" i="519"/>
  <c r="Z139" i="519"/>
  <c r="AA28" i="519" s="1"/>
  <c r="AA106" i="519" s="1"/>
  <c r="AA73" i="519"/>
  <c r="AD143" i="519"/>
  <c r="AE32" i="519" s="1"/>
  <c r="AE110" i="519" s="1"/>
  <c r="AE77" i="519"/>
  <c r="Y71" i="519"/>
  <c r="X137" i="519"/>
  <c r="Y26" i="519" s="1"/>
  <c r="Y104" i="519" s="1"/>
  <c r="AC142" i="519"/>
  <c r="AD31" i="519" s="1"/>
  <c r="AD109" i="519" s="1"/>
  <c r="AD76" i="519"/>
  <c r="V68" i="519"/>
  <c r="T66" i="519"/>
  <c r="U66" i="519" s="1"/>
  <c r="T100" i="519" l="1"/>
  <c r="T133" i="519" s="1"/>
  <c r="U22" i="519" s="1"/>
  <c r="U100" i="519" s="1"/>
  <c r="U133" i="519" s="1"/>
  <c r="Q50" i="519"/>
  <c r="Q61" i="519" s="1"/>
  <c r="Q97" i="519"/>
  <c r="Q130" i="519" s="1"/>
  <c r="R19" i="519" s="1"/>
  <c r="R97" i="519" s="1"/>
  <c r="V23" i="519"/>
  <c r="V101" i="519" s="1"/>
  <c r="V134" i="519" s="1"/>
  <c r="W23" i="519" s="1"/>
  <c r="W101" i="519" s="1"/>
  <c r="T21" i="519"/>
  <c r="T20" i="519"/>
  <c r="Y137" i="519"/>
  <c r="Z26" i="519" s="1"/>
  <c r="Z104" i="519" s="1"/>
  <c r="Z71" i="519"/>
  <c r="W68" i="519"/>
  <c r="X136" i="519"/>
  <c r="Y25" i="519" s="1"/>
  <c r="Y103" i="519" s="1"/>
  <c r="Y70" i="519"/>
  <c r="AE143" i="519"/>
  <c r="AF32" i="519" s="1"/>
  <c r="AF77" i="519"/>
  <c r="AG77" i="519" s="1"/>
  <c r="AA139" i="519"/>
  <c r="AB28" i="519" s="1"/>
  <c r="AB106" i="519" s="1"/>
  <c r="AB73" i="519"/>
  <c r="AC141" i="519"/>
  <c r="AD30" i="519" s="1"/>
  <c r="AD108" i="519" s="1"/>
  <c r="AD75" i="519"/>
  <c r="AD142" i="519"/>
  <c r="AE31" i="519" s="1"/>
  <c r="AE109" i="519" s="1"/>
  <c r="AE76" i="519"/>
  <c r="W135" i="519"/>
  <c r="X24" i="519" s="1"/>
  <c r="X102" i="519" s="1"/>
  <c r="X69" i="519"/>
  <c r="Z138" i="519"/>
  <c r="AA27" i="519" s="1"/>
  <c r="AA105" i="519" s="1"/>
  <c r="AA72" i="519"/>
  <c r="AC74" i="519"/>
  <c r="V67" i="519"/>
  <c r="T98" i="519" l="1"/>
  <c r="T131" i="519" s="1"/>
  <c r="U20" i="519" s="1"/>
  <c r="U98" i="519" s="1"/>
  <c r="U131" i="519" s="1"/>
  <c r="T99" i="519"/>
  <c r="T132" i="519" s="1"/>
  <c r="U21" i="519" s="1"/>
  <c r="U99" i="519" s="1"/>
  <c r="U132" i="519" s="1"/>
  <c r="AF110" i="519"/>
  <c r="AF143" i="519" s="1"/>
  <c r="AG32" i="519" s="1"/>
  <c r="AG110" i="519" s="1"/>
  <c r="AG143" i="519" s="1"/>
  <c r="V22" i="519"/>
  <c r="V100" i="519" s="1"/>
  <c r="V133" i="519" s="1"/>
  <c r="W22" i="519" s="1"/>
  <c r="W100" i="519" s="1"/>
  <c r="X135" i="519"/>
  <c r="Y24" i="519" s="1"/>
  <c r="Y102" i="519" s="1"/>
  <c r="Y69" i="519"/>
  <c r="V65" i="519"/>
  <c r="AA138" i="519"/>
  <c r="AB27" i="519" s="1"/>
  <c r="AB105" i="519" s="1"/>
  <c r="AB72" i="519"/>
  <c r="AC73" i="519"/>
  <c r="AB139" i="519"/>
  <c r="AC28" i="519" s="1"/>
  <c r="AC106" i="519" s="1"/>
  <c r="V66" i="519"/>
  <c r="Z137" i="519"/>
  <c r="AA26" i="519" s="1"/>
  <c r="AA104" i="519" s="1"/>
  <c r="AA71" i="519"/>
  <c r="AD74" i="519"/>
  <c r="AF76" i="519"/>
  <c r="AG76" i="519" s="1"/>
  <c r="AE142" i="519"/>
  <c r="AF31" i="519" s="1"/>
  <c r="AD141" i="519"/>
  <c r="AE30" i="519" s="1"/>
  <c r="AE108" i="519" s="1"/>
  <c r="AE75" i="519"/>
  <c r="Z70" i="519"/>
  <c r="Y136" i="519"/>
  <c r="Z25" i="519" s="1"/>
  <c r="Z103" i="519" s="1"/>
  <c r="W134" i="519"/>
  <c r="X23" i="519" s="1"/>
  <c r="X101" i="519" s="1"/>
  <c r="X68" i="519"/>
  <c r="W67" i="519"/>
  <c r="AF109" i="519" l="1"/>
  <c r="AF142" i="519" s="1"/>
  <c r="AG31" i="519" s="1"/>
  <c r="AG109" i="519" s="1"/>
  <c r="AG142" i="519" s="1"/>
  <c r="V20" i="519"/>
  <c r="V98" i="519" s="1"/>
  <c r="V131" i="519" s="1"/>
  <c r="W20" i="519" s="1"/>
  <c r="W98" i="519" s="1"/>
  <c r="V21" i="519"/>
  <c r="V99" i="519" s="1"/>
  <c r="V132" i="519" s="1"/>
  <c r="W21" i="519" s="1"/>
  <c r="W99" i="519" s="1"/>
  <c r="AE141" i="519"/>
  <c r="AF30" i="519" s="1"/>
  <c r="AF75" i="519"/>
  <c r="AG75" i="519" s="1"/>
  <c r="W65" i="519"/>
  <c r="W133" i="519"/>
  <c r="X22" i="519" s="1"/>
  <c r="X100" i="519" s="1"/>
  <c r="X67" i="519"/>
  <c r="Y68" i="519"/>
  <c r="X134" i="519"/>
  <c r="Y23" i="519" s="1"/>
  <c r="Y101" i="519" s="1"/>
  <c r="AA137" i="519"/>
  <c r="AB26" i="519" s="1"/>
  <c r="AB104" i="519" s="1"/>
  <c r="AB71" i="519"/>
  <c r="W66" i="519"/>
  <c r="AC139" i="519"/>
  <c r="AD28" i="519" s="1"/>
  <c r="AD106" i="519" s="1"/>
  <c r="AD73" i="519"/>
  <c r="Y135" i="519"/>
  <c r="Z24" i="519" s="1"/>
  <c r="Z102" i="519" s="1"/>
  <c r="Z69" i="519"/>
  <c r="AA70" i="519"/>
  <c r="Z136" i="519"/>
  <c r="AA25" i="519" s="1"/>
  <c r="AA103" i="519" s="1"/>
  <c r="AE74" i="519"/>
  <c r="AC72" i="519"/>
  <c r="AB138" i="519"/>
  <c r="AC27" i="519" s="1"/>
  <c r="AC105" i="519" s="1"/>
  <c r="AF108" i="519" l="1"/>
  <c r="AF141" i="519" s="1"/>
  <c r="AG30" i="519" s="1"/>
  <c r="AG108" i="519" s="1"/>
  <c r="AG141" i="519" s="1"/>
  <c r="AB70" i="519"/>
  <c r="AA136" i="519"/>
  <c r="AB25" i="519" s="1"/>
  <c r="AB103" i="519" s="1"/>
  <c r="AB137" i="519"/>
  <c r="AC26" i="519" s="1"/>
  <c r="AC104" i="519" s="1"/>
  <c r="AC71" i="519"/>
  <c r="Z135" i="519"/>
  <c r="AA24" i="519" s="1"/>
  <c r="AA102" i="519" s="1"/>
  <c r="AA69" i="519"/>
  <c r="AE73" i="519"/>
  <c r="AD139" i="519"/>
  <c r="AE28" i="519" s="1"/>
  <c r="AE106" i="519" s="1"/>
  <c r="X66" i="519"/>
  <c r="W132" i="519"/>
  <c r="X21" i="519" s="1"/>
  <c r="X99" i="519" s="1"/>
  <c r="AD72" i="519"/>
  <c r="AC138" i="519"/>
  <c r="AD27" i="519" s="1"/>
  <c r="AD105" i="519" s="1"/>
  <c r="Y134" i="519"/>
  <c r="Z23" i="519" s="1"/>
  <c r="Z101" i="519" s="1"/>
  <c r="Z68" i="519"/>
  <c r="AF74" i="519"/>
  <c r="AG74" i="519" s="1"/>
  <c r="X133" i="519"/>
  <c r="Y22" i="519" s="1"/>
  <c r="Y100" i="519" s="1"/>
  <c r="Y67" i="519"/>
  <c r="W131" i="519"/>
  <c r="X20" i="519" s="1"/>
  <c r="X98" i="519" s="1"/>
  <c r="X65" i="519"/>
  <c r="AA68" i="519" l="1"/>
  <c r="Z134" i="519"/>
  <c r="AA23" i="519" s="1"/>
  <c r="AA101" i="519" s="1"/>
  <c r="X131" i="519"/>
  <c r="Y20" i="519" s="1"/>
  <c r="Y98" i="519" s="1"/>
  <c r="Y65" i="519"/>
  <c r="Y133" i="519"/>
  <c r="Z22" i="519" s="1"/>
  <c r="Z100" i="519" s="1"/>
  <c r="Z67" i="519"/>
  <c r="AE72" i="519"/>
  <c r="AD138" i="519"/>
  <c r="AE27" i="519" s="1"/>
  <c r="AE105" i="519" s="1"/>
  <c r="AA135" i="519"/>
  <c r="AB24" i="519" s="1"/>
  <c r="AB102" i="519" s="1"/>
  <c r="AB69" i="519"/>
  <c r="Y66" i="519"/>
  <c r="X132" i="519"/>
  <c r="Y21" i="519" s="1"/>
  <c r="Y99" i="519" s="1"/>
  <c r="AE139" i="519"/>
  <c r="AF28" i="519" s="1"/>
  <c r="AF73" i="519"/>
  <c r="AG73" i="519" s="1"/>
  <c r="AD71" i="519"/>
  <c r="AC137" i="519"/>
  <c r="AD26" i="519" s="1"/>
  <c r="AD104" i="519" s="1"/>
  <c r="AC70" i="519"/>
  <c r="AB136" i="519"/>
  <c r="AC25" i="519" s="1"/>
  <c r="AC103" i="519" s="1"/>
  <c r="AF106" i="519" l="1"/>
  <c r="AF139" i="519" s="1"/>
  <c r="AG28" i="519" s="1"/>
  <c r="AG106" i="519" s="1"/>
  <c r="AG139" i="519" s="1"/>
  <c r="AD70" i="519"/>
  <c r="AC136" i="519"/>
  <c r="AD25" i="519" s="1"/>
  <c r="AD103" i="519" s="1"/>
  <c r="Z133" i="519"/>
  <c r="AA22" i="519" s="1"/>
  <c r="AA100" i="519" s="1"/>
  <c r="AA67" i="519"/>
  <c r="Z66" i="519"/>
  <c r="Y132" i="519"/>
  <c r="Z21" i="519" s="1"/>
  <c r="Z99" i="519" s="1"/>
  <c r="Y131" i="519"/>
  <c r="Z20" i="519" s="1"/>
  <c r="Z98" i="519" s="1"/>
  <c r="Z65" i="519"/>
  <c r="AB68" i="519"/>
  <c r="AA134" i="519"/>
  <c r="AB23" i="519" s="1"/>
  <c r="AB101" i="519" s="1"/>
  <c r="AE71" i="519"/>
  <c r="AD137" i="519"/>
  <c r="AE26" i="519" s="1"/>
  <c r="AE104" i="519" s="1"/>
  <c r="AC69" i="519"/>
  <c r="AB135" i="519"/>
  <c r="AC24" i="519" s="1"/>
  <c r="AC102" i="519" s="1"/>
  <c r="AE138" i="519"/>
  <c r="AF27" i="519" s="1"/>
  <c r="AF72" i="519"/>
  <c r="AG72" i="519" s="1"/>
  <c r="AF105" i="519" l="1"/>
  <c r="AF138" i="519" s="1"/>
  <c r="AG27" i="519" s="1"/>
  <c r="AG105" i="519" s="1"/>
  <c r="AG138" i="519" s="1"/>
  <c r="AE137" i="519"/>
  <c r="AF26" i="519" s="1"/>
  <c r="AF71" i="519"/>
  <c r="AG71" i="519" s="1"/>
  <c r="AB134" i="519"/>
  <c r="AC23" i="519" s="1"/>
  <c r="AC101" i="519" s="1"/>
  <c r="AC68" i="519"/>
  <c r="Z131" i="519"/>
  <c r="AA20" i="519" s="1"/>
  <c r="AA98" i="519" s="1"/>
  <c r="AA65" i="519"/>
  <c r="AA133" i="519"/>
  <c r="AB22" i="519" s="1"/>
  <c r="AB100" i="519" s="1"/>
  <c r="AB67" i="519"/>
  <c r="AC135" i="519"/>
  <c r="AD24" i="519" s="1"/>
  <c r="AD102" i="519" s="1"/>
  <c r="AD69" i="519"/>
  <c r="AA66" i="519"/>
  <c r="Z132" i="519"/>
  <c r="AA21" i="519" s="1"/>
  <c r="AA99" i="519" s="1"/>
  <c r="AD136" i="519"/>
  <c r="AE25" i="519" s="1"/>
  <c r="AE103" i="519" s="1"/>
  <c r="AE70" i="519"/>
  <c r="AF104" i="519" l="1"/>
  <c r="AF137" i="519" s="1"/>
  <c r="AG26" i="519" s="1"/>
  <c r="AG104" i="519" s="1"/>
  <c r="AG137" i="519" s="1"/>
  <c r="AB133" i="519"/>
  <c r="AC22" i="519" s="1"/>
  <c r="AC100" i="519" s="1"/>
  <c r="AC67" i="519"/>
  <c r="AE69" i="519"/>
  <c r="AD135" i="519"/>
  <c r="AE24" i="519" s="1"/>
  <c r="AE102" i="519" s="1"/>
  <c r="AA131" i="519"/>
  <c r="AB20" i="519" s="1"/>
  <c r="AB98" i="519" s="1"/>
  <c r="AB65" i="519"/>
  <c r="AC134" i="519"/>
  <c r="AD23" i="519" s="1"/>
  <c r="AD101" i="519" s="1"/>
  <c r="AD68" i="519"/>
  <c r="AE136" i="519"/>
  <c r="AF25" i="519" s="1"/>
  <c r="AF70" i="519"/>
  <c r="AG70" i="519" s="1"/>
  <c r="AB66" i="519"/>
  <c r="AA132" i="519"/>
  <c r="AB21" i="519" s="1"/>
  <c r="AB99" i="519" s="1"/>
  <c r="AF103" i="519" l="1"/>
  <c r="AF136" i="519" s="1"/>
  <c r="AG25" i="519" s="1"/>
  <c r="AG103" i="519" s="1"/>
  <c r="AG136" i="519" s="1"/>
  <c r="AC66" i="519"/>
  <c r="AB132" i="519"/>
  <c r="AC21" i="519" s="1"/>
  <c r="AC99" i="519" s="1"/>
  <c r="AB131" i="519"/>
  <c r="AC20" i="519" s="1"/>
  <c r="AC98" i="519" s="1"/>
  <c r="AC65" i="519"/>
  <c r="AD67" i="519"/>
  <c r="AC133" i="519"/>
  <c r="AD22" i="519" s="1"/>
  <c r="AD100" i="519" s="1"/>
  <c r="AD134" i="519"/>
  <c r="AE23" i="519" s="1"/>
  <c r="AE101" i="519" s="1"/>
  <c r="AE68" i="519"/>
  <c r="AE135" i="519"/>
  <c r="AF24" i="519" s="1"/>
  <c r="AF69" i="519"/>
  <c r="AG69" i="519" s="1"/>
  <c r="AF102" i="519" l="1"/>
  <c r="AF135" i="519" s="1"/>
  <c r="AG24" i="519" s="1"/>
  <c r="AG102" i="519" s="1"/>
  <c r="AG135" i="519" s="1"/>
  <c r="AE134" i="519"/>
  <c r="AF23" i="519" s="1"/>
  <c r="AF68" i="519"/>
  <c r="AG68" i="519" s="1"/>
  <c r="AE67" i="519"/>
  <c r="AD133" i="519"/>
  <c r="AE22" i="519" s="1"/>
  <c r="AE100" i="519" s="1"/>
  <c r="AC131" i="519"/>
  <c r="AD20" i="519" s="1"/>
  <c r="AD98" i="519" s="1"/>
  <c r="AD65" i="519"/>
  <c r="AD66" i="519"/>
  <c r="AC132" i="519"/>
  <c r="AD21" i="519" s="1"/>
  <c r="AD99" i="519" s="1"/>
  <c r="AF101" i="519" l="1"/>
  <c r="AF134" i="519" s="1"/>
  <c r="AG23" i="519" s="1"/>
  <c r="AG101" i="519" s="1"/>
  <c r="AG134" i="519" s="1"/>
  <c r="AF67" i="519"/>
  <c r="AG67" i="519" s="1"/>
  <c r="AE133" i="519"/>
  <c r="AF22" i="519" s="1"/>
  <c r="AD132" i="519"/>
  <c r="AE21" i="519" s="1"/>
  <c r="AE99" i="519" s="1"/>
  <c r="AE66" i="519"/>
  <c r="AD131" i="519"/>
  <c r="AE20" i="519" s="1"/>
  <c r="AE98" i="519" s="1"/>
  <c r="AE65" i="519"/>
  <c r="AF100" i="519" l="1"/>
  <c r="AF133" i="519" s="1"/>
  <c r="AG22" i="519" s="1"/>
  <c r="AG100" i="519" s="1"/>
  <c r="AG133" i="519" s="1"/>
  <c r="AE131" i="519"/>
  <c r="AF20" i="519" s="1"/>
  <c r="AF65" i="519"/>
  <c r="AG65" i="519" s="1"/>
  <c r="AF66" i="519"/>
  <c r="AG66" i="519" s="1"/>
  <c r="AE132" i="519"/>
  <c r="AF21" i="519" s="1"/>
  <c r="AF99" i="519" l="1"/>
  <c r="AF132" i="519" s="1"/>
  <c r="AG21" i="519" s="1"/>
  <c r="AG99" i="519" s="1"/>
  <c r="AG132" i="519" s="1"/>
  <c r="AF98" i="519"/>
  <c r="AF131" i="519" s="1"/>
  <c r="AG20" i="519" s="1"/>
  <c r="AG98" i="519" s="1"/>
  <c r="AG131" i="519" s="1"/>
  <c r="BF249" i="1" l="1"/>
  <c r="BG1246" i="1"/>
  <c r="BG1245" i="1"/>
  <c r="BG1244" i="1"/>
  <c r="BG1243" i="1"/>
  <c r="BG1242" i="1"/>
  <c r="BG1240" i="1"/>
  <c r="BG1239" i="1"/>
  <c r="BG1238" i="1"/>
  <c r="BG1237" i="1"/>
  <c r="BG1236" i="1"/>
  <c r="BG1235" i="1"/>
  <c r="BG1233" i="1"/>
  <c r="BG1232" i="1"/>
  <c r="BG1231" i="1"/>
  <c r="BG1230" i="1"/>
  <c r="BG1229" i="1"/>
  <c r="BG1228" i="1"/>
  <c r="BG1227" i="1"/>
  <c r="BG1226" i="1"/>
  <c r="BG1222" i="1"/>
  <c r="BG1221" i="1"/>
  <c r="BG1220" i="1"/>
  <c r="BG1219" i="1"/>
  <c r="BG1218" i="1"/>
  <c r="BG1217" i="1"/>
  <c r="BG1216" i="1"/>
  <c r="BG1214" i="1"/>
  <c r="BG1213" i="1"/>
  <c r="BG1212" i="1"/>
  <c r="BG1211" i="1"/>
  <c r="BG1210" i="1"/>
  <c r="BG1209" i="1"/>
  <c r="BG241" i="1"/>
  <c r="BG233" i="1"/>
  <c r="BG41" i="1"/>
  <c r="BG40" i="1"/>
  <c r="BG24" i="1"/>
  <c r="K52" i="1"/>
  <c r="J52" i="1"/>
  <c r="I52" i="1"/>
  <c r="H52" i="1"/>
  <c r="AA25" i="1"/>
  <c r="Z25" i="1"/>
  <c r="Y25" i="1"/>
  <c r="X25" i="1"/>
  <c r="W25" i="1"/>
  <c r="V25" i="1"/>
  <c r="U25" i="1"/>
  <c r="T25" i="1"/>
  <c r="S25" i="1"/>
  <c r="R25" i="1"/>
  <c r="Q25" i="1"/>
  <c r="P25" i="1"/>
  <c r="O25" i="1"/>
  <c r="N25" i="1"/>
  <c r="M25" i="1"/>
  <c r="L25" i="1"/>
  <c r="K25" i="1"/>
  <c r="J25" i="1"/>
  <c r="I25" i="1"/>
  <c r="H25" i="1"/>
  <c r="AB25" i="1"/>
  <c r="AZ15" i="1"/>
  <c r="AY15" i="1"/>
  <c r="AX15" i="1"/>
  <c r="AZ51" i="1"/>
  <c r="AZ52" i="1" s="1"/>
  <c r="AY51" i="1"/>
  <c r="AY52" i="1" s="1"/>
  <c r="AX51" i="1"/>
  <c r="AX52" i="1" s="1"/>
  <c r="BH25" i="1"/>
  <c r="BF25" i="1"/>
  <c r="BE25" i="1"/>
  <c r="BD25" i="1"/>
  <c r="BG25" i="1" s="1"/>
  <c r="BC25" i="1"/>
  <c r="BB25" i="1"/>
  <c r="BA25" i="1"/>
  <c r="AZ25" i="1"/>
  <c r="AY25" i="1"/>
  <c r="AX25" i="1"/>
  <c r="AJ25" i="1"/>
  <c r="AI25" i="1"/>
  <c r="AC25" i="1"/>
  <c r="BG1264" i="1" l="1"/>
  <c r="BG137" i="1"/>
  <c r="AN35" i="359"/>
  <c r="AR39" i="359" s="1"/>
  <c r="AL35" i="359"/>
  <c r="AK75" i="1"/>
  <c r="AG256" i="1"/>
  <c r="BS256" i="1" s="1"/>
  <c r="AG255" i="1"/>
  <c r="BS255" i="1" s="1"/>
  <c r="AG257" i="1"/>
  <c r="BS257" i="1" s="1"/>
  <c r="AH88" i="1"/>
  <c r="AJ88" i="1"/>
  <c r="BS258" i="1" l="1"/>
  <c r="BT257" i="1" s="1"/>
  <c r="AG212" i="1"/>
  <c r="AG210" i="1"/>
  <c r="AG211" i="1"/>
  <c r="AR41" i="359"/>
  <c r="AR40" i="359" s="1"/>
  <c r="P27" i="522"/>
  <c r="P59" i="522" s="1"/>
  <c r="AJ86" i="1"/>
  <c r="N27" i="522"/>
  <c r="N59" i="522" s="1"/>
  <c r="N73" i="522" s="1"/>
  <c r="N74" i="522" s="1"/>
  <c r="AH86" i="1"/>
  <c r="AP39" i="359"/>
  <c r="AQ56" i="359"/>
  <c r="AO51" i="359"/>
  <c r="BT255" i="1" l="1"/>
  <c r="BT256" i="1"/>
  <c r="AP41" i="359"/>
  <c r="AP40" i="359" s="1"/>
  <c r="N41" i="522"/>
  <c r="N42" i="522" s="1"/>
  <c r="P41" i="522"/>
  <c r="P73" i="522"/>
  <c r="AB59" i="522"/>
  <c r="AR72" i="359"/>
  <c r="AQ137" i="359"/>
  <c r="AS25" i="468"/>
  <c r="AW30" i="468" s="1"/>
  <c r="AB73" i="522" l="1"/>
  <c r="AK1014" i="1"/>
  <c r="AK1013" i="1"/>
  <c r="AK1012" i="1"/>
  <c r="AK1011" i="1"/>
  <c r="AK1010" i="1"/>
  <c r="AK1009" i="1"/>
  <c r="AK1008" i="1"/>
  <c r="AK1007" i="1"/>
  <c r="AK257" i="1"/>
  <c r="AK825" i="1" s="1"/>
  <c r="AK824" i="1"/>
  <c r="AK31" i="1"/>
  <c r="AK904" i="1" s="1"/>
  <c r="AK805" i="1"/>
  <c r="AK1109" i="1"/>
  <c r="BO1109" i="1" s="1"/>
  <c r="AK864" i="1"/>
  <c r="AK876" i="1"/>
  <c r="AK658" i="1"/>
  <c r="AO666" i="1" s="1"/>
  <c r="AK656" i="1"/>
  <c r="AK645" i="1"/>
  <c r="G23" i="525" s="1"/>
  <c r="G28" i="525" s="1"/>
  <c r="AK617" i="1"/>
  <c r="AK650" i="1"/>
  <c r="G31" i="525" s="1"/>
  <c r="AK526" i="1"/>
  <c r="AO534" i="1" s="1"/>
  <c r="AK524" i="1"/>
  <c r="AO532" i="1" s="1"/>
  <c r="AK523" i="1"/>
  <c r="AO531" i="1" s="1"/>
  <c r="AK479" i="1"/>
  <c r="AK437" i="1"/>
  <c r="AK418" i="1"/>
  <c r="AK520" i="1" s="1"/>
  <c r="G16" i="525" s="1"/>
  <c r="AK309" i="1"/>
  <c r="AK225" i="1"/>
  <c r="BY149" i="1" s="1"/>
  <c r="AK138" i="1"/>
  <c r="AK134" i="1"/>
  <c r="AK133" i="1"/>
  <c r="AK132" i="1"/>
  <c r="AK129" i="1"/>
  <c r="AK121" i="1"/>
  <c r="AK114" i="1"/>
  <c r="AK100" i="1" s="1"/>
  <c r="AK71" i="1"/>
  <c r="AK30" i="1"/>
  <c r="AK903" i="1" s="1"/>
  <c r="AK29" i="1"/>
  <c r="AK902" i="1" s="1"/>
  <c r="AK280" i="1"/>
  <c r="AO280" i="1" s="1"/>
  <c r="AK279" i="1"/>
  <c r="AO279" i="1" s="1"/>
  <c r="AK263" i="1"/>
  <c r="AK262" i="1"/>
  <c r="AK1333" i="1"/>
  <c r="AK1332" i="1"/>
  <c r="AK1328" i="1"/>
  <c r="AK1327" i="1"/>
  <c r="AK1326" i="1"/>
  <c r="AK1322" i="1"/>
  <c r="AK1321" i="1"/>
  <c r="AK1320" i="1"/>
  <c r="AK1317" i="1"/>
  <c r="AL1329" i="1" s="1"/>
  <c r="AL1341" i="1" s="1"/>
  <c r="AK1247" i="1"/>
  <c r="AK1234" i="1"/>
  <c r="AK1223" i="1"/>
  <c r="AK1198" i="1"/>
  <c r="AK1191" i="1"/>
  <c r="AK1167" i="1"/>
  <c r="AK1180" i="1"/>
  <c r="AK1158" i="1"/>
  <c r="AK128" i="1" s="1"/>
  <c r="BN1109" i="1"/>
  <c r="AK1071" i="1"/>
  <c r="AK1076" i="1" s="1"/>
  <c r="AK1070" i="1"/>
  <c r="AK1075" i="1" s="1"/>
  <c r="AK1068" i="1"/>
  <c r="AK1062" i="1"/>
  <c r="AK1061" i="1"/>
  <c r="AK698" i="1" l="1"/>
  <c r="AK798" i="1"/>
  <c r="G48" i="525"/>
  <c r="G51" i="525"/>
  <c r="AK1241" i="1"/>
  <c r="AK1248" i="1" s="1"/>
  <c r="AK1265" i="1"/>
  <c r="AL1266" i="1" s="1"/>
  <c r="AK1197" i="1"/>
  <c r="Q23" i="522" s="1"/>
  <c r="Q55" i="522" s="1"/>
  <c r="Q24" i="522"/>
  <c r="Q56" i="522" s="1"/>
  <c r="AK115" i="1"/>
  <c r="AK70" i="1"/>
  <c r="AK865" i="1"/>
  <c r="AO890" i="1"/>
  <c r="AK875" i="1"/>
  <c r="AO889" i="1" s="1"/>
  <c r="AO864" i="1"/>
  <c r="AK821" i="1"/>
  <c r="AK264" i="1"/>
  <c r="AK620" i="1"/>
  <c r="AK281" i="1"/>
  <c r="AK125" i="1"/>
  <c r="M136" i="198" s="1"/>
  <c r="AK655" i="1"/>
  <c r="AS10" i="468"/>
  <c r="AK139" i="1"/>
  <c r="AK1271" i="1" s="1"/>
  <c r="AK1183" i="1"/>
  <c r="AK32" i="1"/>
  <c r="AK1194" i="1"/>
  <c r="AK440" i="1"/>
  <c r="AK1338" i="1"/>
  <c r="AK905" i="1"/>
  <c r="AK1334" i="1"/>
  <c r="AK1340" i="1" s="1"/>
  <c r="AK1339" i="1"/>
  <c r="AL906" i="1" l="1"/>
  <c r="AK702" i="1"/>
  <c r="AK215" i="1"/>
  <c r="AO865" i="1"/>
  <c r="AK749" i="1"/>
  <c r="AK729" i="1"/>
  <c r="AL33" i="1"/>
  <c r="AK1335" i="1"/>
  <c r="AM791" i="1"/>
  <c r="AL791" i="1"/>
  <c r="AK791" i="1"/>
  <c r="AJ791" i="1"/>
  <c r="AI791" i="1"/>
  <c r="AH791" i="1"/>
  <c r="AG791" i="1"/>
  <c r="AF791" i="1"/>
  <c r="AE791" i="1"/>
  <c r="AD791" i="1"/>
  <c r="AC791" i="1"/>
  <c r="AB791" i="1"/>
  <c r="AA791" i="1"/>
  <c r="Z791" i="1"/>
  <c r="Y791" i="1"/>
  <c r="X791" i="1"/>
  <c r="W791" i="1"/>
  <c r="V791" i="1"/>
  <c r="U791" i="1"/>
  <c r="T791" i="1"/>
  <c r="S791" i="1"/>
  <c r="R791" i="1"/>
  <c r="Q791" i="1"/>
  <c r="P791" i="1"/>
  <c r="BO776" i="1"/>
  <c r="BN776" i="1"/>
  <c r="BM776" i="1"/>
  <c r="BL776" i="1"/>
  <c r="BK776" i="1"/>
  <c r="BJ776" i="1"/>
  <c r="BO787" i="1"/>
  <c r="BN787" i="1"/>
  <c r="BM787" i="1"/>
  <c r="BL787" i="1"/>
  <c r="BK787" i="1"/>
  <c r="BJ787" i="1"/>
  <c r="AO729" i="1" l="1"/>
  <c r="AK218" i="1"/>
  <c r="AK747" i="1"/>
  <c r="AK756" i="1"/>
  <c r="AO749" i="1"/>
  <c r="BN785" i="1"/>
  <c r="BO775" i="1"/>
  <c r="BM775" i="1"/>
  <c r="BN775" i="1"/>
  <c r="BJ775" i="1"/>
  <c r="BK785" i="1"/>
  <c r="BL785" i="1"/>
  <c r="BO785" i="1"/>
  <c r="BL775" i="1"/>
  <c r="BM785" i="1"/>
  <c r="BK775" i="1"/>
  <c r="BJ785" i="1"/>
  <c r="BO788" i="1"/>
  <c r="BN788" i="1"/>
  <c r="BM788" i="1"/>
  <c r="BL788" i="1"/>
  <c r="BK788" i="1"/>
  <c r="BJ788" i="1"/>
  <c r="BO777" i="1"/>
  <c r="BN777" i="1"/>
  <c r="BM777" i="1"/>
  <c r="BL777" i="1"/>
  <c r="BK777" i="1"/>
  <c r="BJ777" i="1"/>
  <c r="AO764" i="1" l="1"/>
  <c r="AK764" i="1"/>
  <c r="AK759" i="1"/>
  <c r="AK754" i="1"/>
  <c r="AO747" i="1"/>
  <c r="BM791" i="1"/>
  <c r="BK791" i="1"/>
  <c r="BL791" i="1"/>
  <c r="BN791" i="1"/>
  <c r="BO791" i="1"/>
  <c r="BJ791" i="1"/>
  <c r="BO790" i="1"/>
  <c r="BJ778" i="1"/>
  <c r="BN778" i="1"/>
  <c r="BM778" i="1"/>
  <c r="BL778" i="1"/>
  <c r="BK778" i="1"/>
  <c r="BM790" i="1"/>
  <c r="BO778" i="1"/>
  <c r="BL790" i="1"/>
  <c r="BJ790" i="1"/>
  <c r="BN790" i="1"/>
  <c r="BK789" i="1"/>
  <c r="BL789" i="1"/>
  <c r="BM789" i="1"/>
  <c r="BN789" i="1"/>
  <c r="BO789" i="1"/>
  <c r="BK790" i="1"/>
  <c r="AO762" i="1" l="1"/>
  <c r="AO751" i="1"/>
  <c r="AO759" i="1"/>
  <c r="AO767" i="1" s="1"/>
  <c r="S790" i="1"/>
  <c r="R790" i="1"/>
  <c r="Q790" i="1"/>
  <c r="P790" i="1"/>
  <c r="AA789" i="1"/>
  <c r="Z789" i="1"/>
  <c r="Y789" i="1"/>
  <c r="X789" i="1"/>
  <c r="W789" i="1"/>
  <c r="V789" i="1"/>
  <c r="U789" i="1"/>
  <c r="T789" i="1"/>
  <c r="W780" i="1"/>
  <c r="W782" i="1" s="1"/>
  <c r="V780" i="1"/>
  <c r="V782" i="1" s="1"/>
  <c r="U780" i="1"/>
  <c r="T780" i="1"/>
  <c r="S780" i="1"/>
  <c r="R780" i="1"/>
  <c r="R782" i="1" s="1"/>
  <c r="Q780" i="1"/>
  <c r="Q782" i="1" s="1"/>
  <c r="P780" i="1"/>
  <c r="P782" i="1" s="1"/>
  <c r="S778" i="1"/>
  <c r="R778" i="1"/>
  <c r="Q778" i="1"/>
  <c r="P778" i="1"/>
  <c r="W790" i="1"/>
  <c r="V790" i="1"/>
  <c r="U790" i="1"/>
  <c r="T790" i="1"/>
  <c r="W778" i="1"/>
  <c r="V778" i="1"/>
  <c r="U778" i="1"/>
  <c r="T778" i="1"/>
  <c r="AM790" i="1"/>
  <c r="AL790" i="1"/>
  <c r="AK790" i="1"/>
  <c r="AJ790" i="1"/>
  <c r="AI790" i="1"/>
  <c r="AH790" i="1"/>
  <c r="AG790" i="1"/>
  <c r="AF790" i="1"/>
  <c r="AE790" i="1"/>
  <c r="AD790" i="1"/>
  <c r="AC790" i="1"/>
  <c r="AB790" i="1"/>
  <c r="AA790" i="1"/>
  <c r="Z790" i="1"/>
  <c r="Y790" i="1"/>
  <c r="X790" i="1"/>
  <c r="AM789" i="1"/>
  <c r="AL789" i="1"/>
  <c r="AK789" i="1"/>
  <c r="AJ789" i="1"/>
  <c r="AI789" i="1"/>
  <c r="AH789" i="1"/>
  <c r="AG789" i="1"/>
  <c r="AF789" i="1"/>
  <c r="AE789" i="1"/>
  <c r="AD789" i="1"/>
  <c r="AC789" i="1"/>
  <c r="AB789" i="1"/>
  <c r="AL780" i="1"/>
  <c r="AK780" i="1"/>
  <c r="AJ780" i="1"/>
  <c r="AI780" i="1"/>
  <c r="AI782" i="1" s="1"/>
  <c r="AH780" i="1"/>
  <c r="AH782" i="1" s="1"/>
  <c r="AG780" i="1"/>
  <c r="AG782" i="1" s="1"/>
  <c r="AF780" i="1"/>
  <c r="AE780" i="1"/>
  <c r="AE782" i="1" s="1"/>
  <c r="AD780" i="1"/>
  <c r="AD782" i="1" s="1"/>
  <c r="AC780" i="1"/>
  <c r="AC782" i="1" s="1"/>
  <c r="AB780" i="1"/>
  <c r="AA780" i="1"/>
  <c r="AA782" i="1" s="1"/>
  <c r="Z780" i="1"/>
  <c r="Z782" i="1" s="1"/>
  <c r="Y780" i="1"/>
  <c r="Y782" i="1" s="1"/>
  <c r="X780" i="1"/>
  <c r="AM778" i="1"/>
  <c r="AL778" i="1"/>
  <c r="AK778" i="1"/>
  <c r="AJ778" i="1"/>
  <c r="AI778" i="1"/>
  <c r="AH778" i="1"/>
  <c r="AG778" i="1"/>
  <c r="AF778" i="1"/>
  <c r="AE778" i="1"/>
  <c r="AD778" i="1"/>
  <c r="AC778" i="1"/>
  <c r="AB778" i="1"/>
  <c r="AA778" i="1"/>
  <c r="Z778" i="1"/>
  <c r="Y778" i="1"/>
  <c r="X778" i="1"/>
  <c r="AO758" i="1" l="1"/>
  <c r="AO766" i="1" s="1"/>
  <c r="AO700" i="1"/>
  <c r="AK782" i="1"/>
  <c r="AL782" i="1"/>
  <c r="AM782" i="1"/>
  <c r="W781" i="1"/>
  <c r="BK780" i="1"/>
  <c r="BK782" i="1" s="1"/>
  <c r="AJ782" i="1"/>
  <c r="BO780" i="1"/>
  <c r="BO782" i="1" s="1"/>
  <c r="AG781" i="1"/>
  <c r="AK781" i="1"/>
  <c r="X781" i="1"/>
  <c r="AI781" i="1"/>
  <c r="AJ781" i="1"/>
  <c r="AL781" i="1"/>
  <c r="BM780" i="1"/>
  <c r="BM782" i="1" s="1"/>
  <c r="AH781" i="1"/>
  <c r="U781" i="1"/>
  <c r="AM781" i="1"/>
  <c r="T781" i="1"/>
  <c r="Y781" i="1"/>
  <c r="AA781" i="1"/>
  <c r="AC781" i="1"/>
  <c r="U782" i="1"/>
  <c r="AD781" i="1"/>
  <c r="T782" i="1"/>
  <c r="AF782" i="1"/>
  <c r="BN780" i="1"/>
  <c r="AE781" i="1"/>
  <c r="BJ780" i="1"/>
  <c r="BJ782" i="1" s="1"/>
  <c r="X782" i="1"/>
  <c r="BL780" i="1"/>
  <c r="Z781" i="1"/>
  <c r="AB782" i="1"/>
  <c r="AB781" i="1"/>
  <c r="AF781" i="1"/>
  <c r="S782" i="1"/>
  <c r="V781" i="1"/>
  <c r="AO154" i="1" l="1"/>
  <c r="AO698" i="1"/>
  <c r="AO720" i="1" s="1"/>
  <c r="AO701" i="1"/>
  <c r="BM781" i="1"/>
  <c r="BL781" i="1"/>
  <c r="BL782" i="1"/>
  <c r="BO781" i="1"/>
  <c r="BN781" i="1"/>
  <c r="BN782" i="1"/>
  <c r="BK781" i="1"/>
  <c r="AO161" i="1" l="1"/>
  <c r="AO702" i="1"/>
  <c r="M7" i="230"/>
  <c r="G10" i="230"/>
  <c r="G11" i="230" s="1"/>
  <c r="M10" i="230"/>
  <c r="M11" i="230" s="1"/>
  <c r="C11" i="230"/>
  <c r="D11" i="230"/>
  <c r="F11" i="230"/>
  <c r="H11" i="230"/>
  <c r="J11" i="230"/>
  <c r="K11" i="230"/>
  <c r="G13" i="230"/>
  <c r="G14" i="230" s="1"/>
  <c r="M13" i="230"/>
  <c r="M14" i="230" s="1"/>
  <c r="C14" i="230"/>
  <c r="D14" i="230"/>
  <c r="F14" i="230"/>
  <c r="H14" i="230"/>
  <c r="J14" i="230"/>
  <c r="K14" i="230"/>
  <c r="G16" i="230"/>
  <c r="G17" i="230" s="1"/>
  <c r="M16" i="230"/>
  <c r="M17" i="230" s="1"/>
  <c r="C17" i="230"/>
  <c r="D17" i="230"/>
  <c r="F17" i="230"/>
  <c r="H17" i="230"/>
  <c r="J17" i="230"/>
  <c r="K17" i="230"/>
  <c r="C19" i="230"/>
  <c r="D19" i="230"/>
  <c r="F19" i="230"/>
  <c r="F24" i="230" s="1"/>
  <c r="H19" i="230"/>
  <c r="H24" i="230" s="1"/>
  <c r="J19" i="230"/>
  <c r="J24" i="230" s="1"/>
  <c r="K19" i="230"/>
  <c r="K24" i="230" s="1"/>
  <c r="AN2" i="28"/>
  <c r="E13" i="28"/>
  <c r="F13" i="28"/>
  <c r="G13" i="28"/>
  <c r="H13" i="28"/>
  <c r="I13" i="28"/>
  <c r="J13" i="28"/>
  <c r="K13" i="28"/>
  <c r="L13" i="28"/>
  <c r="M13" i="28"/>
  <c r="N13" i="28"/>
  <c r="O13" i="28"/>
  <c r="P13" i="28"/>
  <c r="Q13" i="28"/>
  <c r="R13" i="28"/>
  <c r="S13" i="28"/>
  <c r="T13" i="28"/>
  <c r="U13" i="28"/>
  <c r="V13" i="28"/>
  <c r="W13" i="28"/>
  <c r="X13" i="28"/>
  <c r="Y13" i="28"/>
  <c r="Z13" i="28"/>
  <c r="AA13" i="28"/>
  <c r="AB13" i="28"/>
  <c r="AC13" i="28"/>
  <c r="AD13" i="28"/>
  <c r="AE13" i="28"/>
  <c r="AV13" i="28"/>
  <c r="D15" i="28"/>
  <c r="E15" i="28"/>
  <c r="F15" i="28"/>
  <c r="G15" i="28"/>
  <c r="H15" i="28"/>
  <c r="I15" i="28"/>
  <c r="J15" i="28"/>
  <c r="K15" i="28"/>
  <c r="L15" i="28"/>
  <c r="M15" i="28"/>
  <c r="N15" i="28"/>
  <c r="O15" i="28"/>
  <c r="P15" i="28"/>
  <c r="Q15" i="28"/>
  <c r="R15" i="28"/>
  <c r="S15" i="28"/>
  <c r="T15" i="28"/>
  <c r="U15" i="28"/>
  <c r="V15" i="28"/>
  <c r="W15" i="28"/>
  <c r="X15" i="28"/>
  <c r="Y15" i="28"/>
  <c r="Z15" i="28"/>
  <c r="AA15" i="28"/>
  <c r="AB15" i="28"/>
  <c r="AC15" i="28"/>
  <c r="AD15" i="28"/>
  <c r="AE15" i="28"/>
  <c r="D17" i="28"/>
  <c r="E17" i="28"/>
  <c r="F17" i="28"/>
  <c r="G17" i="28"/>
  <c r="H17" i="28"/>
  <c r="I17" i="28"/>
  <c r="J17" i="28"/>
  <c r="K17" i="28"/>
  <c r="L17" i="28"/>
  <c r="M17" i="28"/>
  <c r="N17" i="28"/>
  <c r="O17" i="28"/>
  <c r="P17" i="28"/>
  <c r="Q17" i="28"/>
  <c r="R17" i="28"/>
  <c r="S17" i="28"/>
  <c r="T17" i="28"/>
  <c r="U17" i="28"/>
  <c r="V17" i="28"/>
  <c r="W17" i="28"/>
  <c r="X17" i="28"/>
  <c r="Y17" i="28"/>
  <c r="Z17" i="28"/>
  <c r="AA17" i="28"/>
  <c r="AB17" i="28"/>
  <c r="AC17" i="28"/>
  <c r="AD17" i="28"/>
  <c r="AE17" i="28"/>
  <c r="AR17" i="28"/>
  <c r="AS17" i="28"/>
  <c r="AT17" i="28"/>
  <c r="AU17" i="28"/>
  <c r="AV17" i="28"/>
  <c r="D18" i="28"/>
  <c r="D20" i="28" s="1"/>
  <c r="E18" i="28"/>
  <c r="F18" i="28"/>
  <c r="F31" i="28" s="1"/>
  <c r="G18" i="28"/>
  <c r="H18" i="28"/>
  <c r="I18" i="28"/>
  <c r="J18" i="28"/>
  <c r="J20" i="28" s="1"/>
  <c r="K18" i="28"/>
  <c r="K31" i="28" s="1"/>
  <c r="L18" i="28"/>
  <c r="L31" i="28" s="1"/>
  <c r="M18" i="28"/>
  <c r="N18" i="28"/>
  <c r="O18" i="28"/>
  <c r="P18" i="28"/>
  <c r="P22" i="28" s="1"/>
  <c r="Q18" i="28"/>
  <c r="Q20" i="28" s="1"/>
  <c r="R18" i="28"/>
  <c r="S18" i="28"/>
  <c r="S20" i="28" s="1"/>
  <c r="T18" i="28"/>
  <c r="T20" i="28" s="1"/>
  <c r="U18" i="28"/>
  <c r="U22" i="28" s="1"/>
  <c r="U23" i="28" s="1"/>
  <c r="U24" i="28" s="1"/>
  <c r="V18" i="28"/>
  <c r="W18" i="28"/>
  <c r="X18" i="28"/>
  <c r="X31" i="28" s="1"/>
  <c r="Y18" i="28"/>
  <c r="Y20" i="28" s="1"/>
  <c r="Z18" i="28"/>
  <c r="Z31" i="28" s="1"/>
  <c r="Z33" i="28" s="1"/>
  <c r="AA18" i="28"/>
  <c r="AA31" i="28" s="1"/>
  <c r="AB18" i="28"/>
  <c r="AB31" i="28" s="1"/>
  <c r="AC18" i="28"/>
  <c r="AD18" i="28"/>
  <c r="AE18" i="28"/>
  <c r="AR18" i="28"/>
  <c r="AR20" i="28" s="1"/>
  <c r="AS18" i="28"/>
  <c r="AS20" i="28" s="1"/>
  <c r="AT18" i="28"/>
  <c r="AT20" i="28" s="1"/>
  <c r="AU18" i="28"/>
  <c r="AU20" i="28" s="1"/>
  <c r="AV18" i="28"/>
  <c r="Y21" i="28"/>
  <c r="Z21" i="28"/>
  <c r="AA21" i="28"/>
  <c r="AB21" i="28"/>
  <c r="AC21" i="28"/>
  <c r="AG21" i="28"/>
  <c r="K22" i="28"/>
  <c r="L22" i="28"/>
  <c r="AG26" i="28"/>
  <c r="AG72" i="28" s="1"/>
  <c r="AH26" i="28"/>
  <c r="AJ26" i="28" s="1"/>
  <c r="D38" i="28"/>
  <c r="E38" i="28"/>
  <c r="F38" i="28"/>
  <c r="G38" i="28"/>
  <c r="H38" i="28"/>
  <c r="I38" i="28"/>
  <c r="J38" i="28"/>
  <c r="K38" i="28"/>
  <c r="L38" i="28"/>
  <c r="M38" i="28"/>
  <c r="N38" i="28"/>
  <c r="O38" i="28"/>
  <c r="P38" i="28"/>
  <c r="Q38" i="28"/>
  <c r="R38" i="28"/>
  <c r="S38" i="28"/>
  <c r="T38" i="28"/>
  <c r="U38" i="28"/>
  <c r="V38" i="28"/>
  <c r="W38" i="28"/>
  <c r="X38" i="28"/>
  <c r="Y38" i="28"/>
  <c r="Z38" i="28"/>
  <c r="AA38" i="28"/>
  <c r="AB38" i="28"/>
  <c r="AC38" i="28"/>
  <c r="AD38" i="28"/>
  <c r="D40" i="28"/>
  <c r="E40" i="28"/>
  <c r="F40" i="28"/>
  <c r="G40" i="28"/>
  <c r="H40" i="28"/>
  <c r="I40" i="28"/>
  <c r="J40" i="28"/>
  <c r="K40" i="28"/>
  <c r="L40" i="28"/>
  <c r="M40" i="28"/>
  <c r="N40" i="28"/>
  <c r="O40" i="28"/>
  <c r="P40" i="28"/>
  <c r="Q40" i="28"/>
  <c r="R40" i="28"/>
  <c r="S40" i="28"/>
  <c r="T40" i="28"/>
  <c r="U40" i="28"/>
  <c r="V40" i="28"/>
  <c r="W40" i="28"/>
  <c r="X40" i="28"/>
  <c r="Y40" i="28"/>
  <c r="Z40" i="28"/>
  <c r="AA40" i="28"/>
  <c r="AB40" i="28"/>
  <c r="AC40" i="28"/>
  <c r="AD40" i="28"/>
  <c r="AE40" i="28"/>
  <c r="E58" i="28"/>
  <c r="F58" i="28"/>
  <c r="F74" i="28" s="1"/>
  <c r="G58" i="28"/>
  <c r="G64" i="28" s="1"/>
  <c r="H58" i="28"/>
  <c r="H74" i="28" s="1"/>
  <c r="I58" i="28"/>
  <c r="I74" i="28" s="1"/>
  <c r="J58" i="28"/>
  <c r="J64" i="28" s="1"/>
  <c r="K58" i="28"/>
  <c r="K74" i="28" s="1"/>
  <c r="L58" i="28"/>
  <c r="L74" i="28" s="1"/>
  <c r="M58" i="28"/>
  <c r="N58" i="28"/>
  <c r="O58" i="28"/>
  <c r="P58" i="28"/>
  <c r="Q58" i="28"/>
  <c r="R58" i="28"/>
  <c r="R74" i="28" s="1"/>
  <c r="S58" i="28"/>
  <c r="T58" i="28"/>
  <c r="T74" i="28" s="1"/>
  <c r="U58" i="28"/>
  <c r="V58" i="28"/>
  <c r="V64" i="28" s="1"/>
  <c r="W58" i="28"/>
  <c r="X58" i="28"/>
  <c r="X64" i="28" s="1"/>
  <c r="Y58" i="28"/>
  <c r="Z58" i="28"/>
  <c r="Z64" i="28" s="1"/>
  <c r="AA58" i="28"/>
  <c r="AA64" i="28" s="1"/>
  <c r="AB58" i="28"/>
  <c r="AB64" i="28" s="1"/>
  <c r="AC58" i="28"/>
  <c r="AD58" i="28"/>
  <c r="AD64" i="28" s="1"/>
  <c r="AE58" i="28"/>
  <c r="D72" i="28"/>
  <c r="E72" i="28"/>
  <c r="F72" i="28"/>
  <c r="G72" i="28"/>
  <c r="H72" i="28"/>
  <c r="I72" i="28"/>
  <c r="J72" i="28"/>
  <c r="K72" i="28"/>
  <c r="L72" i="28"/>
  <c r="M72" i="28"/>
  <c r="N72" i="28"/>
  <c r="O72" i="28"/>
  <c r="P72" i="28"/>
  <c r="Q72" i="28"/>
  <c r="R72" i="28"/>
  <c r="S72" i="28"/>
  <c r="T72" i="28"/>
  <c r="U72" i="28"/>
  <c r="V72" i="28"/>
  <c r="W72" i="28"/>
  <c r="X72" i="28"/>
  <c r="Y72" i="28"/>
  <c r="Z72" i="28"/>
  <c r="AA72" i="28"/>
  <c r="AB72" i="28"/>
  <c r="AC72" i="28"/>
  <c r="AD72" i="28"/>
  <c r="AE72" i="28"/>
  <c r="D74" i="28"/>
  <c r="L2" i="51"/>
  <c r="F7" i="51"/>
  <c r="G7" i="51" s="1"/>
  <c r="H7" i="51" s="1"/>
  <c r="H9" i="51" s="1"/>
  <c r="E14" i="51"/>
  <c r="F14" i="51"/>
  <c r="G14" i="51"/>
  <c r="H14" i="51"/>
  <c r="I14" i="51"/>
  <c r="J14" i="51"/>
  <c r="D16" i="51"/>
  <c r="E16" i="51"/>
  <c r="F16" i="51"/>
  <c r="G16" i="51"/>
  <c r="I16" i="51"/>
  <c r="D21" i="51"/>
  <c r="E21" i="51"/>
  <c r="F21" i="51"/>
  <c r="G21" i="51"/>
  <c r="H21" i="51"/>
  <c r="F26" i="51"/>
  <c r="F30" i="51"/>
  <c r="G30" i="51" s="1"/>
  <c r="G31" i="51" s="1"/>
  <c r="H40" i="51"/>
  <c r="I40" i="51"/>
  <c r="J40" i="51"/>
  <c r="E31" i="51"/>
  <c r="E32" i="51"/>
  <c r="E41" i="51"/>
  <c r="F41" i="51"/>
  <c r="G41" i="51"/>
  <c r="F43" i="51"/>
  <c r="I51" i="51"/>
  <c r="H51" i="51" s="1"/>
  <c r="E48" i="51"/>
  <c r="E49" i="51"/>
  <c r="F62" i="51"/>
  <c r="G62" i="51"/>
  <c r="H62" i="51"/>
  <c r="I62" i="51"/>
  <c r="D69" i="51"/>
  <c r="E69" i="51"/>
  <c r="F69" i="51"/>
  <c r="G69" i="51"/>
  <c r="H69" i="51"/>
  <c r="I69" i="51"/>
  <c r="J69" i="51"/>
  <c r="H74" i="51"/>
  <c r="I74" i="51"/>
  <c r="J74" i="51"/>
  <c r="I79" i="51"/>
  <c r="H79" i="51" s="1"/>
  <c r="G79" i="51" s="1"/>
  <c r="F79" i="51" s="1"/>
  <c r="E80" i="51"/>
  <c r="E81" i="51"/>
  <c r="S1" i="292"/>
  <c r="H3" i="292"/>
  <c r="D4" i="292"/>
  <c r="C7" i="292"/>
  <c r="D7" i="292"/>
  <c r="E7" i="292"/>
  <c r="F7" i="292"/>
  <c r="G7" i="292"/>
  <c r="H7" i="292"/>
  <c r="V7" i="292"/>
  <c r="L123" i="292"/>
  <c r="L124" i="292"/>
  <c r="E122" i="292"/>
  <c r="H109" i="292" s="1"/>
  <c r="H57" i="292"/>
  <c r="F77" i="292"/>
  <c r="G77" i="292" s="1"/>
  <c r="H77" i="292" s="1"/>
  <c r="I77" i="292" s="1"/>
  <c r="J77" i="292" s="1"/>
  <c r="K77" i="292" s="1"/>
  <c r="L77" i="292" s="1"/>
  <c r="M77" i="292" s="1"/>
  <c r="N77" i="292" s="1"/>
  <c r="O77" i="292" s="1"/>
  <c r="P77" i="292" s="1"/>
  <c r="Q77" i="292" s="1"/>
  <c r="R77" i="292" s="1"/>
  <c r="S77" i="292" s="1"/>
  <c r="V11" i="292"/>
  <c r="H94" i="292"/>
  <c r="H87" i="292"/>
  <c r="H90" i="292"/>
  <c r="A12" i="292"/>
  <c r="A13" i="292"/>
  <c r="A14" i="292"/>
  <c r="V15" i="292"/>
  <c r="A22" i="292"/>
  <c r="A27" i="292" s="1"/>
  <c r="A32" i="292" s="1"/>
  <c r="A23" i="292"/>
  <c r="A28" i="292" s="1"/>
  <c r="A33" i="292" s="1"/>
  <c r="A24" i="292"/>
  <c r="A29" i="292" s="1"/>
  <c r="A34" i="292" s="1"/>
  <c r="C57" i="292"/>
  <c r="D57" i="292"/>
  <c r="E57" i="292"/>
  <c r="F57" i="292"/>
  <c r="G57" i="292"/>
  <c r="I67" i="292"/>
  <c r="J67" i="292"/>
  <c r="K67" i="292"/>
  <c r="L67" i="292"/>
  <c r="M67" i="292"/>
  <c r="N67" i="292"/>
  <c r="O67" i="292"/>
  <c r="P67" i="292"/>
  <c r="Q67" i="292"/>
  <c r="R67" i="292"/>
  <c r="S67" i="292"/>
  <c r="I68" i="292"/>
  <c r="J68" i="292"/>
  <c r="K68" i="292"/>
  <c r="L68" i="292"/>
  <c r="M68" i="292"/>
  <c r="N68" i="292"/>
  <c r="O68" i="292"/>
  <c r="P68" i="292"/>
  <c r="Q68" i="292"/>
  <c r="R68" i="292"/>
  <c r="S68" i="292"/>
  <c r="D74" i="292"/>
  <c r="E74" i="292" s="1"/>
  <c r="F74" i="292" s="1"/>
  <c r="G74" i="292" s="1"/>
  <c r="H74" i="292" s="1"/>
  <c r="I74" i="292" s="1"/>
  <c r="J74" i="292" s="1"/>
  <c r="K74" i="292" s="1"/>
  <c r="L74" i="292" s="1"/>
  <c r="M74" i="292" s="1"/>
  <c r="N74" i="292" s="1"/>
  <c r="O74" i="292" s="1"/>
  <c r="P74" i="292" s="1"/>
  <c r="Q74" i="292" s="1"/>
  <c r="R74" i="292" s="1"/>
  <c r="S74" i="292" s="1"/>
  <c r="D77" i="292"/>
  <c r="A82" i="292"/>
  <c r="A83" i="292"/>
  <c r="C87" i="292"/>
  <c r="D87" i="292"/>
  <c r="E87" i="292"/>
  <c r="F87" i="292"/>
  <c r="G87" i="292"/>
  <c r="C90" i="292"/>
  <c r="D90" i="292"/>
  <c r="E90" i="292"/>
  <c r="F90" i="292"/>
  <c r="G90" i="292"/>
  <c r="C94" i="292"/>
  <c r="D94" i="292"/>
  <c r="E94" i="292"/>
  <c r="F94" i="292"/>
  <c r="G94" i="292"/>
  <c r="J98" i="292"/>
  <c r="K98" i="292" s="1"/>
  <c r="L98" i="292" s="1"/>
  <c r="M98" i="292" s="1"/>
  <c r="N98" i="292" s="1"/>
  <c r="O98" i="292" s="1"/>
  <c r="BV83" i="293"/>
  <c r="BW83" i="293"/>
  <c r="BX83" i="293"/>
  <c r="BY83" i="293"/>
  <c r="BZ83" i="293"/>
  <c r="CA83" i="293"/>
  <c r="CB83" i="293"/>
  <c r="CC83" i="293"/>
  <c r="CD83" i="293"/>
  <c r="CE83" i="293"/>
  <c r="CF83" i="293"/>
  <c r="CG83" i="293"/>
  <c r="CH83" i="293"/>
  <c r="CI83" i="293"/>
  <c r="CJ83" i="293"/>
  <c r="CK83" i="293"/>
  <c r="CL83" i="293"/>
  <c r="CM83" i="293"/>
  <c r="CN83" i="293"/>
  <c r="CO83" i="293"/>
  <c r="CP83" i="293"/>
  <c r="CQ83" i="293"/>
  <c r="CR84" i="293"/>
  <c r="CR85" i="293"/>
  <c r="CS83" i="293"/>
  <c r="CT83" i="293"/>
  <c r="CU83" i="293"/>
  <c r="CV83" i="293"/>
  <c r="CW83" i="293"/>
  <c r="BV84" i="293"/>
  <c r="BW84" i="293"/>
  <c r="BX84" i="293"/>
  <c r="BY84" i="293"/>
  <c r="BZ84" i="293"/>
  <c r="CA84" i="293"/>
  <c r="CB84" i="293"/>
  <c r="CC84" i="293"/>
  <c r="CD84" i="293"/>
  <c r="CE84" i="293"/>
  <c r="CF84" i="293"/>
  <c r="CG84" i="293"/>
  <c r="CH84" i="293"/>
  <c r="CI84" i="293"/>
  <c r="CJ84" i="293"/>
  <c r="CK84" i="293"/>
  <c r="CL84" i="293"/>
  <c r="CM84" i="293"/>
  <c r="CN84" i="293"/>
  <c r="CO84" i="293"/>
  <c r="CP84" i="293"/>
  <c r="CQ84" i="293"/>
  <c r="CS84" i="293"/>
  <c r="CT84" i="293"/>
  <c r="CU84" i="293"/>
  <c r="CV84" i="293"/>
  <c r="CW84" i="293"/>
  <c r="J85" i="293"/>
  <c r="K85" i="293"/>
  <c r="L85" i="293"/>
  <c r="M85" i="293"/>
  <c r="N85" i="293"/>
  <c r="O85" i="293"/>
  <c r="P85" i="293"/>
  <c r="Q85" i="293"/>
  <c r="R85" i="293"/>
  <c r="S85" i="293"/>
  <c r="T85" i="293"/>
  <c r="U85" i="293"/>
  <c r="V85" i="293"/>
  <c r="W85" i="293"/>
  <c r="X85" i="293"/>
  <c r="Y85" i="293"/>
  <c r="Z85" i="293"/>
  <c r="AA85" i="293"/>
  <c r="AB85" i="293"/>
  <c r="AC85" i="293"/>
  <c r="AD85" i="293"/>
  <c r="AE85" i="293"/>
  <c r="AF85" i="293"/>
  <c r="AG85" i="293"/>
  <c r="AH85" i="293"/>
  <c r="AI85" i="293"/>
  <c r="AJ85" i="293"/>
  <c r="AK85" i="293"/>
  <c r="AL85" i="293"/>
  <c r="AM85" i="293"/>
  <c r="AN85" i="293"/>
  <c r="AO85" i="293"/>
  <c r="AP85" i="293"/>
  <c r="AQ85" i="293"/>
  <c r="AR85" i="293"/>
  <c r="AS85" i="293"/>
  <c r="AT85" i="293"/>
  <c r="AU85" i="293"/>
  <c r="AV85" i="293"/>
  <c r="AW85" i="293"/>
  <c r="AX85" i="293"/>
  <c r="AY85" i="293"/>
  <c r="AZ85" i="293"/>
  <c r="BA85" i="293"/>
  <c r="BB85" i="293"/>
  <c r="BC85" i="293"/>
  <c r="BD85" i="293"/>
  <c r="BE85" i="293"/>
  <c r="BF85" i="293"/>
  <c r="BG85" i="293"/>
  <c r="BH85" i="293"/>
  <c r="BI85" i="293"/>
  <c r="BJ85" i="293"/>
  <c r="BK85" i="293"/>
  <c r="BL85" i="293"/>
  <c r="BM85" i="293"/>
  <c r="BN85" i="293"/>
  <c r="BO85" i="293"/>
  <c r="BP85" i="293"/>
  <c r="BQ85" i="293"/>
  <c r="BR85" i="293"/>
  <c r="BS85" i="293"/>
  <c r="BT85" i="293"/>
  <c r="BU85" i="293"/>
  <c r="CW85" i="293"/>
  <c r="R2" i="3"/>
  <c r="T2" i="3"/>
  <c r="G5" i="3"/>
  <c r="F8" i="3"/>
  <c r="I10" i="3"/>
  <c r="J10" i="3" s="1"/>
  <c r="K10" i="3" s="1"/>
  <c r="L10" i="3" s="1"/>
  <c r="M10" i="3" s="1"/>
  <c r="N10" i="3" s="1"/>
  <c r="O10" i="3" s="1"/>
  <c r="P10" i="3" s="1"/>
  <c r="Q10" i="3" s="1"/>
  <c r="E11" i="3"/>
  <c r="F11" i="3"/>
  <c r="I20" i="3"/>
  <c r="J20" i="3" s="1"/>
  <c r="K20" i="3" s="1"/>
  <c r="L20" i="3" s="1"/>
  <c r="M20" i="3" s="1"/>
  <c r="N20" i="3" s="1"/>
  <c r="O20" i="3" s="1"/>
  <c r="P20" i="3" s="1"/>
  <c r="Q20" i="3" s="1"/>
  <c r="H57" i="3"/>
  <c r="I57" i="3" s="1"/>
  <c r="J57" i="3" s="1"/>
  <c r="H38" i="3"/>
  <c r="I38" i="3" s="1"/>
  <c r="J38" i="3" s="1"/>
  <c r="H66" i="3"/>
  <c r="K49" i="3"/>
  <c r="L49" i="3" s="1"/>
  <c r="M49" i="3" s="1"/>
  <c r="N49" i="3" s="1"/>
  <c r="O49" i="3" s="1"/>
  <c r="P49" i="3" s="1"/>
  <c r="E52" i="3"/>
  <c r="F52" i="3" s="1"/>
  <c r="G52" i="3" s="1"/>
  <c r="H52" i="3" s="1"/>
  <c r="I52" i="3" s="1"/>
  <c r="J52" i="3" s="1"/>
  <c r="K52" i="3" s="1"/>
  <c r="L52" i="3" s="1"/>
  <c r="M52" i="3" s="1"/>
  <c r="N52" i="3" s="1"/>
  <c r="O52" i="3" s="1"/>
  <c r="P52" i="3" s="1"/>
  <c r="Q52" i="3" s="1"/>
  <c r="G62" i="3"/>
  <c r="H62" i="3"/>
  <c r="I62" i="3"/>
  <c r="J62" i="3"/>
  <c r="K62" i="3"/>
  <c r="L62" i="3"/>
  <c r="M62" i="3"/>
  <c r="N62" i="3"/>
  <c r="Y1" i="313"/>
  <c r="O29" i="313"/>
  <c r="Q29" i="313" s="1"/>
  <c r="Y29" i="313"/>
  <c r="C144" i="313"/>
  <c r="D144" i="313" s="1"/>
  <c r="I144" i="313"/>
  <c r="J144" i="313" s="1"/>
  <c r="K144" i="313" s="1"/>
  <c r="E146" i="313"/>
  <c r="E147" i="313"/>
  <c r="F147" i="313" s="1"/>
  <c r="G147" i="313" s="1"/>
  <c r="H147" i="313" s="1"/>
  <c r="I147" i="313" s="1"/>
  <c r="G148" i="313"/>
  <c r="H148" i="313" s="1"/>
  <c r="I148" i="313" s="1"/>
  <c r="J148" i="313" s="1"/>
  <c r="G149" i="313"/>
  <c r="H149" i="313" s="1"/>
  <c r="I149" i="313" s="1"/>
  <c r="J149" i="313" s="1"/>
  <c r="K149" i="313" s="1"/>
  <c r="K157" i="313" s="1"/>
  <c r="D157" i="313"/>
  <c r="L157" i="313"/>
  <c r="M157" i="313"/>
  <c r="BF2" i="298"/>
  <c r="BK127" i="298"/>
  <c r="BK130" i="298" s="1"/>
  <c r="BL127" i="298"/>
  <c r="BL130" i="298" s="1"/>
  <c r="D505" i="298"/>
  <c r="D12" i="298" s="1"/>
  <c r="D640" i="298" s="1"/>
  <c r="E505" i="298"/>
  <c r="E12" i="298" s="1"/>
  <c r="E640" i="298" s="1"/>
  <c r="F505" i="298"/>
  <c r="F12" i="298" s="1"/>
  <c r="G505" i="298"/>
  <c r="G545" i="298" s="1"/>
  <c r="G548" i="298" s="1"/>
  <c r="H505" i="298"/>
  <c r="I505" i="298"/>
  <c r="J505" i="298"/>
  <c r="J545" i="298" s="1"/>
  <c r="J548" i="298" s="1"/>
  <c r="K505" i="298"/>
  <c r="K545" i="298" s="1"/>
  <c r="K548" i="298" s="1"/>
  <c r="L505" i="298"/>
  <c r="L545" i="298" s="1"/>
  <c r="L548" i="298" s="1"/>
  <c r="M505" i="298"/>
  <c r="M12" i="298" s="1"/>
  <c r="M640" i="298" s="1"/>
  <c r="N505" i="298"/>
  <c r="N12" i="298" s="1"/>
  <c r="N640" i="298" s="1"/>
  <c r="O505" i="298"/>
  <c r="O545" i="298" s="1"/>
  <c r="O548" i="298" s="1"/>
  <c r="P505" i="298"/>
  <c r="P545" i="298" s="1"/>
  <c r="P548" i="298" s="1"/>
  <c r="Q505" i="298"/>
  <c r="R505" i="298"/>
  <c r="R12" i="298" s="1"/>
  <c r="R640" i="298" s="1"/>
  <c r="S505" i="298"/>
  <c r="S12" i="298" s="1"/>
  <c r="S640" i="298" s="1"/>
  <c r="T505" i="298"/>
  <c r="T12" i="298" s="1"/>
  <c r="T640" i="298" s="1"/>
  <c r="U505" i="298"/>
  <c r="U12" i="298" s="1"/>
  <c r="U640" i="298" s="1"/>
  <c r="V505" i="298"/>
  <c r="V12" i="298" s="1"/>
  <c r="V640" i="298" s="1"/>
  <c r="W118" i="298"/>
  <c r="W159" i="298" s="1"/>
  <c r="X118" i="298"/>
  <c r="Y118" i="298"/>
  <c r="Y159" i="298" s="1"/>
  <c r="Z118" i="298"/>
  <c r="Z159" i="298" s="1"/>
  <c r="AA118" i="298"/>
  <c r="AA12" i="298" s="1"/>
  <c r="AA640" i="298" s="1"/>
  <c r="AB118" i="298"/>
  <c r="AB12" i="298" s="1"/>
  <c r="AC118" i="298"/>
  <c r="AC159" i="298" s="1"/>
  <c r="AD118" i="298"/>
  <c r="AE118" i="298"/>
  <c r="AE167" i="298" s="1"/>
  <c r="AF118" i="298"/>
  <c r="AG114" i="298"/>
  <c r="AF122" i="298"/>
  <c r="AB122" i="298"/>
  <c r="X122" i="298"/>
  <c r="AC122" i="298"/>
  <c r="Y122" i="298"/>
  <c r="AG116" i="298"/>
  <c r="AC121" i="298"/>
  <c r="Y121" i="298"/>
  <c r="AD121" i="298"/>
  <c r="AD129" i="298" s="1"/>
  <c r="Z121" i="298"/>
  <c r="AD122" i="298"/>
  <c r="AD130" i="298" s="1"/>
  <c r="Z122" i="298"/>
  <c r="AC123" i="298"/>
  <c r="Y123" i="298"/>
  <c r="AD123" i="298"/>
  <c r="AD131" i="298" s="1"/>
  <c r="Z123" i="298"/>
  <c r="AE121" i="298"/>
  <c r="AA121" i="298"/>
  <c r="AE122" i="298"/>
  <c r="AA122" i="298"/>
  <c r="AE123" i="298"/>
  <c r="AA123" i="298"/>
  <c r="AK12" i="298"/>
  <c r="AL12" i="298"/>
  <c r="AM12" i="298"/>
  <c r="AM710" i="298" s="1"/>
  <c r="AN12" i="298"/>
  <c r="AN167" i="298" s="1"/>
  <c r="AO12" i="298"/>
  <c r="AO710" i="298" s="1"/>
  <c r="AP12" i="298"/>
  <c r="AP710" i="298" s="1"/>
  <c r="AQ12" i="298"/>
  <c r="AQ710" i="298" s="1"/>
  <c r="AR12" i="298"/>
  <c r="AR167" i="298" s="1"/>
  <c r="AS12" i="298"/>
  <c r="AT505" i="298"/>
  <c r="AT510" i="298" s="1"/>
  <c r="AU505" i="298"/>
  <c r="AU545" i="298" s="1"/>
  <c r="AU548" i="298" s="1"/>
  <c r="AV505" i="298"/>
  <c r="AW505" i="298"/>
  <c r="AW545" i="298" s="1"/>
  <c r="AW548" i="298" s="1"/>
  <c r="BB505" i="298"/>
  <c r="BB12" i="298" s="1"/>
  <c r="R14" i="298"/>
  <c r="R177" i="298" s="1"/>
  <c r="AU118" i="298"/>
  <c r="AU159" i="298" s="1"/>
  <c r="AT118" i="298"/>
  <c r="AT159" i="298" s="1"/>
  <c r="AV118" i="298"/>
  <c r="AV167" i="298" s="1"/>
  <c r="AV166" i="298" s="1"/>
  <c r="AW118" i="298"/>
  <c r="AW159" i="298" s="1"/>
  <c r="AZ159" i="298" s="1"/>
  <c r="BN129" i="298"/>
  <c r="D17" i="298"/>
  <c r="D68" i="298" s="1"/>
  <c r="E17" i="298"/>
  <c r="E68" i="298" s="1"/>
  <c r="F17" i="298"/>
  <c r="F68" i="298" s="1"/>
  <c r="G17" i="298"/>
  <c r="G68" i="298" s="1"/>
  <c r="H17" i="298"/>
  <c r="H68" i="298" s="1"/>
  <c r="I17" i="298"/>
  <c r="I68" i="298" s="1"/>
  <c r="J17" i="298"/>
  <c r="J68" i="298" s="1"/>
  <c r="K17" i="298"/>
  <c r="K68" i="298" s="1"/>
  <c r="L17" i="298"/>
  <c r="L68" i="298" s="1"/>
  <c r="M17" i="298"/>
  <c r="M68" i="298" s="1"/>
  <c r="N17" i="298"/>
  <c r="N68" i="298" s="1"/>
  <c r="O17" i="298"/>
  <c r="O68" i="298" s="1"/>
  <c r="P17" i="298"/>
  <c r="P68" i="298" s="1"/>
  <c r="Q17" i="298"/>
  <c r="Q68" i="298" s="1"/>
  <c r="R17" i="298"/>
  <c r="R68" i="298" s="1"/>
  <c r="S17" i="298"/>
  <c r="S68" i="298" s="1"/>
  <c r="T17" i="298"/>
  <c r="T68" i="298" s="1"/>
  <c r="U17" i="298"/>
  <c r="U68" i="298" s="1"/>
  <c r="V17" i="298"/>
  <c r="V68" i="298" s="1"/>
  <c r="AK17" i="298"/>
  <c r="AL17" i="298"/>
  <c r="AL68" i="298" s="1"/>
  <c r="AM17" i="298"/>
  <c r="AM68" i="298" s="1"/>
  <c r="AN17" i="298"/>
  <c r="AN328" i="298" s="1"/>
  <c r="AO17" i="298"/>
  <c r="AO68" i="298" s="1"/>
  <c r="AP17" i="298"/>
  <c r="AP328" i="298" s="1"/>
  <c r="AQ17" i="298"/>
  <c r="AQ328" i="298" s="1"/>
  <c r="AR17" i="298"/>
  <c r="AR68" i="298" s="1"/>
  <c r="AS17" i="298"/>
  <c r="AS68" i="298" s="1"/>
  <c r="AT17" i="298"/>
  <c r="AT328" i="298" s="1"/>
  <c r="AU17" i="298"/>
  <c r="AU328" i="298" s="1"/>
  <c r="AV17" i="298"/>
  <c r="AV68" i="298" s="1"/>
  <c r="AW17" i="298"/>
  <c r="AY17" i="298"/>
  <c r="AY68" i="298" s="1"/>
  <c r="AZ17" i="298"/>
  <c r="AZ68" i="298" s="1"/>
  <c r="BA17" i="298"/>
  <c r="BA68" i="298" s="1"/>
  <c r="BB17" i="298"/>
  <c r="BB68" i="298" s="1"/>
  <c r="BD17" i="298"/>
  <c r="BE17" i="298"/>
  <c r="BF17" i="298"/>
  <c r="D515" i="298"/>
  <c r="E515" i="298"/>
  <c r="F515" i="298"/>
  <c r="G515" i="298"/>
  <c r="H515" i="298"/>
  <c r="I515" i="298"/>
  <c r="J515" i="298"/>
  <c r="K515" i="298"/>
  <c r="L515" i="298"/>
  <c r="M515" i="298"/>
  <c r="N515" i="298"/>
  <c r="O515" i="298"/>
  <c r="P515" i="298"/>
  <c r="Q515" i="298"/>
  <c r="R515" i="298"/>
  <c r="S515" i="298"/>
  <c r="T515" i="298"/>
  <c r="U515" i="298"/>
  <c r="V515" i="298"/>
  <c r="W505" i="298"/>
  <c r="W545" i="298" s="1"/>
  <c r="W548" i="298" s="1"/>
  <c r="W515" i="298"/>
  <c r="X505" i="298"/>
  <c r="X545" i="298" s="1"/>
  <c r="X548" i="298" s="1"/>
  <c r="X515" i="298"/>
  <c r="Y515" i="298"/>
  <c r="Z515" i="298"/>
  <c r="AA515" i="298"/>
  <c r="AB515" i="298"/>
  <c r="AC515" i="298"/>
  <c r="AD515" i="298"/>
  <c r="AE515" i="298"/>
  <c r="AF515" i="298"/>
  <c r="AK519" i="298"/>
  <c r="AK524" i="298" s="1"/>
  <c r="AL519" i="298"/>
  <c r="AL524" i="298" s="1"/>
  <c r="AM519" i="298"/>
  <c r="AM21" i="298" s="1"/>
  <c r="AN519" i="298"/>
  <c r="AN21" i="298" s="1"/>
  <c r="AO519" i="298"/>
  <c r="AO21" i="298" s="1"/>
  <c r="AP519" i="298"/>
  <c r="AP524" i="298" s="1"/>
  <c r="AQ519" i="298"/>
  <c r="AQ21" i="298" s="1"/>
  <c r="AR519" i="298"/>
  <c r="AR21" i="298" s="1"/>
  <c r="AS519" i="298"/>
  <c r="AS524" i="298" s="1"/>
  <c r="AT515" i="298"/>
  <c r="AU515" i="298"/>
  <c r="AV515" i="298"/>
  <c r="AW515" i="298"/>
  <c r="BB515" i="298"/>
  <c r="AY23" i="298"/>
  <c r="AZ23" i="298"/>
  <c r="BN132" i="298"/>
  <c r="AG26" i="298" s="1"/>
  <c r="D27" i="298"/>
  <c r="E27" i="298"/>
  <c r="F27" i="298"/>
  <c r="G27" i="298"/>
  <c r="H27" i="298"/>
  <c r="I27" i="298"/>
  <c r="J27" i="298"/>
  <c r="K27" i="298"/>
  <c r="L27" i="298"/>
  <c r="M27" i="298"/>
  <c r="N27" i="298"/>
  <c r="O27" i="298"/>
  <c r="P27" i="298"/>
  <c r="Q27" i="298"/>
  <c r="R27" i="298"/>
  <c r="S27" i="298"/>
  <c r="T27" i="298"/>
  <c r="U27" i="298"/>
  <c r="V27" i="298"/>
  <c r="W27" i="298"/>
  <c r="X27" i="298"/>
  <c r="Y27" i="298"/>
  <c r="Z27" i="298"/>
  <c r="AA27" i="298"/>
  <c r="AB27" i="298"/>
  <c r="AC27" i="298"/>
  <c r="AD27" i="298"/>
  <c r="AE27" i="298"/>
  <c r="AF27" i="298"/>
  <c r="AK27" i="298"/>
  <c r="AL27" i="298"/>
  <c r="AM27" i="298"/>
  <c r="AN27" i="298"/>
  <c r="AO27" i="298"/>
  <c r="AP27" i="298"/>
  <c r="AQ27" i="298"/>
  <c r="AR27" i="298"/>
  <c r="AS27" i="298"/>
  <c r="AT27" i="298"/>
  <c r="AU27" i="298"/>
  <c r="AV27" i="298"/>
  <c r="AW27" i="298"/>
  <c r="AY526" i="298"/>
  <c r="AY27" i="298" s="1"/>
  <c r="AZ526" i="298"/>
  <c r="AZ27" i="298" s="1"/>
  <c r="BA526" i="298"/>
  <c r="BA27" i="298" s="1"/>
  <c r="BB27" i="298"/>
  <c r="BC526" i="298"/>
  <c r="BC27" i="298" s="1"/>
  <c r="D28" i="298"/>
  <c r="E28" i="298"/>
  <c r="F28" i="298"/>
  <c r="G28" i="298"/>
  <c r="H28" i="298"/>
  <c r="I28" i="298"/>
  <c r="J28" i="298"/>
  <c r="K28" i="298"/>
  <c r="L28" i="298"/>
  <c r="M28" i="298"/>
  <c r="N28" i="298"/>
  <c r="O28" i="298"/>
  <c r="P28" i="298"/>
  <c r="Q28" i="298"/>
  <c r="R28" i="298"/>
  <c r="S28" i="298"/>
  <c r="T28" i="298"/>
  <c r="U28" i="298"/>
  <c r="V28" i="298"/>
  <c r="W28" i="298"/>
  <c r="X28" i="298"/>
  <c r="Y28" i="298"/>
  <c r="Z28" i="298"/>
  <c r="AA28" i="298"/>
  <c r="AB28" i="298"/>
  <c r="AC28" i="298"/>
  <c r="AD28" i="298"/>
  <c r="AE28" i="298"/>
  <c r="AF28" i="298"/>
  <c r="AK28" i="298"/>
  <c r="AL28" i="298"/>
  <c r="AM28" i="298"/>
  <c r="AN28" i="298"/>
  <c r="AO28" i="298"/>
  <c r="AP28" i="298"/>
  <c r="AQ28" i="298"/>
  <c r="AR28" i="298"/>
  <c r="AS28" i="298"/>
  <c r="AT28" i="298"/>
  <c r="AU28" i="298"/>
  <c r="AV28" i="298"/>
  <c r="AW28" i="298"/>
  <c r="AY527" i="298"/>
  <c r="AY28" i="298" s="1"/>
  <c r="AZ527" i="298"/>
  <c r="AZ28" i="298" s="1"/>
  <c r="BA527" i="298"/>
  <c r="BA28" i="298" s="1"/>
  <c r="BB28" i="298"/>
  <c r="BC527" i="298"/>
  <c r="BC28" i="298" s="1"/>
  <c r="D29" i="298"/>
  <c r="E29" i="298"/>
  <c r="F29" i="298"/>
  <c r="G29" i="298"/>
  <c r="H29" i="298"/>
  <c r="I29" i="298"/>
  <c r="J29" i="298"/>
  <c r="K29" i="298"/>
  <c r="L29" i="298"/>
  <c r="M29" i="298"/>
  <c r="N29" i="298"/>
  <c r="O29" i="298"/>
  <c r="P29" i="298"/>
  <c r="Q29" i="298"/>
  <c r="R29" i="298"/>
  <c r="S29" i="298"/>
  <c r="T29" i="298"/>
  <c r="U29" i="298"/>
  <c r="V29" i="298"/>
  <c r="W29" i="298"/>
  <c r="X29" i="298"/>
  <c r="Y29" i="298"/>
  <c r="Z29" i="298"/>
  <c r="AA29" i="298"/>
  <c r="AB29" i="298"/>
  <c r="AC29" i="298"/>
  <c r="AD29" i="298"/>
  <c r="AE29" i="298"/>
  <c r="AF29" i="298"/>
  <c r="AK29" i="298"/>
  <c r="AL29" i="298"/>
  <c r="AM29" i="298"/>
  <c r="AN29" i="298"/>
  <c r="AO29" i="298"/>
  <c r="AP29" i="298"/>
  <c r="AQ29" i="298"/>
  <c r="AR29" i="298"/>
  <c r="AS29" i="298"/>
  <c r="AT29" i="298"/>
  <c r="AU29" i="298"/>
  <c r="AV29" i="298"/>
  <c r="AW29" i="298"/>
  <c r="AY528" i="298"/>
  <c r="AY29" i="298" s="1"/>
  <c r="AZ528" i="298"/>
  <c r="AZ29" i="298" s="1"/>
  <c r="BA528" i="298"/>
  <c r="BA29" i="298" s="1"/>
  <c r="BB29" i="298"/>
  <c r="BC528" i="298"/>
  <c r="BC29" i="298" s="1"/>
  <c r="AF156" i="298"/>
  <c r="AC156" i="298"/>
  <c r="AB156" i="298"/>
  <c r="AF157" i="298"/>
  <c r="AC157" i="298"/>
  <c r="AB157" i="298"/>
  <c r="AF158" i="298"/>
  <c r="AC158" i="298"/>
  <c r="AB158" i="298"/>
  <c r="AG145" i="298"/>
  <c r="AG152" i="298" s="1"/>
  <c r="AD156" i="298"/>
  <c r="AD157" i="298"/>
  <c r="AD158" i="298"/>
  <c r="AE156" i="298"/>
  <c r="AE157" i="298"/>
  <c r="AE158" i="298"/>
  <c r="B33" i="298"/>
  <c r="B34" i="298"/>
  <c r="B35" i="298"/>
  <c r="B36" i="298"/>
  <c r="B39" i="298"/>
  <c r="B40" i="298"/>
  <c r="B41" i="298"/>
  <c r="B42" i="298"/>
  <c r="Z146" i="298"/>
  <c r="Z44" i="298" s="1"/>
  <c r="Z530" i="298" s="1"/>
  <c r="AA146" i="298"/>
  <c r="AB146" i="298"/>
  <c r="AB44" i="298" s="1"/>
  <c r="AB530" i="298" s="1"/>
  <c r="AC146" i="298"/>
  <c r="AC44" i="298" s="1"/>
  <c r="AC530" i="298" s="1"/>
  <c r="AC532" i="298" s="1"/>
  <c r="AC534" i="298" s="1"/>
  <c r="AD146" i="298"/>
  <c r="AD44" i="298" s="1"/>
  <c r="AD530" i="298" s="1"/>
  <c r="AD532" i="298" s="1"/>
  <c r="AD534" i="298" s="1"/>
  <c r="AE146" i="298"/>
  <c r="AE44" i="298" s="1"/>
  <c r="AE69" i="298" s="1"/>
  <c r="AF146" i="298"/>
  <c r="AF44" i="298" s="1"/>
  <c r="AF530" i="298" s="1"/>
  <c r="L54" i="298"/>
  <c r="M54" i="298"/>
  <c r="N54" i="298"/>
  <c r="O54" i="298"/>
  <c r="P54" i="298"/>
  <c r="Q54" i="298"/>
  <c r="Q55" i="298" s="1"/>
  <c r="R54" i="298"/>
  <c r="R55" i="298" s="1"/>
  <c r="S54" i="298"/>
  <c r="S55" i="298" s="1"/>
  <c r="T54" i="298"/>
  <c r="T55" i="298" s="1"/>
  <c r="U54" i="298"/>
  <c r="U55" i="298" s="1"/>
  <c r="V54" i="298"/>
  <c r="V55" i="298" s="1"/>
  <c r="W552" i="298"/>
  <c r="W554" i="298"/>
  <c r="W556" i="298"/>
  <c r="S552" i="298"/>
  <c r="S554" i="298"/>
  <c r="S556" i="298"/>
  <c r="X54" i="298"/>
  <c r="Y54" i="298"/>
  <c r="Z54" i="298"/>
  <c r="AA54" i="298"/>
  <c r="AB54" i="298"/>
  <c r="AC54" i="298"/>
  <c r="AD54" i="298"/>
  <c r="AF54" i="298"/>
  <c r="P552" i="298"/>
  <c r="P554" i="298"/>
  <c r="P556" i="298"/>
  <c r="Q552" i="298"/>
  <c r="Q554" i="298"/>
  <c r="Q556" i="298"/>
  <c r="R552" i="298"/>
  <c r="R554" i="298"/>
  <c r="R556" i="298"/>
  <c r="BB552" i="298"/>
  <c r="BB554" i="298"/>
  <c r="BB556" i="298"/>
  <c r="AE54" i="298"/>
  <c r="AS54" i="298"/>
  <c r="AS55" i="298" s="1"/>
  <c r="AT54" i="298"/>
  <c r="AT55" i="298" s="1"/>
  <c r="AU54" i="298"/>
  <c r="AU55" i="298" s="1"/>
  <c r="AV54" i="298"/>
  <c r="AV55" i="298" s="1"/>
  <c r="AW54" i="298"/>
  <c r="AW55" i="298" s="1"/>
  <c r="AY54" i="298"/>
  <c r="AY55" i="298" s="1"/>
  <c r="AZ54" i="298"/>
  <c r="AZ55" i="298" s="1"/>
  <c r="AM55" i="298"/>
  <c r="AN55" i="298"/>
  <c r="AO55" i="298"/>
  <c r="AP55" i="298"/>
  <c r="AQ55" i="298"/>
  <c r="AR55" i="298"/>
  <c r="D59" i="298"/>
  <c r="D85" i="298" s="1"/>
  <c r="E59" i="298"/>
  <c r="E85" i="298" s="1"/>
  <c r="F59" i="298"/>
  <c r="F85" i="298" s="1"/>
  <c r="G59" i="298"/>
  <c r="G85" i="298" s="1"/>
  <c r="H59" i="298"/>
  <c r="H85" i="298" s="1"/>
  <c r="I59" i="298"/>
  <c r="I85" i="298" s="1"/>
  <c r="J59" i="298"/>
  <c r="J85" i="298" s="1"/>
  <c r="K59" i="298"/>
  <c r="K85" i="298" s="1"/>
  <c r="L59" i="298"/>
  <c r="L85" i="298" s="1"/>
  <c r="M59" i="298"/>
  <c r="M85" i="298" s="1"/>
  <c r="N59" i="298"/>
  <c r="N85" i="298" s="1"/>
  <c r="O59" i="298"/>
  <c r="O85" i="298" s="1"/>
  <c r="P59" i="298"/>
  <c r="P85" i="298" s="1"/>
  <c r="Q59" i="298"/>
  <c r="Q85" i="298" s="1"/>
  <c r="R59" i="298"/>
  <c r="R85" i="298" s="1"/>
  <c r="S531" i="298"/>
  <c r="S59" i="298" s="1"/>
  <c r="S85" i="298" s="1"/>
  <c r="T59" i="298"/>
  <c r="T85" i="298" s="1"/>
  <c r="U59" i="298"/>
  <c r="U85" i="298" s="1"/>
  <c r="V59" i="298"/>
  <c r="V85" i="298" s="1"/>
  <c r="W59" i="298"/>
  <c r="X59" i="298"/>
  <c r="X85" i="298" s="1"/>
  <c r="Y59" i="298"/>
  <c r="Y85" i="298" s="1"/>
  <c r="Z59" i="298"/>
  <c r="Z85" i="298" s="1"/>
  <c r="AA59" i="298"/>
  <c r="AA85" i="298" s="1"/>
  <c r="AB59" i="298"/>
  <c r="AB85" i="298" s="1"/>
  <c r="AC59" i="298"/>
  <c r="AC85" i="298" s="1"/>
  <c r="AD59" i="298"/>
  <c r="AD85" i="298" s="1"/>
  <c r="AE59" i="298"/>
  <c r="AE85" i="298" s="1"/>
  <c r="AF59" i="298"/>
  <c r="BF59" i="298" s="1"/>
  <c r="BF85" i="298" s="1"/>
  <c r="AK59" i="298"/>
  <c r="AK85" i="298" s="1"/>
  <c r="AL59" i="298"/>
  <c r="AL85" i="298" s="1"/>
  <c r="AM59" i="298"/>
  <c r="AM85" i="298" s="1"/>
  <c r="AN59" i="298"/>
  <c r="AN85" i="298" s="1"/>
  <c r="AO59" i="298"/>
  <c r="AO85" i="298" s="1"/>
  <c r="AP59" i="298"/>
  <c r="AP85" i="298" s="1"/>
  <c r="AQ59" i="298"/>
  <c r="AQ85" i="298" s="1"/>
  <c r="AR59" i="298"/>
  <c r="AR85" i="298" s="1"/>
  <c r="AS59" i="298"/>
  <c r="AS85" i="298" s="1"/>
  <c r="AT59" i="298"/>
  <c r="AT85" i="298" s="1"/>
  <c r="AU59" i="298"/>
  <c r="AU85" i="298" s="1"/>
  <c r="AV59" i="298"/>
  <c r="AV85" i="298" s="1"/>
  <c r="AW59" i="298"/>
  <c r="AW85" i="298" s="1"/>
  <c r="AY531" i="298"/>
  <c r="AY59" i="298" s="1"/>
  <c r="AY85" i="298" s="1"/>
  <c r="AZ531" i="298"/>
  <c r="AZ59" i="298" s="1"/>
  <c r="AZ85" i="298" s="1"/>
  <c r="BA531" i="298"/>
  <c r="BA59" i="298" s="1"/>
  <c r="BA85" i="298" s="1"/>
  <c r="BB59" i="298"/>
  <c r="BB85" i="298" s="1"/>
  <c r="D63" i="298"/>
  <c r="E63" i="298"/>
  <c r="F63" i="298"/>
  <c r="G63" i="298"/>
  <c r="H63" i="298"/>
  <c r="I63" i="298"/>
  <c r="J63" i="298"/>
  <c r="K63" i="298"/>
  <c r="L63" i="298"/>
  <c r="M63" i="298"/>
  <c r="N63" i="298"/>
  <c r="O63" i="298"/>
  <c r="P63" i="298"/>
  <c r="Q63" i="298"/>
  <c r="R63" i="298"/>
  <c r="S538" i="298"/>
  <c r="S63" i="298" s="1"/>
  <c r="T63" i="298"/>
  <c r="V63" i="298"/>
  <c r="W63" i="298"/>
  <c r="X63" i="298"/>
  <c r="Y63" i="298"/>
  <c r="Z63" i="298"/>
  <c r="AA63" i="298"/>
  <c r="AB63" i="298"/>
  <c r="AC63" i="298"/>
  <c r="AD63" i="298"/>
  <c r="AE63" i="298"/>
  <c r="AF63" i="298"/>
  <c r="AG63" i="298" s="1"/>
  <c r="AH63" i="298" s="1"/>
  <c r="AI63" i="298" s="1"/>
  <c r="AK63" i="298"/>
  <c r="AL63" i="298"/>
  <c r="AM63" i="298"/>
  <c r="AN63" i="298"/>
  <c r="AO63" i="298"/>
  <c r="AP63" i="298"/>
  <c r="AQ63" i="298"/>
  <c r="AR63" i="298"/>
  <c r="AS63" i="298"/>
  <c r="AT63" i="298"/>
  <c r="AU63" i="298"/>
  <c r="AV63" i="298"/>
  <c r="AW63" i="298"/>
  <c r="AY538" i="298"/>
  <c r="AY63" i="298" s="1"/>
  <c r="AZ538" i="298"/>
  <c r="AZ63" i="298" s="1"/>
  <c r="BA538" i="298"/>
  <c r="BA63" i="298" s="1"/>
  <c r="BB63" i="298"/>
  <c r="W68" i="298"/>
  <c r="X68" i="298"/>
  <c r="Y68" i="298"/>
  <c r="BE68" i="298"/>
  <c r="BF68" i="298"/>
  <c r="D73" i="298"/>
  <c r="E73" i="298"/>
  <c r="F73" i="298"/>
  <c r="G73" i="298"/>
  <c r="H73" i="298"/>
  <c r="I73" i="298"/>
  <c r="J73" i="298"/>
  <c r="K579" i="298"/>
  <c r="K73" i="298" s="1"/>
  <c r="L73" i="298"/>
  <c r="M73" i="298"/>
  <c r="N73" i="298"/>
  <c r="O73" i="298"/>
  <c r="P73" i="298"/>
  <c r="Q73" i="298"/>
  <c r="R73" i="298"/>
  <c r="S579" i="298"/>
  <c r="S73" i="298" s="1"/>
  <c r="T73" i="298"/>
  <c r="U73" i="298"/>
  <c r="V73" i="298"/>
  <c r="W73" i="298"/>
  <c r="X73" i="298"/>
  <c r="Y73" i="298"/>
  <c r="Z73" i="298"/>
  <c r="AA73" i="298"/>
  <c r="AB73" i="298"/>
  <c r="AC73" i="298"/>
  <c r="AD73" i="298"/>
  <c r="AE73" i="298"/>
  <c r="AF73" i="298"/>
  <c r="AK73" i="298"/>
  <c r="AL73" i="298"/>
  <c r="AM73" i="298"/>
  <c r="AN73" i="298"/>
  <c r="AO73" i="298"/>
  <c r="AP73" i="298"/>
  <c r="AQ73" i="298"/>
  <c r="AR73" i="298"/>
  <c r="AS73" i="298"/>
  <c r="AT73" i="298"/>
  <c r="AU73" i="298"/>
  <c r="AV73" i="298"/>
  <c r="AY73" i="298" s="1"/>
  <c r="AW73" i="298"/>
  <c r="AZ73" i="298"/>
  <c r="BA73" i="298"/>
  <c r="BB73" i="298"/>
  <c r="D84" i="298"/>
  <c r="E84" i="298"/>
  <c r="F84" i="298"/>
  <c r="G84" i="298"/>
  <c r="H84" i="298"/>
  <c r="I84" i="298"/>
  <c r="J84" i="298"/>
  <c r="K84" i="298"/>
  <c r="L84" i="298"/>
  <c r="M84" i="298"/>
  <c r="N84" i="298"/>
  <c r="O84" i="298"/>
  <c r="P84" i="298"/>
  <c r="Q84" i="298"/>
  <c r="R84" i="298"/>
  <c r="S84" i="298"/>
  <c r="T84" i="298"/>
  <c r="U84" i="298"/>
  <c r="V84" i="298"/>
  <c r="W84" i="298"/>
  <c r="X84" i="298"/>
  <c r="Y84" i="298"/>
  <c r="Z84" i="298"/>
  <c r="AA84" i="298"/>
  <c r="AB84" i="298"/>
  <c r="AC84" i="298"/>
  <c r="AD84" i="298"/>
  <c r="AE84" i="298"/>
  <c r="AF84" i="298"/>
  <c r="AK635" i="298"/>
  <c r="AL635" i="298"/>
  <c r="AM635" i="298"/>
  <c r="AM84" i="298" s="1"/>
  <c r="AN635" i="298"/>
  <c r="AN84" i="298" s="1"/>
  <c r="AO635" i="298"/>
  <c r="AO84" i="298" s="1"/>
  <c r="AP635" i="298"/>
  <c r="AP84" i="298" s="1"/>
  <c r="AQ635" i="298"/>
  <c r="AQ84" i="298" s="1"/>
  <c r="AR635" i="298"/>
  <c r="AR84" i="298" s="1"/>
  <c r="AS635" i="298"/>
  <c r="AS84" i="298" s="1"/>
  <c r="AT635" i="298"/>
  <c r="AU635" i="298"/>
  <c r="AU84" i="298" s="1"/>
  <c r="AV635" i="298"/>
  <c r="AV84" i="298" s="1"/>
  <c r="AW635" i="298"/>
  <c r="AW84" i="298" s="1"/>
  <c r="BA635" i="298"/>
  <c r="BA84" i="298" s="1"/>
  <c r="BB635" i="298"/>
  <c r="BB84" i="298" s="1"/>
  <c r="AZ635" i="298"/>
  <c r="AZ634" i="298" s="1"/>
  <c r="B85" i="298"/>
  <c r="AG85" i="298"/>
  <c r="AH85" i="298"/>
  <c r="AI85" i="298"/>
  <c r="D91" i="298"/>
  <c r="E91" i="298"/>
  <c r="F91" i="298"/>
  <c r="G91" i="298"/>
  <c r="H91" i="298"/>
  <c r="I91" i="298"/>
  <c r="J91" i="298"/>
  <c r="K582" i="298"/>
  <c r="K91" i="298" s="1"/>
  <c r="L91" i="298"/>
  <c r="M91" i="298"/>
  <c r="N91" i="298"/>
  <c r="O91" i="298"/>
  <c r="P91" i="298"/>
  <c r="Q91" i="298"/>
  <c r="R91" i="298"/>
  <c r="S582" i="298"/>
  <c r="T91" i="298"/>
  <c r="U91" i="298"/>
  <c r="V91" i="298"/>
  <c r="W91" i="298"/>
  <c r="X91" i="298"/>
  <c r="Y91" i="298"/>
  <c r="Z91" i="298"/>
  <c r="AA91" i="298"/>
  <c r="AB91" i="298"/>
  <c r="AC91" i="298"/>
  <c r="AD91" i="298"/>
  <c r="AE91" i="298"/>
  <c r="AF91" i="298"/>
  <c r="BF91" i="298" s="1"/>
  <c r="AK91" i="298"/>
  <c r="AL91" i="298"/>
  <c r="AM91" i="298"/>
  <c r="AN91" i="298"/>
  <c r="AO91" i="298"/>
  <c r="AP91" i="298"/>
  <c r="AQ91" i="298"/>
  <c r="AR91" i="298"/>
  <c r="AS91" i="298"/>
  <c r="AT91" i="298"/>
  <c r="AU91" i="298"/>
  <c r="AV91" i="298"/>
  <c r="AW91" i="298"/>
  <c r="AZ91" i="298"/>
  <c r="BA91" i="298"/>
  <c r="BB91" i="298"/>
  <c r="BC582" i="298"/>
  <c r="AY623" i="298"/>
  <c r="AY100" i="298" s="1"/>
  <c r="AZ623" i="298"/>
  <c r="AZ100" i="298" s="1"/>
  <c r="BF92" i="298"/>
  <c r="D595" i="298"/>
  <c r="D97" i="298" s="1"/>
  <c r="E595" i="298"/>
  <c r="E97" i="298" s="1"/>
  <c r="F595" i="298"/>
  <c r="F97" i="298" s="1"/>
  <c r="G595" i="298"/>
  <c r="G97" i="298" s="1"/>
  <c r="H595" i="298"/>
  <c r="I595" i="298"/>
  <c r="I97" i="298" s="1"/>
  <c r="J595" i="298"/>
  <c r="J97" i="298" s="1"/>
  <c r="K578" i="298"/>
  <c r="K580" i="298"/>
  <c r="K581" i="298"/>
  <c r="K583" i="298"/>
  <c r="K584" i="298"/>
  <c r="K585" i="298"/>
  <c r="K586" i="298"/>
  <c r="K587" i="298"/>
  <c r="K588" i="298"/>
  <c r="K589" i="298"/>
  <c r="K590" i="298"/>
  <c r="K591" i="298"/>
  <c r="K592" i="298"/>
  <c r="K593" i="298"/>
  <c r="K594" i="298"/>
  <c r="L595" i="298"/>
  <c r="L97" i="298" s="1"/>
  <c r="M595" i="298"/>
  <c r="M97" i="298" s="1"/>
  <c r="N595" i="298"/>
  <c r="N97" i="298" s="1"/>
  <c r="O595" i="298"/>
  <c r="O630" i="298" s="1"/>
  <c r="P595" i="298"/>
  <c r="P97" i="298" s="1"/>
  <c r="Q595" i="298"/>
  <c r="R595" i="298"/>
  <c r="S578" i="298"/>
  <c r="S580" i="298"/>
  <c r="S581" i="298"/>
  <c r="S583" i="298"/>
  <c r="S584" i="298"/>
  <c r="S585" i="298"/>
  <c r="S586" i="298"/>
  <c r="S587" i="298"/>
  <c r="S588" i="298"/>
  <c r="S589" i="298"/>
  <c r="S590" i="298"/>
  <c r="S591" i="298"/>
  <c r="S592" i="298"/>
  <c r="S593" i="298"/>
  <c r="S594" i="298"/>
  <c r="T595" i="298"/>
  <c r="U595" i="298"/>
  <c r="U97" i="298" s="1"/>
  <c r="V595" i="298"/>
  <c r="V630" i="298" s="1"/>
  <c r="W595" i="298"/>
  <c r="W97" i="298" s="1"/>
  <c r="X595" i="298"/>
  <c r="X630" i="298" s="1"/>
  <c r="Y595" i="298"/>
  <c r="Y97" i="298" s="1"/>
  <c r="Z595" i="298"/>
  <c r="Z97" i="298" s="1"/>
  <c r="AA595" i="298"/>
  <c r="AA97" i="298" s="1"/>
  <c r="AB595" i="298"/>
  <c r="AB97" i="298" s="1"/>
  <c r="AC595" i="298"/>
  <c r="AC97" i="298" s="1"/>
  <c r="AD595" i="298"/>
  <c r="AE595" i="298"/>
  <c r="AE97" i="298" s="1"/>
  <c r="AF595" i="298"/>
  <c r="AF630" i="298" s="1"/>
  <c r="AK595" i="298"/>
  <c r="AK97" i="298" s="1"/>
  <c r="AL595" i="298"/>
  <c r="AL97" i="298" s="1"/>
  <c r="AM595" i="298"/>
  <c r="AM97" i="298" s="1"/>
  <c r="AN595" i="298"/>
  <c r="AN97" i="298" s="1"/>
  <c r="AO595" i="298"/>
  <c r="AP595" i="298"/>
  <c r="AQ595" i="298"/>
  <c r="AQ97" i="298" s="1"/>
  <c r="AR595" i="298"/>
  <c r="AR97" i="298" s="1"/>
  <c r="AS595" i="298"/>
  <c r="AT595" i="298"/>
  <c r="AU595" i="298"/>
  <c r="AU97" i="298" s="1"/>
  <c r="AV595" i="298"/>
  <c r="AV97" i="298" s="1"/>
  <c r="AW595" i="298"/>
  <c r="AW97" i="298" s="1"/>
  <c r="AY595" i="298"/>
  <c r="AY97" i="298" s="1"/>
  <c r="AZ595" i="298"/>
  <c r="AZ97" i="298" s="1"/>
  <c r="BA595" i="298"/>
  <c r="BA97" i="298" s="1"/>
  <c r="BB595" i="298"/>
  <c r="BB97" i="298" s="1"/>
  <c r="BC578" i="298"/>
  <c r="BC579" i="298"/>
  <c r="BC580" i="298"/>
  <c r="BC581" i="298"/>
  <c r="BC583" i="298"/>
  <c r="BC584" i="298"/>
  <c r="BC585" i="298"/>
  <c r="BC586" i="298"/>
  <c r="BC587" i="298"/>
  <c r="BC588" i="298"/>
  <c r="BC589" i="298"/>
  <c r="BC590" i="298"/>
  <c r="BC591" i="298"/>
  <c r="BC592" i="298"/>
  <c r="BC593" i="298"/>
  <c r="BC594" i="298"/>
  <c r="D98" i="298"/>
  <c r="E98" i="298"/>
  <c r="F98" i="298"/>
  <c r="G98" i="298"/>
  <c r="H98" i="298"/>
  <c r="I98" i="298"/>
  <c r="J98" i="298"/>
  <c r="K98" i="298"/>
  <c r="L98" i="298"/>
  <c r="M98" i="298"/>
  <c r="N98" i="298"/>
  <c r="O98" i="298"/>
  <c r="P98" i="298"/>
  <c r="Q98" i="298"/>
  <c r="R98" i="298"/>
  <c r="S599" i="298"/>
  <c r="S98" i="298" s="1"/>
  <c r="T98" i="298"/>
  <c r="U98" i="298"/>
  <c r="V98" i="298"/>
  <c r="W98" i="298"/>
  <c r="X98" i="298"/>
  <c r="Y98" i="298"/>
  <c r="Z98" i="298"/>
  <c r="AA98" i="298"/>
  <c r="AB98" i="298"/>
  <c r="AC98" i="298"/>
  <c r="AD98" i="298"/>
  <c r="AE98" i="298"/>
  <c r="AF98" i="298"/>
  <c r="BF98" i="298" s="1"/>
  <c r="AK98" i="298"/>
  <c r="AL98" i="298"/>
  <c r="AM98" i="298"/>
  <c r="AN98" i="298"/>
  <c r="AO98" i="298"/>
  <c r="AP98" i="298"/>
  <c r="AQ98" i="298"/>
  <c r="AR98" i="298"/>
  <c r="AS98" i="298"/>
  <c r="AT98" i="298"/>
  <c r="AU98" i="298"/>
  <c r="AV98" i="298"/>
  <c r="AW98" i="298"/>
  <c r="AZ98" i="298"/>
  <c r="BA98" i="298"/>
  <c r="BB98" i="298"/>
  <c r="BC599" i="298"/>
  <c r="BC98" i="298" s="1"/>
  <c r="D99" i="298"/>
  <c r="E99" i="298"/>
  <c r="F99" i="298"/>
  <c r="G99" i="298"/>
  <c r="H99" i="298"/>
  <c r="I99" i="298"/>
  <c r="J99" i="298"/>
  <c r="K99" i="298"/>
  <c r="L99" i="298"/>
  <c r="M99" i="298"/>
  <c r="N99" i="298"/>
  <c r="O99" i="298"/>
  <c r="P99" i="298"/>
  <c r="Q99" i="298"/>
  <c r="R99" i="298"/>
  <c r="S99" i="298"/>
  <c r="T99" i="298"/>
  <c r="U99" i="298"/>
  <c r="V99" i="298"/>
  <c r="AK99" i="298"/>
  <c r="AL99" i="298"/>
  <c r="AM99" i="298"/>
  <c r="AN99" i="298"/>
  <c r="AO99" i="298"/>
  <c r="AP99" i="298"/>
  <c r="AQ99" i="298"/>
  <c r="AR99" i="298"/>
  <c r="AS99" i="298"/>
  <c r="AT99" i="298"/>
  <c r="AU99" i="298"/>
  <c r="AV99" i="298"/>
  <c r="AW99" i="298"/>
  <c r="AY99" i="298"/>
  <c r="AZ99" i="298"/>
  <c r="BA99" i="298"/>
  <c r="BB99" i="298"/>
  <c r="BC99" i="298"/>
  <c r="BD99" i="298"/>
  <c r="BE99" i="298"/>
  <c r="BF99" i="298"/>
  <c r="AK100" i="298"/>
  <c r="AL100" i="298"/>
  <c r="AM100" i="298"/>
  <c r="AN100" i="298"/>
  <c r="AO100" i="298"/>
  <c r="AP100" i="298"/>
  <c r="AQ100" i="298"/>
  <c r="AR100" i="298"/>
  <c r="AS100" i="298"/>
  <c r="AT100" i="298"/>
  <c r="AU100" i="298"/>
  <c r="AV100" i="298"/>
  <c r="AW100" i="298"/>
  <c r="BA100" i="298"/>
  <c r="BB100" i="298"/>
  <c r="BC100" i="298"/>
  <c r="BD100" i="298"/>
  <c r="BE100" i="298"/>
  <c r="D101" i="298"/>
  <c r="E101" i="298"/>
  <c r="F101" i="298"/>
  <c r="G101" i="298"/>
  <c r="H101" i="298"/>
  <c r="I101" i="298"/>
  <c r="J101" i="298"/>
  <c r="K101" i="298"/>
  <c r="L101" i="298"/>
  <c r="M101" i="298"/>
  <c r="N101" i="298"/>
  <c r="O101" i="298"/>
  <c r="P101" i="298"/>
  <c r="Q101" i="298"/>
  <c r="R101" i="298"/>
  <c r="S611" i="298"/>
  <c r="S101" i="298" s="1"/>
  <c r="T101" i="298"/>
  <c r="U101" i="298"/>
  <c r="V101" i="298"/>
  <c r="W101" i="298"/>
  <c r="X101" i="298"/>
  <c r="Y101" i="298"/>
  <c r="Z101" i="298"/>
  <c r="AA101" i="298"/>
  <c r="AB101" i="298"/>
  <c r="AC101" i="298"/>
  <c r="AD101" i="298"/>
  <c r="AE101" i="298"/>
  <c r="AF101" i="298"/>
  <c r="BF101" i="298" s="1"/>
  <c r="AK101" i="298"/>
  <c r="AL101" i="298"/>
  <c r="AM101" i="298"/>
  <c r="AN101" i="298"/>
  <c r="AO101" i="298"/>
  <c r="AP101" i="298"/>
  <c r="AQ101" i="298"/>
  <c r="AR101" i="298"/>
  <c r="AS101" i="298"/>
  <c r="AT101" i="298"/>
  <c r="AU101" i="298"/>
  <c r="AV101" i="298"/>
  <c r="AW101" i="298"/>
  <c r="AZ101" i="298"/>
  <c r="BA101" i="298"/>
  <c r="BB101" i="298"/>
  <c r="BC611" i="298"/>
  <c r="BC101" i="298" s="1"/>
  <c r="D102" i="298"/>
  <c r="E102" i="298"/>
  <c r="F102" i="298"/>
  <c r="G102" i="298"/>
  <c r="H102" i="298"/>
  <c r="I102" i="298"/>
  <c r="J102" i="298"/>
  <c r="K102" i="298"/>
  <c r="L102" i="298"/>
  <c r="M102" i="298"/>
  <c r="N102" i="298"/>
  <c r="O102" i="298"/>
  <c r="P102" i="298"/>
  <c r="Q102" i="298"/>
  <c r="R102" i="298"/>
  <c r="S612" i="298"/>
  <c r="S102" i="298" s="1"/>
  <c r="T102" i="298"/>
  <c r="U102" i="298"/>
  <c r="V102" i="298"/>
  <c r="W102" i="298"/>
  <c r="X102" i="298"/>
  <c r="Y102" i="298"/>
  <c r="Z102" i="298"/>
  <c r="AA102" i="298"/>
  <c r="AB102" i="298"/>
  <c r="AC102" i="298"/>
  <c r="AD102" i="298"/>
  <c r="AE102" i="298"/>
  <c r="AF102" i="298"/>
  <c r="BF102" i="298" s="1"/>
  <c r="AK102" i="298"/>
  <c r="AL102" i="298"/>
  <c r="AM102" i="298"/>
  <c r="AN102" i="298"/>
  <c r="AO102" i="298"/>
  <c r="AP102" i="298"/>
  <c r="AQ102" i="298"/>
  <c r="AR102" i="298"/>
  <c r="AS102" i="298"/>
  <c r="AT102" i="298"/>
  <c r="AU102" i="298"/>
  <c r="AV102" i="298"/>
  <c r="AW102" i="298"/>
  <c r="AZ102" i="298"/>
  <c r="BA102" i="298"/>
  <c r="BB102" i="298"/>
  <c r="BC612" i="298"/>
  <c r="BC102" i="298" s="1"/>
  <c r="D103" i="298"/>
  <c r="E103" i="298"/>
  <c r="F103" i="298"/>
  <c r="G103" i="298"/>
  <c r="H103" i="298"/>
  <c r="I103" i="298"/>
  <c r="J103" i="298"/>
  <c r="K103" i="298"/>
  <c r="L103" i="298"/>
  <c r="M103" i="298"/>
  <c r="N103" i="298"/>
  <c r="O103" i="298"/>
  <c r="P103" i="298"/>
  <c r="Q103" i="298"/>
  <c r="R103" i="298"/>
  <c r="S613" i="298"/>
  <c r="S103" i="298" s="1"/>
  <c r="T103" i="298"/>
  <c r="U103" i="298"/>
  <c r="V103" i="298"/>
  <c r="W103" i="298"/>
  <c r="X103" i="298"/>
  <c r="Y103" i="298"/>
  <c r="Z103" i="298"/>
  <c r="AA103" i="298"/>
  <c r="AB103" i="298"/>
  <c r="AC103" i="298"/>
  <c r="AD103" i="298"/>
  <c r="AE103" i="298"/>
  <c r="AF103" i="298"/>
  <c r="BF103" i="298" s="1"/>
  <c r="AK103" i="298"/>
  <c r="AL103" i="298"/>
  <c r="AM103" i="298"/>
  <c r="AN103" i="298"/>
  <c r="AO103" i="298"/>
  <c r="AP103" i="298"/>
  <c r="AQ103" i="298"/>
  <c r="AR103" i="298"/>
  <c r="AS103" i="298"/>
  <c r="AT103" i="298"/>
  <c r="AU103" i="298"/>
  <c r="AV103" i="298"/>
  <c r="AW103" i="298"/>
  <c r="AZ103" i="298"/>
  <c r="BA103" i="298"/>
  <c r="BB103" i="298"/>
  <c r="BC613" i="298"/>
  <c r="BC103" i="298" s="1"/>
  <c r="D106" i="298"/>
  <c r="E106" i="298"/>
  <c r="F106" i="298"/>
  <c r="G106" i="298"/>
  <c r="H106" i="298"/>
  <c r="I106" i="298"/>
  <c r="J106" i="298"/>
  <c r="K106" i="298"/>
  <c r="L106" i="298"/>
  <c r="M106" i="298"/>
  <c r="N106" i="298"/>
  <c r="O106" i="298"/>
  <c r="P106" i="298"/>
  <c r="Q106" i="298"/>
  <c r="R106" i="298"/>
  <c r="S664" i="298"/>
  <c r="S665" i="298"/>
  <c r="S671" i="298"/>
  <c r="S672" i="298"/>
  <c r="T106" i="298"/>
  <c r="U106" i="298"/>
  <c r="V106" i="298"/>
  <c r="W106" i="298"/>
  <c r="X106" i="298"/>
  <c r="Y106" i="298"/>
  <c r="Z106" i="298"/>
  <c r="AA106" i="298"/>
  <c r="AB106" i="298"/>
  <c r="AC106" i="298"/>
  <c r="AD106" i="298"/>
  <c r="AE106" i="298"/>
  <c r="AF106" i="298"/>
  <c r="AK106" i="298"/>
  <c r="AL106" i="298"/>
  <c r="AM106" i="298"/>
  <c r="AN106" i="298"/>
  <c r="AO106" i="298"/>
  <c r="AP106" i="298"/>
  <c r="AQ106" i="298"/>
  <c r="AR106" i="298"/>
  <c r="AS106" i="298"/>
  <c r="AT106" i="298"/>
  <c r="AU106" i="298"/>
  <c r="AV106" i="298"/>
  <c r="AW106" i="298"/>
  <c r="AZ106" i="298"/>
  <c r="BA106" i="298"/>
  <c r="BB106" i="298"/>
  <c r="BC664" i="298"/>
  <c r="BC665" i="298"/>
  <c r="BC671" i="298"/>
  <c r="BC672" i="298"/>
  <c r="BD664" i="298"/>
  <c r="BD665" i="298"/>
  <c r="BD671" i="298"/>
  <c r="BD672" i="298"/>
  <c r="BE664" i="298"/>
  <c r="BE665" i="298"/>
  <c r="BE671" i="298"/>
  <c r="BE672" i="298"/>
  <c r="D107" i="298"/>
  <c r="E107" i="298"/>
  <c r="F107" i="298"/>
  <c r="G107" i="298"/>
  <c r="AY107" i="298" s="1"/>
  <c r="H107" i="298"/>
  <c r="I107" i="298"/>
  <c r="J107" i="298"/>
  <c r="K107" i="298"/>
  <c r="L107" i="298"/>
  <c r="M107" i="298"/>
  <c r="N107" i="298"/>
  <c r="O107" i="298"/>
  <c r="P107" i="298"/>
  <c r="Q107" i="298"/>
  <c r="R107" i="298"/>
  <c r="S645" i="298"/>
  <c r="S646" i="298"/>
  <c r="T107" i="298"/>
  <c r="U107" i="298"/>
  <c r="V107" i="298"/>
  <c r="W107" i="298"/>
  <c r="X107" i="298"/>
  <c r="Y107" i="298"/>
  <c r="Z107" i="298"/>
  <c r="AA107" i="298"/>
  <c r="AB107" i="298"/>
  <c r="AC107" i="298"/>
  <c r="AD107" i="298"/>
  <c r="AE107" i="298"/>
  <c r="AF107" i="298"/>
  <c r="AK107" i="298"/>
  <c r="AL107" i="298"/>
  <c r="AM107" i="298"/>
  <c r="AN107" i="298"/>
  <c r="AO107" i="298"/>
  <c r="AP107" i="298"/>
  <c r="AQ107" i="298"/>
  <c r="AR107" i="298"/>
  <c r="AS107" i="298"/>
  <c r="AT107" i="298"/>
  <c r="AU107" i="298"/>
  <c r="AV107" i="298"/>
  <c r="AW107" i="298"/>
  <c r="AZ107" i="298"/>
  <c r="BA107" i="298"/>
  <c r="BB107" i="298"/>
  <c r="BC645" i="298"/>
  <c r="BC646" i="298"/>
  <c r="BD645" i="298"/>
  <c r="BD646" i="298"/>
  <c r="BE645" i="298"/>
  <c r="BE646" i="298"/>
  <c r="S114" i="298"/>
  <c r="S121" i="298" s="1"/>
  <c r="AZ114" i="298"/>
  <c r="AZ707" i="298" s="1"/>
  <c r="BA114" i="298"/>
  <c r="BB121" i="298" s="1"/>
  <c r="BC114" i="298"/>
  <c r="BC707" i="298" s="1"/>
  <c r="BD114" i="298"/>
  <c r="BD707" i="298" s="1"/>
  <c r="BE114" i="298"/>
  <c r="BE707" i="298" s="1"/>
  <c r="S115" i="298"/>
  <c r="AZ115" i="298"/>
  <c r="AZ438" i="298" s="1"/>
  <c r="BA115" i="298"/>
  <c r="BA438" i="298" s="1"/>
  <c r="BC115" i="298"/>
  <c r="BC708" i="298" s="1"/>
  <c r="BD115" i="298"/>
  <c r="BD438" i="298" s="1"/>
  <c r="BE115" i="298"/>
  <c r="S116" i="298"/>
  <c r="AZ116" i="298"/>
  <c r="AZ709" i="298" s="1"/>
  <c r="BA116" i="298"/>
  <c r="BC116" i="298"/>
  <c r="BC123" i="298" s="1"/>
  <c r="BD116" i="298"/>
  <c r="BD466" i="298" s="1"/>
  <c r="BE116" i="298"/>
  <c r="BE709" i="298" s="1"/>
  <c r="S117" i="298"/>
  <c r="W124" i="298" s="1"/>
  <c r="AZ117" i="298"/>
  <c r="BA117" i="298"/>
  <c r="BC117" i="298"/>
  <c r="BD117" i="298"/>
  <c r="BE117" i="298"/>
  <c r="BF117" i="298"/>
  <c r="H118" i="298"/>
  <c r="H159" i="298" s="1"/>
  <c r="I118" i="298"/>
  <c r="I159" i="298" s="1"/>
  <c r="J118" i="298"/>
  <c r="K118" i="298"/>
  <c r="L118" i="298"/>
  <c r="M118" i="298"/>
  <c r="N118" i="298"/>
  <c r="N159" i="298" s="1"/>
  <c r="O118" i="298"/>
  <c r="O159" i="298" s="1"/>
  <c r="P118" i="298"/>
  <c r="Q118" i="298"/>
  <c r="Q167" i="298" s="1"/>
  <c r="Q166" i="298" s="1"/>
  <c r="R118" i="298"/>
  <c r="R159" i="298" s="1"/>
  <c r="T118" i="298"/>
  <c r="U118" i="298"/>
  <c r="U159" i="298" s="1"/>
  <c r="V118" i="298"/>
  <c r="AY118" i="298"/>
  <c r="AY167" i="298" s="1"/>
  <c r="BB118" i="298"/>
  <c r="BB159" i="298" s="1"/>
  <c r="B121" i="298"/>
  <c r="L121" i="298"/>
  <c r="M121" i="298"/>
  <c r="N121" i="298"/>
  <c r="O121" i="298"/>
  <c r="P121" i="298"/>
  <c r="Q121" i="298"/>
  <c r="R121" i="298"/>
  <c r="T121" i="298"/>
  <c r="U121" i="298"/>
  <c r="V121" i="298"/>
  <c r="X121" i="298"/>
  <c r="AB121" i="298"/>
  <c r="AF121" i="298"/>
  <c r="AU121" i="298"/>
  <c r="AU129" i="298" s="1"/>
  <c r="AV121" i="298"/>
  <c r="AW121" i="298"/>
  <c r="AZ121" i="298" s="1"/>
  <c r="B122" i="298"/>
  <c r="L122" i="298"/>
  <c r="M122" i="298"/>
  <c r="N122" i="298"/>
  <c r="O122" i="298"/>
  <c r="P122" i="298"/>
  <c r="Q122" i="298"/>
  <c r="R122" i="298"/>
  <c r="T122" i="298"/>
  <c r="U122" i="298"/>
  <c r="V122" i="298"/>
  <c r="AU122" i="298"/>
  <c r="AU130" i="298" s="1"/>
  <c r="AV122" i="298"/>
  <c r="AW122" i="298"/>
  <c r="AZ122" i="298" s="1"/>
  <c r="B123" i="298"/>
  <c r="L123" i="298"/>
  <c r="M123" i="298"/>
  <c r="N123" i="298"/>
  <c r="O123" i="298"/>
  <c r="P123" i="298"/>
  <c r="Q123" i="298"/>
  <c r="R123" i="298"/>
  <c r="T123" i="298"/>
  <c r="U123" i="298"/>
  <c r="V123" i="298"/>
  <c r="X123" i="298"/>
  <c r="AB123" i="298"/>
  <c r="AF123" i="298"/>
  <c r="AU123" i="298"/>
  <c r="AU131" i="298" s="1"/>
  <c r="AV123" i="298"/>
  <c r="AW123" i="298"/>
  <c r="BM123" i="298"/>
  <c r="BN123" i="298"/>
  <c r="BO123" i="298" s="1"/>
  <c r="B124" i="298"/>
  <c r="L124" i="298"/>
  <c r="M124" i="298"/>
  <c r="N124" i="298"/>
  <c r="O124" i="298"/>
  <c r="P124" i="298"/>
  <c r="Q124" i="298"/>
  <c r="R124" i="298"/>
  <c r="T124" i="298"/>
  <c r="U124" i="298"/>
  <c r="V124" i="298"/>
  <c r="X124" i="298"/>
  <c r="Y124" i="298"/>
  <c r="Z124" i="298"/>
  <c r="AA124" i="298"/>
  <c r="AB124" i="298"/>
  <c r="AC124" i="298"/>
  <c r="AD124" i="298"/>
  <c r="AE124" i="298"/>
  <c r="AF124" i="298"/>
  <c r="AG124" i="298"/>
  <c r="AH124" i="298"/>
  <c r="AI124" i="298"/>
  <c r="AU124" i="298"/>
  <c r="AW124" i="298"/>
  <c r="AZ124" i="298" s="1"/>
  <c r="AY124" i="298"/>
  <c r="BM124" i="298"/>
  <c r="BN124" i="298"/>
  <c r="BO124" i="298" s="1"/>
  <c r="B125" i="298"/>
  <c r="B133" i="298" s="1"/>
  <c r="B139" i="298" s="1"/>
  <c r="BM125" i="298"/>
  <c r="BN125" i="298"/>
  <c r="BO125" i="298" s="1"/>
  <c r="L129" i="298"/>
  <c r="M129" i="298"/>
  <c r="N129" i="298"/>
  <c r="O129" i="298"/>
  <c r="P129" i="298"/>
  <c r="Q129" i="298"/>
  <c r="R129" i="298"/>
  <c r="S129" i="298"/>
  <c r="T129" i="298"/>
  <c r="U129" i="298"/>
  <c r="V129" i="298"/>
  <c r="W129" i="298"/>
  <c r="X129" i="298"/>
  <c r="Y129" i="298"/>
  <c r="Z129" i="298"/>
  <c r="AA129" i="298"/>
  <c r="L130" i="298"/>
  <c r="M130" i="298"/>
  <c r="N130" i="298"/>
  <c r="O130" i="298"/>
  <c r="P130" i="298"/>
  <c r="Q130" i="298"/>
  <c r="R130" i="298"/>
  <c r="S130" i="298"/>
  <c r="T130" i="298"/>
  <c r="U130" i="298"/>
  <c r="V130" i="298"/>
  <c r="W130" i="298"/>
  <c r="X130" i="298"/>
  <c r="Y130" i="298"/>
  <c r="Z130" i="298"/>
  <c r="AA130" i="298"/>
  <c r="L131" i="298"/>
  <c r="M131" i="298"/>
  <c r="N131" i="298"/>
  <c r="O131" i="298"/>
  <c r="P131" i="298"/>
  <c r="Q131" i="298"/>
  <c r="R131" i="298"/>
  <c r="S131" i="298"/>
  <c r="T131" i="298"/>
  <c r="U131" i="298"/>
  <c r="V131" i="298"/>
  <c r="W131" i="298"/>
  <c r="X131" i="298"/>
  <c r="Y131" i="298"/>
  <c r="Z131" i="298"/>
  <c r="AA131" i="298"/>
  <c r="AY132" i="298"/>
  <c r="AZ132" i="298"/>
  <c r="B136" i="298"/>
  <c r="B137" i="298"/>
  <c r="B138" i="298"/>
  <c r="S142" i="298"/>
  <c r="S149" i="298" s="1"/>
  <c r="AZ142" i="298"/>
  <c r="BA142" i="298"/>
  <c r="BB149" i="298" s="1"/>
  <c r="BC142" i="298"/>
  <c r="BD142" i="298"/>
  <c r="BD363" i="298" s="1"/>
  <c r="BE142" i="298"/>
  <c r="S143" i="298"/>
  <c r="S445" i="298" s="1"/>
  <c r="AZ143" i="298"/>
  <c r="BA143" i="298"/>
  <c r="BA445" i="298" s="1"/>
  <c r="BC143" i="298"/>
  <c r="BC150" i="298" s="1"/>
  <c r="BD143" i="298"/>
  <c r="BD445" i="298" s="1"/>
  <c r="BE143" i="298"/>
  <c r="S144" i="298"/>
  <c r="AZ144" i="298"/>
  <c r="AZ473" i="298" s="1"/>
  <c r="BA144" i="298"/>
  <c r="BB151" i="298" s="1"/>
  <c r="BC144" i="298"/>
  <c r="BD144" i="298"/>
  <c r="BD473" i="298" s="1"/>
  <c r="BE144" i="298"/>
  <c r="S145" i="298"/>
  <c r="S152" i="298" s="1"/>
  <c r="AZ145" i="298"/>
  <c r="BA145" i="298"/>
  <c r="BC145" i="298"/>
  <c r="BC152" i="298" s="1"/>
  <c r="BD145" i="298"/>
  <c r="BE145" i="298"/>
  <c r="H146" i="298"/>
  <c r="I146" i="298"/>
  <c r="J146" i="298"/>
  <c r="K146" i="298"/>
  <c r="L146" i="298"/>
  <c r="M146" i="298"/>
  <c r="N146" i="298"/>
  <c r="O146" i="298"/>
  <c r="P146" i="298"/>
  <c r="Q146" i="298"/>
  <c r="R146" i="298"/>
  <c r="T146" i="298"/>
  <c r="U146" i="298"/>
  <c r="V146" i="298"/>
  <c r="W146" i="298"/>
  <c r="X146" i="298"/>
  <c r="Y146" i="298"/>
  <c r="AT146" i="298"/>
  <c r="AU146" i="298"/>
  <c r="AV146" i="298"/>
  <c r="AW146" i="298"/>
  <c r="AY146" i="298"/>
  <c r="BB146" i="298"/>
  <c r="B149" i="298"/>
  <c r="L149" i="298"/>
  <c r="M149" i="298"/>
  <c r="N149" i="298"/>
  <c r="O149" i="298"/>
  <c r="P149" i="298"/>
  <c r="Q149" i="298"/>
  <c r="R149" i="298"/>
  <c r="T149" i="298"/>
  <c r="U149" i="298"/>
  <c r="V149" i="298"/>
  <c r="X149" i="298"/>
  <c r="Y149" i="298"/>
  <c r="Z149" i="298"/>
  <c r="AA149" i="298"/>
  <c r="AB149" i="298"/>
  <c r="AC149" i="298"/>
  <c r="AD149" i="298"/>
  <c r="AE149" i="298"/>
  <c r="AF149" i="298"/>
  <c r="AU149" i="298"/>
  <c r="AV149" i="298"/>
  <c r="AY149" i="298" s="1"/>
  <c r="AW149" i="298"/>
  <c r="AZ149" i="298" s="1"/>
  <c r="B150" i="298"/>
  <c r="L150" i="298"/>
  <c r="M150" i="298"/>
  <c r="N150" i="298"/>
  <c r="O150" i="298"/>
  <c r="P150" i="298"/>
  <c r="Q150" i="298"/>
  <c r="R150" i="298"/>
  <c r="T150" i="298"/>
  <c r="U150" i="298"/>
  <c r="V150" i="298"/>
  <c r="X150" i="298"/>
  <c r="Y150" i="298"/>
  <c r="Z150" i="298"/>
  <c r="AA150" i="298"/>
  <c r="AB150" i="298"/>
  <c r="AC150" i="298"/>
  <c r="AD150" i="298"/>
  <c r="AE150" i="298"/>
  <c r="AF150" i="298"/>
  <c r="AU150" i="298"/>
  <c r="AV150" i="298"/>
  <c r="AY150" i="298" s="1"/>
  <c r="AW150" i="298"/>
  <c r="AZ150" i="298" s="1"/>
  <c r="B151" i="298"/>
  <c r="L151" i="298"/>
  <c r="M151" i="298"/>
  <c r="N151" i="298"/>
  <c r="O151" i="298"/>
  <c r="P151" i="298"/>
  <c r="Q151" i="298"/>
  <c r="R151" i="298"/>
  <c r="T151" i="298"/>
  <c r="U151" i="298"/>
  <c r="V151" i="298"/>
  <c r="X151" i="298"/>
  <c r="Y151" i="298"/>
  <c r="Z151" i="298"/>
  <c r="AA151" i="298"/>
  <c r="AB151" i="298"/>
  <c r="AC151" i="298"/>
  <c r="AD151" i="298"/>
  <c r="AE151" i="298"/>
  <c r="AF151" i="298"/>
  <c r="AU151" i="298"/>
  <c r="AV151" i="298"/>
  <c r="AY151" i="298" s="1"/>
  <c r="AW151" i="298"/>
  <c r="AZ151" i="298" s="1"/>
  <c r="B152" i="298"/>
  <c r="L152" i="298"/>
  <c r="M152" i="298"/>
  <c r="N152" i="298"/>
  <c r="O152" i="298"/>
  <c r="P152" i="298"/>
  <c r="Q152" i="298"/>
  <c r="R152" i="298"/>
  <c r="T152" i="298"/>
  <c r="U152" i="298"/>
  <c r="V152" i="298"/>
  <c r="X152" i="298"/>
  <c r="Y152" i="298"/>
  <c r="Z152" i="298"/>
  <c r="AA152" i="298"/>
  <c r="AB152" i="298"/>
  <c r="AC152" i="298"/>
  <c r="AD152" i="298"/>
  <c r="AE152" i="298"/>
  <c r="AF152" i="298"/>
  <c r="AU152" i="298"/>
  <c r="AV152" i="298"/>
  <c r="AY152" i="298" s="1"/>
  <c r="AW152" i="298"/>
  <c r="AZ152" i="298" s="1"/>
  <c r="B153" i="298"/>
  <c r="B156" i="298"/>
  <c r="H156" i="298"/>
  <c r="I156" i="298"/>
  <c r="J156" i="298"/>
  <c r="K156" i="298"/>
  <c r="L156" i="298"/>
  <c r="M156" i="298"/>
  <c r="N156" i="298"/>
  <c r="O156" i="298"/>
  <c r="P156" i="298"/>
  <c r="Q156" i="298"/>
  <c r="R156" i="298"/>
  <c r="T156" i="298"/>
  <c r="U156" i="298"/>
  <c r="V156" i="298"/>
  <c r="W156" i="298"/>
  <c r="X156" i="298"/>
  <c r="Y156" i="298"/>
  <c r="Z156" i="298"/>
  <c r="AA156" i="298"/>
  <c r="AT156" i="298"/>
  <c r="AU156" i="298"/>
  <c r="AV156" i="298"/>
  <c r="AY156" i="298" s="1"/>
  <c r="AW156" i="298"/>
  <c r="AZ156" i="298" s="1"/>
  <c r="BB156" i="298"/>
  <c r="B157" i="298"/>
  <c r="H157" i="298"/>
  <c r="I157" i="298"/>
  <c r="J157" i="298"/>
  <c r="K157" i="298"/>
  <c r="L157" i="298"/>
  <c r="M157" i="298"/>
  <c r="N157" i="298"/>
  <c r="O157" i="298"/>
  <c r="P157" i="298"/>
  <c r="Q157" i="298"/>
  <c r="R157" i="298"/>
  <c r="T157" i="298"/>
  <c r="U157" i="298"/>
  <c r="V157" i="298"/>
  <c r="W157" i="298"/>
  <c r="X157" i="298"/>
  <c r="Y157" i="298"/>
  <c r="Z157" i="298"/>
  <c r="AA157" i="298"/>
  <c r="AT157" i="298"/>
  <c r="AU157" i="298"/>
  <c r="AV157" i="298"/>
  <c r="AY157" i="298" s="1"/>
  <c r="AW157" i="298"/>
  <c r="AZ157" i="298" s="1"/>
  <c r="BB157" i="298"/>
  <c r="B158" i="298"/>
  <c r="H158" i="298"/>
  <c r="I158" i="298"/>
  <c r="J158" i="298"/>
  <c r="K158" i="298"/>
  <c r="L158" i="298"/>
  <c r="M158" i="298"/>
  <c r="N158" i="298"/>
  <c r="O158" i="298"/>
  <c r="P158" i="298"/>
  <c r="Q158" i="298"/>
  <c r="R158" i="298"/>
  <c r="T158" i="298"/>
  <c r="U158" i="298"/>
  <c r="V158" i="298"/>
  <c r="W158" i="298"/>
  <c r="X158" i="298"/>
  <c r="Y158" i="298"/>
  <c r="Z158" i="298"/>
  <c r="AA158" i="298"/>
  <c r="AT158" i="298"/>
  <c r="AU158" i="298"/>
  <c r="AV158" i="298"/>
  <c r="AY158" i="298" s="1"/>
  <c r="AW158" i="298"/>
  <c r="AZ158" i="298" s="1"/>
  <c r="BB158" i="298"/>
  <c r="B159" i="298"/>
  <c r="B160" i="298"/>
  <c r="BA165" i="298"/>
  <c r="BA170" i="298" s="1"/>
  <c r="BC165" i="298"/>
  <c r="BC170" i="298" s="1"/>
  <c r="BD165" i="298"/>
  <c r="BE165" i="298"/>
  <c r="B170" i="298"/>
  <c r="B175" i="298" s="1"/>
  <c r="P170" i="298"/>
  <c r="Q170" i="298"/>
  <c r="R170" i="298"/>
  <c r="S170" i="298"/>
  <c r="T170" i="298"/>
  <c r="U170" i="298"/>
  <c r="V170" i="298"/>
  <c r="W170" i="298"/>
  <c r="X170" i="298"/>
  <c r="Y170" i="298"/>
  <c r="Z170" i="298"/>
  <c r="AA170" i="298"/>
  <c r="AB170" i="298"/>
  <c r="AC170" i="298"/>
  <c r="AD170" i="298"/>
  <c r="AE170" i="298"/>
  <c r="AF170" i="298"/>
  <c r="AU170" i="298"/>
  <c r="AV170" i="298"/>
  <c r="AY170" i="298" s="1"/>
  <c r="AW170" i="298"/>
  <c r="AZ170" i="298" s="1"/>
  <c r="B171" i="298"/>
  <c r="B176" i="298" s="1"/>
  <c r="B172" i="298"/>
  <c r="B177" i="298" s="1"/>
  <c r="B174" i="298"/>
  <c r="BC175" i="298"/>
  <c r="L180" i="298"/>
  <c r="M180" i="298"/>
  <c r="N180" i="298"/>
  <c r="O180" i="298"/>
  <c r="P180" i="298"/>
  <c r="Q180" i="298"/>
  <c r="R180" i="298"/>
  <c r="S180" i="298"/>
  <c r="T180" i="298"/>
  <c r="U180" i="298"/>
  <c r="V180" i="298"/>
  <c r="W180" i="298"/>
  <c r="X180" i="298"/>
  <c r="Y180" i="298"/>
  <c r="Z180" i="298"/>
  <c r="AA180" i="298"/>
  <c r="AB180" i="298"/>
  <c r="AC180" i="298"/>
  <c r="AD180" i="298"/>
  <c r="AE180" i="298"/>
  <c r="AF180" i="298"/>
  <c r="AT180" i="298"/>
  <c r="AU180" i="298"/>
  <c r="AV180" i="298"/>
  <c r="AW180" i="298"/>
  <c r="BC503" i="298"/>
  <c r="BC508" i="298" s="1"/>
  <c r="BC504" i="298"/>
  <c r="BC509" i="298" s="1"/>
  <c r="BC513" i="298"/>
  <c r="BC514" i="298"/>
  <c r="AX182" i="298"/>
  <c r="B185" i="298"/>
  <c r="B190" i="298" s="1"/>
  <c r="BA185" i="298"/>
  <c r="B186" i="298"/>
  <c r="B191" i="298" s="1"/>
  <c r="BA186" i="298"/>
  <c r="B187" i="298"/>
  <c r="B192" i="298" s="1"/>
  <c r="AY190" i="298"/>
  <c r="AZ190" i="298"/>
  <c r="AZ196" i="298"/>
  <c r="BA196" i="298"/>
  <c r="BB196" i="298"/>
  <c r="BC196" i="298"/>
  <c r="BD196" i="298"/>
  <c r="BE196" i="298"/>
  <c r="AZ197" i="298"/>
  <c r="BA197" i="298"/>
  <c r="BB197" i="298"/>
  <c r="BC197" i="298"/>
  <c r="BD197" i="298"/>
  <c r="BE197" i="298"/>
  <c r="AZ199" i="298"/>
  <c r="BA199" i="298"/>
  <c r="BB199" i="298"/>
  <c r="BC199" i="298"/>
  <c r="BD199" i="298"/>
  <c r="BE199" i="298"/>
  <c r="AR207" i="298"/>
  <c r="AR209" i="298" s="1"/>
  <c r="AS207" i="298"/>
  <c r="AT207" i="298"/>
  <c r="AU207" i="298"/>
  <c r="AU209" i="298" s="1"/>
  <c r="AR212" i="298"/>
  <c r="AR282" i="298" s="1"/>
  <c r="AS212" i="298"/>
  <c r="AS282" i="298" s="1"/>
  <c r="AT212" i="298"/>
  <c r="AT282" i="298" s="1"/>
  <c r="AU212" i="298"/>
  <c r="AU282" i="298" s="1"/>
  <c r="AS217" i="298"/>
  <c r="AT217" i="298"/>
  <c r="AU217" i="298"/>
  <c r="AS218" i="298"/>
  <c r="AT218" i="298"/>
  <c r="AU218" i="298"/>
  <c r="AS219" i="298"/>
  <c r="AT219" i="298"/>
  <c r="AU219" i="298"/>
  <c r="AS221" i="298"/>
  <c r="AT221" i="298"/>
  <c r="AU221" i="298"/>
  <c r="AS223" i="298"/>
  <c r="AT223" i="298"/>
  <c r="AU223" i="298"/>
  <c r="AS224" i="298"/>
  <c r="AT224" i="298"/>
  <c r="AU224" i="298"/>
  <c r="AS226" i="298"/>
  <c r="AT226" i="298"/>
  <c r="AU226" i="298"/>
  <c r="AR233" i="298"/>
  <c r="AS233" i="298"/>
  <c r="AT233" i="298"/>
  <c r="AT235" i="298" s="1"/>
  <c r="AU233" i="298"/>
  <c r="AU235" i="298" s="1"/>
  <c r="AR238" i="298"/>
  <c r="AS238" i="298"/>
  <c r="AT238" i="298"/>
  <c r="AU238" i="298"/>
  <c r="AS243" i="298"/>
  <c r="AT243" i="298"/>
  <c r="AU243" i="298"/>
  <c r="AS244" i="298"/>
  <c r="AT244" i="298"/>
  <c r="AU244" i="298"/>
  <c r="AS245" i="298"/>
  <c r="AT245" i="298"/>
  <c r="AU245" i="298"/>
  <c r="AS247" i="298"/>
  <c r="AT247" i="298"/>
  <c r="AU247" i="298"/>
  <c r="AS249" i="298"/>
  <c r="AT249" i="298"/>
  <c r="AU249" i="298"/>
  <c r="AS250" i="298"/>
  <c r="AT250" i="298"/>
  <c r="AU250" i="298"/>
  <c r="AS252" i="298"/>
  <c r="AT252" i="298"/>
  <c r="AU252" i="298"/>
  <c r="AR256" i="298"/>
  <c r="AS256" i="298"/>
  <c r="AT256" i="298"/>
  <c r="AU256" i="298"/>
  <c r="AR257" i="298"/>
  <c r="AS257" i="298"/>
  <c r="AT257" i="298"/>
  <c r="AU257" i="298"/>
  <c r="AR258" i="298"/>
  <c r="AS258" i="298"/>
  <c r="AT258" i="298"/>
  <c r="AU258" i="298"/>
  <c r="AR260" i="298"/>
  <c r="AS260" i="298"/>
  <c r="AT260" i="298"/>
  <c r="AU260" i="298"/>
  <c r="AR262" i="298"/>
  <c r="AS262" i="298"/>
  <c r="AT262" i="298"/>
  <c r="AU262" i="298"/>
  <c r="AR263" i="298"/>
  <c r="AS263" i="298"/>
  <c r="AT263" i="298"/>
  <c r="AU263" i="298"/>
  <c r="AR265" i="298"/>
  <c r="AS265" i="298"/>
  <c r="AT265" i="298"/>
  <c r="AU265" i="298"/>
  <c r="AR272" i="298"/>
  <c r="AS272" i="298"/>
  <c r="AT272" i="298"/>
  <c r="AU272" i="298"/>
  <c r="AS275" i="298"/>
  <c r="AT275" i="298"/>
  <c r="AU275" i="298"/>
  <c r="AS276" i="298"/>
  <c r="AT276" i="298"/>
  <c r="AU276" i="298"/>
  <c r="AS277" i="298"/>
  <c r="AT277" i="298"/>
  <c r="AU277" i="298"/>
  <c r="K289" i="298"/>
  <c r="O289" i="298"/>
  <c r="S289" i="298"/>
  <c r="W289" i="298"/>
  <c r="AA289" i="298"/>
  <c r="AB289" i="298"/>
  <c r="K290" i="298"/>
  <c r="O290" i="298"/>
  <c r="S290" i="298"/>
  <c r="W290" i="298"/>
  <c r="AA290" i="298"/>
  <c r="AB290" i="298"/>
  <c r="AB302" i="298" s="1"/>
  <c r="K291" i="298"/>
  <c r="O291" i="298"/>
  <c r="S291" i="298"/>
  <c r="W291" i="298"/>
  <c r="AA291" i="298"/>
  <c r="AB291" i="298"/>
  <c r="AE291" i="298" s="1"/>
  <c r="K292" i="298"/>
  <c r="O292" i="298"/>
  <c r="S292" i="298"/>
  <c r="W292" i="298"/>
  <c r="AA292" i="298"/>
  <c r="AB292" i="298"/>
  <c r="K293" i="298"/>
  <c r="O293" i="298"/>
  <c r="S293" i="298"/>
  <c r="W293" i="298"/>
  <c r="AA293" i="298"/>
  <c r="AB293" i="298"/>
  <c r="AB305" i="298" s="1"/>
  <c r="K294" i="298"/>
  <c r="O294" i="298"/>
  <c r="S294" i="298"/>
  <c r="W294" i="298"/>
  <c r="AA294" i="298"/>
  <c r="AB294" i="298"/>
  <c r="K295" i="298"/>
  <c r="O295" i="298"/>
  <c r="S295" i="298"/>
  <c r="W295" i="298"/>
  <c r="AA295" i="298"/>
  <c r="AB295" i="298"/>
  <c r="AB307" i="298" s="1"/>
  <c r="AR295" i="298"/>
  <c r="AR307" i="298" s="1"/>
  <c r="AS295" i="298"/>
  <c r="AS298" i="298" s="1"/>
  <c r="AS314" i="298" s="1"/>
  <c r="AT295" i="298"/>
  <c r="K296" i="298"/>
  <c r="O296" i="298"/>
  <c r="S296" i="298"/>
  <c r="W296" i="298"/>
  <c r="AA296" i="298"/>
  <c r="AB296" i="298"/>
  <c r="AB308" i="298" s="1"/>
  <c r="K297" i="298"/>
  <c r="O297" i="298"/>
  <c r="S297" i="298"/>
  <c r="W297" i="298"/>
  <c r="AA297" i="298"/>
  <c r="AB297" i="298"/>
  <c r="H298" i="298"/>
  <c r="H315" i="298" s="1"/>
  <c r="I298" i="298"/>
  <c r="J298" i="298"/>
  <c r="J314" i="298" s="1"/>
  <c r="L298" i="298"/>
  <c r="L319" i="298" s="1"/>
  <c r="M298" i="298"/>
  <c r="M319" i="298" s="1"/>
  <c r="N298" i="298"/>
  <c r="N313" i="298" s="1"/>
  <c r="P298" i="298"/>
  <c r="P319" i="298" s="1"/>
  <c r="Q298" i="298"/>
  <c r="Q322" i="298" s="1"/>
  <c r="R298" i="298"/>
  <c r="R319" i="298" s="1"/>
  <c r="T298" i="298"/>
  <c r="T317" i="298" s="1"/>
  <c r="U298" i="298"/>
  <c r="U317" i="298" s="1"/>
  <c r="V298" i="298"/>
  <c r="V313" i="298" s="1"/>
  <c r="X298" i="298"/>
  <c r="X318" i="298" s="1"/>
  <c r="Y298" i="298"/>
  <c r="Z298" i="298"/>
  <c r="Z314" i="298" s="1"/>
  <c r="AC298" i="298"/>
  <c r="AD298" i="298"/>
  <c r="AD319" i="298" s="1"/>
  <c r="AF298" i="298"/>
  <c r="AF322" i="298" s="1"/>
  <c r="AN298" i="298"/>
  <c r="AN318" i="298" s="1"/>
  <c r="AO298" i="298"/>
  <c r="AO316" i="298" s="1"/>
  <c r="AP298" i="298"/>
  <c r="AP313" i="298" s="1"/>
  <c r="AQ298" i="298"/>
  <c r="AQ314" i="298" s="1"/>
  <c r="AU298" i="298"/>
  <c r="AU320" i="298" s="1"/>
  <c r="AV298" i="298"/>
  <c r="AV322" i="298" s="1"/>
  <c r="AW298" i="298"/>
  <c r="AW322" i="298" s="1"/>
  <c r="AY298" i="298"/>
  <c r="AY313" i="298" s="1"/>
  <c r="AZ298" i="298"/>
  <c r="AZ320" i="298" s="1"/>
  <c r="BA298" i="298"/>
  <c r="BA313" i="298" s="1"/>
  <c r="BB298" i="298"/>
  <c r="BB317" i="298" s="1"/>
  <c r="BC298" i="298"/>
  <c r="BC319" i="298" s="1"/>
  <c r="BD298" i="298"/>
  <c r="BD314" i="298" s="1"/>
  <c r="BE298" i="298"/>
  <c r="BE317" i="298" s="1"/>
  <c r="B301" i="298"/>
  <c r="L301" i="298"/>
  <c r="M301" i="298"/>
  <c r="N301" i="298"/>
  <c r="P301" i="298"/>
  <c r="Q301" i="298"/>
  <c r="R301" i="298"/>
  <c r="T301" i="298"/>
  <c r="U301" i="298"/>
  <c r="V301" i="298"/>
  <c r="X301" i="298"/>
  <c r="Y301" i="298"/>
  <c r="Z301" i="298"/>
  <c r="AC301" i="298"/>
  <c r="AD301" i="298"/>
  <c r="AO301" i="298"/>
  <c r="AP301" i="298"/>
  <c r="AQ301" i="298"/>
  <c r="AR301" i="298"/>
  <c r="AS301" i="298"/>
  <c r="AT301" i="298"/>
  <c r="AU301" i="298"/>
  <c r="AV301" i="298"/>
  <c r="AY301" i="298" s="1"/>
  <c r="AW301" i="298"/>
  <c r="AZ301" i="298" s="1"/>
  <c r="BA301" i="298"/>
  <c r="BB301" i="298"/>
  <c r="BC301" i="298"/>
  <c r="BD301" i="298"/>
  <c r="BE301" i="298"/>
  <c r="B302" i="298"/>
  <c r="L302" i="298"/>
  <c r="M302" i="298"/>
  <c r="N302" i="298"/>
  <c r="P302" i="298"/>
  <c r="Q302" i="298"/>
  <c r="R302" i="298"/>
  <c r="T302" i="298"/>
  <c r="U302" i="298"/>
  <c r="V302" i="298"/>
  <c r="X302" i="298"/>
  <c r="Y302" i="298"/>
  <c r="Z302" i="298"/>
  <c r="AC302" i="298"/>
  <c r="AD302" i="298"/>
  <c r="AO302" i="298"/>
  <c r="AP302" i="298"/>
  <c r="AQ302" i="298"/>
  <c r="AR302" i="298"/>
  <c r="AS302" i="298"/>
  <c r="AT302" i="298"/>
  <c r="AU302" i="298"/>
  <c r="AV302" i="298"/>
  <c r="AY302" i="298" s="1"/>
  <c r="AW302" i="298"/>
  <c r="AZ302" i="298" s="1"/>
  <c r="BA302" i="298"/>
  <c r="BB302" i="298"/>
  <c r="BC302" i="298"/>
  <c r="BD302" i="298"/>
  <c r="BE302" i="298"/>
  <c r="B303" i="298"/>
  <c r="L303" i="298"/>
  <c r="M303" i="298"/>
  <c r="N303" i="298"/>
  <c r="P303" i="298"/>
  <c r="Q303" i="298"/>
  <c r="R303" i="298"/>
  <c r="T303" i="298"/>
  <c r="U303" i="298"/>
  <c r="V303" i="298"/>
  <c r="X303" i="298"/>
  <c r="Y303" i="298"/>
  <c r="Z303" i="298"/>
  <c r="AC303" i="298"/>
  <c r="AD303" i="298"/>
  <c r="AO303" i="298"/>
  <c r="AP303" i="298"/>
  <c r="AQ303" i="298"/>
  <c r="AR303" i="298"/>
  <c r="AS303" i="298"/>
  <c r="AT303" i="298"/>
  <c r="AU303" i="298"/>
  <c r="AV303" i="298"/>
  <c r="AY303" i="298" s="1"/>
  <c r="AW303" i="298"/>
  <c r="AZ303" i="298" s="1"/>
  <c r="BA303" i="298"/>
  <c r="BB303" i="298"/>
  <c r="BC303" i="298"/>
  <c r="BD303" i="298"/>
  <c r="BE303" i="298"/>
  <c r="B304" i="298"/>
  <c r="L304" i="298"/>
  <c r="M304" i="298"/>
  <c r="N304" i="298"/>
  <c r="P304" i="298"/>
  <c r="Q304" i="298"/>
  <c r="R304" i="298"/>
  <c r="T304" i="298"/>
  <c r="U304" i="298"/>
  <c r="V304" i="298"/>
  <c r="X304" i="298"/>
  <c r="Y304" i="298"/>
  <c r="Z304" i="298"/>
  <c r="AC304" i="298"/>
  <c r="AD304" i="298"/>
  <c r="AO304" i="298"/>
  <c r="AP304" i="298"/>
  <c r="AQ304" i="298"/>
  <c r="AR304" i="298"/>
  <c r="AS304" i="298"/>
  <c r="AT304" i="298"/>
  <c r="AU304" i="298"/>
  <c r="AV304" i="298"/>
  <c r="AY304" i="298" s="1"/>
  <c r="AW304" i="298"/>
  <c r="AZ304" i="298" s="1"/>
  <c r="BA304" i="298"/>
  <c r="BB304" i="298"/>
  <c r="BC304" i="298"/>
  <c r="BD304" i="298"/>
  <c r="BE304" i="298"/>
  <c r="B305" i="298"/>
  <c r="L305" i="298"/>
  <c r="M305" i="298"/>
  <c r="N305" i="298"/>
  <c r="P305" i="298"/>
  <c r="Q305" i="298"/>
  <c r="R305" i="298"/>
  <c r="T305" i="298"/>
  <c r="U305" i="298"/>
  <c r="V305" i="298"/>
  <c r="X305" i="298"/>
  <c r="Y305" i="298"/>
  <c r="Z305" i="298"/>
  <c r="AC305" i="298"/>
  <c r="AD305" i="298"/>
  <c r="AO305" i="298"/>
  <c r="AP305" i="298"/>
  <c r="AQ305" i="298"/>
  <c r="AR305" i="298"/>
  <c r="AS305" i="298"/>
  <c r="AT305" i="298"/>
  <c r="AU305" i="298"/>
  <c r="AV305" i="298"/>
  <c r="AY305" i="298" s="1"/>
  <c r="AW305" i="298"/>
  <c r="AZ305" i="298" s="1"/>
  <c r="BA305" i="298"/>
  <c r="BB305" i="298"/>
  <c r="BC305" i="298"/>
  <c r="BD305" i="298"/>
  <c r="BE305" i="298"/>
  <c r="B306" i="298"/>
  <c r="L306" i="298"/>
  <c r="M306" i="298"/>
  <c r="N306" i="298"/>
  <c r="P306" i="298"/>
  <c r="Q306" i="298"/>
  <c r="R306" i="298"/>
  <c r="T306" i="298"/>
  <c r="U306" i="298"/>
  <c r="V306" i="298"/>
  <c r="X306" i="298"/>
  <c r="Y306" i="298"/>
  <c r="Z306" i="298"/>
  <c r="AC306" i="298"/>
  <c r="AD306" i="298"/>
  <c r="AO306" i="298"/>
  <c r="AP306" i="298"/>
  <c r="AQ306" i="298"/>
  <c r="AR306" i="298"/>
  <c r="AS306" i="298"/>
  <c r="AT306" i="298"/>
  <c r="AU306" i="298"/>
  <c r="AV306" i="298"/>
  <c r="AY306" i="298" s="1"/>
  <c r="AW306" i="298"/>
  <c r="AZ306" i="298" s="1"/>
  <c r="BA306" i="298"/>
  <c r="BB306" i="298"/>
  <c r="BC306" i="298"/>
  <c r="BD306" i="298"/>
  <c r="BE306" i="298"/>
  <c r="B307" i="298"/>
  <c r="L307" i="298"/>
  <c r="M307" i="298"/>
  <c r="N307" i="298"/>
  <c r="P307" i="298"/>
  <c r="Q307" i="298"/>
  <c r="R307" i="298"/>
  <c r="T307" i="298"/>
  <c r="U307" i="298"/>
  <c r="V307" i="298"/>
  <c r="X307" i="298"/>
  <c r="Y307" i="298"/>
  <c r="Z307" i="298"/>
  <c r="AC307" i="298"/>
  <c r="AD307" i="298"/>
  <c r="AO307" i="298"/>
  <c r="AP307" i="298"/>
  <c r="AQ307" i="298"/>
  <c r="AV307" i="298"/>
  <c r="AY307" i="298" s="1"/>
  <c r="AW307" i="298"/>
  <c r="AZ307" i="298" s="1"/>
  <c r="BA307" i="298"/>
  <c r="BB307" i="298"/>
  <c r="BC307" i="298"/>
  <c r="BD307" i="298"/>
  <c r="BE307" i="298"/>
  <c r="B308" i="298"/>
  <c r="L308" i="298"/>
  <c r="M308" i="298"/>
  <c r="N308" i="298"/>
  <c r="P308" i="298"/>
  <c r="Q308" i="298"/>
  <c r="R308" i="298"/>
  <c r="T308" i="298"/>
  <c r="U308" i="298"/>
  <c r="V308" i="298"/>
  <c r="X308" i="298"/>
  <c r="Y308" i="298"/>
  <c r="Z308" i="298"/>
  <c r="AC308" i="298"/>
  <c r="AD308" i="298"/>
  <c r="AO308" i="298"/>
  <c r="AP308" i="298"/>
  <c r="AQ308" i="298"/>
  <c r="AR308" i="298"/>
  <c r="AS308" i="298"/>
  <c r="AT308" i="298"/>
  <c r="AU308" i="298"/>
  <c r="AV308" i="298"/>
  <c r="AY308" i="298" s="1"/>
  <c r="AW308" i="298"/>
  <c r="AZ308" i="298" s="1"/>
  <c r="BA308" i="298"/>
  <c r="BB308" i="298"/>
  <c r="BC308" i="298"/>
  <c r="BD308" i="298"/>
  <c r="BE308" i="298"/>
  <c r="B309" i="298"/>
  <c r="L309" i="298"/>
  <c r="M309" i="298"/>
  <c r="N309" i="298"/>
  <c r="P309" i="298"/>
  <c r="Q309" i="298"/>
  <c r="R309" i="298"/>
  <c r="T309" i="298"/>
  <c r="U309" i="298"/>
  <c r="V309" i="298"/>
  <c r="X309" i="298"/>
  <c r="Y309" i="298"/>
  <c r="Z309" i="298"/>
  <c r="AC309" i="298"/>
  <c r="AD309" i="298"/>
  <c r="AO309" i="298"/>
  <c r="AP309" i="298"/>
  <c r="AQ309" i="298"/>
  <c r="AR309" i="298"/>
  <c r="AS309" i="298"/>
  <c r="AT309" i="298"/>
  <c r="AU309" i="298"/>
  <c r="AV309" i="298"/>
  <c r="AY309" i="298" s="1"/>
  <c r="AW309" i="298"/>
  <c r="AZ309" i="298" s="1"/>
  <c r="BA309" i="298"/>
  <c r="BB309" i="298"/>
  <c r="BC309" i="298"/>
  <c r="BD309" i="298"/>
  <c r="BE309" i="298"/>
  <c r="B310" i="298"/>
  <c r="AO327" i="298"/>
  <c r="AP327" i="298"/>
  <c r="AQ327" i="298"/>
  <c r="AR327" i="298"/>
  <c r="AS327" i="298"/>
  <c r="AT327" i="298"/>
  <c r="AU327" i="298"/>
  <c r="AV327" i="298"/>
  <c r="AW327" i="298"/>
  <c r="B327" i="298"/>
  <c r="AN327" i="298"/>
  <c r="AR333" i="298"/>
  <c r="AN337" i="298"/>
  <c r="AO337" i="298"/>
  <c r="AP337" i="298"/>
  <c r="AQ337" i="298"/>
  <c r="AR337" i="298"/>
  <c r="AS337" i="298"/>
  <c r="AT337" i="298"/>
  <c r="AU337" i="298"/>
  <c r="AV337" i="298"/>
  <c r="AW337" i="298"/>
  <c r="H351" i="298"/>
  <c r="I351" i="298"/>
  <c r="J351" i="298"/>
  <c r="K351" i="298"/>
  <c r="L351" i="298"/>
  <c r="M351" i="298"/>
  <c r="N351" i="298"/>
  <c r="O351" i="298"/>
  <c r="P351" i="298"/>
  <c r="Q351" i="298"/>
  <c r="R351" i="298"/>
  <c r="T351" i="298"/>
  <c r="U351" i="298"/>
  <c r="V351" i="298"/>
  <c r="W351" i="298"/>
  <c r="X351" i="298"/>
  <c r="Y351" i="298"/>
  <c r="Z351" i="298"/>
  <c r="AA351" i="298"/>
  <c r="AB351" i="298"/>
  <c r="AC351" i="298"/>
  <c r="AD351" i="298"/>
  <c r="AE351" i="298"/>
  <c r="AF351" i="298"/>
  <c r="AT351" i="298"/>
  <c r="AU351" i="298"/>
  <c r="AV351" i="298"/>
  <c r="AW351" i="298"/>
  <c r="BB351" i="298"/>
  <c r="P412" i="298"/>
  <c r="Q412" i="298"/>
  <c r="Q413" i="298" s="1"/>
  <c r="R412" i="298"/>
  <c r="T412" i="298"/>
  <c r="U412" i="298"/>
  <c r="V412" i="298"/>
  <c r="Z412" i="298" s="1"/>
  <c r="AD412" i="298" s="1"/>
  <c r="W413" i="298"/>
  <c r="X413" i="298"/>
  <c r="AZ412" i="298"/>
  <c r="BA412" i="298"/>
  <c r="N414" i="298"/>
  <c r="O414" i="298"/>
  <c r="P414" i="298"/>
  <c r="Q414" i="298"/>
  <c r="R414" i="298"/>
  <c r="S414" i="298"/>
  <c r="T414" i="298"/>
  <c r="U414" i="298"/>
  <c r="V414" i="298"/>
  <c r="W414" i="298"/>
  <c r="X414" i="298"/>
  <c r="BA360" i="298"/>
  <c r="BB360" i="298"/>
  <c r="BC360" i="298"/>
  <c r="BD360" i="298"/>
  <c r="BE360" i="298"/>
  <c r="BA361" i="298"/>
  <c r="BB361" i="298"/>
  <c r="BC361" i="298"/>
  <c r="BD361" i="298"/>
  <c r="BE361" i="298"/>
  <c r="H363" i="298"/>
  <c r="H369" i="298" s="1"/>
  <c r="I363" i="298"/>
  <c r="J363" i="298"/>
  <c r="K363" i="298"/>
  <c r="L363" i="298"/>
  <c r="M363" i="298"/>
  <c r="N363" i="298"/>
  <c r="O363" i="298"/>
  <c r="P363" i="298"/>
  <c r="Q363" i="298"/>
  <c r="R363" i="298"/>
  <c r="T363" i="298"/>
  <c r="U363" i="298"/>
  <c r="V363" i="298"/>
  <c r="W363" i="298"/>
  <c r="X363" i="298"/>
  <c r="Y363" i="298"/>
  <c r="Z363" i="298"/>
  <c r="AA363" i="298"/>
  <c r="AB363" i="298"/>
  <c r="AC363" i="298"/>
  <c r="AD363" i="298"/>
  <c r="AE363" i="298"/>
  <c r="AF363" i="298"/>
  <c r="AT363" i="298"/>
  <c r="AU363" i="298"/>
  <c r="AV363" i="298"/>
  <c r="AW363" i="298"/>
  <c r="BB363" i="298"/>
  <c r="I418" i="298"/>
  <c r="I428" i="298"/>
  <c r="J418" i="298"/>
  <c r="J420" i="298" s="1"/>
  <c r="J421" i="298" s="1"/>
  <c r="J428" i="298"/>
  <c r="K418" i="298"/>
  <c r="K420" i="298" s="1"/>
  <c r="K421" i="298" s="1"/>
  <c r="K428" i="298"/>
  <c r="L418" i="298"/>
  <c r="L420" i="298" s="1"/>
  <c r="L428" i="298"/>
  <c r="M418" i="298"/>
  <c r="M420" i="298" s="1"/>
  <c r="M421" i="298" s="1"/>
  <c r="M428" i="298"/>
  <c r="N418" i="298"/>
  <c r="N420" i="298" s="1"/>
  <c r="N421" i="298" s="1"/>
  <c r="N428" i="298"/>
  <c r="O418" i="298"/>
  <c r="O420" i="298" s="1"/>
  <c r="O421" i="298" s="1"/>
  <c r="O428" i="298"/>
  <c r="AZ377" i="298"/>
  <c r="BA377" i="298"/>
  <c r="BB377" i="298"/>
  <c r="BC377" i="298"/>
  <c r="BD377" i="298"/>
  <c r="BE377" i="298"/>
  <c r="AZ378" i="298"/>
  <c r="BA378" i="298"/>
  <c r="BB378" i="298"/>
  <c r="BC378" i="298"/>
  <c r="BD378" i="298"/>
  <c r="BE378" i="298"/>
  <c r="AZ380" i="298"/>
  <c r="BA380" i="298"/>
  <c r="BB380" i="298"/>
  <c r="BC380" i="298"/>
  <c r="BD380" i="298"/>
  <c r="BE380" i="298"/>
  <c r="AZ381" i="298"/>
  <c r="BA381" i="298"/>
  <c r="BB381" i="298"/>
  <c r="BC381" i="298"/>
  <c r="BD381" i="298"/>
  <c r="BE381" i="298"/>
  <c r="AZ383" i="298"/>
  <c r="BA383" i="298"/>
  <c r="BB383" i="298"/>
  <c r="BC383" i="298"/>
  <c r="BD383" i="298"/>
  <c r="BE383" i="298"/>
  <c r="S384" i="298"/>
  <c r="BB384" i="298" s="1"/>
  <c r="AZ384" i="298"/>
  <c r="BA384" i="298"/>
  <c r="BC384" i="298"/>
  <c r="BD384" i="298"/>
  <c r="BE384" i="298"/>
  <c r="R386" i="298"/>
  <c r="AZ387" i="298"/>
  <c r="BA387" i="298"/>
  <c r="BB387" i="298"/>
  <c r="BC387" i="298"/>
  <c r="BD387" i="298"/>
  <c r="BE387" i="298"/>
  <c r="AZ390" i="298"/>
  <c r="BA390" i="298"/>
  <c r="BB390" i="298"/>
  <c r="BC390" i="298"/>
  <c r="BD390" i="298"/>
  <c r="BE390" i="298"/>
  <c r="AZ391" i="298"/>
  <c r="BA391" i="298"/>
  <c r="BB391" i="298"/>
  <c r="BC391" i="298"/>
  <c r="BD391" i="298"/>
  <c r="BE391" i="298"/>
  <c r="AY393" i="298"/>
  <c r="AZ393" i="298"/>
  <c r="BA393" i="298"/>
  <c r="BB393" i="298"/>
  <c r="BC393" i="298"/>
  <c r="BD393" i="298"/>
  <c r="BE393" i="298"/>
  <c r="H394" i="298"/>
  <c r="I394" i="298"/>
  <c r="J394" i="298"/>
  <c r="K394" i="298"/>
  <c r="L394" i="298"/>
  <c r="M394" i="298"/>
  <c r="N394" i="298"/>
  <c r="O394" i="298"/>
  <c r="P394" i="298"/>
  <c r="Q394" i="298"/>
  <c r="R394" i="298"/>
  <c r="S394" i="298"/>
  <c r="T394" i="298"/>
  <c r="U394" i="298"/>
  <c r="V394" i="298"/>
  <c r="W394" i="298"/>
  <c r="X394" i="298"/>
  <c r="Y394" i="298"/>
  <c r="Z394" i="298"/>
  <c r="AA394" i="298"/>
  <c r="AB394" i="298"/>
  <c r="AC394" i="298"/>
  <c r="AD394" i="298"/>
  <c r="AE394" i="298"/>
  <c r="AF394" i="298"/>
  <c r="BB397" i="298"/>
  <c r="BC397" i="298"/>
  <c r="BD397" i="298"/>
  <c r="BE397" i="298"/>
  <c r="BB398" i="298"/>
  <c r="BC398" i="298"/>
  <c r="BD398" i="298"/>
  <c r="BE398" i="298"/>
  <c r="BB400" i="298"/>
  <c r="BC400" i="298"/>
  <c r="BD400" i="298"/>
  <c r="BE400" i="298"/>
  <c r="AZ403" i="298"/>
  <c r="BA403" i="298"/>
  <c r="BB403" i="298"/>
  <c r="BC403" i="298"/>
  <c r="BD403" i="298"/>
  <c r="BE403" i="298"/>
  <c r="AZ404" i="298"/>
  <c r="BA404" i="298"/>
  <c r="BB404" i="298"/>
  <c r="BC404" i="298"/>
  <c r="BD404" i="298"/>
  <c r="BE404" i="298"/>
  <c r="BA406" i="298"/>
  <c r="BB406" i="298"/>
  <c r="BC406" i="298"/>
  <c r="BD406" i="298"/>
  <c r="BE406" i="298"/>
  <c r="BA407" i="298"/>
  <c r="BB407" i="298"/>
  <c r="BC407" i="298"/>
  <c r="BD407" i="298"/>
  <c r="BE407" i="298"/>
  <c r="N413" i="298"/>
  <c r="O413" i="298"/>
  <c r="AZ416" i="298"/>
  <c r="BA416" i="298"/>
  <c r="AZ417" i="298"/>
  <c r="BA417" i="298"/>
  <c r="I423" i="298"/>
  <c r="J423" i="298"/>
  <c r="J424" i="298" s="1"/>
  <c r="K423" i="298"/>
  <c r="K424" i="298" s="1"/>
  <c r="L423" i="298"/>
  <c r="L424" i="298" s="1"/>
  <c r="M423" i="298"/>
  <c r="M424" i="298" s="1"/>
  <c r="N423" i="298"/>
  <c r="N424" i="298" s="1"/>
  <c r="O423" i="298"/>
  <c r="O424" i="298" s="1"/>
  <c r="AZ426" i="298"/>
  <c r="BA426" i="298"/>
  <c r="AZ427" i="298"/>
  <c r="BA427" i="298"/>
  <c r="I433" i="298"/>
  <c r="I434" i="298" s="1"/>
  <c r="J433" i="298"/>
  <c r="J434" i="298" s="1"/>
  <c r="K433" i="298"/>
  <c r="K434" i="298" s="1"/>
  <c r="L433" i="298"/>
  <c r="L434" i="298" s="1"/>
  <c r="M433" i="298"/>
  <c r="M434" i="298" s="1"/>
  <c r="N433" i="298"/>
  <c r="O433" i="298"/>
  <c r="O434" i="298" s="1"/>
  <c r="H438" i="298"/>
  <c r="I438" i="298"/>
  <c r="J438" i="298"/>
  <c r="K438" i="298"/>
  <c r="L438" i="298"/>
  <c r="M438" i="298"/>
  <c r="N438" i="298"/>
  <c r="O438" i="298"/>
  <c r="P438" i="298"/>
  <c r="Q438" i="298"/>
  <c r="R438" i="298"/>
  <c r="T438" i="298"/>
  <c r="U438" i="298"/>
  <c r="V438" i="298"/>
  <c r="W438" i="298"/>
  <c r="X438" i="298"/>
  <c r="Y438" i="298"/>
  <c r="Z438" i="298"/>
  <c r="AA438" i="298"/>
  <c r="AB438" i="298"/>
  <c r="AC438" i="298"/>
  <c r="AD438" i="298"/>
  <c r="AE438" i="298"/>
  <c r="AF438" i="298"/>
  <c r="AT438" i="298"/>
  <c r="AU438" i="298"/>
  <c r="AV438" i="298"/>
  <c r="AW438" i="298"/>
  <c r="BB438" i="298"/>
  <c r="BA442" i="298"/>
  <c r="BB442" i="298"/>
  <c r="BC442" i="298"/>
  <c r="BD442" i="298"/>
  <c r="BE442" i="298"/>
  <c r="BA443" i="298"/>
  <c r="BB443" i="298"/>
  <c r="BC443" i="298"/>
  <c r="BD443" i="298"/>
  <c r="BE443" i="298"/>
  <c r="H445" i="298"/>
  <c r="I445" i="298"/>
  <c r="J445" i="298"/>
  <c r="K445" i="298"/>
  <c r="L445" i="298"/>
  <c r="M445" i="298"/>
  <c r="N445" i="298"/>
  <c r="O445" i="298"/>
  <c r="P445" i="298"/>
  <c r="Q445" i="298"/>
  <c r="R445" i="298"/>
  <c r="T445" i="298"/>
  <c r="U445" i="298"/>
  <c r="V445" i="298"/>
  <c r="W445" i="298"/>
  <c r="X445" i="298"/>
  <c r="Y445" i="298"/>
  <c r="Z445" i="298"/>
  <c r="AA445" i="298"/>
  <c r="AB445" i="298"/>
  <c r="AC445" i="298"/>
  <c r="AD445" i="298"/>
  <c r="AE445" i="298"/>
  <c r="AF445" i="298"/>
  <c r="AT445" i="298"/>
  <c r="AU445" i="298"/>
  <c r="AV445" i="298"/>
  <c r="AW445" i="298"/>
  <c r="BB445" i="298"/>
  <c r="AZ452" i="298"/>
  <c r="BA452" i="298"/>
  <c r="BB452" i="298"/>
  <c r="BC452" i="298"/>
  <c r="BD452" i="298"/>
  <c r="BE452" i="298"/>
  <c r="AZ453" i="298"/>
  <c r="BA453" i="298"/>
  <c r="BB453" i="298"/>
  <c r="BC453" i="298"/>
  <c r="BD453" i="298"/>
  <c r="BE453" i="298"/>
  <c r="AZ455" i="298"/>
  <c r="BA455" i="298"/>
  <c r="BB455" i="298"/>
  <c r="BC455" i="298"/>
  <c r="BD455" i="298"/>
  <c r="BE455" i="298"/>
  <c r="AZ456" i="298"/>
  <c r="BA456" i="298"/>
  <c r="BB456" i="298"/>
  <c r="BC456" i="298"/>
  <c r="BD456" i="298"/>
  <c r="BE456" i="298"/>
  <c r="AZ458" i="298"/>
  <c r="BA458" i="298"/>
  <c r="BB458" i="298"/>
  <c r="BC458" i="298"/>
  <c r="BD458" i="298"/>
  <c r="BE458" i="298"/>
  <c r="AZ459" i="298"/>
  <c r="BA459" i="298"/>
  <c r="BB459" i="298"/>
  <c r="BC459" i="298"/>
  <c r="BD459" i="298"/>
  <c r="BE459" i="298"/>
  <c r="AZ461" i="298"/>
  <c r="BA461" i="298"/>
  <c r="BB461" i="298"/>
  <c r="BC461" i="298"/>
  <c r="BD461" i="298"/>
  <c r="BE461" i="298"/>
  <c r="AZ462" i="298"/>
  <c r="BA462" i="298"/>
  <c r="BB462" i="298"/>
  <c r="BC462" i="298"/>
  <c r="BD462" i="298"/>
  <c r="BE462" i="298"/>
  <c r="H466" i="298"/>
  <c r="I466" i="298"/>
  <c r="J466" i="298"/>
  <c r="K466" i="298"/>
  <c r="L466" i="298"/>
  <c r="M466" i="298"/>
  <c r="N466" i="298"/>
  <c r="O466" i="298"/>
  <c r="P466" i="298"/>
  <c r="Q466" i="298"/>
  <c r="R466" i="298"/>
  <c r="T466" i="298"/>
  <c r="U466" i="298"/>
  <c r="V466" i="298"/>
  <c r="W466" i="298"/>
  <c r="X466" i="298"/>
  <c r="Y466" i="298"/>
  <c r="Z466" i="298"/>
  <c r="AA466" i="298"/>
  <c r="AB466" i="298"/>
  <c r="AC466" i="298"/>
  <c r="AD466" i="298"/>
  <c r="AE466" i="298"/>
  <c r="AF466" i="298"/>
  <c r="AT466" i="298"/>
  <c r="AU466" i="298"/>
  <c r="AV466" i="298"/>
  <c r="AW466" i="298"/>
  <c r="BB466" i="298"/>
  <c r="H473" i="298"/>
  <c r="I473" i="298"/>
  <c r="J473" i="298"/>
  <c r="K473" i="298"/>
  <c r="L473" i="298"/>
  <c r="M473" i="298"/>
  <c r="N473" i="298"/>
  <c r="O473" i="298"/>
  <c r="P473" i="298"/>
  <c r="Q473" i="298"/>
  <c r="R473" i="298"/>
  <c r="T473" i="298"/>
  <c r="U473" i="298"/>
  <c r="V473" i="298"/>
  <c r="W473" i="298"/>
  <c r="X473" i="298"/>
  <c r="Y473" i="298"/>
  <c r="Z473" i="298"/>
  <c r="AA473" i="298"/>
  <c r="AB473" i="298"/>
  <c r="AC473" i="298"/>
  <c r="AD473" i="298"/>
  <c r="AE473" i="298"/>
  <c r="AF473" i="298"/>
  <c r="AT473" i="298"/>
  <c r="AU473" i="298"/>
  <c r="AV473" i="298"/>
  <c r="AW473" i="298"/>
  <c r="BB473" i="298"/>
  <c r="BD480" i="298"/>
  <c r="BE480" i="298"/>
  <c r="AZ481" i="298"/>
  <c r="BA481" i="298"/>
  <c r="BB481" i="298"/>
  <c r="BC481" i="298"/>
  <c r="BD481" i="298"/>
  <c r="AZ482" i="298"/>
  <c r="BA482" i="298"/>
  <c r="BB482" i="298"/>
  <c r="BC482" i="298"/>
  <c r="BD482" i="298"/>
  <c r="AZ484" i="298"/>
  <c r="BA484" i="298"/>
  <c r="BB484" i="298"/>
  <c r="BC484" i="298"/>
  <c r="BD484" i="298"/>
  <c r="BE484" i="298"/>
  <c r="AZ485" i="298"/>
  <c r="BA485" i="298"/>
  <c r="BB485" i="298"/>
  <c r="BC485" i="298"/>
  <c r="BD485" i="298"/>
  <c r="BE485" i="298"/>
  <c r="AA487" i="298"/>
  <c r="AB487" i="298"/>
  <c r="AF487" i="298" s="1"/>
  <c r="AC487" i="298"/>
  <c r="AD487" i="298"/>
  <c r="AZ487" i="298"/>
  <c r="BA487" i="298"/>
  <c r="BB487" i="298"/>
  <c r="BC487" i="298"/>
  <c r="H488" i="298"/>
  <c r="I488" i="298"/>
  <c r="J488" i="298"/>
  <c r="K488" i="298"/>
  <c r="L488" i="298"/>
  <c r="M488" i="298"/>
  <c r="N488" i="298"/>
  <c r="O488" i="298"/>
  <c r="P488" i="298"/>
  <c r="Q488" i="298"/>
  <c r="R488" i="298"/>
  <c r="S488" i="298"/>
  <c r="T488" i="298"/>
  <c r="U488" i="298"/>
  <c r="V488" i="298"/>
  <c r="W488" i="298"/>
  <c r="X488" i="298"/>
  <c r="Y488" i="298"/>
  <c r="Z488" i="298"/>
  <c r="AZ490" i="298"/>
  <c r="BA490" i="298"/>
  <c r="BB490" i="298"/>
  <c r="H491" i="298"/>
  <c r="I491" i="298"/>
  <c r="J491" i="298"/>
  <c r="K491" i="298"/>
  <c r="L491" i="298"/>
  <c r="M491" i="298"/>
  <c r="N491" i="298"/>
  <c r="O491" i="298"/>
  <c r="P491" i="298"/>
  <c r="Q491" i="298"/>
  <c r="R491" i="298"/>
  <c r="S491" i="298"/>
  <c r="P493" i="298"/>
  <c r="T493" i="298" s="1"/>
  <c r="X493" i="298" s="1"/>
  <c r="Q493" i="298"/>
  <c r="R493" i="298"/>
  <c r="V493" i="298" s="1"/>
  <c r="Z493" i="298" s="1"/>
  <c r="AD493" i="298" s="1"/>
  <c r="S493" i="298"/>
  <c r="W493" i="298" s="1"/>
  <c r="AA493" i="298" s="1"/>
  <c r="AE493" i="298" s="1"/>
  <c r="AZ493" i="298"/>
  <c r="BA493" i="298"/>
  <c r="L494" i="298"/>
  <c r="M494" i="298"/>
  <c r="N494" i="298"/>
  <c r="O494" i="298"/>
  <c r="AZ497" i="298"/>
  <c r="BA497" i="298"/>
  <c r="BB497" i="298"/>
  <c r="BC497" i="298"/>
  <c r="BE497" i="298"/>
  <c r="AZ498" i="298"/>
  <c r="BA498" i="298"/>
  <c r="BB498" i="298"/>
  <c r="BC498" i="298"/>
  <c r="BE498" i="298"/>
  <c r="AY503" i="298"/>
  <c r="AZ503" i="298"/>
  <c r="BA503" i="298"/>
  <c r="BD503" i="298"/>
  <c r="BE503" i="298"/>
  <c r="AY504" i="298"/>
  <c r="AZ504" i="298"/>
  <c r="BA504" i="298"/>
  <c r="BD504" i="298"/>
  <c r="BE504" i="298"/>
  <c r="B508" i="298"/>
  <c r="H508" i="298"/>
  <c r="I508" i="298"/>
  <c r="J508" i="298"/>
  <c r="K508" i="298"/>
  <c r="L508" i="298"/>
  <c r="M508" i="298"/>
  <c r="N508" i="298"/>
  <c r="O508" i="298"/>
  <c r="P508" i="298"/>
  <c r="Q508" i="298"/>
  <c r="R508" i="298"/>
  <c r="S508" i="298"/>
  <c r="T508" i="298"/>
  <c r="U508" i="298"/>
  <c r="V508" i="298"/>
  <c r="W508" i="298"/>
  <c r="X508" i="298"/>
  <c r="Y508" i="298"/>
  <c r="Z508" i="298"/>
  <c r="AA508" i="298"/>
  <c r="AB508" i="298"/>
  <c r="AC508" i="298"/>
  <c r="AD508" i="298"/>
  <c r="AE508" i="298"/>
  <c r="AF508" i="298"/>
  <c r="AU508" i="298"/>
  <c r="AV508" i="298"/>
  <c r="AY508" i="298" s="1"/>
  <c r="AW508" i="298"/>
  <c r="AZ508" i="298" s="1"/>
  <c r="B509" i="298"/>
  <c r="H509" i="298"/>
  <c r="I509" i="298"/>
  <c r="J509" i="298"/>
  <c r="K509" i="298"/>
  <c r="L509" i="298"/>
  <c r="M509" i="298"/>
  <c r="N509" i="298"/>
  <c r="O509" i="298"/>
  <c r="P509" i="298"/>
  <c r="Q509" i="298"/>
  <c r="R509" i="298"/>
  <c r="S509" i="298"/>
  <c r="T509" i="298"/>
  <c r="U509" i="298"/>
  <c r="V509" i="298"/>
  <c r="W509" i="298"/>
  <c r="X509" i="298"/>
  <c r="Y509" i="298"/>
  <c r="Z509" i="298"/>
  <c r="AA509" i="298"/>
  <c r="AB509" i="298"/>
  <c r="AC509" i="298"/>
  <c r="AD509" i="298"/>
  <c r="AE509" i="298"/>
  <c r="AF509" i="298"/>
  <c r="AU509" i="298"/>
  <c r="AV509" i="298"/>
  <c r="AY509" i="298" s="1"/>
  <c r="AW509" i="298"/>
  <c r="AZ509" i="298" s="1"/>
  <c r="B510" i="298"/>
  <c r="AL510" i="298"/>
  <c r="AM510" i="298"/>
  <c r="AN510" i="298"/>
  <c r="AO510" i="298"/>
  <c r="AP510" i="298"/>
  <c r="AQ510" i="298"/>
  <c r="AR510" i="298"/>
  <c r="AS510" i="298"/>
  <c r="AY513" i="298"/>
  <c r="AZ513" i="298"/>
  <c r="BA513" i="298"/>
  <c r="BD513" i="298"/>
  <c r="BE513" i="298"/>
  <c r="AY514" i="298"/>
  <c r="AZ514" i="298"/>
  <c r="BA514" i="298"/>
  <c r="BD514" i="298"/>
  <c r="BE514" i="298"/>
  <c r="D517" i="298"/>
  <c r="E517" i="298"/>
  <c r="F517" i="298"/>
  <c r="G517" i="298"/>
  <c r="H517" i="298"/>
  <c r="H522" i="298" s="1"/>
  <c r="I517" i="298"/>
  <c r="I522" i="298" s="1"/>
  <c r="J517" i="298"/>
  <c r="J522" i="298" s="1"/>
  <c r="K517" i="298"/>
  <c r="K522" i="298" s="1"/>
  <c r="L517" i="298"/>
  <c r="L522" i="298" s="1"/>
  <c r="M517" i="298"/>
  <c r="M522" i="298" s="1"/>
  <c r="N517" i="298"/>
  <c r="N522" i="298" s="1"/>
  <c r="O517" i="298"/>
  <c r="O522" i="298" s="1"/>
  <c r="P517" i="298"/>
  <c r="P522" i="298" s="1"/>
  <c r="Q517" i="298"/>
  <c r="Q522" i="298" s="1"/>
  <c r="R517" i="298"/>
  <c r="R522" i="298" s="1"/>
  <c r="S517" i="298"/>
  <c r="S522" i="298" s="1"/>
  <c r="T517" i="298"/>
  <c r="T522" i="298" s="1"/>
  <c r="U517" i="298"/>
  <c r="U522" i="298" s="1"/>
  <c r="V517" i="298"/>
  <c r="V522" i="298" s="1"/>
  <c r="W517" i="298"/>
  <c r="W522" i="298" s="1"/>
  <c r="X517" i="298"/>
  <c r="X522" i="298" s="1"/>
  <c r="Y517" i="298"/>
  <c r="Y522" i="298" s="1"/>
  <c r="Z517" i="298"/>
  <c r="Z522" i="298" s="1"/>
  <c r="AA517" i="298"/>
  <c r="AA522" i="298" s="1"/>
  <c r="AB517" i="298"/>
  <c r="AB522" i="298" s="1"/>
  <c r="AC517" i="298"/>
  <c r="AC522" i="298" s="1"/>
  <c r="AD517" i="298"/>
  <c r="AD522" i="298" s="1"/>
  <c r="AE517" i="298"/>
  <c r="AE522" i="298" s="1"/>
  <c r="AF517" i="298"/>
  <c r="AF522" i="298" s="1"/>
  <c r="AT517" i="298"/>
  <c r="AT522" i="298" s="1"/>
  <c r="AU517" i="298"/>
  <c r="AU522" i="298" s="1"/>
  <c r="AV517" i="298"/>
  <c r="AV522" i="298" s="1"/>
  <c r="AW517" i="298"/>
  <c r="AW522" i="298" s="1"/>
  <c r="BB517" i="298"/>
  <c r="BB522" i="298" s="1"/>
  <c r="D518" i="298"/>
  <c r="E518" i="298"/>
  <c r="F518" i="298"/>
  <c r="G518" i="298"/>
  <c r="H518" i="298"/>
  <c r="H523" i="298" s="1"/>
  <c r="I518" i="298"/>
  <c r="I523" i="298" s="1"/>
  <c r="J518" i="298"/>
  <c r="J523" i="298" s="1"/>
  <c r="K518" i="298"/>
  <c r="K523" i="298" s="1"/>
  <c r="L518" i="298"/>
  <c r="L523" i="298" s="1"/>
  <c r="M518" i="298"/>
  <c r="M523" i="298" s="1"/>
  <c r="N518" i="298"/>
  <c r="N523" i="298" s="1"/>
  <c r="O518" i="298"/>
  <c r="O523" i="298" s="1"/>
  <c r="P518" i="298"/>
  <c r="P523" i="298" s="1"/>
  <c r="Q518" i="298"/>
  <c r="Q523" i="298" s="1"/>
  <c r="R518" i="298"/>
  <c r="R523" i="298" s="1"/>
  <c r="S518" i="298"/>
  <c r="S523" i="298" s="1"/>
  <c r="T518" i="298"/>
  <c r="T523" i="298" s="1"/>
  <c r="U518" i="298"/>
  <c r="U523" i="298" s="1"/>
  <c r="V518" i="298"/>
  <c r="V523" i="298" s="1"/>
  <c r="W518" i="298"/>
  <c r="W523" i="298" s="1"/>
  <c r="X518" i="298"/>
  <c r="X523" i="298" s="1"/>
  <c r="Y518" i="298"/>
  <c r="Y523" i="298" s="1"/>
  <c r="Z518" i="298"/>
  <c r="Z523" i="298" s="1"/>
  <c r="AA518" i="298"/>
  <c r="AA523" i="298" s="1"/>
  <c r="AB518" i="298"/>
  <c r="AB523" i="298" s="1"/>
  <c r="AC518" i="298"/>
  <c r="AC523" i="298" s="1"/>
  <c r="AD518" i="298"/>
  <c r="AD523" i="298" s="1"/>
  <c r="AE518" i="298"/>
  <c r="AE523" i="298" s="1"/>
  <c r="AF518" i="298"/>
  <c r="AF523" i="298" s="1"/>
  <c r="AT518" i="298"/>
  <c r="AT523" i="298" s="1"/>
  <c r="AU518" i="298"/>
  <c r="AU523" i="298" s="1"/>
  <c r="AV518" i="298"/>
  <c r="AV523" i="298" s="1"/>
  <c r="AW518" i="298"/>
  <c r="AW523" i="298" s="1"/>
  <c r="BB518" i="298"/>
  <c r="BB523" i="298" s="1"/>
  <c r="B522" i="298"/>
  <c r="B523" i="298"/>
  <c r="B524" i="298"/>
  <c r="BD526" i="298"/>
  <c r="BE526" i="298"/>
  <c r="BD527" i="298"/>
  <c r="BE527" i="298"/>
  <c r="BD528" i="298"/>
  <c r="BE528" i="298"/>
  <c r="AY529" i="298"/>
  <c r="AY556" i="298" s="1"/>
  <c r="AZ529" i="298"/>
  <c r="AZ556" i="298" s="1"/>
  <c r="BA529" i="298"/>
  <c r="BA556" i="298" s="1"/>
  <c r="BC529" i="298"/>
  <c r="BD529" i="298"/>
  <c r="BD556" i="298" s="1"/>
  <c r="BE529" i="298"/>
  <c r="BE556" i="298" s="1"/>
  <c r="AG531" i="298"/>
  <c r="AH531" i="298"/>
  <c r="AI531" i="298"/>
  <c r="BC531" i="298"/>
  <c r="BD531" i="298"/>
  <c r="BE531" i="298"/>
  <c r="S533" i="298"/>
  <c r="AY533" i="298"/>
  <c r="AZ533" i="298"/>
  <c r="BA533" i="298"/>
  <c r="BC533" i="298"/>
  <c r="BD533" i="298"/>
  <c r="BE533" i="298"/>
  <c r="S537" i="298"/>
  <c r="AY537" i="298"/>
  <c r="AZ537" i="298"/>
  <c r="BA537" i="298"/>
  <c r="BD537" i="298"/>
  <c r="BD538" i="298"/>
  <c r="AQ545" i="298"/>
  <c r="AQ548" i="298" s="1"/>
  <c r="AR545" i="298"/>
  <c r="AR548" i="298" s="1"/>
  <c r="AS545" i="298"/>
  <c r="AS548" i="298" s="1"/>
  <c r="BF546" i="298"/>
  <c r="BF547" i="298"/>
  <c r="D552" i="298"/>
  <c r="E552" i="298"/>
  <c r="F552" i="298"/>
  <c r="G552" i="298"/>
  <c r="H552" i="298"/>
  <c r="I552" i="298"/>
  <c r="J552" i="298"/>
  <c r="K552" i="298"/>
  <c r="L552" i="298"/>
  <c r="M552" i="298"/>
  <c r="N552" i="298"/>
  <c r="O552" i="298"/>
  <c r="T552" i="298"/>
  <c r="U552" i="298"/>
  <c r="V552" i="298"/>
  <c r="X552" i="298"/>
  <c r="Y552" i="298"/>
  <c r="Z552" i="298"/>
  <c r="AA552" i="298"/>
  <c r="AB552" i="298"/>
  <c r="AC552" i="298"/>
  <c r="AD552" i="298"/>
  <c r="AE552" i="298"/>
  <c r="AF552" i="298"/>
  <c r="AG552" i="298"/>
  <c r="AH552" i="298"/>
  <c r="AI552" i="298"/>
  <c r="AQ552" i="298"/>
  <c r="AR552" i="298"/>
  <c r="AS552" i="298"/>
  <c r="AT552" i="298"/>
  <c r="AU552" i="298"/>
  <c r="AV552" i="298"/>
  <c r="AW552" i="298"/>
  <c r="AY552" i="298"/>
  <c r="AZ552" i="298"/>
  <c r="BA552" i="298"/>
  <c r="BC552" i="298"/>
  <c r="BD552" i="298"/>
  <c r="BE552" i="298"/>
  <c r="BC553" i="298"/>
  <c r="BF553" i="298"/>
  <c r="D554" i="298"/>
  <c r="E554" i="298"/>
  <c r="F554" i="298"/>
  <c r="G554" i="298"/>
  <c r="H554" i="298"/>
  <c r="I554" i="298"/>
  <c r="J554" i="298"/>
  <c r="K554" i="298"/>
  <c r="L554" i="298"/>
  <c r="M554" i="298"/>
  <c r="N554" i="298"/>
  <c r="O554" i="298"/>
  <c r="T554" i="298"/>
  <c r="U554" i="298"/>
  <c r="V554" i="298"/>
  <c r="X554" i="298"/>
  <c r="Y554" i="298"/>
  <c r="Z554" i="298"/>
  <c r="AA554" i="298"/>
  <c r="AB554" i="298"/>
  <c r="AC554" i="298"/>
  <c r="AD554" i="298"/>
  <c r="AE554" i="298"/>
  <c r="AF554" i="298"/>
  <c r="AG554" i="298"/>
  <c r="AH554" i="298"/>
  <c r="AI554" i="298"/>
  <c r="AQ554" i="298"/>
  <c r="AR554" i="298"/>
  <c r="AS554" i="298"/>
  <c r="AT554" i="298"/>
  <c r="AU554" i="298"/>
  <c r="AV554" i="298"/>
  <c r="AW554" i="298"/>
  <c r="AY554" i="298"/>
  <c r="AZ554" i="298"/>
  <c r="BA554" i="298"/>
  <c r="BC554" i="298"/>
  <c r="BD554" i="298"/>
  <c r="BE554" i="298"/>
  <c r="BF555" i="298"/>
  <c r="D556" i="298"/>
  <c r="E556" i="298"/>
  <c r="F556" i="298"/>
  <c r="G556" i="298"/>
  <c r="H556" i="298"/>
  <c r="I556" i="298"/>
  <c r="J556" i="298"/>
  <c r="K556" i="298"/>
  <c r="L556" i="298"/>
  <c r="M556" i="298"/>
  <c r="N556" i="298"/>
  <c r="O556" i="298"/>
  <c r="T556" i="298"/>
  <c r="U556" i="298"/>
  <c r="V556" i="298"/>
  <c r="X556" i="298"/>
  <c r="Y556" i="298"/>
  <c r="Z556" i="298"/>
  <c r="AA556" i="298"/>
  <c r="AB556" i="298"/>
  <c r="AC556" i="298"/>
  <c r="AD556" i="298"/>
  <c r="AE556" i="298"/>
  <c r="AF556" i="298"/>
  <c r="AG556" i="298"/>
  <c r="AH556" i="298"/>
  <c r="AI556" i="298"/>
  <c r="AQ556" i="298"/>
  <c r="AR556" i="298"/>
  <c r="AS556" i="298"/>
  <c r="AT556" i="298"/>
  <c r="AU556" i="298"/>
  <c r="AV556" i="298"/>
  <c r="AW556" i="298"/>
  <c r="BD578" i="298"/>
  <c r="BE578" i="298"/>
  <c r="BD579" i="298"/>
  <c r="BE579" i="298"/>
  <c r="BD580" i="298"/>
  <c r="BE580" i="298"/>
  <c r="BD581" i="298"/>
  <c r="BE581" i="298"/>
  <c r="BD582" i="298"/>
  <c r="BD627" i="298" s="1"/>
  <c r="BE582" i="298"/>
  <c r="BE627" i="298" s="1"/>
  <c r="BD583" i="298"/>
  <c r="BE583" i="298"/>
  <c r="BD584" i="298"/>
  <c r="BE584" i="298"/>
  <c r="BD585" i="298"/>
  <c r="BE585" i="298"/>
  <c r="BD586" i="298"/>
  <c r="BE586" i="298"/>
  <c r="BD587" i="298"/>
  <c r="BE587" i="298"/>
  <c r="BD588" i="298"/>
  <c r="BE588" i="298"/>
  <c r="BD589" i="298"/>
  <c r="BE589" i="298"/>
  <c r="BD590" i="298"/>
  <c r="BE590" i="298"/>
  <c r="BD591" i="298"/>
  <c r="BE591" i="298"/>
  <c r="BD592" i="298"/>
  <c r="BE592" i="298"/>
  <c r="BD593" i="298"/>
  <c r="BE593" i="298"/>
  <c r="BD594" i="298"/>
  <c r="BE594" i="298"/>
  <c r="S598" i="298"/>
  <c r="BC598" i="298"/>
  <c r="BD598" i="298"/>
  <c r="BE598" i="298"/>
  <c r="BD599" i="298"/>
  <c r="BE599" i="298"/>
  <c r="S600" i="298"/>
  <c r="BC600" i="298"/>
  <c r="BD600" i="298"/>
  <c r="BE600" i="298"/>
  <c r="S601" i="298"/>
  <c r="BC601" i="298"/>
  <c r="BD601" i="298"/>
  <c r="BE601" i="298"/>
  <c r="S602" i="298"/>
  <c r="BC602" i="298"/>
  <c r="BD602" i="298"/>
  <c r="BE602" i="298"/>
  <c r="S603" i="298"/>
  <c r="BC603" i="298"/>
  <c r="BD603" i="298"/>
  <c r="BE603" i="298"/>
  <c r="D604" i="298"/>
  <c r="E604" i="298"/>
  <c r="F604" i="298"/>
  <c r="G604" i="298"/>
  <c r="H604" i="298"/>
  <c r="I604" i="298"/>
  <c r="J604" i="298"/>
  <c r="K604" i="298"/>
  <c r="L604" i="298"/>
  <c r="M604" i="298"/>
  <c r="N604" i="298"/>
  <c r="O604" i="298"/>
  <c r="P604" i="298"/>
  <c r="Q604" i="298"/>
  <c r="R604" i="298"/>
  <c r="T604" i="298"/>
  <c r="U604" i="298"/>
  <c r="V604" i="298"/>
  <c r="W604" i="298"/>
  <c r="X604" i="298"/>
  <c r="Y604" i="298"/>
  <c r="Z604" i="298"/>
  <c r="AA604" i="298"/>
  <c r="AB604" i="298"/>
  <c r="AC604" i="298"/>
  <c r="AD604" i="298"/>
  <c r="AE604" i="298"/>
  <c r="AF604" i="298"/>
  <c r="AK604" i="298"/>
  <c r="AL604" i="298"/>
  <c r="AM604" i="298"/>
  <c r="AN604" i="298"/>
  <c r="AO604" i="298"/>
  <c r="AP604" i="298"/>
  <c r="AQ604" i="298"/>
  <c r="AR604" i="298"/>
  <c r="AS604" i="298"/>
  <c r="AT604" i="298"/>
  <c r="AU604" i="298"/>
  <c r="AV604" i="298"/>
  <c r="AW604" i="298"/>
  <c r="AY604" i="298"/>
  <c r="AZ604" i="298"/>
  <c r="BA604" i="298"/>
  <c r="BB604" i="298"/>
  <c r="S607" i="298"/>
  <c r="BC607" i="298"/>
  <c r="BD607" i="298"/>
  <c r="BE607" i="298"/>
  <c r="BC608" i="298"/>
  <c r="BD608" i="298"/>
  <c r="BE608" i="298"/>
  <c r="S609" i="298"/>
  <c r="BC609" i="298"/>
  <c r="BD609" i="298"/>
  <c r="BE609" i="298"/>
  <c r="S610" i="298"/>
  <c r="BC610" i="298"/>
  <c r="BD610" i="298"/>
  <c r="BE610" i="298"/>
  <c r="BD611" i="298"/>
  <c r="BE611" i="298"/>
  <c r="BD612" i="298"/>
  <c r="BE612" i="298"/>
  <c r="BD613" i="298"/>
  <c r="BE613" i="298"/>
  <c r="S614" i="298"/>
  <c r="BC614" i="298"/>
  <c r="BD614" i="298"/>
  <c r="BE614" i="298"/>
  <c r="S615" i="298"/>
  <c r="BC615" i="298"/>
  <c r="BD615" i="298"/>
  <c r="BE615" i="298"/>
  <c r="D616" i="298"/>
  <c r="E616" i="298"/>
  <c r="F616" i="298"/>
  <c r="G616" i="298"/>
  <c r="H616" i="298"/>
  <c r="I616" i="298"/>
  <c r="J616" i="298"/>
  <c r="K616" i="298"/>
  <c r="L616" i="298"/>
  <c r="M616" i="298"/>
  <c r="N616" i="298"/>
  <c r="O616" i="298"/>
  <c r="P616" i="298"/>
  <c r="Q616" i="298"/>
  <c r="R616" i="298"/>
  <c r="T616" i="298"/>
  <c r="U616" i="298"/>
  <c r="V616" i="298"/>
  <c r="W616" i="298"/>
  <c r="X616" i="298"/>
  <c r="Y616" i="298"/>
  <c r="Z616" i="298"/>
  <c r="AA616" i="298"/>
  <c r="AB616" i="298"/>
  <c r="AC616" i="298"/>
  <c r="AD616" i="298"/>
  <c r="AE616" i="298"/>
  <c r="AF616" i="298"/>
  <c r="AK616" i="298"/>
  <c r="AL616" i="298"/>
  <c r="AM616" i="298"/>
  <c r="AN616" i="298"/>
  <c r="AO616" i="298"/>
  <c r="AP616" i="298"/>
  <c r="AQ616" i="298"/>
  <c r="AR616" i="298"/>
  <c r="AS616" i="298"/>
  <c r="AT616" i="298"/>
  <c r="AU616" i="298"/>
  <c r="AV616" i="298"/>
  <c r="AW616" i="298"/>
  <c r="AY616" i="298"/>
  <c r="AZ616" i="298"/>
  <c r="BA616" i="298"/>
  <c r="BB616" i="298"/>
  <c r="S618" i="298"/>
  <c r="U618" i="298"/>
  <c r="BC618" i="298" s="1"/>
  <c r="BD618" i="298"/>
  <c r="BE618" i="298"/>
  <c r="AY622" i="298"/>
  <c r="AZ622" i="298"/>
  <c r="H627" i="298"/>
  <c r="I627" i="298"/>
  <c r="J627" i="298"/>
  <c r="L627" i="298"/>
  <c r="M627" i="298"/>
  <c r="N627" i="298"/>
  <c r="O627" i="298"/>
  <c r="P627" i="298"/>
  <c r="Q627" i="298"/>
  <c r="R627" i="298"/>
  <c r="T627" i="298"/>
  <c r="U627" i="298"/>
  <c r="V627" i="298"/>
  <c r="W627" i="298"/>
  <c r="X627" i="298"/>
  <c r="Y627" i="298"/>
  <c r="Z627" i="298"/>
  <c r="AA627" i="298"/>
  <c r="AB627" i="298"/>
  <c r="AC627" i="298"/>
  <c r="AD627" i="298"/>
  <c r="AE627" i="298"/>
  <c r="AF627" i="298"/>
  <c r="AM627" i="298"/>
  <c r="AN627" i="298"/>
  <c r="AO627" i="298"/>
  <c r="AP627" i="298"/>
  <c r="AQ627" i="298"/>
  <c r="AR627" i="298"/>
  <c r="AS627" i="298"/>
  <c r="AT627" i="298"/>
  <c r="AU627" i="298"/>
  <c r="AV627" i="298"/>
  <c r="AW627" i="298"/>
  <c r="AY627" i="298"/>
  <c r="AZ627" i="298"/>
  <c r="BA627" i="298"/>
  <c r="BB627" i="298"/>
  <c r="BC635" i="298"/>
  <c r="BD635" i="298"/>
  <c r="BE635" i="298"/>
  <c r="B633" i="298"/>
  <c r="B638" i="298" s="1"/>
  <c r="D634" i="298"/>
  <c r="E634" i="298"/>
  <c r="E633" i="298" s="1"/>
  <c r="F634" i="298"/>
  <c r="F633" i="298" s="1"/>
  <c r="G634" i="298"/>
  <c r="G633" i="298" s="1"/>
  <c r="H634" i="298"/>
  <c r="H633" i="298" s="1"/>
  <c r="I634" i="298"/>
  <c r="I633" i="298" s="1"/>
  <c r="J634" i="298"/>
  <c r="K634" i="298"/>
  <c r="K633" i="298" s="1"/>
  <c r="L634" i="298"/>
  <c r="L633" i="298" s="1"/>
  <c r="M634" i="298"/>
  <c r="N634" i="298"/>
  <c r="N633" i="298" s="1"/>
  <c r="O634" i="298"/>
  <c r="O633" i="298" s="1"/>
  <c r="P634" i="298"/>
  <c r="P633" i="298" s="1"/>
  <c r="Q634" i="298"/>
  <c r="Q633" i="298" s="1"/>
  <c r="R634" i="298"/>
  <c r="R633" i="298" s="1"/>
  <c r="T634" i="298"/>
  <c r="U634" i="298"/>
  <c r="V634" i="298"/>
  <c r="W634" i="298"/>
  <c r="W633" i="298" s="1"/>
  <c r="X634" i="298"/>
  <c r="X633" i="298" s="1"/>
  <c r="Y634" i="298"/>
  <c r="Y633" i="298" s="1"/>
  <c r="Z634" i="298"/>
  <c r="AA634" i="298"/>
  <c r="AA633" i="298" s="1"/>
  <c r="AB634" i="298"/>
  <c r="AB633" i="298" s="1"/>
  <c r="AC634" i="298"/>
  <c r="AC633" i="298" s="1"/>
  <c r="AD634" i="298"/>
  <c r="AD633" i="298" s="1"/>
  <c r="AE634" i="298"/>
  <c r="AE633" i="298" s="1"/>
  <c r="AF634" i="298"/>
  <c r="AF633" i="298" s="1"/>
  <c r="B639" i="298"/>
  <c r="B640" i="298"/>
  <c r="AB640" i="298"/>
  <c r="S647" i="298"/>
  <c r="BC647" i="298"/>
  <c r="BD647" i="298"/>
  <c r="BE647" i="298"/>
  <c r="S648" i="298"/>
  <c r="BC648" i="298"/>
  <c r="BD648" i="298"/>
  <c r="BE648" i="298"/>
  <c r="S649" i="298"/>
  <c r="BC649" i="298"/>
  <c r="BD649" i="298"/>
  <c r="BE649" i="298"/>
  <c r="S650" i="298"/>
  <c r="BC650" i="298"/>
  <c r="BD650" i="298"/>
  <c r="BE650" i="298"/>
  <c r="D651" i="298"/>
  <c r="D659" i="298" s="1"/>
  <c r="E651" i="298"/>
  <c r="E659" i="298" s="1"/>
  <c r="F651" i="298"/>
  <c r="F659" i="298" s="1"/>
  <c r="G651" i="298"/>
  <c r="G659" i="298" s="1"/>
  <c r="H651" i="298"/>
  <c r="H659" i="298" s="1"/>
  <c r="I651" i="298"/>
  <c r="I659" i="298" s="1"/>
  <c r="J651" i="298"/>
  <c r="J659" i="298" s="1"/>
  <c r="K651" i="298"/>
  <c r="K659" i="298" s="1"/>
  <c r="L651" i="298"/>
  <c r="L659" i="298" s="1"/>
  <c r="M651" i="298"/>
  <c r="M659" i="298" s="1"/>
  <c r="N651" i="298"/>
  <c r="N659" i="298" s="1"/>
  <c r="O651" i="298"/>
  <c r="O659" i="298" s="1"/>
  <c r="P651" i="298"/>
  <c r="P659" i="298" s="1"/>
  <c r="Q651" i="298"/>
  <c r="Q659" i="298" s="1"/>
  <c r="R651" i="298"/>
  <c r="R659" i="298" s="1"/>
  <c r="T651" i="298"/>
  <c r="T659" i="298" s="1"/>
  <c r="U651" i="298"/>
  <c r="U659" i="298" s="1"/>
  <c r="V651" i="298"/>
  <c r="V659" i="298" s="1"/>
  <c r="W651" i="298"/>
  <c r="W659" i="298" s="1"/>
  <c r="X651" i="298"/>
  <c r="X659" i="298" s="1"/>
  <c r="Y651" i="298"/>
  <c r="Y659" i="298" s="1"/>
  <c r="Z651" i="298"/>
  <c r="Z659" i="298" s="1"/>
  <c r="AA651" i="298"/>
  <c r="AB651" i="298"/>
  <c r="AB659" i="298" s="1"/>
  <c r="AC651" i="298"/>
  <c r="AC659" i="298" s="1"/>
  <c r="AD651" i="298"/>
  <c r="AD659" i="298" s="1"/>
  <c r="AE651" i="298"/>
  <c r="AF651" i="298"/>
  <c r="AF659" i="298" s="1"/>
  <c r="AK651" i="298"/>
  <c r="AK659" i="298" s="1"/>
  <c r="AL651" i="298"/>
  <c r="AL659" i="298" s="1"/>
  <c r="AM651" i="298"/>
  <c r="AM659" i="298" s="1"/>
  <c r="AN651" i="298"/>
  <c r="AN659" i="298" s="1"/>
  <c r="AO651" i="298"/>
  <c r="AO659" i="298" s="1"/>
  <c r="AP651" i="298"/>
  <c r="AP659" i="298" s="1"/>
  <c r="AQ651" i="298"/>
  <c r="AQ659" i="298" s="1"/>
  <c r="AR651" i="298"/>
  <c r="AR659" i="298" s="1"/>
  <c r="AS651" i="298"/>
  <c r="AS659" i="298" s="1"/>
  <c r="AT651" i="298"/>
  <c r="AT659" i="298" s="1"/>
  <c r="AU651" i="298"/>
  <c r="AU659" i="298" s="1"/>
  <c r="AV651" i="298"/>
  <c r="AV659" i="298" s="1"/>
  <c r="AW651" i="298"/>
  <c r="AW659" i="298" s="1"/>
  <c r="AZ651" i="298"/>
  <c r="AZ659" i="298" s="1"/>
  <c r="BB651" i="298"/>
  <c r="BB659" i="298" s="1"/>
  <c r="S652" i="298"/>
  <c r="BC652" i="298"/>
  <c r="BD652" i="298"/>
  <c r="BE652" i="298"/>
  <c r="S653" i="298"/>
  <c r="BC653" i="298"/>
  <c r="BD653" i="298"/>
  <c r="BE653" i="298"/>
  <c r="S654" i="298"/>
  <c r="BC654" i="298"/>
  <c r="BD654" i="298"/>
  <c r="BE654" i="298"/>
  <c r="S655" i="298"/>
  <c r="BC655" i="298"/>
  <c r="BD655" i="298"/>
  <c r="BE655" i="298"/>
  <c r="S656" i="298"/>
  <c r="BC656" i="298"/>
  <c r="BD656" i="298"/>
  <c r="BE656" i="298"/>
  <c r="S657" i="298"/>
  <c r="BC657" i="298"/>
  <c r="BD657" i="298"/>
  <c r="BE657" i="298"/>
  <c r="S658" i="298"/>
  <c r="BC658" i="298"/>
  <c r="BD658" i="298"/>
  <c r="BE658" i="298"/>
  <c r="S662" i="298"/>
  <c r="BC662" i="298"/>
  <c r="BD662" i="298"/>
  <c r="BE662" i="298"/>
  <c r="S663" i="298"/>
  <c r="BC663" i="298"/>
  <c r="BD663" i="298"/>
  <c r="BE663" i="298"/>
  <c r="S666" i="298"/>
  <c r="BC666" i="298"/>
  <c r="BD666" i="298"/>
  <c r="BE666" i="298"/>
  <c r="S667" i="298"/>
  <c r="BC667" i="298"/>
  <c r="BD667" i="298"/>
  <c r="BE667" i="298"/>
  <c r="S668" i="298"/>
  <c r="BC668" i="298"/>
  <c r="BD668" i="298"/>
  <c r="BE668" i="298"/>
  <c r="S669" i="298"/>
  <c r="BC669" i="298"/>
  <c r="BD669" i="298"/>
  <c r="BE669" i="298"/>
  <c r="D670" i="298"/>
  <c r="D677" i="298" s="1"/>
  <c r="E670" i="298"/>
  <c r="E677" i="298" s="1"/>
  <c r="F670" i="298"/>
  <c r="F677" i="298" s="1"/>
  <c r="G670" i="298"/>
  <c r="G677" i="298" s="1"/>
  <c r="H670" i="298"/>
  <c r="H677" i="298" s="1"/>
  <c r="I670" i="298"/>
  <c r="I677" i="298" s="1"/>
  <c r="J670" i="298"/>
  <c r="J677" i="298" s="1"/>
  <c r="K670" i="298"/>
  <c r="K677" i="298" s="1"/>
  <c r="L670" i="298"/>
  <c r="L677" i="298" s="1"/>
  <c r="M670" i="298"/>
  <c r="M677" i="298" s="1"/>
  <c r="N670" i="298"/>
  <c r="N677" i="298" s="1"/>
  <c r="O670" i="298"/>
  <c r="O677" i="298" s="1"/>
  <c r="P670" i="298"/>
  <c r="P677" i="298" s="1"/>
  <c r="Q670" i="298"/>
  <c r="Q677" i="298" s="1"/>
  <c r="R670" i="298"/>
  <c r="R677" i="298" s="1"/>
  <c r="T670" i="298"/>
  <c r="T677" i="298" s="1"/>
  <c r="U670" i="298"/>
  <c r="U677" i="298" s="1"/>
  <c r="V670" i="298"/>
  <c r="V677" i="298" s="1"/>
  <c r="W670" i="298"/>
  <c r="W677" i="298" s="1"/>
  <c r="X670" i="298"/>
  <c r="X677" i="298" s="1"/>
  <c r="Y670" i="298"/>
  <c r="Y677" i="298" s="1"/>
  <c r="Z670" i="298"/>
  <c r="Z677" i="298" s="1"/>
  <c r="AA670" i="298"/>
  <c r="AA677" i="298" s="1"/>
  <c r="AB670" i="298"/>
  <c r="AB677" i="298" s="1"/>
  <c r="AC670" i="298"/>
  <c r="AC677" i="298" s="1"/>
  <c r="AD670" i="298"/>
  <c r="AD677" i="298" s="1"/>
  <c r="AE670" i="298"/>
  <c r="AE677" i="298" s="1"/>
  <c r="AF670" i="298"/>
  <c r="AF677" i="298" s="1"/>
  <c r="AK670" i="298"/>
  <c r="AK677" i="298" s="1"/>
  <c r="AL670" i="298"/>
  <c r="AL677" i="298" s="1"/>
  <c r="AM670" i="298"/>
  <c r="AM677" i="298" s="1"/>
  <c r="AN670" i="298"/>
  <c r="AN677" i="298" s="1"/>
  <c r="AO670" i="298"/>
  <c r="AO677" i="298" s="1"/>
  <c r="AP670" i="298"/>
  <c r="AP677" i="298" s="1"/>
  <c r="AQ670" i="298"/>
  <c r="AQ677" i="298" s="1"/>
  <c r="AR670" i="298"/>
  <c r="AR677" i="298" s="1"/>
  <c r="AS670" i="298"/>
  <c r="AS677" i="298" s="1"/>
  <c r="AT670" i="298"/>
  <c r="AT677" i="298" s="1"/>
  <c r="AU670" i="298"/>
  <c r="AU677" i="298" s="1"/>
  <c r="AV670" i="298"/>
  <c r="AV677" i="298" s="1"/>
  <c r="AW670" i="298"/>
  <c r="AW677" i="298" s="1"/>
  <c r="AZ670" i="298"/>
  <c r="AZ677" i="298" s="1"/>
  <c r="BB670" i="298"/>
  <c r="BB677" i="298" s="1"/>
  <c r="S673" i="298"/>
  <c r="BC673" i="298"/>
  <c r="BD673" i="298"/>
  <c r="BE673" i="298"/>
  <c r="S674" i="298"/>
  <c r="BC674" i="298"/>
  <c r="BD674" i="298"/>
  <c r="BE674" i="298"/>
  <c r="S675" i="298"/>
  <c r="BC675" i="298"/>
  <c r="BD675" i="298"/>
  <c r="BE675" i="298"/>
  <c r="S676" i="298"/>
  <c r="BC676" i="298"/>
  <c r="BD676" i="298"/>
  <c r="BE676" i="298"/>
  <c r="BA677" i="298"/>
  <c r="S680" i="298"/>
  <c r="BC680" i="298"/>
  <c r="BD680" i="298"/>
  <c r="BE680" i="298"/>
  <c r="S681" i="298"/>
  <c r="BC681" i="298"/>
  <c r="BD681" i="298"/>
  <c r="BE681" i="298"/>
  <c r="S682" i="298"/>
  <c r="BC682" i="298"/>
  <c r="BD682" i="298"/>
  <c r="BE682" i="298"/>
  <c r="D683" i="298"/>
  <c r="E683" i="298"/>
  <c r="F683" i="298"/>
  <c r="G683" i="298"/>
  <c r="H683" i="298"/>
  <c r="I683" i="298"/>
  <c r="J683" i="298"/>
  <c r="K683" i="298"/>
  <c r="L683" i="298"/>
  <c r="M683" i="298"/>
  <c r="N683" i="298"/>
  <c r="O683" i="298"/>
  <c r="P683" i="298"/>
  <c r="Q683" i="298"/>
  <c r="R683" i="298"/>
  <c r="T683" i="298"/>
  <c r="U683" i="298"/>
  <c r="V683" i="298"/>
  <c r="W683" i="298"/>
  <c r="X683" i="298"/>
  <c r="Y683" i="298"/>
  <c r="Z683" i="298"/>
  <c r="AA683" i="298"/>
  <c r="BD683" i="298" s="1"/>
  <c r="AB683" i="298"/>
  <c r="AC683" i="298"/>
  <c r="AD683" i="298"/>
  <c r="AE683" i="298"/>
  <c r="BE683" i="298" s="1"/>
  <c r="AF683" i="298"/>
  <c r="AK683" i="298"/>
  <c r="AL683" i="298"/>
  <c r="AM683" i="298"/>
  <c r="AN683" i="298"/>
  <c r="AO683" i="298"/>
  <c r="AP683" i="298"/>
  <c r="AQ683" i="298"/>
  <c r="AR683" i="298"/>
  <c r="AS683" i="298"/>
  <c r="AT683" i="298"/>
  <c r="AU683" i="298"/>
  <c r="AV683" i="298"/>
  <c r="AW683" i="298"/>
  <c r="AZ683" i="298"/>
  <c r="BA683" i="298"/>
  <c r="BB683" i="298"/>
  <c r="AY689" i="298"/>
  <c r="AZ689" i="298"/>
  <c r="BA689" i="298"/>
  <c r="BB689" i="298"/>
  <c r="BC689" i="298"/>
  <c r="BD689" i="298"/>
  <c r="BE689" i="298"/>
  <c r="AY690" i="298"/>
  <c r="AZ690" i="298"/>
  <c r="BA690" i="298"/>
  <c r="BB690" i="298"/>
  <c r="BC690" i="298"/>
  <c r="BD690" i="298"/>
  <c r="BE690" i="298"/>
  <c r="AY691" i="298"/>
  <c r="AZ691" i="298"/>
  <c r="BA691" i="298"/>
  <c r="BB691" i="298"/>
  <c r="BC691" i="298"/>
  <c r="BD691" i="298"/>
  <c r="BE691" i="298"/>
  <c r="D692" i="298"/>
  <c r="E692" i="298"/>
  <c r="F692" i="298"/>
  <c r="G692" i="298"/>
  <c r="AY692" i="298" s="1"/>
  <c r="H692" i="298"/>
  <c r="I692" i="298"/>
  <c r="J692" i="298"/>
  <c r="K692" i="298"/>
  <c r="L692" i="298"/>
  <c r="M692" i="298"/>
  <c r="N692" i="298"/>
  <c r="O692" i="298"/>
  <c r="P692" i="298"/>
  <c r="Q692" i="298"/>
  <c r="R692" i="298"/>
  <c r="S692" i="298"/>
  <c r="BB692" i="298" s="1"/>
  <c r="T692" i="298"/>
  <c r="U692" i="298"/>
  <c r="V692" i="298"/>
  <c r="W692" i="298"/>
  <c r="X692" i="298"/>
  <c r="Y692" i="298"/>
  <c r="Z692" i="298"/>
  <c r="AA692" i="298"/>
  <c r="BD692" i="298" s="1"/>
  <c r="AB692" i="298"/>
  <c r="AC692" i="298"/>
  <c r="AD692" i="298"/>
  <c r="AE692" i="298"/>
  <c r="AF692" i="298"/>
  <c r="AK692" i="298"/>
  <c r="AL692" i="298"/>
  <c r="AM692" i="298"/>
  <c r="AN692" i="298"/>
  <c r="AO692" i="298"/>
  <c r="AP692" i="298"/>
  <c r="AQ692" i="298"/>
  <c r="AR692" i="298"/>
  <c r="AV704" i="298" s="1"/>
  <c r="AS692" i="298"/>
  <c r="AW704" i="298" s="1"/>
  <c r="AT692" i="298"/>
  <c r="AU692" i="298"/>
  <c r="B695" i="298"/>
  <c r="H695" i="298"/>
  <c r="I695" i="298"/>
  <c r="J695" i="298"/>
  <c r="K695" i="298"/>
  <c r="L695" i="298"/>
  <c r="M695" i="298"/>
  <c r="N695" i="298"/>
  <c r="O695" i="298"/>
  <c r="P695" i="298"/>
  <c r="Q695" i="298"/>
  <c r="R695" i="298"/>
  <c r="S695" i="298"/>
  <c r="T695" i="298"/>
  <c r="U695" i="298"/>
  <c r="V695" i="298"/>
  <c r="W695" i="298"/>
  <c r="X695" i="298"/>
  <c r="Y695" i="298"/>
  <c r="Z695" i="298"/>
  <c r="AA695" i="298"/>
  <c r="AB695" i="298"/>
  <c r="AC695" i="298"/>
  <c r="AD695" i="298"/>
  <c r="AE695" i="298"/>
  <c r="AF695" i="298"/>
  <c r="B696" i="298"/>
  <c r="H696" i="298"/>
  <c r="I696" i="298"/>
  <c r="J696" i="298"/>
  <c r="K696" i="298"/>
  <c r="L696" i="298"/>
  <c r="M696" i="298"/>
  <c r="N696" i="298"/>
  <c r="O696" i="298"/>
  <c r="P696" i="298"/>
  <c r="Q696" i="298"/>
  <c r="R696" i="298"/>
  <c r="S696" i="298"/>
  <c r="T696" i="298"/>
  <c r="U696" i="298"/>
  <c r="V696" i="298"/>
  <c r="W696" i="298"/>
  <c r="X696" i="298"/>
  <c r="Y696" i="298"/>
  <c r="Z696" i="298"/>
  <c r="AA696" i="298"/>
  <c r="AB696" i="298"/>
  <c r="AC696" i="298"/>
  <c r="AD696" i="298"/>
  <c r="AE696" i="298"/>
  <c r="AF696" i="298"/>
  <c r="B697" i="298"/>
  <c r="H697" i="298"/>
  <c r="I697" i="298"/>
  <c r="J697" i="298"/>
  <c r="K697" i="298"/>
  <c r="L697" i="298"/>
  <c r="M697" i="298"/>
  <c r="N697" i="298"/>
  <c r="O697" i="298"/>
  <c r="P697" i="298"/>
  <c r="Q697" i="298"/>
  <c r="R697" i="298"/>
  <c r="S697" i="298"/>
  <c r="T697" i="298"/>
  <c r="U697" i="298"/>
  <c r="V697" i="298"/>
  <c r="W697" i="298"/>
  <c r="X697" i="298"/>
  <c r="Y697" i="298"/>
  <c r="Z697" i="298"/>
  <c r="AA697" i="298"/>
  <c r="AB697" i="298"/>
  <c r="AC697" i="298"/>
  <c r="AD697" i="298"/>
  <c r="AE697" i="298"/>
  <c r="AF697" i="298"/>
  <c r="B698" i="298"/>
  <c r="AW698" i="298"/>
  <c r="AX698" i="298"/>
  <c r="H701" i="298"/>
  <c r="I701" i="298"/>
  <c r="J701" i="298"/>
  <c r="K701" i="298"/>
  <c r="L701" i="298"/>
  <c r="M701" i="298"/>
  <c r="N701" i="298"/>
  <c r="O701" i="298"/>
  <c r="P701" i="298"/>
  <c r="Q701" i="298"/>
  <c r="R701" i="298"/>
  <c r="S701" i="298"/>
  <c r="T701" i="298"/>
  <c r="U701" i="298"/>
  <c r="V701" i="298"/>
  <c r="W701" i="298"/>
  <c r="X701" i="298"/>
  <c r="Y701" i="298"/>
  <c r="Z701" i="298"/>
  <c r="AA701" i="298"/>
  <c r="AB701" i="298"/>
  <c r="AC701" i="298"/>
  <c r="AD701" i="298"/>
  <c r="AE701" i="298"/>
  <c r="AF701" i="298"/>
  <c r="H702" i="298"/>
  <c r="I702" i="298"/>
  <c r="J702" i="298"/>
  <c r="K702" i="298"/>
  <c r="L702" i="298"/>
  <c r="M702" i="298"/>
  <c r="N702" i="298"/>
  <c r="O702" i="298"/>
  <c r="P702" i="298"/>
  <c r="Q702" i="298"/>
  <c r="R702" i="298"/>
  <c r="S702" i="298"/>
  <c r="T702" i="298"/>
  <c r="U702" i="298"/>
  <c r="V702" i="298"/>
  <c r="W702" i="298"/>
  <c r="X702" i="298"/>
  <c r="Y702" i="298"/>
  <c r="Z702" i="298"/>
  <c r="AA702" i="298"/>
  <c r="AB702" i="298"/>
  <c r="AC702" i="298"/>
  <c r="AD702" i="298"/>
  <c r="AE702" i="298"/>
  <c r="AF702" i="298"/>
  <c r="H703" i="298"/>
  <c r="I703" i="298"/>
  <c r="J703" i="298"/>
  <c r="K703" i="298"/>
  <c r="L703" i="298"/>
  <c r="M703" i="298"/>
  <c r="N703" i="298"/>
  <c r="O703" i="298"/>
  <c r="P703" i="298"/>
  <c r="Q703" i="298"/>
  <c r="R703" i="298"/>
  <c r="S703" i="298"/>
  <c r="T703" i="298"/>
  <c r="U703" i="298"/>
  <c r="V703" i="298"/>
  <c r="W703" i="298"/>
  <c r="X703" i="298"/>
  <c r="Y703" i="298"/>
  <c r="Z703" i="298"/>
  <c r="AA703" i="298"/>
  <c r="AB703" i="298"/>
  <c r="AC703" i="298"/>
  <c r="AD703" i="298"/>
  <c r="AE703" i="298"/>
  <c r="AF703" i="298"/>
  <c r="H707" i="298"/>
  <c r="I707" i="298"/>
  <c r="J707" i="298"/>
  <c r="K707" i="298"/>
  <c r="L707" i="298"/>
  <c r="M707" i="298"/>
  <c r="N707" i="298"/>
  <c r="O707" i="298"/>
  <c r="P707" i="298"/>
  <c r="Q707" i="298"/>
  <c r="R707" i="298"/>
  <c r="T707" i="298"/>
  <c r="U707" i="298"/>
  <c r="V707" i="298"/>
  <c r="W707" i="298"/>
  <c r="X707" i="298"/>
  <c r="Y707" i="298"/>
  <c r="Z707" i="298"/>
  <c r="AA707" i="298"/>
  <c r="AB707" i="298"/>
  <c r="AC707" i="298"/>
  <c r="AD707" i="298"/>
  <c r="AE707" i="298"/>
  <c r="AF707" i="298"/>
  <c r="BB707" i="298"/>
  <c r="H708" i="298"/>
  <c r="I708" i="298"/>
  <c r="J708" i="298"/>
  <c r="K708" i="298"/>
  <c r="L708" i="298"/>
  <c r="M708" i="298"/>
  <c r="N708" i="298"/>
  <c r="O708" i="298"/>
  <c r="P708" i="298"/>
  <c r="Q708" i="298"/>
  <c r="R708" i="298"/>
  <c r="T708" i="298"/>
  <c r="U708" i="298"/>
  <c r="V708" i="298"/>
  <c r="W708" i="298"/>
  <c r="X708" i="298"/>
  <c r="Y708" i="298"/>
  <c r="Z708" i="298"/>
  <c r="AA708" i="298"/>
  <c r="AB708" i="298"/>
  <c r="AC708" i="298"/>
  <c r="AD708" i="298"/>
  <c r="AE708" i="298"/>
  <c r="AF708" i="298"/>
  <c r="BB708" i="298"/>
  <c r="H709" i="298"/>
  <c r="I709" i="298"/>
  <c r="J709" i="298"/>
  <c r="K709" i="298"/>
  <c r="L709" i="298"/>
  <c r="M709" i="298"/>
  <c r="N709" i="298"/>
  <c r="O709" i="298"/>
  <c r="P709" i="298"/>
  <c r="Q709" i="298"/>
  <c r="R709" i="298"/>
  <c r="T709" i="298"/>
  <c r="U709" i="298"/>
  <c r="V709" i="298"/>
  <c r="W709" i="298"/>
  <c r="X709" i="298"/>
  <c r="Y709" i="298"/>
  <c r="Z709" i="298"/>
  <c r="AA709" i="298"/>
  <c r="AB709" i="298"/>
  <c r="AC709" i="298"/>
  <c r="AD709" i="298"/>
  <c r="AE709" i="298"/>
  <c r="AF709" i="298"/>
  <c r="BB709" i="298"/>
  <c r="AX710" i="298"/>
  <c r="B719" i="298"/>
  <c r="B720" i="298"/>
  <c r="B721" i="298"/>
  <c r="B722" i="298"/>
  <c r="H1" i="518"/>
  <c r="H1" i="276"/>
  <c r="C11" i="276"/>
  <c r="C12" i="276"/>
  <c r="C13" i="276"/>
  <c r="C14" i="276"/>
  <c r="C15" i="276"/>
  <c r="C16" i="276"/>
  <c r="C17" i="276"/>
  <c r="B18" i="276"/>
  <c r="D18" i="276"/>
  <c r="C19" i="276"/>
  <c r="G19" i="276" s="1"/>
  <c r="F19" i="276"/>
  <c r="H19" i="276"/>
  <c r="C20" i="276"/>
  <c r="G20" i="276" s="1"/>
  <c r="F20" i="276"/>
  <c r="H20" i="276"/>
  <c r="C21" i="276"/>
  <c r="G21" i="276" s="1"/>
  <c r="F21" i="276"/>
  <c r="H21" i="276"/>
  <c r="C22" i="276"/>
  <c r="G22" i="276" s="1"/>
  <c r="F22" i="276"/>
  <c r="H22" i="276"/>
  <c r="C23" i="276"/>
  <c r="G23" i="276" s="1"/>
  <c r="F23" i="276"/>
  <c r="H23" i="276"/>
  <c r="C24" i="276"/>
  <c r="G24" i="276" s="1"/>
  <c r="F24" i="276"/>
  <c r="H24" i="276"/>
  <c r="C25" i="276"/>
  <c r="G25" i="276" s="1"/>
  <c r="F25" i="276"/>
  <c r="H25" i="276"/>
  <c r="C26" i="276"/>
  <c r="G26" i="276" s="1"/>
  <c r="F26" i="276"/>
  <c r="H26" i="276"/>
  <c r="B27" i="276"/>
  <c r="D27" i="276"/>
  <c r="C39" i="276"/>
  <c r="C40" i="276"/>
  <c r="C41" i="276"/>
  <c r="C42" i="276"/>
  <c r="C43" i="276"/>
  <c r="C44" i="276"/>
  <c r="C45" i="276"/>
  <c r="C46" i="276"/>
  <c r="B47" i="276"/>
  <c r="D47" i="276"/>
  <c r="B48" i="276"/>
  <c r="D48" i="276"/>
  <c r="B49" i="276"/>
  <c r="D49" i="276"/>
  <c r="B50" i="276"/>
  <c r="D50" i="276"/>
  <c r="B51" i="276"/>
  <c r="D51" i="276"/>
  <c r="B52" i="276"/>
  <c r="D52" i="276"/>
  <c r="B53" i="276"/>
  <c r="D53" i="276"/>
  <c r="B54" i="276"/>
  <c r="D54" i="276"/>
  <c r="AK35" i="359"/>
  <c r="AM35" i="359"/>
  <c r="I36" i="359"/>
  <c r="J36" i="359"/>
  <c r="K36" i="359"/>
  <c r="L36" i="359"/>
  <c r="M36" i="359"/>
  <c r="N36" i="359"/>
  <c r="O36" i="359"/>
  <c r="P36" i="359"/>
  <c r="Q36" i="359"/>
  <c r="R36" i="359"/>
  <c r="S36" i="359"/>
  <c r="T36" i="359"/>
  <c r="U36" i="359"/>
  <c r="V36" i="359"/>
  <c r="W36" i="359"/>
  <c r="X36" i="359"/>
  <c r="Y36" i="359"/>
  <c r="Z36" i="359"/>
  <c r="AA36" i="359"/>
  <c r="AB36" i="359"/>
  <c r="AC36" i="359"/>
  <c r="AD36" i="359"/>
  <c r="AE36" i="359"/>
  <c r="AF36" i="359"/>
  <c r="AG36" i="359"/>
  <c r="AH36" i="359"/>
  <c r="A39" i="359"/>
  <c r="A51" i="359" s="1"/>
  <c r="M39" i="359"/>
  <c r="N39" i="359"/>
  <c r="O39" i="359"/>
  <c r="P39" i="359"/>
  <c r="Q39" i="359"/>
  <c r="R39" i="359"/>
  <c r="S39" i="359"/>
  <c r="T39" i="359"/>
  <c r="U39" i="359"/>
  <c r="V39" i="359"/>
  <c r="W39" i="359"/>
  <c r="X39" i="359"/>
  <c r="Y39" i="359"/>
  <c r="Z39" i="359"/>
  <c r="AA39" i="359"/>
  <c r="AB39" i="359"/>
  <c r="AC39" i="359"/>
  <c r="AD39" i="359"/>
  <c r="AE39" i="359"/>
  <c r="AF39" i="359"/>
  <c r="AG39" i="359"/>
  <c r="AH39" i="359"/>
  <c r="AI39" i="359"/>
  <c r="AJ39" i="359"/>
  <c r="A40" i="359"/>
  <c r="A52" i="359" s="1"/>
  <c r="C44" i="359"/>
  <c r="D44" i="359"/>
  <c r="E44" i="359"/>
  <c r="F44" i="359"/>
  <c r="G44" i="359"/>
  <c r="H44" i="359"/>
  <c r="I44" i="359"/>
  <c r="J44" i="359"/>
  <c r="K44" i="359"/>
  <c r="L44" i="359"/>
  <c r="M44" i="359"/>
  <c r="N44" i="359"/>
  <c r="O44" i="359"/>
  <c r="P44" i="359"/>
  <c r="Q44" i="359"/>
  <c r="R44" i="359"/>
  <c r="S44" i="359"/>
  <c r="T44" i="359"/>
  <c r="U44" i="359"/>
  <c r="V44" i="359"/>
  <c r="W44" i="359"/>
  <c r="X44" i="359"/>
  <c r="Y44" i="359"/>
  <c r="Z44" i="359"/>
  <c r="AA44" i="359"/>
  <c r="AB44" i="359"/>
  <c r="AC44" i="359"/>
  <c r="AD44" i="359"/>
  <c r="AE44" i="359"/>
  <c r="AF44" i="359"/>
  <c r="AG44" i="359"/>
  <c r="AH44" i="359"/>
  <c r="AI44" i="359"/>
  <c r="AJ44" i="359"/>
  <c r="Y48" i="359"/>
  <c r="Z48" i="359"/>
  <c r="AA48" i="359"/>
  <c r="AB48" i="359"/>
  <c r="AC48" i="359"/>
  <c r="AD48" i="359"/>
  <c r="AE48" i="359"/>
  <c r="AF48" i="359"/>
  <c r="AG48" i="359"/>
  <c r="AH48" i="359"/>
  <c r="J51" i="359"/>
  <c r="K51" i="359"/>
  <c r="L51" i="359"/>
  <c r="M51" i="359"/>
  <c r="N51" i="359"/>
  <c r="O51" i="359"/>
  <c r="P51" i="359"/>
  <c r="Q51" i="359"/>
  <c r="R51" i="359"/>
  <c r="S51" i="359"/>
  <c r="T51" i="359"/>
  <c r="U51" i="359"/>
  <c r="V51" i="359"/>
  <c r="W51" i="359"/>
  <c r="X51" i="359"/>
  <c r="Y51" i="359"/>
  <c r="Z51" i="359"/>
  <c r="AA51" i="359"/>
  <c r="AB51" i="359"/>
  <c r="AC51" i="359"/>
  <c r="AD51" i="359"/>
  <c r="AE51" i="359"/>
  <c r="AF51" i="359"/>
  <c r="AG51" i="359"/>
  <c r="AH51" i="359"/>
  <c r="AI51" i="359"/>
  <c r="AJ51" i="359"/>
  <c r="L56" i="359"/>
  <c r="M56" i="359"/>
  <c r="N56" i="359"/>
  <c r="O56" i="359"/>
  <c r="O137" i="359" s="1"/>
  <c r="P56" i="359"/>
  <c r="P137" i="359" s="1"/>
  <c r="Q56" i="359"/>
  <c r="R56" i="359"/>
  <c r="R137" i="359" s="1"/>
  <c r="S56" i="359"/>
  <c r="S137" i="359" s="1"/>
  <c r="T56" i="359"/>
  <c r="U56" i="359"/>
  <c r="U137" i="359" s="1"/>
  <c r="V56" i="359"/>
  <c r="V137" i="359" s="1"/>
  <c r="W56" i="359"/>
  <c r="X56" i="359"/>
  <c r="Y56" i="359"/>
  <c r="Y137" i="359" s="1"/>
  <c r="Z56" i="359"/>
  <c r="Z137" i="359" s="1"/>
  <c r="AA56" i="359"/>
  <c r="AB56" i="359"/>
  <c r="AC56" i="359"/>
  <c r="AD56" i="359"/>
  <c r="AE56" i="359"/>
  <c r="AE137" i="359" s="1"/>
  <c r="AF56" i="359"/>
  <c r="AF137" i="359" s="1"/>
  <c r="AG56" i="359"/>
  <c r="AH56" i="359"/>
  <c r="AI56" i="359"/>
  <c r="AJ56" i="359"/>
  <c r="A57" i="359"/>
  <c r="A61" i="359" s="1"/>
  <c r="A73" i="359" s="1"/>
  <c r="A60" i="359"/>
  <c r="A72" i="359" s="1"/>
  <c r="AI136" i="359"/>
  <c r="AI141" i="359" s="1"/>
  <c r="AJ136" i="359"/>
  <c r="AJ141" i="359" s="1"/>
  <c r="AK136" i="359"/>
  <c r="AK141" i="359" s="1"/>
  <c r="AL136" i="359"/>
  <c r="AL141" i="359" s="1"/>
  <c r="AM136" i="359"/>
  <c r="AM141" i="359" s="1"/>
  <c r="AN136" i="359"/>
  <c r="AN141" i="359" s="1"/>
  <c r="A143" i="359"/>
  <c r="A5" i="468"/>
  <c r="R5" i="468"/>
  <c r="S5" i="468"/>
  <c r="T5" i="468"/>
  <c r="U5" i="468"/>
  <c r="V5" i="468"/>
  <c r="W5" i="468"/>
  <c r="X5" i="468"/>
  <c r="Y5" i="468"/>
  <c r="Z5" i="468"/>
  <c r="AA5" i="468"/>
  <c r="AB5" i="468"/>
  <c r="AC5" i="468"/>
  <c r="AD5" i="468"/>
  <c r="AE5" i="468"/>
  <c r="AF5" i="468"/>
  <c r="AG5" i="468"/>
  <c r="AH5" i="468"/>
  <c r="AI5" i="468"/>
  <c r="AJ5" i="468"/>
  <c r="AK5" i="468"/>
  <c r="AL5" i="468"/>
  <c r="AM5" i="468"/>
  <c r="AN5" i="468"/>
  <c r="AO5" i="468"/>
  <c r="AP5" i="468"/>
  <c r="AQ5" i="468"/>
  <c r="AR5" i="468"/>
  <c r="AS5" i="468"/>
  <c r="AT5" i="468"/>
  <c r="AU5" i="468"/>
  <c r="A6" i="468"/>
  <c r="R6" i="468"/>
  <c r="S6" i="468"/>
  <c r="T6" i="468"/>
  <c r="U6" i="468"/>
  <c r="V6" i="468"/>
  <c r="W6" i="468"/>
  <c r="X6" i="468"/>
  <c r="Y6" i="468"/>
  <c r="Z6" i="468"/>
  <c r="AA6" i="468"/>
  <c r="AB6" i="468"/>
  <c r="AC6" i="468"/>
  <c r="AD6" i="468"/>
  <c r="AE6" i="468"/>
  <c r="AF6" i="468"/>
  <c r="AG6" i="468"/>
  <c r="AH6" i="468"/>
  <c r="AI6" i="468"/>
  <c r="AJ6" i="468"/>
  <c r="AK6" i="468"/>
  <c r="AL6" i="468"/>
  <c r="AM6" i="468"/>
  <c r="AN6" i="468"/>
  <c r="AO6" i="468"/>
  <c r="AP6" i="468"/>
  <c r="AQ6" i="468"/>
  <c r="AR6" i="468"/>
  <c r="AS6" i="468"/>
  <c r="AT6" i="468"/>
  <c r="AU6" i="468"/>
  <c r="BO9" i="468"/>
  <c r="BO58" i="468" s="1"/>
  <c r="BP9" i="468"/>
  <c r="BQ9" i="468"/>
  <c r="BR9" i="468"/>
  <c r="BS9" i="468"/>
  <c r="BT9" i="468"/>
  <c r="BU9" i="468"/>
  <c r="BV9" i="468"/>
  <c r="BW9" i="468"/>
  <c r="BX9" i="468"/>
  <c r="BY9" i="468"/>
  <c r="BZ9" i="468"/>
  <c r="CA9" i="468"/>
  <c r="CB9" i="468"/>
  <c r="CC9" i="468"/>
  <c r="AN10" i="468"/>
  <c r="AN98" i="468" s="1"/>
  <c r="AO10" i="468"/>
  <c r="AS15" i="468" s="1"/>
  <c r="BP10" i="468"/>
  <c r="BQ10" i="468"/>
  <c r="CB10" i="468"/>
  <c r="BT11" i="468"/>
  <c r="BU11" i="468"/>
  <c r="BV11" i="468"/>
  <c r="BW11" i="468"/>
  <c r="BX11" i="468"/>
  <c r="BY11" i="468"/>
  <c r="BZ11" i="468"/>
  <c r="CA11" i="468"/>
  <c r="CB11" i="468"/>
  <c r="CC11" i="468"/>
  <c r="A14" i="468"/>
  <c r="A19" i="468" s="1"/>
  <c r="F14" i="468"/>
  <c r="F19" i="468" s="1"/>
  <c r="G14" i="468"/>
  <c r="G19" i="468" s="1"/>
  <c r="H14" i="468"/>
  <c r="H19" i="468" s="1"/>
  <c r="I14" i="468"/>
  <c r="I19" i="468" s="1"/>
  <c r="J14" i="468"/>
  <c r="K14" i="468"/>
  <c r="L14" i="468"/>
  <c r="M14" i="468"/>
  <c r="N14" i="468"/>
  <c r="O14" i="468"/>
  <c r="P14" i="468"/>
  <c r="Q14" i="468"/>
  <c r="R14" i="468"/>
  <c r="S14" i="468"/>
  <c r="T14" i="468"/>
  <c r="U14" i="468"/>
  <c r="V14" i="468"/>
  <c r="W14" i="468"/>
  <c r="X14" i="468"/>
  <c r="Y14" i="468"/>
  <c r="Z14" i="468"/>
  <c r="AA14" i="468"/>
  <c r="AB14" i="468"/>
  <c r="AC14" i="468"/>
  <c r="AD14" i="468"/>
  <c r="AE14" i="468"/>
  <c r="AF14" i="468"/>
  <c r="AG14" i="468"/>
  <c r="AH14" i="468"/>
  <c r="AI14" i="468"/>
  <c r="AJ14" i="468"/>
  <c r="AK14" i="468"/>
  <c r="AL14" i="468"/>
  <c r="AM14" i="468"/>
  <c r="AN14" i="468"/>
  <c r="AO14" i="468"/>
  <c r="AP14" i="468"/>
  <c r="AP24" i="468" s="1"/>
  <c r="AQ14" i="468"/>
  <c r="AQ24" i="468" s="1"/>
  <c r="AQ29" i="468" s="1"/>
  <c r="AR14" i="468"/>
  <c r="AR24" i="468" s="1"/>
  <c r="AR29" i="468" s="1"/>
  <c r="AS14" i="468"/>
  <c r="AT14" i="468"/>
  <c r="AT24" i="468" s="1"/>
  <c r="AU14" i="468"/>
  <c r="AU24" i="468" s="1"/>
  <c r="AV14" i="468"/>
  <c r="AW14" i="468"/>
  <c r="AX14" i="468"/>
  <c r="AY14" i="468"/>
  <c r="AZ14" i="468"/>
  <c r="BA14" i="468"/>
  <c r="BB14" i="468"/>
  <c r="BC14" i="468"/>
  <c r="BD14" i="468"/>
  <c r="BE14" i="468"/>
  <c r="BF14" i="468"/>
  <c r="BG14" i="468"/>
  <c r="BH14" i="468"/>
  <c r="BI14" i="468"/>
  <c r="A15" i="468"/>
  <c r="A20" i="468" s="1"/>
  <c r="A55" i="468" s="1"/>
  <c r="A16" i="468"/>
  <c r="A21" i="468" s="1"/>
  <c r="A56" i="468" s="1"/>
  <c r="AC16" i="468"/>
  <c r="AD16" i="468"/>
  <c r="AE16" i="468"/>
  <c r="AF16" i="468"/>
  <c r="AG16" i="468"/>
  <c r="AH16" i="468"/>
  <c r="AI16" i="468"/>
  <c r="AJ16" i="468"/>
  <c r="AK16" i="468"/>
  <c r="AL16" i="468"/>
  <c r="AM16" i="468"/>
  <c r="AN16" i="468"/>
  <c r="AO16" i="468"/>
  <c r="AP16" i="468"/>
  <c r="AQ16" i="468"/>
  <c r="AR16" i="468"/>
  <c r="AS16" i="468"/>
  <c r="AT16" i="468"/>
  <c r="AU16" i="468"/>
  <c r="AV16" i="468"/>
  <c r="AW16" i="468"/>
  <c r="AX16" i="468"/>
  <c r="AY16" i="468"/>
  <c r="AZ16" i="468"/>
  <c r="BA16" i="468"/>
  <c r="BB16" i="468"/>
  <c r="BC16" i="468"/>
  <c r="BD16" i="468"/>
  <c r="BE16" i="468"/>
  <c r="BF16" i="468"/>
  <c r="BG16" i="468"/>
  <c r="BH16" i="468"/>
  <c r="BI16" i="468"/>
  <c r="A24" i="468"/>
  <c r="A29" i="468" s="1"/>
  <c r="R25" i="468"/>
  <c r="S25" i="468"/>
  <c r="T25" i="468"/>
  <c r="T99" i="468" s="1"/>
  <c r="U25" i="468"/>
  <c r="U99" i="468" s="1"/>
  <c r="V25" i="468"/>
  <c r="W25" i="468"/>
  <c r="W99" i="468" s="1"/>
  <c r="X25" i="468"/>
  <c r="X99" i="468" s="1"/>
  <c r="Y25" i="468"/>
  <c r="Y99" i="468" s="1"/>
  <c r="Z25" i="468"/>
  <c r="Z99" i="468" s="1"/>
  <c r="AA25" i="468"/>
  <c r="AB25" i="468"/>
  <c r="AB99" i="468" s="1"/>
  <c r="AC25" i="468"/>
  <c r="AD25" i="468"/>
  <c r="AE25" i="468"/>
  <c r="AE99" i="468" s="1"/>
  <c r="AF25" i="468"/>
  <c r="AF99" i="468" s="1"/>
  <c r="AG25" i="468"/>
  <c r="AH25" i="468"/>
  <c r="AI25" i="468"/>
  <c r="AJ25" i="468"/>
  <c r="AK25" i="468"/>
  <c r="AK99" i="468" s="1"/>
  <c r="AL25" i="468"/>
  <c r="AL99" i="468" s="1"/>
  <c r="AM25" i="468"/>
  <c r="AM99" i="468" s="1"/>
  <c r="AN25" i="468"/>
  <c r="AN99" i="468" s="1"/>
  <c r="AO25" i="468"/>
  <c r="AO99" i="468" s="1"/>
  <c r="AP25" i="468"/>
  <c r="AP99" i="468" s="1"/>
  <c r="AQ25" i="468"/>
  <c r="AR25" i="468"/>
  <c r="A26" i="468"/>
  <c r="F29" i="468"/>
  <c r="G29" i="468"/>
  <c r="H29" i="468"/>
  <c r="I29" i="468"/>
  <c r="J29" i="468"/>
  <c r="K29" i="468"/>
  <c r="L29" i="468"/>
  <c r="M29" i="468"/>
  <c r="N29" i="468"/>
  <c r="O29" i="468"/>
  <c r="P29" i="468"/>
  <c r="Q29" i="468"/>
  <c r="V29" i="468"/>
  <c r="W29" i="468"/>
  <c r="X29" i="468"/>
  <c r="Y29" i="468"/>
  <c r="Z29" i="468"/>
  <c r="AA29" i="468"/>
  <c r="AB29" i="468"/>
  <c r="AC29" i="468"/>
  <c r="AD29" i="468"/>
  <c r="AE29" i="468"/>
  <c r="AF29" i="468"/>
  <c r="AG29" i="468"/>
  <c r="AH29" i="468"/>
  <c r="AI29" i="468"/>
  <c r="AJ29" i="468"/>
  <c r="AK29" i="468"/>
  <c r="AL29" i="468"/>
  <c r="AM29" i="468"/>
  <c r="AN29" i="468"/>
  <c r="AO29" i="468"/>
  <c r="BP29" i="468"/>
  <c r="BQ29" i="468"/>
  <c r="BR29" i="468"/>
  <c r="BS29" i="468"/>
  <c r="BT29" i="468"/>
  <c r="BU29" i="468"/>
  <c r="BV29" i="468"/>
  <c r="BW29" i="468"/>
  <c r="BX29" i="468"/>
  <c r="BY29" i="468"/>
  <c r="BZ29" i="468"/>
  <c r="CA29" i="468"/>
  <c r="CB29" i="468"/>
  <c r="CC29" i="468"/>
  <c r="A46" i="468"/>
  <c r="A36" i="468" s="1"/>
  <c r="A51" i="468" s="1"/>
  <c r="C44" i="468"/>
  <c r="D44" i="468"/>
  <c r="E44" i="468"/>
  <c r="F44" i="468"/>
  <c r="G44" i="468"/>
  <c r="H44" i="468"/>
  <c r="I44" i="468"/>
  <c r="J44" i="468"/>
  <c r="K44" i="468"/>
  <c r="L44" i="468"/>
  <c r="M44" i="468"/>
  <c r="N44" i="468"/>
  <c r="O44" i="468"/>
  <c r="P44" i="468"/>
  <c r="Q44" i="468"/>
  <c r="R44" i="468"/>
  <c r="S44" i="468"/>
  <c r="T44" i="468"/>
  <c r="U44" i="468"/>
  <c r="V44" i="468"/>
  <c r="W44" i="468"/>
  <c r="X44" i="468"/>
  <c r="Y44" i="468"/>
  <c r="Z44" i="468"/>
  <c r="AA44" i="468"/>
  <c r="AB44" i="468"/>
  <c r="AC44" i="468"/>
  <c r="AD44" i="468"/>
  <c r="AE44" i="468"/>
  <c r="AF44" i="468"/>
  <c r="AG44" i="468"/>
  <c r="AH44" i="468"/>
  <c r="AI44" i="468"/>
  <c r="AJ44" i="468"/>
  <c r="AK44" i="468"/>
  <c r="AL44" i="468"/>
  <c r="AM44" i="468"/>
  <c r="AN44" i="468"/>
  <c r="AO44" i="468"/>
  <c r="AP44" i="468"/>
  <c r="AQ44" i="468"/>
  <c r="AR44" i="468"/>
  <c r="AS44" i="468"/>
  <c r="AT44" i="468"/>
  <c r="AU44" i="468"/>
  <c r="AX54" i="468" s="1"/>
  <c r="AZ44" i="468"/>
  <c r="BA44" i="468"/>
  <c r="BB44" i="468"/>
  <c r="BC44" i="468"/>
  <c r="BD44" i="468"/>
  <c r="BE44" i="468"/>
  <c r="BF44" i="468"/>
  <c r="BG44" i="468"/>
  <c r="BH44" i="468"/>
  <c r="BI44" i="468"/>
  <c r="A45" i="468"/>
  <c r="A50" i="468" s="1"/>
  <c r="M45" i="468"/>
  <c r="N45" i="468"/>
  <c r="O45" i="468"/>
  <c r="BA45" i="468"/>
  <c r="BB45" i="468"/>
  <c r="BC45" i="468"/>
  <c r="BD45" i="468"/>
  <c r="BE45" i="468"/>
  <c r="BF45" i="468"/>
  <c r="BG45" i="468"/>
  <c r="BN45" i="468"/>
  <c r="Z46" i="468"/>
  <c r="AA46" i="468"/>
  <c r="AB46" i="468"/>
  <c r="AC46" i="468"/>
  <c r="AD46" i="468"/>
  <c r="AE46" i="468"/>
  <c r="AF46" i="468"/>
  <c r="AG46" i="468"/>
  <c r="AH46" i="468"/>
  <c r="AI46" i="468"/>
  <c r="AJ46" i="468"/>
  <c r="AK46" i="468"/>
  <c r="AL46" i="468"/>
  <c r="AM46" i="468"/>
  <c r="AN46" i="468"/>
  <c r="AO46" i="468"/>
  <c r="AP46" i="468"/>
  <c r="AQ46" i="468"/>
  <c r="AR46" i="468"/>
  <c r="AS46" i="468"/>
  <c r="AT46" i="468"/>
  <c r="AU46" i="468"/>
  <c r="AX56" i="468" s="1"/>
  <c r="AZ46" i="468"/>
  <c r="BA46" i="468"/>
  <c r="BB46" i="468"/>
  <c r="BC46" i="468"/>
  <c r="BD46" i="468"/>
  <c r="BE46" i="468"/>
  <c r="BF46" i="468"/>
  <c r="BG46" i="468"/>
  <c r="BH46" i="468"/>
  <c r="BI46" i="468"/>
  <c r="BN46" i="468"/>
  <c r="BN55" i="468"/>
  <c r="BQ55" i="468"/>
  <c r="BR55" i="468"/>
  <c r="BS55" i="468"/>
  <c r="BT55" i="468"/>
  <c r="BU55" i="468"/>
  <c r="BV55" i="468"/>
  <c r="BW55" i="468"/>
  <c r="BX55" i="468"/>
  <c r="BY55" i="468"/>
  <c r="BZ55" i="468"/>
  <c r="CA55" i="468"/>
  <c r="CB55" i="468"/>
  <c r="BN56" i="468"/>
  <c r="AZ58" i="468"/>
  <c r="BA58" i="468"/>
  <c r="BB58" i="468"/>
  <c r="BC58" i="468"/>
  <c r="BD58" i="468"/>
  <c r="BE58" i="468"/>
  <c r="BF58" i="468"/>
  <c r="BG58" i="468"/>
  <c r="B90" i="468"/>
  <c r="C90" i="468"/>
  <c r="D90" i="468"/>
  <c r="E90" i="468"/>
  <c r="F90" i="468"/>
  <c r="G90" i="468"/>
  <c r="H90" i="468"/>
  <c r="I90" i="468"/>
  <c r="J90" i="468"/>
  <c r="K90" i="468"/>
  <c r="L90" i="468"/>
  <c r="M90" i="468"/>
  <c r="N90" i="468"/>
  <c r="O90" i="468"/>
  <c r="P90" i="468"/>
  <c r="Q90" i="468"/>
  <c r="R90" i="468"/>
  <c r="S90" i="468"/>
  <c r="T90" i="468"/>
  <c r="U90" i="468"/>
  <c r="V90" i="468"/>
  <c r="W90" i="468"/>
  <c r="X90" i="468"/>
  <c r="Y90" i="468"/>
  <c r="Z90" i="468"/>
  <c r="AA90" i="468"/>
  <c r="AB90" i="468"/>
  <c r="AC90" i="468"/>
  <c r="AD90" i="468"/>
  <c r="AE90" i="468"/>
  <c r="AF90" i="468"/>
  <c r="AG90" i="468"/>
  <c r="AH90" i="468"/>
  <c r="AI90" i="468"/>
  <c r="AJ90" i="468"/>
  <c r="AK90" i="468"/>
  <c r="AL90" i="468"/>
  <c r="AM90" i="468"/>
  <c r="AN90" i="468"/>
  <c r="AO90" i="468"/>
  <c r="AP90" i="468"/>
  <c r="AQ90" i="468"/>
  <c r="AR90" i="468"/>
  <c r="AS90" i="468"/>
  <c r="AT90" i="468"/>
  <c r="AU90" i="468"/>
  <c r="AV90" i="468"/>
  <c r="AW90" i="468"/>
  <c r="AX90" i="468"/>
  <c r="AY90" i="468"/>
  <c r="AZ90" i="468"/>
  <c r="BA90" i="468"/>
  <c r="BB90" i="468"/>
  <c r="BC90" i="468"/>
  <c r="BD90" i="468"/>
  <c r="BE90" i="468"/>
  <c r="BF90" i="468"/>
  <c r="BG90" i="468"/>
  <c r="BH90" i="468"/>
  <c r="BI90" i="468"/>
  <c r="AK92" i="468"/>
  <c r="AL92" i="468"/>
  <c r="AL93" i="468" s="1"/>
  <c r="AM92" i="468"/>
  <c r="AM93" i="468" s="1"/>
  <c r="AN92" i="468"/>
  <c r="AO92" i="468"/>
  <c r="AO95" i="468" s="1"/>
  <c r="AP92" i="468"/>
  <c r="AP95" i="468" s="1"/>
  <c r="AQ92" i="468"/>
  <c r="AQ95" i="468" s="1"/>
  <c r="AR92" i="468"/>
  <c r="AR95" i="468" s="1"/>
  <c r="AS92" i="468"/>
  <c r="AS95" i="468" s="1"/>
  <c r="AT92" i="468"/>
  <c r="AT95" i="468" s="1"/>
  <c r="AU92" i="468"/>
  <c r="AV92" i="468"/>
  <c r="AW92" i="468"/>
  <c r="AW95" i="468" s="1"/>
  <c r="AX92" i="468"/>
  <c r="AY92" i="468"/>
  <c r="AY95" i="468" s="1"/>
  <c r="AZ92" i="468"/>
  <c r="AZ95" i="468" s="1"/>
  <c r="BA92" i="468"/>
  <c r="BB92" i="468"/>
  <c r="BC92" i="468"/>
  <c r="BC95" i="468" s="1"/>
  <c r="BD92" i="468"/>
  <c r="BE92" i="468"/>
  <c r="BE95" i="468" s="1"/>
  <c r="BF92" i="468"/>
  <c r="BG92" i="468"/>
  <c r="BH92" i="468"/>
  <c r="BH95" i="468" s="1"/>
  <c r="BI92" i="468"/>
  <c r="BI95" i="468" s="1"/>
  <c r="BO92" i="468"/>
  <c r="BO109" i="468" s="1"/>
  <c r="BP92" i="468"/>
  <c r="BQ92" i="468"/>
  <c r="BR92" i="468"/>
  <c r="BS92" i="468"/>
  <c r="BT92" i="468"/>
  <c r="BU92" i="468"/>
  <c r="BV92" i="468"/>
  <c r="F93" i="468"/>
  <c r="G93" i="468"/>
  <c r="H93" i="468"/>
  <c r="I93" i="468"/>
  <c r="J93" i="468"/>
  <c r="K93" i="468"/>
  <c r="L93" i="468"/>
  <c r="M93" i="468"/>
  <c r="N93" i="468"/>
  <c r="O93" i="468"/>
  <c r="P93" i="468"/>
  <c r="Q93" i="468"/>
  <c r="R93" i="468"/>
  <c r="S93" i="468"/>
  <c r="T93" i="468"/>
  <c r="U93" i="468"/>
  <c r="V93" i="468"/>
  <c r="W93" i="468"/>
  <c r="X93" i="468"/>
  <c r="Y93" i="468"/>
  <c r="Z93" i="468"/>
  <c r="AA93" i="468"/>
  <c r="AB93" i="468"/>
  <c r="AC93" i="468"/>
  <c r="AD93" i="468"/>
  <c r="AE93" i="468"/>
  <c r="AF93" i="468"/>
  <c r="AG93" i="468"/>
  <c r="AH93" i="468"/>
  <c r="AI93" i="468"/>
  <c r="AJ93" i="468"/>
  <c r="BN94" i="468"/>
  <c r="BO94" i="468"/>
  <c r="BP94" i="468"/>
  <c r="BQ94" i="468"/>
  <c r="BR94" i="468"/>
  <c r="BS94" i="468"/>
  <c r="BT94" i="468"/>
  <c r="BU94" i="468"/>
  <c r="BV94" i="468"/>
  <c r="BW94" i="468"/>
  <c r="BX94" i="468"/>
  <c r="BY94" i="468"/>
  <c r="BZ94" i="468"/>
  <c r="CA94" i="468"/>
  <c r="CB94" i="468"/>
  <c r="CC94" i="468"/>
  <c r="B95" i="468"/>
  <c r="C95" i="468"/>
  <c r="D95" i="468"/>
  <c r="E95" i="468"/>
  <c r="F95" i="468"/>
  <c r="G95" i="468"/>
  <c r="H95" i="468"/>
  <c r="I95" i="468"/>
  <c r="J95" i="468"/>
  <c r="K95" i="468"/>
  <c r="L95" i="468"/>
  <c r="M95" i="468"/>
  <c r="N95" i="468"/>
  <c r="O95" i="468"/>
  <c r="P95" i="468"/>
  <c r="Q95" i="468"/>
  <c r="R95" i="468"/>
  <c r="S95" i="468"/>
  <c r="T95" i="468"/>
  <c r="U95" i="468"/>
  <c r="V95" i="468"/>
  <c r="W95" i="468"/>
  <c r="X95" i="468"/>
  <c r="Y95" i="468"/>
  <c r="Z95" i="468"/>
  <c r="AA95" i="468"/>
  <c r="AB95" i="468"/>
  <c r="AC95" i="468"/>
  <c r="AD95" i="468"/>
  <c r="AE95" i="468"/>
  <c r="AF95" i="468"/>
  <c r="AG95" i="468"/>
  <c r="AH95" i="468"/>
  <c r="AI95" i="468"/>
  <c r="AJ95" i="468"/>
  <c r="L98" i="468"/>
  <c r="L101" i="468" s="1"/>
  <c r="M98" i="468"/>
  <c r="M101" i="468" s="1"/>
  <c r="N98" i="468"/>
  <c r="O98" i="468"/>
  <c r="O101" i="468" s="1"/>
  <c r="AZ98" i="468"/>
  <c r="AZ101" i="468" s="1"/>
  <c r="BA98" i="468"/>
  <c r="BB98" i="468"/>
  <c r="BC98" i="468"/>
  <c r="BC101" i="468" s="1"/>
  <c r="BD98" i="468"/>
  <c r="BD101" i="468" s="1"/>
  <c r="BE98" i="468"/>
  <c r="BE101" i="468" s="1"/>
  <c r="BF98" i="468"/>
  <c r="BF101" i="468" s="1"/>
  <c r="BG98" i="468"/>
  <c r="BG101" i="468" s="1"/>
  <c r="BP98" i="468"/>
  <c r="P99" i="468"/>
  <c r="Q99" i="468"/>
  <c r="AS99" i="468"/>
  <c r="AT99" i="468"/>
  <c r="AU99" i="468"/>
  <c r="AV99" i="468"/>
  <c r="AW99" i="468"/>
  <c r="AX99" i="468"/>
  <c r="AY99" i="468"/>
  <c r="AZ99" i="468"/>
  <c r="BA99" i="468"/>
  <c r="BB99" i="468"/>
  <c r="BC99" i="468"/>
  <c r="BD99" i="468"/>
  <c r="BE99" i="468"/>
  <c r="BF99" i="468"/>
  <c r="BG99" i="468"/>
  <c r="BN100" i="468"/>
  <c r="BO100" i="468"/>
  <c r="BP100" i="468"/>
  <c r="BQ100" i="468"/>
  <c r="BR100" i="468"/>
  <c r="BS100" i="468"/>
  <c r="BT100" i="468"/>
  <c r="BU100" i="468"/>
  <c r="BV100" i="468"/>
  <c r="BW100" i="468"/>
  <c r="BX100" i="468"/>
  <c r="BY100" i="468"/>
  <c r="BZ100" i="468"/>
  <c r="CA100" i="468"/>
  <c r="CB100" i="468"/>
  <c r="CC100" i="468"/>
  <c r="Y104" i="468"/>
  <c r="BT104" i="468" s="1"/>
  <c r="AL104" i="468"/>
  <c r="AL105" i="468" s="1"/>
  <c r="AM104" i="468"/>
  <c r="AM105" i="468" s="1"/>
  <c r="AN104" i="468"/>
  <c r="AN107" i="468" s="1"/>
  <c r="AO104" i="468"/>
  <c r="AO107" i="468" s="1"/>
  <c r="AP104" i="468"/>
  <c r="AQ104" i="468"/>
  <c r="AQ107" i="468" s="1"/>
  <c r="AR104" i="468"/>
  <c r="AR107" i="468" s="1"/>
  <c r="AS104" i="468"/>
  <c r="AS107" i="468" s="1"/>
  <c r="AT104" i="468"/>
  <c r="AT107" i="468" s="1"/>
  <c r="AU104" i="468"/>
  <c r="AV104" i="468"/>
  <c r="AV107" i="468" s="1"/>
  <c r="AW104" i="468"/>
  <c r="AX104" i="468"/>
  <c r="AY104" i="468"/>
  <c r="AZ104" i="468"/>
  <c r="BA104" i="468"/>
  <c r="BB104" i="468"/>
  <c r="BB107" i="468" s="1"/>
  <c r="BC104" i="468"/>
  <c r="BD104" i="468"/>
  <c r="BD107" i="468" s="1"/>
  <c r="BE104" i="468"/>
  <c r="BF104" i="468"/>
  <c r="BF107" i="468" s="1"/>
  <c r="BG104" i="468"/>
  <c r="BH104" i="468"/>
  <c r="BH107" i="468" s="1"/>
  <c r="BI104" i="468"/>
  <c r="BI107" i="468" s="1"/>
  <c r="BU104" i="468"/>
  <c r="BV104" i="468"/>
  <c r="BW104" i="468"/>
  <c r="AD105" i="468"/>
  <c r="AE105" i="468"/>
  <c r="AF105" i="468"/>
  <c r="AG105" i="468"/>
  <c r="AH105" i="468"/>
  <c r="AI105" i="468"/>
  <c r="AJ105" i="468"/>
  <c r="AK105" i="468"/>
  <c r="BN106" i="468"/>
  <c r="BO106" i="468"/>
  <c r="BP106" i="468"/>
  <c r="BQ106" i="468"/>
  <c r="BR106" i="468"/>
  <c r="BS106" i="468"/>
  <c r="BT106" i="468"/>
  <c r="BU106" i="468"/>
  <c r="BV106" i="468"/>
  <c r="BW106" i="468"/>
  <c r="BX106" i="468"/>
  <c r="BY106" i="468"/>
  <c r="BZ106" i="468"/>
  <c r="CA106" i="468"/>
  <c r="CB106" i="468"/>
  <c r="CC106" i="468"/>
  <c r="Z107" i="468"/>
  <c r="AA107" i="468"/>
  <c r="AB107" i="468"/>
  <c r="AC107" i="468"/>
  <c r="AD107" i="468"/>
  <c r="AE107" i="468"/>
  <c r="AF107" i="468"/>
  <c r="AG107" i="468"/>
  <c r="AH107" i="468"/>
  <c r="AI107" i="468"/>
  <c r="AJ107" i="468"/>
  <c r="AK107" i="468"/>
  <c r="D1058" i="1"/>
  <c r="D12" i="1" s="1"/>
  <c r="D1297" i="1" s="1"/>
  <c r="D1303" i="1" s="1"/>
  <c r="E1058" i="1"/>
  <c r="F1058" i="1"/>
  <c r="F12" i="1" s="1"/>
  <c r="F1297" i="1" s="1"/>
  <c r="F1303" i="1" s="1"/>
  <c r="G1058" i="1"/>
  <c r="G1098" i="1" s="1"/>
  <c r="G1101" i="1" s="1"/>
  <c r="H1058" i="1"/>
  <c r="H1098" i="1" s="1"/>
  <c r="H1101" i="1" s="1"/>
  <c r="I1058" i="1"/>
  <c r="I1098" i="1" s="1"/>
  <c r="I1101" i="1" s="1"/>
  <c r="J1058" i="1"/>
  <c r="K1058" i="1"/>
  <c r="K12" i="1" s="1"/>
  <c r="K1297" i="1" s="1"/>
  <c r="K1303" i="1" s="1"/>
  <c r="L1058" i="1"/>
  <c r="L12" i="1" s="1"/>
  <c r="L1297" i="1" s="1"/>
  <c r="L1303" i="1" s="1"/>
  <c r="M1058" i="1"/>
  <c r="M12" i="1" s="1"/>
  <c r="M1297" i="1" s="1"/>
  <c r="M1303" i="1" s="1"/>
  <c r="N1058" i="1"/>
  <c r="N1098" i="1" s="1"/>
  <c r="N1101" i="1" s="1"/>
  <c r="O1058" i="1"/>
  <c r="P1058" i="1"/>
  <c r="Q1058" i="1"/>
  <c r="Q12" i="1" s="1"/>
  <c r="Q1297" i="1" s="1"/>
  <c r="Q1303" i="1" s="1"/>
  <c r="R1058" i="1"/>
  <c r="R1098" i="1" s="1"/>
  <c r="R1101" i="1" s="1"/>
  <c r="S1058" i="1"/>
  <c r="T1058" i="1"/>
  <c r="T1098" i="1" s="1"/>
  <c r="T1101" i="1" s="1"/>
  <c r="U1058" i="1"/>
  <c r="V1058" i="1"/>
  <c r="V12" i="1" s="1"/>
  <c r="V1297" i="1" s="1"/>
  <c r="V1303" i="1" s="1"/>
  <c r="W227" i="1"/>
  <c r="X227" i="1"/>
  <c r="X282" i="1" s="1"/>
  <c r="Y227" i="1"/>
  <c r="Y292" i="1" s="1"/>
  <c r="Z227" i="1"/>
  <c r="Z282" i="1" s="1"/>
  <c r="AA227" i="1"/>
  <c r="AE242" i="1" s="1"/>
  <c r="AB227" i="1"/>
  <c r="AB12" i="1" s="1"/>
  <c r="AB1297" i="1" s="1"/>
  <c r="AB1303" i="1" s="1"/>
  <c r="AC227" i="1"/>
  <c r="AC292" i="1" s="1"/>
  <c r="AC291" i="1" s="1"/>
  <c r="AD227" i="1"/>
  <c r="AD12" i="1" s="1"/>
  <c r="AD1297" i="1" s="1"/>
  <c r="AD1303" i="1" s="1"/>
  <c r="AE227" i="1"/>
  <c r="AE292" i="1" s="1"/>
  <c r="AE291" i="1" s="1"/>
  <c r="AF227" i="1"/>
  <c r="AG227" i="1"/>
  <c r="AH227" i="1"/>
  <c r="AH282" i="1" s="1"/>
  <c r="AI227" i="1"/>
  <c r="AI12" i="1" s="1"/>
  <c r="AI963" i="1" s="1"/>
  <c r="AJ227" i="1"/>
  <c r="AJ12" i="1" s="1"/>
  <c r="AG514" i="1"/>
  <c r="C8" i="525" s="1"/>
  <c r="AG517" i="1"/>
  <c r="AG418" i="1"/>
  <c r="AJ418" i="1"/>
  <c r="AJ520" i="1" s="1"/>
  <c r="F16" i="525" s="1"/>
  <c r="AJ526" i="1"/>
  <c r="AN534" i="1" s="1"/>
  <c r="AF514" i="1"/>
  <c r="B8" i="525" s="1"/>
  <c r="AJ523" i="1"/>
  <c r="AN531" i="1" s="1"/>
  <c r="AF517" i="1"/>
  <c r="AJ524" i="1"/>
  <c r="AN532" i="1" s="1"/>
  <c r="AF418" i="1"/>
  <c r="AB418" i="1"/>
  <c r="AB520" i="1" s="1"/>
  <c r="AB517" i="1"/>
  <c r="AC418" i="1"/>
  <c r="AC488" i="1"/>
  <c r="AC517" i="1"/>
  <c r="AD514" i="1"/>
  <c r="AH523" i="1"/>
  <c r="AL531" i="1" s="1"/>
  <c r="AD517" i="1"/>
  <c r="AH524" i="1"/>
  <c r="AL532" i="1" s="1"/>
  <c r="AH418" i="1"/>
  <c r="AD418" i="1"/>
  <c r="AD520" i="1" s="1"/>
  <c r="AE514" i="1"/>
  <c r="AA514" i="1" s="1"/>
  <c r="W514" i="1" s="1"/>
  <c r="AI523" i="1"/>
  <c r="AM531" i="1" s="1"/>
  <c r="AE517" i="1"/>
  <c r="AI524" i="1"/>
  <c r="AM532" i="1" s="1"/>
  <c r="AI526" i="1"/>
  <c r="AM534" i="1" s="1"/>
  <c r="AI418" i="1"/>
  <c r="AE418" i="1"/>
  <c r="AE520" i="1" s="1"/>
  <c r="AS12" i="1"/>
  <c r="AS156" i="1" s="1"/>
  <c r="AT12" i="1"/>
  <c r="AT156" i="1" s="1"/>
  <c r="AU12" i="1"/>
  <c r="AU156" i="1" s="1"/>
  <c r="AV12" i="1"/>
  <c r="AV156" i="1" s="1"/>
  <c r="AW12" i="1"/>
  <c r="AW156" i="1" s="1"/>
  <c r="AX12" i="1"/>
  <c r="AX156" i="1" s="1"/>
  <c r="AY12" i="1"/>
  <c r="AY156" i="1" s="1"/>
  <c r="AZ12" i="1"/>
  <c r="AZ156" i="1" s="1"/>
  <c r="BA12" i="1"/>
  <c r="BA156" i="1" s="1"/>
  <c r="BB1058" i="1"/>
  <c r="BB12" i="1" s="1"/>
  <c r="BB156" i="1" s="1"/>
  <c r="BC1058" i="1"/>
  <c r="BC12" i="1" s="1"/>
  <c r="BC156" i="1" s="1"/>
  <c r="BD1058" i="1"/>
  <c r="BE1058" i="1"/>
  <c r="BE12" i="1" s="1"/>
  <c r="BE156" i="1" s="1"/>
  <c r="BJ1058" i="1"/>
  <c r="BJ12" i="1" s="1"/>
  <c r="BJ1297" i="1" s="1"/>
  <c r="BJ1303" i="1" s="1"/>
  <c r="R14" i="1"/>
  <c r="BC227" i="1"/>
  <c r="BC282" i="1" s="1"/>
  <c r="BB227" i="1"/>
  <c r="BB292" i="1" s="1"/>
  <c r="BB291" i="1" s="1"/>
  <c r="BD227" i="1"/>
  <c r="BD292" i="1" s="1"/>
  <c r="BD291" i="1" s="1"/>
  <c r="BE227" i="1"/>
  <c r="BE292" i="1" s="1"/>
  <c r="BX152" i="1"/>
  <c r="BY152" i="1" s="1"/>
  <c r="D18" i="1"/>
  <c r="D80" i="1" s="1"/>
  <c r="E18" i="1"/>
  <c r="E80" i="1" s="1"/>
  <c r="F18" i="1"/>
  <c r="F80" i="1" s="1"/>
  <c r="G18" i="1"/>
  <c r="G80" i="1" s="1"/>
  <c r="H18" i="1"/>
  <c r="H80" i="1" s="1"/>
  <c r="I18" i="1"/>
  <c r="J18" i="1"/>
  <c r="J80" i="1" s="1"/>
  <c r="K18" i="1"/>
  <c r="K80" i="1" s="1"/>
  <c r="L18" i="1"/>
  <c r="M18" i="1"/>
  <c r="M80" i="1" s="1"/>
  <c r="N18" i="1"/>
  <c r="N80" i="1" s="1"/>
  <c r="O18" i="1"/>
  <c r="O80" i="1" s="1"/>
  <c r="P18" i="1"/>
  <c r="P80" i="1" s="1"/>
  <c r="Q18" i="1"/>
  <c r="R18" i="1"/>
  <c r="R80" i="1" s="1"/>
  <c r="S18" i="1"/>
  <c r="S80" i="1" s="1"/>
  <c r="T18" i="1"/>
  <c r="U18" i="1"/>
  <c r="U80" i="1" s="1"/>
  <c r="V18" i="1"/>
  <c r="V80" i="1" s="1"/>
  <c r="AS18" i="1"/>
  <c r="AS80" i="1" s="1"/>
  <c r="AT18" i="1"/>
  <c r="AT80" i="1" s="1"/>
  <c r="AU18" i="1"/>
  <c r="AU80" i="1" s="1"/>
  <c r="AV18" i="1"/>
  <c r="AV80" i="1" s="1"/>
  <c r="AW18" i="1"/>
  <c r="AW1034" i="1" s="1"/>
  <c r="AX18" i="1"/>
  <c r="AX80" i="1" s="1"/>
  <c r="AY18" i="1"/>
  <c r="AY1034" i="1" s="1"/>
  <c r="AZ18" i="1"/>
  <c r="AZ1034" i="1" s="1"/>
  <c r="BA18" i="1"/>
  <c r="BA80" i="1" s="1"/>
  <c r="BB18" i="1"/>
  <c r="BB80" i="1" s="1"/>
  <c r="BC18" i="1"/>
  <c r="BC80" i="1" s="1"/>
  <c r="BD18" i="1"/>
  <c r="BE18" i="1"/>
  <c r="BG18" i="1"/>
  <c r="BG80" i="1" s="1"/>
  <c r="BH18" i="1"/>
  <c r="BH80" i="1" s="1"/>
  <c r="BI18" i="1"/>
  <c r="BI80" i="1" s="1"/>
  <c r="BJ18" i="1"/>
  <c r="BJ80" i="1" s="1"/>
  <c r="BL18" i="1"/>
  <c r="BM18" i="1"/>
  <c r="BN18" i="1"/>
  <c r="BO18" i="1"/>
  <c r="D1068" i="1"/>
  <c r="E1068" i="1"/>
  <c r="F1068" i="1"/>
  <c r="G1068" i="1"/>
  <c r="H1068" i="1"/>
  <c r="I1068" i="1"/>
  <c r="J1068" i="1"/>
  <c r="K1068" i="1"/>
  <c r="L1068" i="1"/>
  <c r="M1068" i="1"/>
  <c r="N1068" i="1"/>
  <c r="O1068" i="1"/>
  <c r="P1068" i="1"/>
  <c r="Q1068" i="1"/>
  <c r="R1068" i="1"/>
  <c r="S1068" i="1"/>
  <c r="T1068" i="1"/>
  <c r="U1068" i="1"/>
  <c r="V1068" i="1"/>
  <c r="W1058" i="1"/>
  <c r="W1098" i="1" s="1"/>
  <c r="W1101" i="1" s="1"/>
  <c r="W1068" i="1"/>
  <c r="X1058" i="1"/>
  <c r="X1068" i="1"/>
  <c r="Y1068" i="1"/>
  <c r="Z1068" i="1"/>
  <c r="AA1068" i="1"/>
  <c r="AB1068" i="1"/>
  <c r="AC1068" i="1"/>
  <c r="AD1068" i="1"/>
  <c r="AE1068" i="1"/>
  <c r="AF1068" i="1"/>
  <c r="AG1068" i="1"/>
  <c r="AH1068" i="1"/>
  <c r="AI1068" i="1"/>
  <c r="AJ1068" i="1"/>
  <c r="BO1068" i="1" s="1"/>
  <c r="AS1072" i="1"/>
  <c r="AS1077" i="1" s="1"/>
  <c r="AT1072" i="1"/>
  <c r="AT22" i="1" s="1"/>
  <c r="AU1072" i="1"/>
  <c r="AV1072" i="1"/>
  <c r="AV1077" i="1" s="1"/>
  <c r="AW1072" i="1"/>
  <c r="AW311" i="1" s="1"/>
  <c r="AX1072" i="1"/>
  <c r="AY1072" i="1"/>
  <c r="AY1077" i="1" s="1"/>
  <c r="AZ1072" i="1"/>
  <c r="AZ22" i="1" s="1"/>
  <c r="BA1072" i="1"/>
  <c r="BA22" i="1" s="1"/>
  <c r="BB1068" i="1"/>
  <c r="BC1068" i="1"/>
  <c r="BD1068" i="1"/>
  <c r="BE1068" i="1"/>
  <c r="BJ1068" i="1"/>
  <c r="BX156" i="1"/>
  <c r="BY156" i="1" s="1"/>
  <c r="D29" i="1"/>
  <c r="E29" i="1"/>
  <c r="E902" i="1" s="1"/>
  <c r="F29" i="1"/>
  <c r="F902" i="1" s="1"/>
  <c r="G29" i="1"/>
  <c r="H29" i="1"/>
  <c r="H902" i="1" s="1"/>
  <c r="I29" i="1"/>
  <c r="I902" i="1" s="1"/>
  <c r="J29" i="1"/>
  <c r="J902" i="1" s="1"/>
  <c r="K29" i="1"/>
  <c r="K902" i="1" s="1"/>
  <c r="L29" i="1"/>
  <c r="L902" i="1" s="1"/>
  <c r="M29" i="1"/>
  <c r="N29" i="1"/>
  <c r="O29" i="1"/>
  <c r="O902" i="1" s="1"/>
  <c r="P29" i="1"/>
  <c r="Q29" i="1"/>
  <c r="R29" i="1"/>
  <c r="R902" i="1" s="1"/>
  <c r="S29" i="1"/>
  <c r="T29" i="1"/>
  <c r="T902" i="1" s="1"/>
  <c r="U29" i="1"/>
  <c r="U902" i="1" s="1"/>
  <c r="V29" i="1"/>
  <c r="W29" i="1"/>
  <c r="X29" i="1"/>
  <c r="Y29" i="1"/>
  <c r="Y902" i="1" s="1"/>
  <c r="Z29" i="1"/>
  <c r="Z902" i="1" s="1"/>
  <c r="AA29" i="1"/>
  <c r="AA902" i="1" s="1"/>
  <c r="AB29" i="1"/>
  <c r="AB902" i="1" s="1"/>
  <c r="AC29" i="1"/>
  <c r="AD29" i="1"/>
  <c r="AD902" i="1" s="1"/>
  <c r="AE29" i="1"/>
  <c r="AE902" i="1" s="1"/>
  <c r="AF29" i="1"/>
  <c r="AF902" i="1" s="1"/>
  <c r="AG29" i="1"/>
  <c r="AK36" i="1" s="1"/>
  <c r="AH29" i="1"/>
  <c r="AI29" i="1"/>
  <c r="AM36" i="1" s="1"/>
  <c r="AJ29" i="1"/>
  <c r="AS29" i="1"/>
  <c r="AT29" i="1"/>
  <c r="AU29" i="1"/>
  <c r="AV29" i="1"/>
  <c r="AW29" i="1"/>
  <c r="AX29" i="1"/>
  <c r="AY29" i="1"/>
  <c r="AZ29" i="1"/>
  <c r="BA29" i="1"/>
  <c r="BB29" i="1"/>
  <c r="BC29" i="1"/>
  <c r="BD29" i="1"/>
  <c r="BE29" i="1"/>
  <c r="BG1079" i="1"/>
  <c r="BG29" i="1" s="1"/>
  <c r="BG902" i="1" s="1"/>
  <c r="BH1079" i="1"/>
  <c r="BH29" i="1" s="1"/>
  <c r="BH902" i="1" s="1"/>
  <c r="BI1079" i="1"/>
  <c r="BI29" i="1" s="1"/>
  <c r="BJ29" i="1"/>
  <c r="BJ902" i="1" s="1"/>
  <c r="BK1079" i="1"/>
  <c r="BK29" i="1" s="1"/>
  <c r="D30" i="1"/>
  <c r="D903" i="1" s="1"/>
  <c r="E30" i="1"/>
  <c r="E903" i="1" s="1"/>
  <c r="F30" i="1"/>
  <c r="F903" i="1" s="1"/>
  <c r="G30" i="1"/>
  <c r="G903" i="1" s="1"/>
  <c r="H30" i="1"/>
  <c r="H903" i="1" s="1"/>
  <c r="I30" i="1"/>
  <c r="J30" i="1"/>
  <c r="J903" i="1" s="1"/>
  <c r="K30" i="1"/>
  <c r="K903" i="1" s="1"/>
  <c r="L30" i="1"/>
  <c r="L903" i="1" s="1"/>
  <c r="M30" i="1"/>
  <c r="N30" i="1"/>
  <c r="N903" i="1" s="1"/>
  <c r="O30" i="1"/>
  <c r="O903" i="1" s="1"/>
  <c r="P30" i="1"/>
  <c r="Q30" i="1"/>
  <c r="R30" i="1"/>
  <c r="R903" i="1" s="1"/>
  <c r="S30" i="1"/>
  <c r="S903" i="1" s="1"/>
  <c r="T30" i="1"/>
  <c r="T903" i="1" s="1"/>
  <c r="U30" i="1"/>
  <c r="U903" i="1" s="1"/>
  <c r="V30" i="1"/>
  <c r="V903" i="1" s="1"/>
  <c r="W30" i="1"/>
  <c r="W903" i="1" s="1"/>
  <c r="X30" i="1"/>
  <c r="Y30" i="1"/>
  <c r="Y903" i="1" s="1"/>
  <c r="Z30" i="1"/>
  <c r="AA30" i="1"/>
  <c r="AB30" i="1"/>
  <c r="AC30" i="1"/>
  <c r="AC903" i="1" s="1"/>
  <c r="AD30" i="1"/>
  <c r="AD903" i="1" s="1"/>
  <c r="AE30" i="1"/>
  <c r="AF30" i="1"/>
  <c r="AF903" i="1" s="1"/>
  <c r="AG30" i="1"/>
  <c r="AH30" i="1"/>
  <c r="AI30" i="1"/>
  <c r="AJ30" i="1"/>
  <c r="AS30" i="1"/>
  <c r="AT30" i="1"/>
  <c r="AU30" i="1"/>
  <c r="AV30" i="1"/>
  <c r="AW30" i="1"/>
  <c r="AX30" i="1"/>
  <c r="AY30" i="1"/>
  <c r="AZ30" i="1"/>
  <c r="BA30" i="1"/>
  <c r="BB30" i="1"/>
  <c r="BC30" i="1"/>
  <c r="BD30" i="1"/>
  <c r="BE30" i="1"/>
  <c r="BG1080" i="1"/>
  <c r="BG30" i="1" s="1"/>
  <c r="BG903" i="1" s="1"/>
  <c r="BH1080" i="1"/>
  <c r="BH30" i="1" s="1"/>
  <c r="BH903" i="1" s="1"/>
  <c r="BI1080" i="1"/>
  <c r="BI30" i="1" s="1"/>
  <c r="BI903" i="1" s="1"/>
  <c r="BJ30" i="1"/>
  <c r="BJ903" i="1" s="1"/>
  <c r="BK1080" i="1"/>
  <c r="BK30" i="1" s="1"/>
  <c r="D31" i="1"/>
  <c r="D904" i="1" s="1"/>
  <c r="E31" i="1"/>
  <c r="E904" i="1" s="1"/>
  <c r="F31" i="1"/>
  <c r="F904" i="1" s="1"/>
  <c r="G31" i="1"/>
  <c r="G904" i="1" s="1"/>
  <c r="H31" i="1"/>
  <c r="H904" i="1" s="1"/>
  <c r="I31" i="1"/>
  <c r="J31" i="1"/>
  <c r="K31" i="1"/>
  <c r="K904" i="1" s="1"/>
  <c r="L31" i="1"/>
  <c r="L904" i="1" s="1"/>
  <c r="M31" i="1"/>
  <c r="M904" i="1" s="1"/>
  <c r="N31" i="1"/>
  <c r="N904" i="1" s="1"/>
  <c r="O31" i="1"/>
  <c r="P31" i="1"/>
  <c r="P904" i="1" s="1"/>
  <c r="Q31" i="1"/>
  <c r="R31" i="1"/>
  <c r="R904" i="1" s="1"/>
  <c r="S31" i="1"/>
  <c r="S904" i="1" s="1"/>
  <c r="T31" i="1"/>
  <c r="T904" i="1" s="1"/>
  <c r="U31" i="1"/>
  <c r="V31" i="1"/>
  <c r="V904" i="1" s="1"/>
  <c r="W31" i="1"/>
  <c r="X31" i="1"/>
  <c r="Y31" i="1"/>
  <c r="Y904" i="1" s="1"/>
  <c r="Z31" i="1"/>
  <c r="Z904" i="1" s="1"/>
  <c r="AA31" i="1"/>
  <c r="AA904" i="1" s="1"/>
  <c r="AB31" i="1"/>
  <c r="AC31" i="1"/>
  <c r="AC904" i="1" s="1"/>
  <c r="AD31" i="1"/>
  <c r="AD904" i="1" s="1"/>
  <c r="AE31" i="1"/>
  <c r="AE904" i="1" s="1"/>
  <c r="AF31" i="1"/>
  <c r="AF904" i="1" s="1"/>
  <c r="AG31" i="1"/>
  <c r="AH1110" i="1"/>
  <c r="AH31" i="1" s="1"/>
  <c r="AL38" i="1" s="1"/>
  <c r="AI1110" i="1"/>
  <c r="AI31" i="1" s="1"/>
  <c r="AJ1110" i="1"/>
  <c r="AJ31" i="1" s="1"/>
  <c r="AN38" i="1" s="1"/>
  <c r="AS31" i="1"/>
  <c r="AT31" i="1"/>
  <c r="AU31" i="1"/>
  <c r="AV31" i="1"/>
  <c r="AW31" i="1"/>
  <c r="AX31" i="1"/>
  <c r="AY31" i="1"/>
  <c r="AZ31" i="1"/>
  <c r="BA31" i="1"/>
  <c r="BB31" i="1"/>
  <c r="BC31" i="1"/>
  <c r="BD31" i="1"/>
  <c r="BE31" i="1"/>
  <c r="BG1081" i="1"/>
  <c r="BG31" i="1" s="1"/>
  <c r="BG904" i="1" s="1"/>
  <c r="BH1081" i="1"/>
  <c r="BH31" i="1" s="1"/>
  <c r="BH904" i="1" s="1"/>
  <c r="BI1081" i="1"/>
  <c r="BI31" i="1" s="1"/>
  <c r="BI904" i="1" s="1"/>
  <c r="BJ31" i="1"/>
  <c r="BJ904" i="1" s="1"/>
  <c r="BK1081" i="1"/>
  <c r="BK31" i="1" s="1"/>
  <c r="BK904" i="1" s="1"/>
  <c r="AH279" i="1"/>
  <c r="AI279" i="1"/>
  <c r="B36" i="1"/>
  <c r="B37" i="1"/>
  <c r="B38" i="1"/>
  <c r="B39" i="1"/>
  <c r="H427" i="1"/>
  <c r="H437" i="1"/>
  <c r="H617" i="1"/>
  <c r="H825" i="1"/>
  <c r="I427" i="1"/>
  <c r="I437" i="1"/>
  <c r="I617" i="1"/>
  <c r="I825" i="1"/>
  <c r="J427" i="1"/>
  <c r="J437" i="1"/>
  <c r="J617" i="1"/>
  <c r="J825" i="1"/>
  <c r="K427" i="1"/>
  <c r="K437" i="1"/>
  <c r="K617" i="1"/>
  <c r="K825" i="1"/>
  <c r="L427" i="1"/>
  <c r="L437" i="1"/>
  <c r="L617" i="1"/>
  <c r="L825" i="1"/>
  <c r="M427" i="1"/>
  <c r="M437" i="1"/>
  <c r="M617" i="1"/>
  <c r="M825" i="1"/>
  <c r="N427" i="1"/>
  <c r="N437" i="1"/>
  <c r="N617" i="1"/>
  <c r="N825" i="1"/>
  <c r="O427" i="1"/>
  <c r="O437" i="1"/>
  <c r="O617" i="1"/>
  <c r="O825" i="1"/>
  <c r="P427" i="1"/>
  <c r="P437" i="1"/>
  <c r="P617" i="1"/>
  <c r="P825" i="1"/>
  <c r="Q427" i="1"/>
  <c r="Q437" i="1"/>
  <c r="Q617" i="1"/>
  <c r="Q825" i="1"/>
  <c r="R427" i="1"/>
  <c r="R437" i="1"/>
  <c r="R617" i="1"/>
  <c r="R825" i="1"/>
  <c r="S427" i="1"/>
  <c r="S255" i="1"/>
  <c r="W262" i="1" s="1"/>
  <c r="S256" i="1"/>
  <c r="S263" i="1" s="1"/>
  <c r="S257" i="1"/>
  <c r="S264" i="1" s="1"/>
  <c r="T427" i="1"/>
  <c r="T437" i="1"/>
  <c r="T617" i="1"/>
  <c r="T825" i="1"/>
  <c r="U427" i="1"/>
  <c r="U437" i="1"/>
  <c r="U617" i="1"/>
  <c r="U825" i="1"/>
  <c r="V427" i="1"/>
  <c r="V437" i="1"/>
  <c r="V617" i="1"/>
  <c r="V825" i="1"/>
  <c r="W427" i="1"/>
  <c r="W437" i="1"/>
  <c r="W617" i="1"/>
  <c r="W825" i="1"/>
  <c r="W821" i="1" s="1"/>
  <c r="X427" i="1"/>
  <c r="X437" i="1"/>
  <c r="X617" i="1"/>
  <c r="X825" i="1"/>
  <c r="Y427" i="1"/>
  <c r="Y437" i="1"/>
  <c r="Y617" i="1"/>
  <c r="Y825" i="1"/>
  <c r="AC828" i="1" s="1"/>
  <c r="AC276" i="1" s="1"/>
  <c r="Z427" i="1"/>
  <c r="Z437" i="1"/>
  <c r="Z617" i="1"/>
  <c r="Z825" i="1"/>
  <c r="AD828" i="1" s="1"/>
  <c r="AD276" i="1" s="1"/>
  <c r="AA427" i="1"/>
  <c r="AA437" i="1"/>
  <c r="AA617" i="1"/>
  <c r="AA825" i="1"/>
  <c r="AB427" i="1"/>
  <c r="AB437" i="1"/>
  <c r="AB617" i="1"/>
  <c r="AB825" i="1"/>
  <c r="AF828" i="1" s="1"/>
  <c r="AF276" i="1" s="1"/>
  <c r="AC427" i="1"/>
  <c r="AC437" i="1"/>
  <c r="AC617" i="1"/>
  <c r="AC825" i="1"/>
  <c r="AC821" i="1" s="1"/>
  <c r="AD427" i="1"/>
  <c r="AD437" i="1"/>
  <c r="AD617" i="1"/>
  <c r="AD825" i="1"/>
  <c r="AE427" i="1"/>
  <c r="AE437" i="1"/>
  <c r="AE617" i="1"/>
  <c r="AE825" i="1"/>
  <c r="AI828" i="1" s="1"/>
  <c r="AI276" i="1" s="1"/>
  <c r="AF437" i="1"/>
  <c r="AF617" i="1"/>
  <c r="AF825" i="1"/>
  <c r="AJ828" i="1" s="1"/>
  <c r="AJ276" i="1" s="1"/>
  <c r="B44" i="1"/>
  <c r="B45" i="1"/>
  <c r="B46" i="1"/>
  <c r="B47" i="1"/>
  <c r="Z259" i="1"/>
  <c r="AA259" i="1"/>
  <c r="AA49" i="1" s="1"/>
  <c r="AA188" i="1" s="1"/>
  <c r="AB259" i="1"/>
  <c r="AB49" i="1" s="1"/>
  <c r="AC259" i="1"/>
  <c r="AD259" i="1"/>
  <c r="AD49" i="1" s="1"/>
  <c r="AD188" i="1" s="1"/>
  <c r="AE259" i="1"/>
  <c r="AF259" i="1"/>
  <c r="AF49" i="1" s="1"/>
  <c r="AF1267" i="1" s="1"/>
  <c r="AG259" i="1"/>
  <c r="AG188" i="1" s="1"/>
  <c r="AG1105" i="1"/>
  <c r="AG1107" i="1"/>
  <c r="AH259" i="1"/>
  <c r="AH1105" i="1"/>
  <c r="AH1107" i="1"/>
  <c r="AI259" i="1"/>
  <c r="AI1105" i="1"/>
  <c r="AI1107" i="1"/>
  <c r="AK822" i="1"/>
  <c r="AK823" i="1"/>
  <c r="BO823" i="1" s="1"/>
  <c r="AH875" i="1"/>
  <c r="AI875" i="1"/>
  <c r="AI864" i="1" s="1"/>
  <c r="AM864" i="1" s="1"/>
  <c r="AM875" i="1" s="1"/>
  <c r="L62" i="1"/>
  <c r="L51" i="1" s="1"/>
  <c r="M62" i="1"/>
  <c r="M51" i="1" s="1"/>
  <c r="N62" i="1"/>
  <c r="N51" i="1" s="1"/>
  <c r="O62" i="1"/>
  <c r="O51" i="1" s="1"/>
  <c r="P62" i="1"/>
  <c r="P51" i="1" s="1"/>
  <c r="Q62" i="1"/>
  <c r="Q51" i="1" s="1"/>
  <c r="R62" i="1"/>
  <c r="S62" i="1"/>
  <c r="T62" i="1"/>
  <c r="U62" i="1"/>
  <c r="V62" i="1"/>
  <c r="W1105" i="1"/>
  <c r="W1107" i="1"/>
  <c r="W1110" i="1"/>
  <c r="S1105" i="1"/>
  <c r="S1107" i="1"/>
  <c r="S1110" i="1"/>
  <c r="X62" i="1"/>
  <c r="X51" i="1" s="1"/>
  <c r="X203" i="1" s="1"/>
  <c r="Y62" i="1"/>
  <c r="Y51" i="1" s="1"/>
  <c r="Y203" i="1" s="1"/>
  <c r="Z62" i="1"/>
  <c r="Z51" i="1" s="1"/>
  <c r="Z203" i="1" s="1"/>
  <c r="AA62" i="1"/>
  <c r="AA51" i="1" s="1"/>
  <c r="AA203" i="1" s="1"/>
  <c r="AB62" i="1"/>
  <c r="AB51" i="1" s="1"/>
  <c r="AB203" i="1" s="1"/>
  <c r="AC62" i="1"/>
  <c r="AC51" i="1" s="1"/>
  <c r="AC203" i="1" s="1"/>
  <c r="AD62" i="1"/>
  <c r="AD51" i="1" s="1"/>
  <c r="AD203" i="1" s="1"/>
  <c r="AF62" i="1"/>
  <c r="AF51" i="1" s="1"/>
  <c r="AF203" i="1" s="1"/>
  <c r="AG62" i="1"/>
  <c r="AH62" i="1"/>
  <c r="AH51" i="1" s="1"/>
  <c r="AH203" i="1" s="1"/>
  <c r="AI62" i="1"/>
  <c r="AI51" i="1" s="1"/>
  <c r="AI203" i="1" s="1"/>
  <c r="AJ62" i="1"/>
  <c r="P1105" i="1"/>
  <c r="P1107" i="1"/>
  <c r="P1110" i="1"/>
  <c r="Q1105" i="1"/>
  <c r="Q1107" i="1"/>
  <c r="Q1110" i="1"/>
  <c r="R1105" i="1"/>
  <c r="R1107" i="1"/>
  <c r="R1110" i="1"/>
  <c r="BJ1105" i="1"/>
  <c r="BJ1107" i="1"/>
  <c r="BJ1110" i="1"/>
  <c r="AE62" i="1"/>
  <c r="AE51" i="1" s="1"/>
  <c r="AE203" i="1" s="1"/>
  <c r="BA62" i="1"/>
  <c r="BB62" i="1"/>
  <c r="BC62" i="1"/>
  <c r="BD62" i="1"/>
  <c r="BE62" i="1"/>
  <c r="BG62" i="1"/>
  <c r="BH62" i="1"/>
  <c r="AU63" i="1"/>
  <c r="AV63" i="1"/>
  <c r="AW63" i="1"/>
  <c r="AX63" i="1"/>
  <c r="AY63" i="1"/>
  <c r="AZ63" i="1"/>
  <c r="D71" i="1"/>
  <c r="E71" i="1"/>
  <c r="F71" i="1"/>
  <c r="G71" i="1"/>
  <c r="H71" i="1"/>
  <c r="I71" i="1"/>
  <c r="J71" i="1"/>
  <c r="K71" i="1"/>
  <c r="L71" i="1"/>
  <c r="M71" i="1"/>
  <c r="N71" i="1"/>
  <c r="O71" i="1"/>
  <c r="P71" i="1"/>
  <c r="Q71" i="1"/>
  <c r="R71" i="1"/>
  <c r="S1084" i="1"/>
  <c r="S71" i="1" s="1"/>
  <c r="T71" i="1"/>
  <c r="T70" i="1" s="1"/>
  <c r="U71" i="1"/>
  <c r="V71" i="1"/>
  <c r="W71" i="1"/>
  <c r="X71" i="1"/>
  <c r="Y71" i="1"/>
  <c r="Z71" i="1"/>
  <c r="Z70" i="1" s="1"/>
  <c r="AA71" i="1"/>
  <c r="AA70" i="1" s="1"/>
  <c r="AB71" i="1"/>
  <c r="AC71" i="1"/>
  <c r="AD71" i="1"/>
  <c r="AE71" i="1"/>
  <c r="AF71" i="1"/>
  <c r="AG71" i="1"/>
  <c r="AH71" i="1"/>
  <c r="AI71" i="1"/>
  <c r="AJ71" i="1"/>
  <c r="AS71" i="1"/>
  <c r="AS115" i="1" s="1"/>
  <c r="AT71" i="1"/>
  <c r="AT115" i="1" s="1"/>
  <c r="AU71" i="1"/>
  <c r="AU115" i="1" s="1"/>
  <c r="AV71" i="1"/>
  <c r="AV115" i="1" s="1"/>
  <c r="AW71" i="1"/>
  <c r="AW115" i="1" s="1"/>
  <c r="AX71" i="1"/>
  <c r="AX115" i="1" s="1"/>
  <c r="AY71" i="1"/>
  <c r="AY115" i="1" s="1"/>
  <c r="AZ71" i="1"/>
  <c r="AZ115" i="1" s="1"/>
  <c r="BA71" i="1"/>
  <c r="BB71" i="1"/>
  <c r="BC71" i="1"/>
  <c r="BD71" i="1"/>
  <c r="BE71" i="1"/>
  <c r="BG1084" i="1"/>
  <c r="BH1084" i="1"/>
  <c r="BI1084" i="1"/>
  <c r="AF21" i="28" s="1"/>
  <c r="BJ71" i="1"/>
  <c r="E58" i="523" s="1"/>
  <c r="D75" i="1"/>
  <c r="E75" i="1"/>
  <c r="F75" i="1"/>
  <c r="G75" i="1"/>
  <c r="H75" i="1"/>
  <c r="I75" i="1"/>
  <c r="J75" i="1"/>
  <c r="K75" i="1"/>
  <c r="L75" i="1"/>
  <c r="M75" i="1"/>
  <c r="N75" i="1"/>
  <c r="O75" i="1"/>
  <c r="E108" i="3" s="1"/>
  <c r="D104" i="3" s="1"/>
  <c r="P75" i="1"/>
  <c r="Q75" i="1"/>
  <c r="R75" i="1"/>
  <c r="S1091" i="1"/>
  <c r="S75" i="1" s="1"/>
  <c r="T75" i="1"/>
  <c r="V75" i="1"/>
  <c r="W75" i="1"/>
  <c r="X75" i="1"/>
  <c r="Y75" i="1"/>
  <c r="Z75" i="1"/>
  <c r="AA75" i="1"/>
  <c r="AB75" i="1"/>
  <c r="AC75" i="1"/>
  <c r="AD75" i="1"/>
  <c r="AE75" i="1"/>
  <c r="AF75" i="1"/>
  <c r="AG75" i="1"/>
  <c r="AH75" i="1"/>
  <c r="AI75" i="1"/>
  <c r="AJ75" i="1"/>
  <c r="AS75" i="1"/>
  <c r="AT75" i="1"/>
  <c r="AU75" i="1"/>
  <c r="AV75" i="1"/>
  <c r="AW75" i="1"/>
  <c r="AX75" i="1"/>
  <c r="AY75" i="1"/>
  <c r="AZ75" i="1"/>
  <c r="BA75" i="1"/>
  <c r="BB75" i="1"/>
  <c r="BC75" i="1"/>
  <c r="BD75" i="1"/>
  <c r="BE75" i="1"/>
  <c r="BG1091" i="1"/>
  <c r="BG75" i="1" s="1"/>
  <c r="BH1091" i="1"/>
  <c r="BH75" i="1" s="1"/>
  <c r="BI1091" i="1"/>
  <c r="AF26" i="28" s="1"/>
  <c r="AF72" i="28" s="1"/>
  <c r="BJ75" i="1"/>
  <c r="W80" i="1"/>
  <c r="X80" i="1"/>
  <c r="Y80" i="1"/>
  <c r="BM80" i="1"/>
  <c r="BN80" i="1"/>
  <c r="BO80" i="1"/>
  <c r="D88" i="1"/>
  <c r="D86" i="1" s="1"/>
  <c r="E88" i="1"/>
  <c r="E86" i="1" s="1"/>
  <c r="F88" i="1"/>
  <c r="F86" i="1" s="1"/>
  <c r="G88" i="1"/>
  <c r="G86" i="1" s="1"/>
  <c r="H88" i="1"/>
  <c r="H86" i="1" s="1"/>
  <c r="I88" i="1"/>
  <c r="I86" i="1" s="1"/>
  <c r="J88" i="1"/>
  <c r="J86" i="1" s="1"/>
  <c r="K1142" i="1"/>
  <c r="K88" i="1" s="1"/>
  <c r="K86" i="1" s="1"/>
  <c r="L88" i="1"/>
  <c r="M88" i="1"/>
  <c r="N88" i="1"/>
  <c r="O88" i="1"/>
  <c r="P88" i="1"/>
  <c r="Q88" i="1"/>
  <c r="R88" i="1"/>
  <c r="S1142" i="1"/>
  <c r="S88" i="1" s="1"/>
  <c r="T88" i="1"/>
  <c r="U88" i="1"/>
  <c r="V88" i="1"/>
  <c r="V86" i="1" s="1"/>
  <c r="W88" i="1"/>
  <c r="X88" i="1"/>
  <c r="Y88" i="1"/>
  <c r="Y86" i="1" s="1"/>
  <c r="Z88" i="1"/>
  <c r="Z86" i="1" s="1"/>
  <c r="AA88" i="1"/>
  <c r="AA86" i="1" s="1"/>
  <c r="AB88" i="1"/>
  <c r="AB86" i="1" s="1"/>
  <c r="AC88" i="1"/>
  <c r="AC86" i="1" s="1"/>
  <c r="AD88" i="1"/>
  <c r="AD86" i="1" s="1"/>
  <c r="AE88" i="1"/>
  <c r="AE86" i="1" s="1"/>
  <c r="AF88" i="1"/>
  <c r="AG88" i="1"/>
  <c r="AG86" i="1" s="1"/>
  <c r="X19" i="313"/>
  <c r="X28" i="313" s="1"/>
  <c r="AI88" i="1"/>
  <c r="AS88" i="1"/>
  <c r="AT88" i="1"/>
  <c r="AU88" i="1"/>
  <c r="AV88" i="1"/>
  <c r="AW88" i="1"/>
  <c r="AX88" i="1"/>
  <c r="AY88" i="1"/>
  <c r="AZ88" i="1"/>
  <c r="BA88" i="1"/>
  <c r="BB88" i="1"/>
  <c r="BC88" i="1"/>
  <c r="BD88" i="1"/>
  <c r="BG88" i="1" s="1"/>
  <c r="D55" i="3" s="1"/>
  <c r="BE88" i="1"/>
  <c r="BH88" i="1"/>
  <c r="C29" i="523" s="1"/>
  <c r="BI88" i="1"/>
  <c r="D29" i="523" s="1"/>
  <c r="BJ88" i="1"/>
  <c r="E29" i="523" s="1"/>
  <c r="D114" i="1"/>
  <c r="D100" i="1" s="1"/>
  <c r="E114" i="1"/>
  <c r="E100" i="1" s="1"/>
  <c r="F114" i="1"/>
  <c r="F100" i="1" s="1"/>
  <c r="G114" i="1"/>
  <c r="G100" i="1" s="1"/>
  <c r="H114" i="1"/>
  <c r="H100" i="1" s="1"/>
  <c r="I114" i="1"/>
  <c r="I100" i="1" s="1"/>
  <c r="J114" i="1"/>
  <c r="J100" i="1" s="1"/>
  <c r="K114" i="1"/>
  <c r="K100" i="1" s="1"/>
  <c r="L114" i="1"/>
  <c r="L100" i="1" s="1"/>
  <c r="M114" i="1"/>
  <c r="M100" i="1" s="1"/>
  <c r="N114" i="1"/>
  <c r="N100" i="1" s="1"/>
  <c r="O114" i="1"/>
  <c r="O100" i="1" s="1"/>
  <c r="P114" i="1"/>
  <c r="P100" i="1" s="1"/>
  <c r="Q114" i="1"/>
  <c r="Q100" i="1" s="1"/>
  <c r="R114" i="1"/>
  <c r="R100" i="1" s="1"/>
  <c r="S114" i="1"/>
  <c r="S100" i="1" s="1"/>
  <c r="T114" i="1"/>
  <c r="T100" i="1" s="1"/>
  <c r="U114" i="1"/>
  <c r="U100" i="1" s="1"/>
  <c r="V114" i="1"/>
  <c r="W114" i="1"/>
  <c r="W100" i="1" s="1"/>
  <c r="X114" i="1"/>
  <c r="X100" i="1" s="1"/>
  <c r="Y114" i="1"/>
  <c r="Y100" i="1" s="1"/>
  <c r="Z114" i="1"/>
  <c r="AA114" i="1"/>
  <c r="AA100" i="1" s="1"/>
  <c r="AB114" i="1"/>
  <c r="AB100" i="1" s="1"/>
  <c r="AC114" i="1"/>
  <c r="AC100" i="1" s="1"/>
  <c r="AD114" i="1"/>
  <c r="AE114" i="1"/>
  <c r="AE100" i="1" s="1"/>
  <c r="AF114" i="1"/>
  <c r="AF100" i="1" s="1"/>
  <c r="AG114" i="1"/>
  <c r="AG100" i="1" s="1"/>
  <c r="AH114" i="1"/>
  <c r="AI114" i="1"/>
  <c r="AI100" i="1" s="1"/>
  <c r="AJ114" i="1"/>
  <c r="AJ100" i="1" s="1"/>
  <c r="AS1199" i="1"/>
  <c r="AT1199" i="1"/>
  <c r="AT1198" i="1" s="1"/>
  <c r="AT1197" i="1" s="1"/>
  <c r="AU1199" i="1"/>
  <c r="AV1199" i="1"/>
  <c r="AW1199" i="1"/>
  <c r="AX1199" i="1"/>
  <c r="AY1199" i="1"/>
  <c r="AZ1199" i="1"/>
  <c r="BA1199" i="1"/>
  <c r="BB1199" i="1"/>
  <c r="BC1199" i="1"/>
  <c r="BD1199" i="1"/>
  <c r="BE1199" i="1"/>
  <c r="BH1199" i="1"/>
  <c r="BI1199" i="1"/>
  <c r="BJ1199" i="1"/>
  <c r="B115" i="1"/>
  <c r="AM115" i="1"/>
  <c r="D121" i="1"/>
  <c r="E121" i="1"/>
  <c r="F121" i="1"/>
  <c r="G121" i="1"/>
  <c r="H121" i="1"/>
  <c r="I121" i="1"/>
  <c r="J121" i="1"/>
  <c r="K1145" i="1"/>
  <c r="L121" i="1"/>
  <c r="M121" i="1"/>
  <c r="N121" i="1"/>
  <c r="O121" i="1"/>
  <c r="P121" i="1"/>
  <c r="Q121" i="1"/>
  <c r="R121" i="1"/>
  <c r="S1145" i="1"/>
  <c r="S1191" i="1" s="1"/>
  <c r="T121" i="1"/>
  <c r="U121" i="1"/>
  <c r="V121" i="1"/>
  <c r="W121" i="1"/>
  <c r="X121" i="1"/>
  <c r="Y121" i="1"/>
  <c r="Z121" i="1"/>
  <c r="AA121" i="1"/>
  <c r="AB121" i="1"/>
  <c r="AC121" i="1"/>
  <c r="AD121" i="1"/>
  <c r="AE121" i="1"/>
  <c r="AF121" i="1"/>
  <c r="AG121" i="1"/>
  <c r="AH121" i="1"/>
  <c r="AI121" i="1"/>
  <c r="AJ121" i="1"/>
  <c r="BO121" i="1" s="1"/>
  <c r="AS121" i="1"/>
  <c r="AT121" i="1"/>
  <c r="AU121" i="1"/>
  <c r="AV121" i="1"/>
  <c r="AW121" i="1"/>
  <c r="AX121" i="1"/>
  <c r="AY121" i="1"/>
  <c r="AZ121" i="1"/>
  <c r="BA121" i="1"/>
  <c r="BB121" i="1"/>
  <c r="BC121" i="1"/>
  <c r="BD121" i="1"/>
  <c r="BE121" i="1"/>
  <c r="BH121" i="1"/>
  <c r="C72" i="523" s="1"/>
  <c r="BI121" i="1"/>
  <c r="D72" i="523" s="1"/>
  <c r="BJ121" i="1"/>
  <c r="E72" i="523" s="1"/>
  <c r="BK1145" i="1"/>
  <c r="BK1191" i="1" s="1"/>
  <c r="BG1187" i="1"/>
  <c r="BG131" i="1" s="1"/>
  <c r="BH1187" i="1"/>
  <c r="BH131" i="1" s="1"/>
  <c r="D1158" i="1"/>
  <c r="D128" i="1" s="1"/>
  <c r="E1158" i="1"/>
  <c r="E128" i="1" s="1"/>
  <c r="F1158" i="1"/>
  <c r="F128" i="1" s="1"/>
  <c r="G1158" i="1"/>
  <c r="G128" i="1" s="1"/>
  <c r="H1158" i="1"/>
  <c r="H128" i="1" s="1"/>
  <c r="I1158" i="1"/>
  <c r="I128" i="1" s="1"/>
  <c r="J1158" i="1"/>
  <c r="J1194" i="1" s="1"/>
  <c r="K1141" i="1"/>
  <c r="K1143" i="1"/>
  <c r="K1144" i="1"/>
  <c r="K1146" i="1"/>
  <c r="K1147" i="1"/>
  <c r="K1148" i="1"/>
  <c r="K1149" i="1"/>
  <c r="K1150" i="1"/>
  <c r="K1151" i="1"/>
  <c r="K1152" i="1"/>
  <c r="K1153" i="1"/>
  <c r="K1154" i="1"/>
  <c r="K1155" i="1"/>
  <c r="K1156" i="1"/>
  <c r="K1157" i="1"/>
  <c r="L1158" i="1"/>
  <c r="L1194" i="1" s="1"/>
  <c r="M1158" i="1"/>
  <c r="N1158" i="1"/>
  <c r="O1158" i="1"/>
  <c r="O128" i="1" s="1"/>
  <c r="P1158" i="1"/>
  <c r="P128" i="1" s="1"/>
  <c r="Q1158" i="1"/>
  <c r="Q128" i="1" s="1"/>
  <c r="R1158" i="1"/>
  <c r="R128" i="1" s="1"/>
  <c r="S1141" i="1"/>
  <c r="S1143" i="1"/>
  <c r="S1144" i="1"/>
  <c r="S1146" i="1"/>
  <c r="S1147" i="1"/>
  <c r="S1148" i="1"/>
  <c r="S1149" i="1"/>
  <c r="S1150" i="1"/>
  <c r="S1151" i="1"/>
  <c r="S1152" i="1"/>
  <c r="S1153" i="1"/>
  <c r="S1154" i="1"/>
  <c r="S1155" i="1"/>
  <c r="S1156" i="1"/>
  <c r="S1157" i="1"/>
  <c r="T1158" i="1"/>
  <c r="T128" i="1" s="1"/>
  <c r="U1158" i="1"/>
  <c r="U128" i="1" s="1"/>
  <c r="V1158" i="1"/>
  <c r="V128" i="1" s="1"/>
  <c r="W1158" i="1"/>
  <c r="W1194" i="1" s="1"/>
  <c r="X1158" i="1"/>
  <c r="X1194" i="1" s="1"/>
  <c r="Y1158" i="1"/>
  <c r="Y128" i="1" s="1"/>
  <c r="Z1158" i="1"/>
  <c r="AA1158" i="1"/>
  <c r="AA128" i="1" s="1"/>
  <c r="AB1158" i="1"/>
  <c r="AC1158" i="1"/>
  <c r="AD1158" i="1"/>
  <c r="AD128" i="1" s="1"/>
  <c r="AE1158" i="1"/>
  <c r="AE128" i="1" s="1"/>
  <c r="AF1158" i="1"/>
  <c r="AF128" i="1" s="1"/>
  <c r="AG1158" i="1"/>
  <c r="AG128" i="1" s="1"/>
  <c r="AH1158" i="1"/>
  <c r="AH1194" i="1" s="1"/>
  <c r="AI1158" i="1"/>
  <c r="AI128" i="1" s="1"/>
  <c r="AJ1158" i="1"/>
  <c r="AS1158" i="1"/>
  <c r="AS128" i="1" s="1"/>
  <c r="AT1158" i="1"/>
  <c r="AT128" i="1" s="1"/>
  <c r="AU1158" i="1"/>
  <c r="AU128" i="1" s="1"/>
  <c r="AV1158" i="1"/>
  <c r="AV128" i="1" s="1"/>
  <c r="AW1158" i="1"/>
  <c r="AX1158" i="1"/>
  <c r="AY1158" i="1"/>
  <c r="AY128" i="1" s="1"/>
  <c r="AZ1158" i="1"/>
  <c r="AZ128" i="1" s="1"/>
  <c r="BA1158" i="1"/>
  <c r="BA128" i="1" s="1"/>
  <c r="BB1158" i="1"/>
  <c r="BC1158" i="1"/>
  <c r="BC128" i="1" s="1"/>
  <c r="BD1158" i="1"/>
  <c r="BD128" i="1" s="1"/>
  <c r="BE1158" i="1"/>
  <c r="BE128" i="1" s="1"/>
  <c r="BG1158" i="1"/>
  <c r="BG128" i="1" s="1"/>
  <c r="BH1158" i="1"/>
  <c r="BH128" i="1" s="1"/>
  <c r="BI1158" i="1"/>
  <c r="BJ1158" i="1"/>
  <c r="BK1141" i="1"/>
  <c r="BK1142" i="1"/>
  <c r="BK1143" i="1"/>
  <c r="BK1144" i="1"/>
  <c r="BK1146" i="1"/>
  <c r="BK1147" i="1"/>
  <c r="BK1148" i="1"/>
  <c r="BK1149" i="1"/>
  <c r="BK1150" i="1"/>
  <c r="BK1151" i="1"/>
  <c r="BK1152" i="1"/>
  <c r="BK1153" i="1"/>
  <c r="BK1154" i="1"/>
  <c r="BK1155" i="1"/>
  <c r="BK1156" i="1"/>
  <c r="BK1157" i="1"/>
  <c r="D129" i="1"/>
  <c r="E129" i="1"/>
  <c r="F129" i="1"/>
  <c r="G129" i="1"/>
  <c r="H129" i="1"/>
  <c r="I129" i="1"/>
  <c r="J129" i="1"/>
  <c r="K129" i="1"/>
  <c r="L129" i="1"/>
  <c r="M129" i="1"/>
  <c r="N129" i="1"/>
  <c r="O129" i="1"/>
  <c r="P129" i="1"/>
  <c r="Q129" i="1"/>
  <c r="R129" i="1"/>
  <c r="S1162" i="1"/>
  <c r="S129" i="1" s="1"/>
  <c r="T129" i="1"/>
  <c r="U129" i="1"/>
  <c r="V129" i="1"/>
  <c r="W129" i="1"/>
  <c r="X129" i="1"/>
  <c r="Y129" i="1"/>
  <c r="Z129" i="1"/>
  <c r="AA129" i="1"/>
  <c r="AB129" i="1"/>
  <c r="AC129" i="1"/>
  <c r="AD129" i="1"/>
  <c r="AE129" i="1"/>
  <c r="AF129" i="1"/>
  <c r="AG129" i="1"/>
  <c r="AH129" i="1"/>
  <c r="AI129" i="1"/>
  <c r="AJ129" i="1"/>
  <c r="BO129" i="1" s="1"/>
  <c r="AS129" i="1"/>
  <c r="AT129" i="1"/>
  <c r="AU129" i="1"/>
  <c r="AV129" i="1"/>
  <c r="AW129" i="1"/>
  <c r="AX129" i="1"/>
  <c r="AY129" i="1"/>
  <c r="AZ129" i="1"/>
  <c r="BA129" i="1"/>
  <c r="BB129" i="1"/>
  <c r="BC129" i="1"/>
  <c r="BD129" i="1"/>
  <c r="BE129" i="1"/>
  <c r="BH129" i="1"/>
  <c r="BI129" i="1"/>
  <c r="AF50" i="28" s="1"/>
  <c r="BJ129" i="1"/>
  <c r="AG50" i="28" s="1"/>
  <c r="BK1162" i="1"/>
  <c r="BK129" i="1" s="1"/>
  <c r="AH50" i="28" s="1"/>
  <c r="D130" i="1"/>
  <c r="E130" i="1"/>
  <c r="F130" i="1"/>
  <c r="G130" i="1"/>
  <c r="H130" i="1"/>
  <c r="I130" i="1"/>
  <c r="J130" i="1"/>
  <c r="K130" i="1"/>
  <c r="L130" i="1"/>
  <c r="M130" i="1"/>
  <c r="N130" i="1"/>
  <c r="O130" i="1"/>
  <c r="P130" i="1"/>
  <c r="Q130" i="1"/>
  <c r="R130" i="1"/>
  <c r="S130" i="1"/>
  <c r="T130" i="1"/>
  <c r="U130" i="1"/>
  <c r="V130" i="1"/>
  <c r="AS130" i="1"/>
  <c r="AT130" i="1"/>
  <c r="AU130" i="1"/>
  <c r="AV130" i="1"/>
  <c r="AW130" i="1"/>
  <c r="AX130" i="1"/>
  <c r="AY130" i="1"/>
  <c r="AZ130" i="1"/>
  <c r="BA130" i="1"/>
  <c r="BB130" i="1"/>
  <c r="BC130" i="1"/>
  <c r="BD130" i="1"/>
  <c r="BE130" i="1"/>
  <c r="BG130" i="1"/>
  <c r="BH130" i="1"/>
  <c r="BI130" i="1"/>
  <c r="BJ130" i="1"/>
  <c r="BK130" i="1"/>
  <c r="BL130" i="1"/>
  <c r="BM130" i="1"/>
  <c r="BN130" i="1"/>
  <c r="AS131" i="1"/>
  <c r="AT131" i="1"/>
  <c r="AU131" i="1"/>
  <c r="AV131" i="1"/>
  <c r="AW131" i="1"/>
  <c r="AX131" i="1"/>
  <c r="AY131" i="1"/>
  <c r="AZ131" i="1"/>
  <c r="BA131" i="1"/>
  <c r="BB131" i="1"/>
  <c r="BC131" i="1"/>
  <c r="BD131" i="1"/>
  <c r="BE131" i="1"/>
  <c r="BI131" i="1"/>
  <c r="BJ131" i="1"/>
  <c r="BK131" i="1"/>
  <c r="BL131" i="1"/>
  <c r="BM131" i="1"/>
  <c r="BN131" i="1"/>
  <c r="D132" i="1"/>
  <c r="E132" i="1"/>
  <c r="F132" i="1"/>
  <c r="G132" i="1"/>
  <c r="H132" i="1"/>
  <c r="I132" i="1"/>
  <c r="J132" i="1"/>
  <c r="K132" i="1"/>
  <c r="L132" i="1"/>
  <c r="M132" i="1"/>
  <c r="N132" i="1"/>
  <c r="O132" i="1"/>
  <c r="P132" i="1"/>
  <c r="Q132" i="1"/>
  <c r="R132" i="1"/>
  <c r="S1175" i="1"/>
  <c r="S132" i="1" s="1"/>
  <c r="T132" i="1"/>
  <c r="U132" i="1"/>
  <c r="V132" i="1"/>
  <c r="W132" i="1"/>
  <c r="X132" i="1"/>
  <c r="Y132" i="1"/>
  <c r="Z132" i="1"/>
  <c r="AA132" i="1"/>
  <c r="AB132" i="1"/>
  <c r="AC132" i="1"/>
  <c r="AD132" i="1"/>
  <c r="AE132" i="1"/>
  <c r="AF132" i="1"/>
  <c r="AG132" i="1"/>
  <c r="AH132" i="1"/>
  <c r="AI132" i="1"/>
  <c r="AJ132" i="1"/>
  <c r="BO132" i="1" s="1"/>
  <c r="AS132" i="1"/>
  <c r="AT132" i="1"/>
  <c r="AU132" i="1"/>
  <c r="AV132" i="1"/>
  <c r="AW132" i="1"/>
  <c r="AX132" i="1"/>
  <c r="AY132" i="1"/>
  <c r="AZ132" i="1"/>
  <c r="BA132" i="1"/>
  <c r="BB132" i="1"/>
  <c r="BC132" i="1"/>
  <c r="BD132" i="1"/>
  <c r="BE132" i="1"/>
  <c r="BH132" i="1"/>
  <c r="BI132" i="1"/>
  <c r="AF52" i="28" s="1"/>
  <c r="BJ132" i="1"/>
  <c r="AG52" i="28" s="1"/>
  <c r="BK1175" i="1"/>
  <c r="BK132" i="1" s="1"/>
  <c r="AH52" i="28" s="1"/>
  <c r="D133" i="1"/>
  <c r="E133" i="1"/>
  <c r="F133" i="1"/>
  <c r="G133" i="1"/>
  <c r="H133" i="1"/>
  <c r="I133" i="1"/>
  <c r="J133" i="1"/>
  <c r="K133" i="1"/>
  <c r="L133" i="1"/>
  <c r="M133" i="1"/>
  <c r="N133" i="1"/>
  <c r="O133" i="1"/>
  <c r="P133" i="1"/>
  <c r="Q133" i="1"/>
  <c r="R133" i="1"/>
  <c r="S1176" i="1"/>
  <c r="S133" i="1" s="1"/>
  <c r="T133" i="1"/>
  <c r="U133" i="1"/>
  <c r="V133" i="1"/>
  <c r="W133" i="1"/>
  <c r="X133" i="1"/>
  <c r="Y133" i="1"/>
  <c r="Z133" i="1"/>
  <c r="AA133" i="1"/>
  <c r="AB133" i="1"/>
  <c r="AC133" i="1"/>
  <c r="AD133" i="1"/>
  <c r="AE133" i="1"/>
  <c r="AF133" i="1"/>
  <c r="AG133" i="1"/>
  <c r="AH133" i="1"/>
  <c r="AI133" i="1"/>
  <c r="AJ133" i="1"/>
  <c r="BO133" i="1" s="1"/>
  <c r="AS133" i="1"/>
  <c r="AT133" i="1"/>
  <c r="AU133" i="1"/>
  <c r="AV133" i="1"/>
  <c r="AW133" i="1"/>
  <c r="AX133" i="1"/>
  <c r="AY133" i="1"/>
  <c r="AZ133" i="1"/>
  <c r="BA133" i="1"/>
  <c r="BB133" i="1"/>
  <c r="BC133" i="1"/>
  <c r="BD133" i="1"/>
  <c r="BE133" i="1"/>
  <c r="BH133" i="1"/>
  <c r="BI133" i="1"/>
  <c r="AF53" i="28" s="1"/>
  <c r="BJ133" i="1"/>
  <c r="AG53" i="28" s="1"/>
  <c r="BK1176" i="1"/>
  <c r="BK133" i="1" s="1"/>
  <c r="AH53" i="28" s="1"/>
  <c r="D134" i="1"/>
  <c r="E134" i="1"/>
  <c r="F134" i="1"/>
  <c r="G134" i="1"/>
  <c r="H134" i="1"/>
  <c r="I134" i="1"/>
  <c r="J134" i="1"/>
  <c r="K134" i="1"/>
  <c r="L134" i="1"/>
  <c r="M134" i="1"/>
  <c r="N134" i="1"/>
  <c r="O134" i="1"/>
  <c r="P134" i="1"/>
  <c r="Q134" i="1"/>
  <c r="R134" i="1"/>
  <c r="S1177" i="1"/>
  <c r="S134" i="1" s="1"/>
  <c r="T134" i="1"/>
  <c r="U134" i="1"/>
  <c r="V134" i="1"/>
  <c r="W134" i="1"/>
  <c r="X134" i="1"/>
  <c r="Y134" i="1"/>
  <c r="Z134" i="1"/>
  <c r="AA134" i="1"/>
  <c r="AB134" i="1"/>
  <c r="AC134" i="1"/>
  <c r="AD134" i="1"/>
  <c r="AE134" i="1"/>
  <c r="AF134" i="1"/>
  <c r="AG134" i="1"/>
  <c r="AH134" i="1"/>
  <c r="AI134" i="1"/>
  <c r="AJ134" i="1"/>
  <c r="BO134" i="1" s="1"/>
  <c r="AS134" i="1"/>
  <c r="AT134" i="1"/>
  <c r="AU134" i="1"/>
  <c r="AV134" i="1"/>
  <c r="AW134" i="1"/>
  <c r="AX134" i="1"/>
  <c r="AY134" i="1"/>
  <c r="AZ134" i="1"/>
  <c r="BA134" i="1"/>
  <c r="BB134" i="1"/>
  <c r="BC134" i="1"/>
  <c r="BD134" i="1"/>
  <c r="BE134" i="1"/>
  <c r="BH134" i="1"/>
  <c r="BI134" i="1"/>
  <c r="AF51" i="28" s="1"/>
  <c r="BJ134" i="1"/>
  <c r="AG51" i="28" s="1"/>
  <c r="BK1177" i="1"/>
  <c r="BK134" i="1" s="1"/>
  <c r="AH51" i="28" s="1"/>
  <c r="S1228" i="1"/>
  <c r="S1229" i="1"/>
  <c r="S1235" i="1"/>
  <c r="S1236" i="1"/>
  <c r="AF56" i="28"/>
  <c r="AG56" i="28"/>
  <c r="BK1228" i="1"/>
  <c r="BK1229" i="1"/>
  <c r="BK1235" i="1"/>
  <c r="BK1236" i="1"/>
  <c r="BL1228" i="1"/>
  <c r="BL1229" i="1"/>
  <c r="BL1235" i="1"/>
  <c r="BL1236" i="1"/>
  <c r="BM1228" i="1"/>
  <c r="BM1229" i="1"/>
  <c r="BM1235" i="1"/>
  <c r="BM1236" i="1"/>
  <c r="BN1228" i="1"/>
  <c r="BN1229" i="1"/>
  <c r="BN1235" i="1"/>
  <c r="BN1236" i="1"/>
  <c r="D138" i="1"/>
  <c r="E138" i="1"/>
  <c r="F138" i="1"/>
  <c r="G138" i="1"/>
  <c r="BG138" i="1" s="1"/>
  <c r="H138" i="1"/>
  <c r="I138" i="1"/>
  <c r="J138" i="1"/>
  <c r="K138" i="1"/>
  <c r="L138" i="1"/>
  <c r="M138" i="1"/>
  <c r="N138" i="1"/>
  <c r="O138" i="1"/>
  <c r="P138" i="1"/>
  <c r="Q138" i="1"/>
  <c r="R138" i="1"/>
  <c r="S1209" i="1"/>
  <c r="S1210" i="1"/>
  <c r="T138" i="1"/>
  <c r="U138" i="1"/>
  <c r="V138" i="1"/>
  <c r="W138" i="1"/>
  <c r="X138" i="1"/>
  <c r="Y138" i="1"/>
  <c r="Z138" i="1"/>
  <c r="AA138" i="1"/>
  <c r="AB138" i="1"/>
  <c r="AC138" i="1"/>
  <c r="AD138" i="1"/>
  <c r="AE138" i="1"/>
  <c r="AF138" i="1"/>
  <c r="AG138" i="1"/>
  <c r="AH138" i="1"/>
  <c r="AI138" i="1"/>
  <c r="AJ138" i="1"/>
  <c r="AS138" i="1"/>
  <c r="AT138" i="1"/>
  <c r="AU138" i="1"/>
  <c r="AV138" i="1"/>
  <c r="AW138" i="1"/>
  <c r="AX138" i="1"/>
  <c r="AY138" i="1"/>
  <c r="AZ138" i="1"/>
  <c r="BA138" i="1"/>
  <c r="BB138" i="1"/>
  <c r="BC138" i="1"/>
  <c r="BD138" i="1"/>
  <c r="BE138" i="1"/>
  <c r="BH138" i="1"/>
  <c r="BI138" i="1"/>
  <c r="BJ138" i="1"/>
  <c r="BK1209" i="1"/>
  <c r="BK1210" i="1"/>
  <c r="BL1209" i="1"/>
  <c r="BL1210" i="1"/>
  <c r="BM1209" i="1"/>
  <c r="BM1210" i="1"/>
  <c r="BN1209" i="1"/>
  <c r="BN1210" i="1"/>
  <c r="U144" i="1"/>
  <c r="BX146" i="1"/>
  <c r="BY146" i="1" s="1"/>
  <c r="S223" i="1"/>
  <c r="S418" i="1" s="1"/>
  <c r="BH223" i="1"/>
  <c r="BH230" i="1" s="1"/>
  <c r="BI223" i="1"/>
  <c r="BI418" i="1" s="1"/>
  <c r="BK223" i="1"/>
  <c r="BK418" i="1" s="1"/>
  <c r="BL223" i="1"/>
  <c r="BL418" i="1" s="1"/>
  <c r="BM223" i="1"/>
  <c r="BM1332" i="1" s="1"/>
  <c r="BN223" i="1"/>
  <c r="BN1332" i="1" s="1"/>
  <c r="S224" i="1"/>
  <c r="S603" i="1" s="1"/>
  <c r="BH224" i="1"/>
  <c r="BH603" i="1" s="1"/>
  <c r="BI224" i="1"/>
  <c r="BI603" i="1" s="1"/>
  <c r="BK224" i="1"/>
  <c r="BK603" i="1" s="1"/>
  <c r="BL224" i="1"/>
  <c r="BM224" i="1"/>
  <c r="BN224" i="1"/>
  <c r="BN1333" i="1" s="1"/>
  <c r="S225" i="1"/>
  <c r="S1334" i="1" s="1"/>
  <c r="AG861" i="1"/>
  <c r="C36" i="525" s="1"/>
  <c r="G37" i="525" s="1"/>
  <c r="AG798" i="1"/>
  <c r="AD861" i="1"/>
  <c r="AH872" i="1" s="1"/>
  <c r="AL886" i="1" s="1"/>
  <c r="AC861" i="1"/>
  <c r="AH876" i="1"/>
  <c r="AL890" i="1" s="1"/>
  <c r="AH798" i="1"/>
  <c r="AE861" i="1"/>
  <c r="AI872" i="1" s="1"/>
  <c r="AM886" i="1" s="1"/>
  <c r="AI876" i="1"/>
  <c r="AM890" i="1" s="1"/>
  <c r="AI798" i="1"/>
  <c r="BH225" i="1"/>
  <c r="BI225" i="1"/>
  <c r="BK225" i="1"/>
  <c r="BK232" i="1" s="1"/>
  <c r="BL225" i="1"/>
  <c r="BL1334" i="1" s="1"/>
  <c r="BM225" i="1"/>
  <c r="BN225" i="1"/>
  <c r="BN1334" i="1" s="1"/>
  <c r="S226" i="1"/>
  <c r="BH226" i="1"/>
  <c r="BI226" i="1"/>
  <c r="BK226" i="1"/>
  <c r="BL226" i="1"/>
  <c r="BM226" i="1"/>
  <c r="BN226" i="1"/>
  <c r="BO226" i="1"/>
  <c r="H227" i="1"/>
  <c r="H282" i="1" s="1"/>
  <c r="I227" i="1"/>
  <c r="I282" i="1" s="1"/>
  <c r="J227" i="1"/>
  <c r="J282" i="1" s="1"/>
  <c r="K227" i="1"/>
  <c r="L227" i="1"/>
  <c r="M227" i="1"/>
  <c r="N227" i="1"/>
  <c r="N282" i="1" s="1"/>
  <c r="O227" i="1"/>
  <c r="O282" i="1" s="1"/>
  <c r="P227" i="1"/>
  <c r="P292" i="1" s="1"/>
  <c r="P291" i="1" s="1"/>
  <c r="Q227" i="1"/>
  <c r="Q282" i="1" s="1"/>
  <c r="R227" i="1"/>
  <c r="R292" i="1" s="1"/>
  <c r="T227" i="1"/>
  <c r="U227" i="1"/>
  <c r="U292" i="1" s="1"/>
  <c r="V227" i="1"/>
  <c r="V282" i="1" s="1"/>
  <c r="BG227" i="1"/>
  <c r="BG282" i="1" s="1"/>
  <c r="BJ227" i="1"/>
  <c r="BJ292" i="1" s="1"/>
  <c r="B230" i="1"/>
  <c r="L230" i="1"/>
  <c r="M230" i="1"/>
  <c r="N230" i="1"/>
  <c r="O230" i="1"/>
  <c r="P230" i="1"/>
  <c r="Q230" i="1"/>
  <c r="R230" i="1"/>
  <c r="T230" i="1"/>
  <c r="U230" i="1"/>
  <c r="V230" i="1"/>
  <c r="X230" i="1"/>
  <c r="Y230" i="1"/>
  <c r="Z230" i="1"/>
  <c r="AA230" i="1"/>
  <c r="AB230" i="1"/>
  <c r="AC230" i="1"/>
  <c r="AD230" i="1"/>
  <c r="AE230" i="1"/>
  <c r="AF230" i="1"/>
  <c r="AG230" i="1"/>
  <c r="AH230" i="1"/>
  <c r="AI230" i="1"/>
  <c r="AJ230" i="1"/>
  <c r="BC230" i="1"/>
  <c r="BC238" i="1" s="1"/>
  <c r="BD230" i="1"/>
  <c r="BE230" i="1"/>
  <c r="BE238" i="1" s="1"/>
  <c r="B231" i="1"/>
  <c r="L231" i="1"/>
  <c r="M231" i="1"/>
  <c r="N231" i="1"/>
  <c r="O231" i="1"/>
  <c r="P231" i="1"/>
  <c r="Q231" i="1"/>
  <c r="R231" i="1"/>
  <c r="T231" i="1"/>
  <c r="U231" i="1"/>
  <c r="V231" i="1"/>
  <c r="X231" i="1"/>
  <c r="Y231" i="1"/>
  <c r="Z231" i="1"/>
  <c r="AA231" i="1"/>
  <c r="AB231" i="1"/>
  <c r="AC231" i="1"/>
  <c r="AD231" i="1"/>
  <c r="AD239" i="1" s="1"/>
  <c r="AE231" i="1"/>
  <c r="AF231" i="1"/>
  <c r="AG231" i="1"/>
  <c r="AH231" i="1"/>
  <c r="AI231" i="1"/>
  <c r="AJ231" i="1"/>
  <c r="BC231" i="1"/>
  <c r="BC239" i="1" s="1"/>
  <c r="BD231" i="1"/>
  <c r="BE231" i="1"/>
  <c r="B232" i="1"/>
  <c r="L232" i="1"/>
  <c r="M232" i="1"/>
  <c r="N232" i="1"/>
  <c r="O232" i="1"/>
  <c r="P232" i="1"/>
  <c r="Q232" i="1"/>
  <c r="R232" i="1"/>
  <c r="T232" i="1"/>
  <c r="U232" i="1"/>
  <c r="V232" i="1"/>
  <c r="X232" i="1"/>
  <c r="Y232" i="1"/>
  <c r="Z232" i="1"/>
  <c r="AA232" i="1"/>
  <c r="AB232" i="1"/>
  <c r="AC232" i="1"/>
  <c r="AD232" i="1"/>
  <c r="AD240" i="1" s="1"/>
  <c r="AE232" i="1"/>
  <c r="AF232" i="1"/>
  <c r="AG232" i="1"/>
  <c r="AH232" i="1"/>
  <c r="AI232" i="1"/>
  <c r="AJ232" i="1"/>
  <c r="BC232" i="1"/>
  <c r="BC240" i="1" s="1"/>
  <c r="BD232" i="1"/>
  <c r="BE232" i="1"/>
  <c r="BE240" i="1" s="1"/>
  <c r="B233" i="1"/>
  <c r="L233" i="1"/>
  <c r="M233" i="1"/>
  <c r="N233" i="1"/>
  <c r="O233" i="1"/>
  <c r="P233" i="1"/>
  <c r="Q233" i="1"/>
  <c r="R233" i="1"/>
  <c r="T233" i="1"/>
  <c r="U233" i="1"/>
  <c r="V233" i="1"/>
  <c r="X233" i="1"/>
  <c r="Y233" i="1"/>
  <c r="Z233" i="1"/>
  <c r="AA233" i="1"/>
  <c r="AB233" i="1"/>
  <c r="AC233" i="1"/>
  <c r="AD233" i="1"/>
  <c r="AE233" i="1"/>
  <c r="AF233" i="1"/>
  <c r="AG233" i="1"/>
  <c r="AH233" i="1"/>
  <c r="AI233" i="1"/>
  <c r="AJ233" i="1"/>
  <c r="AK233" i="1"/>
  <c r="AL233" i="1"/>
  <c r="AM233" i="1"/>
  <c r="BC233" i="1"/>
  <c r="BE233" i="1"/>
  <c r="B234" i="1"/>
  <c r="B242" i="1" s="1"/>
  <c r="B248" i="1" s="1"/>
  <c r="L238" i="1"/>
  <c r="M238" i="1"/>
  <c r="N238" i="1"/>
  <c r="O238" i="1"/>
  <c r="P238" i="1"/>
  <c r="Q238" i="1"/>
  <c r="R238" i="1"/>
  <c r="S238" i="1"/>
  <c r="T238" i="1"/>
  <c r="U238" i="1"/>
  <c r="V238" i="1"/>
  <c r="W238" i="1"/>
  <c r="X238" i="1"/>
  <c r="Y238" i="1"/>
  <c r="Z238" i="1"/>
  <c r="AA238" i="1"/>
  <c r="AI238" i="1"/>
  <c r="AJ238" i="1"/>
  <c r="L239" i="1"/>
  <c r="M239" i="1"/>
  <c r="N239" i="1"/>
  <c r="O239" i="1"/>
  <c r="P239" i="1"/>
  <c r="Q239" i="1"/>
  <c r="R239" i="1"/>
  <c r="S239" i="1"/>
  <c r="T239" i="1"/>
  <c r="U239" i="1"/>
  <c r="V239" i="1"/>
  <c r="W239" i="1"/>
  <c r="X239" i="1"/>
  <c r="Y239" i="1"/>
  <c r="Z239" i="1"/>
  <c r="AA239" i="1"/>
  <c r="AH239" i="1"/>
  <c r="AI239" i="1"/>
  <c r="AJ239" i="1"/>
  <c r="L240" i="1"/>
  <c r="M240" i="1"/>
  <c r="N240" i="1"/>
  <c r="O240" i="1"/>
  <c r="P240" i="1"/>
  <c r="Q240" i="1"/>
  <c r="R240" i="1"/>
  <c r="S240" i="1"/>
  <c r="T240" i="1"/>
  <c r="U240" i="1"/>
  <c r="V240" i="1"/>
  <c r="W240" i="1"/>
  <c r="X240" i="1"/>
  <c r="Y240" i="1"/>
  <c r="Z240" i="1"/>
  <c r="AA240" i="1"/>
  <c r="AH240" i="1"/>
  <c r="AI240" i="1"/>
  <c r="AJ240" i="1"/>
  <c r="B245" i="1"/>
  <c r="B246" i="1"/>
  <c r="B247" i="1"/>
  <c r="BH255" i="1"/>
  <c r="BH262" i="1" s="1"/>
  <c r="BI255" i="1"/>
  <c r="BK255" i="1"/>
  <c r="BL255" i="1"/>
  <c r="BL437" i="1" s="1"/>
  <c r="BM255" i="1"/>
  <c r="BM437" i="1" s="1"/>
  <c r="BN255" i="1"/>
  <c r="BH256" i="1"/>
  <c r="BH263" i="1" s="1"/>
  <c r="BI256" i="1"/>
  <c r="BI617" i="1" s="1"/>
  <c r="BK256" i="1"/>
  <c r="BK263" i="1" s="1"/>
  <c r="BL256" i="1"/>
  <c r="BM256" i="1"/>
  <c r="BM617" i="1" s="1"/>
  <c r="BN256" i="1"/>
  <c r="AD798" i="1"/>
  <c r="AE798" i="1"/>
  <c r="BH257" i="1"/>
  <c r="BI257" i="1"/>
  <c r="BI825" i="1" s="1"/>
  <c r="BK257" i="1"/>
  <c r="BK264" i="1" s="1"/>
  <c r="BL257" i="1"/>
  <c r="BM257" i="1"/>
  <c r="BM825" i="1" s="1"/>
  <c r="BN257" i="1"/>
  <c r="S258" i="1"/>
  <c r="W265" i="1" s="1"/>
  <c r="BH258" i="1"/>
  <c r="BI258" i="1"/>
  <c r="BK258" i="1"/>
  <c r="BK265" i="1" s="1"/>
  <c r="BL258" i="1"/>
  <c r="BM258" i="1"/>
  <c r="BN258" i="1"/>
  <c r="H259" i="1"/>
  <c r="I259" i="1"/>
  <c r="J259" i="1"/>
  <c r="K259" i="1"/>
  <c r="L259" i="1"/>
  <c r="M259" i="1"/>
  <c r="N259" i="1"/>
  <c r="O259" i="1"/>
  <c r="P259" i="1"/>
  <c r="Q259" i="1"/>
  <c r="R259" i="1"/>
  <c r="T259" i="1"/>
  <c r="U259" i="1"/>
  <c r="V259" i="1"/>
  <c r="W259" i="1"/>
  <c r="X259" i="1"/>
  <c r="Y259" i="1"/>
  <c r="G22" i="230" s="1"/>
  <c r="BB259" i="1"/>
  <c r="BC259" i="1"/>
  <c r="BD259" i="1"/>
  <c r="BE259" i="1"/>
  <c r="BG259" i="1"/>
  <c r="BJ259" i="1"/>
  <c r="B262" i="1"/>
  <c r="B269" i="1" s="1"/>
  <c r="L262" i="1"/>
  <c r="M262" i="1"/>
  <c r="N262" i="1"/>
  <c r="O262" i="1"/>
  <c r="P262" i="1"/>
  <c r="Q262" i="1"/>
  <c r="R262" i="1"/>
  <c r="T262" i="1"/>
  <c r="U262" i="1"/>
  <c r="V262" i="1"/>
  <c r="X262" i="1"/>
  <c r="Y262" i="1"/>
  <c r="Z262" i="1"/>
  <c r="AA262" i="1"/>
  <c r="AB262" i="1"/>
  <c r="AC262" i="1"/>
  <c r="AD262" i="1"/>
  <c r="AE262" i="1"/>
  <c r="AF262" i="1"/>
  <c r="AG262" i="1"/>
  <c r="AH262" i="1"/>
  <c r="AI262" i="1"/>
  <c r="AJ262" i="1"/>
  <c r="BC262" i="1"/>
  <c r="BD262" i="1"/>
  <c r="BG262" i="1" s="1"/>
  <c r="BE262" i="1"/>
  <c r="B263" i="1"/>
  <c r="B270" i="1" s="1"/>
  <c r="L263" i="1"/>
  <c r="M263" i="1"/>
  <c r="N263" i="1"/>
  <c r="O263" i="1"/>
  <c r="P263" i="1"/>
  <c r="Q263" i="1"/>
  <c r="R263" i="1"/>
  <c r="T263" i="1"/>
  <c r="U263" i="1"/>
  <c r="V263" i="1"/>
  <c r="X263" i="1"/>
  <c r="Y263" i="1"/>
  <c r="Z263" i="1"/>
  <c r="AA263" i="1"/>
  <c r="AB263" i="1"/>
  <c r="AC263" i="1"/>
  <c r="AD263" i="1"/>
  <c r="AE263" i="1"/>
  <c r="AF263" i="1"/>
  <c r="AG263" i="1"/>
  <c r="AH263" i="1"/>
  <c r="AI263" i="1"/>
  <c r="AJ263" i="1"/>
  <c r="BC263" i="1"/>
  <c r="BD263" i="1"/>
  <c r="BG263" i="1" s="1"/>
  <c r="BE263" i="1"/>
  <c r="B264" i="1"/>
  <c r="B271" i="1" s="1"/>
  <c r="L264" i="1"/>
  <c r="M264" i="1"/>
  <c r="N264" i="1"/>
  <c r="O264" i="1"/>
  <c r="P264" i="1"/>
  <c r="Q264" i="1"/>
  <c r="R264" i="1"/>
  <c r="T264" i="1"/>
  <c r="U264" i="1"/>
  <c r="V264" i="1"/>
  <c r="X264" i="1"/>
  <c r="Y264" i="1"/>
  <c r="Z264" i="1"/>
  <c r="AA264" i="1"/>
  <c r="AB264" i="1"/>
  <c r="AC264" i="1"/>
  <c r="AD264" i="1"/>
  <c r="AE264" i="1"/>
  <c r="AF264" i="1"/>
  <c r="AG264" i="1"/>
  <c r="AH264" i="1"/>
  <c r="AI264" i="1"/>
  <c r="AJ264" i="1"/>
  <c r="BC264" i="1"/>
  <c r="BD264" i="1"/>
  <c r="BG264" i="1" s="1"/>
  <c r="BE264" i="1"/>
  <c r="B265" i="1"/>
  <c r="B272" i="1" s="1"/>
  <c r="L265" i="1"/>
  <c r="M265" i="1"/>
  <c r="N265" i="1"/>
  <c r="O265" i="1"/>
  <c r="P265" i="1"/>
  <c r="Q265" i="1"/>
  <c r="R265" i="1"/>
  <c r="T265" i="1"/>
  <c r="U265" i="1"/>
  <c r="V265" i="1"/>
  <c r="X265" i="1"/>
  <c r="Y265" i="1"/>
  <c r="Z265" i="1"/>
  <c r="AA265" i="1"/>
  <c r="AB265" i="1"/>
  <c r="AC265" i="1"/>
  <c r="AD265" i="1"/>
  <c r="AE265" i="1"/>
  <c r="AF265" i="1"/>
  <c r="AG265" i="1"/>
  <c r="AH265" i="1"/>
  <c r="AI265" i="1"/>
  <c r="BC265" i="1"/>
  <c r="BD265" i="1"/>
  <c r="BG265" i="1" s="1"/>
  <c r="BE265" i="1"/>
  <c r="B266" i="1"/>
  <c r="B273" i="1" s="1"/>
  <c r="B279" i="1"/>
  <c r="H279" i="1"/>
  <c r="I279" i="1"/>
  <c r="J279" i="1"/>
  <c r="K279" i="1"/>
  <c r="L279" i="1"/>
  <c r="M279" i="1"/>
  <c r="N279" i="1"/>
  <c r="O279" i="1"/>
  <c r="P279" i="1"/>
  <c r="Q279" i="1"/>
  <c r="R279" i="1"/>
  <c r="T279" i="1"/>
  <c r="U279" i="1"/>
  <c r="V279" i="1"/>
  <c r="W279" i="1"/>
  <c r="X279" i="1"/>
  <c r="Y279" i="1"/>
  <c r="Z279" i="1"/>
  <c r="AA279" i="1"/>
  <c r="AB279" i="1"/>
  <c r="AC279" i="1"/>
  <c r="AD279" i="1"/>
  <c r="AE279" i="1"/>
  <c r="AF279" i="1"/>
  <c r="AG279" i="1"/>
  <c r="AJ279" i="1"/>
  <c r="AN279" i="1" s="1"/>
  <c r="BB279" i="1"/>
  <c r="BC279" i="1"/>
  <c r="BD279" i="1"/>
  <c r="BE279" i="1"/>
  <c r="BG279" i="1"/>
  <c r="BJ279" i="1"/>
  <c r="B280" i="1"/>
  <c r="H280" i="1"/>
  <c r="I280" i="1"/>
  <c r="J280" i="1"/>
  <c r="K280" i="1"/>
  <c r="L280" i="1"/>
  <c r="M280" i="1"/>
  <c r="N280" i="1"/>
  <c r="O280" i="1"/>
  <c r="P280" i="1"/>
  <c r="Q280" i="1"/>
  <c r="R280" i="1"/>
  <c r="T280" i="1"/>
  <c r="U280" i="1"/>
  <c r="V280" i="1"/>
  <c r="W280" i="1"/>
  <c r="X280" i="1"/>
  <c r="Y280" i="1"/>
  <c r="Z280" i="1"/>
  <c r="AA280" i="1"/>
  <c r="AB280" i="1"/>
  <c r="AC280" i="1"/>
  <c r="AD280" i="1"/>
  <c r="AE280" i="1"/>
  <c r="AF280" i="1"/>
  <c r="AG280" i="1"/>
  <c r="AH280" i="1"/>
  <c r="AI280" i="1"/>
  <c r="AJ280" i="1"/>
  <c r="BB280" i="1"/>
  <c r="BC280" i="1"/>
  <c r="BD280" i="1"/>
  <c r="BE280" i="1"/>
  <c r="BG280" i="1"/>
  <c r="BJ280" i="1"/>
  <c r="B281" i="1"/>
  <c r="H281" i="1"/>
  <c r="I281" i="1"/>
  <c r="J281" i="1"/>
  <c r="K281" i="1"/>
  <c r="L281" i="1"/>
  <c r="M281" i="1"/>
  <c r="N281" i="1"/>
  <c r="O281" i="1"/>
  <c r="P281" i="1"/>
  <c r="Q281" i="1"/>
  <c r="R281" i="1"/>
  <c r="T281" i="1"/>
  <c r="U281" i="1"/>
  <c r="V281" i="1"/>
  <c r="W281" i="1"/>
  <c r="X281" i="1"/>
  <c r="Y281" i="1"/>
  <c r="Z281" i="1"/>
  <c r="AA281" i="1"/>
  <c r="AB281" i="1"/>
  <c r="AC281" i="1"/>
  <c r="AD281" i="1"/>
  <c r="AE281" i="1"/>
  <c r="AF281" i="1"/>
  <c r="AG281" i="1"/>
  <c r="AH281" i="1"/>
  <c r="AI281" i="1"/>
  <c r="AJ281" i="1"/>
  <c r="BB281" i="1"/>
  <c r="BC281" i="1"/>
  <c r="BD281" i="1"/>
  <c r="BE281" i="1"/>
  <c r="BG281" i="1"/>
  <c r="BJ281" i="1"/>
  <c r="B282" i="1"/>
  <c r="B283" i="1"/>
  <c r="BI290" i="1"/>
  <c r="BK290" i="1"/>
  <c r="BL290" i="1"/>
  <c r="BM304" i="1" s="1"/>
  <c r="BM290" i="1"/>
  <c r="BN304" i="1" s="1"/>
  <c r="BN290" i="1"/>
  <c r="BO297" i="1" s="1"/>
  <c r="B297" i="1"/>
  <c r="B304" i="1" s="1"/>
  <c r="P297" i="1"/>
  <c r="Q297" i="1"/>
  <c r="R297" i="1"/>
  <c r="S297" i="1"/>
  <c r="T297" i="1"/>
  <c r="U297" i="1"/>
  <c r="V297" i="1"/>
  <c r="W297" i="1"/>
  <c r="X297" i="1"/>
  <c r="Y297" i="1"/>
  <c r="Z297" i="1"/>
  <c r="AA297" i="1"/>
  <c r="AB297" i="1"/>
  <c r="AC297" i="1"/>
  <c r="AD297" i="1"/>
  <c r="AE297" i="1"/>
  <c r="AF297" i="1"/>
  <c r="AG297" i="1"/>
  <c r="AH297" i="1"/>
  <c r="AI297" i="1"/>
  <c r="BC297" i="1"/>
  <c r="BD297" i="1"/>
  <c r="BE297" i="1"/>
  <c r="B298" i="1"/>
  <c r="B305" i="1" s="1"/>
  <c r="B299" i="1"/>
  <c r="B306" i="1" s="1"/>
  <c r="B301" i="1"/>
  <c r="BK304" i="1"/>
  <c r="L309" i="1"/>
  <c r="M309" i="1"/>
  <c r="N309" i="1"/>
  <c r="O309" i="1"/>
  <c r="P309" i="1"/>
  <c r="Q309" i="1"/>
  <c r="R309" i="1"/>
  <c r="S309" i="1"/>
  <c r="T309" i="1"/>
  <c r="U309" i="1"/>
  <c r="V309" i="1"/>
  <c r="W309" i="1"/>
  <c r="X309" i="1"/>
  <c r="Y309" i="1"/>
  <c r="Z309" i="1"/>
  <c r="AA309" i="1"/>
  <c r="AB309" i="1"/>
  <c r="AC309" i="1"/>
  <c r="AD309" i="1"/>
  <c r="AE309" i="1"/>
  <c r="AF309" i="1"/>
  <c r="AG309" i="1"/>
  <c r="AK314" i="1" s="1"/>
  <c r="AH309" i="1"/>
  <c r="AL314" i="1" s="1"/>
  <c r="AI309" i="1"/>
  <c r="AM314" i="1" s="1"/>
  <c r="AJ309" i="1"/>
  <c r="BB309" i="1"/>
  <c r="BC309" i="1"/>
  <c r="BD309" i="1"/>
  <c r="BE309" i="1"/>
  <c r="BK1056" i="1"/>
  <c r="BK1057" i="1"/>
  <c r="BK1066" i="1"/>
  <c r="BK1067" i="1"/>
  <c r="BF311" i="1"/>
  <c r="B314" i="1"/>
  <c r="B319" i="1" s="1"/>
  <c r="BD314" i="1"/>
  <c r="BE314" i="1"/>
  <c r="BI314" i="1"/>
  <c r="B315" i="1"/>
  <c r="B320" i="1" s="1"/>
  <c r="BD315" i="1"/>
  <c r="BE315" i="1"/>
  <c r="BI315" i="1"/>
  <c r="B316" i="1"/>
  <c r="B321" i="1" s="1"/>
  <c r="BH325" i="1"/>
  <c r="BI325" i="1"/>
  <c r="BJ325" i="1"/>
  <c r="BK325" i="1"/>
  <c r="BL325" i="1"/>
  <c r="BM325" i="1"/>
  <c r="BN325" i="1"/>
  <c r="BH326" i="1"/>
  <c r="BI326" i="1"/>
  <c r="BJ326" i="1"/>
  <c r="BK326" i="1"/>
  <c r="BL326" i="1"/>
  <c r="BM326" i="1"/>
  <c r="BN326" i="1"/>
  <c r="BH328" i="1"/>
  <c r="BI328" i="1"/>
  <c r="BJ328" i="1"/>
  <c r="BK328" i="1"/>
  <c r="BL328" i="1"/>
  <c r="BM328" i="1"/>
  <c r="BN328" i="1"/>
  <c r="H418" i="1"/>
  <c r="I418" i="1"/>
  <c r="I520" i="1" s="1"/>
  <c r="J418" i="1"/>
  <c r="J423" i="1" s="1"/>
  <c r="K418" i="1"/>
  <c r="K520" i="1" s="1"/>
  <c r="L418" i="1"/>
  <c r="L423" i="1" s="1"/>
  <c r="M418" i="1"/>
  <c r="N418" i="1"/>
  <c r="O418" i="1"/>
  <c r="P418" i="1"/>
  <c r="P520" i="1" s="1"/>
  <c r="Q418" i="1"/>
  <c r="Q520" i="1" s="1"/>
  <c r="R418" i="1"/>
  <c r="T418" i="1"/>
  <c r="T520" i="1" s="1"/>
  <c r="U418" i="1"/>
  <c r="U520" i="1" s="1"/>
  <c r="V418" i="1"/>
  <c r="W418" i="1"/>
  <c r="W520" i="1" s="1"/>
  <c r="X418" i="1"/>
  <c r="Y418" i="1"/>
  <c r="Y520" i="1" s="1"/>
  <c r="Z418" i="1"/>
  <c r="AA418" i="1"/>
  <c r="AA520" i="1" s="1"/>
  <c r="BB418" i="1"/>
  <c r="BC418" i="1"/>
  <c r="BD418" i="1"/>
  <c r="BE418" i="1"/>
  <c r="BG418" i="1"/>
  <c r="BJ418" i="1"/>
  <c r="P488" i="1"/>
  <c r="P489" i="1" s="1"/>
  <c r="Q488" i="1"/>
  <c r="R488" i="1"/>
  <c r="R489" i="1" s="1"/>
  <c r="S1002" i="1"/>
  <c r="T488" i="1"/>
  <c r="U488" i="1"/>
  <c r="V488" i="1"/>
  <c r="X488" i="1"/>
  <c r="Z488" i="1"/>
  <c r="BH488" i="1"/>
  <c r="I21" i="51" s="1"/>
  <c r="BI488" i="1"/>
  <c r="J21" i="51" s="1"/>
  <c r="N490" i="1"/>
  <c r="O490" i="1"/>
  <c r="P490" i="1"/>
  <c r="Q490" i="1"/>
  <c r="R490" i="1"/>
  <c r="S490" i="1"/>
  <c r="T490" i="1"/>
  <c r="U490" i="1"/>
  <c r="V490" i="1"/>
  <c r="W490" i="1"/>
  <c r="X490" i="1"/>
  <c r="D427" i="1"/>
  <c r="D432" i="1" s="1"/>
  <c r="D435" i="1" s="1"/>
  <c r="E427" i="1"/>
  <c r="E432" i="1" s="1"/>
  <c r="E435" i="1" s="1"/>
  <c r="F427" i="1"/>
  <c r="F432" i="1" s="1"/>
  <c r="F435" i="1" s="1"/>
  <c r="G427" i="1"/>
  <c r="G432" i="1" s="1"/>
  <c r="G435" i="1" s="1"/>
  <c r="BG427" i="1"/>
  <c r="BH427" i="1"/>
  <c r="BI427" i="1"/>
  <c r="AG437" i="1"/>
  <c r="AK438" i="1" s="1"/>
  <c r="AK439" i="1" s="1"/>
  <c r="AK269" i="1" s="1"/>
  <c r="AH437" i="1"/>
  <c r="AL438" i="1" s="1"/>
  <c r="AI437" i="1"/>
  <c r="AM438" i="1" s="1"/>
  <c r="AM439" i="1" s="1"/>
  <c r="AM269" i="1" s="1"/>
  <c r="AJ437" i="1"/>
  <c r="AS432" i="1"/>
  <c r="AS435" i="1" s="1"/>
  <c r="AT432" i="1"/>
  <c r="AT435" i="1" s="1"/>
  <c r="AU432" i="1"/>
  <c r="AU435" i="1" s="1"/>
  <c r="AV432" i="1"/>
  <c r="AV435" i="1" s="1"/>
  <c r="AW432" i="1"/>
  <c r="AW435" i="1" s="1"/>
  <c r="BB437" i="1"/>
  <c r="BC437" i="1"/>
  <c r="BD437" i="1"/>
  <c r="BE437" i="1"/>
  <c r="BG437" i="1" s="1"/>
  <c r="BJ437" i="1"/>
  <c r="I496" i="1"/>
  <c r="I498" i="1" s="1"/>
  <c r="I499" i="1" s="1"/>
  <c r="I506" i="1"/>
  <c r="J496" i="1"/>
  <c r="J498" i="1" s="1"/>
  <c r="J499" i="1" s="1"/>
  <c r="J506" i="1"/>
  <c r="K496" i="1"/>
  <c r="K506" i="1"/>
  <c r="L496" i="1"/>
  <c r="L498" i="1" s="1"/>
  <c r="L499" i="1" s="1"/>
  <c r="L506" i="1"/>
  <c r="M496" i="1"/>
  <c r="M498" i="1" s="1"/>
  <c r="M499" i="1" s="1"/>
  <c r="M506" i="1"/>
  <c r="N496" i="1"/>
  <c r="N498" i="1" s="1"/>
  <c r="N499" i="1" s="1"/>
  <c r="N506" i="1"/>
  <c r="O496" i="1"/>
  <c r="O498" i="1" s="1"/>
  <c r="O499" i="1" s="1"/>
  <c r="O506" i="1"/>
  <c r="BH451" i="1"/>
  <c r="BI451" i="1"/>
  <c r="BJ451" i="1"/>
  <c r="BK451" i="1"/>
  <c r="BL451" i="1"/>
  <c r="BM451" i="1"/>
  <c r="BN451" i="1"/>
  <c r="BH452" i="1"/>
  <c r="BI452" i="1"/>
  <c r="BJ452" i="1"/>
  <c r="BK452" i="1"/>
  <c r="BL452" i="1"/>
  <c r="BM452" i="1"/>
  <c r="BN452" i="1"/>
  <c r="BH453" i="1"/>
  <c r="BI453" i="1"/>
  <c r="BJ453" i="1"/>
  <c r="BK453" i="1"/>
  <c r="BL453" i="1"/>
  <c r="BM453" i="1"/>
  <c r="BN453" i="1"/>
  <c r="BJ454" i="1"/>
  <c r="BK454" i="1"/>
  <c r="BL454" i="1"/>
  <c r="BM454" i="1"/>
  <c r="BN454" i="1"/>
  <c r="BH455" i="1"/>
  <c r="BI455" i="1"/>
  <c r="BJ455" i="1"/>
  <c r="BK455" i="1"/>
  <c r="BL455" i="1"/>
  <c r="BM455" i="1"/>
  <c r="BN455" i="1"/>
  <c r="BI456" i="1"/>
  <c r="BJ456" i="1"/>
  <c r="BK456" i="1"/>
  <c r="BL456" i="1"/>
  <c r="BM456" i="1"/>
  <c r="BN456" i="1"/>
  <c r="BH464" i="1"/>
  <c r="BI464" i="1"/>
  <c r="BJ464" i="1"/>
  <c r="BK464" i="1"/>
  <c r="BL464" i="1"/>
  <c r="BM464" i="1"/>
  <c r="BN464" i="1"/>
  <c r="BH465" i="1"/>
  <c r="BI465" i="1"/>
  <c r="BJ465" i="1"/>
  <c r="BK465" i="1"/>
  <c r="BL465" i="1"/>
  <c r="BM465" i="1"/>
  <c r="BN465" i="1"/>
  <c r="BH466" i="1"/>
  <c r="BI466" i="1"/>
  <c r="BJ466" i="1"/>
  <c r="BK466" i="1"/>
  <c r="BL466" i="1"/>
  <c r="BM466" i="1"/>
  <c r="BN466" i="1"/>
  <c r="BJ467" i="1"/>
  <c r="BK467" i="1"/>
  <c r="BL467" i="1"/>
  <c r="BM467" i="1"/>
  <c r="BN467" i="1"/>
  <c r="BH468" i="1"/>
  <c r="BI468" i="1"/>
  <c r="BJ468" i="1"/>
  <c r="BK468" i="1"/>
  <c r="BL468" i="1"/>
  <c r="BM468" i="1"/>
  <c r="BN468" i="1"/>
  <c r="BI469" i="1"/>
  <c r="BJ469" i="1"/>
  <c r="BK469" i="1"/>
  <c r="BL469" i="1"/>
  <c r="BM469" i="1"/>
  <c r="BN469" i="1"/>
  <c r="BH477" i="1"/>
  <c r="BI477" i="1"/>
  <c r="BJ477" i="1"/>
  <c r="BK477" i="1"/>
  <c r="BL477" i="1"/>
  <c r="BM477" i="1"/>
  <c r="BN477" i="1"/>
  <c r="AJ478" i="1"/>
  <c r="AN478" i="1" s="1"/>
  <c r="BG478" i="1"/>
  <c r="BH478" i="1"/>
  <c r="BI478" i="1"/>
  <c r="BJ478" i="1"/>
  <c r="BK478" i="1"/>
  <c r="BL478" i="1"/>
  <c r="BM478" i="1"/>
  <c r="BN478" i="1"/>
  <c r="BO479" i="1" s="1"/>
  <c r="H479" i="1"/>
  <c r="I479" i="1"/>
  <c r="J479" i="1"/>
  <c r="K479" i="1"/>
  <c r="L479" i="1"/>
  <c r="M479" i="1"/>
  <c r="N479" i="1"/>
  <c r="O479" i="1"/>
  <c r="P479" i="1"/>
  <c r="Q479" i="1"/>
  <c r="R479" i="1"/>
  <c r="S479" i="1"/>
  <c r="T479" i="1"/>
  <c r="U479" i="1"/>
  <c r="V479" i="1"/>
  <c r="W479" i="1"/>
  <c r="X479" i="1"/>
  <c r="Y479" i="1"/>
  <c r="Z479" i="1"/>
  <c r="AA479" i="1"/>
  <c r="AB479" i="1"/>
  <c r="AC479" i="1"/>
  <c r="AD479" i="1"/>
  <c r="AE479" i="1"/>
  <c r="AF479" i="1"/>
  <c r="AG479" i="1"/>
  <c r="AH479" i="1"/>
  <c r="AI479" i="1"/>
  <c r="BH480" i="1"/>
  <c r="BI480" i="1"/>
  <c r="BJ480" i="1"/>
  <c r="BK480" i="1"/>
  <c r="BL480" i="1"/>
  <c r="BM480" i="1"/>
  <c r="S481" i="1"/>
  <c r="BJ481" i="1" s="1"/>
  <c r="BH481" i="1"/>
  <c r="BI481" i="1"/>
  <c r="BK481" i="1"/>
  <c r="BL481" i="1"/>
  <c r="BM481" i="1"/>
  <c r="R483" i="1"/>
  <c r="N489" i="1"/>
  <c r="O489" i="1"/>
  <c r="W489" i="1"/>
  <c r="X489" i="1"/>
  <c r="BJ492" i="1"/>
  <c r="BK492" i="1"/>
  <c r="BL492" i="1"/>
  <c r="BM492" i="1"/>
  <c r="BN492" i="1"/>
  <c r="BH494" i="1"/>
  <c r="BI494" i="1"/>
  <c r="BH495" i="1"/>
  <c r="BI495" i="1"/>
  <c r="I501" i="1"/>
  <c r="J501" i="1"/>
  <c r="J502" i="1" s="1"/>
  <c r="K501" i="1"/>
  <c r="K502" i="1" s="1"/>
  <c r="L501" i="1"/>
  <c r="L502" i="1" s="1"/>
  <c r="M501" i="1"/>
  <c r="M502" i="1" s="1"/>
  <c r="N501" i="1"/>
  <c r="N502" i="1" s="1"/>
  <c r="O501" i="1"/>
  <c r="O502" i="1" s="1"/>
  <c r="BH504" i="1"/>
  <c r="BI504" i="1"/>
  <c r="BH505" i="1"/>
  <c r="BI505" i="1"/>
  <c r="I511" i="1"/>
  <c r="J511" i="1"/>
  <c r="J512" i="1" s="1"/>
  <c r="K511" i="1"/>
  <c r="K512" i="1" s="1"/>
  <c r="L511" i="1"/>
  <c r="M511" i="1"/>
  <c r="N511" i="1"/>
  <c r="O511" i="1"/>
  <c r="H517" i="1"/>
  <c r="I517" i="1"/>
  <c r="J517" i="1"/>
  <c r="K517" i="1"/>
  <c r="L517" i="1"/>
  <c r="M517" i="1"/>
  <c r="N517" i="1"/>
  <c r="O517" i="1"/>
  <c r="P517" i="1"/>
  <c r="Q517" i="1"/>
  <c r="R517" i="1"/>
  <c r="S517" i="1"/>
  <c r="T517" i="1"/>
  <c r="U517" i="1"/>
  <c r="V517" i="1"/>
  <c r="W517" i="1"/>
  <c r="X517" i="1"/>
  <c r="Y517" i="1"/>
  <c r="Z517" i="1"/>
  <c r="AA517" i="1"/>
  <c r="BO516" i="1"/>
  <c r="B523" i="1"/>
  <c r="B531" i="1" s="1"/>
  <c r="B524" i="1"/>
  <c r="B532" i="1" s="1"/>
  <c r="B525" i="1"/>
  <c r="B533" i="1" s="1"/>
  <c r="B526" i="1"/>
  <c r="B534" i="1" s="1"/>
  <c r="B527" i="1"/>
  <c r="B535" i="1" s="1"/>
  <c r="B528" i="1"/>
  <c r="B536" i="1" s="1"/>
  <c r="H650" i="1"/>
  <c r="J650" i="1"/>
  <c r="L650" i="1"/>
  <c r="N650" i="1"/>
  <c r="O650" i="1"/>
  <c r="P650" i="1"/>
  <c r="R650" i="1"/>
  <c r="T650" i="1"/>
  <c r="V650" i="1"/>
  <c r="Z650" i="1"/>
  <c r="AB650" i="1"/>
  <c r="AE650" i="1"/>
  <c r="AG617" i="1"/>
  <c r="AK618" i="1" s="1"/>
  <c r="AK619" i="1" s="1"/>
  <c r="AK270" i="1" s="1"/>
  <c r="AH617" i="1"/>
  <c r="AL618" i="1" s="1"/>
  <c r="AI617" i="1"/>
  <c r="AM618" i="1" s="1"/>
  <c r="AJ617" i="1"/>
  <c r="AS612" i="1"/>
  <c r="AS615" i="1" s="1"/>
  <c r="AT612" i="1"/>
  <c r="AT615" i="1" s="1"/>
  <c r="AU612" i="1"/>
  <c r="AU615" i="1" s="1"/>
  <c r="AV612" i="1"/>
  <c r="AV615" i="1" s="1"/>
  <c r="AW612" i="1"/>
  <c r="AW615" i="1" s="1"/>
  <c r="BB617" i="1"/>
  <c r="BC617" i="1"/>
  <c r="BD617" i="1"/>
  <c r="BE617" i="1"/>
  <c r="BG617" i="1" s="1"/>
  <c r="BJ617" i="1"/>
  <c r="D615" i="1"/>
  <c r="E615" i="1"/>
  <c r="F615" i="1"/>
  <c r="G615" i="1"/>
  <c r="B622" i="1"/>
  <c r="BH625" i="1"/>
  <c r="BI625" i="1"/>
  <c r="BJ625" i="1"/>
  <c r="BK625" i="1"/>
  <c r="BL625" i="1"/>
  <c r="BM625" i="1"/>
  <c r="BN625" i="1"/>
  <c r="BH629" i="1"/>
  <c r="BI629" i="1"/>
  <c r="BJ629" i="1"/>
  <c r="BK629" i="1"/>
  <c r="BL629" i="1"/>
  <c r="BM629" i="1"/>
  <c r="BN629" i="1"/>
  <c r="BH630" i="1"/>
  <c r="BI630" i="1"/>
  <c r="BJ630" i="1"/>
  <c r="BK630" i="1"/>
  <c r="BL630" i="1"/>
  <c r="BM630" i="1"/>
  <c r="BN630" i="1"/>
  <c r="BH631" i="1"/>
  <c r="BI631" i="1"/>
  <c r="BJ631" i="1"/>
  <c r="BK631" i="1"/>
  <c r="BL631" i="1"/>
  <c r="BM631" i="1"/>
  <c r="BN631" i="1"/>
  <c r="BH634" i="1"/>
  <c r="BI634" i="1"/>
  <c r="BJ634" i="1"/>
  <c r="BK634" i="1"/>
  <c r="BL634" i="1"/>
  <c r="BM634" i="1"/>
  <c r="BN634" i="1"/>
  <c r="BH638" i="1"/>
  <c r="BI638" i="1"/>
  <c r="BJ638" i="1"/>
  <c r="BK638" i="1"/>
  <c r="BL638" i="1"/>
  <c r="BM638" i="1"/>
  <c r="BN638" i="1"/>
  <c r="BH639" i="1"/>
  <c r="BI639" i="1"/>
  <c r="BJ639" i="1"/>
  <c r="BK639" i="1"/>
  <c r="BL639" i="1"/>
  <c r="BM639" i="1"/>
  <c r="BN639" i="1"/>
  <c r="BH640" i="1"/>
  <c r="BI640" i="1"/>
  <c r="BJ640" i="1"/>
  <c r="BK640" i="1"/>
  <c r="BL640" i="1"/>
  <c r="BM640" i="1"/>
  <c r="BN640" i="1"/>
  <c r="AD647" i="1"/>
  <c r="AE647" i="1"/>
  <c r="P10" i="468"/>
  <c r="Q10" i="468"/>
  <c r="S10" i="468"/>
  <c r="V10" i="468"/>
  <c r="W10" i="468"/>
  <c r="X10" i="468"/>
  <c r="Y10" i="468"/>
  <c r="Z10" i="468"/>
  <c r="AA10" i="468"/>
  <c r="AD10" i="468"/>
  <c r="AE10" i="468"/>
  <c r="AG10" i="468"/>
  <c r="AI10" i="468"/>
  <c r="AB647" i="1"/>
  <c r="AC647" i="1"/>
  <c r="AJ645" i="1"/>
  <c r="F23" i="525" s="1"/>
  <c r="H647" i="1"/>
  <c r="I647" i="1"/>
  <c r="J647" i="1"/>
  <c r="K647" i="1"/>
  <c r="L647" i="1"/>
  <c r="M647" i="1"/>
  <c r="N647" i="1"/>
  <c r="O647" i="1"/>
  <c r="P647" i="1"/>
  <c r="Q647" i="1"/>
  <c r="R647" i="1"/>
  <c r="S647" i="1"/>
  <c r="T647" i="1"/>
  <c r="U647" i="1"/>
  <c r="V647" i="1"/>
  <c r="W647" i="1"/>
  <c r="X647" i="1"/>
  <c r="Y647" i="1"/>
  <c r="Z647" i="1"/>
  <c r="AA647" i="1"/>
  <c r="AH656" i="1"/>
  <c r="AL664" i="1" s="1"/>
  <c r="AI656" i="1"/>
  <c r="AM664" i="1" s="1"/>
  <c r="AJ656" i="1"/>
  <c r="H648" i="1"/>
  <c r="I648" i="1"/>
  <c r="J648" i="1"/>
  <c r="K648" i="1"/>
  <c r="L648" i="1"/>
  <c r="M648" i="1"/>
  <c r="N648" i="1"/>
  <c r="O648" i="1"/>
  <c r="P648" i="1"/>
  <c r="Q648" i="1"/>
  <c r="R648" i="1"/>
  <c r="S648" i="1"/>
  <c r="T648" i="1"/>
  <c r="U648" i="1"/>
  <c r="V648" i="1"/>
  <c r="W648" i="1"/>
  <c r="X648" i="1"/>
  <c r="Y648" i="1"/>
  <c r="Z648" i="1"/>
  <c r="AA648" i="1"/>
  <c r="AB648" i="1"/>
  <c r="AC648" i="1"/>
  <c r="AD648" i="1"/>
  <c r="AE648" i="1"/>
  <c r="AF648" i="1"/>
  <c r="AF674" i="1" s="1"/>
  <c r="AG648" i="1"/>
  <c r="AH658" i="1"/>
  <c r="AL666" i="1" s="1"/>
  <c r="AI658" i="1"/>
  <c r="AM666" i="1" s="1"/>
  <c r="AJ658" i="1"/>
  <c r="AN666" i="1" s="1"/>
  <c r="B655" i="1"/>
  <c r="B663" i="1" s="1"/>
  <c r="AT655" i="1"/>
  <c r="AT663" i="1" s="1"/>
  <c r="AU655" i="1"/>
  <c r="AV655" i="1"/>
  <c r="AW655" i="1"/>
  <c r="B656" i="1"/>
  <c r="B664" i="1" s="1"/>
  <c r="AT656" i="1"/>
  <c r="AU656" i="1"/>
  <c r="AV656" i="1"/>
  <c r="AW656" i="1"/>
  <c r="B657" i="1"/>
  <c r="B665" i="1" s="1"/>
  <c r="AT657" i="1"/>
  <c r="AT665" i="1" s="1"/>
  <c r="AU657" i="1"/>
  <c r="AV657" i="1"/>
  <c r="AW657" i="1"/>
  <c r="B658" i="1"/>
  <c r="B666" i="1" s="1"/>
  <c r="AT658" i="1"/>
  <c r="AT666" i="1" s="1"/>
  <c r="AU658" i="1"/>
  <c r="AV658" i="1"/>
  <c r="AW658" i="1"/>
  <c r="B659" i="1"/>
  <c r="B667" i="1" s="1"/>
  <c r="AT659" i="1"/>
  <c r="AT667" i="1" s="1"/>
  <c r="AU659" i="1"/>
  <c r="AV659" i="1"/>
  <c r="AW659" i="1"/>
  <c r="B660" i="1"/>
  <c r="B668" i="1" s="1"/>
  <c r="AT660" i="1"/>
  <c r="AT668" i="1" s="1"/>
  <c r="AU660" i="1"/>
  <c r="AV660" i="1"/>
  <c r="AW660" i="1"/>
  <c r="B662" i="1"/>
  <c r="T798" i="1"/>
  <c r="T796" i="1" s="1"/>
  <c r="U798" i="1"/>
  <c r="U796" i="1" s="1"/>
  <c r="V798" i="1"/>
  <c r="V796" i="1" s="1"/>
  <c r="W798" i="1"/>
  <c r="W796" i="1" s="1"/>
  <c r="X798" i="1"/>
  <c r="AB801" i="1" s="1"/>
  <c r="AB252" i="1" s="1"/>
  <c r="Y798" i="1"/>
  <c r="Z798" i="1"/>
  <c r="AD801" i="1" s="1"/>
  <c r="AD252" i="1" s="1"/>
  <c r="AA798" i="1"/>
  <c r="AE801" i="1" s="1"/>
  <c r="AE252" i="1" s="1"/>
  <c r="AB798" i="1"/>
  <c r="AC798" i="1"/>
  <c r="AG801" i="1" s="1"/>
  <c r="AG252" i="1" s="1"/>
  <c r="AF798" i="1"/>
  <c r="AJ798" i="1"/>
  <c r="AS796" i="1"/>
  <c r="AT796" i="1"/>
  <c r="AU796" i="1"/>
  <c r="AV796" i="1"/>
  <c r="AW796" i="1"/>
  <c r="BB798" i="1"/>
  <c r="BB796" i="1" s="1"/>
  <c r="BC798" i="1"/>
  <c r="BD798" i="1"/>
  <c r="BD796" i="1" s="1"/>
  <c r="BE798" i="1"/>
  <c r="BG798" i="1"/>
  <c r="BG796" i="1" s="1"/>
  <c r="BJ798" i="1"/>
  <c r="H798" i="1"/>
  <c r="I798" i="1"/>
  <c r="J798" i="1"/>
  <c r="K798" i="1"/>
  <c r="L798" i="1"/>
  <c r="M798" i="1"/>
  <c r="M868" i="1" s="1"/>
  <c r="N798" i="1"/>
  <c r="N868" i="1" s="1"/>
  <c r="O798" i="1"/>
  <c r="P798" i="1"/>
  <c r="Q798" i="1"/>
  <c r="R798" i="1"/>
  <c r="AS803" i="1"/>
  <c r="AT803" i="1"/>
  <c r="AU803" i="1"/>
  <c r="AV803" i="1"/>
  <c r="AW803" i="1"/>
  <c r="BO804" i="1"/>
  <c r="AG825" i="1"/>
  <c r="AH825" i="1"/>
  <c r="AL826" i="1" s="1"/>
  <c r="AL827" i="1" s="1"/>
  <c r="AI825" i="1"/>
  <c r="AM826" i="1" s="1"/>
  <c r="AJ825" i="1"/>
  <c r="AS812" i="1"/>
  <c r="AT812" i="1"/>
  <c r="AU812" i="1"/>
  <c r="AV812" i="1"/>
  <c r="AW812" i="1"/>
  <c r="BG825" i="1"/>
  <c r="BJ825" i="1"/>
  <c r="BO813" i="1"/>
  <c r="B815" i="1"/>
  <c r="BB825" i="1"/>
  <c r="BB821" i="1" s="1"/>
  <c r="BC825" i="1"/>
  <c r="BC821" i="1" s="1"/>
  <c r="BD825" i="1"/>
  <c r="BE825" i="1"/>
  <c r="BH835" i="1"/>
  <c r="BI835" i="1"/>
  <c r="BJ835" i="1"/>
  <c r="BK835" i="1"/>
  <c r="BL835" i="1"/>
  <c r="BH836" i="1"/>
  <c r="BI836" i="1"/>
  <c r="BJ836" i="1"/>
  <c r="BK836" i="1"/>
  <c r="BL836" i="1"/>
  <c r="BL837" i="1"/>
  <c r="BM837" i="1"/>
  <c r="BN837" i="1"/>
  <c r="BH838" i="1"/>
  <c r="BI838" i="1"/>
  <c r="BJ838" i="1"/>
  <c r="BK838" i="1"/>
  <c r="BL838" i="1"/>
  <c r="BM838" i="1"/>
  <c r="BN838" i="1"/>
  <c r="BH839" i="1"/>
  <c r="BI839" i="1"/>
  <c r="BJ839" i="1"/>
  <c r="BK839" i="1"/>
  <c r="BM839" i="1"/>
  <c r="BN839" i="1"/>
  <c r="BH846" i="1"/>
  <c r="BI846" i="1"/>
  <c r="BJ846" i="1"/>
  <c r="BK846" i="1"/>
  <c r="BL846" i="1"/>
  <c r="BM846" i="1"/>
  <c r="BN846" i="1"/>
  <c r="BH847" i="1"/>
  <c r="BI847" i="1"/>
  <c r="BJ847" i="1"/>
  <c r="BK847" i="1"/>
  <c r="BM847" i="1"/>
  <c r="BN847" i="1"/>
  <c r="AA854" i="1"/>
  <c r="BL854" i="1" s="1"/>
  <c r="AB854" i="1"/>
  <c r="AF854" i="1" s="1"/>
  <c r="AC854" i="1"/>
  <c r="AG854" i="1" s="1"/>
  <c r="AD854" i="1"/>
  <c r="AH854" i="1" s="1"/>
  <c r="BH854" i="1"/>
  <c r="BI854" i="1"/>
  <c r="BJ854" i="1"/>
  <c r="BK854" i="1"/>
  <c r="H855" i="1"/>
  <c r="I855" i="1"/>
  <c r="J855" i="1"/>
  <c r="K855" i="1"/>
  <c r="L855" i="1"/>
  <c r="M855" i="1"/>
  <c r="N855" i="1"/>
  <c r="O855" i="1"/>
  <c r="P855" i="1"/>
  <c r="Q855" i="1"/>
  <c r="R855" i="1"/>
  <c r="S855" i="1"/>
  <c r="T855" i="1"/>
  <c r="U855" i="1"/>
  <c r="V855" i="1"/>
  <c r="W855" i="1"/>
  <c r="X855" i="1"/>
  <c r="Y855" i="1"/>
  <c r="Z855" i="1"/>
  <c r="P857" i="1"/>
  <c r="Q857" i="1"/>
  <c r="U857" i="1" s="1"/>
  <c r="Y857" i="1" s="1"/>
  <c r="AC857" i="1" s="1"/>
  <c r="AG857" i="1" s="1"/>
  <c r="AK857" i="1" s="1"/>
  <c r="R857" i="1"/>
  <c r="V857" i="1" s="1"/>
  <c r="Z857" i="1" s="1"/>
  <c r="AD857" i="1" s="1"/>
  <c r="AH857" i="1" s="1"/>
  <c r="AL857" i="1" s="1"/>
  <c r="S857" i="1"/>
  <c r="W857" i="1" s="1"/>
  <c r="AA857" i="1" s="1"/>
  <c r="AE857" i="1" s="1"/>
  <c r="AI857" i="1" s="1"/>
  <c r="AM857" i="1" s="1"/>
  <c r="BH857" i="1"/>
  <c r="BI857" i="1"/>
  <c r="L858" i="1"/>
  <c r="M858" i="1"/>
  <c r="N858" i="1"/>
  <c r="O858" i="1"/>
  <c r="BH862" i="1"/>
  <c r="BI862" i="1"/>
  <c r="BJ862" i="1"/>
  <c r="BK862" i="1"/>
  <c r="BL862" i="1"/>
  <c r="BM862" i="1"/>
  <c r="H861" i="1"/>
  <c r="I861" i="1"/>
  <c r="J861" i="1"/>
  <c r="K861" i="1"/>
  <c r="L861" i="1"/>
  <c r="M861" i="1"/>
  <c r="N861" i="1"/>
  <c r="O861" i="1"/>
  <c r="P861" i="1"/>
  <c r="Q861" i="1"/>
  <c r="R861" i="1"/>
  <c r="S861" i="1"/>
  <c r="T861" i="1"/>
  <c r="U861" i="1"/>
  <c r="V861" i="1"/>
  <c r="W861" i="1"/>
  <c r="X861" i="1"/>
  <c r="Y861" i="1"/>
  <c r="Z861" i="1"/>
  <c r="AA861" i="1"/>
  <c r="AB861" i="1"/>
  <c r="AF861" i="1"/>
  <c r="BH863" i="1"/>
  <c r="BI863" i="1"/>
  <c r="BJ863" i="1"/>
  <c r="BK863" i="1"/>
  <c r="BL863" i="1"/>
  <c r="BM863" i="1"/>
  <c r="AJ875" i="1"/>
  <c r="BH864" i="1"/>
  <c r="BI864" i="1"/>
  <c r="BJ864" i="1"/>
  <c r="BK864" i="1"/>
  <c r="BL864" i="1"/>
  <c r="BM864" i="1"/>
  <c r="AJ876" i="1"/>
  <c r="BH865" i="1"/>
  <c r="BI865" i="1"/>
  <c r="BJ865" i="1"/>
  <c r="BK865" i="1"/>
  <c r="BL865" i="1"/>
  <c r="BM865" i="1"/>
  <c r="B873" i="1"/>
  <c r="B887" i="1" s="1"/>
  <c r="L873" i="1"/>
  <c r="M873" i="1"/>
  <c r="N873" i="1"/>
  <c r="O873" i="1"/>
  <c r="P873" i="1"/>
  <c r="Q873" i="1"/>
  <c r="R873" i="1"/>
  <c r="S873" i="1"/>
  <c r="T873" i="1"/>
  <c r="U873" i="1"/>
  <c r="V873" i="1"/>
  <c r="W873" i="1"/>
  <c r="X873" i="1"/>
  <c r="Y873" i="1"/>
  <c r="Z873" i="1"/>
  <c r="AA873" i="1"/>
  <c r="AB873" i="1"/>
  <c r="AC873" i="1"/>
  <c r="AD873" i="1"/>
  <c r="AE873" i="1"/>
  <c r="AF873" i="1"/>
  <c r="AG873" i="1"/>
  <c r="B872" i="1"/>
  <c r="B886" i="1" s="1"/>
  <c r="B874" i="1"/>
  <c r="B888" i="1" s="1"/>
  <c r="L874" i="1"/>
  <c r="M874" i="1"/>
  <c r="N874" i="1"/>
  <c r="O874" i="1"/>
  <c r="P874" i="1"/>
  <c r="Q874" i="1"/>
  <c r="R874" i="1"/>
  <c r="S874" i="1"/>
  <c r="T874" i="1"/>
  <c r="U874" i="1"/>
  <c r="V874" i="1"/>
  <c r="W874" i="1"/>
  <c r="X874" i="1"/>
  <c r="Y874" i="1"/>
  <c r="Z874" i="1"/>
  <c r="AA874" i="1"/>
  <c r="AB874" i="1"/>
  <c r="AC874" i="1"/>
  <c r="AD874" i="1"/>
  <c r="AE874" i="1"/>
  <c r="AF874" i="1"/>
  <c r="AG874" i="1"/>
  <c r="B875" i="1"/>
  <c r="B889" i="1" s="1"/>
  <c r="L875" i="1"/>
  <c r="M875" i="1"/>
  <c r="N875" i="1"/>
  <c r="O875" i="1"/>
  <c r="P875" i="1"/>
  <c r="Q875" i="1"/>
  <c r="R875" i="1"/>
  <c r="S875" i="1"/>
  <c r="T875" i="1"/>
  <c r="U875" i="1"/>
  <c r="V875" i="1"/>
  <c r="W875" i="1"/>
  <c r="X875" i="1"/>
  <c r="Y875" i="1"/>
  <c r="Z875" i="1"/>
  <c r="AA875" i="1"/>
  <c r="AB875" i="1"/>
  <c r="AC875" i="1"/>
  <c r="AD875" i="1"/>
  <c r="AE875" i="1"/>
  <c r="AF875" i="1"/>
  <c r="AG875" i="1"/>
  <c r="B876" i="1"/>
  <c r="B890" i="1" s="1"/>
  <c r="L876" i="1"/>
  <c r="M876" i="1"/>
  <c r="N876" i="1"/>
  <c r="O876" i="1"/>
  <c r="P876" i="1"/>
  <c r="Q876" i="1"/>
  <c r="R876" i="1"/>
  <c r="S876" i="1"/>
  <c r="T876" i="1"/>
  <c r="U876" i="1"/>
  <c r="V876" i="1"/>
  <c r="W876" i="1"/>
  <c r="X876" i="1"/>
  <c r="Y876" i="1"/>
  <c r="Z876" i="1"/>
  <c r="AA876" i="1"/>
  <c r="AB876" i="1"/>
  <c r="AC876" i="1"/>
  <c r="AD876" i="1"/>
  <c r="AE876" i="1"/>
  <c r="AF876" i="1"/>
  <c r="AG876" i="1"/>
  <c r="B877" i="1"/>
  <c r="B891" i="1" s="1"/>
  <c r="B878" i="1"/>
  <c r="B892" i="1" s="1"/>
  <c r="B879" i="1"/>
  <c r="B893" i="1" s="1"/>
  <c r="D882" i="1"/>
  <c r="E882" i="1"/>
  <c r="F882" i="1"/>
  <c r="G882" i="1"/>
  <c r="H882" i="1"/>
  <c r="I882" i="1"/>
  <c r="J882" i="1"/>
  <c r="K882" i="1"/>
  <c r="T892" i="1"/>
  <c r="U892" i="1"/>
  <c r="V892" i="1"/>
  <c r="W892" i="1"/>
  <c r="X892" i="1"/>
  <c r="Y892" i="1"/>
  <c r="Z892" i="1"/>
  <c r="AA892" i="1"/>
  <c r="AB892" i="1"/>
  <c r="AC892" i="1"/>
  <c r="AD892" i="1"/>
  <c r="AE892" i="1"/>
  <c r="AF892" i="1"/>
  <c r="AG892" i="1"/>
  <c r="AH892" i="1"/>
  <c r="AI892" i="1"/>
  <c r="AJ892" i="1"/>
  <c r="B909" i="1"/>
  <c r="B910" i="1"/>
  <c r="B911" i="1"/>
  <c r="B912" i="1"/>
  <c r="AI924" i="1"/>
  <c r="BM924" i="1"/>
  <c r="BH924" i="1"/>
  <c r="BG924" i="1"/>
  <c r="BI924" i="1"/>
  <c r="BJ924" i="1"/>
  <c r="S924" i="1" s="1"/>
  <c r="BK924" i="1"/>
  <c r="W924" i="1" s="1"/>
  <c r="BL924" i="1"/>
  <c r="AA924" i="1" s="1"/>
  <c r="AD919" i="1"/>
  <c r="AE919" i="1"/>
  <c r="BM919" i="1" s="1"/>
  <c r="AF919" i="1"/>
  <c r="AG919" i="1"/>
  <c r="O922" i="1"/>
  <c r="S922" i="1"/>
  <c r="W922" i="1"/>
  <c r="AA922" i="1"/>
  <c r="AE922" i="1"/>
  <c r="AI922" i="1"/>
  <c r="O923" i="1"/>
  <c r="S923" i="1"/>
  <c r="W923" i="1"/>
  <c r="AA923" i="1"/>
  <c r="AE923" i="1"/>
  <c r="AI923" i="1"/>
  <c r="B929" i="1"/>
  <c r="BI929" i="1"/>
  <c r="O929" i="1" s="1"/>
  <c r="BH929" i="1"/>
  <c r="BJ929" i="1"/>
  <c r="BK929" i="1"/>
  <c r="BL929" i="1"/>
  <c r="BM929" i="1"/>
  <c r="BN929" i="1"/>
  <c r="B930" i="1"/>
  <c r="BI930" i="1"/>
  <c r="O930" i="1" s="1"/>
  <c r="BH930" i="1"/>
  <c r="BJ930" i="1"/>
  <c r="BK930" i="1"/>
  <c r="BL930" i="1"/>
  <c r="BM930" i="1"/>
  <c r="BN930" i="1"/>
  <c r="B931" i="1"/>
  <c r="O934" i="1"/>
  <c r="S934" i="1"/>
  <c r="W934" i="1"/>
  <c r="AA934" i="1"/>
  <c r="AE934" i="1"/>
  <c r="AI934" i="1"/>
  <c r="AM941" i="1" s="1"/>
  <c r="O935" i="1"/>
  <c r="S935" i="1"/>
  <c r="W935" i="1"/>
  <c r="AA935" i="1"/>
  <c r="AE935" i="1"/>
  <c r="AI935" i="1"/>
  <c r="AM942" i="1" s="1"/>
  <c r="O936" i="1"/>
  <c r="S936" i="1"/>
  <c r="W936" i="1"/>
  <c r="AA936" i="1"/>
  <c r="AE936" i="1"/>
  <c r="AI936" i="1"/>
  <c r="AM943" i="1" s="1"/>
  <c r="O937" i="1"/>
  <c r="S937" i="1"/>
  <c r="W937" i="1"/>
  <c r="AA937" i="1"/>
  <c r="AE937" i="1"/>
  <c r="AI937" i="1"/>
  <c r="AM944" i="1" s="1"/>
  <c r="BI938" i="1"/>
  <c r="BJ938" i="1"/>
  <c r="S938" i="1" s="1"/>
  <c r="BK938" i="1"/>
  <c r="BL938" i="1"/>
  <c r="AA938" i="1" s="1"/>
  <c r="BM938" i="1"/>
  <c r="AE938" i="1" s="1"/>
  <c r="BN938" i="1"/>
  <c r="BG938" i="1"/>
  <c r="BH938" i="1"/>
  <c r="B941" i="1"/>
  <c r="BI941" i="1"/>
  <c r="O941" i="1" s="1"/>
  <c r="BH941" i="1"/>
  <c r="BJ941" i="1"/>
  <c r="BK941" i="1"/>
  <c r="BL941" i="1"/>
  <c r="BM941" i="1"/>
  <c r="BN941" i="1"/>
  <c r="B942" i="1"/>
  <c r="BI942" i="1"/>
  <c r="O942" i="1" s="1"/>
  <c r="BH942" i="1"/>
  <c r="BJ942" i="1"/>
  <c r="BK942" i="1"/>
  <c r="BL942" i="1"/>
  <c r="BM942" i="1"/>
  <c r="BN942" i="1"/>
  <c r="B943" i="1"/>
  <c r="BI943" i="1"/>
  <c r="O943" i="1" s="1"/>
  <c r="BH943" i="1"/>
  <c r="BJ943" i="1"/>
  <c r="BK943" i="1"/>
  <c r="BL943" i="1"/>
  <c r="BM943" i="1"/>
  <c r="BN943" i="1"/>
  <c r="B944" i="1"/>
  <c r="BI944" i="1"/>
  <c r="O944" i="1" s="1"/>
  <c r="BH944" i="1"/>
  <c r="BJ944" i="1"/>
  <c r="BK944" i="1"/>
  <c r="BL944" i="1"/>
  <c r="BM944" i="1"/>
  <c r="BN944" i="1"/>
  <c r="B945" i="1"/>
  <c r="K995" i="1"/>
  <c r="O995" i="1"/>
  <c r="S995" i="1"/>
  <c r="W995" i="1"/>
  <c r="AA995" i="1"/>
  <c r="AB995" i="1"/>
  <c r="AE995" i="1" s="1"/>
  <c r="AI995" i="1"/>
  <c r="AM1007" i="1" s="1"/>
  <c r="K996" i="1"/>
  <c r="O996" i="1"/>
  <c r="S996" i="1"/>
  <c r="W996" i="1"/>
  <c r="AA996" i="1"/>
  <c r="AB996" i="1"/>
  <c r="AE996" i="1" s="1"/>
  <c r="AI996" i="1"/>
  <c r="AM1008" i="1" s="1"/>
  <c r="K997" i="1"/>
  <c r="K955" i="1" s="1"/>
  <c r="O997" i="1"/>
  <c r="O955" i="1" s="1"/>
  <c r="S997" i="1"/>
  <c r="S955" i="1" s="1"/>
  <c r="W997" i="1"/>
  <c r="W955" i="1" s="1"/>
  <c r="AA997" i="1"/>
  <c r="AA955" i="1" s="1"/>
  <c r="AB997" i="1"/>
  <c r="AI997" i="1"/>
  <c r="K998" i="1"/>
  <c r="O998" i="1"/>
  <c r="S998" i="1"/>
  <c r="W998" i="1"/>
  <c r="AA998" i="1"/>
  <c r="AB998" i="1"/>
  <c r="AE998" i="1" s="1"/>
  <c r="AI998" i="1"/>
  <c r="AM1010" i="1" s="1"/>
  <c r="K999" i="1"/>
  <c r="O999" i="1"/>
  <c r="S999" i="1"/>
  <c r="W999" i="1"/>
  <c r="AA999" i="1"/>
  <c r="AB999" i="1"/>
  <c r="AE999" i="1" s="1"/>
  <c r="AI999" i="1"/>
  <c r="AM1011" i="1" s="1"/>
  <c r="K1000" i="1"/>
  <c r="K959" i="1" s="1"/>
  <c r="BH959" i="1" s="1"/>
  <c r="O1000" i="1"/>
  <c r="O959" i="1" s="1"/>
  <c r="BI959" i="1" s="1"/>
  <c r="S1000" i="1"/>
  <c r="S959" i="1" s="1"/>
  <c r="BJ959" i="1" s="1"/>
  <c r="W1000" i="1"/>
  <c r="W959" i="1" s="1"/>
  <c r="BK959" i="1" s="1"/>
  <c r="AA1000" i="1"/>
  <c r="AA959" i="1" s="1"/>
  <c r="BL959" i="1" s="1"/>
  <c r="AB1000" i="1"/>
  <c r="AI1000" i="1"/>
  <c r="K1001" i="1"/>
  <c r="O1001" i="1"/>
  <c r="S1001" i="1"/>
  <c r="W1001" i="1"/>
  <c r="AA1001" i="1"/>
  <c r="AB1001" i="1"/>
  <c r="AE1001" i="1" s="1"/>
  <c r="AI1001" i="1"/>
  <c r="AM1013" i="1" s="1"/>
  <c r="AZ1001" i="1"/>
  <c r="AZ1013" i="1" s="1"/>
  <c r="BA1001" i="1"/>
  <c r="BB1001" i="1"/>
  <c r="BB1004" i="1" s="1"/>
  <c r="K1002" i="1"/>
  <c r="K957" i="1" s="1"/>
  <c r="O1002" i="1"/>
  <c r="O957" i="1" s="1"/>
  <c r="W1002" i="1"/>
  <c r="W957" i="1" s="1"/>
  <c r="BK957" i="1" s="1"/>
  <c r="AA1002" i="1"/>
  <c r="AA957" i="1" s="1"/>
  <c r="BL957" i="1" s="1"/>
  <c r="AB1002" i="1"/>
  <c r="AB957" i="1" s="1"/>
  <c r="AI1002" i="1"/>
  <c r="K1003" i="1"/>
  <c r="O1003" i="1"/>
  <c r="S1003" i="1"/>
  <c r="W1003" i="1"/>
  <c r="AA1003" i="1"/>
  <c r="AB1003" i="1"/>
  <c r="AE1003" i="1" s="1"/>
  <c r="H1004" i="1"/>
  <c r="H1025" i="1" s="1"/>
  <c r="I1004" i="1"/>
  <c r="I1020" i="1" s="1"/>
  <c r="J1004" i="1"/>
  <c r="J1019" i="1" s="1"/>
  <c r="L1004" i="1"/>
  <c r="M1004" i="1"/>
  <c r="N1004" i="1"/>
  <c r="N1020" i="1" s="1"/>
  <c r="P1004" i="1"/>
  <c r="P1021" i="1" s="1"/>
  <c r="Q1004" i="1"/>
  <c r="Q1024" i="1" s="1"/>
  <c r="R1004" i="1"/>
  <c r="R1024" i="1" s="1"/>
  <c r="T1004" i="1"/>
  <c r="T1020" i="1" s="1"/>
  <c r="U1004" i="1"/>
  <c r="U1022" i="1" s="1"/>
  <c r="V1004" i="1"/>
  <c r="V1025" i="1" s="1"/>
  <c r="X1004" i="1"/>
  <c r="X1022" i="1" s="1"/>
  <c r="Y1004" i="1"/>
  <c r="Y1025" i="1" s="1"/>
  <c r="Z1004" i="1"/>
  <c r="Z1025" i="1" s="1"/>
  <c r="AC1004" i="1"/>
  <c r="AC1019" i="1" s="1"/>
  <c r="AD1004" i="1"/>
  <c r="AD1019" i="1" s="1"/>
  <c r="AF1004" i="1"/>
  <c r="AF1020" i="1" s="1"/>
  <c r="AG1004" i="1"/>
  <c r="AG1019" i="1" s="1"/>
  <c r="AH1004" i="1"/>
  <c r="AH1022" i="1" s="1"/>
  <c r="AV1004" i="1"/>
  <c r="AV1021" i="1" s="1"/>
  <c r="AW1004" i="1"/>
  <c r="AW1022" i="1" s="1"/>
  <c r="AX1004" i="1"/>
  <c r="AY1004" i="1"/>
  <c r="BC1004" i="1"/>
  <c r="BC1021" i="1" s="1"/>
  <c r="BD1004" i="1"/>
  <c r="BD1027" i="1" s="1"/>
  <c r="BE1004" i="1"/>
  <c r="BE1022" i="1" s="1"/>
  <c r="BG1004" i="1"/>
  <c r="BG1028" i="1" s="1"/>
  <c r="BH1004" i="1"/>
  <c r="BH1021" i="1" s="1"/>
  <c r="BI1004" i="1"/>
  <c r="BI1022" i="1" s="1"/>
  <c r="BJ1004" i="1"/>
  <c r="BJ1020" i="1" s="1"/>
  <c r="BK1004" i="1"/>
  <c r="BK1023" i="1" s="1"/>
  <c r="BL1004" i="1"/>
  <c r="BL1028" i="1" s="1"/>
  <c r="BM1004" i="1"/>
  <c r="B1007" i="1"/>
  <c r="L1007" i="1"/>
  <c r="M1007" i="1"/>
  <c r="N1007" i="1"/>
  <c r="P1007" i="1"/>
  <c r="Q1007" i="1"/>
  <c r="R1007" i="1"/>
  <c r="T1007" i="1"/>
  <c r="U1007" i="1"/>
  <c r="V1007" i="1"/>
  <c r="X1007" i="1"/>
  <c r="Y1007" i="1"/>
  <c r="Z1007" i="1"/>
  <c r="AC1007" i="1"/>
  <c r="AD1007" i="1"/>
  <c r="AG1007" i="1"/>
  <c r="AH1007" i="1"/>
  <c r="AJ1007" i="1"/>
  <c r="AW1007" i="1"/>
  <c r="AX1007" i="1"/>
  <c r="AY1007" i="1"/>
  <c r="AZ1007" i="1"/>
  <c r="BA1007" i="1"/>
  <c r="BB1007" i="1"/>
  <c r="BC1007" i="1"/>
  <c r="BD1007" i="1"/>
  <c r="BG1007" i="1" s="1"/>
  <c r="BE1007" i="1"/>
  <c r="BH1007" i="1"/>
  <c r="BI1007" i="1"/>
  <c r="BJ1007" i="1"/>
  <c r="BK1007" i="1"/>
  <c r="BL1007" i="1"/>
  <c r="BM1007" i="1"/>
  <c r="BN1007" i="1"/>
  <c r="B1008" i="1"/>
  <c r="L1008" i="1"/>
  <c r="M1008" i="1"/>
  <c r="N1008" i="1"/>
  <c r="P1008" i="1"/>
  <c r="Q1008" i="1"/>
  <c r="R1008" i="1"/>
  <c r="T1008" i="1"/>
  <c r="U1008" i="1"/>
  <c r="V1008" i="1"/>
  <c r="X1008" i="1"/>
  <c r="Y1008" i="1"/>
  <c r="Z1008" i="1"/>
  <c r="AC1008" i="1"/>
  <c r="AD1008" i="1"/>
  <c r="AG1008" i="1"/>
  <c r="AH1008" i="1"/>
  <c r="AJ1008" i="1"/>
  <c r="AW1008" i="1"/>
  <c r="AX1008" i="1"/>
  <c r="AY1008" i="1"/>
  <c r="AZ1008" i="1"/>
  <c r="BA1008" i="1"/>
  <c r="BB1008" i="1"/>
  <c r="BC1008" i="1"/>
  <c r="BD1008" i="1"/>
  <c r="BG1008" i="1" s="1"/>
  <c r="BE1008" i="1"/>
  <c r="BH1008" i="1"/>
  <c r="BI1008" i="1"/>
  <c r="BJ1008" i="1"/>
  <c r="BK1008" i="1"/>
  <c r="BL1008" i="1"/>
  <c r="BM1008" i="1"/>
  <c r="BN1008" i="1"/>
  <c r="B1009" i="1"/>
  <c r="L1009" i="1"/>
  <c r="M1009" i="1"/>
  <c r="N1009" i="1"/>
  <c r="P1009" i="1"/>
  <c r="Q1009" i="1"/>
  <c r="R1009" i="1"/>
  <c r="T1009" i="1"/>
  <c r="U1009" i="1"/>
  <c r="V1009" i="1"/>
  <c r="X1009" i="1"/>
  <c r="Y1009" i="1"/>
  <c r="Z1009" i="1"/>
  <c r="AC1009" i="1"/>
  <c r="AD1009" i="1"/>
  <c r="AG1009" i="1"/>
  <c r="AH1009" i="1"/>
  <c r="AJ1009" i="1"/>
  <c r="AW1009" i="1"/>
  <c r="AX1009" i="1"/>
  <c r="AY1009" i="1"/>
  <c r="AZ1009" i="1"/>
  <c r="BA1009" i="1"/>
  <c r="BB1009" i="1"/>
  <c r="BC1009" i="1"/>
  <c r="BD1009" i="1"/>
  <c r="BG1009" i="1" s="1"/>
  <c r="BE1009" i="1"/>
  <c r="BH1009" i="1"/>
  <c r="BI1009" i="1"/>
  <c r="BJ1009" i="1"/>
  <c r="BK1009" i="1"/>
  <c r="BL1009" i="1"/>
  <c r="BM1009" i="1"/>
  <c r="BN1009" i="1"/>
  <c r="B1010" i="1"/>
  <c r="L1010" i="1"/>
  <c r="M1010" i="1"/>
  <c r="N1010" i="1"/>
  <c r="P1010" i="1"/>
  <c r="Q1010" i="1"/>
  <c r="R1010" i="1"/>
  <c r="T1010" i="1"/>
  <c r="U1010" i="1"/>
  <c r="V1010" i="1"/>
  <c r="X1010" i="1"/>
  <c r="Y1010" i="1"/>
  <c r="Z1010" i="1"/>
  <c r="AC1010" i="1"/>
  <c r="AD1010" i="1"/>
  <c r="AG1010" i="1"/>
  <c r="AH1010" i="1"/>
  <c r="AJ1010" i="1"/>
  <c r="AW1010" i="1"/>
  <c r="AX1010" i="1"/>
  <c r="AY1010" i="1"/>
  <c r="AZ1010" i="1"/>
  <c r="BA1010" i="1"/>
  <c r="BB1010" i="1"/>
  <c r="BC1010" i="1"/>
  <c r="BD1010" i="1"/>
  <c r="BG1010" i="1" s="1"/>
  <c r="BE1010" i="1"/>
  <c r="BH1010" i="1"/>
  <c r="BI1010" i="1"/>
  <c r="BJ1010" i="1"/>
  <c r="BK1010" i="1"/>
  <c r="BL1010" i="1"/>
  <c r="BM1010" i="1"/>
  <c r="BN1010" i="1"/>
  <c r="B1011" i="1"/>
  <c r="L1011" i="1"/>
  <c r="M1011" i="1"/>
  <c r="N1011" i="1"/>
  <c r="P1011" i="1"/>
  <c r="Q1011" i="1"/>
  <c r="R1011" i="1"/>
  <c r="T1011" i="1"/>
  <c r="U1011" i="1"/>
  <c r="V1011" i="1"/>
  <c r="X1011" i="1"/>
  <c r="Y1011" i="1"/>
  <c r="Z1011" i="1"/>
  <c r="AC1011" i="1"/>
  <c r="AD1011" i="1"/>
  <c r="AG1011" i="1"/>
  <c r="AH1011" i="1"/>
  <c r="AJ1011" i="1"/>
  <c r="AW1011" i="1"/>
  <c r="AX1011" i="1"/>
  <c r="AY1011" i="1"/>
  <c r="AZ1011" i="1"/>
  <c r="BA1011" i="1"/>
  <c r="BB1011" i="1"/>
  <c r="BC1011" i="1"/>
  <c r="BD1011" i="1"/>
  <c r="BG1011" i="1" s="1"/>
  <c r="BE1011" i="1"/>
  <c r="BH1011" i="1"/>
  <c r="BI1011" i="1"/>
  <c r="BJ1011" i="1"/>
  <c r="BK1011" i="1"/>
  <c r="BL1011" i="1"/>
  <c r="BM1011" i="1"/>
  <c r="BN1011" i="1"/>
  <c r="B1012" i="1"/>
  <c r="L1012" i="1"/>
  <c r="M1012" i="1"/>
  <c r="N1012" i="1"/>
  <c r="P1012" i="1"/>
  <c r="Q1012" i="1"/>
  <c r="R1012" i="1"/>
  <c r="T1012" i="1"/>
  <c r="U1012" i="1"/>
  <c r="V1012" i="1"/>
  <c r="X1012" i="1"/>
  <c r="Y1012" i="1"/>
  <c r="Z1012" i="1"/>
  <c r="AC1012" i="1"/>
  <c r="AD1012" i="1"/>
  <c r="AG1012" i="1"/>
  <c r="AH1012" i="1"/>
  <c r="AJ1012" i="1"/>
  <c r="AW1012" i="1"/>
  <c r="AX1012" i="1"/>
  <c r="AY1012" i="1"/>
  <c r="AZ1012" i="1"/>
  <c r="BA1012" i="1"/>
  <c r="BB1012" i="1"/>
  <c r="BC1012" i="1"/>
  <c r="BD1012" i="1"/>
  <c r="BG1012" i="1" s="1"/>
  <c r="BE1012" i="1"/>
  <c r="BH1012" i="1"/>
  <c r="BI1012" i="1"/>
  <c r="BJ1012" i="1"/>
  <c r="BK1012" i="1"/>
  <c r="BL1012" i="1"/>
  <c r="BM1012" i="1"/>
  <c r="BN1012" i="1"/>
  <c r="B1013" i="1"/>
  <c r="L1013" i="1"/>
  <c r="M1013" i="1"/>
  <c r="N1013" i="1"/>
  <c r="P1013" i="1"/>
  <c r="Q1013" i="1"/>
  <c r="R1013" i="1"/>
  <c r="T1013" i="1"/>
  <c r="U1013" i="1"/>
  <c r="V1013" i="1"/>
  <c r="X1013" i="1"/>
  <c r="Y1013" i="1"/>
  <c r="Z1013" i="1"/>
  <c r="AC1013" i="1"/>
  <c r="AD1013" i="1"/>
  <c r="AG1013" i="1"/>
  <c r="AH1013" i="1"/>
  <c r="AJ1013" i="1"/>
  <c r="AW1013" i="1"/>
  <c r="AX1013" i="1"/>
  <c r="AY1013" i="1"/>
  <c r="BD1013" i="1"/>
  <c r="BG1013" i="1" s="1"/>
  <c r="BE1013" i="1"/>
  <c r="BH1013" i="1"/>
  <c r="BI1013" i="1"/>
  <c r="BJ1013" i="1"/>
  <c r="BK1013" i="1"/>
  <c r="BL1013" i="1"/>
  <c r="BM1013" i="1"/>
  <c r="BN1013" i="1"/>
  <c r="B1014" i="1"/>
  <c r="L1014" i="1"/>
  <c r="M1014" i="1"/>
  <c r="N1014" i="1"/>
  <c r="P1014" i="1"/>
  <c r="Q1014" i="1"/>
  <c r="R1014" i="1"/>
  <c r="T1014" i="1"/>
  <c r="U1014" i="1"/>
  <c r="V1014" i="1"/>
  <c r="X1014" i="1"/>
  <c r="Y1014" i="1"/>
  <c r="Z1014" i="1"/>
  <c r="AC1014" i="1"/>
  <c r="AD1014" i="1"/>
  <c r="AG1014" i="1"/>
  <c r="AH1014" i="1"/>
  <c r="AJ1014" i="1"/>
  <c r="AW1014" i="1"/>
  <c r="AX1014" i="1"/>
  <c r="AY1014" i="1"/>
  <c r="AZ1014" i="1"/>
  <c r="BA1014" i="1"/>
  <c r="BB1014" i="1"/>
  <c r="BC1014" i="1"/>
  <c r="BD1014" i="1"/>
  <c r="BG1014" i="1" s="1"/>
  <c r="BE1014" i="1"/>
  <c r="BH1014" i="1"/>
  <c r="BI1014" i="1"/>
  <c r="BJ1014" i="1"/>
  <c r="BK1014" i="1"/>
  <c r="BL1014" i="1"/>
  <c r="BM1014" i="1"/>
  <c r="BN1014" i="1"/>
  <c r="B1015" i="1"/>
  <c r="B1027" i="1" s="1"/>
  <c r="L1015" i="1"/>
  <c r="M1015" i="1"/>
  <c r="N1015" i="1"/>
  <c r="P1015" i="1"/>
  <c r="Q1015" i="1"/>
  <c r="R1015" i="1"/>
  <c r="T1015" i="1"/>
  <c r="U1015" i="1"/>
  <c r="V1015" i="1"/>
  <c r="X1015" i="1"/>
  <c r="Y1015" i="1"/>
  <c r="Z1015" i="1"/>
  <c r="AC1015" i="1"/>
  <c r="AD1015" i="1"/>
  <c r="AG1015" i="1"/>
  <c r="AH1015" i="1"/>
  <c r="AW1015" i="1"/>
  <c r="AX1015" i="1"/>
  <c r="AY1015" i="1"/>
  <c r="AZ1015" i="1"/>
  <c r="BA1015" i="1"/>
  <c r="BB1015" i="1"/>
  <c r="BC1015" i="1"/>
  <c r="BD1015" i="1"/>
  <c r="BG1015" i="1" s="1"/>
  <c r="BE1015" i="1"/>
  <c r="BH1015" i="1"/>
  <c r="BI1015" i="1"/>
  <c r="BJ1015" i="1"/>
  <c r="BK1015" i="1"/>
  <c r="BL1015" i="1"/>
  <c r="BM1015" i="1"/>
  <c r="B1016" i="1"/>
  <c r="B1028" i="1" s="1"/>
  <c r="AW1033" i="1"/>
  <c r="AX1033" i="1"/>
  <c r="AY1033" i="1"/>
  <c r="AZ1033" i="1"/>
  <c r="BA1033" i="1"/>
  <c r="BB1033" i="1"/>
  <c r="BC1033" i="1"/>
  <c r="BD1033" i="1"/>
  <c r="BE1033" i="1"/>
  <c r="B1033" i="1"/>
  <c r="AV1033" i="1"/>
  <c r="AZ1039" i="1"/>
  <c r="AV1043" i="1"/>
  <c r="AW1043" i="1"/>
  <c r="AX1043" i="1"/>
  <c r="AY1043" i="1"/>
  <c r="AZ1043" i="1"/>
  <c r="BA1043" i="1"/>
  <c r="BB1043" i="1"/>
  <c r="BC1043" i="1"/>
  <c r="BD1043" i="1"/>
  <c r="BE1043" i="1"/>
  <c r="BG1056" i="1"/>
  <c r="BH1056" i="1"/>
  <c r="BI1056" i="1"/>
  <c r="BL1056" i="1"/>
  <c r="BM1056" i="1"/>
  <c r="BN1056" i="1"/>
  <c r="BO1061" i="1" s="1"/>
  <c r="BG1057" i="1"/>
  <c r="BH1057" i="1"/>
  <c r="BI1057" i="1"/>
  <c r="BL1057" i="1"/>
  <c r="BM1057" i="1"/>
  <c r="BN1057" i="1"/>
  <c r="BO1062" i="1" s="1"/>
  <c r="B1061" i="1"/>
  <c r="H1061" i="1"/>
  <c r="I1061" i="1"/>
  <c r="J1061" i="1"/>
  <c r="K1061" i="1"/>
  <c r="L1061" i="1"/>
  <c r="M1061" i="1"/>
  <c r="N1061" i="1"/>
  <c r="O1061" i="1"/>
  <c r="P1061" i="1"/>
  <c r="Q1061" i="1"/>
  <c r="R1061" i="1"/>
  <c r="S1061" i="1"/>
  <c r="T1061" i="1"/>
  <c r="U1061" i="1"/>
  <c r="V1061" i="1"/>
  <c r="W1061" i="1"/>
  <c r="X1061" i="1"/>
  <c r="Y1061" i="1"/>
  <c r="Z1061" i="1"/>
  <c r="AA1061" i="1"/>
  <c r="AB1061" i="1"/>
  <c r="AC1061" i="1"/>
  <c r="AD1061" i="1"/>
  <c r="AE1061" i="1"/>
  <c r="AF1061" i="1"/>
  <c r="AG1061" i="1"/>
  <c r="AH1061" i="1"/>
  <c r="AI1061" i="1"/>
  <c r="AJ1061" i="1"/>
  <c r="BC1061" i="1"/>
  <c r="BD1061" i="1"/>
  <c r="BG1061" i="1" s="1"/>
  <c r="BE1061" i="1"/>
  <c r="B1062" i="1"/>
  <c r="H1062" i="1"/>
  <c r="I1062" i="1"/>
  <c r="J1062" i="1"/>
  <c r="K1062" i="1"/>
  <c r="L1062" i="1"/>
  <c r="M1062" i="1"/>
  <c r="N1062" i="1"/>
  <c r="O1062" i="1"/>
  <c r="P1062" i="1"/>
  <c r="Q1062" i="1"/>
  <c r="R1062" i="1"/>
  <c r="S1062" i="1"/>
  <c r="T1062" i="1"/>
  <c r="U1062" i="1"/>
  <c r="V1062" i="1"/>
  <c r="W1062" i="1"/>
  <c r="X1062" i="1"/>
  <c r="Y1062" i="1"/>
  <c r="Z1062" i="1"/>
  <c r="AA1062" i="1"/>
  <c r="AB1062" i="1"/>
  <c r="AC1062" i="1"/>
  <c r="AD1062" i="1"/>
  <c r="AE1062" i="1"/>
  <c r="AF1062" i="1"/>
  <c r="AG1062" i="1"/>
  <c r="AH1062" i="1"/>
  <c r="AI1062" i="1"/>
  <c r="AJ1062" i="1"/>
  <c r="BC1062" i="1"/>
  <c r="BD1062" i="1"/>
  <c r="BG1062" i="1" s="1"/>
  <c r="BE1062" i="1"/>
  <c r="B1063" i="1"/>
  <c r="AT1063" i="1"/>
  <c r="AU1063" i="1"/>
  <c r="AV1063" i="1"/>
  <c r="AW1063" i="1"/>
  <c r="AX1063" i="1"/>
  <c r="AY1063" i="1"/>
  <c r="AZ1063" i="1"/>
  <c r="BA1063" i="1"/>
  <c r="BG1066" i="1"/>
  <c r="BH1066" i="1"/>
  <c r="BI1066" i="1"/>
  <c r="BL1066" i="1"/>
  <c r="BM1066" i="1"/>
  <c r="BN1066" i="1"/>
  <c r="BG1067" i="1"/>
  <c r="BH1067" i="1"/>
  <c r="BI1067" i="1"/>
  <c r="BL1067" i="1"/>
  <c r="BM1067" i="1"/>
  <c r="BN1067" i="1"/>
  <c r="D1070" i="1"/>
  <c r="E1070" i="1"/>
  <c r="F1070" i="1"/>
  <c r="G1070" i="1"/>
  <c r="H1070" i="1"/>
  <c r="H1075" i="1" s="1"/>
  <c r="I1070" i="1"/>
  <c r="I1075" i="1" s="1"/>
  <c r="J1070" i="1"/>
  <c r="J1075" i="1" s="1"/>
  <c r="K1070" i="1"/>
  <c r="K1075" i="1" s="1"/>
  <c r="L1070" i="1"/>
  <c r="L1075" i="1" s="1"/>
  <c r="M1070" i="1"/>
  <c r="M1075" i="1" s="1"/>
  <c r="N1070" i="1"/>
  <c r="N1075" i="1" s="1"/>
  <c r="O1070" i="1"/>
  <c r="O1075" i="1" s="1"/>
  <c r="P1070" i="1"/>
  <c r="P1075" i="1" s="1"/>
  <c r="Q1070" i="1"/>
  <c r="Q1075" i="1" s="1"/>
  <c r="R1070" i="1"/>
  <c r="R1075" i="1" s="1"/>
  <c r="S1070" i="1"/>
  <c r="S1075" i="1" s="1"/>
  <c r="T1070" i="1"/>
  <c r="T1075" i="1" s="1"/>
  <c r="U1070" i="1"/>
  <c r="U1075" i="1" s="1"/>
  <c r="V1070" i="1"/>
  <c r="V1075" i="1" s="1"/>
  <c r="W1070" i="1"/>
  <c r="W1075" i="1" s="1"/>
  <c r="X1070" i="1"/>
  <c r="X1075" i="1" s="1"/>
  <c r="Y1070" i="1"/>
  <c r="Y1075" i="1" s="1"/>
  <c r="Z1070" i="1"/>
  <c r="Z1075" i="1" s="1"/>
  <c r="AA1070" i="1"/>
  <c r="AA1075" i="1" s="1"/>
  <c r="AB1070" i="1"/>
  <c r="AB1075" i="1" s="1"/>
  <c r="AC1070" i="1"/>
  <c r="AC1075" i="1" s="1"/>
  <c r="AD1070" i="1"/>
  <c r="AD1075" i="1" s="1"/>
  <c r="AE1070" i="1"/>
  <c r="AE1075" i="1" s="1"/>
  <c r="AF1070" i="1"/>
  <c r="AG1070" i="1"/>
  <c r="AG1075" i="1" s="1"/>
  <c r="AH1070" i="1"/>
  <c r="AH1075" i="1" s="1"/>
  <c r="AI1070" i="1"/>
  <c r="AI1075" i="1" s="1"/>
  <c r="AJ1070" i="1"/>
  <c r="AS1070" i="1"/>
  <c r="AT1070" i="1"/>
  <c r="BB1070" i="1"/>
  <c r="BB1075" i="1" s="1"/>
  <c r="BC1070" i="1"/>
  <c r="BC1075" i="1" s="1"/>
  <c r="BD1070" i="1"/>
  <c r="BD1075" i="1" s="1"/>
  <c r="BE1070" i="1"/>
  <c r="BE1075" i="1" s="1"/>
  <c r="BJ1070" i="1"/>
  <c r="BJ1075" i="1" s="1"/>
  <c r="D1071" i="1"/>
  <c r="E1071" i="1"/>
  <c r="F1071" i="1"/>
  <c r="G1071" i="1"/>
  <c r="H1071" i="1"/>
  <c r="H1076" i="1" s="1"/>
  <c r="I1071" i="1"/>
  <c r="I1076" i="1" s="1"/>
  <c r="J1071" i="1"/>
  <c r="J1076" i="1" s="1"/>
  <c r="K1071" i="1"/>
  <c r="K1076" i="1" s="1"/>
  <c r="L1071" i="1"/>
  <c r="L1076" i="1" s="1"/>
  <c r="M1071" i="1"/>
  <c r="M1076" i="1" s="1"/>
  <c r="N1071" i="1"/>
  <c r="N1076" i="1" s="1"/>
  <c r="O1071" i="1"/>
  <c r="O1076" i="1" s="1"/>
  <c r="P1071" i="1"/>
  <c r="P1076" i="1" s="1"/>
  <c r="Q1071" i="1"/>
  <c r="Q1076" i="1" s="1"/>
  <c r="R1071" i="1"/>
  <c r="R1076" i="1" s="1"/>
  <c r="S1071" i="1"/>
  <c r="S1076" i="1" s="1"/>
  <c r="T1071" i="1"/>
  <c r="T1076" i="1" s="1"/>
  <c r="U1071" i="1"/>
  <c r="U1076" i="1" s="1"/>
  <c r="V1071" i="1"/>
  <c r="V1076" i="1" s="1"/>
  <c r="W1071" i="1"/>
  <c r="W1076" i="1" s="1"/>
  <c r="X1071" i="1"/>
  <c r="X1076" i="1" s="1"/>
  <c r="Y1071" i="1"/>
  <c r="Y1076" i="1" s="1"/>
  <c r="Z1071" i="1"/>
  <c r="Z1076" i="1" s="1"/>
  <c r="AA1071" i="1"/>
  <c r="AA1076" i="1" s="1"/>
  <c r="AB1071" i="1"/>
  <c r="AB1076" i="1" s="1"/>
  <c r="AC1071" i="1"/>
  <c r="AC1076" i="1" s="1"/>
  <c r="AD1071" i="1"/>
  <c r="AD1076" i="1" s="1"/>
  <c r="AE1071" i="1"/>
  <c r="AE1076" i="1" s="1"/>
  <c r="AF1071" i="1"/>
  <c r="AG1071" i="1"/>
  <c r="AG1076" i="1" s="1"/>
  <c r="AH1071" i="1"/>
  <c r="AH1076" i="1" s="1"/>
  <c r="AI1071" i="1"/>
  <c r="AI1076" i="1" s="1"/>
  <c r="AJ1071" i="1"/>
  <c r="AS1071" i="1"/>
  <c r="AT1071" i="1"/>
  <c r="BB1071" i="1"/>
  <c r="BB1076" i="1" s="1"/>
  <c r="BC1071" i="1"/>
  <c r="BC1076" i="1" s="1"/>
  <c r="BD1071" i="1"/>
  <c r="BD1076" i="1" s="1"/>
  <c r="BE1071" i="1"/>
  <c r="BE1076" i="1" s="1"/>
  <c r="BJ1071" i="1"/>
  <c r="BJ1076" i="1" s="1"/>
  <c r="B1075" i="1"/>
  <c r="B1076" i="1"/>
  <c r="B1077" i="1"/>
  <c r="BL1079" i="1"/>
  <c r="BM1079" i="1"/>
  <c r="BN1079" i="1"/>
  <c r="BL1080" i="1"/>
  <c r="BM1080" i="1"/>
  <c r="BN1080" i="1"/>
  <c r="BL1081" i="1"/>
  <c r="BM1081" i="1"/>
  <c r="BN1081" i="1"/>
  <c r="BG1082" i="1"/>
  <c r="BG1110" i="1" s="1"/>
  <c r="BH1082" i="1"/>
  <c r="BH1110" i="1" s="1"/>
  <c r="BI1082" i="1"/>
  <c r="BI1110" i="1" s="1"/>
  <c r="BK1082" i="1"/>
  <c r="BK1110" i="1" s="1"/>
  <c r="BL1082" i="1"/>
  <c r="BL1110" i="1" s="1"/>
  <c r="BM1082" i="1"/>
  <c r="BM1110" i="1" s="1"/>
  <c r="BN1082" i="1"/>
  <c r="BK1084" i="1"/>
  <c r="AH21" i="28" s="1"/>
  <c r="BL1084" i="1"/>
  <c r="BM1084" i="1"/>
  <c r="BN1084" i="1"/>
  <c r="S1086" i="1"/>
  <c r="BG1086" i="1"/>
  <c r="BH1086" i="1"/>
  <c r="BI1086" i="1"/>
  <c r="BK1086" i="1"/>
  <c r="BL1086" i="1"/>
  <c r="BM1086" i="1"/>
  <c r="BN1086" i="1"/>
  <c r="S1090" i="1"/>
  <c r="BG1090" i="1"/>
  <c r="BH1090" i="1"/>
  <c r="BI1090" i="1"/>
  <c r="BL1090" i="1"/>
  <c r="BL1091" i="1"/>
  <c r="AY1098" i="1"/>
  <c r="AY1101" i="1" s="1"/>
  <c r="AZ1098" i="1"/>
  <c r="AZ1101" i="1" s="1"/>
  <c r="BA1098" i="1"/>
  <c r="BA1101" i="1" s="1"/>
  <c r="BN1099" i="1"/>
  <c r="BO1099" i="1"/>
  <c r="BN1100" i="1"/>
  <c r="BO1100" i="1"/>
  <c r="D1105" i="1"/>
  <c r="E1105" i="1"/>
  <c r="F1105" i="1"/>
  <c r="G1105" i="1"/>
  <c r="H1105" i="1"/>
  <c r="I1105" i="1"/>
  <c r="J1105" i="1"/>
  <c r="K1105" i="1"/>
  <c r="L1105" i="1"/>
  <c r="M1105" i="1"/>
  <c r="N1105" i="1"/>
  <c r="O1105" i="1"/>
  <c r="T1105" i="1"/>
  <c r="U1105" i="1"/>
  <c r="V1105" i="1"/>
  <c r="X1105" i="1"/>
  <c r="Y1105" i="1"/>
  <c r="Z1105" i="1"/>
  <c r="AA1105" i="1"/>
  <c r="AB1105" i="1"/>
  <c r="AC1105" i="1"/>
  <c r="AD1105" i="1"/>
  <c r="AE1105" i="1"/>
  <c r="AF1105" i="1"/>
  <c r="AJ1105" i="1"/>
  <c r="AK1105" i="1"/>
  <c r="AL1105" i="1"/>
  <c r="AM1105" i="1"/>
  <c r="AY1105" i="1"/>
  <c r="AZ1105" i="1"/>
  <c r="BA1105" i="1"/>
  <c r="BB1105" i="1"/>
  <c r="BC1105" i="1"/>
  <c r="BD1105" i="1"/>
  <c r="BE1105" i="1"/>
  <c r="BG1105" i="1"/>
  <c r="BH1105" i="1"/>
  <c r="BI1105" i="1"/>
  <c r="BK1105" i="1"/>
  <c r="BL1105" i="1"/>
  <c r="BM1105" i="1"/>
  <c r="BK1106" i="1"/>
  <c r="BN1106" i="1"/>
  <c r="BO1106" i="1"/>
  <c r="D1107" i="1"/>
  <c r="E1107" i="1"/>
  <c r="F1107" i="1"/>
  <c r="G1107" i="1"/>
  <c r="H1107" i="1"/>
  <c r="I1107" i="1"/>
  <c r="J1107" i="1"/>
  <c r="K1107" i="1"/>
  <c r="L1107" i="1"/>
  <c r="M1107" i="1"/>
  <c r="N1107" i="1"/>
  <c r="O1107" i="1"/>
  <c r="T1107" i="1"/>
  <c r="U1107" i="1"/>
  <c r="V1107" i="1"/>
  <c r="X1107" i="1"/>
  <c r="Y1107" i="1"/>
  <c r="Z1107" i="1"/>
  <c r="AA1107" i="1"/>
  <c r="AB1107" i="1"/>
  <c r="AC1107" i="1"/>
  <c r="AD1107" i="1"/>
  <c r="AE1107" i="1"/>
  <c r="AF1107" i="1"/>
  <c r="AJ1107" i="1"/>
  <c r="AK1107" i="1"/>
  <c r="AL1107" i="1"/>
  <c r="AM1107" i="1"/>
  <c r="AY1107" i="1"/>
  <c r="AZ1107" i="1"/>
  <c r="BA1107" i="1"/>
  <c r="BB1107" i="1"/>
  <c r="BC1107" i="1"/>
  <c r="BD1107" i="1"/>
  <c r="BE1107" i="1"/>
  <c r="BG1107" i="1"/>
  <c r="BH1107" i="1"/>
  <c r="BI1107" i="1"/>
  <c r="BK1107" i="1"/>
  <c r="BL1107" i="1"/>
  <c r="BM1107" i="1"/>
  <c r="BN1108" i="1"/>
  <c r="BO1108" i="1"/>
  <c r="D1110" i="1"/>
  <c r="E1110" i="1"/>
  <c r="F1110" i="1"/>
  <c r="G1110" i="1"/>
  <c r="H1110" i="1"/>
  <c r="I1110" i="1"/>
  <c r="J1110" i="1"/>
  <c r="K1110" i="1"/>
  <c r="L1110" i="1"/>
  <c r="M1110" i="1"/>
  <c r="N1110" i="1"/>
  <c r="O1110" i="1"/>
  <c r="T1110" i="1"/>
  <c r="U1110" i="1"/>
  <c r="V1110" i="1"/>
  <c r="X1110" i="1"/>
  <c r="Y1110" i="1"/>
  <c r="Z1110" i="1"/>
  <c r="AA1110" i="1"/>
  <c r="AB1110" i="1"/>
  <c r="AC1110" i="1"/>
  <c r="AD1110" i="1"/>
  <c r="AE1110" i="1"/>
  <c r="AF1110" i="1"/>
  <c r="AK1110" i="1"/>
  <c r="AL1110" i="1"/>
  <c r="AM1110" i="1"/>
  <c r="AY1110" i="1"/>
  <c r="AZ1110" i="1"/>
  <c r="BA1110" i="1"/>
  <c r="BB1110" i="1"/>
  <c r="BC1110" i="1"/>
  <c r="BD1110" i="1"/>
  <c r="BE1110" i="1"/>
  <c r="BL1141" i="1"/>
  <c r="BM1141" i="1"/>
  <c r="BN1141" i="1"/>
  <c r="BL1142" i="1"/>
  <c r="BM1142" i="1"/>
  <c r="BN1142" i="1"/>
  <c r="BL1143" i="1"/>
  <c r="BM1143" i="1"/>
  <c r="BN1143" i="1"/>
  <c r="BL1144" i="1"/>
  <c r="BM1144" i="1"/>
  <c r="BN1144" i="1"/>
  <c r="BL1145" i="1"/>
  <c r="BL1191" i="1" s="1"/>
  <c r="BM1145" i="1"/>
  <c r="BM1191" i="1" s="1"/>
  <c r="BN1145" i="1"/>
  <c r="BN1191" i="1" s="1"/>
  <c r="BL1146" i="1"/>
  <c r="BM1146" i="1"/>
  <c r="BN1146" i="1"/>
  <c r="BL1147" i="1"/>
  <c r="BM1147" i="1"/>
  <c r="BN1147" i="1"/>
  <c r="BL1148" i="1"/>
  <c r="BM1148" i="1"/>
  <c r="BN1148" i="1"/>
  <c r="BL1149" i="1"/>
  <c r="BM1149" i="1"/>
  <c r="BN1149" i="1"/>
  <c r="BL1150" i="1"/>
  <c r="BM1150" i="1"/>
  <c r="BN1150" i="1"/>
  <c r="BL1151" i="1"/>
  <c r="BM1151" i="1"/>
  <c r="BN1151" i="1"/>
  <c r="BL1152" i="1"/>
  <c r="BM1152" i="1"/>
  <c r="BN1152" i="1"/>
  <c r="BL1153" i="1"/>
  <c r="BM1153" i="1"/>
  <c r="BN1153" i="1"/>
  <c r="BL1154" i="1"/>
  <c r="BM1154" i="1"/>
  <c r="BN1154" i="1"/>
  <c r="BL1155" i="1"/>
  <c r="BM1155" i="1"/>
  <c r="BN1155" i="1"/>
  <c r="BL1156" i="1"/>
  <c r="BM1156" i="1"/>
  <c r="BN1156" i="1"/>
  <c r="BL1157" i="1"/>
  <c r="BM1157" i="1"/>
  <c r="BN1157" i="1"/>
  <c r="S1161" i="1"/>
  <c r="BK1161" i="1"/>
  <c r="BL1161" i="1"/>
  <c r="BM1161" i="1"/>
  <c r="BN1161" i="1"/>
  <c r="BL1162" i="1"/>
  <c r="BM1162" i="1"/>
  <c r="BN1162" i="1"/>
  <c r="S1163" i="1"/>
  <c r="BK1163" i="1"/>
  <c r="BL1163" i="1"/>
  <c r="BM1163" i="1"/>
  <c r="BN1163" i="1"/>
  <c r="S1164" i="1"/>
  <c r="BK1164" i="1"/>
  <c r="BL1164" i="1"/>
  <c r="BM1164" i="1"/>
  <c r="BN1164" i="1"/>
  <c r="S1165" i="1"/>
  <c r="BK1165" i="1"/>
  <c r="BL1165" i="1"/>
  <c r="BM1165" i="1"/>
  <c r="BN1165" i="1"/>
  <c r="S1166" i="1"/>
  <c r="BK1166" i="1"/>
  <c r="BL1166" i="1"/>
  <c r="BM1166" i="1"/>
  <c r="BN1166" i="1"/>
  <c r="D1167" i="1"/>
  <c r="E1167" i="1"/>
  <c r="F1167" i="1"/>
  <c r="G1167" i="1"/>
  <c r="H1167" i="1"/>
  <c r="I1167" i="1"/>
  <c r="J1167" i="1"/>
  <c r="K1167" i="1"/>
  <c r="L1167" i="1"/>
  <c r="M1167" i="1"/>
  <c r="N1167" i="1"/>
  <c r="O1167" i="1"/>
  <c r="P1167" i="1"/>
  <c r="Q1167" i="1"/>
  <c r="R1167" i="1"/>
  <c r="T1167" i="1"/>
  <c r="U1167" i="1"/>
  <c r="V1167" i="1"/>
  <c r="W1167" i="1"/>
  <c r="X1167" i="1"/>
  <c r="Y1167" i="1"/>
  <c r="Z1167" i="1"/>
  <c r="AA1167" i="1"/>
  <c r="AB1167" i="1"/>
  <c r="AC1167" i="1"/>
  <c r="AD1167" i="1"/>
  <c r="AE1167" i="1"/>
  <c r="AF1167" i="1"/>
  <c r="AG1167" i="1"/>
  <c r="AH1167" i="1"/>
  <c r="AI1167" i="1"/>
  <c r="AJ1167" i="1"/>
  <c r="BO1167" i="1" s="1"/>
  <c r="AS1167" i="1"/>
  <c r="AT1167" i="1"/>
  <c r="AU1167" i="1"/>
  <c r="AV1167" i="1"/>
  <c r="AW1167" i="1"/>
  <c r="AX1167" i="1"/>
  <c r="AY1167" i="1"/>
  <c r="AZ1167" i="1"/>
  <c r="BA1167" i="1"/>
  <c r="BB1167" i="1"/>
  <c r="BC1167" i="1"/>
  <c r="BD1167" i="1"/>
  <c r="BE1167" i="1"/>
  <c r="BG1167" i="1"/>
  <c r="BH1167" i="1"/>
  <c r="BI1167" i="1"/>
  <c r="BJ1167" i="1"/>
  <c r="S1170" i="1"/>
  <c r="BK1170" i="1"/>
  <c r="BL1170" i="1"/>
  <c r="BM1170" i="1"/>
  <c r="BN1170" i="1"/>
  <c r="BK1172" i="1"/>
  <c r="BL1172" i="1"/>
  <c r="BM1172" i="1"/>
  <c r="BN1172" i="1"/>
  <c r="S1173" i="1"/>
  <c r="BK1173" i="1"/>
  <c r="BL1173" i="1"/>
  <c r="BM1173" i="1"/>
  <c r="BN1173" i="1"/>
  <c r="S1174" i="1"/>
  <c r="BK1174" i="1"/>
  <c r="BL1174" i="1"/>
  <c r="BM1174" i="1"/>
  <c r="BN1174" i="1"/>
  <c r="BL1175" i="1"/>
  <c r="BM1175" i="1"/>
  <c r="BN1175" i="1"/>
  <c r="BL1176" i="1"/>
  <c r="BM1176" i="1"/>
  <c r="BN1176" i="1"/>
  <c r="BL1177" i="1"/>
  <c r="BM1177" i="1"/>
  <c r="BN1177" i="1"/>
  <c r="S1178" i="1"/>
  <c r="BK1178" i="1"/>
  <c r="BL1178" i="1"/>
  <c r="BM1178" i="1"/>
  <c r="BN1178" i="1"/>
  <c r="S1179" i="1"/>
  <c r="BK1179" i="1"/>
  <c r="BL1179" i="1"/>
  <c r="BM1179" i="1"/>
  <c r="BN1179" i="1"/>
  <c r="D1180" i="1"/>
  <c r="E1180" i="1"/>
  <c r="F1180" i="1"/>
  <c r="G1180" i="1"/>
  <c r="H1180" i="1"/>
  <c r="I1180" i="1"/>
  <c r="J1180" i="1"/>
  <c r="K1180" i="1"/>
  <c r="L1180" i="1"/>
  <c r="M1180" i="1"/>
  <c r="N1180" i="1"/>
  <c r="O1180" i="1"/>
  <c r="P1180" i="1"/>
  <c r="Q1180" i="1"/>
  <c r="R1180" i="1"/>
  <c r="T1180" i="1"/>
  <c r="U1180" i="1"/>
  <c r="V1180" i="1"/>
  <c r="W1180" i="1"/>
  <c r="X1180" i="1"/>
  <c r="Y1180" i="1"/>
  <c r="Z1180" i="1"/>
  <c r="AA1180" i="1"/>
  <c r="AB1180" i="1"/>
  <c r="AC1180" i="1"/>
  <c r="AD1180" i="1"/>
  <c r="AE1180" i="1"/>
  <c r="AF1180" i="1"/>
  <c r="AG1180" i="1"/>
  <c r="AH1180" i="1"/>
  <c r="AI1180" i="1"/>
  <c r="AJ1180" i="1"/>
  <c r="BO1180" i="1" s="1"/>
  <c r="AS1180" i="1"/>
  <c r="AT1180" i="1"/>
  <c r="AU1180" i="1"/>
  <c r="AV1180" i="1"/>
  <c r="AW1180" i="1"/>
  <c r="AX1180" i="1"/>
  <c r="AY1180" i="1"/>
  <c r="AZ1180" i="1"/>
  <c r="BA1180" i="1"/>
  <c r="BB1180" i="1"/>
  <c r="BC1180" i="1"/>
  <c r="BD1180" i="1"/>
  <c r="BE1180" i="1"/>
  <c r="BG1180" i="1"/>
  <c r="BH1180" i="1"/>
  <c r="BI1180" i="1"/>
  <c r="BJ1180" i="1"/>
  <c r="S1182" i="1"/>
  <c r="U1182" i="1"/>
  <c r="BL1182" i="1"/>
  <c r="BM1182" i="1"/>
  <c r="BN1182" i="1"/>
  <c r="BG1186" i="1"/>
  <c r="BH1186" i="1"/>
  <c r="H1191" i="1"/>
  <c r="I1191" i="1"/>
  <c r="J1191" i="1"/>
  <c r="L1191" i="1"/>
  <c r="M1191" i="1"/>
  <c r="N1191" i="1"/>
  <c r="O1191" i="1"/>
  <c r="P1191" i="1"/>
  <c r="Q1191" i="1"/>
  <c r="R1191" i="1"/>
  <c r="T1191" i="1"/>
  <c r="U1191" i="1"/>
  <c r="V1191" i="1"/>
  <c r="W1191" i="1"/>
  <c r="X1191" i="1"/>
  <c r="Y1191" i="1"/>
  <c r="Z1191" i="1"/>
  <c r="AA1191" i="1"/>
  <c r="AB1191" i="1"/>
  <c r="AC1191" i="1"/>
  <c r="AD1191" i="1"/>
  <c r="AE1191" i="1"/>
  <c r="AF1191" i="1"/>
  <c r="AG1191" i="1"/>
  <c r="AH1191" i="1"/>
  <c r="AI1191" i="1"/>
  <c r="AJ1191" i="1"/>
  <c r="AU1191" i="1"/>
  <c r="AV1191" i="1"/>
  <c r="AW1191" i="1"/>
  <c r="AX1191" i="1"/>
  <c r="AY1191" i="1"/>
  <c r="AZ1191" i="1"/>
  <c r="BA1191" i="1"/>
  <c r="BB1191" i="1"/>
  <c r="BC1191" i="1"/>
  <c r="BD1191" i="1"/>
  <c r="BE1191" i="1"/>
  <c r="BG1191" i="1"/>
  <c r="BH1191" i="1"/>
  <c r="BI1191" i="1"/>
  <c r="BJ1191" i="1"/>
  <c r="BK1199" i="1"/>
  <c r="BL1199" i="1"/>
  <c r="BM1199" i="1"/>
  <c r="BN1199" i="1"/>
  <c r="B1197" i="1"/>
  <c r="P1198" i="1"/>
  <c r="P1197" i="1" s="1"/>
  <c r="Q1198" i="1"/>
  <c r="Q1197" i="1" s="1"/>
  <c r="R1198" i="1"/>
  <c r="R1197" i="1" s="1"/>
  <c r="T1198" i="1"/>
  <c r="U1198" i="1"/>
  <c r="V1198" i="1"/>
  <c r="W1198" i="1"/>
  <c r="W1197" i="1" s="1"/>
  <c r="X1198" i="1"/>
  <c r="D24" i="522" s="1"/>
  <c r="D56" i="522" s="1"/>
  <c r="Y1198" i="1"/>
  <c r="Z1198" i="1"/>
  <c r="AA1198" i="1"/>
  <c r="AB1198" i="1"/>
  <c r="AC1198" i="1"/>
  <c r="AD1198" i="1"/>
  <c r="J24" i="522" s="1"/>
  <c r="J56" i="522" s="1"/>
  <c r="AE1198" i="1"/>
  <c r="AF1198" i="1"/>
  <c r="AG1198" i="1"/>
  <c r="AH1198" i="1"/>
  <c r="AI1198" i="1"/>
  <c r="AJ1198" i="1"/>
  <c r="P24" i="522" s="1"/>
  <c r="P56" i="522" s="1"/>
  <c r="D1198" i="1"/>
  <c r="E1198" i="1"/>
  <c r="F1198" i="1"/>
  <c r="G1198" i="1"/>
  <c r="H1198" i="1"/>
  <c r="H1203" i="1" s="1"/>
  <c r="I1198" i="1"/>
  <c r="I1203" i="1" s="1"/>
  <c r="J1198" i="1"/>
  <c r="J1203" i="1" s="1"/>
  <c r="K1198" i="1"/>
  <c r="K1203" i="1" s="1"/>
  <c r="L1198" i="1"/>
  <c r="L1203" i="1" s="1"/>
  <c r="M1198" i="1"/>
  <c r="M1203" i="1" s="1"/>
  <c r="N1198" i="1"/>
  <c r="N1203" i="1" s="1"/>
  <c r="O1198" i="1"/>
  <c r="O1203" i="1" s="1"/>
  <c r="B1203" i="1"/>
  <c r="B1204" i="1"/>
  <c r="D1204" i="1"/>
  <c r="E1204" i="1"/>
  <c r="F1204" i="1"/>
  <c r="G1204" i="1"/>
  <c r="H1204" i="1"/>
  <c r="I1204" i="1"/>
  <c r="J1204" i="1"/>
  <c r="K1204" i="1"/>
  <c r="L1204" i="1"/>
  <c r="M1204" i="1"/>
  <c r="N1204" i="1"/>
  <c r="O1204" i="1"/>
  <c r="S1211" i="1"/>
  <c r="BK1211" i="1"/>
  <c r="BL1211" i="1"/>
  <c r="BM1211" i="1"/>
  <c r="BN1211" i="1"/>
  <c r="S1212" i="1"/>
  <c r="BK1212" i="1"/>
  <c r="BL1212" i="1"/>
  <c r="BM1212" i="1"/>
  <c r="BN1212" i="1"/>
  <c r="S1213" i="1"/>
  <c r="BK1213" i="1"/>
  <c r="BL1213" i="1"/>
  <c r="BM1213" i="1"/>
  <c r="BN1213" i="1"/>
  <c r="S1214" i="1"/>
  <c r="BK1214" i="1"/>
  <c r="BL1214" i="1"/>
  <c r="BM1214" i="1"/>
  <c r="BN1214" i="1"/>
  <c r="D1215" i="1"/>
  <c r="E1215" i="1"/>
  <c r="F1215" i="1"/>
  <c r="G1215" i="1"/>
  <c r="H1215" i="1"/>
  <c r="I1215" i="1"/>
  <c r="J1215" i="1"/>
  <c r="K1215" i="1"/>
  <c r="L1215" i="1"/>
  <c r="M1215" i="1"/>
  <c r="N1215" i="1"/>
  <c r="O1215" i="1"/>
  <c r="P1215" i="1"/>
  <c r="Q1215" i="1"/>
  <c r="R1215" i="1"/>
  <c r="T1215" i="1"/>
  <c r="U1215" i="1"/>
  <c r="V1215" i="1"/>
  <c r="W1215" i="1"/>
  <c r="X1215" i="1"/>
  <c r="Y1215" i="1"/>
  <c r="Z1215" i="1"/>
  <c r="AA1215" i="1"/>
  <c r="AB1215" i="1"/>
  <c r="AC1215" i="1"/>
  <c r="AD1215" i="1"/>
  <c r="AE1215" i="1"/>
  <c r="AF1215" i="1"/>
  <c r="AG1215" i="1"/>
  <c r="AH1215" i="1"/>
  <c r="AI1215" i="1"/>
  <c r="AJ1215" i="1"/>
  <c r="AT1215" i="1"/>
  <c r="AU1215" i="1"/>
  <c r="AV1215" i="1"/>
  <c r="AW1215" i="1"/>
  <c r="AX1215" i="1"/>
  <c r="AY1215" i="1"/>
  <c r="AZ1215" i="1"/>
  <c r="BA1215" i="1"/>
  <c r="BB1215" i="1"/>
  <c r="BC1215" i="1"/>
  <c r="BD1215" i="1"/>
  <c r="BE1215" i="1"/>
  <c r="BH1215" i="1"/>
  <c r="BJ1215" i="1"/>
  <c r="S1216" i="1"/>
  <c r="BK1216" i="1"/>
  <c r="BL1216" i="1"/>
  <c r="BM1216" i="1"/>
  <c r="BN1216" i="1"/>
  <c r="S1217" i="1"/>
  <c r="BK1217" i="1"/>
  <c r="BL1217" i="1"/>
  <c r="BM1217" i="1"/>
  <c r="BN1217" i="1"/>
  <c r="S1218" i="1"/>
  <c r="BK1218" i="1"/>
  <c r="BL1218" i="1"/>
  <c r="BM1218" i="1"/>
  <c r="BN1218" i="1"/>
  <c r="S1219" i="1"/>
  <c r="BK1219" i="1"/>
  <c r="BL1219" i="1"/>
  <c r="BM1219" i="1"/>
  <c r="BN1219" i="1"/>
  <c r="S1220" i="1"/>
  <c r="BK1220" i="1"/>
  <c r="BL1220" i="1"/>
  <c r="BM1220" i="1"/>
  <c r="BN1220" i="1"/>
  <c r="S1221" i="1"/>
  <c r="BK1221" i="1"/>
  <c r="BL1221" i="1"/>
  <c r="BM1221" i="1"/>
  <c r="BN1221" i="1"/>
  <c r="S1222" i="1"/>
  <c r="BK1222" i="1"/>
  <c r="BL1222" i="1"/>
  <c r="BM1222" i="1"/>
  <c r="BN1222" i="1"/>
  <c r="S1226" i="1"/>
  <c r="BK1226" i="1"/>
  <c r="BL1226" i="1"/>
  <c r="BM1226" i="1"/>
  <c r="BN1226" i="1"/>
  <c r="S1227" i="1"/>
  <c r="BK1227" i="1"/>
  <c r="BL1227" i="1"/>
  <c r="BM1227" i="1"/>
  <c r="BN1227" i="1"/>
  <c r="S1230" i="1"/>
  <c r="BK1230" i="1"/>
  <c r="BL1230" i="1"/>
  <c r="BM1230" i="1"/>
  <c r="BN1230" i="1"/>
  <c r="S1231" i="1"/>
  <c r="BK1231" i="1"/>
  <c r="BL1231" i="1"/>
  <c r="BM1231" i="1"/>
  <c r="BN1231" i="1"/>
  <c r="S1232" i="1"/>
  <c r="BK1232" i="1"/>
  <c r="BL1232" i="1"/>
  <c r="BM1232" i="1"/>
  <c r="BN1232" i="1"/>
  <c r="S1233" i="1"/>
  <c r="BK1233" i="1"/>
  <c r="BL1233" i="1"/>
  <c r="BM1233" i="1"/>
  <c r="BN1233" i="1"/>
  <c r="D1234" i="1"/>
  <c r="D1241" i="1" s="1"/>
  <c r="E1234" i="1"/>
  <c r="E1241" i="1" s="1"/>
  <c r="F1234" i="1"/>
  <c r="F1241" i="1" s="1"/>
  <c r="G1234" i="1"/>
  <c r="G1241" i="1" s="1"/>
  <c r="H1234" i="1"/>
  <c r="H1241" i="1" s="1"/>
  <c r="I1234" i="1"/>
  <c r="I1241" i="1" s="1"/>
  <c r="J1234" i="1"/>
  <c r="J1241" i="1" s="1"/>
  <c r="K1234" i="1"/>
  <c r="K1241" i="1" s="1"/>
  <c r="L1234" i="1"/>
  <c r="L1241" i="1" s="1"/>
  <c r="M1234" i="1"/>
  <c r="M1241" i="1" s="1"/>
  <c r="N1234" i="1"/>
  <c r="N1241" i="1" s="1"/>
  <c r="O1234" i="1"/>
  <c r="O1241" i="1" s="1"/>
  <c r="P1234" i="1"/>
  <c r="P1241" i="1" s="1"/>
  <c r="Q1234" i="1"/>
  <c r="Q1241" i="1" s="1"/>
  <c r="R1234" i="1"/>
  <c r="R1241" i="1" s="1"/>
  <c r="T1234" i="1"/>
  <c r="T1241" i="1" s="1"/>
  <c r="U1234" i="1"/>
  <c r="U1241" i="1" s="1"/>
  <c r="V1234" i="1"/>
  <c r="V1241" i="1" s="1"/>
  <c r="W1234" i="1"/>
  <c r="W1241" i="1" s="1"/>
  <c r="X1234" i="1"/>
  <c r="X1241" i="1" s="1"/>
  <c r="Y1234" i="1"/>
  <c r="Y1241" i="1" s="1"/>
  <c r="Z1234" i="1"/>
  <c r="Z1241" i="1" s="1"/>
  <c r="AA1234" i="1"/>
  <c r="AB1234" i="1"/>
  <c r="AB1241" i="1" s="1"/>
  <c r="AC1234" i="1"/>
  <c r="AC1241" i="1" s="1"/>
  <c r="AD1234" i="1"/>
  <c r="AD1241" i="1" s="1"/>
  <c r="AE1234" i="1"/>
  <c r="AF1234" i="1"/>
  <c r="AF1241" i="1" s="1"/>
  <c r="AG1234" i="1"/>
  <c r="AG1241" i="1" s="1"/>
  <c r="AH1234" i="1"/>
  <c r="AH1241" i="1" s="1"/>
  <c r="AI1234" i="1"/>
  <c r="AI1241" i="1" s="1"/>
  <c r="AJ1234" i="1"/>
  <c r="AJ1241" i="1" s="1"/>
  <c r="AT1234" i="1"/>
  <c r="AT1241" i="1" s="1"/>
  <c r="AU1234" i="1"/>
  <c r="AU1241" i="1" s="1"/>
  <c r="AV1234" i="1"/>
  <c r="AV1241" i="1" s="1"/>
  <c r="AW1234" i="1"/>
  <c r="AW1241" i="1" s="1"/>
  <c r="AX1234" i="1"/>
  <c r="AX1241" i="1" s="1"/>
  <c r="AY1234" i="1"/>
  <c r="AY1241" i="1" s="1"/>
  <c r="AZ1234" i="1"/>
  <c r="AZ1241" i="1" s="1"/>
  <c r="BA1234" i="1"/>
  <c r="BA1241" i="1" s="1"/>
  <c r="BB1234" i="1"/>
  <c r="BB1241" i="1" s="1"/>
  <c r="BC1234" i="1"/>
  <c r="BC1241" i="1" s="1"/>
  <c r="BD1234" i="1"/>
  <c r="BE1234" i="1"/>
  <c r="BE1241" i="1" s="1"/>
  <c r="BH1234" i="1"/>
  <c r="BH1241" i="1" s="1"/>
  <c r="BJ1234" i="1"/>
  <c r="BJ1241" i="1" s="1"/>
  <c r="S1237" i="1"/>
  <c r="BK1237" i="1"/>
  <c r="BL1237" i="1"/>
  <c r="BM1237" i="1"/>
  <c r="BN1237" i="1"/>
  <c r="S1238" i="1"/>
  <c r="BK1238" i="1"/>
  <c r="BL1238" i="1"/>
  <c r="BM1238" i="1"/>
  <c r="BN1238" i="1"/>
  <c r="S1239" i="1"/>
  <c r="BK1239" i="1"/>
  <c r="BL1239" i="1"/>
  <c r="BM1239" i="1"/>
  <c r="BN1239" i="1"/>
  <c r="S1240" i="1"/>
  <c r="BK1240" i="1"/>
  <c r="BL1240" i="1"/>
  <c r="BM1240" i="1"/>
  <c r="BN1240" i="1"/>
  <c r="BI1241" i="1"/>
  <c r="S1244" i="1"/>
  <c r="BK1244" i="1"/>
  <c r="BL1244" i="1"/>
  <c r="BM1244" i="1"/>
  <c r="BN1244" i="1"/>
  <c r="S1245" i="1"/>
  <c r="BK1245" i="1"/>
  <c r="BL1245" i="1"/>
  <c r="BM1245" i="1"/>
  <c r="BN1245" i="1"/>
  <c r="S1246" i="1"/>
  <c r="BK1246" i="1"/>
  <c r="BL1246" i="1"/>
  <c r="BM1246" i="1"/>
  <c r="BN1246" i="1"/>
  <c r="D1247" i="1"/>
  <c r="E1247" i="1"/>
  <c r="F1247" i="1"/>
  <c r="G1247" i="1"/>
  <c r="H1247" i="1"/>
  <c r="I1247" i="1"/>
  <c r="J1247" i="1"/>
  <c r="K1247" i="1"/>
  <c r="L1247" i="1"/>
  <c r="M1247" i="1"/>
  <c r="N1247" i="1"/>
  <c r="O1247" i="1"/>
  <c r="P1247" i="1"/>
  <c r="Q1247" i="1"/>
  <c r="R1247" i="1"/>
  <c r="T1247" i="1"/>
  <c r="U1247" i="1"/>
  <c r="V1247" i="1"/>
  <c r="W1247" i="1"/>
  <c r="X1247" i="1"/>
  <c r="Y1247" i="1"/>
  <c r="Z1247" i="1"/>
  <c r="AA1247" i="1"/>
  <c r="BL1247" i="1" s="1"/>
  <c r="AB1247" i="1"/>
  <c r="AC1247" i="1"/>
  <c r="AD1247" i="1"/>
  <c r="AE1247" i="1"/>
  <c r="BM1247" i="1" s="1"/>
  <c r="AF1247" i="1"/>
  <c r="AG1247" i="1"/>
  <c r="AH1247" i="1"/>
  <c r="AI1247" i="1"/>
  <c r="BN1247" i="1" s="1"/>
  <c r="AJ1247" i="1"/>
  <c r="AT1247" i="1"/>
  <c r="AU1247" i="1"/>
  <c r="AV1247" i="1"/>
  <c r="AW1247" i="1"/>
  <c r="AX1247" i="1"/>
  <c r="AY1247" i="1"/>
  <c r="AZ1247" i="1"/>
  <c r="BA1247" i="1"/>
  <c r="BB1247" i="1"/>
  <c r="BC1247" i="1"/>
  <c r="BD1247" i="1"/>
  <c r="BG1247" i="1" s="1"/>
  <c r="BE1247" i="1"/>
  <c r="BH1247" i="1"/>
  <c r="BI1247" i="1"/>
  <c r="AF62" i="28" s="1"/>
  <c r="BJ1247" i="1"/>
  <c r="AG62" i="28" s="1"/>
  <c r="BG1314" i="1"/>
  <c r="BH1314" i="1"/>
  <c r="BI1314" i="1"/>
  <c r="BJ1314" i="1"/>
  <c r="BK1314" i="1"/>
  <c r="BL1314" i="1"/>
  <c r="BM1314" i="1"/>
  <c r="BN1314" i="1"/>
  <c r="BG1315" i="1"/>
  <c r="BH1315" i="1"/>
  <c r="BI1315" i="1"/>
  <c r="BJ1315" i="1"/>
  <c r="BK1315" i="1"/>
  <c r="BL1315" i="1"/>
  <c r="BM1315" i="1"/>
  <c r="BN1315" i="1"/>
  <c r="BG1316" i="1"/>
  <c r="BH1316" i="1"/>
  <c r="BI1316" i="1"/>
  <c r="BJ1316" i="1"/>
  <c r="BK1316" i="1"/>
  <c r="BL1316" i="1"/>
  <c r="BM1316" i="1"/>
  <c r="BN1316" i="1"/>
  <c r="D1317" i="1"/>
  <c r="E1317" i="1"/>
  <c r="F1317" i="1"/>
  <c r="G1317" i="1"/>
  <c r="H1317" i="1"/>
  <c r="I1317" i="1"/>
  <c r="J1317" i="1"/>
  <c r="K1317" i="1"/>
  <c r="L1317" i="1"/>
  <c r="M1317" i="1"/>
  <c r="N1317" i="1"/>
  <c r="O1317" i="1"/>
  <c r="P1317" i="1"/>
  <c r="Q1317" i="1"/>
  <c r="R1317" i="1"/>
  <c r="S1317" i="1"/>
  <c r="T1317" i="1"/>
  <c r="U1317" i="1"/>
  <c r="V1317" i="1"/>
  <c r="W1317" i="1"/>
  <c r="X1317" i="1"/>
  <c r="Y1317" i="1"/>
  <c r="Z1317" i="1"/>
  <c r="AA1317" i="1"/>
  <c r="AB1317" i="1"/>
  <c r="AC1317" i="1"/>
  <c r="AD1317" i="1"/>
  <c r="AE1317" i="1"/>
  <c r="AF1317" i="1"/>
  <c r="AG1317" i="1"/>
  <c r="AK1323" i="1" s="1"/>
  <c r="AH1317" i="1"/>
  <c r="AL1323" i="1" s="1"/>
  <c r="AI1317" i="1"/>
  <c r="AM1323" i="1" s="1"/>
  <c r="AJ1317" i="1"/>
  <c r="B1320" i="1"/>
  <c r="H1320" i="1"/>
  <c r="I1320" i="1"/>
  <c r="J1320" i="1"/>
  <c r="K1320" i="1"/>
  <c r="L1320" i="1"/>
  <c r="M1320" i="1"/>
  <c r="N1320" i="1"/>
  <c r="O1320" i="1"/>
  <c r="P1320" i="1"/>
  <c r="Q1320" i="1"/>
  <c r="R1320" i="1"/>
  <c r="S1320" i="1"/>
  <c r="T1320" i="1"/>
  <c r="U1320" i="1"/>
  <c r="V1320" i="1"/>
  <c r="W1320" i="1"/>
  <c r="X1320" i="1"/>
  <c r="Y1320" i="1"/>
  <c r="Z1320" i="1"/>
  <c r="AA1320" i="1"/>
  <c r="AB1320" i="1"/>
  <c r="AC1320" i="1"/>
  <c r="AD1320" i="1"/>
  <c r="AE1320" i="1"/>
  <c r="AF1320" i="1"/>
  <c r="AG1320" i="1"/>
  <c r="AH1320" i="1"/>
  <c r="AI1320" i="1"/>
  <c r="AJ1320" i="1"/>
  <c r="B1321" i="1"/>
  <c r="H1321" i="1"/>
  <c r="I1321" i="1"/>
  <c r="J1321" i="1"/>
  <c r="K1321" i="1"/>
  <c r="L1321" i="1"/>
  <c r="M1321" i="1"/>
  <c r="N1321" i="1"/>
  <c r="O1321" i="1"/>
  <c r="P1321" i="1"/>
  <c r="Q1321" i="1"/>
  <c r="R1321" i="1"/>
  <c r="S1321" i="1"/>
  <c r="T1321" i="1"/>
  <c r="U1321" i="1"/>
  <c r="V1321" i="1"/>
  <c r="W1321" i="1"/>
  <c r="X1321" i="1"/>
  <c r="Y1321" i="1"/>
  <c r="Z1321" i="1"/>
  <c r="AA1321" i="1"/>
  <c r="AB1321" i="1"/>
  <c r="AC1321" i="1"/>
  <c r="AD1321" i="1"/>
  <c r="AE1321" i="1"/>
  <c r="AF1321" i="1"/>
  <c r="AG1321" i="1"/>
  <c r="AH1321" i="1"/>
  <c r="AI1321" i="1"/>
  <c r="AJ1321" i="1"/>
  <c r="B1322" i="1"/>
  <c r="H1322" i="1"/>
  <c r="I1322" i="1"/>
  <c r="J1322" i="1"/>
  <c r="K1322" i="1"/>
  <c r="L1322" i="1"/>
  <c r="M1322" i="1"/>
  <c r="N1322" i="1"/>
  <c r="O1322" i="1"/>
  <c r="P1322" i="1"/>
  <c r="Q1322" i="1"/>
  <c r="R1322" i="1"/>
  <c r="S1322" i="1"/>
  <c r="T1322" i="1"/>
  <c r="U1322" i="1"/>
  <c r="V1322" i="1"/>
  <c r="W1322" i="1"/>
  <c r="X1322" i="1"/>
  <c r="Y1322" i="1"/>
  <c r="Z1322" i="1"/>
  <c r="AA1322" i="1"/>
  <c r="AB1322" i="1"/>
  <c r="AC1322" i="1"/>
  <c r="AD1322" i="1"/>
  <c r="AE1322" i="1"/>
  <c r="AF1322" i="1"/>
  <c r="AG1322" i="1"/>
  <c r="AH1322" i="1"/>
  <c r="AI1322" i="1"/>
  <c r="AJ1322" i="1"/>
  <c r="B1323" i="1"/>
  <c r="H1326" i="1"/>
  <c r="I1326" i="1"/>
  <c r="J1326" i="1"/>
  <c r="K1326" i="1"/>
  <c r="L1326" i="1"/>
  <c r="M1326" i="1"/>
  <c r="N1326" i="1"/>
  <c r="O1326" i="1"/>
  <c r="P1326" i="1"/>
  <c r="Q1326" i="1"/>
  <c r="R1326" i="1"/>
  <c r="S1326" i="1"/>
  <c r="T1326" i="1"/>
  <c r="U1326" i="1"/>
  <c r="V1326" i="1"/>
  <c r="W1326" i="1"/>
  <c r="X1326" i="1"/>
  <c r="Y1326" i="1"/>
  <c r="Z1326" i="1"/>
  <c r="AA1326" i="1"/>
  <c r="AB1326" i="1"/>
  <c r="AC1326" i="1"/>
  <c r="AD1326" i="1"/>
  <c r="AE1326" i="1"/>
  <c r="AF1326" i="1"/>
  <c r="AG1326" i="1"/>
  <c r="AH1326" i="1"/>
  <c r="AI1326" i="1"/>
  <c r="AJ1326" i="1"/>
  <c r="H1327" i="1"/>
  <c r="I1327" i="1"/>
  <c r="J1327" i="1"/>
  <c r="K1327" i="1"/>
  <c r="L1327" i="1"/>
  <c r="M1327" i="1"/>
  <c r="N1327" i="1"/>
  <c r="O1327" i="1"/>
  <c r="P1327" i="1"/>
  <c r="Q1327" i="1"/>
  <c r="R1327" i="1"/>
  <c r="S1327" i="1"/>
  <c r="T1327" i="1"/>
  <c r="U1327" i="1"/>
  <c r="V1327" i="1"/>
  <c r="W1327" i="1"/>
  <c r="X1327" i="1"/>
  <c r="Y1327" i="1"/>
  <c r="Z1327" i="1"/>
  <c r="AA1327" i="1"/>
  <c r="AB1327" i="1"/>
  <c r="AC1327" i="1"/>
  <c r="AD1327" i="1"/>
  <c r="AE1327" i="1"/>
  <c r="AF1327" i="1"/>
  <c r="AG1327" i="1"/>
  <c r="AH1327" i="1"/>
  <c r="AI1327" i="1"/>
  <c r="AJ1327" i="1"/>
  <c r="H1328" i="1"/>
  <c r="I1328" i="1"/>
  <c r="J1328" i="1"/>
  <c r="K1328" i="1"/>
  <c r="L1328" i="1"/>
  <c r="M1328" i="1"/>
  <c r="N1328" i="1"/>
  <c r="O1328" i="1"/>
  <c r="P1328" i="1"/>
  <c r="Q1328" i="1"/>
  <c r="R1328" i="1"/>
  <c r="S1328" i="1"/>
  <c r="T1328" i="1"/>
  <c r="U1328" i="1"/>
  <c r="V1328" i="1"/>
  <c r="W1328" i="1"/>
  <c r="X1328" i="1"/>
  <c r="Y1328" i="1"/>
  <c r="Z1328" i="1"/>
  <c r="AA1328" i="1"/>
  <c r="AB1328" i="1"/>
  <c r="AC1328" i="1"/>
  <c r="AD1328" i="1"/>
  <c r="AE1328" i="1"/>
  <c r="AF1328" i="1"/>
  <c r="AG1328" i="1"/>
  <c r="AH1328" i="1"/>
  <c r="AI1328" i="1"/>
  <c r="AJ1328" i="1"/>
  <c r="H1332" i="1"/>
  <c r="I1332" i="1"/>
  <c r="J1332" i="1"/>
  <c r="K1332" i="1"/>
  <c r="L1332" i="1"/>
  <c r="M1332" i="1"/>
  <c r="N1332" i="1"/>
  <c r="O1332" i="1"/>
  <c r="P1332" i="1"/>
  <c r="Q1332" i="1"/>
  <c r="R1332" i="1"/>
  <c r="T1332" i="1"/>
  <c r="U1332" i="1"/>
  <c r="V1332" i="1"/>
  <c r="W1332" i="1"/>
  <c r="X1332" i="1"/>
  <c r="Y1332" i="1"/>
  <c r="Z1332" i="1"/>
  <c r="AA1332" i="1"/>
  <c r="AB1332" i="1"/>
  <c r="AC1332" i="1"/>
  <c r="AD1332" i="1"/>
  <c r="AE1332" i="1"/>
  <c r="AF1332" i="1"/>
  <c r="AG1332" i="1"/>
  <c r="AH1332" i="1"/>
  <c r="AI1332" i="1"/>
  <c r="AJ1332" i="1"/>
  <c r="BJ1332" i="1"/>
  <c r="H1333" i="1"/>
  <c r="I1333" i="1"/>
  <c r="J1333" i="1"/>
  <c r="K1333" i="1"/>
  <c r="L1333" i="1"/>
  <c r="M1333" i="1"/>
  <c r="N1333" i="1"/>
  <c r="O1333" i="1"/>
  <c r="P1333" i="1"/>
  <c r="Q1333" i="1"/>
  <c r="R1333" i="1"/>
  <c r="T1333" i="1"/>
  <c r="U1333" i="1"/>
  <c r="V1333" i="1"/>
  <c r="W1333" i="1"/>
  <c r="X1333" i="1"/>
  <c r="Y1333" i="1"/>
  <c r="Z1333" i="1"/>
  <c r="AA1333" i="1"/>
  <c r="AB1333" i="1"/>
  <c r="AC1333" i="1"/>
  <c r="AD1333" i="1"/>
  <c r="AE1333" i="1"/>
  <c r="AF1333" i="1"/>
  <c r="AG1333" i="1"/>
  <c r="AH1333" i="1"/>
  <c r="AI1333" i="1"/>
  <c r="AJ1333" i="1"/>
  <c r="BJ1333" i="1"/>
  <c r="H1334" i="1"/>
  <c r="I1334" i="1"/>
  <c r="J1334" i="1"/>
  <c r="K1334" i="1"/>
  <c r="L1334" i="1"/>
  <c r="M1334" i="1"/>
  <c r="N1334" i="1"/>
  <c r="O1334" i="1"/>
  <c r="P1334" i="1"/>
  <c r="Q1334" i="1"/>
  <c r="R1334" i="1"/>
  <c r="T1334" i="1"/>
  <c r="U1334" i="1"/>
  <c r="V1334" i="1"/>
  <c r="W1334" i="1"/>
  <c r="X1334" i="1"/>
  <c r="Y1334" i="1"/>
  <c r="Z1334" i="1"/>
  <c r="AA1334" i="1"/>
  <c r="AB1334" i="1"/>
  <c r="AC1334" i="1"/>
  <c r="AD1334" i="1"/>
  <c r="AE1334" i="1"/>
  <c r="AF1334" i="1"/>
  <c r="AG1334" i="1"/>
  <c r="AH1334" i="1"/>
  <c r="AI1334" i="1"/>
  <c r="AJ1334" i="1"/>
  <c r="BJ1334" i="1"/>
  <c r="B1344" i="1"/>
  <c r="B1345" i="1"/>
  <c r="B1346" i="1"/>
  <c r="B1347" i="1"/>
  <c r="E1374" i="1"/>
  <c r="F1374" i="1" s="1"/>
  <c r="G1374" i="1" s="1"/>
  <c r="H1374" i="1" s="1"/>
  <c r="E1375" i="1"/>
  <c r="E1376" i="1"/>
  <c r="E1377" i="1"/>
  <c r="F1377" i="1" s="1"/>
  <c r="E1378" i="1"/>
  <c r="D1379" i="1"/>
  <c r="B1362" i="1"/>
  <c r="B1363" i="1"/>
  <c r="B1367" i="1"/>
  <c r="B1368" i="1"/>
  <c r="H1369" i="1"/>
  <c r="I1369" i="1"/>
  <c r="J1369" i="1"/>
  <c r="K1369" i="1"/>
  <c r="AG1398" i="1"/>
  <c r="AG1397" i="1" s="1"/>
  <c r="AH1398" i="1"/>
  <c r="B1374" i="1"/>
  <c r="B1382" i="1" s="1"/>
  <c r="B1375" i="1"/>
  <c r="B1383" i="1" s="1"/>
  <c r="B1376" i="1"/>
  <c r="B1377" i="1"/>
  <c r="B1378" i="1"/>
  <c r="B1379" i="1"/>
  <c r="N698" i="1" l="1"/>
  <c r="N700" i="1" s="1"/>
  <c r="N751" i="1" s="1"/>
  <c r="N747" i="1" s="1"/>
  <c r="M698" i="1"/>
  <c r="M700" i="1" s="1"/>
  <c r="M751" i="1" s="1"/>
  <c r="M747" i="1" s="1"/>
  <c r="BM1279" i="1"/>
  <c r="BK1279" i="1"/>
  <c r="BK1291" i="1" s="1"/>
  <c r="AM931" i="1"/>
  <c r="BN1279" i="1"/>
  <c r="BL1279" i="1"/>
  <c r="S1279" i="1"/>
  <c r="AH1309" i="1"/>
  <c r="AJ963" i="1"/>
  <c r="AJ985" i="1" s="1"/>
  <c r="AF1309" i="1"/>
  <c r="AO722" i="1"/>
  <c r="AO186" i="1" s="1"/>
  <c r="AO724" i="1"/>
  <c r="BL972" i="1"/>
  <c r="BL970" i="1"/>
  <c r="K743" i="1"/>
  <c r="BH955" i="1"/>
  <c r="BK972" i="1"/>
  <c r="BJ972" i="1"/>
  <c r="O384" i="1"/>
  <c r="O518" i="1" s="1"/>
  <c r="BI957" i="1"/>
  <c r="K384" i="1"/>
  <c r="BH957" i="1"/>
  <c r="AA743" i="1"/>
  <c r="BL955" i="1"/>
  <c r="W743" i="1"/>
  <c r="W748" i="1" s="1"/>
  <c r="BK955" i="1"/>
  <c r="S743" i="1"/>
  <c r="BJ955" i="1"/>
  <c r="BI972" i="1"/>
  <c r="O743" i="1"/>
  <c r="BI955" i="1"/>
  <c r="AM701" i="1"/>
  <c r="AL701" i="1"/>
  <c r="AK701" i="1"/>
  <c r="BN700" i="1"/>
  <c r="BO700" i="1"/>
  <c r="AG57" i="28"/>
  <c r="AG58" i="28" s="1"/>
  <c r="AG64" i="28" s="1"/>
  <c r="AF57" i="28"/>
  <c r="AF58" i="28" s="1"/>
  <c r="AF64" i="28" s="1"/>
  <c r="L156" i="1"/>
  <c r="L963" i="1"/>
  <c r="AM1012" i="1"/>
  <c r="AI959" i="1"/>
  <c r="BN959" i="1" s="1"/>
  <c r="K156" i="1"/>
  <c r="K963" i="1"/>
  <c r="AE1000" i="1"/>
  <c r="AE959" i="1" s="1"/>
  <c r="AB959" i="1"/>
  <c r="AA972" i="1"/>
  <c r="F156" i="1"/>
  <c r="F963" i="1"/>
  <c r="W972" i="1"/>
  <c r="D156" i="1"/>
  <c r="D963" i="1"/>
  <c r="AI989" i="1"/>
  <c r="S488" i="1"/>
  <c r="S489" i="1" s="1"/>
  <c r="S957" i="1"/>
  <c r="AD156" i="1"/>
  <c r="AH163" i="1" s="1"/>
  <c r="AD963" i="1"/>
  <c r="AM1014" i="1"/>
  <c r="AI957" i="1"/>
  <c r="BN957" i="1" s="1"/>
  <c r="AE997" i="1"/>
  <c r="AE955" i="1" s="1"/>
  <c r="AE743" i="1" s="1"/>
  <c r="AE748" i="1" s="1"/>
  <c r="AB955" i="1"/>
  <c r="AA968" i="1"/>
  <c r="Q156" i="1"/>
  <c r="Q963" i="1"/>
  <c r="W968" i="1"/>
  <c r="AB970" i="1"/>
  <c r="AB384" i="1"/>
  <c r="AB518" i="1" s="1"/>
  <c r="AB488" i="1" s="1"/>
  <c r="AB423" i="1" s="1"/>
  <c r="AF425" i="1" s="1"/>
  <c r="AF970" i="1"/>
  <c r="W384" i="1"/>
  <c r="W518" i="1" s="1"/>
  <c r="W519" i="1" s="1"/>
  <c r="AB156" i="1"/>
  <c r="AF163" i="1" s="1"/>
  <c r="AB963" i="1"/>
  <c r="AA970" i="1"/>
  <c r="AA384" i="1"/>
  <c r="AA518" i="1" s="1"/>
  <c r="AA488" i="1" s="1"/>
  <c r="V156" i="1"/>
  <c r="V963" i="1"/>
  <c r="AM1009" i="1"/>
  <c r="AI955" i="1"/>
  <c r="M156" i="1"/>
  <c r="M963" i="1"/>
  <c r="E8" i="523"/>
  <c r="E43" i="523" s="1"/>
  <c r="BJ156" i="1"/>
  <c r="AB1267" i="1"/>
  <c r="AB188" i="1"/>
  <c r="AH195" i="1"/>
  <c r="AG214" i="1"/>
  <c r="AK195" i="1"/>
  <c r="AN280" i="1"/>
  <c r="BO30" i="1"/>
  <c r="AN37" i="1"/>
  <c r="BO29" i="1"/>
  <c r="AN36" i="1"/>
  <c r="BO309" i="1"/>
  <c r="BO319" i="1" s="1"/>
  <c r="AN314" i="1"/>
  <c r="D42" i="523"/>
  <c r="E42" i="523"/>
  <c r="F51" i="525"/>
  <c r="L16" i="525"/>
  <c r="F28" i="525"/>
  <c r="AJ872" i="1"/>
  <c r="AN886" i="1" s="1"/>
  <c r="B36" i="525"/>
  <c r="N869" i="1"/>
  <c r="M869" i="1"/>
  <c r="N866" i="1"/>
  <c r="M866" i="1"/>
  <c r="AF488" i="1"/>
  <c r="AJ488" i="1" s="1"/>
  <c r="AB514" i="1"/>
  <c r="X514" i="1" s="1"/>
  <c r="T514" i="1" s="1"/>
  <c r="P514" i="1" s="1"/>
  <c r="L514" i="1" s="1"/>
  <c r="P523" i="1" s="1"/>
  <c r="AO861" i="1"/>
  <c r="AK872" i="1"/>
  <c r="AO886" i="1" s="1"/>
  <c r="B885" i="1"/>
  <c r="B688" i="1"/>
  <c r="B593" i="1" s="1"/>
  <c r="B761" i="1" s="1"/>
  <c r="AK648" i="1"/>
  <c r="AG674" i="1"/>
  <c r="AJ10" i="468"/>
  <c r="AN15" i="468" s="1"/>
  <c r="AM10" i="468"/>
  <c r="AN45" i="468" s="1"/>
  <c r="AL10" i="468"/>
  <c r="AD657" i="1"/>
  <c r="O512" i="1"/>
  <c r="S604" i="1"/>
  <c r="S610" i="1"/>
  <c r="BK605" i="1"/>
  <c r="W604" i="1"/>
  <c r="BH610" i="1"/>
  <c r="BH604" i="1"/>
  <c r="BI605" i="1"/>
  <c r="N512" i="1"/>
  <c r="M512" i="1"/>
  <c r="L512" i="1"/>
  <c r="BM1333" i="1"/>
  <c r="BM603" i="1"/>
  <c r="BM620" i="1" s="1"/>
  <c r="BL1333" i="1"/>
  <c r="BL603" i="1"/>
  <c r="BK604" i="1"/>
  <c r="BL605" i="1"/>
  <c r="BK610" i="1"/>
  <c r="BI610" i="1"/>
  <c r="BJ605" i="1"/>
  <c r="BJ604" i="1"/>
  <c r="BI604" i="1"/>
  <c r="Q177" i="521"/>
  <c r="Q177" i="520"/>
  <c r="P177" i="521"/>
  <c r="P177" i="520"/>
  <c r="T191" i="521"/>
  <c r="T194" i="521" s="1"/>
  <c r="T191" i="520"/>
  <c r="T194" i="520" s="1"/>
  <c r="O177" i="519"/>
  <c r="O178" i="519" s="1"/>
  <c r="O177" i="520"/>
  <c r="O177" i="521"/>
  <c r="R177" i="520"/>
  <c r="R177" i="521"/>
  <c r="S191" i="521"/>
  <c r="S194" i="521" s="1"/>
  <c r="S191" i="520"/>
  <c r="S194" i="520" s="1"/>
  <c r="N177" i="519"/>
  <c r="N14" i="519" s="1"/>
  <c r="N15" i="519" s="1"/>
  <c r="N177" i="521"/>
  <c r="N177" i="520"/>
  <c r="R191" i="520"/>
  <c r="R194" i="520" s="1"/>
  <c r="R191" i="521"/>
  <c r="R194" i="521" s="1"/>
  <c r="K177" i="519"/>
  <c r="K14" i="519" s="1"/>
  <c r="K15" i="519" s="1"/>
  <c r="K177" i="520"/>
  <c r="K177" i="521"/>
  <c r="L177" i="519"/>
  <c r="L178" i="519" s="1"/>
  <c r="L177" i="521"/>
  <c r="L177" i="520"/>
  <c r="J177" i="519"/>
  <c r="J14" i="519" s="1"/>
  <c r="J15" i="519" s="1"/>
  <c r="J177" i="520"/>
  <c r="J177" i="521"/>
  <c r="I177" i="519"/>
  <c r="I14" i="519" s="1"/>
  <c r="I15" i="519" s="1"/>
  <c r="I177" i="520"/>
  <c r="I177" i="521"/>
  <c r="H177" i="519"/>
  <c r="H14" i="519" s="1"/>
  <c r="H15" i="519" s="1"/>
  <c r="H177" i="521"/>
  <c r="H177" i="520"/>
  <c r="G177" i="519"/>
  <c r="G14" i="519" s="1"/>
  <c r="G15" i="519" s="1"/>
  <c r="G177" i="521"/>
  <c r="G177" i="520"/>
  <c r="F177" i="521"/>
  <c r="F177" i="520"/>
  <c r="E177" i="520"/>
  <c r="E177" i="521"/>
  <c r="D177" i="520"/>
  <c r="D177" i="521"/>
  <c r="Q191" i="521"/>
  <c r="Q194" i="521" s="1"/>
  <c r="Q191" i="520"/>
  <c r="Q194" i="520" s="1"/>
  <c r="T177" i="521"/>
  <c r="T177" i="520"/>
  <c r="S177" i="520"/>
  <c r="S177" i="521"/>
  <c r="Y25" i="522"/>
  <c r="Y19" i="522" s="1"/>
  <c r="Y20" i="522" s="1"/>
  <c r="R177" i="519"/>
  <c r="X25" i="522"/>
  <c r="X57" i="522" s="1"/>
  <c r="X51" i="522" s="1"/>
  <c r="X52" i="522" s="1"/>
  <c r="Q177" i="519"/>
  <c r="W25" i="522"/>
  <c r="W19" i="522" s="1"/>
  <c r="W20" i="522" s="1"/>
  <c r="P177" i="519"/>
  <c r="AU1198" i="1"/>
  <c r="AU1197" i="1" s="1"/>
  <c r="D177" i="519"/>
  <c r="AW1198" i="1"/>
  <c r="AW1197" i="1" s="1"/>
  <c r="F177" i="519"/>
  <c r="AV1204" i="1"/>
  <c r="E177" i="519"/>
  <c r="AA25" i="522"/>
  <c r="AA57" i="522" s="1"/>
  <c r="AA51" i="522" s="1"/>
  <c r="AA52" i="522" s="1"/>
  <c r="T177" i="519"/>
  <c r="Z25" i="522"/>
  <c r="Z19" i="522" s="1"/>
  <c r="Z20" i="522" s="1"/>
  <c r="S177" i="519"/>
  <c r="BK1263" i="1"/>
  <c r="BN1263" i="1"/>
  <c r="BM1263" i="1"/>
  <c r="BL1263" i="1"/>
  <c r="S1263" i="1"/>
  <c r="AV1263" i="1"/>
  <c r="AV1265" i="1" s="1"/>
  <c r="BC1263" i="1"/>
  <c r="BC1265" i="1" s="1"/>
  <c r="AU1263" i="1"/>
  <c r="AU1265" i="1" s="1"/>
  <c r="V1265" i="1"/>
  <c r="M1265" i="1"/>
  <c r="E1265" i="1"/>
  <c r="BD1263" i="1"/>
  <c r="BD1265" i="1" s="1"/>
  <c r="G113" i="503"/>
  <c r="G112" i="198"/>
  <c r="G113" i="504"/>
  <c r="G113" i="523"/>
  <c r="H113" i="198"/>
  <c r="H114" i="504"/>
  <c r="H114" i="503"/>
  <c r="H114" i="523"/>
  <c r="I115" i="503"/>
  <c r="I115" i="504"/>
  <c r="I114" i="198"/>
  <c r="I115" i="523"/>
  <c r="F112" i="198"/>
  <c r="F113" i="503"/>
  <c r="F113" i="504"/>
  <c r="F113" i="523"/>
  <c r="G114" i="503"/>
  <c r="G113" i="198"/>
  <c r="G114" i="504"/>
  <c r="G114" i="523"/>
  <c r="BB1263" i="1"/>
  <c r="BB1265" i="1" s="1"/>
  <c r="AT1263" i="1"/>
  <c r="AT1265" i="1" s="1"/>
  <c r="AC1265" i="1"/>
  <c r="U1265" i="1"/>
  <c r="L1265" i="1"/>
  <c r="D1265" i="1"/>
  <c r="I114" i="504"/>
  <c r="I114" i="523"/>
  <c r="I114" i="503"/>
  <c r="I113" i="198"/>
  <c r="V100" i="1"/>
  <c r="V101" i="1" s="1"/>
  <c r="Z59" i="523"/>
  <c r="H114" i="198"/>
  <c r="H115" i="504"/>
  <c r="H115" i="523"/>
  <c r="H115" i="503"/>
  <c r="I119" i="523"/>
  <c r="I119" i="504"/>
  <c r="I118" i="198"/>
  <c r="BN1264" i="1"/>
  <c r="I119" i="503"/>
  <c r="F114" i="503"/>
  <c r="F113" i="198"/>
  <c r="F114" i="504"/>
  <c r="F114" i="523"/>
  <c r="BA1263" i="1"/>
  <c r="BA1265" i="1" s="1"/>
  <c r="AJ1265" i="1"/>
  <c r="AB1265" i="1"/>
  <c r="T1265" i="1"/>
  <c r="K1265" i="1"/>
  <c r="H113" i="503"/>
  <c r="H113" i="504"/>
  <c r="H113" i="523"/>
  <c r="H112" i="198"/>
  <c r="J71" i="198"/>
  <c r="J72" i="523"/>
  <c r="J72" i="504"/>
  <c r="J72" i="503"/>
  <c r="G115" i="503"/>
  <c r="G114" i="198"/>
  <c r="G115" i="504"/>
  <c r="G115" i="523"/>
  <c r="I117" i="504"/>
  <c r="I117" i="523"/>
  <c r="I117" i="503"/>
  <c r="I116" i="198"/>
  <c r="H119" i="504"/>
  <c r="BM1264" i="1"/>
  <c r="H119" i="503"/>
  <c r="H119" i="523"/>
  <c r="H118" i="198"/>
  <c r="AZ1263" i="1"/>
  <c r="AZ1265" i="1" s="1"/>
  <c r="AI1265" i="1"/>
  <c r="AA1265" i="1"/>
  <c r="R1265" i="1"/>
  <c r="J1265" i="1"/>
  <c r="E67" i="523"/>
  <c r="AD1267" i="1"/>
  <c r="F115" i="503"/>
  <c r="F114" i="198"/>
  <c r="F115" i="523"/>
  <c r="F115" i="504"/>
  <c r="H116" i="198"/>
  <c r="H117" i="504"/>
  <c r="H117" i="503"/>
  <c r="H117" i="523"/>
  <c r="G119" i="523"/>
  <c r="G119" i="504"/>
  <c r="BL1264" i="1"/>
  <c r="G118" i="198"/>
  <c r="G119" i="503"/>
  <c r="BJ1265" i="1"/>
  <c r="AY1263" i="1"/>
  <c r="AY1265" i="1" s="1"/>
  <c r="AH1265" i="1"/>
  <c r="Z1265" i="1"/>
  <c r="Q1265" i="1"/>
  <c r="I1265" i="1"/>
  <c r="AH100" i="1"/>
  <c r="AL101" i="1" s="1"/>
  <c r="AC59" i="523"/>
  <c r="Z100" i="1"/>
  <c r="AA59" i="523"/>
  <c r="D67" i="523"/>
  <c r="AD100" i="1"/>
  <c r="AD102" i="1" s="1"/>
  <c r="AB59" i="523"/>
  <c r="G117" i="503"/>
  <c r="G116" i="198"/>
  <c r="G117" i="504"/>
  <c r="G117" i="523"/>
  <c r="F119" i="503"/>
  <c r="F119" i="523"/>
  <c r="F119" i="504"/>
  <c r="BK1264" i="1"/>
  <c r="F118" i="198"/>
  <c r="BH1263" i="1"/>
  <c r="BH1265" i="1" s="1"/>
  <c r="BI1266" i="1" s="1"/>
  <c r="AX1263" i="1"/>
  <c r="AX1265" i="1" s="1"/>
  <c r="AG1265" i="1"/>
  <c r="Y1265" i="1"/>
  <c r="P1265" i="1"/>
  <c r="H1265" i="1"/>
  <c r="C67" i="523"/>
  <c r="I113" i="504"/>
  <c r="I113" i="523"/>
  <c r="I112" i="198"/>
  <c r="I113" i="503"/>
  <c r="F117" i="503"/>
  <c r="F116" i="198"/>
  <c r="F117" i="504"/>
  <c r="F117" i="523"/>
  <c r="S1264" i="1"/>
  <c r="BE1263" i="1"/>
  <c r="BE1265" i="1" s="1"/>
  <c r="BF1266" i="1" s="1"/>
  <c r="BF1268" i="1" s="1"/>
  <c r="AW1263" i="1"/>
  <c r="AW1265" i="1" s="1"/>
  <c r="AF1265" i="1"/>
  <c r="X1265" i="1"/>
  <c r="O1265" i="1"/>
  <c r="G1265" i="1"/>
  <c r="AA81" i="1"/>
  <c r="AA89" i="1" s="1"/>
  <c r="AA104" i="1" s="1"/>
  <c r="AA1267" i="1"/>
  <c r="L1223" i="1"/>
  <c r="AV1223" i="1"/>
  <c r="W1223" i="1"/>
  <c r="W1265" i="1"/>
  <c r="BB1223" i="1"/>
  <c r="D1223" i="1"/>
  <c r="BM1215" i="1"/>
  <c r="AE1265" i="1"/>
  <c r="N1223" i="1"/>
  <c r="N1265" i="1"/>
  <c r="F1223" i="1"/>
  <c r="F1265" i="1"/>
  <c r="BC1223" i="1"/>
  <c r="AU1223" i="1"/>
  <c r="AD1223" i="1"/>
  <c r="AD1265" i="1"/>
  <c r="V1223" i="1"/>
  <c r="M1223" i="1"/>
  <c r="E1223" i="1"/>
  <c r="U1223" i="1"/>
  <c r="AB1223" i="1"/>
  <c r="AZ1223" i="1"/>
  <c r="AA1223" i="1"/>
  <c r="BL1223" i="1" s="1"/>
  <c r="R1223" i="1"/>
  <c r="J1223" i="1"/>
  <c r="BA1223" i="1"/>
  <c r="T1223" i="1"/>
  <c r="AY1223" i="1"/>
  <c r="Q1223" i="1"/>
  <c r="AT1223" i="1"/>
  <c r="AJ1223" i="1"/>
  <c r="K1223" i="1"/>
  <c r="BJ1223" i="1"/>
  <c r="AH1223" i="1"/>
  <c r="Z1223" i="1"/>
  <c r="I1223" i="1"/>
  <c r="BH1223" i="1"/>
  <c r="AX1223" i="1"/>
  <c r="AG1223" i="1"/>
  <c r="Y1223" i="1"/>
  <c r="P1223" i="1"/>
  <c r="H1223" i="1"/>
  <c r="AC1223" i="1"/>
  <c r="BE1223" i="1"/>
  <c r="AW1223" i="1"/>
  <c r="AF1223" i="1"/>
  <c r="X1223" i="1"/>
  <c r="O1223" i="1"/>
  <c r="G1223" i="1"/>
  <c r="CA152" i="1"/>
  <c r="CC152" i="1" s="1"/>
  <c r="BO1320" i="1"/>
  <c r="BO1326" i="1"/>
  <c r="AM889" i="1"/>
  <c r="AQ889" i="1"/>
  <c r="AI903" i="1"/>
  <c r="AM910" i="1" s="1"/>
  <c r="AM37" i="1"/>
  <c r="AI520" i="1"/>
  <c r="AM419" i="1"/>
  <c r="AJ51" i="1"/>
  <c r="C7" i="276"/>
  <c r="AI938" i="1"/>
  <c r="AM945" i="1" s="1"/>
  <c r="AM918" i="1" s="1"/>
  <c r="BO945" i="1"/>
  <c r="AJ128" i="1"/>
  <c r="BO128" i="1" s="1"/>
  <c r="BO1158" i="1"/>
  <c r="BO1194" i="1" s="1"/>
  <c r="E88" i="292"/>
  <c r="E89" i="292" s="1"/>
  <c r="E72" i="504"/>
  <c r="E72" i="503"/>
  <c r="AJ904" i="1"/>
  <c r="BO31" i="1"/>
  <c r="D88" i="292"/>
  <c r="D89" i="292" s="1"/>
  <c r="D72" i="504"/>
  <c r="D72" i="503"/>
  <c r="AI904" i="1"/>
  <c r="AM911" i="1" s="1"/>
  <c r="AM38" i="1"/>
  <c r="AK1329" i="1"/>
  <c r="AK1341" i="1" s="1"/>
  <c r="BO1317" i="1"/>
  <c r="C88" i="292"/>
  <c r="C89" i="292" s="1"/>
  <c r="C72" i="504"/>
  <c r="C72" i="503"/>
  <c r="BO1328" i="1"/>
  <c r="BO1322" i="1"/>
  <c r="AJ1076" i="1"/>
  <c r="BO1071" i="1"/>
  <c r="BO1076" i="1" s="1"/>
  <c r="E8" i="504"/>
  <c r="E121" i="504" s="1"/>
  <c r="E8" i="503"/>
  <c r="E121" i="503" s="1"/>
  <c r="BO1321" i="1"/>
  <c r="BO1327" i="1"/>
  <c r="E58" i="504"/>
  <c r="E58" i="503"/>
  <c r="AJ1075" i="1"/>
  <c r="BO1070" i="1"/>
  <c r="BO1075" i="1" s="1"/>
  <c r="AI796" i="1"/>
  <c r="AM799" i="1"/>
  <c r="AM801" i="1"/>
  <c r="AM252" i="1" s="1"/>
  <c r="BO304" i="1"/>
  <c r="AI650" i="1"/>
  <c r="E29" i="504"/>
  <c r="E29" i="503"/>
  <c r="D29" i="503"/>
  <c r="D29" i="504"/>
  <c r="C29" i="503"/>
  <c r="C29" i="504"/>
  <c r="AM827" i="1"/>
  <c r="AM828" i="1" s="1"/>
  <c r="AA28" i="522"/>
  <c r="AA60" i="522" s="1"/>
  <c r="T191" i="519"/>
  <c r="T194" i="519" s="1"/>
  <c r="Z28" i="522"/>
  <c r="Z60" i="522" s="1"/>
  <c r="S191" i="519"/>
  <c r="S194" i="519" s="1"/>
  <c r="Y28" i="522"/>
  <c r="Y60" i="522" s="1"/>
  <c r="R191" i="519"/>
  <c r="R194" i="519" s="1"/>
  <c r="X28" i="522"/>
  <c r="X60" i="522" s="1"/>
  <c r="Q191" i="519"/>
  <c r="Q194" i="519" s="1"/>
  <c r="C19" i="313"/>
  <c r="C28" i="313" s="1"/>
  <c r="M86" i="1"/>
  <c r="BM86" i="1"/>
  <c r="B19" i="313"/>
  <c r="B28" i="313" s="1"/>
  <c r="L86" i="1"/>
  <c r="W27" i="522"/>
  <c r="W41" i="522" s="1"/>
  <c r="W42" i="522" s="1"/>
  <c r="BJ86" i="1"/>
  <c r="I19" i="313"/>
  <c r="I28" i="313" s="1"/>
  <c r="S86" i="1"/>
  <c r="V27" i="522"/>
  <c r="V59" i="522" s="1"/>
  <c r="BI86" i="1"/>
  <c r="H19" i="313"/>
  <c r="H28" i="313" s="1"/>
  <c r="R86" i="1"/>
  <c r="D19" i="313"/>
  <c r="D28" i="313" s="1"/>
  <c r="N86" i="1"/>
  <c r="G19" i="313"/>
  <c r="G28" i="313" s="1"/>
  <c r="Q86" i="1"/>
  <c r="F19" i="313"/>
  <c r="F28" i="313" s="1"/>
  <c r="P86" i="1"/>
  <c r="E19" i="313"/>
  <c r="E28" i="313" s="1"/>
  <c r="O86" i="1"/>
  <c r="J19" i="313"/>
  <c r="J28" i="313" s="1"/>
  <c r="T86" i="1"/>
  <c r="K19" i="313"/>
  <c r="K28" i="313" s="1"/>
  <c r="U86" i="1"/>
  <c r="O27" i="522"/>
  <c r="O37" i="522" s="1"/>
  <c r="AI86" i="1"/>
  <c r="L27" i="522"/>
  <c r="L59" i="522" s="1"/>
  <c r="L73" i="522" s="1"/>
  <c r="L74" i="522" s="1"/>
  <c r="AF86" i="1"/>
  <c r="D27" i="522"/>
  <c r="D41" i="522" s="1"/>
  <c r="D42" i="522" s="1"/>
  <c r="X86" i="1"/>
  <c r="BL86" i="1" s="1"/>
  <c r="M19" i="313"/>
  <c r="M28" i="313" s="1"/>
  <c r="W86" i="1"/>
  <c r="Q1204" i="1"/>
  <c r="L1391" i="1"/>
  <c r="AI19" i="1"/>
  <c r="AI109" i="1" s="1"/>
  <c r="K1391" i="1"/>
  <c r="B1202" i="1"/>
  <c r="B23" i="522"/>
  <c r="B55" i="522" s="1"/>
  <c r="R19" i="313"/>
  <c r="R28" i="313" s="1"/>
  <c r="H27" i="522"/>
  <c r="BI114" i="1"/>
  <c r="D50" i="523" s="1"/>
  <c r="V25" i="522"/>
  <c r="Q19" i="313"/>
  <c r="Q28" i="313" s="1"/>
  <c r="G27" i="522"/>
  <c r="AF1197" i="1"/>
  <c r="L23" i="522" s="1"/>
  <c r="L55" i="522" s="1"/>
  <c r="L24" i="522"/>
  <c r="L56" i="522" s="1"/>
  <c r="AE1197" i="1"/>
  <c r="K23" i="522" s="1"/>
  <c r="K55" i="522" s="1"/>
  <c r="K24" i="522"/>
  <c r="K56" i="522" s="1"/>
  <c r="AC1197" i="1"/>
  <c r="I23" i="522" s="1"/>
  <c r="I55" i="522" s="1"/>
  <c r="I24" i="522"/>
  <c r="I56" i="522" s="1"/>
  <c r="P19" i="313"/>
  <c r="P28" i="313" s="1"/>
  <c r="F27" i="522"/>
  <c r="S19" i="313"/>
  <c r="S28" i="313" s="1"/>
  <c r="I27" i="522"/>
  <c r="AB1197" i="1"/>
  <c r="H23" i="522" s="1"/>
  <c r="H55" i="522" s="1"/>
  <c r="H24" i="522"/>
  <c r="H56" i="522" s="1"/>
  <c r="W19" i="313"/>
  <c r="W28" i="313" s="1"/>
  <c r="M27" i="522"/>
  <c r="O19" i="313"/>
  <c r="O28" i="313" s="1"/>
  <c r="E27" i="522"/>
  <c r="Y1197" i="1"/>
  <c r="E23" i="522" s="1"/>
  <c r="E55" i="522" s="1"/>
  <c r="E24" i="522"/>
  <c r="E56" i="522" s="1"/>
  <c r="AI1197" i="1"/>
  <c r="O23" i="522" s="1"/>
  <c r="O55" i="522" s="1"/>
  <c r="O24" i="522"/>
  <c r="O56" i="522" s="1"/>
  <c r="AA1197" i="1"/>
  <c r="G23" i="522" s="1"/>
  <c r="G55" i="522" s="1"/>
  <c r="G24" i="522"/>
  <c r="G56" i="522" s="1"/>
  <c r="AG1197" i="1"/>
  <c r="M23" i="522" s="1"/>
  <c r="M55" i="522" s="1"/>
  <c r="M24" i="522"/>
  <c r="M56" i="522" s="1"/>
  <c r="T19" i="313"/>
  <c r="T28" i="313" s="1"/>
  <c r="J27" i="522"/>
  <c r="AH1197" i="1"/>
  <c r="N23" i="522" s="1"/>
  <c r="N55" i="522" s="1"/>
  <c r="N24" i="522"/>
  <c r="N56" i="522" s="1"/>
  <c r="Z1197" i="1"/>
  <c r="F23" i="522" s="1"/>
  <c r="F55" i="522" s="1"/>
  <c r="F24" i="522"/>
  <c r="F56" i="522" s="1"/>
  <c r="U19" i="313"/>
  <c r="U28" i="313" s="1"/>
  <c r="K27" i="522"/>
  <c r="Y19" i="313"/>
  <c r="Y28" i="313" s="1"/>
  <c r="AD19" i="1"/>
  <c r="AD109" i="1" s="1"/>
  <c r="AW21" i="468"/>
  <c r="AL828" i="1"/>
  <c r="AL276" i="1" s="1"/>
  <c r="AL271" i="1"/>
  <c r="AH52" i="1"/>
  <c r="AH273" i="1"/>
  <c r="Y52" i="1"/>
  <c r="Y273" i="1"/>
  <c r="N52" i="1"/>
  <c r="N273" i="1"/>
  <c r="AE52" i="1"/>
  <c r="AE273" i="1"/>
  <c r="X52" i="1"/>
  <c r="X273" i="1"/>
  <c r="M52" i="1"/>
  <c r="M273" i="1"/>
  <c r="AF52" i="1"/>
  <c r="AF273" i="1"/>
  <c r="L52" i="1"/>
  <c r="L273" i="1"/>
  <c r="AD52" i="1"/>
  <c r="AD273" i="1"/>
  <c r="AC52" i="1"/>
  <c r="AC273" i="1"/>
  <c r="AB52" i="1"/>
  <c r="AB273" i="1"/>
  <c r="Q52" i="1"/>
  <c r="Q273" i="1"/>
  <c r="AA52" i="1"/>
  <c r="AA273" i="1"/>
  <c r="P52" i="1"/>
  <c r="P273" i="1"/>
  <c r="AI52" i="1"/>
  <c r="AI273" i="1"/>
  <c r="Z52" i="1"/>
  <c r="Z273" i="1"/>
  <c r="O52" i="1"/>
  <c r="O273" i="1"/>
  <c r="W115" i="1"/>
  <c r="W70" i="1"/>
  <c r="BB115" i="1"/>
  <c r="BB70" i="1"/>
  <c r="AD115" i="1"/>
  <c r="AD70" i="1"/>
  <c r="V115" i="1"/>
  <c r="V70" i="1"/>
  <c r="N115" i="1"/>
  <c r="N70" i="1"/>
  <c r="F115" i="1"/>
  <c r="F70" i="1"/>
  <c r="BC115" i="1"/>
  <c r="BC70" i="1"/>
  <c r="O115" i="1"/>
  <c r="O70" i="1"/>
  <c r="E73" i="292"/>
  <c r="BJ70" i="1"/>
  <c r="BA115" i="1"/>
  <c r="BA70" i="1"/>
  <c r="AC115" i="1"/>
  <c r="AC70" i="1"/>
  <c r="U115" i="1"/>
  <c r="U70" i="1"/>
  <c r="M115" i="1"/>
  <c r="M70" i="1"/>
  <c r="E115" i="1"/>
  <c r="E70" i="1"/>
  <c r="BO71" i="1"/>
  <c r="J58" i="523" s="1"/>
  <c r="AJ70" i="1"/>
  <c r="BO70" i="1" s="1"/>
  <c r="AB115" i="1"/>
  <c r="AB70" i="1"/>
  <c r="L115" i="1"/>
  <c r="L70" i="1"/>
  <c r="D115" i="1"/>
  <c r="D70" i="1"/>
  <c r="AI115" i="1"/>
  <c r="AI70" i="1"/>
  <c r="S115" i="1"/>
  <c r="S70" i="1"/>
  <c r="K115" i="1"/>
  <c r="K70" i="1"/>
  <c r="G115" i="1"/>
  <c r="G70" i="1"/>
  <c r="AH115" i="1"/>
  <c r="AH70" i="1"/>
  <c r="R115" i="1"/>
  <c r="R70" i="1"/>
  <c r="J115" i="1"/>
  <c r="J70" i="1"/>
  <c r="AE115" i="1"/>
  <c r="AE70" i="1"/>
  <c r="BE115" i="1"/>
  <c r="BE70" i="1"/>
  <c r="AG115" i="1"/>
  <c r="AG70" i="1"/>
  <c r="Y115" i="1"/>
  <c r="Y70" i="1"/>
  <c r="Q115" i="1"/>
  <c r="Q70" i="1"/>
  <c r="I115" i="1"/>
  <c r="I70" i="1"/>
  <c r="BD115" i="1"/>
  <c r="BD70" i="1"/>
  <c r="AF115" i="1"/>
  <c r="AF70" i="1"/>
  <c r="X115" i="1"/>
  <c r="X70" i="1"/>
  <c r="P115" i="1"/>
  <c r="P70" i="1"/>
  <c r="H115" i="1"/>
  <c r="H70" i="1"/>
  <c r="BM137" i="1"/>
  <c r="BM1258" i="1" s="1"/>
  <c r="BK137" i="1"/>
  <c r="BK1258" i="1" s="1"/>
  <c r="S137" i="1"/>
  <c r="S1258" i="1" s="1"/>
  <c r="BN137" i="1"/>
  <c r="BN1258" i="1" s="1"/>
  <c r="BO1260" i="1" s="1"/>
  <c r="BL137" i="1"/>
  <c r="BL1258" i="1" s="1"/>
  <c r="AG51" i="1"/>
  <c r="AG203" i="1" s="1"/>
  <c r="BB122" i="298"/>
  <c r="AV21" i="468"/>
  <c r="AH903" i="1"/>
  <c r="AL910" i="1" s="1"/>
  <c r="AL37" i="1"/>
  <c r="AY21" i="468"/>
  <c r="AH902" i="1"/>
  <c r="AL909" i="1" s="1"/>
  <c r="AL36" i="1"/>
  <c r="C8" i="276"/>
  <c r="AQ65" i="359"/>
  <c r="AR65" i="359"/>
  <c r="AW24" i="468"/>
  <c r="AW19" i="468"/>
  <c r="AV24" i="468"/>
  <c r="AV29" i="468" s="1"/>
  <c r="AV19" i="468"/>
  <c r="AY24" i="468"/>
  <c r="AY29" i="468" s="1"/>
  <c r="AY19" i="468"/>
  <c r="AW54" i="468"/>
  <c r="AV54" i="468"/>
  <c r="AX21" i="468"/>
  <c r="AX24" i="468"/>
  <c r="AX29" i="468" s="1"/>
  <c r="AX19" i="468"/>
  <c r="AW56" i="468"/>
  <c r="AV56" i="468"/>
  <c r="AL619" i="1"/>
  <c r="AL270" i="1" s="1"/>
  <c r="AL419" i="1"/>
  <c r="AH868" i="1"/>
  <c r="D39" i="525" s="1"/>
  <c r="AL799" i="1"/>
  <c r="AL801" i="1"/>
  <c r="AL252" i="1" s="1"/>
  <c r="AH855" i="1"/>
  <c r="AL854" i="1"/>
  <c r="AL855" i="1" s="1"/>
  <c r="AL439" i="1"/>
  <c r="AL269" i="1" s="1"/>
  <c r="AJ865" i="1"/>
  <c r="AN890" i="1"/>
  <c r="AQ867" i="1"/>
  <c r="AQ797" i="1" s="1"/>
  <c r="AJ864" i="1"/>
  <c r="AN889" i="1"/>
  <c r="AR99" i="468"/>
  <c r="AV30" i="468"/>
  <c r="AK56" i="359"/>
  <c r="AK137" i="359" s="1"/>
  <c r="AO39" i="359"/>
  <c r="AP56" i="359"/>
  <c r="AP137" i="359" s="1"/>
  <c r="AQ39" i="359"/>
  <c r="AO56" i="359"/>
  <c r="AO137" i="359" s="1"/>
  <c r="S198" i="519"/>
  <c r="S200" i="519" s="1"/>
  <c r="T176" i="519"/>
  <c r="S179" i="519"/>
  <c r="T179" i="519"/>
  <c r="T198" i="519"/>
  <c r="T200" i="519" s="1"/>
  <c r="S176" i="519"/>
  <c r="R179" i="519"/>
  <c r="R198" i="519"/>
  <c r="R200" i="519" s="1"/>
  <c r="AB638" i="298"/>
  <c r="AO39" i="298"/>
  <c r="AO630" i="298"/>
  <c r="AB167" i="298"/>
  <c r="AB166" i="298" s="1"/>
  <c r="BC156" i="298"/>
  <c r="H160" i="298"/>
  <c r="I160" i="298"/>
  <c r="BC445" i="298"/>
  <c r="BC446" i="298" s="1"/>
  <c r="F638" i="298"/>
  <c r="M108" i="298"/>
  <c r="BD695" i="298"/>
  <c r="V545" i="298"/>
  <c r="V548" i="298" s="1"/>
  <c r="AZ351" i="298"/>
  <c r="AZ356" i="298" s="1"/>
  <c r="AZ357" i="298" s="1"/>
  <c r="P160" i="298"/>
  <c r="R167" i="298"/>
  <c r="R166" i="298" s="1"/>
  <c r="AA821" i="1"/>
  <c r="AE828" i="1"/>
  <c r="AE276" i="1" s="1"/>
  <c r="X821" i="1"/>
  <c r="AB828" i="1"/>
  <c r="AB276" i="1" s="1"/>
  <c r="AD821" i="1"/>
  <c r="AH828" i="1"/>
  <c r="AH276" i="1" s="1"/>
  <c r="AB796" i="1"/>
  <c r="AF801" i="1"/>
  <c r="AF252" i="1" s="1"/>
  <c r="Y868" i="1"/>
  <c r="AC801" i="1"/>
  <c r="AC252" i="1" s="1"/>
  <c r="AE868" i="1"/>
  <c r="AI801" i="1"/>
  <c r="AI252" i="1" s="1"/>
  <c r="AD868" i="1"/>
  <c r="AH801" i="1"/>
  <c r="AH252" i="1" s="1"/>
  <c r="AF868" i="1"/>
  <c r="AJ801" i="1"/>
  <c r="AJ252" i="1" s="1"/>
  <c r="AK832" i="1"/>
  <c r="AK801" i="1"/>
  <c r="AK252" i="1" s="1"/>
  <c r="BG620" i="1"/>
  <c r="AE14" i="1"/>
  <c r="AE171" i="1" s="1"/>
  <c r="BD1223" i="1"/>
  <c r="BG1223" i="1" s="1"/>
  <c r="BG1215" i="1"/>
  <c r="BD238" i="1"/>
  <c r="BG238" i="1" s="1"/>
  <c r="BG230" i="1"/>
  <c r="BD239" i="1"/>
  <c r="BG239" i="1" s="1"/>
  <c r="BG231" i="1"/>
  <c r="BG432" i="1"/>
  <c r="BG435" i="1" s="1"/>
  <c r="BD1241" i="1"/>
  <c r="BG1241" i="1" s="1"/>
  <c r="BG1234" i="1"/>
  <c r="BD240" i="1"/>
  <c r="BG240" i="1" s="1"/>
  <c r="BG232" i="1"/>
  <c r="BG821" i="1"/>
  <c r="BG831" i="1" s="1"/>
  <c r="BG829" i="1"/>
  <c r="F102" i="1"/>
  <c r="D102" i="1"/>
  <c r="W101" i="1"/>
  <c r="U101" i="1"/>
  <c r="N101" i="1"/>
  <c r="M101" i="1"/>
  <c r="M102" i="1"/>
  <c r="L101" i="1"/>
  <c r="L102" i="1"/>
  <c r="K101" i="1"/>
  <c r="K102" i="1"/>
  <c r="J101" i="1"/>
  <c r="H101" i="1"/>
  <c r="AJ102" i="1"/>
  <c r="AJ101" i="1"/>
  <c r="AI102" i="1"/>
  <c r="AI101" i="1"/>
  <c r="AG101" i="1"/>
  <c r="AK101" i="1"/>
  <c r="AE101" i="1"/>
  <c r="H9" i="267"/>
  <c r="H11" i="313" s="1"/>
  <c r="AF101" i="1"/>
  <c r="V51" i="1"/>
  <c r="V203" i="1" s="1"/>
  <c r="AC101" i="1"/>
  <c r="U51" i="1"/>
  <c r="U203" i="1" s="1"/>
  <c r="AB102" i="1"/>
  <c r="AB101" i="1"/>
  <c r="T51" i="1"/>
  <c r="T203" i="1" s="1"/>
  <c r="BD1063" i="1"/>
  <c r="BG1063" i="1" s="1"/>
  <c r="I101" i="1"/>
  <c r="AA101" i="1"/>
  <c r="S101" i="1"/>
  <c r="R101" i="1"/>
  <c r="Q101" i="1"/>
  <c r="Q102" i="1"/>
  <c r="S63" i="1"/>
  <c r="S51" i="1"/>
  <c r="X101" i="1"/>
  <c r="P101" i="1"/>
  <c r="R63" i="1"/>
  <c r="R51" i="1"/>
  <c r="Y101" i="1"/>
  <c r="T101" i="1"/>
  <c r="O101" i="1"/>
  <c r="BH63" i="1"/>
  <c r="BH51" i="1"/>
  <c r="BH52" i="1" s="1"/>
  <c r="BG63" i="1"/>
  <c r="BG51" i="1"/>
  <c r="BG52" i="1" s="1"/>
  <c r="BE63" i="1"/>
  <c r="BE51" i="1"/>
  <c r="BE52" i="1" s="1"/>
  <c r="BD63" i="1"/>
  <c r="BD51" i="1"/>
  <c r="BD52" i="1" s="1"/>
  <c r="BC63" i="1"/>
  <c r="BC51" i="1"/>
  <c r="BC52" i="1" s="1"/>
  <c r="BA63" i="1"/>
  <c r="BA51" i="1"/>
  <c r="BA52" i="1" s="1"/>
  <c r="BB63" i="1"/>
  <c r="BB51" i="1"/>
  <c r="BB52" i="1" s="1"/>
  <c r="AD321" i="298"/>
  <c r="S301" i="298"/>
  <c r="AJ1004" i="1"/>
  <c r="AJ1028" i="1" s="1"/>
  <c r="E11" i="276"/>
  <c r="BV158" i="1"/>
  <c r="D34" i="276" s="1"/>
  <c r="C9" i="276"/>
  <c r="V97" i="298"/>
  <c r="V94" i="298" s="1"/>
  <c r="CA46" i="468"/>
  <c r="AG904" i="1"/>
  <c r="AK911" i="1" s="1"/>
  <c r="AK38" i="1"/>
  <c r="AG903" i="1"/>
  <c r="AK910" i="1" s="1"/>
  <c r="AK37" i="1"/>
  <c r="AG796" i="1"/>
  <c r="AK799" i="1"/>
  <c r="AO75" i="1"/>
  <c r="AP75" i="1" s="1"/>
  <c r="AQ75" i="1" s="1"/>
  <c r="AC514" i="1"/>
  <c r="Y514" i="1" s="1"/>
  <c r="U514" i="1" s="1"/>
  <c r="AK514" i="1"/>
  <c r="G8" i="525" s="1"/>
  <c r="G12" i="525" s="1"/>
  <c r="AG855" i="1"/>
  <c r="AK854" i="1"/>
  <c r="AK855" i="1" s="1"/>
  <c r="AK419" i="1"/>
  <c r="AO28" i="1"/>
  <c r="AM704" i="298"/>
  <c r="AM716" i="298" s="1"/>
  <c r="BE697" i="298"/>
  <c r="BA494" i="298"/>
  <c r="BY44" i="468"/>
  <c r="BV14" i="468"/>
  <c r="AP314" i="298"/>
  <c r="AO314" i="298"/>
  <c r="AD476" i="298"/>
  <c r="AA714" i="298"/>
  <c r="AT35" i="298"/>
  <c r="AP33" i="298"/>
  <c r="W303" i="298"/>
  <c r="X34" i="298"/>
  <c r="AL35" i="298"/>
  <c r="AA72" i="359"/>
  <c r="D62" i="292"/>
  <c r="BH1321" i="1"/>
  <c r="U545" i="298"/>
  <c r="U548" i="298" s="1"/>
  <c r="AD316" i="298"/>
  <c r="BB634" i="298"/>
  <c r="BB633" i="298" s="1"/>
  <c r="BB638" i="298" s="1"/>
  <c r="P19" i="468"/>
  <c r="AF126" i="298"/>
  <c r="J31" i="28"/>
  <c r="J33" i="28" s="1"/>
  <c r="BX44" i="468"/>
  <c r="AC60" i="359"/>
  <c r="AC142" i="359" s="1"/>
  <c r="AG1329" i="1"/>
  <c r="S304" i="298"/>
  <c r="AO167" i="298"/>
  <c r="AO172" i="298" s="1"/>
  <c r="Y133" i="298"/>
  <c r="Y14" i="298" s="1"/>
  <c r="Y177" i="298" s="1"/>
  <c r="AO97" i="298"/>
  <c r="AO94" i="298" s="1"/>
  <c r="W94" i="298"/>
  <c r="CC85" i="293"/>
  <c r="W684" i="298"/>
  <c r="K366" i="298"/>
  <c r="Q684" i="298"/>
  <c r="AM634" i="298"/>
  <c r="AM633" i="298" s="1"/>
  <c r="AM638" i="298" s="1"/>
  <c r="AK41" i="298"/>
  <c r="AP530" i="298"/>
  <c r="AP532" i="298" s="1"/>
  <c r="AP534" i="298" s="1"/>
  <c r="AP541" i="298" s="1"/>
  <c r="AX1204" i="1"/>
  <c r="R713" i="298"/>
  <c r="AU364" i="298"/>
  <c r="AP317" i="298"/>
  <c r="AQ182" i="298"/>
  <c r="AU167" i="298"/>
  <c r="AU166" i="298" s="1"/>
  <c r="AV171" i="298" s="1"/>
  <c r="AY171" i="298" s="1"/>
  <c r="R160" i="298"/>
  <c r="AA108" i="298"/>
  <c r="AD34" i="298"/>
  <c r="BV85" i="293"/>
  <c r="AV19" i="28"/>
  <c r="AL39" i="298"/>
  <c r="X684" i="298"/>
  <c r="L108" i="298"/>
  <c r="AZ428" i="298"/>
  <c r="BA320" i="298"/>
  <c r="AR94" i="298"/>
  <c r="P35" i="298"/>
  <c r="AE34" i="298"/>
  <c r="V39" i="298"/>
  <c r="N33" i="298"/>
  <c r="CB85" i="293"/>
  <c r="J22" i="28"/>
  <c r="J23" i="28" s="1"/>
  <c r="J24" i="28" s="1"/>
  <c r="J430" i="298"/>
  <c r="J369" i="298" s="1"/>
  <c r="AS328" i="298"/>
  <c r="AS332" i="298" s="1"/>
  <c r="AS334" i="298" s="1"/>
  <c r="AS338" i="298" s="1"/>
  <c r="AU316" i="298"/>
  <c r="AE303" i="298"/>
  <c r="F41" i="298"/>
  <c r="AV33" i="298"/>
  <c r="AY33" i="298" s="1"/>
  <c r="L33" i="298"/>
  <c r="BC1198" i="1"/>
  <c r="BC1203" i="1" s="1"/>
  <c r="BC1204" i="1"/>
  <c r="BB114" i="1"/>
  <c r="BB100" i="1" s="1"/>
  <c r="BB1204" i="1"/>
  <c r="BA114" i="1"/>
  <c r="BA1204" i="1"/>
  <c r="AZ114" i="1"/>
  <c r="AZ1204" i="1"/>
  <c r="AY114" i="1"/>
  <c r="AY1204" i="1"/>
  <c r="BE114" i="1"/>
  <c r="BE1204" i="1"/>
  <c r="BC419" i="1"/>
  <c r="AA942" i="1"/>
  <c r="BL1328" i="1"/>
  <c r="BL1340" i="1" s="1"/>
  <c r="Z322" i="298"/>
  <c r="J108" i="298"/>
  <c r="AE295" i="298"/>
  <c r="AE307" i="298" s="1"/>
  <c r="M320" i="298"/>
  <c r="Y476" i="298"/>
  <c r="BB440" i="298"/>
  <c r="BB130" i="298" s="1"/>
  <c r="BD709" i="298"/>
  <c r="BE351" i="298"/>
  <c r="M316" i="298"/>
  <c r="BC709" i="298"/>
  <c r="BC710" i="298" s="1"/>
  <c r="X698" i="298"/>
  <c r="BD351" i="298"/>
  <c r="BE353" i="298" s="1"/>
  <c r="BE129" i="298" s="1"/>
  <c r="AC160" i="298"/>
  <c r="BY46" i="468"/>
  <c r="S683" i="298"/>
  <c r="AT448" i="298"/>
  <c r="BC351" i="298"/>
  <c r="BC352" i="298" s="1"/>
  <c r="U160" i="298"/>
  <c r="Z34" i="298"/>
  <c r="U704" i="298"/>
  <c r="BE701" i="298"/>
  <c r="BE713" i="298" s="1"/>
  <c r="L313" i="298"/>
  <c r="AL108" i="298"/>
  <c r="BA94" i="298"/>
  <c r="X133" i="298"/>
  <c r="X14" i="298" s="1"/>
  <c r="R1194" i="1"/>
  <c r="Q698" i="298"/>
  <c r="AE530" i="298"/>
  <c r="AE532" i="298" s="1"/>
  <c r="AE534" i="298" s="1"/>
  <c r="AE542" i="298" s="1"/>
  <c r="BE21" i="468"/>
  <c r="BQ45" i="468"/>
  <c r="AZ695" i="298"/>
  <c r="V125" i="298"/>
  <c r="V126" i="298" s="1"/>
  <c r="BC466" i="298"/>
  <c r="BD470" i="298" s="1"/>
  <c r="BD158" i="298"/>
  <c r="BA634" i="298"/>
  <c r="BA633" i="298" s="1"/>
  <c r="E545" i="298"/>
  <c r="E548" i="298" s="1"/>
  <c r="K510" i="298"/>
  <c r="AW108" i="298"/>
  <c r="P108" i="298"/>
  <c r="BB545" i="298"/>
  <c r="BB548" i="298" s="1"/>
  <c r="BE158" i="298"/>
  <c r="AR24" i="298"/>
  <c r="O448" i="298"/>
  <c r="O430" i="298"/>
  <c r="O369" i="298" s="1"/>
  <c r="AR298" i="298"/>
  <c r="AR315" i="298" s="1"/>
  <c r="G519" i="298"/>
  <c r="G21" i="298" s="1"/>
  <c r="AQ329" i="298"/>
  <c r="AQ341" i="298" s="1"/>
  <c r="AT160" i="298"/>
  <c r="F519" i="298"/>
  <c r="F21" i="298" s="1"/>
  <c r="F24" i="298" s="1"/>
  <c r="AJ1194" i="1"/>
  <c r="I476" i="298"/>
  <c r="AQ41" i="298"/>
  <c r="H476" i="298"/>
  <c r="E638" i="298"/>
  <c r="M1098" i="1"/>
  <c r="M1101" i="1" s="1"/>
  <c r="M1102" i="1" s="1"/>
  <c r="V1339" i="1"/>
  <c r="BA105" i="468"/>
  <c r="BB630" i="298"/>
  <c r="F40" i="298"/>
  <c r="CI85" i="293"/>
  <c r="AB65" i="359"/>
  <c r="F639" i="298"/>
  <c r="BA707" i="298"/>
  <c r="AY635" i="298"/>
  <c r="AY634" i="298" s="1"/>
  <c r="AY633" i="298" s="1"/>
  <c r="AO40" i="298"/>
  <c r="CS85" i="293"/>
  <c r="J519" i="298"/>
  <c r="J21" i="298" s="1"/>
  <c r="AV630" i="298"/>
  <c r="AS307" i="298"/>
  <c r="BS44" i="468"/>
  <c r="J704" i="298"/>
  <c r="J510" i="298"/>
  <c r="AP68" i="298"/>
  <c r="AM41" i="298"/>
  <c r="AA505" i="298"/>
  <c r="AA519" i="298" s="1"/>
  <c r="AA181" i="298" s="1"/>
  <c r="AA182" i="298" s="1"/>
  <c r="P713" i="298"/>
  <c r="BE695" i="298"/>
  <c r="H704" i="298"/>
  <c r="BA473" i="298"/>
  <c r="BB474" i="298" s="1"/>
  <c r="AC352" i="298"/>
  <c r="AV328" i="298"/>
  <c r="AV332" i="298" s="1"/>
  <c r="AV334" i="298" s="1"/>
  <c r="AF316" i="298"/>
  <c r="Q19" i="28"/>
  <c r="AR640" i="298"/>
  <c r="T133" i="298"/>
  <c r="T14" i="298" s="1"/>
  <c r="T177" i="298" s="1"/>
  <c r="V40" i="298"/>
  <c r="AG136" i="298"/>
  <c r="BX85" i="293"/>
  <c r="Y704" i="298"/>
  <c r="T713" i="298"/>
  <c r="L318" i="298"/>
  <c r="AQ640" i="298"/>
  <c r="R714" i="298"/>
  <c r="AP640" i="298"/>
  <c r="X715" i="298"/>
  <c r="AO640" i="298"/>
  <c r="M639" i="298"/>
  <c r="AF476" i="298"/>
  <c r="AD467" i="298"/>
  <c r="V315" i="298"/>
  <c r="AM167" i="298"/>
  <c r="AN172" i="298" s="1"/>
  <c r="L317" i="298"/>
  <c r="U714" i="298"/>
  <c r="Q448" i="298"/>
  <c r="AM40" i="298"/>
  <c r="L316" i="298"/>
  <c r="AQ167" i="298"/>
  <c r="H33" i="298"/>
  <c r="AF713" i="298"/>
  <c r="AP315" i="298"/>
  <c r="W715" i="298"/>
  <c r="AL698" i="298"/>
  <c r="AN640" i="298"/>
  <c r="AR328" i="298"/>
  <c r="L315" i="298"/>
  <c r="O302" i="298"/>
  <c r="AE153" i="298"/>
  <c r="AM640" i="298"/>
  <c r="M153" i="298"/>
  <c r="AN710" i="298"/>
  <c r="AC474" i="298"/>
  <c r="S106" i="298"/>
  <c r="AW510" i="298"/>
  <c r="AZ510" i="298" s="1"/>
  <c r="AV684" i="298"/>
  <c r="I448" i="298"/>
  <c r="AA167" i="298"/>
  <c r="AA166" i="298" s="1"/>
  <c r="R108" i="298"/>
  <c r="AN94" i="298"/>
  <c r="AD698" i="298"/>
  <c r="AA476" i="298"/>
  <c r="X313" i="298"/>
  <c r="U167" i="298"/>
  <c r="U166" i="298" s="1"/>
  <c r="U171" i="298" s="1"/>
  <c r="BE150" i="298"/>
  <c r="AZ108" i="298"/>
  <c r="AM35" i="298"/>
  <c r="M439" i="298"/>
  <c r="Z714" i="298"/>
  <c r="W710" i="298"/>
  <c r="V322" i="298"/>
  <c r="BC515" i="298"/>
  <c r="AA125" i="298"/>
  <c r="AA126" i="298" s="1"/>
  <c r="L322" i="298"/>
  <c r="BC505" i="298"/>
  <c r="BC510" i="298" s="1"/>
  <c r="BB108" i="298"/>
  <c r="AQ93" i="468"/>
  <c r="BV93" i="468"/>
  <c r="AN634" i="298"/>
  <c r="AN639" i="298" s="1"/>
  <c r="AQ530" i="298"/>
  <c r="V476" i="298"/>
  <c r="AV446" i="298"/>
  <c r="AY446" i="298" s="1"/>
  <c r="T413" i="298"/>
  <c r="AF321" i="298"/>
  <c r="BC518" i="298"/>
  <c r="BC523" i="298" s="1"/>
  <c r="Q31" i="28"/>
  <c r="Q33" i="28" s="1"/>
  <c r="AA639" i="298"/>
  <c r="AN630" i="298"/>
  <c r="AF319" i="298"/>
  <c r="Q159" i="298"/>
  <c r="BE468" i="298"/>
  <c r="BE131" i="298" s="1"/>
  <c r="A39" i="468"/>
  <c r="A44" i="468" s="1"/>
  <c r="A34" i="468" s="1"/>
  <c r="A49" i="468" s="1"/>
  <c r="A54" i="468" s="1"/>
  <c r="AM630" i="298"/>
  <c r="F545" i="298"/>
  <c r="F548" i="298" s="1"/>
  <c r="J549" i="298" s="1"/>
  <c r="AO318" i="298"/>
  <c r="BB150" i="298"/>
  <c r="AF108" i="298"/>
  <c r="AN40" i="298"/>
  <c r="AX105" i="468"/>
  <c r="L630" i="298"/>
  <c r="K476" i="298"/>
  <c r="AF352" i="298"/>
  <c r="X321" i="298"/>
  <c r="BA61" i="468"/>
  <c r="AK640" i="298"/>
  <c r="AQ320" i="298"/>
  <c r="U153" i="298"/>
  <c r="AA159" i="298"/>
  <c r="AA638" i="298"/>
  <c r="L714" i="298"/>
  <c r="J630" i="298"/>
  <c r="D545" i="298"/>
  <c r="D548" i="298" s="1"/>
  <c r="AD318" i="298"/>
  <c r="U94" i="298"/>
  <c r="AL40" i="298"/>
  <c r="Q510" i="298"/>
  <c r="L321" i="298"/>
  <c r="Q476" i="298"/>
  <c r="BD701" i="298"/>
  <c r="BD713" i="298" s="1"/>
  <c r="AW366" i="298"/>
  <c r="V320" i="298"/>
  <c r="AU630" i="298"/>
  <c r="R715" i="298"/>
  <c r="I630" i="298"/>
  <c r="V318" i="298"/>
  <c r="BB94" i="298"/>
  <c r="AK40" i="298"/>
  <c r="AF551" i="298"/>
  <c r="AF557" i="298" s="1"/>
  <c r="AF532" i="298"/>
  <c r="AF534" i="298" s="1"/>
  <c r="AF542" i="298" s="1"/>
  <c r="Q65" i="359"/>
  <c r="N630" i="298"/>
  <c r="AY322" i="298"/>
  <c r="BM127" i="298"/>
  <c r="Q133" i="298"/>
  <c r="Q14" i="298" s="1"/>
  <c r="Q177" i="298" s="1"/>
  <c r="R34" i="298"/>
  <c r="S519" i="298"/>
  <c r="S21" i="298" s="1"/>
  <c r="S24" i="298" s="1"/>
  <c r="AF137" i="298"/>
  <c r="CB16" i="468"/>
  <c r="K713" i="298"/>
  <c r="K719" i="298" s="1"/>
  <c r="BC701" i="298"/>
  <c r="BC713" i="298" s="1"/>
  <c r="N638" i="298"/>
  <c r="M630" i="298"/>
  <c r="AO322" i="298"/>
  <c r="M313" i="298"/>
  <c r="O307" i="298"/>
  <c r="W152" i="298"/>
  <c r="R519" i="298"/>
  <c r="R524" i="298" s="1"/>
  <c r="AU12" i="298"/>
  <c r="AU710" i="298" s="1"/>
  <c r="AV634" i="298"/>
  <c r="AV633" i="298" s="1"/>
  <c r="S545" i="298"/>
  <c r="S548" i="298" s="1"/>
  <c r="S549" i="298" s="1"/>
  <c r="V510" i="298"/>
  <c r="R322" i="298"/>
  <c r="H318" i="298"/>
  <c r="AL167" i="298"/>
  <c r="BE703" i="298"/>
  <c r="BE715" i="298" s="1"/>
  <c r="U713" i="298"/>
  <c r="AR634" i="298"/>
  <c r="AR633" i="298" s="1"/>
  <c r="AR638" i="298" s="1"/>
  <c r="R545" i="298"/>
  <c r="R548" i="298" s="1"/>
  <c r="U510" i="298"/>
  <c r="AV439" i="298"/>
  <c r="AY439" i="298" s="1"/>
  <c r="M322" i="298"/>
  <c r="BD317" i="298"/>
  <c r="AU251" i="298"/>
  <c r="AO182" i="298"/>
  <c r="AK167" i="298"/>
  <c r="AM94" i="298"/>
  <c r="U715" i="298"/>
  <c r="T715" i="298"/>
  <c r="AK18" i="298"/>
  <c r="F62" i="292"/>
  <c r="H713" i="298"/>
  <c r="H719" i="298" s="1"/>
  <c r="AW634" i="298"/>
  <c r="AW633" i="298" s="1"/>
  <c r="W510" i="298"/>
  <c r="BC363" i="298"/>
  <c r="BC364" i="298" s="1"/>
  <c r="T322" i="298"/>
  <c r="AF69" i="298"/>
  <c r="AF74" i="298" s="1"/>
  <c r="Q545" i="298"/>
  <c r="Q548" i="298" s="1"/>
  <c r="AO530" i="298"/>
  <c r="AO532" i="298" s="1"/>
  <c r="AO534" i="298" s="1"/>
  <c r="AO541" i="298" s="1"/>
  <c r="R510" i="298"/>
  <c r="AN182" i="298"/>
  <c r="S18" i="298"/>
  <c r="S79" i="298" s="1"/>
  <c r="AP634" i="298"/>
  <c r="AP633" i="298" s="1"/>
  <c r="AP638" i="298" s="1"/>
  <c r="AN530" i="298"/>
  <c r="AN532" i="298" s="1"/>
  <c r="AN534" i="298" s="1"/>
  <c r="AN541" i="298" s="1"/>
  <c r="Y446" i="298"/>
  <c r="BC321" i="298"/>
  <c r="V317" i="298"/>
  <c r="AM182" i="298"/>
  <c r="J34" i="298"/>
  <c r="AC33" i="298"/>
  <c r="AF72" i="359"/>
  <c r="W714" i="298"/>
  <c r="Y684" i="298"/>
  <c r="AM530" i="298"/>
  <c r="AM532" i="298" s="1"/>
  <c r="AM534" i="298" s="1"/>
  <c r="AM541" i="298" s="1"/>
  <c r="AU321" i="298"/>
  <c r="P317" i="298"/>
  <c r="AA305" i="298"/>
  <c r="BL134" i="298"/>
  <c r="BL135" i="298" s="1"/>
  <c r="BI117" i="298"/>
  <c r="BJ117" i="298" s="1"/>
  <c r="BK117" i="298" s="1"/>
  <c r="O97" i="298"/>
  <c r="O94" i="298" s="1"/>
  <c r="AP21" i="298"/>
  <c r="AP24" i="298" s="1"/>
  <c r="AE65" i="359"/>
  <c r="AO634" i="298"/>
  <c r="AO633" i="298" s="1"/>
  <c r="AO638" i="298" s="1"/>
  <c r="M545" i="298"/>
  <c r="M548" i="298" s="1"/>
  <c r="BE473" i="298"/>
  <c r="BE474" i="298" s="1"/>
  <c r="AE448" i="298"/>
  <c r="AP321" i="298"/>
  <c r="M317" i="298"/>
  <c r="M310" i="298"/>
  <c r="AC167" i="298"/>
  <c r="AC166" i="298" s="1"/>
  <c r="BK134" i="298"/>
  <c r="BK135" i="298" s="1"/>
  <c r="N108" i="298"/>
  <c r="Y35" i="298"/>
  <c r="H34" i="298"/>
  <c r="W33" i="298"/>
  <c r="AY518" i="298"/>
  <c r="AY523" i="298" s="1"/>
  <c r="AD364" i="298"/>
  <c r="AE352" i="298"/>
  <c r="AL41" i="298"/>
  <c r="M139" i="1"/>
  <c r="M1271" i="1" s="1"/>
  <c r="AQ698" i="298"/>
  <c r="AZ466" i="298"/>
  <c r="BA471" i="298" s="1"/>
  <c r="Y167" i="298"/>
  <c r="Y166" i="298" s="1"/>
  <c r="BE151" i="298"/>
  <c r="V35" i="298"/>
  <c r="T33" i="298"/>
  <c r="V1072" i="1"/>
  <c r="V310" i="1" s="1"/>
  <c r="V311" i="1" s="1"/>
  <c r="V321" i="298"/>
  <c r="W167" i="298"/>
  <c r="W166" i="298" s="1"/>
  <c r="N136" i="298"/>
  <c r="BG105" i="468"/>
  <c r="BS93" i="468"/>
  <c r="AN704" i="298"/>
  <c r="R448" i="298"/>
  <c r="AA364" i="298"/>
  <c r="P321" i="298"/>
  <c r="V316" i="298"/>
  <c r="S309" i="298"/>
  <c r="AV185" i="298"/>
  <c r="AY185" i="298" s="1"/>
  <c r="AA704" i="298"/>
  <c r="H684" i="298"/>
  <c r="AA630" i="298"/>
  <c r="S124" i="298"/>
  <c r="N35" i="298"/>
  <c r="Z136" i="298"/>
  <c r="S22" i="28"/>
  <c r="S23" i="28" s="1"/>
  <c r="S24" i="28" s="1"/>
  <c r="W263" i="1"/>
  <c r="N19" i="468"/>
  <c r="V639" i="298"/>
  <c r="Z630" i="298"/>
  <c r="V319" i="298"/>
  <c r="V314" i="298"/>
  <c r="AB185" i="298"/>
  <c r="AL710" i="298"/>
  <c r="X713" i="298"/>
  <c r="AL640" i="298"/>
  <c r="AK108" i="298"/>
  <c r="M1072" i="1"/>
  <c r="M22" i="1" s="1"/>
  <c r="C13" i="313" s="1"/>
  <c r="AY319" i="298"/>
  <c r="H714" i="298"/>
  <c r="H720" i="298" s="1"/>
  <c r="F684" i="298"/>
  <c r="W630" i="298"/>
  <c r="AD356" i="298"/>
  <c r="M314" i="298"/>
  <c r="AU153" i="298"/>
  <c r="BD157" i="298"/>
  <c r="W519" i="298"/>
  <c r="W524" i="298" s="1"/>
  <c r="AV125" i="298"/>
  <c r="AV126" i="298" s="1"/>
  <c r="AY126" i="298" s="1"/>
  <c r="I64" i="28"/>
  <c r="J65" i="28" s="1"/>
  <c r="AN19" i="468"/>
  <c r="BQ44" i="468"/>
  <c r="K715" i="298"/>
  <c r="K721" i="298" s="1"/>
  <c r="AQ524" i="298"/>
  <c r="L314" i="298"/>
  <c r="AB159" i="298"/>
  <c r="O133" i="298"/>
  <c r="O14" i="298" s="1"/>
  <c r="AE133" i="298"/>
  <c r="AE14" i="298" s="1"/>
  <c r="AZ505" i="298"/>
  <c r="AZ12" i="298" s="1"/>
  <c r="H62" i="292"/>
  <c r="J74" i="28"/>
  <c r="H64" i="28"/>
  <c r="AJ21" i="468"/>
  <c r="BP44" i="468"/>
  <c r="BP61" i="468" s="1"/>
  <c r="T65" i="359"/>
  <c r="U630" i="298"/>
  <c r="AO524" i="298"/>
  <c r="U474" i="298"/>
  <c r="U467" i="298"/>
  <c r="BB313" i="298"/>
  <c r="Y160" i="298"/>
  <c r="P125" i="298"/>
  <c r="P126" i="298" s="1"/>
  <c r="G74" i="28"/>
  <c r="BD320" i="298"/>
  <c r="E108" i="298"/>
  <c r="L619" i="298"/>
  <c r="AU314" i="298"/>
  <c r="AC630" i="298"/>
  <c r="AC551" i="298"/>
  <c r="AC557" i="298" s="1"/>
  <c r="AB630" i="298"/>
  <c r="AU319" i="298"/>
  <c r="AL56" i="468"/>
  <c r="Y710" i="298"/>
  <c r="AB639" i="298"/>
  <c r="P630" i="298"/>
  <c r="AO619" i="298"/>
  <c r="AN524" i="298"/>
  <c r="BD322" i="298"/>
  <c r="AU318" i="298"/>
  <c r="X153" i="298"/>
  <c r="Y108" i="298"/>
  <c r="AM39" i="298"/>
  <c r="F64" i="28"/>
  <c r="G65" i="28" s="1"/>
  <c r="BB491" i="298"/>
  <c r="AV314" i="298"/>
  <c r="AE160" i="298"/>
  <c r="AT684" i="298"/>
  <c r="Q22" i="28"/>
  <c r="Q23" i="28" s="1"/>
  <c r="Q24" i="28" s="1"/>
  <c r="Q63" i="28" s="1"/>
  <c r="AH21" i="468"/>
  <c r="AM524" i="298"/>
  <c r="AZ322" i="298"/>
  <c r="AP318" i="298"/>
  <c r="W307" i="298"/>
  <c r="AA153" i="298"/>
  <c r="S40" i="298"/>
  <c r="AL30" i="298"/>
  <c r="AL42" i="298" s="1"/>
  <c r="BB40" i="298"/>
  <c r="BB640" i="298"/>
  <c r="BB18" i="298"/>
  <c r="BB79" i="298" s="1"/>
  <c r="AN684" i="298"/>
  <c r="AZ518" i="298"/>
  <c r="AZ523" i="298" s="1"/>
  <c r="H321" i="298"/>
  <c r="U318" i="298"/>
  <c r="AC153" i="298"/>
  <c r="Z619" i="298"/>
  <c r="BE322" i="298"/>
  <c r="BE320" i="298"/>
  <c r="L310" i="298"/>
  <c r="AE293" i="298"/>
  <c r="AE305" i="298" s="1"/>
  <c r="P153" i="298"/>
  <c r="AS13" i="298"/>
  <c r="AS14" i="298" s="1"/>
  <c r="AF12" i="298"/>
  <c r="AF640" i="298" s="1"/>
  <c r="AB74" i="28"/>
  <c r="Y19" i="28"/>
  <c r="K19" i="468"/>
  <c r="BT44" i="468"/>
  <c r="N138" i="298"/>
  <c r="AM24" i="298"/>
  <c r="AA74" i="28"/>
  <c r="Y31" i="28"/>
  <c r="Y33" i="28" s="1"/>
  <c r="T19" i="28"/>
  <c r="BK874" i="1"/>
  <c r="BS14" i="468"/>
  <c r="BD476" i="298"/>
  <c r="L133" i="298"/>
  <c r="L14" i="298" s="1"/>
  <c r="X74" i="28"/>
  <c r="T31" i="28"/>
  <c r="T33" i="28" s="1"/>
  <c r="AW129" i="298"/>
  <c r="AZ129" i="298" s="1"/>
  <c r="L138" i="298"/>
  <c r="AD160" i="298"/>
  <c r="BW85" i="293"/>
  <c r="S31" i="28"/>
  <c r="S33" i="28" s="1"/>
  <c r="E19" i="28"/>
  <c r="N698" i="298"/>
  <c r="X320" i="298"/>
  <c r="X317" i="298"/>
  <c r="X314" i="298"/>
  <c r="BA156" i="298"/>
  <c r="AA133" i="298"/>
  <c r="AA14" i="298" s="1"/>
  <c r="AA177" i="298" s="1"/>
  <c r="AP108" i="298"/>
  <c r="BB41" i="298"/>
  <c r="BA33" i="298"/>
  <c r="AD684" i="298"/>
  <c r="AY517" i="298"/>
  <c r="AY522" i="298" s="1"/>
  <c r="AP322" i="298"/>
  <c r="AF97" i="298"/>
  <c r="AF94" i="298" s="1"/>
  <c r="P31" i="28"/>
  <c r="P33" i="28" s="1"/>
  <c r="BA363" i="298"/>
  <c r="BB364" i="298" s="1"/>
  <c r="U320" i="298"/>
  <c r="AT108" i="298"/>
  <c r="L59" i="28"/>
  <c r="AS619" i="298"/>
  <c r="AU467" i="298"/>
  <c r="BA351" i="298"/>
  <c r="BB353" i="298" s="1"/>
  <c r="BB129" i="298" s="1"/>
  <c r="V159" i="298"/>
  <c r="AE94" i="298"/>
  <c r="Z35" i="298"/>
  <c r="K64" i="28"/>
  <c r="K65" i="28" s="1"/>
  <c r="J698" i="298"/>
  <c r="AD322" i="298"/>
  <c r="H320" i="298"/>
  <c r="I314" i="298"/>
  <c r="Z684" i="298"/>
  <c r="AW352" i="298"/>
  <c r="AZ352" i="298" s="1"/>
  <c r="BE319" i="298"/>
  <c r="H314" i="298"/>
  <c r="V133" i="298"/>
  <c r="V14" i="298" s="1"/>
  <c r="V177" i="298" s="1"/>
  <c r="L35" i="298"/>
  <c r="AP19" i="468"/>
  <c r="X322" i="298"/>
  <c r="BD319" i="298"/>
  <c r="H317" i="298"/>
  <c r="BD313" i="298"/>
  <c r="W12" i="298"/>
  <c r="W41" i="298" s="1"/>
  <c r="U54" i="468"/>
  <c r="J19" i="468"/>
  <c r="Q137" i="359"/>
  <c r="Y714" i="298"/>
  <c r="V710" i="298"/>
  <c r="BD316" i="298"/>
  <c r="AA308" i="298"/>
  <c r="AT278" i="298"/>
  <c r="BE440" i="298"/>
  <c r="BE130" i="298" s="1"/>
  <c r="AS278" i="298"/>
  <c r="AD108" i="298"/>
  <c r="AQ39" i="298"/>
  <c r="S825" i="1"/>
  <c r="W826" i="1" s="1"/>
  <c r="AO698" i="298"/>
  <c r="M633" i="298"/>
  <c r="M638" i="298" s="1"/>
  <c r="AW185" i="298"/>
  <c r="AZ185" i="298" s="1"/>
  <c r="BB170" i="298"/>
  <c r="D108" i="298"/>
  <c r="AC108" i="298"/>
  <c r="Y94" i="298"/>
  <c r="T22" i="28"/>
  <c r="T23" i="28" s="1"/>
  <c r="T24" i="28" s="1"/>
  <c r="T27" i="28" s="1"/>
  <c r="BF59" i="468"/>
  <c r="BA440" i="298"/>
  <c r="BA130" i="298" s="1"/>
  <c r="AE74" i="298"/>
  <c r="AE83" i="298" s="1"/>
  <c r="V33" i="298"/>
  <c r="U519" i="298"/>
  <c r="U524" i="298" s="1"/>
  <c r="Z19" i="28"/>
  <c r="BD61" i="468"/>
  <c r="BV16" i="468"/>
  <c r="BV21" i="468" s="1"/>
  <c r="BV56" i="468" s="1"/>
  <c r="O65" i="359"/>
  <c r="E684" i="298"/>
  <c r="T684" i="298"/>
  <c r="X316" i="298"/>
  <c r="U313" i="298"/>
  <c r="AN33" i="298"/>
  <c r="AC314" i="1"/>
  <c r="I322" i="298"/>
  <c r="X319" i="298"/>
  <c r="BG19" i="468"/>
  <c r="AA19" i="468"/>
  <c r="AS698" i="298"/>
  <c r="AV448" i="298"/>
  <c r="H322" i="298"/>
  <c r="CL85" i="293"/>
  <c r="BF19" i="468"/>
  <c r="Z19" i="468"/>
  <c r="AF65" i="359"/>
  <c r="Q714" i="298"/>
  <c r="AR698" i="298"/>
  <c r="AF698" i="298"/>
  <c r="T439" i="298"/>
  <c r="BD321" i="298"/>
  <c r="U319" i="298"/>
  <c r="V167" i="298"/>
  <c r="V166" i="298" s="1"/>
  <c r="AD133" i="298"/>
  <c r="AD14" i="298" s="1"/>
  <c r="AD177" i="298" s="1"/>
  <c r="M133" i="298"/>
  <c r="M14" i="298" s="1"/>
  <c r="X108" i="298"/>
  <c r="AU332" i="298"/>
  <c r="AU334" i="298" s="1"/>
  <c r="AU338" i="298" s="1"/>
  <c r="BE19" i="468"/>
  <c r="Y19" i="468"/>
  <c r="BA703" i="298"/>
  <c r="BD670" i="298"/>
  <c r="BE394" i="298"/>
  <c r="X366" i="298"/>
  <c r="H316" i="298"/>
  <c r="H313" i="298"/>
  <c r="AW94" i="298"/>
  <c r="AT329" i="298"/>
  <c r="AT341" i="298" s="1"/>
  <c r="AV160" i="298"/>
  <c r="AY160" i="298" s="1"/>
  <c r="P510" i="298"/>
  <c r="D22" i="28"/>
  <c r="D23" i="28" s="1"/>
  <c r="D24" i="28" s="1"/>
  <c r="D36" i="28" s="1"/>
  <c r="D41" i="28" s="1"/>
  <c r="AW105" i="468"/>
  <c r="BR93" i="468"/>
  <c r="AQ54" i="468"/>
  <c r="BD19" i="468"/>
  <c r="X19" i="468"/>
  <c r="BD394" i="298"/>
  <c r="BE315" i="298"/>
  <c r="BE310" i="298"/>
  <c r="BA149" i="298"/>
  <c r="AZ21" i="468"/>
  <c r="Q72" i="359"/>
  <c r="BD315" i="298"/>
  <c r="BC394" i="298"/>
  <c r="AQ321" i="298"/>
  <c r="H319" i="298"/>
  <c r="AU315" i="298"/>
  <c r="AA185" i="298"/>
  <c r="AU519" i="298"/>
  <c r="AU182" i="298" s="1"/>
  <c r="AF133" i="298"/>
  <c r="AF14" i="298" s="1"/>
  <c r="AF177" i="298" s="1"/>
  <c r="I710" i="298"/>
  <c r="Y619" i="298"/>
  <c r="AM619" i="298"/>
  <c r="BD318" i="298"/>
  <c r="BE27" i="298"/>
  <c r="AA22" i="28"/>
  <c r="AA23" i="28" s="1"/>
  <c r="AA24" i="28" s="1"/>
  <c r="I715" i="298"/>
  <c r="I721" i="298" s="1"/>
  <c r="AL619" i="298"/>
  <c r="AZ394" i="298"/>
  <c r="X315" i="298"/>
  <c r="S307" i="298"/>
  <c r="AD136" i="298"/>
  <c r="P133" i="298"/>
  <c r="P14" i="298" s="1"/>
  <c r="P177" i="298" s="1"/>
  <c r="AY84" i="298"/>
  <c r="AY94" i="298" s="1"/>
  <c r="Z22" i="28"/>
  <c r="Z23" i="28" s="1"/>
  <c r="Z24" i="28" s="1"/>
  <c r="AS704" i="298"/>
  <c r="H715" i="298"/>
  <c r="H721" i="298" s="1"/>
  <c r="I684" i="298"/>
  <c r="O476" i="298"/>
  <c r="BB448" i="298"/>
  <c r="L153" i="298"/>
  <c r="AV34" i="298"/>
  <c r="AY34" i="298" s="1"/>
  <c r="J12" i="298"/>
  <c r="J639" i="298" s="1"/>
  <c r="E70" i="51"/>
  <c r="Y22" i="28"/>
  <c r="Y23" i="28" s="1"/>
  <c r="Y24" i="28" s="1"/>
  <c r="AL54" i="468"/>
  <c r="F54" i="468"/>
  <c r="R19" i="468"/>
  <c r="AR704" i="298"/>
  <c r="AS684" i="298"/>
  <c r="N133" i="298"/>
  <c r="N14" i="298" s="1"/>
  <c r="AV20" i="28"/>
  <c r="Q19" i="468"/>
  <c r="BZ14" i="468"/>
  <c r="AZ696" i="298"/>
  <c r="AR684" i="298"/>
  <c r="M474" i="298"/>
  <c r="AA306" i="298"/>
  <c r="I510" i="298"/>
  <c r="Q657" i="1"/>
  <c r="AL95" i="468"/>
  <c r="AH72" i="359"/>
  <c r="N715" i="298"/>
  <c r="U321" i="298"/>
  <c r="CA85" i="293"/>
  <c r="Z20" i="28"/>
  <c r="BX14" i="468"/>
  <c r="AP684" i="298"/>
  <c r="AU446" i="298"/>
  <c r="M364" i="298"/>
  <c r="W306" i="298"/>
  <c r="BD107" i="298"/>
  <c r="BA515" i="298"/>
  <c r="BZ85" i="293"/>
  <c r="AW107" i="468"/>
  <c r="AT19" i="468"/>
  <c r="AF446" i="298"/>
  <c r="AD153" i="298"/>
  <c r="U33" i="298"/>
  <c r="F18" i="298"/>
  <c r="F79" i="298" s="1"/>
  <c r="S91" i="298"/>
  <c r="S627" i="298"/>
  <c r="I20" i="28"/>
  <c r="I31" i="28"/>
  <c r="I33" i="28" s="1"/>
  <c r="I22" i="28"/>
  <c r="I23" i="28" s="1"/>
  <c r="I19" i="28"/>
  <c r="BE438" i="298"/>
  <c r="BE439" i="298" s="1"/>
  <c r="BE122" i="298"/>
  <c r="BE708" i="298"/>
  <c r="BA109" i="468"/>
  <c r="BA101" i="468"/>
  <c r="J12" i="1"/>
  <c r="J1297" i="1" s="1"/>
  <c r="J1303" i="1" s="1"/>
  <c r="J1098" i="1"/>
  <c r="J1101" i="1" s="1"/>
  <c r="N1102" i="1" s="1"/>
  <c r="BH1068" i="1"/>
  <c r="T545" i="298"/>
  <c r="T548" i="298" s="1"/>
  <c r="T549" i="298" s="1"/>
  <c r="T318" i="298"/>
  <c r="T314" i="298"/>
  <c r="AD138" i="298"/>
  <c r="AG65" i="359"/>
  <c r="AG72" i="359"/>
  <c r="BD708" i="298"/>
  <c r="BE696" i="298"/>
  <c r="BD696" i="298"/>
  <c r="BD702" i="298"/>
  <c r="BE702" i="298"/>
  <c r="E639" i="298"/>
  <c r="U633" i="298"/>
  <c r="U638" i="298" s="1"/>
  <c r="U639" i="298"/>
  <c r="R315" i="298"/>
  <c r="R314" i="298"/>
  <c r="V310" i="298"/>
  <c r="R318" i="298"/>
  <c r="R316" i="298"/>
  <c r="AD167" i="298"/>
  <c r="AD166" i="298" s="1"/>
  <c r="AD97" i="298"/>
  <c r="AD94" i="298" s="1"/>
  <c r="AD630" i="298"/>
  <c r="X30" i="298"/>
  <c r="K34" i="298"/>
  <c r="T282" i="1"/>
  <c r="T292" i="1"/>
  <c r="T291" i="1" s="1"/>
  <c r="T298" i="1" s="1"/>
  <c r="BH19" i="468"/>
  <c r="X704" i="298"/>
  <c r="Z704" i="298"/>
  <c r="BC696" i="298"/>
  <c r="BC702" i="298"/>
  <c r="BC714" i="298" s="1"/>
  <c r="M366" i="298"/>
  <c r="AF159" i="298"/>
  <c r="AC94" i="298"/>
  <c r="J35" i="298"/>
  <c r="O12" i="298"/>
  <c r="O638" i="298" s="1"/>
  <c r="O510" i="298"/>
  <c r="BD651" i="298"/>
  <c r="AA659" i="298"/>
  <c r="BD659" i="298" s="1"/>
  <c r="Q54" i="468"/>
  <c r="AE630" i="298"/>
  <c r="N356" i="298"/>
  <c r="R358" i="298" s="1"/>
  <c r="P322" i="298"/>
  <c r="P318" i="298"/>
  <c r="P316" i="298"/>
  <c r="AU22" i="1"/>
  <c r="AU26" i="1" s="1"/>
  <c r="AU311" i="1"/>
  <c r="R97" i="298"/>
  <c r="R94" i="298" s="1"/>
  <c r="R630" i="298"/>
  <c r="AT476" i="298"/>
  <c r="P356" i="298"/>
  <c r="T358" i="298" s="1"/>
  <c r="AV159" i="298"/>
  <c r="AY159" i="298" s="1"/>
  <c r="W149" i="298"/>
  <c r="S156" i="298"/>
  <c r="BD122" i="298"/>
  <c r="Q97" i="298"/>
  <c r="Q94" i="298" s="1"/>
  <c r="Q619" i="298"/>
  <c r="BC91" i="298"/>
  <c r="BC627" i="298"/>
  <c r="BE84" i="298"/>
  <c r="AS34" i="298"/>
  <c r="AS40" i="298"/>
  <c r="AR182" i="298"/>
  <c r="AR530" i="298"/>
  <c r="W619" i="298"/>
  <c r="AE294" i="298"/>
  <c r="AE306" i="298" s="1"/>
  <c r="AB306" i="298"/>
  <c r="O160" i="298"/>
  <c r="AU1077" i="1"/>
  <c r="AB19" i="468"/>
  <c r="AK21" i="468"/>
  <c r="AG137" i="359"/>
  <c r="BA708" i="298"/>
  <c r="AP332" i="298"/>
  <c r="AP334" i="298" s="1"/>
  <c r="AP338" i="298" s="1"/>
  <c r="AP329" i="298"/>
  <c r="N321" i="298"/>
  <c r="N316" i="298"/>
  <c r="AU259" i="298"/>
  <c r="R41" i="298"/>
  <c r="V713" i="298"/>
  <c r="W698" i="298"/>
  <c r="W704" i="298"/>
  <c r="AZ633" i="298"/>
  <c r="AC439" i="298"/>
  <c r="P314" i="298"/>
  <c r="J160" i="298"/>
  <c r="AT34" i="298"/>
  <c r="L12" i="298"/>
  <c r="L638" i="298" s="1"/>
  <c r="L519" i="298"/>
  <c r="L510" i="298"/>
  <c r="L19" i="468"/>
  <c r="AB72" i="359"/>
  <c r="Z467" i="298"/>
  <c r="AZ363" i="298"/>
  <c r="AO328" i="298"/>
  <c r="AO329" i="298" s="1"/>
  <c r="AO341" i="298" s="1"/>
  <c r="T321" i="298"/>
  <c r="BD180" i="298"/>
  <c r="BD190" i="298" s="1"/>
  <c r="Y185" i="298"/>
  <c r="BA151" i="298"/>
  <c r="BA121" i="298"/>
  <c r="BB136" i="298" s="1"/>
  <c r="V30" i="298"/>
  <c r="V42" i="298" s="1"/>
  <c r="AL34" i="298"/>
  <c r="AZ515" i="298"/>
  <c r="X22" i="28"/>
  <c r="X23" i="28" s="1"/>
  <c r="X24" i="28" s="1"/>
  <c r="H20" i="28"/>
  <c r="H31" i="28"/>
  <c r="H33" i="28" s="1"/>
  <c r="BP93" i="468"/>
  <c r="S133" i="298"/>
  <c r="S14" i="298" s="1"/>
  <c r="S177" i="298" s="1"/>
  <c r="X714" i="298"/>
  <c r="R321" i="298"/>
  <c r="T319" i="298"/>
  <c r="T153" i="298"/>
  <c r="P159" i="298"/>
  <c r="P167" i="298"/>
  <c r="P166" i="298" s="1"/>
  <c r="X97" i="298"/>
  <c r="BD97" i="298" s="1"/>
  <c r="AR40" i="298"/>
  <c r="S34" i="298"/>
  <c r="BC35" i="298"/>
  <c r="R30" i="298"/>
  <c r="R42" i="298" s="1"/>
  <c r="R35" i="298"/>
  <c r="BA30" i="298"/>
  <c r="AL21" i="298"/>
  <c r="AL24" i="298" s="1"/>
  <c r="BW16" i="468"/>
  <c r="BX46" i="468"/>
  <c r="N125" i="298"/>
  <c r="N126" i="298" s="1"/>
  <c r="H545" i="298"/>
  <c r="H548" i="298" s="1"/>
  <c r="L549" i="298" s="1"/>
  <c r="H510" i="298"/>
  <c r="Y74" i="28"/>
  <c r="Y64" i="28"/>
  <c r="Q630" i="298"/>
  <c r="AR524" i="298"/>
  <c r="T316" i="298"/>
  <c r="BE157" i="298"/>
  <c r="AW36" i="1"/>
  <c r="BF93" i="468"/>
  <c r="P698" i="298"/>
  <c r="P704" i="298"/>
  <c r="AZ701" i="298"/>
  <c r="AZ713" i="298" s="1"/>
  <c r="AZ719" i="298" s="1"/>
  <c r="AQ634" i="298"/>
  <c r="AV352" i="298"/>
  <c r="AY352" i="298" s="1"/>
  <c r="BA316" i="298"/>
  <c r="BA321" i="298"/>
  <c r="AA309" i="298"/>
  <c r="W309" i="298"/>
  <c r="J159" i="298"/>
  <c r="AY91" i="298"/>
  <c r="AU68" i="298"/>
  <c r="BB33" i="298"/>
  <c r="AU33" i="298"/>
  <c r="K30" i="298"/>
  <c r="AT12" i="298"/>
  <c r="AT40" i="298" s="1"/>
  <c r="AU510" i="298"/>
  <c r="AT545" i="298"/>
  <c r="AT548" i="298" s="1"/>
  <c r="AU549" i="298" s="1"/>
  <c r="O704" i="298"/>
  <c r="S698" i="298"/>
  <c r="T510" i="298"/>
  <c r="AZ313" i="298"/>
  <c r="AE292" i="298"/>
  <c r="AE304" i="298" s="1"/>
  <c r="AF304" i="298"/>
  <c r="BC157" i="298"/>
  <c r="AT68" i="298"/>
  <c r="AT30" i="298"/>
  <c r="AD19" i="468"/>
  <c r="R684" i="298"/>
  <c r="BC517" i="298"/>
  <c r="BC522" i="298" s="1"/>
  <c r="AY316" i="298"/>
  <c r="AY318" i="298"/>
  <c r="AY317" i="298"/>
  <c r="O167" i="298"/>
  <c r="O166" i="298" s="1"/>
  <c r="AV131" i="298"/>
  <c r="AY131" i="298" s="1"/>
  <c r="AY123" i="298"/>
  <c r="AU94" i="298"/>
  <c r="T97" i="298"/>
  <c r="T94" i="298" s="1"/>
  <c r="T630" i="298"/>
  <c r="AU634" i="298"/>
  <c r="R40" i="298"/>
  <c r="AM33" i="298"/>
  <c r="BE515" i="298"/>
  <c r="AF125" i="298"/>
  <c r="AF167" i="298"/>
  <c r="AF166" i="298" s="1"/>
  <c r="H22" i="28"/>
  <c r="H23" i="28" s="1"/>
  <c r="H24" i="28" s="1"/>
  <c r="H36" i="28" s="1"/>
  <c r="H41" i="28" s="1"/>
  <c r="AK54" i="468"/>
  <c r="Y715" i="298"/>
  <c r="BC692" i="298"/>
  <c r="BC704" i="298" s="1"/>
  <c r="BB619" i="298"/>
  <c r="BE445" i="298"/>
  <c r="AP182" i="298"/>
  <c r="AY103" i="298"/>
  <c r="AT97" i="298"/>
  <c r="AT630" i="298"/>
  <c r="AT84" i="298"/>
  <c r="AT634" i="298"/>
  <c r="X33" i="298"/>
  <c r="AR39" i="298"/>
  <c r="H30" i="298"/>
  <c r="AZ314" i="298"/>
  <c r="AZ316" i="298"/>
  <c r="AZ321" i="298"/>
  <c r="AZ318" i="298"/>
  <c r="AZ315" i="298"/>
  <c r="AZ317" i="298"/>
  <c r="AZ319" i="298"/>
  <c r="BB95" i="468"/>
  <c r="BB93" i="468"/>
  <c r="BQ58" i="468"/>
  <c r="S707" i="298"/>
  <c r="S713" i="298" s="1"/>
  <c r="P684" i="298"/>
  <c r="AK530" i="298"/>
  <c r="AK532" i="298" s="1"/>
  <c r="AK534" i="298" s="1"/>
  <c r="AF308" i="298"/>
  <c r="AE296" i="298"/>
  <c r="AE308" i="298" s="1"/>
  <c r="AS97" i="298"/>
  <c r="AS94" i="298" s="1"/>
  <c r="AS630" i="298"/>
  <c r="AS18" i="298"/>
  <c r="AS79" i="298" s="1"/>
  <c r="AG242" i="1"/>
  <c r="AR56" i="468"/>
  <c r="BP58" i="468"/>
  <c r="BP59" i="468" s="1"/>
  <c r="BP60" i="468" s="1"/>
  <c r="B55" i="276"/>
  <c r="F27" i="276"/>
  <c r="T710" i="298"/>
  <c r="AV698" i="298"/>
  <c r="AU704" i="298"/>
  <c r="K704" i="298"/>
  <c r="AZ692" i="298"/>
  <c r="AZ698" i="298" s="1"/>
  <c r="AY515" i="298"/>
  <c r="T313" i="298"/>
  <c r="AU313" i="298"/>
  <c r="AU322" i="298"/>
  <c r="AS634" i="298"/>
  <c r="AS640" i="298"/>
  <c r="AN68" i="298"/>
  <c r="AR41" i="298"/>
  <c r="F30" i="298"/>
  <c r="F42" i="298" s="1"/>
  <c r="AR18" i="298"/>
  <c r="AR79" i="298" s="1"/>
  <c r="AU1083" i="1"/>
  <c r="AU1085" i="1" s="1"/>
  <c r="AU1087" i="1" s="1"/>
  <c r="AU1095" i="1" s="1"/>
  <c r="H1024" i="1"/>
  <c r="BX104" i="468"/>
  <c r="BX105" i="468" s="1"/>
  <c r="R72" i="359"/>
  <c r="P65" i="359"/>
  <c r="P72" i="359"/>
  <c r="Q713" i="298"/>
  <c r="AT698" i="298"/>
  <c r="AX704" i="298"/>
  <c r="AX716" i="298" s="1"/>
  <c r="BC414" i="298"/>
  <c r="P313" i="298"/>
  <c r="Z133" i="298"/>
  <c r="Z14" i="298" s="1"/>
  <c r="Z177" i="298" s="1"/>
  <c r="AF136" i="298"/>
  <c r="AQ35" i="298"/>
  <c r="K35" i="298"/>
  <c r="AO33" i="298"/>
  <c r="E39" i="298"/>
  <c r="L125" i="292"/>
  <c r="Z74" i="28"/>
  <c r="BK825" i="1"/>
  <c r="BL827" i="1" s="1"/>
  <c r="M710" i="298"/>
  <c r="AE619" i="298"/>
  <c r="Q320" i="298"/>
  <c r="P315" i="298"/>
  <c r="AN317" i="298"/>
  <c r="AN315" i="298"/>
  <c r="AN319" i="298"/>
  <c r="AN314" i="298"/>
  <c r="U133" i="298"/>
  <c r="BE118" i="298"/>
  <c r="BE167" i="298" s="1"/>
  <c r="BE166" i="298" s="1"/>
  <c r="BE466" i="298"/>
  <c r="BE467" i="298" s="1"/>
  <c r="F39" i="298"/>
  <c r="AF60" i="359"/>
  <c r="AF142" i="359" s="1"/>
  <c r="S363" i="298"/>
  <c r="BC365" i="298" s="1"/>
  <c r="AU329" i="298"/>
  <c r="AU341" i="298" s="1"/>
  <c r="P320" i="298"/>
  <c r="T310" i="298"/>
  <c r="AF302" i="298"/>
  <c r="AF313" i="298"/>
  <c r="AF320" i="298"/>
  <c r="AF315" i="298"/>
  <c r="AF317" i="298"/>
  <c r="AF314" i="298"/>
  <c r="AF318" i="298"/>
  <c r="X160" i="298"/>
  <c r="AB153" i="298"/>
  <c r="AU698" i="298"/>
  <c r="AD317" i="298"/>
  <c r="AD313" i="298"/>
  <c r="AD320" i="298"/>
  <c r="AD314" i="298"/>
  <c r="BB175" i="298"/>
  <c r="Q160" i="298"/>
  <c r="S146" i="298"/>
  <c r="S153" i="298" s="1"/>
  <c r="AL84" i="298"/>
  <c r="AL94" i="298" s="1"/>
  <c r="AL634" i="298"/>
  <c r="AB65" i="28"/>
  <c r="AS21" i="298"/>
  <c r="AS24" i="298" s="1"/>
  <c r="AS182" i="298"/>
  <c r="AS530" i="298"/>
  <c r="AZ84" i="298"/>
  <c r="AZ94" i="298" s="1"/>
  <c r="N34" i="298"/>
  <c r="BB30" i="298"/>
  <c r="BB42" i="298" s="1"/>
  <c r="BB35" i="298"/>
  <c r="AL182" i="298"/>
  <c r="AL530" i="298"/>
  <c r="AL532" i="298" s="1"/>
  <c r="AL534" i="298" s="1"/>
  <c r="BA107" i="468"/>
  <c r="X510" i="298"/>
  <c r="N167" i="298"/>
  <c r="N166" i="298" s="1"/>
  <c r="R176" i="298" s="1"/>
  <c r="AV510" i="298"/>
  <c r="AY510" i="298" s="1"/>
  <c r="AV545" i="298"/>
  <c r="AV548" i="298" s="1"/>
  <c r="AW549" i="298" s="1"/>
  <c r="I545" i="298"/>
  <c r="I548" i="298" s="1"/>
  <c r="I12" i="298"/>
  <c r="I640" i="298" s="1"/>
  <c r="AT1083" i="1"/>
  <c r="AT1085" i="1" s="1"/>
  <c r="AT1087" i="1" s="1"/>
  <c r="AT1095" i="1" s="1"/>
  <c r="S151" i="298"/>
  <c r="S473" i="298"/>
  <c r="W474" i="298" s="1"/>
  <c r="X519" i="298"/>
  <c r="BD515" i="298"/>
  <c r="V18" i="298"/>
  <c r="BW105" i="468"/>
  <c r="AN44" i="359"/>
  <c r="AN39" i="359"/>
  <c r="AS167" i="298"/>
  <c r="AS172" i="298" s="1"/>
  <c r="S107" i="298"/>
  <c r="AQ630" i="298"/>
  <c r="S74" i="28"/>
  <c r="AM56" i="468"/>
  <c r="AB551" i="298"/>
  <c r="AB557" i="298" s="1"/>
  <c r="AB532" i="298"/>
  <c r="AB534" i="298" s="1"/>
  <c r="AB541" i="298" s="1"/>
  <c r="N322" i="298"/>
  <c r="T320" i="298"/>
  <c r="AP97" i="298"/>
  <c r="AP94" i="298" s="1"/>
  <c r="AP630" i="298"/>
  <c r="J94" i="298"/>
  <c r="N64" i="28"/>
  <c r="N74" i="28"/>
  <c r="BE634" i="298"/>
  <c r="BE633" i="298" s="1"/>
  <c r="Q474" i="298"/>
  <c r="R320" i="298"/>
  <c r="T315" i="298"/>
  <c r="AP167" i="298"/>
  <c r="BD150" i="298"/>
  <c r="R39" i="298"/>
  <c r="X12" i="298"/>
  <c r="X41" i="298" s="1"/>
  <c r="X167" i="298"/>
  <c r="X166" i="298" s="1"/>
  <c r="X159" i="298"/>
  <c r="U60" i="359"/>
  <c r="U142" i="359" s="1"/>
  <c r="K714" i="298"/>
  <c r="K720" i="298" s="1"/>
  <c r="K627" i="298"/>
  <c r="F619" i="298"/>
  <c r="AU317" i="298"/>
  <c r="P310" i="298"/>
  <c r="Y136" i="298"/>
  <c r="BE105" i="468"/>
  <c r="S60" i="359"/>
  <c r="S142" i="359" s="1"/>
  <c r="M715" i="298"/>
  <c r="Z698" i="298"/>
  <c r="F640" i="298"/>
  <c r="AZ630" i="298"/>
  <c r="AR549" i="298"/>
  <c r="BB476" i="298"/>
  <c r="L320" i="298"/>
  <c r="AC314" i="298"/>
  <c r="AC321" i="298"/>
  <c r="AF85" i="298"/>
  <c r="AK84" i="298"/>
  <c r="AK634" i="298"/>
  <c r="AK633" i="298" s="1"/>
  <c r="AK638" i="298" s="1"/>
  <c r="T64" i="28"/>
  <c r="X20" i="28"/>
  <c r="AO315" i="298"/>
  <c r="AO320" i="298"/>
  <c r="AO319" i="298"/>
  <c r="AO310" i="298"/>
  <c r="AO321" i="298"/>
  <c r="AX1077" i="1"/>
  <c r="AX1083" i="1"/>
  <c r="AX1085" i="1" s="1"/>
  <c r="AX1087" i="1" s="1"/>
  <c r="AX1095" i="1" s="1"/>
  <c r="BW46" i="468"/>
  <c r="AT21" i="468"/>
  <c r="P60" i="359"/>
  <c r="P142" i="359" s="1"/>
  <c r="AS710" i="298"/>
  <c r="AO684" i="298"/>
  <c r="AY314" i="298"/>
  <c r="L160" i="298"/>
  <c r="AA44" i="298"/>
  <c r="AA530" i="298" s="1"/>
  <c r="AA551" i="298" s="1"/>
  <c r="AA557" i="298" s="1"/>
  <c r="AA160" i="298"/>
  <c r="AS35" i="298"/>
  <c r="AD35" i="298"/>
  <c r="T519" i="298"/>
  <c r="T181" i="298" s="1"/>
  <c r="T182" i="298" s="1"/>
  <c r="AW68" i="298"/>
  <c r="AW328" i="298"/>
  <c r="AW329" i="298" s="1"/>
  <c r="AW341" i="298" s="1"/>
  <c r="S64" i="28"/>
  <c r="W232" i="1"/>
  <c r="AE247" i="1" s="1"/>
  <c r="BB101" i="468"/>
  <c r="CB98" i="468"/>
  <c r="AO21" i="468"/>
  <c r="AR710" i="298"/>
  <c r="AT704" i="298"/>
  <c r="D684" i="298"/>
  <c r="AW630" i="298"/>
  <c r="BC438" i="298"/>
  <c r="BC439" i="298" s="1"/>
  <c r="S351" i="298"/>
  <c r="W352" i="298" s="1"/>
  <c r="AY321" i="298"/>
  <c r="BB167" i="298"/>
  <c r="BB166" i="298" s="1"/>
  <c r="S466" i="298"/>
  <c r="W467" i="298" s="1"/>
  <c r="S709" i="298"/>
  <c r="S715" i="298" s="1"/>
  <c r="L30" i="298"/>
  <c r="L64" i="28"/>
  <c r="AZ708" i="298"/>
  <c r="AZ710" i="298" s="1"/>
  <c r="L704" i="298"/>
  <c r="AN619" i="298"/>
  <c r="S510" i="298"/>
  <c r="AV467" i="298"/>
  <c r="AY467" i="298" s="1"/>
  <c r="BB322" i="298"/>
  <c r="O301" i="298"/>
  <c r="L137" i="298"/>
  <c r="P94" i="298"/>
  <c r="S39" i="298"/>
  <c r="AW125" i="298"/>
  <c r="AW133" i="298" s="1"/>
  <c r="BG61" i="468"/>
  <c r="Y60" i="359"/>
  <c r="Y142" i="359" s="1"/>
  <c r="AD715" i="298"/>
  <c r="AA713" i="298"/>
  <c r="I704" i="298"/>
  <c r="AE467" i="298"/>
  <c r="K430" i="298"/>
  <c r="K431" i="298" s="1"/>
  <c r="Z364" i="298"/>
  <c r="L167" i="298"/>
  <c r="L166" i="298" s="1"/>
  <c r="AB108" i="298"/>
  <c r="V108" i="298"/>
  <c r="M94" i="298"/>
  <c r="U35" i="298"/>
  <c r="CQ85" i="293"/>
  <c r="Y448" i="298"/>
  <c r="N94" i="298"/>
  <c r="V41" i="298"/>
  <c r="O519" i="298"/>
  <c r="CV85" i="293"/>
  <c r="AX46" i="1"/>
  <c r="AU105" i="468"/>
  <c r="AJ56" i="468"/>
  <c r="BE61" i="468"/>
  <c r="BA21" i="468"/>
  <c r="AC715" i="298"/>
  <c r="AB714" i="298"/>
  <c r="L698" i="298"/>
  <c r="AY704" i="298"/>
  <c r="AK684" i="298"/>
  <c r="Y630" i="298"/>
  <c r="M510" i="298"/>
  <c r="AB352" i="298"/>
  <c r="BD106" i="298"/>
  <c r="L94" i="298"/>
  <c r="BC73" i="298"/>
  <c r="AK68" i="298"/>
  <c r="AN24" i="298"/>
  <c r="M519" i="298"/>
  <c r="M181" i="298" s="1"/>
  <c r="M182" i="298" s="1"/>
  <c r="CT85" i="293"/>
  <c r="CP85" i="293"/>
  <c r="AI941" i="1"/>
  <c r="AI930" i="1"/>
  <c r="AA54" i="468"/>
  <c r="BC19" i="468"/>
  <c r="W19" i="468"/>
  <c r="W72" i="359"/>
  <c r="AB715" i="298"/>
  <c r="Y713" i="298"/>
  <c r="AF684" i="298"/>
  <c r="AR264" i="298"/>
  <c r="S41" i="298"/>
  <c r="BB39" i="298"/>
  <c r="S65" i="359"/>
  <c r="O619" i="298"/>
  <c r="AZ517" i="298"/>
  <c r="AZ522" i="298" s="1"/>
  <c r="BD518" i="298"/>
  <c r="BD523" i="298" s="1"/>
  <c r="W366" i="298"/>
  <c r="N160" i="298"/>
  <c r="I519" i="298"/>
  <c r="AH121" i="298"/>
  <c r="AH136" i="298" s="1"/>
  <c r="BQ93" i="468"/>
  <c r="V54" i="468"/>
  <c r="V60" i="359"/>
  <c r="V142" i="359" s="1"/>
  <c r="AZ619" i="298"/>
  <c r="BB488" i="298"/>
  <c r="Q446" i="298"/>
  <c r="I430" i="298"/>
  <c r="M321" i="298"/>
  <c r="AW167" i="298"/>
  <c r="AW166" i="298" s="1"/>
  <c r="AW171" i="298" s="1"/>
  <c r="AZ171" i="298" s="1"/>
  <c r="AF160" i="298"/>
  <c r="Y153" i="298"/>
  <c r="CM85" i="293"/>
  <c r="CJ85" i="293"/>
  <c r="AB22" i="28"/>
  <c r="AB23" i="28" s="1"/>
  <c r="AB24" i="28" s="1"/>
  <c r="AZ697" i="298"/>
  <c r="BD508" i="298"/>
  <c r="BC107" i="298"/>
  <c r="AU108" i="298"/>
  <c r="O108" i="298"/>
  <c r="BE101" i="298"/>
  <c r="E519" i="298"/>
  <c r="AO19" i="468"/>
  <c r="BR14" i="468"/>
  <c r="M72" i="359"/>
  <c r="V714" i="298"/>
  <c r="AB704" i="298"/>
  <c r="V684" i="298"/>
  <c r="BA630" i="298"/>
  <c r="T619" i="298"/>
  <c r="AD474" i="298"/>
  <c r="Z439" i="298"/>
  <c r="X412" i="298"/>
  <c r="X356" i="298" s="1"/>
  <c r="Q356" i="298"/>
  <c r="U358" i="298" s="1"/>
  <c r="BB320" i="298"/>
  <c r="AA303" i="298"/>
  <c r="AU225" i="298"/>
  <c r="BA157" i="298"/>
  <c r="AS41" i="298"/>
  <c r="R18" i="298"/>
  <c r="R79" i="298" s="1"/>
  <c r="AH19" i="468"/>
  <c r="I714" i="298"/>
  <c r="I720" i="298" s="1"/>
  <c r="U698" i="298"/>
  <c r="BB684" i="298"/>
  <c r="N684" i="298"/>
  <c r="BE314" i="298"/>
  <c r="AF307" i="298"/>
  <c r="AF305" i="298"/>
  <c r="AS108" i="298"/>
  <c r="AM108" i="298"/>
  <c r="AN39" i="298"/>
  <c r="AM19" i="468"/>
  <c r="L715" i="298"/>
  <c r="O684" i="298"/>
  <c r="R638" i="298"/>
  <c r="BF552" i="298"/>
  <c r="BE318" i="298"/>
  <c r="U185" i="298"/>
  <c r="BA122" i="298"/>
  <c r="BC84" i="298"/>
  <c r="BP109" i="468"/>
  <c r="BP110" i="468" s="1"/>
  <c r="AG19" i="468"/>
  <c r="CA16" i="468"/>
  <c r="AZ684" i="298"/>
  <c r="AR630" i="298"/>
  <c r="Q439" i="298"/>
  <c r="BB321" i="298"/>
  <c r="BB318" i="298"/>
  <c r="BB316" i="298"/>
  <c r="W302" i="298"/>
  <c r="I108" i="298"/>
  <c r="AY102" i="298"/>
  <c r="G94" i="298"/>
  <c r="BD91" i="298"/>
  <c r="AD45" i="298"/>
  <c r="AD51" i="298" s="1"/>
  <c r="AE30" i="298"/>
  <c r="BB519" i="298"/>
  <c r="BB524" i="298" s="1"/>
  <c r="V519" i="298"/>
  <c r="AA39" i="298"/>
  <c r="AX93" i="468"/>
  <c r="AF19" i="468"/>
  <c r="BY16" i="468"/>
  <c r="W137" i="359"/>
  <c r="AJ65" i="359"/>
  <c r="BB314" i="298"/>
  <c r="AC125" i="298"/>
  <c r="AC126" i="298" s="1"/>
  <c r="F94" i="298"/>
  <c r="O34" i="298"/>
  <c r="H910" i="1"/>
  <c r="BH21" i="468"/>
  <c r="BX16" i="468"/>
  <c r="AI72" i="359"/>
  <c r="BA684" i="298"/>
  <c r="AT619" i="298"/>
  <c r="I619" i="298"/>
  <c r="AF366" i="298"/>
  <c r="BB160" i="298"/>
  <c r="AB125" i="298"/>
  <c r="AB126" i="298" s="1"/>
  <c r="E94" i="298"/>
  <c r="D31" i="28"/>
  <c r="D33" i="28" s="1"/>
  <c r="J19" i="28"/>
  <c r="AT29" i="468"/>
  <c r="AP29" i="468"/>
  <c r="CB58" i="468"/>
  <c r="BA413" i="298"/>
  <c r="BB123" i="298"/>
  <c r="BA158" i="298"/>
  <c r="BA466" i="298"/>
  <c r="BB471" i="298" s="1"/>
  <c r="W122" i="298"/>
  <c r="S122" i="298"/>
  <c r="S157" i="298"/>
  <c r="S438" i="298"/>
  <c r="W439" i="298" s="1"/>
  <c r="H97" i="298"/>
  <c r="H94" i="298" s="1"/>
  <c r="H630" i="298"/>
  <c r="BF109" i="468"/>
  <c r="AU107" i="468"/>
  <c r="BQ98" i="468"/>
  <c r="BQ109" i="468" s="1"/>
  <c r="AX95" i="468"/>
  <c r="AI56" i="468"/>
  <c r="S54" i="468"/>
  <c r="A41" i="468"/>
  <c r="AQ19" i="468"/>
  <c r="AC65" i="359"/>
  <c r="AI60" i="359"/>
  <c r="AI142" i="359" s="1"/>
  <c r="AM51" i="359"/>
  <c r="I713" i="298"/>
  <c r="I719" i="298" s="1"/>
  <c r="AC710" i="298"/>
  <c r="S708" i="298"/>
  <c r="S714" i="298" s="1"/>
  <c r="S616" i="298"/>
  <c r="AC467" i="298"/>
  <c r="AC476" i="298"/>
  <c r="AD448" i="298"/>
  <c r="AD446" i="298"/>
  <c r="V446" i="298"/>
  <c r="Z446" i="298"/>
  <c r="R446" i="298"/>
  <c r="N446" i="298"/>
  <c r="BE152" i="298"/>
  <c r="BC151" i="298"/>
  <c r="BC158" i="298"/>
  <c r="BC473" i="298"/>
  <c r="BD474" i="298" s="1"/>
  <c r="BA150" i="298"/>
  <c r="AZ445" i="298"/>
  <c r="BA447" i="298" s="1"/>
  <c r="V19" i="1"/>
  <c r="V109" i="1" s="1"/>
  <c r="BB109" i="468"/>
  <c r="AS105" i="468"/>
  <c r="AT93" i="468"/>
  <c r="AG56" i="468"/>
  <c r="AP56" i="468"/>
  <c r="BU44" i="468"/>
  <c r="AR54" i="468"/>
  <c r="AJ54" i="468"/>
  <c r="AB54" i="468"/>
  <c r="T54" i="468"/>
  <c r="L54" i="468"/>
  <c r="BU14" i="468"/>
  <c r="AC137" i="359"/>
  <c r="AD72" i="359"/>
  <c r="M684" i="298"/>
  <c r="T633" i="298"/>
  <c r="T638" i="298" s="1"/>
  <c r="T639" i="298"/>
  <c r="AK619" i="298"/>
  <c r="P619" i="298"/>
  <c r="N364" i="298"/>
  <c r="N366" i="298"/>
  <c r="R364" i="298"/>
  <c r="O303" i="298"/>
  <c r="S303" i="298"/>
  <c r="AE289" i="298"/>
  <c r="AE301" i="298" s="1"/>
  <c r="AB301" i="298"/>
  <c r="W20" i="28"/>
  <c r="W31" i="28"/>
  <c r="W33" i="28" s="1"/>
  <c r="X19" i="28"/>
  <c r="W22" i="28"/>
  <c r="W23" i="28" s="1"/>
  <c r="W24" i="28" s="1"/>
  <c r="W36" i="28" s="1"/>
  <c r="W41" i="28" s="1"/>
  <c r="W19" i="28"/>
  <c r="G31" i="28"/>
  <c r="G33" i="28" s="1"/>
  <c r="G20" i="28"/>
  <c r="G22" i="28"/>
  <c r="G19" i="28"/>
  <c r="H19" i="28"/>
  <c r="BN264" i="1"/>
  <c r="BV105" i="468"/>
  <c r="AQ105" i="468"/>
  <c r="BZ104" i="468"/>
  <c r="AV95" i="468"/>
  <c r="BZ92" i="468"/>
  <c r="K54" i="468"/>
  <c r="AL19" i="468"/>
  <c r="V19" i="468"/>
  <c r="BT14" i="468"/>
  <c r="AB137" i="359"/>
  <c r="AC72" i="359"/>
  <c r="Z65" i="359"/>
  <c r="M65" i="359"/>
  <c r="BA709" i="298"/>
  <c r="Z715" i="298"/>
  <c r="J715" i="298"/>
  <c r="BB703" i="298"/>
  <c r="BB715" i="298" s="1"/>
  <c r="BB697" i="298"/>
  <c r="BA696" i="298"/>
  <c r="BB696" i="298"/>
  <c r="U684" i="298"/>
  <c r="BC634" i="298"/>
  <c r="BC633" i="298" s="1"/>
  <c r="BA619" i="298"/>
  <c r="AF619" i="298"/>
  <c r="G619" i="298"/>
  <c r="BB508" i="298"/>
  <c r="BA508" i="298"/>
  <c r="BA517" i="298"/>
  <c r="BA522" i="298" s="1"/>
  <c r="V467" i="298"/>
  <c r="R467" i="298"/>
  <c r="N467" i="298"/>
  <c r="J476" i="298"/>
  <c r="AD366" i="298"/>
  <c r="V153" i="298"/>
  <c r="Z153" i="298"/>
  <c r="AV665" i="1"/>
  <c r="AG234" i="1"/>
  <c r="BE107" i="468"/>
  <c r="BI105" i="468"/>
  <c r="AO105" i="468"/>
  <c r="BF95" i="468"/>
  <c r="AP93" i="468"/>
  <c r="BD59" i="468"/>
  <c r="AI54" i="468"/>
  <c r="I54" i="468"/>
  <c r="BR44" i="468"/>
  <c r="AG54" i="468"/>
  <c r="Z54" i="468"/>
  <c r="R54" i="468"/>
  <c r="J54" i="468"/>
  <c r="A25" i="468"/>
  <c r="BB19" i="468"/>
  <c r="AJ19" i="468"/>
  <c r="T19" i="468"/>
  <c r="BD21" i="468"/>
  <c r="AN21" i="468"/>
  <c r="AU19" i="468"/>
  <c r="AE19" i="468"/>
  <c r="O19" i="468"/>
  <c r="Y65" i="359"/>
  <c r="L65" i="359"/>
  <c r="Z60" i="359"/>
  <c r="Z142" i="359" s="1"/>
  <c r="AK51" i="359"/>
  <c r="AM44" i="359"/>
  <c r="R710" i="298"/>
  <c r="AB698" i="298"/>
  <c r="H698" i="298"/>
  <c r="AE704" i="298"/>
  <c r="BE692" i="298"/>
  <c r="BE704" i="298" s="1"/>
  <c r="AM684" i="298"/>
  <c r="L684" i="298"/>
  <c r="BC651" i="298"/>
  <c r="BC659" i="298" s="1"/>
  <c r="BE470" i="298"/>
  <c r="BE471" i="298"/>
  <c r="Z476" i="298"/>
  <c r="P413" i="298"/>
  <c r="Y1028" i="1"/>
  <c r="BM875" i="1"/>
  <c r="BC107" i="468"/>
  <c r="AN105" i="468"/>
  <c r="BE93" i="468"/>
  <c r="G54" i="468"/>
  <c r="BB61" i="468"/>
  <c r="A31" i="468"/>
  <c r="AZ19" i="468"/>
  <c r="BC21" i="468"/>
  <c r="AM21" i="468"/>
  <c r="AI21" i="468"/>
  <c r="AI137" i="359"/>
  <c r="M137" i="359"/>
  <c r="Z72" i="359"/>
  <c r="AI65" i="359"/>
  <c r="W65" i="359"/>
  <c r="X72" i="359"/>
  <c r="AF715" i="298"/>
  <c r="P715" i="298"/>
  <c r="AE714" i="298"/>
  <c r="O714" i="298"/>
  <c r="AD713" i="298"/>
  <c r="N713" i="298"/>
  <c r="AF704" i="298"/>
  <c r="W713" i="298"/>
  <c r="AP704" i="298"/>
  <c r="AP716" i="298" s="1"/>
  <c r="V704" i="298"/>
  <c r="V698" i="298"/>
  <c r="AZ702" i="298"/>
  <c r="J684" i="298"/>
  <c r="R872" i="1"/>
  <c r="AF796" i="1"/>
  <c r="I283" i="1"/>
  <c r="W38" i="1"/>
  <c r="AL107" i="468"/>
  <c r="BG109" i="468"/>
  <c r="Y54" i="468"/>
  <c r="AL21" i="468"/>
  <c r="BI19" i="468"/>
  <c r="AS19" i="468"/>
  <c r="AK19" i="468"/>
  <c r="AC19" i="468"/>
  <c r="U19" i="468"/>
  <c r="M19" i="468"/>
  <c r="AH137" i="359"/>
  <c r="L137" i="359"/>
  <c r="V72" i="359"/>
  <c r="AH65" i="359"/>
  <c r="U65" i="359"/>
  <c r="W60" i="359"/>
  <c r="W142" i="359" s="1"/>
  <c r="AK44" i="359"/>
  <c r="AE715" i="298"/>
  <c r="BB702" i="298"/>
  <c r="BB714" i="298" s="1"/>
  <c r="J714" i="298"/>
  <c r="J720" i="298" s="1"/>
  <c r="AL684" i="298"/>
  <c r="R639" i="298"/>
  <c r="AD551" i="298"/>
  <c r="AD557" i="298" s="1"/>
  <c r="U413" i="298"/>
  <c r="Y412" i="298"/>
  <c r="AC412" i="298" s="1"/>
  <c r="AC356" i="298" s="1"/>
  <c r="X1329" i="1"/>
  <c r="BK1327" i="1"/>
  <c r="AG525" i="1"/>
  <c r="AC105" i="468"/>
  <c r="BT93" i="468"/>
  <c r="AY93" i="468"/>
  <c r="BE59" i="468"/>
  <c r="BF61" i="468"/>
  <c r="AK56" i="468"/>
  <c r="BI21" i="468"/>
  <c r="AG21" i="468"/>
  <c r="S72" i="359"/>
  <c r="AD60" i="359"/>
  <c r="AD142" i="359" s="1"/>
  <c r="V65" i="359"/>
  <c r="R60" i="359"/>
  <c r="R142" i="359" s="1"/>
  <c r="AC714" i="298"/>
  <c r="M714" i="298"/>
  <c r="AB713" i="298"/>
  <c r="L713" i="298"/>
  <c r="AA715" i="298"/>
  <c r="BA702" i="298"/>
  <c r="AO704" i="298"/>
  <c r="AO716" i="298" s="1"/>
  <c r="AN698" i="298"/>
  <c r="T704" i="298"/>
  <c r="T698" i="298"/>
  <c r="AB684" i="298"/>
  <c r="BE670" i="298"/>
  <c r="S670" i="298"/>
  <c r="S677" i="298" s="1"/>
  <c r="V633" i="298"/>
  <c r="V638" i="298" s="1"/>
  <c r="D633" i="298"/>
  <c r="D638" i="298" s="1"/>
  <c r="D639" i="298"/>
  <c r="BE604" i="298"/>
  <c r="BD517" i="298"/>
  <c r="BD522" i="298" s="1"/>
  <c r="P549" i="298"/>
  <c r="N476" i="298"/>
  <c r="N474" i="298"/>
  <c r="L446" i="298"/>
  <c r="H448" i="298"/>
  <c r="O352" i="298"/>
  <c r="O356" i="298"/>
  <c r="S358" i="298" s="1"/>
  <c r="AK21" i="298"/>
  <c r="AK24" i="298" s="1"/>
  <c r="AK182" i="298"/>
  <c r="Z185" i="298"/>
  <c r="AW34" i="298"/>
  <c r="AZ34" i="298" s="1"/>
  <c r="M34" i="298"/>
  <c r="M40" i="298"/>
  <c r="Q34" i="298"/>
  <c r="I34" i="298"/>
  <c r="E40" i="298"/>
  <c r="AD125" i="298"/>
  <c r="AD126" i="298"/>
  <c r="Z12" i="298"/>
  <c r="Z46" i="298" s="1"/>
  <c r="Z167" i="298"/>
  <c r="N41" i="298"/>
  <c r="N40" i="298"/>
  <c r="N18" i="298"/>
  <c r="N79" i="298" s="1"/>
  <c r="E26" i="51"/>
  <c r="E34" i="51" s="1"/>
  <c r="G26" i="51"/>
  <c r="G34" i="51" s="1"/>
  <c r="H34" i="51" s="1"/>
  <c r="I34" i="51" s="1"/>
  <c r="AA698" i="298"/>
  <c r="K698" i="298"/>
  <c r="BC683" i="298"/>
  <c r="AW684" i="298"/>
  <c r="AC684" i="298"/>
  <c r="S651" i="298"/>
  <c r="S659" i="298" s="1"/>
  <c r="AV619" i="298"/>
  <c r="AB619" i="298"/>
  <c r="AQ619" i="298"/>
  <c r="N619" i="298"/>
  <c r="BE518" i="298"/>
  <c r="BE523" i="298" s="1"/>
  <c r="AW439" i="298"/>
  <c r="AZ439" i="298" s="1"/>
  <c r="AY438" i="298" s="1"/>
  <c r="AW448" i="298"/>
  <c r="T356" i="298"/>
  <c r="T352" i="298"/>
  <c r="L352" i="298"/>
  <c r="L356" i="298"/>
  <c r="BC322" i="298"/>
  <c r="BC315" i="298"/>
  <c r="BC316" i="298"/>
  <c r="BC310" i="298"/>
  <c r="BC318" i="298"/>
  <c r="BC320" i="298"/>
  <c r="BC314" i="298"/>
  <c r="AS313" i="298"/>
  <c r="AS317" i="298"/>
  <c r="AS322" i="298"/>
  <c r="AS321" i="298"/>
  <c r="AS316" i="298"/>
  <c r="AS315" i="298"/>
  <c r="AS318" i="298"/>
  <c r="AS319" i="298"/>
  <c r="AC319" i="298"/>
  <c r="AC320" i="298"/>
  <c r="AC322" i="298"/>
  <c r="AC317" i="298"/>
  <c r="AC313" i="298"/>
  <c r="AC316" i="298"/>
  <c r="Q317" i="298"/>
  <c r="Q314" i="298"/>
  <c r="Q310" i="298"/>
  <c r="Q318" i="298"/>
  <c r="Q315" i="298"/>
  <c r="AE297" i="298"/>
  <c r="AE309" i="298" s="1"/>
  <c r="AB309" i="298"/>
  <c r="T125" i="298"/>
  <c r="T126" i="298" s="1"/>
  <c r="X125" i="298"/>
  <c r="X126" i="298" s="1"/>
  <c r="T159" i="298"/>
  <c r="T167" i="298"/>
  <c r="T166" i="298" s="1"/>
  <c r="O125" i="298"/>
  <c r="O126" i="298" s="1"/>
  <c r="K159" i="298"/>
  <c r="BE121" i="298"/>
  <c r="BD118" i="298"/>
  <c r="AC74" i="28"/>
  <c r="AC64" i="28"/>
  <c r="AC65" i="28" s="1"/>
  <c r="U74" i="28"/>
  <c r="M74" i="28"/>
  <c r="M64" i="28"/>
  <c r="E74" i="28"/>
  <c r="K684" i="298"/>
  <c r="R619" i="298"/>
  <c r="J619" i="298"/>
  <c r="BE616" i="298"/>
  <c r="AY619" i="298"/>
  <c r="AP619" i="298"/>
  <c r="AD619" i="298"/>
  <c r="V619" i="298"/>
  <c r="M619" i="298"/>
  <c r="E619" i="298"/>
  <c r="BC604" i="298"/>
  <c r="BE595" i="298"/>
  <c r="O549" i="298"/>
  <c r="K549" i="298"/>
  <c r="N510" i="298"/>
  <c r="BE509" i="298"/>
  <c r="T448" i="298"/>
  <c r="L448" i="298"/>
  <c r="P352" i="298"/>
  <c r="AS264" i="298"/>
  <c r="AT251" i="298"/>
  <c r="X185" i="298"/>
  <c r="T185" i="298"/>
  <c r="BC180" i="298"/>
  <c r="BC190" i="298" s="1"/>
  <c r="BA180" i="298"/>
  <c r="BA190" i="298" s="1"/>
  <c r="Z160" i="298"/>
  <c r="AC138" i="298"/>
  <c r="AH123" i="298"/>
  <c r="AG138" i="298"/>
  <c r="X33" i="28"/>
  <c r="X59" i="28"/>
  <c r="O715" i="298"/>
  <c r="AD714" i="298"/>
  <c r="N714" i="298"/>
  <c r="AC713" i="298"/>
  <c r="U710" i="298"/>
  <c r="M713" i="298"/>
  <c r="V715" i="298"/>
  <c r="Y698" i="298"/>
  <c r="Q704" i="298"/>
  <c r="I698" i="298"/>
  <c r="BC703" i="298"/>
  <c r="BA701" i="298"/>
  <c r="AQ684" i="298"/>
  <c r="G684" i="298"/>
  <c r="AU684" i="298"/>
  <c r="N639" i="298"/>
  <c r="U619" i="298"/>
  <c r="D619" i="298"/>
  <c r="N545" i="298"/>
  <c r="N548" i="298" s="1"/>
  <c r="N549" i="298" s="1"/>
  <c r="BD509" i="298"/>
  <c r="W476" i="298"/>
  <c r="AA467" i="298"/>
  <c r="S446" i="298"/>
  <c r="AU439" i="298"/>
  <c r="AU448" i="298"/>
  <c r="AV364" i="298"/>
  <c r="AY364" i="298" s="1"/>
  <c r="AV366" i="298"/>
  <c r="V413" i="298"/>
  <c r="R356" i="298"/>
  <c r="V358" i="298" s="1"/>
  <c r="R413" i="298"/>
  <c r="AS320" i="298"/>
  <c r="Q319" i="298"/>
  <c r="BC317" i="298"/>
  <c r="BA319" i="298"/>
  <c r="BA310" i="298"/>
  <c r="BB310" i="298"/>
  <c r="BA314" i="298"/>
  <c r="BA317" i="298"/>
  <c r="BA322" i="298"/>
  <c r="AQ318" i="298"/>
  <c r="AQ313" i="298"/>
  <c r="AQ316" i="298"/>
  <c r="AQ315" i="298"/>
  <c r="AQ319" i="298"/>
  <c r="AQ332" i="298"/>
  <c r="AQ334" i="298" s="1"/>
  <c r="AQ317" i="298"/>
  <c r="AQ322" i="298"/>
  <c r="Y314" i="298"/>
  <c r="Y322" i="298"/>
  <c r="N317" i="298"/>
  <c r="N319" i="298"/>
  <c r="N320" i="298"/>
  <c r="N318" i="298"/>
  <c r="N314" i="298"/>
  <c r="S308" i="298"/>
  <c r="S412" i="298"/>
  <c r="BB412" i="298" s="1"/>
  <c r="O305" i="298"/>
  <c r="S305" i="298"/>
  <c r="S158" i="298"/>
  <c r="AO34" i="298"/>
  <c r="BC616" i="298"/>
  <c r="BF556" i="298"/>
  <c r="BD487" i="298"/>
  <c r="BD488" i="298" s="1"/>
  <c r="AE487" i="298"/>
  <c r="BE487" i="298" s="1"/>
  <c r="X474" i="298"/>
  <c r="BE475" i="298"/>
  <c r="X476" i="298"/>
  <c r="P476" i="298"/>
  <c r="M467" i="298"/>
  <c r="M476" i="298"/>
  <c r="AN332" i="298"/>
  <c r="AN334" i="298" s="1"/>
  <c r="AN338" i="298" s="1"/>
  <c r="AN329" i="298"/>
  <c r="AN341" i="298" s="1"/>
  <c r="BC313" i="298"/>
  <c r="R185" i="298"/>
  <c r="BC488" i="298"/>
  <c r="AE474" i="298"/>
  <c r="O474" i="298"/>
  <c r="W448" i="298"/>
  <c r="AE439" i="298"/>
  <c r="O439" i="298"/>
  <c r="BA433" i="298"/>
  <c r="BA434" i="298" s="1"/>
  <c r="BA394" i="298"/>
  <c r="AE366" i="298"/>
  <c r="O366" i="298"/>
  <c r="U315" i="298"/>
  <c r="W308" i="298"/>
  <c r="W305" i="298"/>
  <c r="AC185" i="298"/>
  <c r="Q185" i="298"/>
  <c r="BD175" i="298"/>
  <c r="AW131" i="298"/>
  <c r="AZ131" i="298" s="1"/>
  <c r="AW138" i="298"/>
  <c r="X137" i="298"/>
  <c r="AB137" i="298"/>
  <c r="AP35" i="298"/>
  <c r="AO41" i="298"/>
  <c r="E41" i="298"/>
  <c r="I35" i="298"/>
  <c r="AQ68" i="298"/>
  <c r="AQ18" i="298"/>
  <c r="BA491" i="298"/>
  <c r="AW467" i="298"/>
  <c r="AZ467" i="298" s="1"/>
  <c r="W446" i="298"/>
  <c r="AC446" i="298"/>
  <c r="BA428" i="298"/>
  <c r="AC366" i="298"/>
  <c r="M356" i="298"/>
  <c r="Q358" i="298" s="1"/>
  <c r="AB304" i="298"/>
  <c r="AP310" i="298"/>
  <c r="O308" i="298"/>
  <c r="AA307" i="298"/>
  <c r="K298" i="298"/>
  <c r="K317" i="298" s="1"/>
  <c r="AA302" i="298"/>
  <c r="BE170" i="298"/>
  <c r="BD156" i="298"/>
  <c r="AS30" i="298"/>
  <c r="AS39" i="298"/>
  <c r="AS33" i="298"/>
  <c r="AK39" i="298"/>
  <c r="AL33" i="298"/>
  <c r="Q33" i="298"/>
  <c r="Q30" i="298"/>
  <c r="I30" i="298"/>
  <c r="M33" i="298"/>
  <c r="AE125" i="298"/>
  <c r="AE126" i="298"/>
  <c r="E12" i="292"/>
  <c r="F12" i="292"/>
  <c r="AW474" i="298"/>
  <c r="AZ474" i="298" s="1"/>
  <c r="AY473" i="298" s="1"/>
  <c r="AW446" i="298"/>
  <c r="AZ446" i="298" s="1"/>
  <c r="AB448" i="298"/>
  <c r="BB439" i="298"/>
  <c r="AF439" i="298"/>
  <c r="P439" i="298"/>
  <c r="L439" i="298"/>
  <c r="AW364" i="298"/>
  <c r="AZ364" i="298" s="1"/>
  <c r="AB364" i="298"/>
  <c r="L364" i="298"/>
  <c r="AN322" i="298"/>
  <c r="U322" i="298"/>
  <c r="AN320" i="298"/>
  <c r="U316" i="298"/>
  <c r="U314" i="298"/>
  <c r="U310" i="298"/>
  <c r="S298" i="298"/>
  <c r="S316" i="298" s="1"/>
  <c r="AU264" i="298"/>
  <c r="BD170" i="298"/>
  <c r="AF153" i="298"/>
  <c r="T160" i="298"/>
  <c r="AC69" i="298"/>
  <c r="AC74" i="298" s="1"/>
  <c r="U41" i="298"/>
  <c r="AW12" i="298"/>
  <c r="AW519" i="298"/>
  <c r="AP13" i="298"/>
  <c r="AP40" i="298"/>
  <c r="AP39" i="298"/>
  <c r="E18" i="298"/>
  <c r="E79" i="298" s="1"/>
  <c r="D12" i="292"/>
  <c r="H80" i="51"/>
  <c r="U20" i="28"/>
  <c r="U31" i="28"/>
  <c r="U19" i="28"/>
  <c r="E31" i="28"/>
  <c r="E59" i="28" s="1"/>
  <c r="E20" i="28"/>
  <c r="E22" i="28"/>
  <c r="E23" i="28" s="1"/>
  <c r="E24" i="28" s="1"/>
  <c r="AZ118" i="298"/>
  <c r="AZ167" i="298" s="1"/>
  <c r="BC59" i="298"/>
  <c r="BC85" i="298" s="1"/>
  <c r="W85" i="298"/>
  <c r="AB46" i="298"/>
  <c r="AB69" i="298"/>
  <c r="AB60" i="298"/>
  <c r="AB61" i="298" s="1"/>
  <c r="AB86" i="298" s="1"/>
  <c r="AQ33" i="298"/>
  <c r="AR33" i="298"/>
  <c r="AA33" i="298"/>
  <c r="O30" i="298"/>
  <c r="S33" i="298"/>
  <c r="G30" i="298"/>
  <c r="K33" i="298"/>
  <c r="D41" i="298"/>
  <c r="D39" i="298"/>
  <c r="Z474" i="298"/>
  <c r="Q467" i="298"/>
  <c r="Z448" i="298"/>
  <c r="J448" i="298"/>
  <c r="AA439" i="298"/>
  <c r="AD439" i="298"/>
  <c r="V448" i="298"/>
  <c r="N439" i="298"/>
  <c r="AU240" i="298"/>
  <c r="AB160" i="298"/>
  <c r="R153" i="298"/>
  <c r="Q108" i="298"/>
  <c r="Z94" i="298"/>
  <c r="D40" i="298"/>
  <c r="AQ34" i="298"/>
  <c r="AR34" i="298"/>
  <c r="AQ40" i="298"/>
  <c r="W30" i="298"/>
  <c r="W34" i="298"/>
  <c r="AA34" i="298"/>
  <c r="AP18" i="298"/>
  <c r="AP79" i="298" s="1"/>
  <c r="AB40" i="298"/>
  <c r="AB18" i="298"/>
  <c r="AB79" i="298" s="1"/>
  <c r="W64" i="28"/>
  <c r="X65" i="28" s="1"/>
  <c r="W74" i="28"/>
  <c r="BD448" i="298"/>
  <c r="N430" i="298"/>
  <c r="N431" i="298" s="1"/>
  <c r="AU352" i="298"/>
  <c r="R352" i="298"/>
  <c r="BD310" i="298"/>
  <c r="W304" i="298"/>
  <c r="AT264" i="298"/>
  <c r="AS225" i="298"/>
  <c r="Q153" i="298"/>
  <c r="Z69" i="298"/>
  <c r="Z74" i="298" s="1"/>
  <c r="Z83" i="298" s="1"/>
  <c r="AN41" i="298"/>
  <c r="S35" i="298"/>
  <c r="AO13" i="298"/>
  <c r="AW153" i="298"/>
  <c r="AZ153" i="298" s="1"/>
  <c r="BA146" i="298"/>
  <c r="BB153" i="298" s="1"/>
  <c r="Z138" i="298"/>
  <c r="R125" i="298"/>
  <c r="R126" i="298" s="1"/>
  <c r="AR108" i="298"/>
  <c r="BE106" i="298"/>
  <c r="H108" i="298"/>
  <c r="BD102" i="298"/>
  <c r="BD101" i="298"/>
  <c r="I94" i="298"/>
  <c r="AP41" i="298"/>
  <c r="AP34" i="298"/>
  <c r="V34" i="298"/>
  <c r="AR30" i="298"/>
  <c r="BD27" i="298"/>
  <c r="BC17" i="298"/>
  <c r="D18" i="298"/>
  <c r="D79" i="298" s="1"/>
  <c r="AV519" i="298"/>
  <c r="AV153" i="298"/>
  <c r="AY153" i="298" s="1"/>
  <c r="K160" i="298"/>
  <c r="BE107" i="298"/>
  <c r="Z108" i="298"/>
  <c r="BE103" i="298"/>
  <c r="AA94" i="298"/>
  <c r="BE63" i="298"/>
  <c r="AN35" i="298"/>
  <c r="L34" i="298"/>
  <c r="D519" i="298"/>
  <c r="AU125" i="298"/>
  <c r="BN127" i="298"/>
  <c r="BN134" i="298" s="1"/>
  <c r="CO85" i="293"/>
  <c r="BY85" i="293"/>
  <c r="E7" i="51"/>
  <c r="AB19" i="28"/>
  <c r="N153" i="298"/>
  <c r="AB136" i="298"/>
  <c r="AO108" i="298"/>
  <c r="U108" i="298"/>
  <c r="BE102" i="298"/>
  <c r="BD98" i="298"/>
  <c r="AG157" i="298"/>
  <c r="AH157" i="298" s="1"/>
  <c r="AI157" i="298" s="1"/>
  <c r="BC34" i="298"/>
  <c r="AM34" i="298"/>
  <c r="AA40" i="298"/>
  <c r="AO30" i="298"/>
  <c r="AO42" i="298" s="1"/>
  <c r="M39" i="298"/>
  <c r="AC12" i="298"/>
  <c r="AC638" i="298" s="1"/>
  <c r="CU85" i="293"/>
  <c r="G49" i="292"/>
  <c r="G67" i="292" s="1"/>
  <c r="AA19" i="28"/>
  <c r="K19" i="28"/>
  <c r="X138" i="298"/>
  <c r="X136" i="298"/>
  <c r="AQ94" i="298"/>
  <c r="AB39" i="298"/>
  <c r="CH85" i="293"/>
  <c r="E62" i="292"/>
  <c r="V74" i="28"/>
  <c r="BD151" i="298"/>
  <c r="BA108" i="298"/>
  <c r="AQ108" i="298"/>
  <c r="AE108" i="298"/>
  <c r="W108" i="298"/>
  <c r="K108" i="298"/>
  <c r="AY101" i="298"/>
  <c r="Y34" i="298"/>
  <c r="AE33" i="298"/>
  <c r="O33" i="298"/>
  <c r="N519" i="298"/>
  <c r="N21" i="298" s="1"/>
  <c r="CD85" i="293"/>
  <c r="AD74" i="28"/>
  <c r="F33" i="28"/>
  <c r="BE98" i="298"/>
  <c r="AY98" i="298"/>
  <c r="D94" i="298"/>
  <c r="BC68" i="298"/>
  <c r="BD63" i="298"/>
  <c r="Z60" i="298"/>
  <c r="Z61" i="298" s="1"/>
  <c r="Z86" i="298" s="1"/>
  <c r="AT33" i="298"/>
  <c r="Z30" i="298"/>
  <c r="J30" i="298"/>
  <c r="AQ13" i="298"/>
  <c r="G17" i="292"/>
  <c r="G27" i="292" s="1"/>
  <c r="C17" i="292"/>
  <c r="CR83" i="293"/>
  <c r="H49" i="292" s="1"/>
  <c r="H67" i="292" s="1"/>
  <c r="CK85" i="293"/>
  <c r="D49" i="292"/>
  <c r="D67" i="292" s="1"/>
  <c r="C62" i="292"/>
  <c r="J109" i="292"/>
  <c r="I109" i="292"/>
  <c r="Q887" i="1"/>
  <c r="BJ1320" i="1"/>
  <c r="AJ889" i="1"/>
  <c r="AG868" i="1"/>
  <c r="C39" i="525" s="1"/>
  <c r="BL876" i="1"/>
  <c r="BV153" i="1"/>
  <c r="AE1223" i="1"/>
  <c r="BM1223" i="1" s="1"/>
  <c r="AG1194" i="1"/>
  <c r="X646" i="1"/>
  <c r="AE1194" i="1"/>
  <c r="AI314" i="1"/>
  <c r="AD1194" i="1"/>
  <c r="O618" i="1"/>
  <c r="I1194" i="1"/>
  <c r="AH514" i="1"/>
  <c r="D8" i="525" s="1"/>
  <c r="AS1083" i="1"/>
  <c r="AS1085" i="1" s="1"/>
  <c r="AS1087" i="1" s="1"/>
  <c r="AS1095" i="1" s="1"/>
  <c r="BN1062" i="1"/>
  <c r="AG488" i="1"/>
  <c r="Q1391" i="1"/>
  <c r="BI1062" i="1"/>
  <c r="H1028" i="1"/>
  <c r="AE941" i="1"/>
  <c r="BM874" i="1"/>
  <c r="BH617" i="1"/>
  <c r="BI618" i="1" s="1"/>
  <c r="BE1072" i="1"/>
  <c r="BE22" i="1" s="1"/>
  <c r="BE26" i="1" s="1"/>
  <c r="BE1023" i="1"/>
  <c r="M1339" i="1"/>
  <c r="AH1021" i="1"/>
  <c r="AZ80" i="1"/>
  <c r="AA1008" i="1"/>
  <c r="V489" i="1"/>
  <c r="T911" i="1"/>
  <c r="W620" i="1"/>
  <c r="AH890" i="1"/>
  <c r="J1072" i="1"/>
  <c r="AG440" i="1"/>
  <c r="BC266" i="1"/>
  <c r="H1323" i="1"/>
  <c r="BB38" i="1"/>
  <c r="J71" i="51"/>
  <c r="AZ38" i="1"/>
  <c r="AV1034" i="1"/>
  <c r="AV1035" i="1" s="1"/>
  <c r="AV1047" i="1" s="1"/>
  <c r="AH620" i="1"/>
  <c r="H1338" i="1"/>
  <c r="H1344" i="1" s="1"/>
  <c r="BN134" i="1"/>
  <c r="H1194" i="1"/>
  <c r="I38" i="1"/>
  <c r="X888" i="1"/>
  <c r="S314" i="1"/>
  <c r="AD30" i="468"/>
  <c r="AA30" i="468"/>
  <c r="M38" i="1"/>
  <c r="V1098" i="1"/>
  <c r="V1101" i="1" s="1"/>
  <c r="V1102" i="1" s="1"/>
  <c r="X1028" i="1"/>
  <c r="AB868" i="1"/>
  <c r="U1063" i="1"/>
  <c r="BJ1026" i="1"/>
  <c r="O292" i="1"/>
  <c r="O291" i="1" s="1"/>
  <c r="BH1332" i="1"/>
  <c r="BM1061" i="1"/>
  <c r="X1024" i="1"/>
  <c r="AG890" i="1"/>
  <c r="BH238" i="1"/>
  <c r="P826" i="1"/>
  <c r="AA1339" i="1"/>
  <c r="BH1061" i="1"/>
  <c r="AG1023" i="1"/>
  <c r="BH418" i="1"/>
  <c r="BH423" i="1" s="1"/>
  <c r="BG1020" i="1"/>
  <c r="I1021" i="1"/>
  <c r="X1020" i="1"/>
  <c r="AB282" i="1"/>
  <c r="I1019" i="1"/>
  <c r="V44" i="1"/>
  <c r="P829" i="1"/>
  <c r="AH1339" i="1"/>
  <c r="AL1345" i="1" s="1"/>
  <c r="BL873" i="1"/>
  <c r="AG438" i="1"/>
  <c r="AG439" i="1" s="1"/>
  <c r="AG269" i="1" s="1"/>
  <c r="AJ1391" i="1"/>
  <c r="AI1183" i="1"/>
  <c r="Q292" i="1"/>
  <c r="U299" i="1" s="1"/>
  <c r="BJ1028" i="1"/>
  <c r="N292" i="1"/>
  <c r="N291" i="1" s="1"/>
  <c r="R305" i="1" s="1"/>
  <c r="AI139" i="1"/>
  <c r="AI1271" i="1" s="1"/>
  <c r="F139" i="1"/>
  <c r="F1271" i="1" s="1"/>
  <c r="R1340" i="1"/>
  <c r="Q1339" i="1"/>
  <c r="T1028" i="1"/>
  <c r="BC1013" i="1"/>
  <c r="W1007" i="1"/>
  <c r="AA944" i="1"/>
  <c r="O432" i="1"/>
  <c r="S434" i="1" s="1"/>
  <c r="S1340" i="1"/>
  <c r="I1248" i="1"/>
  <c r="AV1194" i="1"/>
  <c r="O1339" i="1"/>
  <c r="BK1027" i="1"/>
  <c r="BC620" i="1"/>
  <c r="Q525" i="1"/>
  <c r="T829" i="1"/>
  <c r="O1340" i="1"/>
  <c r="N1339" i="1"/>
  <c r="BJ1027" i="1"/>
  <c r="AC888" i="1"/>
  <c r="BE799" i="1"/>
  <c r="BH799" i="1" s="1"/>
  <c r="S657" i="1"/>
  <c r="W440" i="1"/>
  <c r="S281" i="1"/>
  <c r="BJ230" i="1"/>
  <c r="R1026" i="1"/>
  <c r="BD799" i="1"/>
  <c r="BG799" i="1" s="1"/>
  <c r="K1338" i="1"/>
  <c r="K1344" i="1" s="1"/>
  <c r="AW1077" i="1"/>
  <c r="R887" i="1"/>
  <c r="X419" i="1"/>
  <c r="AE282" i="1"/>
  <c r="M618" i="1"/>
  <c r="J1340" i="1"/>
  <c r="J1346" i="1" s="1"/>
  <c r="I1338" i="1"/>
  <c r="I1344" i="1" s="1"/>
  <c r="Q1194" i="1"/>
  <c r="BJ1023" i="1"/>
  <c r="V430" i="1"/>
  <c r="AA282" i="1"/>
  <c r="AA234" i="1"/>
  <c r="AA235" i="1" s="1"/>
  <c r="AA164" i="1" s="1"/>
  <c r="Y1248" i="1"/>
  <c r="P1194" i="1"/>
  <c r="O1015" i="1"/>
  <c r="BK138" i="1"/>
  <c r="M438" i="1"/>
  <c r="AF242" i="1"/>
  <c r="AC423" i="1"/>
  <c r="AG425" i="1" s="1"/>
  <c r="BJ1022" i="1"/>
  <c r="AE826" i="1"/>
  <c r="BI1332" i="1"/>
  <c r="BJ1021" i="1"/>
  <c r="AA1014" i="1"/>
  <c r="S1010" i="1"/>
  <c r="W872" i="1"/>
  <c r="AE618" i="1"/>
  <c r="Y438" i="1"/>
  <c r="L620" i="1"/>
  <c r="AI1339" i="1"/>
  <c r="AM1345" i="1" s="1"/>
  <c r="AW22" i="1"/>
  <c r="Z440" i="1"/>
  <c r="AA1340" i="1"/>
  <c r="U1016" i="1"/>
  <c r="BB139" i="1"/>
  <c r="BB1271" i="1" s="1"/>
  <c r="BC38" i="1"/>
  <c r="S38" i="1"/>
  <c r="M1338" i="1"/>
  <c r="BL1332" i="1"/>
  <c r="T868" i="1"/>
  <c r="T698" i="1" s="1"/>
  <c r="AE1183" i="1"/>
  <c r="W1063" i="1"/>
  <c r="T660" i="1"/>
  <c r="L1338" i="1"/>
  <c r="AW1083" i="1"/>
  <c r="AW1085" i="1" s="1"/>
  <c r="AW1087" i="1" s="1"/>
  <c r="AW1095" i="1" s="1"/>
  <c r="AA1013" i="1"/>
  <c r="Q438" i="1"/>
  <c r="BH945" i="1"/>
  <c r="S889" i="1"/>
  <c r="M872" i="1"/>
  <c r="BH280" i="1"/>
  <c r="N139" i="1"/>
  <c r="N1271" i="1" s="1"/>
  <c r="AC618" i="1"/>
  <c r="K1329" i="1"/>
  <c r="BM479" i="1"/>
  <c r="BD1098" i="1"/>
  <c r="BD1101" i="1" s="1"/>
  <c r="T826" i="1"/>
  <c r="M266" i="1"/>
  <c r="BM1068" i="1"/>
  <c r="AI1329" i="1"/>
  <c r="BN1328" i="1"/>
  <c r="BN1340" i="1" s="1"/>
  <c r="BC1098" i="1"/>
  <c r="BC1101" i="1" s="1"/>
  <c r="AZ1083" i="1"/>
  <c r="BL1061" i="1"/>
  <c r="H1019" i="1"/>
  <c r="AD888" i="1"/>
  <c r="Z526" i="1"/>
  <c r="Z292" i="1"/>
  <c r="Z291" i="1" s="1"/>
  <c r="AF247" i="1"/>
  <c r="BI71" i="1"/>
  <c r="D58" i="523" s="1"/>
  <c r="AA612" i="1"/>
  <c r="AE614" i="1" s="1"/>
  <c r="V37" i="1"/>
  <c r="I71" i="51"/>
  <c r="Z514" i="1"/>
  <c r="AD523" i="1" s="1"/>
  <c r="AH531" i="1" s="1"/>
  <c r="AI1357" i="1"/>
  <c r="BC1063" i="1"/>
  <c r="H1027" i="1"/>
  <c r="W1013" i="1"/>
  <c r="AE1008" i="1"/>
  <c r="U526" i="1"/>
  <c r="BH437" i="1"/>
  <c r="BI439" i="1" s="1"/>
  <c r="BI269" i="1" s="1"/>
  <c r="AA519" i="1"/>
  <c r="AW114" i="1"/>
  <c r="AW100" i="1" s="1"/>
  <c r="T526" i="1"/>
  <c r="BI1183" i="1"/>
  <c r="J1338" i="1"/>
  <c r="J1344" i="1" s="1"/>
  <c r="Q1098" i="1"/>
  <c r="Q1101" i="1" s="1"/>
  <c r="AF889" i="1"/>
  <c r="BI858" i="1"/>
  <c r="BE796" i="1"/>
  <c r="W128" i="1"/>
  <c r="W125" i="1" s="1"/>
  <c r="AF829" i="1"/>
  <c r="AD234" i="1"/>
  <c r="AB45" i="359"/>
  <c r="BH1183" i="1"/>
  <c r="I1340" i="1"/>
  <c r="I1346" i="1" s="1"/>
  <c r="H1339" i="1"/>
  <c r="H1345" i="1" s="1"/>
  <c r="H1026" i="1"/>
  <c r="AG658" i="1"/>
  <c r="AK666" i="1" s="1"/>
  <c r="Z1329" i="1"/>
  <c r="BM1327" i="1"/>
  <c r="BO1110" i="1"/>
  <c r="AC1025" i="1"/>
  <c r="AD889" i="1"/>
  <c r="N425" i="1"/>
  <c r="AT139" i="1"/>
  <c r="AT1271" i="1" s="1"/>
  <c r="Z911" i="1"/>
  <c r="AH1335" i="1"/>
  <c r="BC1194" i="1"/>
  <c r="BN1110" i="1"/>
  <c r="T1025" i="1"/>
  <c r="AC889" i="1"/>
  <c r="P887" i="1"/>
  <c r="Y646" i="1"/>
  <c r="BG1183" i="1"/>
  <c r="Y52" i="359"/>
  <c r="Y53" i="359" s="1"/>
  <c r="AJ1340" i="1"/>
  <c r="V1329" i="1"/>
  <c r="BI1327" i="1"/>
  <c r="AA1007" i="1"/>
  <c r="U868" i="1"/>
  <c r="X826" i="1"/>
  <c r="X12" i="1"/>
  <c r="X1297" i="1" s="1"/>
  <c r="X1303" i="1" s="1"/>
  <c r="Y57" i="359"/>
  <c r="Y138" i="359" s="1"/>
  <c r="AI1204" i="1"/>
  <c r="AH1340" i="1"/>
  <c r="AL1346" i="1" s="1"/>
  <c r="AF1340" i="1"/>
  <c r="V1063" i="1"/>
  <c r="U646" i="1"/>
  <c r="AD139" i="1"/>
  <c r="AD1271" i="1" s="1"/>
  <c r="AF139" i="1"/>
  <c r="AF1271" i="1" s="1"/>
  <c r="AH1338" i="1"/>
  <c r="AL1344" i="1" s="1"/>
  <c r="BK1247" i="1"/>
  <c r="AH62" i="28" s="1"/>
  <c r="AK62" i="28" s="1"/>
  <c r="AA1194" i="1"/>
  <c r="H1023" i="1"/>
  <c r="AE944" i="1"/>
  <c r="U658" i="1"/>
  <c r="AA314" i="1"/>
  <c r="AD282" i="1"/>
  <c r="AD620" i="1"/>
  <c r="X432" i="1"/>
  <c r="AB434" i="1" s="1"/>
  <c r="S52" i="359"/>
  <c r="S53" i="359" s="1"/>
  <c r="J1063" i="1"/>
  <c r="Z1022" i="1"/>
  <c r="T821" i="1"/>
  <c r="T831" i="1" s="1"/>
  <c r="I125" i="1"/>
  <c r="AI1391" i="1"/>
  <c r="H1022" i="1"/>
  <c r="BJ876" i="1"/>
  <c r="BN479" i="1"/>
  <c r="N508" i="1"/>
  <c r="N509" i="1" s="1"/>
  <c r="AA618" i="1"/>
  <c r="AA36" i="1"/>
  <c r="P40" i="359"/>
  <c r="P41" i="359" s="1"/>
  <c r="AW1183" i="1"/>
  <c r="AA438" i="1"/>
  <c r="U1021" i="1"/>
  <c r="AE943" i="1"/>
  <c r="BJ829" i="1"/>
  <c r="BK479" i="1"/>
  <c r="BL138" i="1"/>
  <c r="Y139" i="1"/>
  <c r="Y1271" i="1" s="1"/>
  <c r="W430" i="1"/>
  <c r="BA38" i="1"/>
  <c r="O872" i="1"/>
  <c r="P657" i="1"/>
  <c r="V620" i="1"/>
  <c r="Q19" i="1"/>
  <c r="Q109" i="1" s="1"/>
  <c r="AE796" i="1"/>
  <c r="T283" i="1"/>
  <c r="V139" i="1"/>
  <c r="V1271" i="1" s="1"/>
  <c r="BJ1204" i="1"/>
  <c r="AY38" i="1"/>
  <c r="I1323" i="1"/>
  <c r="AC829" i="1"/>
  <c r="R283" i="1"/>
  <c r="V440" i="1"/>
  <c r="P430" i="1"/>
  <c r="O904" i="1"/>
  <c r="O911" i="1" s="1"/>
  <c r="W1338" i="1"/>
  <c r="AW1248" i="1"/>
  <c r="W1014" i="1"/>
  <c r="P889" i="1"/>
  <c r="K423" i="1"/>
  <c r="O425" i="1" s="1"/>
  <c r="BA311" i="1"/>
  <c r="Q283" i="1"/>
  <c r="AF612" i="1"/>
  <c r="AJ614" i="1" s="1"/>
  <c r="V432" i="1"/>
  <c r="Z434" i="1" s="1"/>
  <c r="AT44" i="1"/>
  <c r="BA1198" i="1"/>
  <c r="BJ1335" i="1"/>
  <c r="K1063" i="1"/>
  <c r="AC1338" i="1"/>
  <c r="Z1340" i="1"/>
  <c r="BA1077" i="1"/>
  <c r="BM931" i="1"/>
  <c r="J440" i="1"/>
  <c r="AZ1077" i="1"/>
  <c r="U1340" i="1"/>
  <c r="U1339" i="1"/>
  <c r="H1248" i="1"/>
  <c r="BK1028" i="1"/>
  <c r="P1020" i="1"/>
  <c r="X520" i="1"/>
  <c r="X528" i="1" s="1"/>
  <c r="O525" i="1"/>
  <c r="Y419" i="1"/>
  <c r="AZ311" i="1"/>
  <c r="P283" i="1"/>
  <c r="BE139" i="1"/>
  <c r="BE1271" i="1" s="1"/>
  <c r="AB440" i="1"/>
  <c r="U826" i="1"/>
  <c r="AD37" i="1"/>
  <c r="N32" i="1"/>
  <c r="BN1068" i="1"/>
  <c r="T1339" i="1"/>
  <c r="H1020" i="1"/>
  <c r="N525" i="1"/>
  <c r="Y910" i="1"/>
  <c r="AI1354" i="1"/>
  <c r="AT1248" i="1"/>
  <c r="E1248" i="1"/>
  <c r="BN1061" i="1"/>
  <c r="BE1028" i="1"/>
  <c r="R890" i="1"/>
  <c r="X887" i="1"/>
  <c r="Y796" i="1"/>
  <c r="AT311" i="1"/>
  <c r="AI292" i="1"/>
  <c r="AI291" i="1" s="1"/>
  <c r="AI298" i="1" s="1"/>
  <c r="BN231" i="1"/>
  <c r="C54" i="276"/>
  <c r="C53" i="276"/>
  <c r="I64" i="51"/>
  <c r="AA57" i="359"/>
  <c r="AA138" i="359" s="1"/>
  <c r="Z52" i="359"/>
  <c r="Z53" i="359" s="1"/>
  <c r="AA99" i="468"/>
  <c r="R40" i="359"/>
  <c r="R41" i="359" s="1"/>
  <c r="H70" i="51"/>
  <c r="I63" i="51"/>
  <c r="C50" i="276"/>
  <c r="Y45" i="359"/>
  <c r="Y528" i="1"/>
  <c r="AW44" i="1"/>
  <c r="I1339" i="1"/>
  <c r="I1345" i="1" s="1"/>
  <c r="BN1317" i="1"/>
  <c r="BB1198" i="1"/>
  <c r="BB1203" i="1" s="1"/>
  <c r="BE1063" i="1"/>
  <c r="U1019" i="1"/>
  <c r="AK890" i="1"/>
  <c r="V890" i="1"/>
  <c r="AJ890" i="1"/>
  <c r="L660" i="1"/>
  <c r="Q80" i="1"/>
  <c r="Z438" i="1"/>
  <c r="C52" i="276"/>
  <c r="BL1322" i="1"/>
  <c r="AZ1198" i="1"/>
  <c r="BD1023" i="1"/>
  <c r="T890" i="1"/>
  <c r="AF821" i="1"/>
  <c r="BJ309" i="1"/>
  <c r="BJ319" i="1" s="1"/>
  <c r="M36" i="1"/>
  <c r="BK1334" i="1"/>
  <c r="BK1328" i="1"/>
  <c r="AY1198" i="1"/>
  <c r="AH1023" i="1"/>
  <c r="V1016" i="1"/>
  <c r="W1010" i="1"/>
  <c r="AE924" i="1"/>
  <c r="AE931" i="1" s="1"/>
  <c r="AE887" i="1"/>
  <c r="BK875" i="1"/>
  <c r="AE821" i="1"/>
  <c r="BJ419" i="1"/>
  <c r="AC282" i="1"/>
  <c r="Q139" i="1"/>
  <c r="Q1271" i="1" s="1"/>
  <c r="BO822" i="1"/>
  <c r="AF438" i="1"/>
  <c r="Y612" i="1"/>
  <c r="Y615" i="1" s="1"/>
  <c r="M432" i="1"/>
  <c r="M435" i="1" s="1"/>
  <c r="BG1068" i="1"/>
  <c r="AS44" i="1"/>
  <c r="BN418" i="1"/>
  <c r="AY311" i="1"/>
  <c r="AE528" i="1"/>
  <c r="BI1194" i="1"/>
  <c r="U1023" i="1"/>
  <c r="AF1008" i="1"/>
  <c r="S943" i="1"/>
  <c r="BJ875" i="1"/>
  <c r="BM873" i="1"/>
  <c r="BK617" i="1"/>
  <c r="P125" i="1"/>
  <c r="AX36" i="1"/>
  <c r="Q1063" i="1"/>
  <c r="D1358" i="1"/>
  <c r="AG1248" i="1"/>
  <c r="BA1194" i="1"/>
  <c r="U1028" i="1"/>
  <c r="N902" i="1"/>
  <c r="N905" i="1" s="1"/>
  <c r="U821" i="1"/>
  <c r="U831" i="1" s="1"/>
  <c r="BL232" i="1"/>
  <c r="V1028" i="1"/>
  <c r="R1023" i="1"/>
  <c r="BJ618" i="1"/>
  <c r="Y282" i="1"/>
  <c r="Y430" i="1"/>
  <c r="AC37" i="1"/>
  <c r="AD1354" i="1"/>
  <c r="AE1338" i="1"/>
  <c r="AY1194" i="1"/>
  <c r="AB1008" i="1"/>
  <c r="M902" i="1"/>
  <c r="M909" i="1" s="1"/>
  <c r="AB888" i="1"/>
  <c r="BB829" i="1"/>
  <c r="AY139" i="1"/>
  <c r="AY1271" i="1" s="1"/>
  <c r="BA139" i="1"/>
  <c r="BA1271" i="1" s="1"/>
  <c r="AE430" i="1"/>
  <c r="AI1338" i="1"/>
  <c r="AM1344" i="1" s="1"/>
  <c r="Y1323" i="1"/>
  <c r="R1028" i="1"/>
  <c r="BB1013" i="1"/>
  <c r="AA888" i="1"/>
  <c r="AJ292" i="1"/>
  <c r="R282" i="1"/>
  <c r="AX139" i="1"/>
  <c r="AX1271" i="1" s="1"/>
  <c r="L128" i="1"/>
  <c r="L125" i="1" s="1"/>
  <c r="S121" i="1"/>
  <c r="AJ1339" i="1"/>
  <c r="BJ1098" i="1"/>
  <c r="BJ1101" i="1" s="1"/>
  <c r="BD1022" i="1"/>
  <c r="P890" i="1"/>
  <c r="BE618" i="1"/>
  <c r="AW139" i="1"/>
  <c r="AW1271" i="1" s="1"/>
  <c r="V438" i="1"/>
  <c r="AG1338" i="1"/>
  <c r="AK1344" i="1" s="1"/>
  <c r="T1183" i="1"/>
  <c r="BE1098" i="1"/>
  <c r="BE1101" i="1" s="1"/>
  <c r="AG1022" i="1"/>
  <c r="W942" i="1"/>
  <c r="U829" i="1"/>
  <c r="AW664" i="1"/>
  <c r="AG526" i="1"/>
  <c r="AK534" i="1" s="1"/>
  <c r="AD419" i="1"/>
  <c r="AG292" i="1"/>
  <c r="AG299" i="1" s="1"/>
  <c r="BJ114" i="1"/>
  <c r="E50" i="523" s="1"/>
  <c r="BJ427" i="1"/>
  <c r="BJ432" i="1" s="1"/>
  <c r="O826" i="1"/>
  <c r="BC37" i="1"/>
  <c r="AG12" i="1"/>
  <c r="AG963" i="1" s="1"/>
  <c r="H12" i="1"/>
  <c r="H1297" i="1" s="1"/>
  <c r="H1303" i="1" s="1"/>
  <c r="Q40" i="359"/>
  <c r="Q41" i="359" s="1"/>
  <c r="AD1357" i="1"/>
  <c r="AC1339" i="1"/>
  <c r="AF1194" i="1"/>
  <c r="U1027" i="1"/>
  <c r="R1022" i="1"/>
  <c r="BD618" i="1"/>
  <c r="AI890" i="1"/>
  <c r="Y125" i="1"/>
  <c r="K612" i="1"/>
  <c r="O614" i="1" s="1"/>
  <c r="Y32" i="1"/>
  <c r="AB1357" i="1"/>
  <c r="Z1248" i="1"/>
  <c r="AD1203" i="1"/>
  <c r="BA1102" i="1"/>
  <c r="L1063" i="1"/>
  <c r="R1027" i="1"/>
  <c r="AB292" i="1"/>
  <c r="AB291" i="1" s="1"/>
  <c r="BB283" i="1"/>
  <c r="Y38" i="1"/>
  <c r="AZ37" i="1"/>
  <c r="BJ1072" i="1"/>
  <c r="BJ1077" i="1" s="1"/>
  <c r="BE299" i="1"/>
  <c r="BK114" i="1"/>
  <c r="F50" i="523" s="1"/>
  <c r="AH69" i="359"/>
  <c r="AD1353" i="1"/>
  <c r="AF872" i="1"/>
  <c r="Y1339" i="1"/>
  <c r="U1323" i="1"/>
  <c r="AB1203" i="1"/>
  <c r="Y1194" i="1"/>
  <c r="I1063" i="1"/>
  <c r="U1026" i="1"/>
  <c r="AG1021" i="1"/>
  <c r="W1008" i="1"/>
  <c r="AB889" i="1"/>
  <c r="AH796" i="1"/>
  <c r="V125" i="1"/>
  <c r="J620" i="1"/>
  <c r="AW37" i="1"/>
  <c r="AD909" i="1"/>
  <c r="AC12" i="1"/>
  <c r="AC1297" i="1" s="1"/>
  <c r="AC1303" i="1" s="1"/>
  <c r="K45" i="359"/>
  <c r="C18" i="276"/>
  <c r="BL517" i="1"/>
  <c r="AD1391" i="1"/>
  <c r="H1063" i="1"/>
  <c r="Z658" i="1"/>
  <c r="R234" i="1"/>
  <c r="R235" i="1" s="1"/>
  <c r="AG283" i="1"/>
  <c r="AC36" i="1"/>
  <c r="Y1335" i="1"/>
  <c r="O1323" i="1"/>
  <c r="U1194" i="1"/>
  <c r="O829" i="1"/>
  <c r="Z649" i="1"/>
  <c r="U283" i="1"/>
  <c r="E139" i="1"/>
  <c r="E1271" i="1" s="1"/>
  <c r="T125" i="1"/>
  <c r="AF50" i="1"/>
  <c r="AF58" i="1" s="1"/>
  <c r="AB1391" i="1"/>
  <c r="X1338" i="1"/>
  <c r="Y1340" i="1"/>
  <c r="BN1234" i="1"/>
  <c r="T1194" i="1"/>
  <c r="AI929" i="1"/>
  <c r="W657" i="1"/>
  <c r="S525" i="1"/>
  <c r="AF314" i="1"/>
  <c r="D139" i="1"/>
  <c r="D1271" i="1" s="1"/>
  <c r="J432" i="1"/>
  <c r="N434" i="1" s="1"/>
  <c r="Q1072" i="1"/>
  <c r="Q1077" i="1" s="1"/>
  <c r="AH266" i="1"/>
  <c r="R1339" i="1"/>
  <c r="BK861" i="1"/>
  <c r="J829" i="1"/>
  <c r="AD266" i="1"/>
  <c r="R1369" i="1"/>
  <c r="S1332" i="1"/>
  <c r="S1338" i="1" s="1"/>
  <c r="AJ1183" i="1"/>
  <c r="BO1183" i="1" s="1"/>
  <c r="Q1025" i="1"/>
  <c r="R1020" i="1"/>
  <c r="AU663" i="1"/>
  <c r="BH479" i="1"/>
  <c r="T266" i="1"/>
  <c r="AB139" i="1"/>
  <c r="AB1271" i="1" s="1"/>
  <c r="I432" i="1"/>
  <c r="I435" i="1" s="1"/>
  <c r="I75" i="51"/>
  <c r="I612" i="1"/>
  <c r="M614" i="1" s="1"/>
  <c r="O1194" i="1"/>
  <c r="AI440" i="1"/>
  <c r="AC139" i="1"/>
  <c r="AC1271" i="1" s="1"/>
  <c r="AD1204" i="1"/>
  <c r="AZ1035" i="1"/>
  <c r="AZ1047" i="1" s="1"/>
  <c r="Q1020" i="1"/>
  <c r="AA872" i="1"/>
  <c r="AG246" i="1"/>
  <c r="N234" i="1"/>
  <c r="N235" i="1" s="1"/>
  <c r="J128" i="1"/>
  <c r="J125" i="1" s="1"/>
  <c r="Z283" i="1"/>
  <c r="L826" i="1"/>
  <c r="BI32" i="1"/>
  <c r="L1072" i="1"/>
  <c r="L1083" i="1" s="1"/>
  <c r="L1085" i="1" s="1"/>
  <c r="AF909" i="1"/>
  <c r="N1340" i="1"/>
  <c r="Q1338" i="1"/>
  <c r="BA1248" i="1"/>
  <c r="L1248" i="1"/>
  <c r="BM1070" i="1"/>
  <c r="BM1075" i="1" s="1"/>
  <c r="V1024" i="1"/>
  <c r="AF1012" i="1"/>
  <c r="R889" i="1"/>
  <c r="Q872" i="1"/>
  <c r="BL798" i="1"/>
  <c r="P646" i="1"/>
  <c r="AG618" i="1"/>
  <c r="AG619" i="1" s="1"/>
  <c r="AG52" i="359"/>
  <c r="AG53" i="359" s="1"/>
  <c r="U1025" i="1"/>
  <c r="AB283" i="1"/>
  <c r="Q1340" i="1"/>
  <c r="AZ1248" i="1"/>
  <c r="AB1204" i="1"/>
  <c r="I1183" i="1"/>
  <c r="I1202" i="1" s="1"/>
  <c r="D1098" i="1"/>
  <c r="D1101" i="1" s="1"/>
  <c r="H1102" i="1" s="1"/>
  <c r="BL1070" i="1"/>
  <c r="BL1075" i="1" s="1"/>
  <c r="U1024" i="1"/>
  <c r="O646" i="1"/>
  <c r="AD283" i="1"/>
  <c r="AI247" i="1"/>
  <c r="AA432" i="1"/>
  <c r="AA435" i="1" s="1"/>
  <c r="AF30" i="468"/>
  <c r="AF45" i="359"/>
  <c r="L1098" i="1"/>
  <c r="L1101" i="1" s="1"/>
  <c r="L1102" i="1" s="1"/>
  <c r="U1020" i="1"/>
  <c r="V520" i="1"/>
  <c r="BK520" i="1" s="1"/>
  <c r="Y1338" i="1"/>
  <c r="L1340" i="1"/>
  <c r="P1340" i="1"/>
  <c r="M1248" i="1"/>
  <c r="BI1198" i="1"/>
  <c r="O174" i="519" s="1"/>
  <c r="AG887" i="1"/>
  <c r="BK798" i="1"/>
  <c r="O658" i="1"/>
  <c r="AE314" i="1"/>
  <c r="Z245" i="1"/>
  <c r="AC910" i="1"/>
  <c r="AF515" i="1"/>
  <c r="AS1183" i="1"/>
  <c r="BH1071" i="1"/>
  <c r="BH1076" i="1" s="1"/>
  <c r="AJ1329" i="1"/>
  <c r="AB1012" i="1"/>
  <c r="W1015" i="1"/>
  <c r="O1011" i="1"/>
  <c r="W944" i="1"/>
  <c r="W931" i="1"/>
  <c r="AF887" i="1"/>
  <c r="N660" i="1"/>
  <c r="Q44" i="1"/>
  <c r="AX45" i="1"/>
  <c r="AJ514" i="1"/>
  <c r="R12" i="1"/>
  <c r="R1297" i="1" s="1"/>
  <c r="R1303" i="1" s="1"/>
  <c r="V1309" i="1" s="1"/>
  <c r="AD52" i="359"/>
  <c r="AD53" i="359" s="1"/>
  <c r="P12" i="1"/>
  <c r="P1297" i="1" s="1"/>
  <c r="P1303" i="1" s="1"/>
  <c r="P1098" i="1"/>
  <c r="P1101" i="1" s="1"/>
  <c r="BN1321" i="1"/>
  <c r="BN1327" i="1"/>
  <c r="BN1339" i="1" s="1"/>
  <c r="BM1028" i="1"/>
  <c r="BM1024" i="1"/>
  <c r="AB10" i="468"/>
  <c r="AB45" i="468" s="1"/>
  <c r="AB51" i="468" s="1"/>
  <c r="BK645" i="1"/>
  <c r="O1098" i="1"/>
  <c r="O1101" i="1" s="1"/>
  <c r="O1063" i="1"/>
  <c r="BL1023" i="1"/>
  <c r="BL1024" i="1"/>
  <c r="BL1026" i="1"/>
  <c r="BL1019" i="1"/>
  <c r="BL1020" i="1"/>
  <c r="BL1016" i="1"/>
  <c r="Q868" i="1"/>
  <c r="Q698" i="1" s="1"/>
  <c r="Q700" i="1" s="1"/>
  <c r="Q751" i="1" s="1"/>
  <c r="Q747" i="1" s="1"/>
  <c r="Q799" i="1"/>
  <c r="U799" i="1"/>
  <c r="M128" i="1"/>
  <c r="M125" i="1" s="1"/>
  <c r="M1194" i="1"/>
  <c r="V618" i="1"/>
  <c r="R618" i="1"/>
  <c r="R620" i="1"/>
  <c r="BH264" i="1"/>
  <c r="BH825" i="1"/>
  <c r="BI826" i="1" s="1"/>
  <c r="BI128" i="1"/>
  <c r="R612" i="1"/>
  <c r="R615" i="1" s="1"/>
  <c r="W40" i="359"/>
  <c r="W41" i="359" s="1"/>
  <c r="Z57" i="359"/>
  <c r="O1012" i="1"/>
  <c r="S1012" i="1"/>
  <c r="BM1234" i="1"/>
  <c r="AE1241" i="1"/>
  <c r="BM1241" i="1" s="1"/>
  <c r="AC128" i="1"/>
  <c r="AC125" i="1" s="1"/>
  <c r="AC1194" i="1"/>
  <c r="Z128" i="1"/>
  <c r="Z125" i="1" s="1"/>
  <c r="Z1194" i="1"/>
  <c r="X438" i="1"/>
  <c r="AB438" i="1"/>
  <c r="V40" i="359"/>
  <c r="V41" i="359" s="1"/>
  <c r="V45" i="359"/>
  <c r="AD872" i="1"/>
  <c r="AH886" i="1" s="1"/>
  <c r="AH799" i="1"/>
  <c r="AD796" i="1"/>
  <c r="AD829" i="1"/>
  <c r="AD438" i="1"/>
  <c r="AH438" i="1"/>
  <c r="AD440" i="1"/>
  <c r="BL1068" i="1"/>
  <c r="AJ1058" i="1"/>
  <c r="AJ1098" i="1" s="1"/>
  <c r="AJ1101" i="1" s="1"/>
  <c r="AJ1204" i="1"/>
  <c r="BE1026" i="1"/>
  <c r="BE1024" i="1"/>
  <c r="BE1021" i="1"/>
  <c r="BE1019" i="1"/>
  <c r="BE1027" i="1"/>
  <c r="BE1020" i="1"/>
  <c r="BN132" i="1"/>
  <c r="AF38" i="1"/>
  <c r="AB904" i="1"/>
  <c r="AF911" i="1" s="1"/>
  <c r="AB46" i="1"/>
  <c r="BM31" i="1"/>
  <c r="BM904" i="1" s="1"/>
  <c r="AJ44" i="1"/>
  <c r="AI943" i="1"/>
  <c r="BH905" i="1"/>
  <c r="BH914" i="1" s="1"/>
  <c r="AA796" i="1"/>
  <c r="AA868" i="1"/>
  <c r="AA698" i="1" s="1"/>
  <c r="T10" i="468"/>
  <c r="X15" i="468" s="1"/>
  <c r="L646" i="1"/>
  <c r="AH283" i="1"/>
  <c r="AH1104" i="1"/>
  <c r="AH1111" i="1" s="1"/>
  <c r="X1063" i="1"/>
  <c r="X1098" i="1"/>
  <c r="X1101" i="1" s="1"/>
  <c r="X1102" i="1" s="1"/>
  <c r="BM1320" i="1"/>
  <c r="BE1016" i="1"/>
  <c r="X890" i="1"/>
  <c r="Z868" i="1"/>
  <c r="Z698" i="1" s="1"/>
  <c r="Z799" i="1"/>
  <c r="AY1021" i="1"/>
  <c r="AY1027" i="1"/>
  <c r="AY1022" i="1"/>
  <c r="AY1026" i="1"/>
  <c r="AY1019" i="1"/>
  <c r="AY1024" i="1"/>
  <c r="AY1020" i="1"/>
  <c r="AY1025" i="1"/>
  <c r="AY1028" i="1"/>
  <c r="AY1023" i="1"/>
  <c r="AG902" i="1"/>
  <c r="BE80" i="1"/>
  <c r="BE1034" i="1"/>
  <c r="BE1035" i="1" s="1"/>
  <c r="BK1317" i="1"/>
  <c r="AX1027" i="1"/>
  <c r="AX1022" i="1"/>
  <c r="Q646" i="1"/>
  <c r="BD80" i="1"/>
  <c r="BD1034" i="1"/>
  <c r="BD1035" i="1" s="1"/>
  <c r="AG139" i="1"/>
  <c r="AG1271" i="1" s="1"/>
  <c r="I903" i="1"/>
  <c r="I910" i="1" s="1"/>
  <c r="I32" i="1"/>
  <c r="AI826" i="1"/>
  <c r="AI821" i="1"/>
  <c r="M419" i="1"/>
  <c r="M423" i="1"/>
  <c r="Q425" i="1" s="1"/>
  <c r="BB128" i="1"/>
  <c r="BB1194" i="1"/>
  <c r="U904" i="1"/>
  <c r="Y911" i="1" s="1"/>
  <c r="U38" i="1"/>
  <c r="D1357" i="1"/>
  <c r="D1391" i="1"/>
  <c r="D1354" i="1"/>
  <c r="D1363" i="1" s="1"/>
  <c r="D1353" i="1"/>
  <c r="D1362" i="1" s="1"/>
  <c r="D1356" i="1"/>
  <c r="P1063" i="1"/>
  <c r="AB81" i="1"/>
  <c r="AB89" i="1" s="1"/>
  <c r="AB104" i="1" s="1"/>
  <c r="AB106" i="1" s="1"/>
  <c r="AB1083" i="1"/>
  <c r="K646" i="1"/>
  <c r="O649" i="1"/>
  <c r="Y314" i="1"/>
  <c r="AX114" i="1"/>
  <c r="AX100" i="1" s="1"/>
  <c r="AX1198" i="1"/>
  <c r="AJ45" i="1"/>
  <c r="AJ903" i="1"/>
  <c r="AN910" i="1" s="1"/>
  <c r="AX22" i="1"/>
  <c r="AX26" i="1" s="1"/>
  <c r="AX311" i="1"/>
  <c r="AC49" i="1"/>
  <c r="AC283" i="1"/>
  <c r="AC266" i="1"/>
  <c r="K282" i="1"/>
  <c r="O234" i="1"/>
  <c r="O235" i="1" s="1"/>
  <c r="BM138" i="1"/>
  <c r="P1072" i="1"/>
  <c r="P1077" i="1" s="1"/>
  <c r="P911" i="1"/>
  <c r="BK36" i="1"/>
  <c r="BK902" i="1"/>
  <c r="BK909" i="1" s="1"/>
  <c r="X902" i="1"/>
  <c r="X909" i="1" s="1"/>
  <c r="BE1025" i="1"/>
  <c r="H283" i="1"/>
  <c r="N618" i="1"/>
  <c r="N620" i="1"/>
  <c r="BI910" i="1"/>
  <c r="J909" i="1"/>
  <c r="L440" i="1"/>
  <c r="AD618" i="1"/>
  <c r="Z620" i="1"/>
  <c r="Z618" i="1"/>
  <c r="L438" i="1"/>
  <c r="H443" i="1"/>
  <c r="L7" i="267"/>
  <c r="L9" i="313" s="1"/>
  <c r="V45" i="1"/>
  <c r="V1391" i="1"/>
  <c r="P419" i="1"/>
  <c r="J1028" i="1"/>
  <c r="J1027" i="1"/>
  <c r="J1024" i="1"/>
  <c r="J1025" i="1"/>
  <c r="J1022" i="1"/>
  <c r="J1020" i="1"/>
  <c r="J1023" i="1"/>
  <c r="J1021" i="1"/>
  <c r="J1026" i="1"/>
  <c r="U1335" i="1"/>
  <c r="U1338" i="1"/>
  <c r="N826" i="1"/>
  <c r="R826" i="1"/>
  <c r="W45" i="359"/>
  <c r="M526" i="1"/>
  <c r="Q526" i="1"/>
  <c r="BK1333" i="1"/>
  <c r="AG1183" i="1"/>
  <c r="BI1333" i="1"/>
  <c r="S1063" i="1"/>
  <c r="S1098" i="1"/>
  <c r="S1101" i="1" s="1"/>
  <c r="W1102" i="1" s="1"/>
  <c r="H829" i="1"/>
  <c r="S233" i="1"/>
  <c r="W233" i="1"/>
  <c r="Y821" i="1"/>
  <c r="Y826" i="1"/>
  <c r="AI246" i="1"/>
  <c r="AE21" i="28"/>
  <c r="AE22" i="28" s="1"/>
  <c r="BH71" i="1"/>
  <c r="C58" i="523" s="1"/>
  <c r="K283" i="1"/>
  <c r="AU114" i="1"/>
  <c r="AU1194" i="1"/>
  <c r="AU1204" i="1"/>
  <c r="X234" i="1"/>
  <c r="X235" i="1" s="1"/>
  <c r="X164" i="1" s="1"/>
  <c r="AB234" i="1"/>
  <c r="AB235" i="1" s="1"/>
  <c r="AB164" i="1" s="1"/>
  <c r="AB242" i="1"/>
  <c r="X292" i="1"/>
  <c r="X291" i="1" s="1"/>
  <c r="AE1323" i="1"/>
  <c r="H1335" i="1"/>
  <c r="M246" i="1"/>
  <c r="Y246" i="1"/>
  <c r="AV19" i="1"/>
  <c r="AW13" i="1"/>
  <c r="G19" i="230"/>
  <c r="G24" i="230" s="1"/>
  <c r="R911" i="1"/>
  <c r="W829" i="1"/>
  <c r="O657" i="1"/>
  <c r="Z657" i="1"/>
  <c r="AH292" i="1"/>
  <c r="AH291" i="1" s="1"/>
  <c r="AG266" i="1"/>
  <c r="C49" i="276"/>
  <c r="AW1204" i="1"/>
  <c r="AJ1203" i="1"/>
  <c r="S929" i="1"/>
  <c r="V829" i="1"/>
  <c r="AT831" i="1"/>
  <c r="Y658" i="1"/>
  <c r="AF266" i="1"/>
  <c r="AH139" i="1"/>
  <c r="AH1271" i="1" s="1"/>
  <c r="AY80" i="1"/>
  <c r="BA37" i="1"/>
  <c r="H63" i="51"/>
  <c r="P1339" i="1"/>
  <c r="AZ1194" i="1"/>
  <c r="BO1107" i="1"/>
  <c r="BD1028" i="1"/>
  <c r="BD1025" i="1"/>
  <c r="AF888" i="1"/>
  <c r="W868" i="1"/>
  <c r="AH247" i="1"/>
  <c r="H432" i="1"/>
  <c r="L434" i="1" s="1"/>
  <c r="AV13" i="1"/>
  <c r="BL1321" i="1"/>
  <c r="AU1248" i="1"/>
  <c r="F1248" i="1"/>
  <c r="BN1107" i="1"/>
  <c r="W1011" i="1"/>
  <c r="AI944" i="1"/>
  <c r="F905" i="1"/>
  <c r="V868" i="1"/>
  <c r="V698" i="1" s="1"/>
  <c r="BI489" i="1"/>
  <c r="BB282" i="1"/>
  <c r="Y266" i="1"/>
  <c r="S40" i="359"/>
  <c r="S41" i="359" s="1"/>
  <c r="AJ1248" i="1"/>
  <c r="I1023" i="1"/>
  <c r="AG888" i="1"/>
  <c r="AG829" i="1"/>
  <c r="S658" i="1"/>
  <c r="K37" i="1"/>
  <c r="R1338" i="1"/>
  <c r="K1098" i="1"/>
  <c r="K1101" i="1" s="1"/>
  <c r="K1102" i="1" s="1"/>
  <c r="BA1083" i="1"/>
  <c r="BA1085" i="1" s="1"/>
  <c r="BA1087" i="1" s="1"/>
  <c r="BA1094" i="1" s="1"/>
  <c r="BL1071" i="1"/>
  <c r="BL1076" i="1" s="1"/>
  <c r="BA1004" i="1"/>
  <c r="BA1026" i="1" s="1"/>
  <c r="BN931" i="1"/>
  <c r="AD887" i="1"/>
  <c r="Z872" i="1"/>
  <c r="Z525" i="1"/>
  <c r="R440" i="1"/>
  <c r="P266" i="1"/>
  <c r="AT45" i="1"/>
  <c r="AI419" i="1"/>
  <c r="AA1323" i="1"/>
  <c r="D1248" i="1"/>
  <c r="H1340" i="1"/>
  <c r="H1346" i="1" s="1"/>
  <c r="AH1248" i="1"/>
  <c r="BK1022" i="1"/>
  <c r="AD1020" i="1"/>
  <c r="AZ1004" i="1"/>
  <c r="AZ1026" i="1" s="1"/>
  <c r="BI902" i="1"/>
  <c r="BI905" i="1" s="1"/>
  <c r="J868" i="1"/>
  <c r="J698" i="1" s="1"/>
  <c r="J700" i="1" s="1"/>
  <c r="J751" i="1" s="1"/>
  <c r="J747" i="1" s="1"/>
  <c r="U872" i="1"/>
  <c r="BN798" i="1"/>
  <c r="BN796" i="1" s="1"/>
  <c r="AU666" i="1"/>
  <c r="W650" i="1"/>
  <c r="W649" i="1" s="1"/>
  <c r="Q440" i="1"/>
  <c r="BN262" i="1"/>
  <c r="BE38" i="1"/>
  <c r="R1072" i="1"/>
  <c r="R1077" i="1" s="1"/>
  <c r="AM30" i="468"/>
  <c r="BI1068" i="1"/>
  <c r="AT1077" i="1"/>
  <c r="I1025" i="1"/>
  <c r="BH910" i="1"/>
  <c r="AW668" i="1"/>
  <c r="S138" i="1"/>
  <c r="BC234" i="1"/>
  <c r="BK1332" i="1"/>
  <c r="BI1326" i="1"/>
  <c r="AC1183" i="1"/>
  <c r="S872" i="1"/>
  <c r="M646" i="1"/>
  <c r="AJ440" i="1"/>
  <c r="BM297" i="1"/>
  <c r="AD247" i="1"/>
  <c r="R139" i="1"/>
  <c r="R1271" i="1" s="1"/>
  <c r="T139" i="1"/>
  <c r="T1271" i="1" s="1"/>
  <c r="AG37" i="1"/>
  <c r="AY46" i="1"/>
  <c r="AI37" i="1"/>
  <c r="AD519" i="1"/>
  <c r="AH12" i="1"/>
  <c r="AH963" i="1" s="1"/>
  <c r="V1203" i="1"/>
  <c r="BE1183" i="1"/>
  <c r="BC1034" i="1"/>
  <c r="BC1035" i="1" s="1"/>
  <c r="BC1047" i="1" s="1"/>
  <c r="BD1024" i="1"/>
  <c r="AE889" i="1"/>
  <c r="T887" i="1"/>
  <c r="P872" i="1"/>
  <c r="BL855" i="1"/>
  <c r="J520" i="1"/>
  <c r="J519" i="1" s="1"/>
  <c r="AI868" i="1"/>
  <c r="E39" i="525" s="1"/>
  <c r="K432" i="1"/>
  <c r="K435" i="1" s="1"/>
  <c r="H38" i="1"/>
  <c r="K1072" i="1"/>
  <c r="K1083" i="1" s="1"/>
  <c r="K1104" i="1" s="1"/>
  <c r="K1111" i="1" s="1"/>
  <c r="K1114" i="1" s="1"/>
  <c r="BH139" i="1"/>
  <c r="W1329" i="1"/>
  <c r="Z1323" i="1"/>
  <c r="BJ1198" i="1"/>
  <c r="P174" i="519" s="1"/>
  <c r="V1194" i="1"/>
  <c r="BL875" i="1"/>
  <c r="BJ821" i="1"/>
  <c r="I650" i="1"/>
  <c r="I649" i="1" s="1"/>
  <c r="I620" i="1"/>
  <c r="BD620" i="1"/>
  <c r="BG283" i="1"/>
  <c r="BE245" i="1"/>
  <c r="BJ115" i="1"/>
  <c r="AF618" i="1"/>
  <c r="N37" i="1"/>
  <c r="AD515" i="1"/>
  <c r="AH515" i="1" s="1"/>
  <c r="AH392" i="1" s="1"/>
  <c r="S1247" i="1"/>
  <c r="J649" i="1"/>
  <c r="U438" i="1"/>
  <c r="BK281" i="1"/>
  <c r="W264" i="1"/>
  <c r="AI234" i="1"/>
  <c r="AI235" i="1" s="1"/>
  <c r="AI164" i="1" s="1"/>
  <c r="AB30" i="468"/>
  <c r="BK1019" i="1"/>
  <c r="U1183" i="1"/>
  <c r="M1183" i="1"/>
  <c r="M1202" i="1" s="1"/>
  <c r="I1027" i="1"/>
  <c r="BG1019" i="1"/>
  <c r="AE911" i="1"/>
  <c r="I646" i="1"/>
  <c r="AH234" i="1"/>
  <c r="H125" i="1"/>
  <c r="AS46" i="1"/>
  <c r="BB32" i="1"/>
  <c r="BB47" i="1" s="1"/>
  <c r="AJ1338" i="1"/>
  <c r="K1323" i="1"/>
  <c r="BI1248" i="1"/>
  <c r="BL1215" i="1"/>
  <c r="BA1183" i="1"/>
  <c r="L1183" i="1"/>
  <c r="L1202" i="1" s="1"/>
  <c r="BG1071" i="1"/>
  <c r="BG1076" i="1" s="1"/>
  <c r="BA1034" i="1"/>
  <c r="BA1035" i="1" s="1"/>
  <c r="W902" i="1"/>
  <c r="AA909" i="1" s="1"/>
  <c r="P139" i="1"/>
  <c r="P1271" i="1" s="1"/>
  <c r="G125" i="1"/>
  <c r="BB36" i="1"/>
  <c r="AS19" i="1"/>
  <c r="BB1034" i="1"/>
  <c r="BB1038" i="1" s="1"/>
  <c r="BB1040" i="1" s="1"/>
  <c r="BI1321" i="1"/>
  <c r="BK1320" i="1"/>
  <c r="BH1248" i="1"/>
  <c r="BD1019" i="1"/>
  <c r="V902" i="1"/>
  <c r="V909" i="1" s="1"/>
  <c r="Q888" i="1"/>
  <c r="AW665" i="1"/>
  <c r="BL479" i="1"/>
  <c r="AI282" i="1"/>
  <c r="AA829" i="1"/>
  <c r="BK1026" i="1"/>
  <c r="BG292" i="1"/>
  <c r="X1340" i="1"/>
  <c r="AD1335" i="1"/>
  <c r="R1183" i="1"/>
  <c r="BK1198" i="1"/>
  <c r="Q174" i="519" s="1"/>
  <c r="BG1021" i="1"/>
  <c r="AB1015" i="1"/>
  <c r="BB831" i="1"/>
  <c r="U489" i="1"/>
  <c r="AI125" i="1"/>
  <c r="E125" i="1"/>
  <c r="AJ1354" i="1"/>
  <c r="P649" i="1"/>
  <c r="BJ620" i="1"/>
  <c r="BH911" i="1"/>
  <c r="W1340" i="1"/>
  <c r="Z1339" i="1"/>
  <c r="BN1322" i="1"/>
  <c r="BE1248" i="1"/>
  <c r="BD1026" i="1"/>
  <c r="W889" i="1"/>
  <c r="R888" i="1"/>
  <c r="S265" i="1"/>
  <c r="AI245" i="1"/>
  <c r="L139" i="1"/>
  <c r="L1271" i="1" s="1"/>
  <c r="I36" i="1"/>
  <c r="AD1058" i="1"/>
  <c r="AD1098" i="1" s="1"/>
  <c r="AD1101" i="1" s="1"/>
  <c r="BC46" i="1"/>
  <c r="AJ1357" i="1"/>
  <c r="V1340" i="1"/>
  <c r="AB1338" i="1"/>
  <c r="BD1021" i="1"/>
  <c r="W904" i="1"/>
  <c r="AA911" i="1" s="1"/>
  <c r="BL874" i="1"/>
  <c r="Y799" i="1"/>
  <c r="Y283" i="1"/>
  <c r="AC872" i="1"/>
  <c r="AS139" i="1"/>
  <c r="AV139" i="1"/>
  <c r="AV1271" i="1" s="1"/>
  <c r="AG125" i="1"/>
  <c r="BL121" i="1"/>
  <c r="G72" i="523" s="1"/>
  <c r="U432" i="1"/>
  <c r="U435" i="1" s="1"/>
  <c r="BA19" i="1"/>
  <c r="E93" i="51" s="1"/>
  <c r="E19" i="51" s="1"/>
  <c r="Z12" i="1"/>
  <c r="Z1297" i="1" s="1"/>
  <c r="Z1303" i="1" s="1"/>
  <c r="Z1309" i="1" s="1"/>
  <c r="X1339" i="1"/>
  <c r="AA1338" i="1"/>
  <c r="AG1340" i="1"/>
  <c r="AK1346" i="1" s="1"/>
  <c r="AG1339" i="1"/>
  <c r="AK1345" i="1" s="1"/>
  <c r="AD1338" i="1"/>
  <c r="AX1034" i="1"/>
  <c r="AX1038" i="1" s="1"/>
  <c r="AX1040" i="1" s="1"/>
  <c r="AX1044" i="1" s="1"/>
  <c r="AV1026" i="1"/>
  <c r="W1012" i="1"/>
  <c r="U657" i="1"/>
  <c r="AC657" i="1"/>
  <c r="J139" i="1"/>
  <c r="J1271" i="1" s="1"/>
  <c r="AA430" i="1"/>
  <c r="C51" i="276"/>
  <c r="BK855" i="1"/>
  <c r="BJ861" i="1"/>
  <c r="AA1083" i="1"/>
  <c r="AA1085" i="1" s="1"/>
  <c r="AA1087" i="1" s="1"/>
  <c r="AA1095" i="1" s="1"/>
  <c r="AA799" i="1"/>
  <c r="AB247" i="1"/>
  <c r="AW1194" i="1"/>
  <c r="BL75" i="1"/>
  <c r="W1323" i="1"/>
  <c r="T1340" i="1"/>
  <c r="W1339" i="1"/>
  <c r="U1248" i="1"/>
  <c r="AT1183" i="1"/>
  <c r="E1183" i="1"/>
  <c r="AB890" i="1"/>
  <c r="AC658" i="1"/>
  <c r="N526" i="1"/>
  <c r="BC292" i="1"/>
  <c r="BC299" i="1" s="1"/>
  <c r="BN279" i="1"/>
  <c r="AE125" i="1"/>
  <c r="BN71" i="1"/>
  <c r="I58" i="523" s="1"/>
  <c r="AC38" i="1"/>
  <c r="AT32" i="1"/>
  <c r="AT47" i="1" s="1"/>
  <c r="BA44" i="1"/>
  <c r="AF1398" i="1"/>
  <c r="AF1397" i="1" s="1"/>
  <c r="BG1317" i="1"/>
  <c r="S520" i="1"/>
  <c r="W419" i="1"/>
  <c r="S419" i="1"/>
  <c r="E62" i="51"/>
  <c r="F63" i="51" s="1"/>
  <c r="R1335" i="1"/>
  <c r="V1183" i="1"/>
  <c r="V889" i="1"/>
  <c r="Z889" i="1"/>
  <c r="X796" i="1"/>
  <c r="X868" i="1"/>
  <c r="X829" i="1"/>
  <c r="R423" i="1"/>
  <c r="V425" i="1" s="1"/>
  <c r="R520" i="1"/>
  <c r="R430" i="1"/>
  <c r="BI265" i="1"/>
  <c r="BJ265" i="1"/>
  <c r="AY1038" i="1"/>
  <c r="AY1040" i="1" s="1"/>
  <c r="AY1044" i="1" s="1"/>
  <c r="AY1035" i="1"/>
  <c r="AY1047" i="1" s="1"/>
  <c r="M1026" i="1"/>
  <c r="M1019" i="1"/>
  <c r="M1022" i="1"/>
  <c r="M1021" i="1"/>
  <c r="M1023" i="1"/>
  <c r="M1028" i="1"/>
  <c r="M1027" i="1"/>
  <c r="BH1317" i="1"/>
  <c r="BM1022" i="1"/>
  <c r="BM1019" i="1"/>
  <c r="BM1021" i="1"/>
  <c r="BM1025" i="1"/>
  <c r="BM1027" i="1"/>
  <c r="BM1026" i="1"/>
  <c r="BM1023" i="1"/>
  <c r="L1019" i="1"/>
  <c r="L1020" i="1"/>
  <c r="L1026" i="1"/>
  <c r="L1021" i="1"/>
  <c r="L1024" i="1"/>
  <c r="L1016" i="1"/>
  <c r="L1022" i="1"/>
  <c r="L1027" i="1"/>
  <c r="BH909" i="1"/>
  <c r="Y488" i="1"/>
  <c r="BL488" i="1" s="1"/>
  <c r="Y519" i="1"/>
  <c r="Y526" i="1"/>
  <c r="BL518" i="1"/>
  <c r="K1158" i="1"/>
  <c r="K1183" i="1" s="1"/>
  <c r="K1202" i="1" s="1"/>
  <c r="AE438" i="1"/>
  <c r="AE440" i="1"/>
  <c r="Z1335" i="1"/>
  <c r="Z1338" i="1"/>
  <c r="Q1016" i="1"/>
  <c r="M247" i="1"/>
  <c r="Y247" i="1"/>
  <c r="AC247" i="1"/>
  <c r="BI232" i="1"/>
  <c r="BI798" i="1"/>
  <c r="BJ799" i="1" s="1"/>
  <c r="X57" i="359"/>
  <c r="X138" i="359" s="1"/>
  <c r="Y40" i="359"/>
  <c r="Y41" i="359" s="1"/>
  <c r="V52" i="359"/>
  <c r="V53" i="359" s="1"/>
  <c r="H16" i="51"/>
  <c r="H17" i="51" s="1"/>
  <c r="G17" i="51"/>
  <c r="M1016" i="1"/>
  <c r="P888" i="1"/>
  <c r="T888" i="1"/>
  <c r="BC618" i="1"/>
  <c r="BB620" i="1"/>
  <c r="BH798" i="1"/>
  <c r="BH796" i="1" s="1"/>
  <c r="BH281" i="1"/>
  <c r="BH232" i="1"/>
  <c r="BH240" i="1" s="1"/>
  <c r="F18" i="51"/>
  <c r="F17" i="51"/>
  <c r="AB649" i="1"/>
  <c r="BI430" i="1"/>
  <c r="BJ429" i="1"/>
  <c r="BK1071" i="1"/>
  <c r="BK1076" i="1" s="1"/>
  <c r="BK1062" i="1"/>
  <c r="AX128" i="1"/>
  <c r="AX1194" i="1"/>
  <c r="H64" i="51"/>
  <c r="G63" i="51"/>
  <c r="G64" i="51"/>
  <c r="E17" i="51"/>
  <c r="E18" i="51"/>
  <c r="O938" i="1"/>
  <c r="S945" i="1" s="1"/>
  <c r="BJ945" i="1"/>
  <c r="AA890" i="1"/>
  <c r="AE890" i="1"/>
  <c r="AJ650" i="1"/>
  <c r="F31" i="525" s="1"/>
  <c r="Q519" i="1"/>
  <c r="BH114" i="1"/>
  <c r="C50" i="523" s="1"/>
  <c r="C68" i="523" s="1"/>
  <c r="BH1198" i="1"/>
  <c r="Z890" i="1"/>
  <c r="AD890" i="1"/>
  <c r="T889" i="1"/>
  <c r="X889" i="1"/>
  <c r="BI821" i="1"/>
  <c r="BJ826" i="1"/>
  <c r="M1020" i="1"/>
  <c r="AE903" i="1"/>
  <c r="R657" i="1"/>
  <c r="R646" i="1"/>
  <c r="BJ647" i="1"/>
  <c r="AH650" i="1"/>
  <c r="BE1194" i="1"/>
  <c r="BE1198" i="1"/>
  <c r="BE1203" i="1" s="1"/>
  <c r="AV22" i="1"/>
  <c r="AV26" i="1" s="1"/>
  <c r="AV311" i="1"/>
  <c r="I1335" i="1"/>
  <c r="T1197" i="1"/>
  <c r="BC1028" i="1"/>
  <c r="BC1027" i="1"/>
  <c r="BD1016" i="1"/>
  <c r="BG1016" i="1" s="1"/>
  <c r="AD905" i="1"/>
  <c r="AG650" i="1"/>
  <c r="C31" i="525" s="1"/>
  <c r="AA528" i="1"/>
  <c r="BD114" i="1"/>
  <c r="BD100" i="1" s="1"/>
  <c r="BD1194" i="1"/>
  <c r="BG1199" i="1"/>
  <c r="BD1198" i="1"/>
  <c r="W612" i="1"/>
  <c r="AA614" i="1" s="1"/>
  <c r="AE1010" i="1"/>
  <c r="AI1010" i="1"/>
  <c r="AF650" i="1"/>
  <c r="B31" i="525" s="1"/>
  <c r="Q620" i="1"/>
  <c r="Q618" i="1"/>
  <c r="M1024" i="1"/>
  <c r="AB1010" i="1"/>
  <c r="AF1010" i="1"/>
  <c r="BI874" i="1"/>
  <c r="BJ874" i="1"/>
  <c r="BI648" i="1"/>
  <c r="AG620" i="1"/>
  <c r="U528" i="1"/>
  <c r="BE438" i="1"/>
  <c r="BD438" i="1"/>
  <c r="P423" i="1"/>
  <c r="P424" i="1" s="1"/>
  <c r="AC430" i="1"/>
  <c r="AG427" i="1"/>
  <c r="J38" i="1"/>
  <c r="AI30" i="468"/>
  <c r="K1335" i="1"/>
  <c r="K1339" i="1"/>
  <c r="K1345" i="1" s="1"/>
  <c r="O1335" i="1"/>
  <c r="O1338" i="1"/>
  <c r="AE1002" i="1"/>
  <c r="AB1014" i="1"/>
  <c r="AA1010" i="1"/>
  <c r="M658" i="1"/>
  <c r="Q658" i="1"/>
  <c r="AF620" i="1"/>
  <c r="AJ620" i="1"/>
  <c r="AJ618" i="1"/>
  <c r="BC440" i="1"/>
  <c r="BC438" i="1"/>
  <c r="AH865" i="1"/>
  <c r="AB826" i="1"/>
  <c r="AF826" i="1"/>
  <c r="AB829" i="1"/>
  <c r="AB821" i="1"/>
  <c r="AX38" i="1"/>
  <c r="AW46" i="1"/>
  <c r="AS22" i="1"/>
  <c r="AT23" i="1" s="1"/>
  <c r="AS311" i="1"/>
  <c r="AH128" i="1"/>
  <c r="AH125" i="1" s="1"/>
  <c r="AH1183" i="1"/>
  <c r="BN1158" i="1"/>
  <c r="BN1194" i="1" s="1"/>
  <c r="BN1335" i="1"/>
  <c r="AW1023" i="1"/>
  <c r="AW1028" i="1"/>
  <c r="AW1024" i="1"/>
  <c r="AW1021" i="1"/>
  <c r="AW1026" i="1"/>
  <c r="AW1016" i="1"/>
  <c r="AW1020" i="1"/>
  <c r="AW1025" i="1"/>
  <c r="AH618" i="1"/>
  <c r="BI1334" i="1"/>
  <c r="AV1022" i="1"/>
  <c r="AV1019" i="1"/>
  <c r="AV1024" i="1"/>
  <c r="AV1028" i="1"/>
  <c r="AV1020" i="1"/>
  <c r="AV1023" i="1"/>
  <c r="AV1025" i="1"/>
  <c r="S1014" i="1"/>
  <c r="O1014" i="1"/>
  <c r="L649" i="1"/>
  <c r="AG612" i="1"/>
  <c r="AG615" i="1" s="1"/>
  <c r="BM309" i="1"/>
  <c r="BM319" i="1" s="1"/>
  <c r="M234" i="1"/>
  <c r="M235" i="1" s="1"/>
  <c r="M282" i="1"/>
  <c r="M292" i="1"/>
  <c r="M291" i="1" s="1"/>
  <c r="O909" i="1"/>
  <c r="AH520" i="1"/>
  <c r="D16" i="525" s="1"/>
  <c r="AH419" i="1"/>
  <c r="AH420" i="1" s="1"/>
  <c r="AH238" i="1" s="1"/>
  <c r="AH440" i="1"/>
  <c r="BH648" i="1"/>
  <c r="AD245" i="1"/>
  <c r="AD238" i="1"/>
  <c r="L1028" i="1"/>
  <c r="BH931" i="1"/>
  <c r="BH918" i="1" s="1"/>
  <c r="L905" i="1"/>
  <c r="L909" i="1"/>
  <c r="BK37" i="1"/>
  <c r="BK903" i="1"/>
  <c r="BK910" i="1" s="1"/>
  <c r="AJ234" i="1"/>
  <c r="AJ235" i="1" s="1"/>
  <c r="AF235" i="1"/>
  <c r="AF164" i="1" s="1"/>
  <c r="AF12" i="1"/>
  <c r="AF963" i="1" s="1"/>
  <c r="AF282" i="1"/>
  <c r="AF292" i="1"/>
  <c r="AF291" i="1" s="1"/>
  <c r="AF283" i="1"/>
  <c r="AF234" i="1"/>
  <c r="BH1058" i="1"/>
  <c r="I12" i="1"/>
  <c r="I1297" i="1" s="1"/>
  <c r="I1303" i="1" s="1"/>
  <c r="I1072" i="1"/>
  <c r="M1063" i="1"/>
  <c r="BH1334" i="1"/>
  <c r="BI227" i="1"/>
  <c r="BJ234" i="1" s="1"/>
  <c r="BJ235" i="1" s="1"/>
  <c r="BJ164" i="1" s="1"/>
  <c r="L292" i="1"/>
  <c r="L291" i="1" s="1"/>
  <c r="P298" i="1" s="1"/>
  <c r="L282" i="1"/>
  <c r="L283" i="1"/>
  <c r="BJ128" i="1"/>
  <c r="BJ1183" i="1"/>
  <c r="F1098" i="1"/>
  <c r="F1101" i="1" s="1"/>
  <c r="AX1025" i="1"/>
  <c r="V266" i="1"/>
  <c r="V283" i="1"/>
  <c r="AI1104" i="1"/>
  <c r="AI1111" i="1" s="1"/>
  <c r="AI283" i="1"/>
  <c r="AI266" i="1"/>
  <c r="AH904" i="1"/>
  <c r="AH38" i="1"/>
  <c r="T1329" i="1"/>
  <c r="U1329" i="1"/>
  <c r="T1323" i="1"/>
  <c r="BJ1194" i="1"/>
  <c r="AC1020" i="1"/>
  <c r="AC1022" i="1"/>
  <c r="AC1028" i="1"/>
  <c r="AC1027" i="1"/>
  <c r="AC1023" i="1"/>
  <c r="AC1024" i="1"/>
  <c r="AC1026" i="1"/>
  <c r="AC1021" i="1"/>
  <c r="W1009" i="1"/>
  <c r="AE942" i="1"/>
  <c r="K910" i="1"/>
  <c r="Q829" i="1"/>
  <c r="I502" i="1"/>
  <c r="BH501" i="1"/>
  <c r="BH502" i="1" s="1"/>
  <c r="X266" i="1"/>
  <c r="BH1194" i="1"/>
  <c r="AA125" i="1"/>
  <c r="AC99" i="468"/>
  <c r="AG30" i="468"/>
  <c r="AJ1197" i="1"/>
  <c r="Z1019" i="1"/>
  <c r="Z1028" i="1"/>
  <c r="Z1020" i="1"/>
  <c r="Z1027" i="1"/>
  <c r="Z1023" i="1"/>
  <c r="Z1016" i="1"/>
  <c r="Z1024" i="1"/>
  <c r="Z1026" i="1"/>
  <c r="Z1021" i="1"/>
  <c r="J910" i="1"/>
  <c r="N910" i="1"/>
  <c r="BH647" i="1"/>
  <c r="H646" i="1"/>
  <c r="H649" i="1"/>
  <c r="BL280" i="1"/>
  <c r="BL617" i="1"/>
  <c r="BM618" i="1" s="1"/>
  <c r="D1072" i="1"/>
  <c r="D22" i="1" s="1"/>
  <c r="AO98" i="468"/>
  <c r="AO45" i="468"/>
  <c r="AO51" i="468" s="1"/>
  <c r="AO58" i="468"/>
  <c r="AO35" i="468" s="1"/>
  <c r="V1023" i="1"/>
  <c r="V1027" i="1"/>
  <c r="V1022" i="1"/>
  <c r="V1020" i="1"/>
  <c r="V1026" i="1"/>
  <c r="V1021" i="1"/>
  <c r="S942" i="1"/>
  <c r="AI646" i="1"/>
  <c r="AI672" i="1" s="1"/>
  <c r="AE657" i="1"/>
  <c r="Q650" i="1"/>
  <c r="Q649" i="1" s="1"/>
  <c r="T612" i="1"/>
  <c r="X614" i="1" s="1"/>
  <c r="X618" i="1"/>
  <c r="T620" i="1"/>
  <c r="AE1339" i="1"/>
  <c r="Q1329" i="1"/>
  <c r="K1340" i="1"/>
  <c r="L1023" i="1"/>
  <c r="BM1020" i="1"/>
  <c r="AF1014" i="1"/>
  <c r="W887" i="1"/>
  <c r="AA887" i="1"/>
  <c r="BK876" i="1"/>
  <c r="BD37" i="1"/>
  <c r="BG37" i="1" s="1"/>
  <c r="P37" i="1"/>
  <c r="P903" i="1"/>
  <c r="P910" i="1" s="1"/>
  <c r="T1021" i="1"/>
  <c r="T1024" i="1"/>
  <c r="T1027" i="1"/>
  <c r="T1023" i="1"/>
  <c r="T1019" i="1"/>
  <c r="T1026" i="1"/>
  <c r="T1022" i="1"/>
  <c r="J904" i="1"/>
  <c r="N911" i="1" s="1"/>
  <c r="BI855" i="1"/>
  <c r="BJ855" i="1"/>
  <c r="N283" i="1"/>
  <c r="N266" i="1"/>
  <c r="O910" i="1"/>
  <c r="AJ32" i="1"/>
  <c r="AJ36" i="1"/>
  <c r="AJ902" i="1"/>
  <c r="AN909" i="1" s="1"/>
  <c r="H36" i="1"/>
  <c r="D44" i="1"/>
  <c r="D902" i="1"/>
  <c r="H909" i="1" s="1"/>
  <c r="BN1167" i="1"/>
  <c r="AW1027" i="1"/>
  <c r="BG905" i="1"/>
  <c r="L911" i="1"/>
  <c r="H911" i="1"/>
  <c r="BN114" i="1"/>
  <c r="I50" i="523" s="1"/>
  <c r="Z432" i="1"/>
  <c r="Z430" i="1"/>
  <c r="BL427" i="1"/>
  <c r="BL430" i="1" s="1"/>
  <c r="H612" i="1"/>
  <c r="H615" i="1" s="1"/>
  <c r="H620" i="1"/>
  <c r="L618" i="1"/>
  <c r="Y291" i="1"/>
  <c r="AC298" i="1" s="1"/>
  <c r="AC299" i="1"/>
  <c r="S231" i="1"/>
  <c r="S227" i="1"/>
  <c r="S234" i="1" s="1"/>
  <c r="S235" i="1" s="1"/>
  <c r="W231" i="1"/>
  <c r="AE246" i="1" s="1"/>
  <c r="S1333" i="1"/>
  <c r="S1339" i="1" s="1"/>
  <c r="T1248" i="1"/>
  <c r="J1335" i="1"/>
  <c r="J1339" i="1"/>
  <c r="J1345" i="1" s="1"/>
  <c r="N1335" i="1"/>
  <c r="N1338" i="1"/>
  <c r="AX1024" i="1"/>
  <c r="AX1023" i="1"/>
  <c r="AX1021" i="1"/>
  <c r="AX1028" i="1"/>
  <c r="AX1019" i="1"/>
  <c r="AX1026" i="1"/>
  <c r="BB440" i="1"/>
  <c r="AB612" i="1"/>
  <c r="AB618" i="1"/>
  <c r="AB620" i="1"/>
  <c r="R1329" i="1"/>
  <c r="S1329" i="1"/>
  <c r="F19" i="1"/>
  <c r="F109" i="1" s="1"/>
  <c r="F45" i="1"/>
  <c r="F1391" i="1"/>
  <c r="BL1326" i="1"/>
  <c r="BL1320" i="1"/>
  <c r="X1025" i="1"/>
  <c r="X1026" i="1"/>
  <c r="X1027" i="1"/>
  <c r="X1023" i="1"/>
  <c r="X1019" i="1"/>
  <c r="AC887" i="1"/>
  <c r="Y887" i="1"/>
  <c r="AR10" i="468"/>
  <c r="AR15" i="468" s="1"/>
  <c r="AJ655" i="1"/>
  <c r="AS114" i="1"/>
  <c r="AS100" i="1" s="1"/>
  <c r="AS1204" i="1"/>
  <c r="AS1198" i="1"/>
  <c r="AS1197" i="1" s="1"/>
  <c r="AA115" i="1"/>
  <c r="AA72" i="1"/>
  <c r="AA73" i="1" s="1"/>
  <c r="AA116" i="1" s="1"/>
  <c r="F44" i="1"/>
  <c r="E12" i="1"/>
  <c r="E1297" i="1" s="1"/>
  <c r="E1303" i="1" s="1"/>
  <c r="E1098" i="1"/>
  <c r="E1101" i="1" s="1"/>
  <c r="I1102" i="1" s="1"/>
  <c r="E1072" i="1"/>
  <c r="I1329" i="1"/>
  <c r="AB1248" i="1"/>
  <c r="H1329" i="1"/>
  <c r="AJ1323" i="1"/>
  <c r="AV1027" i="1"/>
  <c r="M1025" i="1"/>
  <c r="AY1016" i="1"/>
  <c r="Q1023" i="1"/>
  <c r="Q1019" i="1"/>
  <c r="Q1026" i="1"/>
  <c r="Q1021" i="1"/>
  <c r="Q1028" i="1"/>
  <c r="Q1022" i="1"/>
  <c r="Q1027" i="1"/>
  <c r="V888" i="1"/>
  <c r="Z888" i="1"/>
  <c r="BN1326" i="1"/>
  <c r="BN1338" i="1" s="1"/>
  <c r="L1025" i="1"/>
  <c r="AC1016" i="1"/>
  <c r="BM648" i="1"/>
  <c r="AF658" i="1"/>
  <c r="AJ666" i="1" s="1"/>
  <c r="AB657" i="1"/>
  <c r="AF10" i="468"/>
  <c r="T618" i="1"/>
  <c r="BL31" i="1"/>
  <c r="BL904" i="1" s="1"/>
  <c r="BL911" i="1" s="1"/>
  <c r="X904" i="1"/>
  <c r="X911" i="1" s="1"/>
  <c r="BM1326" i="1"/>
  <c r="BM1338" i="1" s="1"/>
  <c r="X1323" i="1"/>
  <c r="J1323" i="1"/>
  <c r="AI1194" i="1"/>
  <c r="AV1083" i="1"/>
  <c r="AV1085" i="1" s="1"/>
  <c r="AV1087" i="1" s="1"/>
  <c r="X1016" i="1"/>
  <c r="AA658" i="1"/>
  <c r="AE658" i="1"/>
  <c r="W525" i="1"/>
  <c r="BM798" i="1"/>
  <c r="BM829" i="1" s="1"/>
  <c r="BM1334" i="1"/>
  <c r="BM232" i="1"/>
  <c r="BH231" i="1"/>
  <c r="BH1333" i="1"/>
  <c r="K121" i="1"/>
  <c r="K1191" i="1"/>
  <c r="AH1019" i="1"/>
  <c r="AH1027" i="1"/>
  <c r="AH1024" i="1"/>
  <c r="AH1028" i="1"/>
  <c r="AH1020" i="1"/>
  <c r="Z887" i="1"/>
  <c r="V887" i="1"/>
  <c r="BD829" i="1"/>
  <c r="BD826" i="1"/>
  <c r="BG826" i="1" s="1"/>
  <c r="I519" i="1"/>
  <c r="AW128" i="1"/>
  <c r="AE37" i="1"/>
  <c r="AA37" i="1"/>
  <c r="AA903" i="1"/>
  <c r="AA910" i="1" s="1"/>
  <c r="BD32" i="1"/>
  <c r="P32" i="1"/>
  <c r="N12" i="1"/>
  <c r="N1297" i="1" s="1"/>
  <c r="N1303" i="1" s="1"/>
  <c r="N1063" i="1"/>
  <c r="R1063" i="1"/>
  <c r="AC69" i="359"/>
  <c r="P45" i="359"/>
  <c r="P52" i="359"/>
  <c r="P53" i="359" s="1"/>
  <c r="AB432" i="1"/>
  <c r="AF434" i="1" s="1"/>
  <c r="BM427" i="1"/>
  <c r="BN429" i="1" s="1"/>
  <c r="AB430" i="1"/>
  <c r="AB37" i="1"/>
  <c r="AB45" i="1"/>
  <c r="BE36" i="1"/>
  <c r="BE32" i="1"/>
  <c r="BE47" i="1" s="1"/>
  <c r="AI1397" i="1"/>
  <c r="W1335" i="1"/>
  <c r="V1335" i="1"/>
  <c r="BH1326" i="1"/>
  <c r="AG1016" i="1"/>
  <c r="AG1020" i="1"/>
  <c r="AG1027" i="1"/>
  <c r="AG1025" i="1"/>
  <c r="E905" i="1"/>
  <c r="U887" i="1"/>
  <c r="J612" i="1"/>
  <c r="J615" i="1" s="1"/>
  <c r="AT46" i="1"/>
  <c r="AT38" i="1"/>
  <c r="F32" i="1"/>
  <c r="F47" i="1" s="1"/>
  <c r="F46" i="1"/>
  <c r="Z37" i="1"/>
  <c r="Z903" i="1"/>
  <c r="Z910" i="1" s="1"/>
  <c r="Q1335" i="1"/>
  <c r="AA1183" i="1"/>
  <c r="BA1013" i="1"/>
  <c r="BJ911" i="1"/>
  <c r="BI911" i="1"/>
  <c r="Y872" i="1"/>
  <c r="AW663" i="1"/>
  <c r="AV663" i="1"/>
  <c r="BJ517" i="1"/>
  <c r="AJ438" i="1"/>
  <c r="AA440" i="1"/>
  <c r="AA419" i="1"/>
  <c r="AE419" i="1"/>
  <c r="AA423" i="1"/>
  <c r="AE425" i="1" s="1"/>
  <c r="BD139" i="1"/>
  <c r="BD1271" i="1" s="1"/>
  <c r="P438" i="1"/>
  <c r="T438" i="1"/>
  <c r="P440" i="1"/>
  <c r="M1335" i="1"/>
  <c r="T1335" i="1"/>
  <c r="T1338" i="1"/>
  <c r="J1329" i="1"/>
  <c r="AH1025" i="1"/>
  <c r="AA1009" i="1"/>
  <c r="W943" i="1"/>
  <c r="BI931" i="1"/>
  <c r="O924" i="1"/>
  <c r="S931" i="1" s="1"/>
  <c r="S887" i="1"/>
  <c r="BL861" i="1"/>
  <c r="X872" i="1"/>
  <c r="T314" i="1"/>
  <c r="BI281" i="1"/>
  <c r="BI264" i="1"/>
  <c r="AV1183" i="1"/>
  <c r="U618" i="1"/>
  <c r="Y618" i="1"/>
  <c r="U620" i="1"/>
  <c r="B7" i="267"/>
  <c r="B9" i="313" s="1"/>
  <c r="L44" i="1"/>
  <c r="BJ1248" i="1"/>
  <c r="AG1028" i="1"/>
  <c r="Y1026" i="1"/>
  <c r="Y1027" i="1"/>
  <c r="Y1023" i="1"/>
  <c r="Y1020" i="1"/>
  <c r="Y1019" i="1"/>
  <c r="AI942" i="1"/>
  <c r="BJ857" i="1"/>
  <c r="BJ858" i="1" s="1"/>
  <c r="M22" i="230"/>
  <c r="X283" i="1"/>
  <c r="BL129" i="1"/>
  <c r="Z821" i="1"/>
  <c r="AD826" i="1"/>
  <c r="Z826" i="1"/>
  <c r="Z829" i="1"/>
  <c r="J45" i="359"/>
  <c r="J52" i="359"/>
  <c r="AI1340" i="1"/>
  <c r="AM1346" i="1" s="1"/>
  <c r="AC1248" i="1"/>
  <c r="BL1198" i="1"/>
  <c r="R174" i="519" s="1"/>
  <c r="Y1183" i="1"/>
  <c r="AA1012" i="1"/>
  <c r="AC911" i="1"/>
  <c r="N872" i="1"/>
  <c r="M799" i="1"/>
  <c r="BI479" i="1"/>
  <c r="BK1058" i="1"/>
  <c r="BK1061" i="1"/>
  <c r="BK1070" i="1"/>
  <c r="BK1075" i="1" s="1"/>
  <c r="R306" i="1"/>
  <c r="N438" i="1"/>
  <c r="R438" i="1"/>
  <c r="Z38" i="1"/>
  <c r="AC419" i="1"/>
  <c r="AC520" i="1"/>
  <c r="BM520" i="1" s="1"/>
  <c r="R7" i="267"/>
  <c r="R9" i="313" s="1"/>
  <c r="AB1354" i="1"/>
  <c r="AB1353" i="1"/>
  <c r="Q1248" i="1"/>
  <c r="BL1180" i="1"/>
  <c r="N1016" i="1"/>
  <c r="N1019" i="1"/>
  <c r="O1004" i="1"/>
  <c r="O1023" i="1" s="1"/>
  <c r="AB903" i="1"/>
  <c r="AF910" i="1" s="1"/>
  <c r="AE649" i="1"/>
  <c r="AD650" i="1"/>
  <c r="AD660" i="1" s="1"/>
  <c r="BI518" i="1"/>
  <c r="Q423" i="1"/>
  <c r="U425" i="1" s="1"/>
  <c r="Q489" i="1"/>
  <c r="M32" i="1"/>
  <c r="M37" i="1"/>
  <c r="M45" i="1"/>
  <c r="BM517" i="1"/>
  <c r="AB525" i="1"/>
  <c r="AF525" i="1"/>
  <c r="AH1026" i="1"/>
  <c r="BL1025" i="1"/>
  <c r="BL1022" i="1"/>
  <c r="BL1021" i="1"/>
  <c r="BL647" i="1"/>
  <c r="X657" i="1"/>
  <c r="AB128" i="1"/>
  <c r="AB125" i="1" s="1"/>
  <c r="AB1194" i="1"/>
  <c r="AH864" i="1"/>
  <c r="AH889" i="1"/>
  <c r="AF520" i="1"/>
  <c r="AJ419" i="1"/>
  <c r="AF440" i="1"/>
  <c r="AF419" i="1"/>
  <c r="AC242" i="1"/>
  <c r="Y234" i="1"/>
  <c r="Y235" i="1" s="1"/>
  <c r="Y164" i="1" s="1"/>
  <c r="Y12" i="1"/>
  <c r="Y1297" i="1" s="1"/>
  <c r="Y1303" i="1" s="1"/>
  <c r="AC234" i="1"/>
  <c r="AC235" i="1" s="1"/>
  <c r="AC164" i="1" s="1"/>
  <c r="AE52" i="359"/>
  <c r="AE53" i="359" s="1"/>
  <c r="AE45" i="359"/>
  <c r="V1338" i="1"/>
  <c r="AD1340" i="1"/>
  <c r="Y1329" i="1"/>
  <c r="S1215" i="1"/>
  <c r="BL1027" i="1"/>
  <c r="AG1026" i="1"/>
  <c r="W646" i="1"/>
  <c r="AA657" i="1"/>
  <c r="AC10" i="468"/>
  <c r="AD45" i="468" s="1"/>
  <c r="AD51" i="468" s="1"/>
  <c r="BN138" i="1"/>
  <c r="BK121" i="1"/>
  <c r="F72" i="523" s="1"/>
  <c r="AZ13" i="1"/>
  <c r="AZ46" i="1"/>
  <c r="AZ1183" i="1"/>
  <c r="AX1183" i="1"/>
  <c r="BI875" i="1"/>
  <c r="L872" i="1"/>
  <c r="BH861" i="1"/>
  <c r="Y650" i="1"/>
  <c r="Y649" i="1" s="1"/>
  <c r="Y620" i="1"/>
  <c r="Z419" i="1"/>
  <c r="AY13" i="1"/>
  <c r="AY19" i="1"/>
  <c r="AY45" i="1"/>
  <c r="H1183" i="1"/>
  <c r="H1202" i="1" s="1"/>
  <c r="S1167" i="1"/>
  <c r="S1198" i="1"/>
  <c r="S1197" i="1" s="1"/>
  <c r="BO1105" i="1"/>
  <c r="Y1021" i="1"/>
  <c r="L799" i="1"/>
  <c r="L829" i="1"/>
  <c r="Z660" i="1"/>
  <c r="V660" i="1"/>
  <c r="BC283" i="1"/>
  <c r="L245" i="1"/>
  <c r="AB245" i="1"/>
  <c r="L46" i="1"/>
  <c r="R1248" i="1"/>
  <c r="G1183" i="1"/>
  <c r="AG1024" i="1"/>
  <c r="K829" i="1"/>
  <c r="K868" i="1"/>
  <c r="K698" i="1" s="1"/>
  <c r="K700" i="1" s="1"/>
  <c r="K751" i="1" s="1"/>
  <c r="R658" i="1"/>
  <c r="H520" i="1"/>
  <c r="BG133" i="1"/>
  <c r="V30" i="468"/>
  <c r="R99" i="468"/>
  <c r="BA45" i="1"/>
  <c r="U12" i="1"/>
  <c r="U1297" i="1" s="1"/>
  <c r="U1303" i="1" s="1"/>
  <c r="U1309" i="1" s="1"/>
  <c r="U1098" i="1"/>
  <c r="U1101" i="1" s="1"/>
  <c r="U1072" i="1"/>
  <c r="AF32" i="1"/>
  <c r="BN29" i="1"/>
  <c r="BN902" i="1" s="1"/>
  <c r="BB1098" i="1"/>
  <c r="BB1101" i="1" s="1"/>
  <c r="BB1063" i="1"/>
  <c r="AE1340" i="1"/>
  <c r="BK1215" i="1"/>
  <c r="BM1167" i="1"/>
  <c r="AD1339" i="1"/>
  <c r="P1183" i="1"/>
  <c r="K1004" i="1"/>
  <c r="K1026" i="1" s="1"/>
  <c r="AA929" i="1"/>
  <c r="Q902" i="1"/>
  <c r="R649" i="1"/>
  <c r="T646" i="1"/>
  <c r="AG314" i="1"/>
  <c r="V1323" i="1"/>
  <c r="BC1183" i="1"/>
  <c r="N1183" i="1"/>
  <c r="N1202" i="1" s="1"/>
  <c r="M903" i="1"/>
  <c r="P902" i="1"/>
  <c r="I829" i="1"/>
  <c r="I868" i="1"/>
  <c r="BK647" i="1"/>
  <c r="T657" i="1"/>
  <c r="BI612" i="1"/>
  <c r="Z520" i="1"/>
  <c r="BM265" i="1"/>
  <c r="X247" i="1"/>
  <c r="L246" i="1"/>
  <c r="X246" i="1"/>
  <c r="AA1335" i="1"/>
  <c r="AE1335" i="1"/>
  <c r="BH1327" i="1"/>
  <c r="AV1248" i="1"/>
  <c r="G1248" i="1"/>
  <c r="BB1183" i="1"/>
  <c r="D1183" i="1"/>
  <c r="BN1070" i="1"/>
  <c r="BN1075" i="1" s="1"/>
  <c r="Y1024" i="1"/>
  <c r="BJ873" i="1"/>
  <c r="H868" i="1"/>
  <c r="AG799" i="1"/>
  <c r="AC796" i="1"/>
  <c r="AC831" i="1" s="1"/>
  <c r="AC868" i="1"/>
  <c r="AC799" i="1"/>
  <c r="N246" i="1"/>
  <c r="BN232" i="1"/>
  <c r="AT114" i="1"/>
  <c r="AT1204" i="1"/>
  <c r="T12" i="1"/>
  <c r="T1297" i="1" s="1"/>
  <c r="T1072" i="1"/>
  <c r="T1063" i="1"/>
  <c r="AD658" i="1"/>
  <c r="BH511" i="1"/>
  <c r="BH512" i="1" s="1"/>
  <c r="BL265" i="1"/>
  <c r="AC432" i="1"/>
  <c r="AC438" i="1"/>
  <c r="AC440" i="1"/>
  <c r="BE37" i="1"/>
  <c r="Q37" i="1"/>
  <c r="Q903" i="1"/>
  <c r="AW19" i="1"/>
  <c r="C7" i="267"/>
  <c r="C9" i="313" s="1"/>
  <c r="M44" i="1"/>
  <c r="M46" i="1"/>
  <c r="V826" i="1"/>
  <c r="V821" i="1"/>
  <c r="V831" i="1" s="1"/>
  <c r="Q612" i="1"/>
  <c r="AJ30" i="468"/>
  <c r="AJ99" i="468"/>
  <c r="V872" i="1"/>
  <c r="W658" i="1"/>
  <c r="AA646" i="1"/>
  <c r="AH645" i="1"/>
  <c r="D23" i="525" s="1"/>
  <c r="P314" i="1"/>
  <c r="BN281" i="1"/>
  <c r="V612" i="1"/>
  <c r="Z614" i="1" s="1"/>
  <c r="Q432" i="1"/>
  <c r="U434" i="1" s="1"/>
  <c r="Q430" i="1"/>
  <c r="K440" i="1"/>
  <c r="O438" i="1"/>
  <c r="AE12" i="1"/>
  <c r="AE1297" i="1" s="1"/>
  <c r="AE1303" i="1" s="1"/>
  <c r="AE234" i="1"/>
  <c r="AE235" i="1"/>
  <c r="AE164" i="1" s="1"/>
  <c r="AH30" i="468"/>
  <c r="AH99" i="468"/>
  <c r="V658" i="1"/>
  <c r="AK10" i="468"/>
  <c r="AK15" i="468" s="1"/>
  <c r="AK663" i="1"/>
  <c r="BM281" i="1"/>
  <c r="BG121" i="1"/>
  <c r="N19" i="313"/>
  <c r="N28" i="313" s="1"/>
  <c r="BL88" i="1"/>
  <c r="G29" i="523" s="1"/>
  <c r="AD44" i="1"/>
  <c r="AH36" i="1"/>
  <c r="BN1320" i="1"/>
  <c r="AY1248" i="1"/>
  <c r="J1248" i="1"/>
  <c r="V1204" i="1"/>
  <c r="BD1183" i="1"/>
  <c r="O1183" i="1"/>
  <c r="O1202" i="1" s="1"/>
  <c r="AU1183" i="1"/>
  <c r="F1183" i="1"/>
  <c r="AD1016" i="1"/>
  <c r="O1010" i="1"/>
  <c r="S944" i="1"/>
  <c r="Y829" i="1"/>
  <c r="N799" i="1"/>
  <c r="N829" i="1"/>
  <c r="Y657" i="1"/>
  <c r="O440" i="1"/>
  <c r="BL281" i="1"/>
  <c r="BL825" i="1"/>
  <c r="BM826" i="1" s="1"/>
  <c r="BG132" i="1"/>
  <c r="AD46" i="1"/>
  <c r="P612" i="1"/>
  <c r="P615" i="1" s="1"/>
  <c r="P618" i="1"/>
  <c r="P620" i="1"/>
  <c r="AG36" i="1"/>
  <c r="AC902" i="1"/>
  <c r="AC905" i="1" s="1"/>
  <c r="BD12" i="1"/>
  <c r="BD156" i="1" s="1"/>
  <c r="BD1072" i="1"/>
  <c r="AC526" i="1"/>
  <c r="AD235" i="1"/>
  <c r="AD164" i="1" s="1"/>
  <c r="AH235" i="1"/>
  <c r="AH164" i="1" s="1"/>
  <c r="AD292" i="1"/>
  <c r="AD291" i="1" s="1"/>
  <c r="AW666" i="1"/>
  <c r="BE440" i="1"/>
  <c r="BG440" i="1" s="1"/>
  <c r="AJ314" i="1"/>
  <c r="BD266" i="1"/>
  <c r="BG266" i="1" s="1"/>
  <c r="BE266" i="1"/>
  <c r="K139" i="1"/>
  <c r="K1271" i="1" s="1"/>
  <c r="AW80" i="1"/>
  <c r="BK427" i="1"/>
  <c r="AE829" i="1"/>
  <c r="AE799" i="1"/>
  <c r="AY22" i="1"/>
  <c r="AY26" i="1" s="1"/>
  <c r="AY1083" i="1"/>
  <c r="AA12" i="1"/>
  <c r="AA1297" i="1" s="1"/>
  <c r="AA1303" i="1" s="1"/>
  <c r="AA292" i="1"/>
  <c r="AA291" i="1" s="1"/>
  <c r="AE305" i="1" s="1"/>
  <c r="AA283" i="1"/>
  <c r="D45" i="1"/>
  <c r="D1355" i="1"/>
  <c r="AE139" i="1"/>
  <c r="AE1271" i="1" s="1"/>
  <c r="BM132" i="1"/>
  <c r="N128" i="1"/>
  <c r="N125" i="1" s="1"/>
  <c r="N1194" i="1"/>
  <c r="BC114" i="1"/>
  <c r="AW45" i="1"/>
  <c r="AT36" i="1"/>
  <c r="S36" i="1"/>
  <c r="W36" i="1"/>
  <c r="S32" i="1"/>
  <c r="Z30" i="468"/>
  <c r="V99" i="468"/>
  <c r="AB1183" i="1"/>
  <c r="AZ1102" i="1"/>
  <c r="Y890" i="1"/>
  <c r="AD799" i="1"/>
  <c r="Z796" i="1"/>
  <c r="BJ479" i="1"/>
  <c r="BI506" i="1"/>
  <c r="U419" i="1"/>
  <c r="BE291" i="1"/>
  <c r="BE298" i="1" s="1"/>
  <c r="J62" i="51"/>
  <c r="J63" i="51" s="1"/>
  <c r="BI297" i="1"/>
  <c r="BJ304" i="1"/>
  <c r="BJ297" i="1"/>
  <c r="AA139" i="1"/>
  <c r="AA1271" i="1" s="1"/>
  <c r="AU38" i="1"/>
  <c r="AU46" i="1"/>
  <c r="BM30" i="1"/>
  <c r="BM903" i="1" s="1"/>
  <c r="R36" i="1"/>
  <c r="AH40" i="359"/>
  <c r="AH41" i="359" s="1"/>
  <c r="BM1062" i="1"/>
  <c r="BM1071" i="1"/>
  <c r="BM1076" i="1" s="1"/>
  <c r="BK1020" i="1"/>
  <c r="BK1016" i="1"/>
  <c r="BK1024" i="1"/>
  <c r="O1008" i="1"/>
  <c r="U890" i="1"/>
  <c r="O868" i="1"/>
  <c r="BI873" i="1"/>
  <c r="AV831" i="1"/>
  <c r="BI647" i="1"/>
  <c r="U10" i="468"/>
  <c r="Y15" i="468" s="1"/>
  <c r="X650" i="1"/>
  <c r="X649" i="1" s="1"/>
  <c r="X620" i="1"/>
  <c r="AA525" i="1"/>
  <c r="BJ490" i="1"/>
  <c r="M283" i="1"/>
  <c r="BL262" i="1"/>
  <c r="BL259" i="1"/>
  <c r="BL279" i="1"/>
  <c r="BK230" i="1"/>
  <c r="BJ282" i="1"/>
  <c r="Q45" i="1"/>
  <c r="M826" i="1"/>
  <c r="M829" i="1"/>
  <c r="Q826" i="1"/>
  <c r="AG419" i="1"/>
  <c r="AG520" i="1"/>
  <c r="S12" i="1"/>
  <c r="S1297" i="1" s="1"/>
  <c r="S1303" i="1" s="1"/>
  <c r="S1072" i="1"/>
  <c r="AN101" i="468"/>
  <c r="AN109" i="468"/>
  <c r="BK1180" i="1"/>
  <c r="W1183" i="1"/>
  <c r="BL1062" i="1"/>
  <c r="BK1021" i="1"/>
  <c r="BJ1019" i="1"/>
  <c r="BJ1024" i="1"/>
  <c r="AA941" i="1"/>
  <c r="AU831" i="1"/>
  <c r="BK262" i="1"/>
  <c r="BK437" i="1"/>
  <c r="BK438" i="1" s="1"/>
  <c r="BK279" i="1"/>
  <c r="BK231" i="1"/>
  <c r="AI799" i="1"/>
  <c r="AI829" i="1"/>
  <c r="BN227" i="1"/>
  <c r="BN282" i="1" s="1"/>
  <c r="AF1083" i="1"/>
  <c r="AF72" i="1"/>
  <c r="AF73" i="1" s="1"/>
  <c r="AF116" i="1" s="1"/>
  <c r="AW32" i="1"/>
  <c r="X37" i="1"/>
  <c r="X903" i="1"/>
  <c r="X910" i="1" s="1"/>
  <c r="AC52" i="359"/>
  <c r="AC53" i="359" s="1"/>
  <c r="BJ1062" i="1"/>
  <c r="BI1071" i="1"/>
  <c r="BI1076" i="1" s="1"/>
  <c r="I1026" i="1"/>
  <c r="I1024" i="1"/>
  <c r="I1028" i="1"/>
  <c r="W890" i="1"/>
  <c r="N657" i="1"/>
  <c r="O419" i="1"/>
  <c r="O423" i="1"/>
  <c r="S425" i="1" s="1"/>
  <c r="O520" i="1"/>
  <c r="O528" i="1" s="1"/>
  <c r="BJ262" i="1"/>
  <c r="BI262" i="1"/>
  <c r="BI279" i="1"/>
  <c r="V234" i="1"/>
  <c r="V292" i="1"/>
  <c r="V291" i="1" s="1"/>
  <c r="AI865" i="1"/>
  <c r="AI749" i="1" s="1"/>
  <c r="AI756" i="1" s="1"/>
  <c r="AI764" i="1" s="1"/>
  <c r="BM227" i="1"/>
  <c r="BM418" i="1"/>
  <c r="X128" i="1"/>
  <c r="X125" i="1" s="1"/>
  <c r="X1183" i="1"/>
  <c r="AD21" i="28"/>
  <c r="AD22" i="28" s="1"/>
  <c r="BG71" i="1"/>
  <c r="BG70" i="1" s="1"/>
  <c r="AE49" i="1"/>
  <c r="AE188" i="1" s="1"/>
  <c r="AE266" i="1"/>
  <c r="AE283" i="1"/>
  <c r="S437" i="1"/>
  <c r="S440" i="1" s="1"/>
  <c r="S279" i="1"/>
  <c r="S259" i="1"/>
  <c r="BD234" i="1"/>
  <c r="BG234" i="1" s="1"/>
  <c r="BD282" i="1"/>
  <c r="AE57" i="359"/>
  <c r="AD1183" i="1"/>
  <c r="BH1062" i="1"/>
  <c r="AS831" i="1"/>
  <c r="BM438" i="1"/>
  <c r="BE246" i="1"/>
  <c r="BE239" i="1"/>
  <c r="BL227" i="1"/>
  <c r="BL282" i="1" s="1"/>
  <c r="AD1083" i="1"/>
  <c r="AD81" i="1"/>
  <c r="AD89" i="1" s="1"/>
  <c r="AY32" i="1"/>
  <c r="AY47" i="1" s="1"/>
  <c r="AY44" i="1"/>
  <c r="G7" i="267"/>
  <c r="G9" i="313" s="1"/>
  <c r="Q13" i="1"/>
  <c r="Q890" i="1"/>
  <c r="BC799" i="1"/>
  <c r="BC796" i="1"/>
  <c r="BC831" i="1" s="1"/>
  <c r="M657" i="1"/>
  <c r="BL440" i="1"/>
  <c r="BM439" i="1"/>
  <c r="BM269" i="1" s="1"/>
  <c r="M520" i="1"/>
  <c r="M528" i="1" s="1"/>
  <c r="AH427" i="1"/>
  <c r="AL427" i="1" s="1"/>
  <c r="AD432" i="1"/>
  <c r="AD430" i="1"/>
  <c r="J36" i="1"/>
  <c r="AG515" i="1"/>
  <c r="AG392" i="1" s="1"/>
  <c r="AG1335" i="1"/>
  <c r="BK1025" i="1"/>
  <c r="S1004" i="1"/>
  <c r="S1024" i="1" s="1"/>
  <c r="AA930" i="1"/>
  <c r="AE515" i="1"/>
  <c r="AE516" i="1" s="1"/>
  <c r="AE525" i="1"/>
  <c r="X1248" i="1"/>
  <c r="AC1335" i="1"/>
  <c r="AH1329" i="1"/>
  <c r="BK1322" i="1"/>
  <c r="W1248" i="1"/>
  <c r="T905" i="1"/>
  <c r="AA826" i="1"/>
  <c r="AT664" i="1"/>
  <c r="AU664" i="1"/>
  <c r="L520" i="1"/>
  <c r="P528" i="1" s="1"/>
  <c r="P425" i="1"/>
  <c r="BH259" i="1"/>
  <c r="BH266" i="1" s="1"/>
  <c r="AV114" i="1"/>
  <c r="AV100" i="1" s="1"/>
  <c r="AV1198" i="1"/>
  <c r="AV1197" i="1" s="1"/>
  <c r="AB53" i="1"/>
  <c r="AC826" i="1"/>
  <c r="M440" i="1"/>
  <c r="M1391" i="1"/>
  <c r="AB1340" i="1"/>
  <c r="AF1339" i="1"/>
  <c r="AJ1335" i="1"/>
  <c r="V1248" i="1"/>
  <c r="BJ1025" i="1"/>
  <c r="BD1020" i="1"/>
  <c r="O1007" i="1"/>
  <c r="S930" i="1"/>
  <c r="H905" i="1"/>
  <c r="K911" i="1"/>
  <c r="S902" i="1"/>
  <c r="S909" i="1" s="1"/>
  <c r="L657" i="1"/>
  <c r="AD525" i="1"/>
  <c r="BI437" i="1"/>
  <c r="BI432" i="1" s="1"/>
  <c r="S262" i="1"/>
  <c r="AX44" i="1"/>
  <c r="W831" i="1"/>
  <c r="AD32" i="1"/>
  <c r="AD38" i="1"/>
  <c r="W37" i="1"/>
  <c r="S37" i="1"/>
  <c r="AV44" i="1"/>
  <c r="AV36" i="1"/>
  <c r="H32" i="1"/>
  <c r="AX1248" i="1"/>
  <c r="Q1183" i="1"/>
  <c r="AW667" i="1"/>
  <c r="X314" i="1"/>
  <c r="BM280" i="1"/>
  <c r="BM263" i="1"/>
  <c r="BK227" i="1"/>
  <c r="BK292" i="1" s="1"/>
  <c r="BK291" i="1" s="1"/>
  <c r="S798" i="1"/>
  <c r="S232" i="1"/>
  <c r="M612" i="1"/>
  <c r="Q614" i="1" s="1"/>
  <c r="AX13" i="1"/>
  <c r="I41" i="51"/>
  <c r="J41" i="51"/>
  <c r="I31" i="51"/>
  <c r="H41" i="51"/>
  <c r="AH245" i="1"/>
  <c r="Q234" i="1"/>
  <c r="Q235" i="1" s="1"/>
  <c r="BM133" i="1"/>
  <c r="BL71" i="1"/>
  <c r="G58" i="523" s="1"/>
  <c r="Z612" i="1"/>
  <c r="R38" i="1"/>
  <c r="AU45" i="1"/>
  <c r="AU37" i="1"/>
  <c r="AB36" i="1"/>
  <c r="AB44" i="1"/>
  <c r="W1072" i="1"/>
  <c r="W1077" i="1" s="1"/>
  <c r="AG245" i="1"/>
  <c r="P234" i="1"/>
  <c r="P235" i="1" s="1"/>
  <c r="S230" i="1"/>
  <c r="W230" i="1"/>
  <c r="AE245" i="1" s="1"/>
  <c r="BG129" i="1"/>
  <c r="BD38" i="1"/>
  <c r="BG38" i="1" s="1"/>
  <c r="Q46" i="1"/>
  <c r="Q904" i="1"/>
  <c r="AU30" i="468"/>
  <c r="AQ30" i="468"/>
  <c r="AQ99" i="468"/>
  <c r="O612" i="1"/>
  <c r="S614" i="1" s="1"/>
  <c r="P38" i="1"/>
  <c r="AA1329" i="1"/>
  <c r="R1019" i="1"/>
  <c r="R1025" i="1"/>
  <c r="R1021" i="1"/>
  <c r="O1013" i="1"/>
  <c r="I909" i="1"/>
  <c r="AE888" i="1"/>
  <c r="P658" i="1"/>
  <c r="V657" i="1"/>
  <c r="X526" i="1"/>
  <c r="AG282" i="1"/>
  <c r="AG235" i="1"/>
  <c r="AG164" i="1" s="1"/>
  <c r="AD99" i="468"/>
  <c r="AG69" i="359"/>
  <c r="AU44" i="1"/>
  <c r="AU36" i="1"/>
  <c r="K36" i="1"/>
  <c r="G902" i="1"/>
  <c r="G905" i="1" s="1"/>
  <c r="BE234" i="1"/>
  <c r="BE282" i="1"/>
  <c r="L45" i="359"/>
  <c r="O45" i="359"/>
  <c r="I45" i="359"/>
  <c r="K1248" i="1"/>
  <c r="BH1070" i="1"/>
  <c r="BH1075" i="1" s="1"/>
  <c r="BK945" i="1"/>
  <c r="AE929" i="1"/>
  <c r="BI876" i="1"/>
  <c r="P660" i="1"/>
  <c r="BJ648" i="1"/>
  <c r="I508" i="1"/>
  <c r="I443" i="1" s="1"/>
  <c r="H139" i="1"/>
  <c r="H1271" i="1" s="1"/>
  <c r="BK1158" i="1"/>
  <c r="BK128" i="1" s="1"/>
  <c r="BG114" i="1"/>
  <c r="Z49" i="1"/>
  <c r="Z188" i="1" s="1"/>
  <c r="AD195" i="1" s="1"/>
  <c r="Z266" i="1"/>
  <c r="S617" i="1"/>
  <c r="BK619" i="1" s="1"/>
  <c r="BK270" i="1" s="1"/>
  <c r="S280" i="1"/>
  <c r="N432" i="1"/>
  <c r="R434" i="1" s="1"/>
  <c r="U36" i="1"/>
  <c r="AT30" i="468"/>
  <c r="AP30" i="468"/>
  <c r="X40" i="359"/>
  <c r="X41" i="359" s="1"/>
  <c r="BB37" i="1"/>
  <c r="AI36" i="1"/>
  <c r="AI902" i="1"/>
  <c r="K52" i="359"/>
  <c r="AI1335" i="1"/>
  <c r="BM1322" i="1"/>
  <c r="Q1202" i="1"/>
  <c r="AY1183" i="1"/>
  <c r="J1183" i="1"/>
  <c r="J1202" i="1" s="1"/>
  <c r="BI945" i="1"/>
  <c r="O945" i="1" s="1"/>
  <c r="AE930" i="1"/>
  <c r="P799" i="1"/>
  <c r="S646" i="1"/>
  <c r="AC525" i="1"/>
  <c r="W314" i="1"/>
  <c r="AC246" i="1"/>
  <c r="AF245" i="1"/>
  <c r="BN129" i="1"/>
  <c r="W432" i="1"/>
  <c r="AA434" i="1" s="1"/>
  <c r="D46" i="1"/>
  <c r="I80" i="1"/>
  <c r="BL134" i="1"/>
  <c r="V36" i="1"/>
  <c r="BK18" i="1"/>
  <c r="T80" i="1"/>
  <c r="BK80" i="1" s="1"/>
  <c r="AD45" i="1"/>
  <c r="X36" i="1"/>
  <c r="T36" i="1"/>
  <c r="AD488" i="1"/>
  <c r="AD526" i="1"/>
  <c r="H23" i="51"/>
  <c r="G23" i="51"/>
  <c r="BJ1321" i="1"/>
  <c r="BG1070" i="1"/>
  <c r="BG1075" i="1" s="1"/>
  <c r="S1009" i="1"/>
  <c r="AA943" i="1"/>
  <c r="I904" i="1"/>
  <c r="AW831" i="1"/>
  <c r="AU665" i="1"/>
  <c r="O508" i="1"/>
  <c r="O443" i="1" s="1"/>
  <c r="R266" i="1"/>
  <c r="BC139" i="1"/>
  <c r="BC1271" i="1" s="1"/>
  <c r="BL133" i="1"/>
  <c r="AE432" i="1"/>
  <c r="AI434" i="1" s="1"/>
  <c r="AI427" i="1"/>
  <c r="AZ45" i="1"/>
  <c r="L37" i="1"/>
  <c r="L45" i="1"/>
  <c r="AT13" i="1"/>
  <c r="AU13" i="1"/>
  <c r="AT19" i="1"/>
  <c r="C10" i="276"/>
  <c r="AK30" i="468"/>
  <c r="AG99" i="468"/>
  <c r="V57" i="359"/>
  <c r="V138" i="359" s="1"/>
  <c r="BI496" i="1"/>
  <c r="BJ440" i="1"/>
  <c r="Q266" i="1"/>
  <c r="BI263" i="1"/>
  <c r="BJ263" i="1"/>
  <c r="N245" i="1"/>
  <c r="BG134" i="1"/>
  <c r="BH38" i="1"/>
  <c r="V38" i="1"/>
  <c r="V46" i="1"/>
  <c r="O37" i="1"/>
  <c r="Y909" i="1"/>
  <c r="T872" i="1"/>
  <c r="BC829" i="1"/>
  <c r="AV664" i="1"/>
  <c r="BM231" i="1"/>
  <c r="AZ139" i="1"/>
  <c r="AZ1271" i="1" s="1"/>
  <c r="O139" i="1"/>
  <c r="R432" i="1"/>
  <c r="BA32" i="1"/>
  <c r="Q36" i="1"/>
  <c r="AE30" i="468"/>
  <c r="BL231" i="1"/>
  <c r="I139" i="1"/>
  <c r="I1271" i="1" s="1"/>
  <c r="U125" i="1"/>
  <c r="AZ32" i="1"/>
  <c r="L36" i="1"/>
  <c r="Z40" i="359"/>
  <c r="Z41" i="359" s="1"/>
  <c r="J31" i="51"/>
  <c r="L432" i="1"/>
  <c r="P434" i="1" s="1"/>
  <c r="R32" i="1"/>
  <c r="AB69" i="359"/>
  <c r="M508" i="1"/>
  <c r="M509" i="1" s="1"/>
  <c r="AB314" i="1"/>
  <c r="BM279" i="1"/>
  <c r="BE247" i="1"/>
  <c r="AJ139" i="1"/>
  <c r="AJ1271" i="1" s="1"/>
  <c r="BM134" i="1"/>
  <c r="AZ44" i="1"/>
  <c r="N1072" i="1"/>
  <c r="Z45" i="359"/>
  <c r="C48" i="276"/>
  <c r="U612" i="1"/>
  <c r="AX37" i="1"/>
  <c r="J37" i="1"/>
  <c r="AI514" i="1"/>
  <c r="E8" i="525" s="1"/>
  <c r="J508" i="1"/>
  <c r="J509" i="1" s="1"/>
  <c r="BK309" i="1"/>
  <c r="BK319" i="1" s="1"/>
  <c r="Z139" i="1"/>
  <c r="Z1271" i="1" s="1"/>
  <c r="Z115" i="1"/>
  <c r="BM114" i="1"/>
  <c r="H50" i="523" s="1"/>
  <c r="BM75" i="1"/>
  <c r="AE612" i="1"/>
  <c r="AE615" i="1" s="1"/>
  <c r="AV37" i="1"/>
  <c r="H37" i="1"/>
  <c r="M52" i="359"/>
  <c r="M53" i="359" s="1"/>
  <c r="AB246" i="1"/>
  <c r="BL132" i="1"/>
  <c r="R125" i="1"/>
  <c r="Y888" i="1"/>
  <c r="AB799" i="1"/>
  <c r="AI438" i="1"/>
  <c r="Q314" i="1"/>
  <c r="BH227" i="1"/>
  <c r="BH234" i="1" s="1"/>
  <c r="U139" i="1"/>
  <c r="U1271" i="1" s="1"/>
  <c r="Q125" i="1"/>
  <c r="N38" i="1"/>
  <c r="Z36" i="1"/>
  <c r="H1072" i="1"/>
  <c r="AR30" i="468"/>
  <c r="AB887" i="1"/>
  <c r="BM861" i="1"/>
  <c r="BG430" i="1"/>
  <c r="V419" i="1"/>
  <c r="BN297" i="1"/>
  <c r="X139" i="1"/>
  <c r="X1271" i="1" s="1"/>
  <c r="BL114" i="1"/>
  <c r="G50" i="523" s="1"/>
  <c r="BA46" i="1"/>
  <c r="AD612" i="1"/>
  <c r="Y432" i="1"/>
  <c r="T432" i="1"/>
  <c r="X434" i="1" s="1"/>
  <c r="AH32" i="1"/>
  <c r="Y36" i="1"/>
  <c r="P57" i="359"/>
  <c r="P138" i="359" s="1"/>
  <c r="Y889" i="1"/>
  <c r="AE872" i="1"/>
  <c r="AI886" i="1" s="1"/>
  <c r="AJ826" i="1"/>
  <c r="AJ648" i="1"/>
  <c r="X245" i="1"/>
  <c r="L234" i="1"/>
  <c r="L235" i="1" s="1"/>
  <c r="BN133" i="1"/>
  <c r="X32" i="1"/>
  <c r="BC1072" i="1"/>
  <c r="BC310" i="1" s="1"/>
  <c r="F1072" i="1"/>
  <c r="BN437" i="1"/>
  <c r="BE283" i="1"/>
  <c r="AG247" i="1"/>
  <c r="AD125" i="1"/>
  <c r="O125" i="1"/>
  <c r="D125" i="1"/>
  <c r="BM121" i="1"/>
  <c r="H72" i="523" s="1"/>
  <c r="N612" i="1"/>
  <c r="BN30" i="1"/>
  <c r="BN903" i="1" s="1"/>
  <c r="W32" i="1"/>
  <c r="BB1072" i="1"/>
  <c r="X1072" i="1"/>
  <c r="D19" i="1"/>
  <c r="AU21" i="468"/>
  <c r="AT105" i="468"/>
  <c r="BZ46" i="468"/>
  <c r="BB21" i="468"/>
  <c r="BZ16" i="468"/>
  <c r="CA44" i="468"/>
  <c r="AU29" i="468"/>
  <c r="CA14" i="468"/>
  <c r="AU95" i="468"/>
  <c r="AR19" i="468"/>
  <c r="BZ44" i="468"/>
  <c r="AW93" i="468"/>
  <c r="BA19" i="468"/>
  <c r="X105" i="28"/>
  <c r="O108" i="28"/>
  <c r="T107" i="28"/>
  <c r="Y98" i="28"/>
  <c r="V106" i="28"/>
  <c r="E98" i="28"/>
  <c r="D105" i="28"/>
  <c r="AA98" i="28"/>
  <c r="Z105" i="28"/>
  <c r="Q108" i="28"/>
  <c r="V107" i="28"/>
  <c r="X106" i="28"/>
  <c r="Z102" i="28"/>
  <c r="Y102" i="28"/>
  <c r="X102" i="28"/>
  <c r="J102" i="28"/>
  <c r="I102" i="28"/>
  <c r="H102" i="28"/>
  <c r="T73" i="28"/>
  <c r="T95" i="28"/>
  <c r="Q73" i="28"/>
  <c r="Q95" i="28"/>
  <c r="H24" i="3"/>
  <c r="P73" i="28"/>
  <c r="P95" i="28"/>
  <c r="AB98" i="28"/>
  <c r="AA105" i="28"/>
  <c r="R108" i="28"/>
  <c r="W107" i="28"/>
  <c r="Y106" i="28"/>
  <c r="W102" i="28"/>
  <c r="G102" i="28"/>
  <c r="N108" i="28"/>
  <c r="S107" i="28"/>
  <c r="U106" i="28"/>
  <c r="X98" i="28"/>
  <c r="W105" i="28"/>
  <c r="O73" i="28"/>
  <c r="O95" i="28"/>
  <c r="V102" i="28"/>
  <c r="F102" i="28"/>
  <c r="M108" i="28"/>
  <c r="R107" i="28"/>
  <c r="T106" i="28"/>
  <c r="W98" i="28"/>
  <c r="V105" i="28"/>
  <c r="N73" i="28"/>
  <c r="N95" i="28"/>
  <c r="U102" i="28"/>
  <c r="E102" i="28"/>
  <c r="L108" i="28"/>
  <c r="Q107" i="28"/>
  <c r="S106" i="28"/>
  <c r="V98" i="28"/>
  <c r="U105" i="28"/>
  <c r="H95" i="28"/>
  <c r="H73" i="28"/>
  <c r="T102" i="28"/>
  <c r="D102" i="28"/>
  <c r="P107" i="28"/>
  <c r="R106" i="28"/>
  <c r="U98" i="28"/>
  <c r="T105" i="28"/>
  <c r="K108" i="28"/>
  <c r="D73" i="28"/>
  <c r="D95" i="28"/>
  <c r="S102" i="28"/>
  <c r="O107" i="28"/>
  <c r="Q106" i="28"/>
  <c r="T98" i="28"/>
  <c r="S105" i="28"/>
  <c r="J108" i="28"/>
  <c r="AJ101" i="28"/>
  <c r="AK101" i="28"/>
  <c r="AL101" i="28"/>
  <c r="AM101" i="28"/>
  <c r="AH102" i="28"/>
  <c r="AN101" i="28"/>
  <c r="R102" i="28"/>
  <c r="N107" i="28"/>
  <c r="P106" i="28"/>
  <c r="S98" i="28"/>
  <c r="R105" i="28"/>
  <c r="I108" i="28"/>
  <c r="AG102" i="28"/>
  <c r="Q102" i="28"/>
  <c r="M107" i="28"/>
  <c r="O106" i="28"/>
  <c r="R98" i="28"/>
  <c r="Q105" i="28"/>
  <c r="H108" i="28"/>
  <c r="AF102" i="28"/>
  <c r="P102" i="28"/>
  <c r="AJ97" i="28"/>
  <c r="AK97" i="28"/>
  <c r="AL97" i="28"/>
  <c r="AH98" i="28"/>
  <c r="AM97" i="28"/>
  <c r="AG105" i="28"/>
  <c r="AN97" i="28"/>
  <c r="L107" i="28"/>
  <c r="N106" i="28"/>
  <c r="Q98" i="28"/>
  <c r="P105" i="28"/>
  <c r="G108" i="28"/>
  <c r="AE102" i="28"/>
  <c r="O102" i="28"/>
  <c r="AG98" i="28"/>
  <c r="AF105" i="28"/>
  <c r="K106" i="28"/>
  <c r="N98" i="28"/>
  <c r="M105" i="28"/>
  <c r="D108" i="28"/>
  <c r="I107" i="28"/>
  <c r="AG73" i="28"/>
  <c r="AG95" i="28"/>
  <c r="AD102" i="28"/>
  <c r="N102" i="28"/>
  <c r="AA107" i="28"/>
  <c r="AB108" i="28"/>
  <c r="AB107" i="28"/>
  <c r="AC108" i="28"/>
  <c r="AC107" i="28"/>
  <c r="AD108" i="28"/>
  <c r="AC106" i="28"/>
  <c r="AD107" i="28"/>
  <c r="AE108" i="28"/>
  <c r="AD106" i="28"/>
  <c r="AE107" i="28"/>
  <c r="AF108" i="28"/>
  <c r="AE106" i="28"/>
  <c r="AF107" i="28"/>
  <c r="AG108" i="28"/>
  <c r="AF98" i="28"/>
  <c r="AF106" i="28"/>
  <c r="AG107" i="28"/>
  <c r="AH108" i="28"/>
  <c r="AE105" i="28"/>
  <c r="AG106" i="28"/>
  <c r="AH107" i="28"/>
  <c r="AH106" i="28"/>
  <c r="V108" i="28"/>
  <c r="W108" i="28"/>
  <c r="X108" i="28"/>
  <c r="Y108" i="28"/>
  <c r="Z108" i="28"/>
  <c r="AA108" i="28"/>
  <c r="J106" i="28"/>
  <c r="M98" i="28"/>
  <c r="L105" i="28"/>
  <c r="H107" i="28"/>
  <c r="AF95" i="28"/>
  <c r="AF73" i="28"/>
  <c r="AC102" i="28"/>
  <c r="M102" i="28"/>
  <c r="AB106" i="28"/>
  <c r="AE98" i="28"/>
  <c r="AD105" i="28"/>
  <c r="U108" i="28"/>
  <c r="Z107" i="28"/>
  <c r="K98" i="28"/>
  <c r="J105" i="28"/>
  <c r="F107" i="28"/>
  <c r="H106" i="28"/>
  <c r="AE73" i="28"/>
  <c r="AE95" i="28"/>
  <c r="AB102" i="28"/>
  <c r="L102" i="28"/>
  <c r="AA106" i="28"/>
  <c r="AD98" i="28"/>
  <c r="AC105" i="28"/>
  <c r="T108" i="28"/>
  <c r="Y107" i="28"/>
  <c r="E106" i="28"/>
  <c r="H98" i="28"/>
  <c r="G105" i="28"/>
  <c r="AD73" i="28"/>
  <c r="AD95" i="28"/>
  <c r="AA102" i="28"/>
  <c r="K102" i="28"/>
  <c r="Z106" i="28"/>
  <c r="AC98" i="28"/>
  <c r="AB105" i="28"/>
  <c r="S108" i="28"/>
  <c r="X107" i="28"/>
  <c r="D106" i="28"/>
  <c r="G98" i="28"/>
  <c r="F105" i="28"/>
  <c r="X95" i="28"/>
  <c r="X73" i="28"/>
  <c r="K107" i="28"/>
  <c r="M106" i="28"/>
  <c r="P98" i="28"/>
  <c r="O105" i="28"/>
  <c r="F108" i="28"/>
  <c r="AC73" i="28"/>
  <c r="AC95" i="28"/>
  <c r="M73" i="28"/>
  <c r="M95" i="28"/>
  <c r="L106" i="28"/>
  <c r="O98" i="28"/>
  <c r="N105" i="28"/>
  <c r="E108" i="28"/>
  <c r="J107" i="28"/>
  <c r="AB95" i="28"/>
  <c r="AB73" i="28"/>
  <c r="L95" i="28"/>
  <c r="L73" i="28"/>
  <c r="AA73" i="28"/>
  <c r="AA95" i="28"/>
  <c r="K73" i="28"/>
  <c r="K95" i="28"/>
  <c r="Z73" i="28"/>
  <c r="Z95" i="28"/>
  <c r="J73" i="28"/>
  <c r="J95" i="28"/>
  <c r="L98" i="28"/>
  <c r="K105" i="28"/>
  <c r="G107" i="28"/>
  <c r="I106" i="28"/>
  <c r="Y95" i="28"/>
  <c r="Y73" i="28"/>
  <c r="I73" i="28"/>
  <c r="I95" i="28"/>
  <c r="Z98" i="28"/>
  <c r="Y105" i="28"/>
  <c r="P108" i="28"/>
  <c r="U107" i="28"/>
  <c r="W106" i="28"/>
  <c r="J98" i="28"/>
  <c r="I105" i="28"/>
  <c r="E107" i="28"/>
  <c r="G106" i="28"/>
  <c r="W95" i="28"/>
  <c r="W73" i="28"/>
  <c r="G73" i="28"/>
  <c r="G95" i="28"/>
  <c r="H105" i="28"/>
  <c r="D107" i="28"/>
  <c r="F106" i="28"/>
  <c r="I98" i="28"/>
  <c r="AJ89" i="28"/>
  <c r="AL89" i="28"/>
  <c r="AK89" i="28"/>
  <c r="AM89" i="28"/>
  <c r="AN89" i="28"/>
  <c r="V95" i="28"/>
  <c r="V73" i="28"/>
  <c r="F73" i="28"/>
  <c r="F95" i="28"/>
  <c r="U73" i="28"/>
  <c r="U95" i="28"/>
  <c r="E73" i="28"/>
  <c r="E95" i="28"/>
  <c r="F98" i="28"/>
  <c r="E105" i="28"/>
  <c r="S73" i="28"/>
  <c r="S95" i="28"/>
  <c r="AJ71" i="28"/>
  <c r="AL71" i="28"/>
  <c r="AM71" i="28"/>
  <c r="AN71" i="28"/>
  <c r="AH95" i="28"/>
  <c r="AK71" i="28"/>
  <c r="R73" i="28"/>
  <c r="R95" i="28"/>
  <c r="AE1007" i="1"/>
  <c r="AE1011" i="1"/>
  <c r="AI1011" i="1"/>
  <c r="AE1013" i="1"/>
  <c r="AI1013" i="1"/>
  <c r="I1374" i="1"/>
  <c r="AE945" i="1"/>
  <c r="F1356" i="1"/>
  <c r="G1377" i="1"/>
  <c r="H1377" i="1" s="1"/>
  <c r="AI1353" i="1"/>
  <c r="AB1335" i="1"/>
  <c r="L1335" i="1"/>
  <c r="AF1335" i="1"/>
  <c r="P1335" i="1"/>
  <c r="X1197" i="1"/>
  <c r="D23" i="522" s="1"/>
  <c r="D55" i="522" s="1"/>
  <c r="P1019" i="1"/>
  <c r="P1016" i="1"/>
  <c r="T1016" i="1"/>
  <c r="P1028" i="1"/>
  <c r="P1027" i="1"/>
  <c r="P1026" i="1"/>
  <c r="P1025" i="1"/>
  <c r="P1024" i="1"/>
  <c r="P1023" i="1"/>
  <c r="P1022" i="1"/>
  <c r="BM1198" i="1"/>
  <c r="Z1183" i="1"/>
  <c r="BL1167" i="1"/>
  <c r="BI1061" i="1"/>
  <c r="BJ1061" i="1"/>
  <c r="BI1070" i="1"/>
  <c r="BI1075" i="1" s="1"/>
  <c r="S941" i="1"/>
  <c r="W941" i="1"/>
  <c r="F1378" i="1"/>
  <c r="BI1320" i="1"/>
  <c r="AD1248" i="1"/>
  <c r="BK1234" i="1"/>
  <c r="BK1241" i="1" s="1"/>
  <c r="BN1215" i="1"/>
  <c r="AI1223" i="1"/>
  <c r="BN1223" i="1" s="1"/>
  <c r="BM1180" i="1"/>
  <c r="F1353" i="1"/>
  <c r="S1234" i="1"/>
  <c r="S1241" i="1" s="1"/>
  <c r="AF1075" i="1"/>
  <c r="AA931" i="1"/>
  <c r="BN1241" i="1"/>
  <c r="AI1248" i="1"/>
  <c r="BN1248" i="1" s="1"/>
  <c r="E1379" i="1"/>
  <c r="BN1180" i="1"/>
  <c r="AF1183" i="1"/>
  <c r="R1102" i="1"/>
  <c r="AF1019" i="1"/>
  <c r="AF1028" i="1"/>
  <c r="AF1027" i="1"/>
  <c r="AF1026" i="1"/>
  <c r="AF1025" i="1"/>
  <c r="AF1024" i="1"/>
  <c r="AF1023" i="1"/>
  <c r="AF1022" i="1"/>
  <c r="BM945" i="1"/>
  <c r="BN945" i="1"/>
  <c r="T658" i="1"/>
  <c r="BK648" i="1"/>
  <c r="T649" i="1"/>
  <c r="BN1071" i="1"/>
  <c r="BN1076" i="1" s="1"/>
  <c r="AF1076" i="1"/>
  <c r="AW1035" i="1"/>
  <c r="AW1038" i="1"/>
  <c r="AW1040" i="1" s="1"/>
  <c r="BN1198" i="1"/>
  <c r="T174" i="519" s="1"/>
  <c r="AC1340" i="1"/>
  <c r="M1340" i="1"/>
  <c r="AF1338" i="1"/>
  <c r="P1338" i="1"/>
  <c r="S1180" i="1"/>
  <c r="W1004" i="1"/>
  <c r="W1024" i="1" s="1"/>
  <c r="BJ931" i="1"/>
  <c r="AD911" i="1"/>
  <c r="S888" i="1"/>
  <c r="W888" i="1"/>
  <c r="AI648" i="1"/>
  <c r="AI674" i="1" s="1"/>
  <c r="BN1105" i="1"/>
  <c r="X1335" i="1"/>
  <c r="BI1020" i="1"/>
  <c r="BI1019" i="1"/>
  <c r="BI1016" i="1"/>
  <c r="BJ1016" i="1"/>
  <c r="BI1028" i="1"/>
  <c r="BI1027" i="1"/>
  <c r="BI1026" i="1"/>
  <c r="BI1025" i="1"/>
  <c r="BI1024" i="1"/>
  <c r="BI1023" i="1"/>
  <c r="BB1028" i="1"/>
  <c r="BB1027" i="1"/>
  <c r="BB1026" i="1"/>
  <c r="BB1025" i="1"/>
  <c r="BB1024" i="1"/>
  <c r="BB1023" i="1"/>
  <c r="BB1022" i="1"/>
  <c r="BB1021" i="1"/>
  <c r="BB1020" i="1"/>
  <c r="BB1019" i="1"/>
  <c r="AB1339" i="1"/>
  <c r="L1339" i="1"/>
  <c r="BH1019" i="1"/>
  <c r="BH1016" i="1"/>
  <c r="BH1028" i="1"/>
  <c r="BH1027" i="1"/>
  <c r="BH1026" i="1"/>
  <c r="BH1025" i="1"/>
  <c r="BH1024" i="1"/>
  <c r="BH1023" i="1"/>
  <c r="BH1022" i="1"/>
  <c r="BJ1326" i="1"/>
  <c r="BJ1338" i="1" s="1"/>
  <c r="BC1248" i="1"/>
  <c r="AF1021" i="1"/>
  <c r="BH1020" i="1"/>
  <c r="BC1016" i="1"/>
  <c r="S910" i="1"/>
  <c r="W910" i="1"/>
  <c r="K905" i="1"/>
  <c r="R526" i="1"/>
  <c r="AD1323" i="1"/>
  <c r="AD1329" i="1"/>
  <c r="AH1323" i="1"/>
  <c r="N1323" i="1"/>
  <c r="N1329" i="1"/>
  <c r="R1323" i="1"/>
  <c r="BI1322" i="1"/>
  <c r="BJ1322" i="1"/>
  <c r="BI1328" i="1"/>
  <c r="BJ1328" i="1"/>
  <c r="BJ1340" i="1" s="1"/>
  <c r="BB1248" i="1"/>
  <c r="P1248" i="1"/>
  <c r="BK1167" i="1"/>
  <c r="AI1007" i="1"/>
  <c r="R910" i="1"/>
  <c r="V910" i="1"/>
  <c r="R905" i="1"/>
  <c r="AC1323" i="1"/>
  <c r="AC1329" i="1"/>
  <c r="AG1323" i="1"/>
  <c r="M1323" i="1"/>
  <c r="M1329" i="1"/>
  <c r="Q1323" i="1"/>
  <c r="BH1322" i="1"/>
  <c r="BH1328" i="1"/>
  <c r="BH1320" i="1"/>
  <c r="O1248" i="1"/>
  <c r="AF1248" i="1"/>
  <c r="BI1021" i="1"/>
  <c r="AE1015" i="1"/>
  <c r="BK911" i="1"/>
  <c r="F1375" i="1"/>
  <c r="AB1323" i="1"/>
  <c r="AB1329" i="1"/>
  <c r="AF1323" i="1"/>
  <c r="BM1317" i="1"/>
  <c r="L1323" i="1"/>
  <c r="L1329" i="1"/>
  <c r="P1323" i="1"/>
  <c r="BI1317" i="1"/>
  <c r="N1248" i="1"/>
  <c r="AA1015" i="1"/>
  <c r="AB1013" i="1"/>
  <c r="AF1013" i="1"/>
  <c r="AF1011" i="1"/>
  <c r="AB1011" i="1"/>
  <c r="AB1009" i="1"/>
  <c r="AF1009" i="1"/>
  <c r="AB1007" i="1"/>
  <c r="AF1007" i="1"/>
  <c r="AB1004" i="1"/>
  <c r="AF1016" i="1" s="1"/>
  <c r="F1376" i="1"/>
  <c r="BM1158" i="1"/>
  <c r="AA1241" i="1"/>
  <c r="BL1234" i="1"/>
  <c r="BL1158" i="1"/>
  <c r="BL1194" i="1" s="1"/>
  <c r="BE821" i="1"/>
  <c r="BE829" i="1"/>
  <c r="BE826" i="1"/>
  <c r="BH826" i="1" s="1"/>
  <c r="BD419" i="1"/>
  <c r="BG419" i="1" s="1"/>
  <c r="BE419" i="1"/>
  <c r="N419" i="1"/>
  <c r="N423" i="1"/>
  <c r="N520" i="1"/>
  <c r="R419" i="1"/>
  <c r="N440" i="1"/>
  <c r="BM1328" i="1"/>
  <c r="BG1022" i="1"/>
  <c r="AD1021" i="1"/>
  <c r="N1021" i="1"/>
  <c r="BC1019" i="1"/>
  <c r="Y1016" i="1"/>
  <c r="S1015" i="1"/>
  <c r="AA1011" i="1"/>
  <c r="O1009" i="1"/>
  <c r="S1007" i="1"/>
  <c r="V911" i="1"/>
  <c r="BJ910" i="1"/>
  <c r="BJ905" i="1"/>
  <c r="S890" i="1"/>
  <c r="U889" i="1"/>
  <c r="AU668" i="1"/>
  <c r="AV668" i="1"/>
  <c r="BL1317" i="1"/>
  <c r="AD1197" i="1"/>
  <c r="V1197" i="1"/>
  <c r="V1202" i="1" s="1"/>
  <c r="BK1182" i="1"/>
  <c r="BG1023" i="1"/>
  <c r="AD1022" i="1"/>
  <c r="N1022" i="1"/>
  <c r="BC1020" i="1"/>
  <c r="W938" i="1"/>
  <c r="AV666" i="1"/>
  <c r="AI618" i="1"/>
  <c r="AI620" i="1"/>
  <c r="BG1024" i="1"/>
  <c r="AD1023" i="1"/>
  <c r="N1023" i="1"/>
  <c r="AA1004" i="1"/>
  <c r="AA1023" i="1" s="1"/>
  <c r="BK490" i="1"/>
  <c r="AI1323" i="1"/>
  <c r="S1323" i="1"/>
  <c r="BJ1317" i="1"/>
  <c r="U1197" i="1"/>
  <c r="BG1025" i="1"/>
  <c r="AD1024" i="1"/>
  <c r="N1024" i="1"/>
  <c r="BC1022" i="1"/>
  <c r="AX1016" i="1"/>
  <c r="AF1015" i="1"/>
  <c r="BI861" i="1"/>
  <c r="AJ796" i="1"/>
  <c r="AJ829" i="1"/>
  <c r="AJ868" i="1"/>
  <c r="F39" i="525" s="1"/>
  <c r="AJ799" i="1"/>
  <c r="AU667" i="1"/>
  <c r="AV667" i="1"/>
  <c r="L525" i="1"/>
  <c r="P525" i="1"/>
  <c r="BI517" i="1"/>
  <c r="BG1026" i="1"/>
  <c r="AD1025" i="1"/>
  <c r="N1025" i="1"/>
  <c r="BC1023" i="1"/>
  <c r="S1013" i="1"/>
  <c r="W930" i="1"/>
  <c r="BL931" i="1"/>
  <c r="L910" i="1"/>
  <c r="AG889" i="1"/>
  <c r="AK889" i="1"/>
  <c r="Q889" i="1"/>
  <c r="BN617" i="1"/>
  <c r="BL1327" i="1"/>
  <c r="BG1027" i="1"/>
  <c r="AD1026" i="1"/>
  <c r="N1026" i="1"/>
  <c r="BC1024" i="1"/>
  <c r="W929" i="1"/>
  <c r="BN263" i="1"/>
  <c r="BN280" i="1"/>
  <c r="AF1329" i="1"/>
  <c r="P1329" i="1"/>
  <c r="BM1321" i="1"/>
  <c r="AD1027" i="1"/>
  <c r="N1027" i="1"/>
  <c r="BC1025" i="1"/>
  <c r="Y1022" i="1"/>
  <c r="I1022" i="1"/>
  <c r="X1021" i="1"/>
  <c r="H1021" i="1"/>
  <c r="AX1020" i="1"/>
  <c r="AW1019" i="1"/>
  <c r="V1019" i="1"/>
  <c r="BM1016" i="1"/>
  <c r="AI1008" i="1"/>
  <c r="S1008" i="1"/>
  <c r="BL945" i="1"/>
  <c r="AF905" i="1"/>
  <c r="AJ854" i="1"/>
  <c r="AE1329" i="1"/>
  <c r="O1329" i="1"/>
  <c r="BJ1327" i="1"/>
  <c r="BJ1339" i="1" s="1"/>
  <c r="AI1203" i="1"/>
  <c r="AD1028" i="1"/>
  <c r="N1028" i="1"/>
  <c r="BC1026" i="1"/>
  <c r="AH1016" i="1"/>
  <c r="R1016" i="1"/>
  <c r="BK931" i="1"/>
  <c r="AC890" i="1"/>
  <c r="U888" i="1"/>
  <c r="BM876" i="1"/>
  <c r="BI231" i="1"/>
  <c r="BJ231" i="1"/>
  <c r="BI280" i="1"/>
  <c r="BK1321" i="1"/>
  <c r="S1011" i="1"/>
  <c r="AH10" i="468"/>
  <c r="Z646" i="1"/>
  <c r="BQ645" i="1"/>
  <c r="R10" i="468"/>
  <c r="S45" i="468" s="1"/>
  <c r="J646" i="1"/>
  <c r="AA620" i="1"/>
  <c r="AA650" i="1"/>
  <c r="K620" i="1"/>
  <c r="K650" i="1"/>
  <c r="Q1203" i="1"/>
  <c r="X658" i="1"/>
  <c r="BK1326" i="1"/>
  <c r="AE909" i="1"/>
  <c r="AI889" i="1"/>
  <c r="AA889" i="1"/>
  <c r="T489" i="1"/>
  <c r="Y905" i="1"/>
  <c r="BK517" i="1"/>
  <c r="T525" i="1"/>
  <c r="X525" i="1"/>
  <c r="K508" i="1"/>
  <c r="BH496" i="1"/>
  <c r="K498" i="1"/>
  <c r="K499" i="1" s="1"/>
  <c r="AH829" i="1"/>
  <c r="AH826" i="1"/>
  <c r="AH821" i="1"/>
  <c r="R829" i="1"/>
  <c r="R799" i="1"/>
  <c r="R868" i="1"/>
  <c r="V799" i="1"/>
  <c r="AE37" i="28"/>
  <c r="AE38" i="28" s="1"/>
  <c r="C40" i="292"/>
  <c r="E55" i="3"/>
  <c r="L868" i="1"/>
  <c r="BD821" i="1"/>
  <c r="BD831" i="1" s="1"/>
  <c r="AJ821" i="1"/>
  <c r="X799" i="1"/>
  <c r="AH648" i="1"/>
  <c r="AG58" i="468"/>
  <c r="AG35" i="468" s="1"/>
  <c r="AG98" i="468"/>
  <c r="Q45" i="468"/>
  <c r="Q98" i="468"/>
  <c r="Q101" i="468" s="1"/>
  <c r="BJ619" i="1"/>
  <c r="BJ270" i="1" s="1"/>
  <c r="V526" i="1"/>
  <c r="Y525" i="1"/>
  <c r="BI498" i="1"/>
  <c r="BI499" i="1" s="1"/>
  <c r="N247" i="1"/>
  <c r="Y245" i="1"/>
  <c r="M245" i="1"/>
  <c r="Y299" i="1"/>
  <c r="U291" i="1"/>
  <c r="AB872" i="1"/>
  <c r="T857" i="1"/>
  <c r="AA855" i="1"/>
  <c r="AE854" i="1"/>
  <c r="AI854" i="1" s="1"/>
  <c r="V649" i="1"/>
  <c r="N649" i="1"/>
  <c r="V646" i="1"/>
  <c r="N646" i="1"/>
  <c r="P45" i="468"/>
  <c r="BR10" i="468"/>
  <c r="P98" i="468"/>
  <c r="P101" i="468" s="1"/>
  <c r="P519" i="1"/>
  <c r="BH517" i="1"/>
  <c r="BI501" i="1"/>
  <c r="Z314" i="1"/>
  <c r="O266" i="1"/>
  <c r="O283" i="1"/>
  <c r="AE58" i="468"/>
  <c r="AE35" i="468" s="1"/>
  <c r="AE15" i="468"/>
  <c r="AE98" i="468"/>
  <c r="AE45" i="468"/>
  <c r="BK297" i="1"/>
  <c r="BL304" i="1"/>
  <c r="BM129" i="1"/>
  <c r="BJ46" i="1"/>
  <c r="BJ38" i="1"/>
  <c r="BH32" i="1"/>
  <c r="BH36" i="1"/>
  <c r="BI36" i="1"/>
  <c r="W12" i="1"/>
  <c r="W1297" i="1" s="1"/>
  <c r="W1303" i="1" s="1"/>
  <c r="W283" i="1"/>
  <c r="W292" i="1"/>
  <c r="W282" i="1"/>
  <c r="BC826" i="1"/>
  <c r="AG821" i="1"/>
  <c r="BM645" i="1"/>
  <c r="AD58" i="468"/>
  <c r="AD35" i="468" s="1"/>
  <c r="AD15" i="468"/>
  <c r="AD98" i="468"/>
  <c r="V525" i="1"/>
  <c r="I512" i="1"/>
  <c r="Z423" i="1"/>
  <c r="AD425" i="1" s="1"/>
  <c r="BK1068" i="1"/>
  <c r="AH246" i="1"/>
  <c r="S1158" i="1"/>
  <c r="T799" i="1"/>
  <c r="BJ796" i="1"/>
  <c r="N658" i="1"/>
  <c r="AC650" i="1"/>
  <c r="U650" i="1"/>
  <c r="M650" i="1"/>
  <c r="BL648" i="1"/>
  <c r="BL645" i="1"/>
  <c r="BQ642" i="1"/>
  <c r="AE620" i="1"/>
  <c r="O620" i="1"/>
  <c r="U525" i="1"/>
  <c r="BH506" i="1"/>
  <c r="Y440" i="1"/>
  <c r="I440" i="1"/>
  <c r="BI259" i="1"/>
  <c r="BJ266" i="1" s="1"/>
  <c r="I22" i="51"/>
  <c r="I23" i="51"/>
  <c r="X423" i="1"/>
  <c r="X430" i="1"/>
  <c r="R291" i="1"/>
  <c r="BN259" i="1"/>
  <c r="AF125" i="1"/>
  <c r="AF890" i="1"/>
  <c r="BM821" i="1"/>
  <c r="R660" i="1"/>
  <c r="AB658" i="1"/>
  <c r="L658" i="1"/>
  <c r="BJ645" i="1"/>
  <c r="AA15" i="468"/>
  <c r="AA45" i="468"/>
  <c r="AA98" i="468"/>
  <c r="AA58" i="468"/>
  <c r="AC620" i="1"/>
  <c r="M620" i="1"/>
  <c r="P526" i="1"/>
  <c r="P534" i="1" s="1"/>
  <c r="AE523" i="1"/>
  <c r="BI428" i="1"/>
  <c r="L419" i="1"/>
  <c r="AU139" i="1"/>
  <c r="AU1271" i="1" s="1"/>
  <c r="W139" i="1"/>
  <c r="W1271" i="1" s="1"/>
  <c r="BK873" i="1"/>
  <c r="BI645" i="1"/>
  <c r="Z15" i="468"/>
  <c r="Z45" i="468"/>
  <c r="Z51" i="468" s="1"/>
  <c r="Z58" i="468"/>
  <c r="Z35" i="468" s="1"/>
  <c r="Z98" i="468"/>
  <c r="T528" i="1"/>
  <c r="R525" i="1"/>
  <c r="U519" i="1"/>
  <c r="BI429" i="1"/>
  <c r="BH428" i="1"/>
  <c r="P868" i="1"/>
  <c r="BJ827" i="1"/>
  <c r="AF799" i="1"/>
  <c r="BH645" i="1"/>
  <c r="Y45" i="468"/>
  <c r="Y58" i="468"/>
  <c r="Y35" i="468" s="1"/>
  <c r="Y98" i="468"/>
  <c r="BE620" i="1"/>
  <c r="BI511" i="1"/>
  <c r="BI512" i="1" s="1"/>
  <c r="H440" i="1"/>
  <c r="BL419" i="1"/>
  <c r="U423" i="1"/>
  <c r="U440" i="1"/>
  <c r="U430" i="1"/>
  <c r="BJ291" i="1"/>
  <c r="AC245" i="1"/>
  <c r="BN121" i="1"/>
  <c r="I72" i="523" s="1"/>
  <c r="O799" i="1"/>
  <c r="X45" i="468"/>
  <c r="X98" i="468"/>
  <c r="X101" i="468" s="1"/>
  <c r="BG612" i="1"/>
  <c r="BG615" i="1" s="1"/>
  <c r="T519" i="1"/>
  <c r="T440" i="1"/>
  <c r="T430" i="1"/>
  <c r="T419" i="1"/>
  <c r="T423" i="1"/>
  <c r="BN309" i="1"/>
  <c r="AH314" i="1"/>
  <c r="R314" i="1"/>
  <c r="AG826" i="1"/>
  <c r="BN825" i="1"/>
  <c r="AI645" i="1"/>
  <c r="E23" i="525" s="1"/>
  <c r="W98" i="468"/>
  <c r="W101" i="468" s="1"/>
  <c r="W15" i="468"/>
  <c r="W45" i="468"/>
  <c r="AA523" i="1"/>
  <c r="S514" i="1"/>
  <c r="BU25" i="468"/>
  <c r="BT10" i="468"/>
  <c r="V98" i="468"/>
  <c r="AB419" i="1"/>
  <c r="BL297" i="1"/>
  <c r="Z246" i="1"/>
  <c r="AD246" i="1"/>
  <c r="M525" i="1"/>
  <c r="L508" i="1"/>
  <c r="X440" i="1"/>
  <c r="V423" i="1"/>
  <c r="Z425" i="1" s="1"/>
  <c r="I423" i="1"/>
  <c r="Q419" i="1"/>
  <c r="AD314" i="1"/>
  <c r="Z247" i="1"/>
  <c r="L19" i="313"/>
  <c r="BK88" i="1"/>
  <c r="F29" i="523" s="1"/>
  <c r="F42" i="523" s="1"/>
  <c r="H423" i="1"/>
  <c r="L425" i="1" s="1"/>
  <c r="AI98" i="468"/>
  <c r="AI15" i="468"/>
  <c r="AI58" i="468"/>
  <c r="AI35" i="468" s="1"/>
  <c r="S98" i="468"/>
  <c r="S101" i="468" s="1"/>
  <c r="S15" i="468"/>
  <c r="BD440" i="1"/>
  <c r="BK419" i="1"/>
  <c r="P63" i="1"/>
  <c r="BI309" i="1"/>
  <c r="U266" i="1"/>
  <c r="AF246" i="1"/>
  <c r="Z234" i="1"/>
  <c r="AG872" i="1"/>
  <c r="L612" i="1"/>
  <c r="P614" i="1" s="1"/>
  <c r="BI38" i="1"/>
  <c r="BH265" i="1"/>
  <c r="G139" i="1"/>
  <c r="G1271" i="1" s="1"/>
  <c r="BH93" i="468"/>
  <c r="BD93" i="468"/>
  <c r="BD109" i="468"/>
  <c r="BD95" i="468"/>
  <c r="AN93" i="468"/>
  <c r="AN95" i="468"/>
  <c r="AR93" i="468"/>
  <c r="BX92" i="468"/>
  <c r="BK71" i="1"/>
  <c r="F58" i="523" s="1"/>
  <c r="X612" i="1"/>
  <c r="AB614" i="1" s="1"/>
  <c r="AJ46" i="1"/>
  <c r="AJ38" i="1"/>
  <c r="BA26" i="1"/>
  <c r="BA23" i="1"/>
  <c r="BH279" i="1"/>
  <c r="BM264" i="1"/>
  <c r="BM262" i="1"/>
  <c r="BN230" i="1"/>
  <c r="BJ139" i="1"/>
  <c r="F125" i="1"/>
  <c r="AC612" i="1"/>
  <c r="AI46" i="1"/>
  <c r="BN31" i="1"/>
  <c r="AI32" i="1"/>
  <c r="AI38" i="1"/>
  <c r="AZ26" i="1"/>
  <c r="V314" i="1"/>
  <c r="U282" i="1"/>
  <c r="BL264" i="1"/>
  <c r="BJ232" i="1"/>
  <c r="BM230" i="1"/>
  <c r="BI139" i="1"/>
  <c r="AJ115" i="1"/>
  <c r="BO115" i="1" s="1"/>
  <c r="T115" i="1"/>
  <c r="BL80" i="1"/>
  <c r="BC44" i="1"/>
  <c r="BC32" i="1"/>
  <c r="BC36" i="1"/>
  <c r="BD36" i="1"/>
  <c r="BG36" i="1" s="1"/>
  <c r="AE32" i="1"/>
  <c r="AE36" i="1"/>
  <c r="BM29" i="1"/>
  <c r="O32" i="1"/>
  <c r="O36" i="1"/>
  <c r="K45" i="1"/>
  <c r="K19" i="1"/>
  <c r="K44" i="1"/>
  <c r="S430" i="1"/>
  <c r="U314" i="1"/>
  <c r="BJ283" i="1"/>
  <c r="BK280" i="1"/>
  <c r="G23" i="230"/>
  <c r="U234" i="1"/>
  <c r="BL230" i="1"/>
  <c r="V19" i="313"/>
  <c r="BN88" i="1"/>
  <c r="I29" i="523" s="1"/>
  <c r="E45" i="276"/>
  <c r="T11" i="267"/>
  <c r="AD53" i="1"/>
  <c r="AD72" i="1"/>
  <c r="BJ264" i="1"/>
  <c r="L247" i="1"/>
  <c r="T234" i="1"/>
  <c r="BI37" i="1"/>
  <c r="BJ37" i="1"/>
  <c r="AT37" i="1"/>
  <c r="AS45" i="1"/>
  <c r="Y37" i="1"/>
  <c r="U32" i="1"/>
  <c r="U37" i="1"/>
  <c r="I37" i="1"/>
  <c r="E32" i="1"/>
  <c r="AG12" i="28"/>
  <c r="E8" i="292"/>
  <c r="E9" i="292" s="1"/>
  <c r="BJ19" i="1"/>
  <c r="BJ44" i="1"/>
  <c r="BJ45" i="1"/>
  <c r="BI230" i="1"/>
  <c r="AE38" i="1"/>
  <c r="O38" i="1"/>
  <c r="BH37" i="1"/>
  <c r="BE19" i="1"/>
  <c r="BE46" i="1"/>
  <c r="BE44" i="1"/>
  <c r="BE45" i="1"/>
  <c r="BI423" i="1"/>
  <c r="J283" i="1"/>
  <c r="P282" i="1"/>
  <c r="AB266" i="1"/>
  <c r="L266" i="1"/>
  <c r="C23" i="230"/>
  <c r="D23" i="230"/>
  <c r="F23" i="230"/>
  <c r="H23" i="230"/>
  <c r="J23" i="51"/>
  <c r="J22" i="51"/>
  <c r="BD283" i="1"/>
  <c r="AA266" i="1"/>
  <c r="BM259" i="1"/>
  <c r="J23" i="230"/>
  <c r="K23" i="230"/>
  <c r="BM88" i="1"/>
  <c r="H29" i="523" s="1"/>
  <c r="AB72" i="1"/>
  <c r="BM71" i="1"/>
  <c r="H58" i="523" s="1"/>
  <c r="Q11" i="267"/>
  <c r="E48" i="276"/>
  <c r="P432" i="1"/>
  <c r="T434" i="1" s="1"/>
  <c r="BG32" i="1"/>
  <c r="Y7" i="267"/>
  <c r="AG7" i="267"/>
  <c r="E12" i="276"/>
  <c r="AI44" i="1"/>
  <c r="AI1058" i="1"/>
  <c r="AI45" i="1"/>
  <c r="BN265" i="1"/>
  <c r="BC45" i="1"/>
  <c r="BC13" i="1"/>
  <c r="BC19" i="1"/>
  <c r="G12" i="1"/>
  <c r="G1297" i="1" s="1"/>
  <c r="G1303" i="1" s="1"/>
  <c r="BG1058" i="1"/>
  <c r="G1072" i="1"/>
  <c r="AZ107" i="468"/>
  <c r="AZ105" i="468"/>
  <c r="AZ109" i="468"/>
  <c r="BL263" i="1"/>
  <c r="BK259" i="1"/>
  <c r="AA38" i="1"/>
  <c r="AA32" i="1"/>
  <c r="K38" i="1"/>
  <c r="K46" i="1"/>
  <c r="K32" i="1"/>
  <c r="BJ32" i="1"/>
  <c r="AT26" i="1"/>
  <c r="BB44" i="1"/>
  <c r="BB45" i="1"/>
  <c r="BB13" i="1"/>
  <c r="BB14" i="1" s="1"/>
  <c r="BB15" i="1" s="1"/>
  <c r="BB19" i="1"/>
  <c r="BB46" i="1"/>
  <c r="BL309" i="1"/>
  <c r="F20" i="230"/>
  <c r="H20" i="230"/>
  <c r="AG37" i="28"/>
  <c r="E40" i="292"/>
  <c r="O12" i="1"/>
  <c r="O1297" i="1" s="1"/>
  <c r="O1303" i="1" s="1"/>
  <c r="O1072" i="1"/>
  <c r="BI1058" i="1"/>
  <c r="CA104" i="468"/>
  <c r="J20" i="230"/>
  <c r="K20" i="230"/>
  <c r="AF37" i="28"/>
  <c r="F55" i="3"/>
  <c r="D40" i="292"/>
  <c r="Q63" i="1"/>
  <c r="BK32" i="1"/>
  <c r="BK38" i="1"/>
  <c r="AV38" i="1"/>
  <c r="AW38" i="1"/>
  <c r="AV46" i="1"/>
  <c r="AV32" i="1"/>
  <c r="AS32" i="1"/>
  <c r="AS47" i="1" s="1"/>
  <c r="L19" i="1"/>
  <c r="L80" i="1"/>
  <c r="T38" i="1"/>
  <c r="AX32" i="1"/>
  <c r="AC32" i="1"/>
  <c r="E17" i="276"/>
  <c r="T7" i="267"/>
  <c r="BE109" i="468"/>
  <c r="AP105" i="468"/>
  <c r="BY104" i="468"/>
  <c r="AY105" i="468"/>
  <c r="BY92" i="468"/>
  <c r="BC93" i="468"/>
  <c r="BC109" i="468"/>
  <c r="AJ37" i="1"/>
  <c r="T37" i="1"/>
  <c r="AB32" i="1"/>
  <c r="L32" i="1"/>
  <c r="BH105" i="468"/>
  <c r="AH54" i="468"/>
  <c r="BA95" i="468"/>
  <c r="BA93" i="468"/>
  <c r="BW92" i="468"/>
  <c r="BW93" i="468" s="1"/>
  <c r="AK95" i="468"/>
  <c r="AK93" i="468"/>
  <c r="BS25" i="468"/>
  <c r="W30" i="468"/>
  <c r="AG38" i="1"/>
  <c r="Q38" i="1"/>
  <c r="AH37" i="1"/>
  <c r="R37" i="1"/>
  <c r="BJ36" i="1"/>
  <c r="AU32" i="1"/>
  <c r="Z32" i="1"/>
  <c r="J32" i="1"/>
  <c r="BL29" i="1"/>
  <c r="AB1058" i="1"/>
  <c r="AZ19" i="1"/>
  <c r="AY107" i="468"/>
  <c r="BF105" i="468"/>
  <c r="N101" i="468"/>
  <c r="AZ93" i="468"/>
  <c r="BU93" i="468"/>
  <c r="W54" i="468"/>
  <c r="AN56" i="468"/>
  <c r="AF54" i="468"/>
  <c r="P54" i="468"/>
  <c r="V11" i="267"/>
  <c r="E43" i="276"/>
  <c r="BA13" i="1"/>
  <c r="BA14" i="1" s="1"/>
  <c r="BA15" i="1" s="1"/>
  <c r="Z7" i="267"/>
  <c r="AX107" i="468"/>
  <c r="AS54" i="468"/>
  <c r="AT54" i="468"/>
  <c r="AU54" i="468"/>
  <c r="AC54" i="468"/>
  <c r="AD54" i="468"/>
  <c r="AE54" i="468"/>
  <c r="M54" i="468"/>
  <c r="N54" i="468"/>
  <c r="O54" i="468"/>
  <c r="AF81" i="1"/>
  <c r="AF37" i="1"/>
  <c r="AX19" i="1"/>
  <c r="M19" i="1"/>
  <c r="BD105" i="468"/>
  <c r="CA92" i="468"/>
  <c r="AQ56" i="468"/>
  <c r="AF36" i="1"/>
  <c r="P36" i="1"/>
  <c r="G32" i="1"/>
  <c r="AB19" i="1"/>
  <c r="AB109" i="1" s="1"/>
  <c r="BB105" i="468"/>
  <c r="AI99" i="468"/>
  <c r="S99" i="468"/>
  <c r="AV93" i="468"/>
  <c r="AO56" i="468"/>
  <c r="V32" i="1"/>
  <c r="AB38" i="1"/>
  <c r="L38" i="1"/>
  <c r="AD36" i="1"/>
  <c r="N36" i="1"/>
  <c r="AU19" i="1"/>
  <c r="AS93" i="468"/>
  <c r="AU93" i="468"/>
  <c r="AH56" i="468"/>
  <c r="T32" i="1"/>
  <c r="D32" i="1"/>
  <c r="D47" i="1" s="1"/>
  <c r="BL30" i="1"/>
  <c r="BC61" i="468"/>
  <c r="AP54" i="468"/>
  <c r="BA36" i="1"/>
  <c r="AS21" i="468"/>
  <c r="AY37" i="1"/>
  <c r="AZ36" i="1"/>
  <c r="AP107" i="468"/>
  <c r="AV105" i="468"/>
  <c r="AO54" i="468"/>
  <c r="AT56" i="468"/>
  <c r="AU56" i="468"/>
  <c r="AD56" i="468"/>
  <c r="AE56" i="468"/>
  <c r="AF56" i="468"/>
  <c r="AN54" i="468"/>
  <c r="X54" i="468"/>
  <c r="H54" i="468"/>
  <c r="E47" i="276"/>
  <c r="R11" i="267"/>
  <c r="AF427" i="1"/>
  <c r="X38" i="1"/>
  <c r="AY36" i="1"/>
  <c r="AG32" i="1"/>
  <c r="Q32" i="1"/>
  <c r="BC105" i="468"/>
  <c r="BI93" i="468"/>
  <c r="AO93" i="468"/>
  <c r="CC92" i="468"/>
  <c r="BG95" i="468"/>
  <c r="AM54" i="468"/>
  <c r="AS30" i="468"/>
  <c r="AO30" i="468"/>
  <c r="AC30" i="468"/>
  <c r="Y30" i="468"/>
  <c r="BI75" i="1"/>
  <c r="F97" i="3"/>
  <c r="F88" i="3"/>
  <c r="AV45" i="1"/>
  <c r="BG107" i="468"/>
  <c r="AM107" i="468"/>
  <c r="CB104" i="468"/>
  <c r="AM95" i="468"/>
  <c r="AJ19" i="1"/>
  <c r="AJ109" i="1" s="1"/>
  <c r="AR105" i="468"/>
  <c r="BG93" i="468"/>
  <c r="CB92" i="468"/>
  <c r="BG59" i="468"/>
  <c r="AS56" i="468"/>
  <c r="AC56" i="468"/>
  <c r="T60" i="359"/>
  <c r="T142" i="359" s="1"/>
  <c r="AA40" i="359"/>
  <c r="AA41" i="359" s="1"/>
  <c r="AA52" i="359"/>
  <c r="AA53" i="359" s="1"/>
  <c r="AA137" i="359"/>
  <c r="U72" i="359"/>
  <c r="O57" i="359"/>
  <c r="O52" i="359"/>
  <c r="O53" i="359" s="1"/>
  <c r="AG40" i="359"/>
  <c r="AG41" i="359" s="1"/>
  <c r="CC46" i="468"/>
  <c r="BW44" i="468"/>
  <c r="CC16" i="468"/>
  <c r="T72" i="359"/>
  <c r="AA65" i="359"/>
  <c r="N57" i="359"/>
  <c r="AB60" i="359"/>
  <c r="AB142" i="359" s="1"/>
  <c r="N52" i="359"/>
  <c r="N53" i="359" s="1"/>
  <c r="AA45" i="359"/>
  <c r="AF40" i="359"/>
  <c r="AF41" i="359" s="1"/>
  <c r="CB46" i="468"/>
  <c r="BV44" i="468"/>
  <c r="AN30" i="468"/>
  <c r="X30" i="468"/>
  <c r="AR21" i="468"/>
  <c r="AI19" i="468"/>
  <c r="S19" i="468"/>
  <c r="M57" i="359"/>
  <c r="BE677" i="298"/>
  <c r="AE684" i="298"/>
  <c r="BE684" i="298" s="1"/>
  <c r="BG21" i="468"/>
  <c r="AQ21" i="468"/>
  <c r="BQ14" i="468"/>
  <c r="X137" i="359"/>
  <c r="AJ72" i="359"/>
  <c r="AJ60" i="359"/>
  <c r="AJ142" i="359" s="1"/>
  <c r="L57" i="359"/>
  <c r="AH52" i="359"/>
  <c r="AH53" i="359" s="1"/>
  <c r="BC670" i="298"/>
  <c r="BC677" i="298" s="1"/>
  <c r="AS549" i="298"/>
  <c r="AC541" i="298"/>
  <c r="AC542" i="298"/>
  <c r="AD542" i="298"/>
  <c r="AD541" i="298"/>
  <c r="AL30" i="468"/>
  <c r="AS24" i="468"/>
  <c r="AS29" i="468" s="1"/>
  <c r="BF21" i="468"/>
  <c r="AP21" i="468"/>
  <c r="BP14" i="468"/>
  <c r="BP19" i="468" s="1"/>
  <c r="BP54" i="468" s="1"/>
  <c r="X65" i="359"/>
  <c r="AF57" i="359"/>
  <c r="Y72" i="359"/>
  <c r="X45" i="359"/>
  <c r="U40" i="359"/>
  <c r="U41" i="359" s="1"/>
  <c r="AH60" i="359"/>
  <c r="AH142" i="359" s="1"/>
  <c r="AF52" i="359"/>
  <c r="AF53" i="359" s="1"/>
  <c r="T40" i="359"/>
  <c r="T41" i="359" s="1"/>
  <c r="Q715" i="298"/>
  <c r="Q710" i="298"/>
  <c r="AF714" i="298"/>
  <c r="AF710" i="298"/>
  <c r="P714" i="298"/>
  <c r="P710" i="298"/>
  <c r="AE713" i="298"/>
  <c r="AE710" i="298"/>
  <c r="O713" i="298"/>
  <c r="O710" i="298"/>
  <c r="O72" i="359"/>
  <c r="AD57" i="359"/>
  <c r="T52" i="359"/>
  <c r="T53" i="359" s="1"/>
  <c r="U52" i="359"/>
  <c r="U53" i="359" s="1"/>
  <c r="U57" i="359"/>
  <c r="W57" i="359"/>
  <c r="T45" i="359"/>
  <c r="AA684" i="298"/>
  <c r="BD684" i="298" s="1"/>
  <c r="BD677" i="298"/>
  <c r="BD634" i="298"/>
  <c r="BD633" i="298" s="1"/>
  <c r="CC14" i="468"/>
  <c r="AJ137" i="359"/>
  <c r="T137" i="359"/>
  <c r="N72" i="359"/>
  <c r="AC57" i="359"/>
  <c r="BV46" i="468"/>
  <c r="AN58" i="468"/>
  <c r="CB14" i="468"/>
  <c r="AE72" i="359"/>
  <c r="R65" i="359"/>
  <c r="AA60" i="359"/>
  <c r="AA142" i="359" s="1"/>
  <c r="AB57" i="359"/>
  <c r="AF69" i="359"/>
  <c r="AL704" i="298"/>
  <c r="AM698" i="298"/>
  <c r="R704" i="298"/>
  <c r="S704" i="298"/>
  <c r="R698" i="298"/>
  <c r="BD703" i="298"/>
  <c r="BD697" i="298"/>
  <c r="BB701" i="298"/>
  <c r="BB713" i="298" s="1"/>
  <c r="BB695" i="298"/>
  <c r="BC695" i="298"/>
  <c r="AG45" i="359"/>
  <c r="T57" i="359"/>
  <c r="Q45" i="359"/>
  <c r="C27" i="276"/>
  <c r="G27" i="276" s="1"/>
  <c r="H27" i="276"/>
  <c r="D55" i="276"/>
  <c r="AD69" i="359"/>
  <c r="Z713" i="298"/>
  <c r="Z710" i="298"/>
  <c r="J713" i="298"/>
  <c r="J719" i="298" s="1"/>
  <c r="J710" i="298"/>
  <c r="AE659" i="298"/>
  <c r="BE659" i="298" s="1"/>
  <c r="BE651" i="298"/>
  <c r="CC44" i="468"/>
  <c r="BY14" i="468"/>
  <c r="X60" i="359"/>
  <c r="X142" i="359" s="1"/>
  <c r="AH57" i="359"/>
  <c r="AE40" i="359"/>
  <c r="AE41" i="359" s="1"/>
  <c r="R57" i="359"/>
  <c r="O40" i="359"/>
  <c r="O41" i="359" s="1"/>
  <c r="CB44" i="468"/>
  <c r="AE69" i="359"/>
  <c r="N65" i="359"/>
  <c r="AG60" i="359"/>
  <c r="AG142" i="359" s="1"/>
  <c r="Q60" i="359"/>
  <c r="Q142" i="359" s="1"/>
  <c r="AG57" i="359"/>
  <c r="AD45" i="359"/>
  <c r="AD40" i="359"/>
  <c r="AD41" i="359" s="1"/>
  <c r="Q57" i="359"/>
  <c r="N45" i="359"/>
  <c r="N40" i="359"/>
  <c r="N41" i="359" s="1"/>
  <c r="AZ703" i="298"/>
  <c r="AZ715" i="298" s="1"/>
  <c r="AZ721" i="298" s="1"/>
  <c r="BW14" i="468"/>
  <c r="AD137" i="359"/>
  <c r="N137" i="359"/>
  <c r="R52" i="359"/>
  <c r="R53" i="359" s="1"/>
  <c r="AC45" i="359"/>
  <c r="AC40" i="359"/>
  <c r="AC41" i="359" s="1"/>
  <c r="M45" i="359"/>
  <c r="M40" i="359"/>
  <c r="M41" i="359" s="1"/>
  <c r="AC704" i="298"/>
  <c r="AD704" i="298"/>
  <c r="AC698" i="298"/>
  <c r="M704" i="298"/>
  <c r="N704" i="298"/>
  <c r="M698" i="298"/>
  <c r="AD65" i="359"/>
  <c r="S57" i="359"/>
  <c r="AE60" i="359"/>
  <c r="AE142" i="359" s="1"/>
  <c r="Q52" i="359"/>
  <c r="Q53" i="359" s="1"/>
  <c r="AB40" i="359"/>
  <c r="AB41" i="359" s="1"/>
  <c r="AB52" i="359"/>
  <c r="AB53" i="359" s="1"/>
  <c r="R45" i="359"/>
  <c r="AH45" i="359"/>
  <c r="S45" i="359"/>
  <c r="U45" i="359"/>
  <c r="L52" i="359"/>
  <c r="C47" i="276"/>
  <c r="BB710" i="298"/>
  <c r="AP698" i="298"/>
  <c r="AF474" i="298"/>
  <c r="T474" i="298"/>
  <c r="T714" i="298"/>
  <c r="BC697" i="298"/>
  <c r="AV474" i="298"/>
  <c r="AY474" i="298" s="1"/>
  <c r="T467" i="298"/>
  <c r="X439" i="298"/>
  <c r="AB439" i="298"/>
  <c r="AZ423" i="298"/>
  <c r="AZ424" i="298" s="1"/>
  <c r="I424" i="298"/>
  <c r="BB394" i="298"/>
  <c r="BD616" i="298"/>
  <c r="AU474" i="298"/>
  <c r="AU476" i="298"/>
  <c r="R474" i="298"/>
  <c r="V474" i="298"/>
  <c r="R476" i="298"/>
  <c r="BC447" i="298"/>
  <c r="P446" i="298"/>
  <c r="AD710" i="298"/>
  <c r="N710" i="298"/>
  <c r="BA697" i="298"/>
  <c r="BA695" i="298"/>
  <c r="BA692" i="298"/>
  <c r="BB704" i="298" s="1"/>
  <c r="AF448" i="298"/>
  <c r="U448" i="298"/>
  <c r="Y439" i="298"/>
  <c r="U439" i="298"/>
  <c r="AB710" i="298"/>
  <c r="L710" i="298"/>
  <c r="AQ704" i="298"/>
  <c r="AQ716" i="298" s="1"/>
  <c r="X448" i="298"/>
  <c r="BB447" i="298"/>
  <c r="M159" i="298"/>
  <c r="M125" i="298"/>
  <c r="M126" i="298" s="1"/>
  <c r="M160" i="298"/>
  <c r="Q125" i="298"/>
  <c r="Q126" i="298" s="1"/>
  <c r="BA118" i="298"/>
  <c r="M167" i="298"/>
  <c r="AA710" i="298"/>
  <c r="K710" i="298"/>
  <c r="AE698" i="298"/>
  <c r="O698" i="298"/>
  <c r="S604" i="298"/>
  <c r="Z551" i="298"/>
  <c r="Z557" i="298" s="1"/>
  <c r="Z532" i="298"/>
  <c r="Z534" i="298" s="1"/>
  <c r="BC556" i="298"/>
  <c r="P474" i="298"/>
  <c r="O467" i="298"/>
  <c r="BA439" i="298"/>
  <c r="AZ433" i="298"/>
  <c r="AZ434" i="298" s="1"/>
  <c r="AM39" i="359"/>
  <c r="AY698" i="298"/>
  <c r="BA488" i="298"/>
  <c r="AA446" i="298"/>
  <c r="AE446" i="298"/>
  <c r="AA448" i="298"/>
  <c r="O446" i="298"/>
  <c r="K448" i="298"/>
  <c r="L430" i="298"/>
  <c r="BA418" i="298"/>
  <c r="U364" i="298"/>
  <c r="U366" i="298"/>
  <c r="Y364" i="298"/>
  <c r="Z352" i="298"/>
  <c r="Z366" i="298"/>
  <c r="AD352" i="298"/>
  <c r="Z356" i="298"/>
  <c r="J356" i="298"/>
  <c r="N352" i="298"/>
  <c r="AW619" i="298"/>
  <c r="AC619" i="298"/>
  <c r="BA420" i="298"/>
  <c r="BA421" i="298" s="1"/>
  <c r="L421" i="298"/>
  <c r="X364" i="298"/>
  <c r="T366" i="298"/>
  <c r="T364" i="298"/>
  <c r="BE149" i="298"/>
  <c r="BE156" i="298"/>
  <c r="BE363" i="298"/>
  <c r="BE146" i="298"/>
  <c r="X52" i="359"/>
  <c r="X53" i="359" s="1"/>
  <c r="AN51" i="359"/>
  <c r="X710" i="298"/>
  <c r="H710" i="298"/>
  <c r="S634" i="298"/>
  <c r="BD595" i="298"/>
  <c r="BD630" i="298" s="1"/>
  <c r="AA474" i="298"/>
  <c r="AB476" i="298"/>
  <c r="AF467" i="298"/>
  <c r="AB467" i="298"/>
  <c r="L476" i="298"/>
  <c r="P467" i="298"/>
  <c r="L467" i="298"/>
  <c r="W52" i="359"/>
  <c r="W53" i="359" s="1"/>
  <c r="Z633" i="298"/>
  <c r="J633" i="298"/>
  <c r="AU619" i="298"/>
  <c r="AA619" i="298"/>
  <c r="BA518" i="298"/>
  <c r="BA523" i="298" s="1"/>
  <c r="BA509" i="298"/>
  <c r="BB509" i="298"/>
  <c r="AB493" i="298"/>
  <c r="P448" i="298"/>
  <c r="AB446" i="298"/>
  <c r="BE447" i="298"/>
  <c r="X446" i="298"/>
  <c r="V439" i="298"/>
  <c r="BA423" i="298"/>
  <c r="BA424" i="298" s="1"/>
  <c r="BA448" i="298"/>
  <c r="BB446" i="298"/>
  <c r="H619" i="298"/>
  <c r="BF531" i="298"/>
  <c r="AE476" i="298"/>
  <c r="BA475" i="298"/>
  <c r="J366" i="298"/>
  <c r="AR619" i="298"/>
  <c r="X619" i="298"/>
  <c r="BD604" i="298"/>
  <c r="BE517" i="298"/>
  <c r="BE522" i="298" s="1"/>
  <c r="BE508" i="298"/>
  <c r="BB493" i="298"/>
  <c r="BB494" i="298" s="1"/>
  <c r="U493" i="298"/>
  <c r="X467" i="298"/>
  <c r="BF554" i="298"/>
  <c r="T446" i="298"/>
  <c r="Y474" i="298"/>
  <c r="U476" i="298"/>
  <c r="AW319" i="298"/>
  <c r="AW316" i="298"/>
  <c r="AW313" i="298"/>
  <c r="AW321" i="298"/>
  <c r="AW318" i="298"/>
  <c r="AW315" i="298"/>
  <c r="AW310" i="298"/>
  <c r="AZ310" i="298" s="1"/>
  <c r="AW320" i="298"/>
  <c r="AW317" i="298"/>
  <c r="L366" i="298"/>
  <c r="AC364" i="298"/>
  <c r="V366" i="298"/>
  <c r="V364" i="298"/>
  <c r="AA352" i="298"/>
  <c r="K356" i="298"/>
  <c r="AV319" i="298"/>
  <c r="AV316" i="298"/>
  <c r="AV313" i="298"/>
  <c r="AV321" i="298"/>
  <c r="AV318" i="298"/>
  <c r="AV315" i="298"/>
  <c r="AV310" i="298"/>
  <c r="AY310" i="298" s="1"/>
  <c r="AV320" i="298"/>
  <c r="AV317" i="298"/>
  <c r="I356" i="298"/>
  <c r="M352" i="298"/>
  <c r="BA152" i="298"/>
  <c r="BB152" i="298"/>
  <c r="AB474" i="298"/>
  <c r="L474" i="298"/>
  <c r="Y467" i="298"/>
  <c r="U446" i="298"/>
  <c r="R439" i="298"/>
  <c r="N434" i="298"/>
  <c r="I366" i="298"/>
  <c r="AC310" i="298"/>
  <c r="AA298" i="298"/>
  <c r="AA313" i="298" s="1"/>
  <c r="AA301" i="298"/>
  <c r="AD137" i="298"/>
  <c r="Z137" i="298"/>
  <c r="N448" i="298"/>
  <c r="I420" i="298"/>
  <c r="H366" i="298"/>
  <c r="AU366" i="298"/>
  <c r="R366" i="298"/>
  <c r="W301" i="298"/>
  <c r="W298" i="298"/>
  <c r="W185" i="298"/>
  <c r="M137" i="298"/>
  <c r="Y137" i="298"/>
  <c r="AC137" i="298"/>
  <c r="AW476" i="298"/>
  <c r="T476" i="298"/>
  <c r="AC448" i="298"/>
  <c r="M448" i="298"/>
  <c r="AB366" i="298"/>
  <c r="BE365" i="298"/>
  <c r="AT366" i="298"/>
  <c r="Q366" i="298"/>
  <c r="Y352" i="298"/>
  <c r="O306" i="298"/>
  <c r="AU185" i="298"/>
  <c r="BB180" i="298"/>
  <c r="V185" i="298"/>
  <c r="AA488" i="298"/>
  <c r="AV476" i="298"/>
  <c r="AZ418" i="298"/>
  <c r="AA366" i="298"/>
  <c r="P364" i="298"/>
  <c r="P366" i="298"/>
  <c r="X352" i="298"/>
  <c r="U352" i="298"/>
  <c r="U356" i="298"/>
  <c r="AB303" i="298"/>
  <c r="AF303" i="298"/>
  <c r="AU248" i="298"/>
  <c r="BD146" i="298"/>
  <c r="Q364" i="298"/>
  <c r="N310" i="298"/>
  <c r="J319" i="298"/>
  <c r="J316" i="298"/>
  <c r="J313" i="298"/>
  <c r="J321" i="298"/>
  <c r="J318" i="298"/>
  <c r="J315" i="298"/>
  <c r="J320" i="298"/>
  <c r="J317" i="298"/>
  <c r="AT307" i="298"/>
  <c r="AU307" i="298"/>
  <c r="AT298" i="298"/>
  <c r="AT319" i="298" s="1"/>
  <c r="AU278" i="298"/>
  <c r="N137" i="298"/>
  <c r="Y366" i="298"/>
  <c r="O364" i="298"/>
  <c r="V352" i="298"/>
  <c r="J322" i="298"/>
  <c r="I319" i="298"/>
  <c r="I316" i="298"/>
  <c r="I313" i="298"/>
  <c r="I321" i="298"/>
  <c r="I318" i="298"/>
  <c r="I315" i="298"/>
  <c r="I320" i="298"/>
  <c r="I317" i="298"/>
  <c r="AU261" i="298"/>
  <c r="AU214" i="298"/>
  <c r="AT209" i="298"/>
  <c r="AT220" i="298"/>
  <c r="AU220" i="298"/>
  <c r="Q352" i="298"/>
  <c r="AT240" i="298"/>
  <c r="AS209" i="298"/>
  <c r="AS220" i="298"/>
  <c r="BD149" i="298"/>
  <c r="M446" i="298"/>
  <c r="M430" i="298"/>
  <c r="V356" i="298"/>
  <c r="H356" i="298"/>
  <c r="L358" i="298" s="1"/>
  <c r="AW314" i="298"/>
  <c r="AD310" i="298"/>
  <c r="Z319" i="298"/>
  <c r="Z316" i="298"/>
  <c r="Z313" i="298"/>
  <c r="Z321" i="298"/>
  <c r="Z318" i="298"/>
  <c r="Z315" i="298"/>
  <c r="Z320" i="298"/>
  <c r="Z310" i="298"/>
  <c r="Z317" i="298"/>
  <c r="AU281" i="298"/>
  <c r="AS235" i="298"/>
  <c r="AS246" i="298"/>
  <c r="AT246" i="298"/>
  <c r="AS259" i="298"/>
  <c r="AR214" i="298"/>
  <c r="AR281" i="298"/>
  <c r="S185" i="298"/>
  <c r="Y319" i="298"/>
  <c r="Y316" i="298"/>
  <c r="Y313" i="298"/>
  <c r="Y321" i="298"/>
  <c r="Y318" i="298"/>
  <c r="Y315" i="298"/>
  <c r="Y320" i="298"/>
  <c r="Y310" i="298"/>
  <c r="Y317" i="298"/>
  <c r="AR235" i="298"/>
  <c r="AR259" i="298"/>
  <c r="AF364" i="298"/>
  <c r="BB414" i="298"/>
  <c r="BB366" i="298"/>
  <c r="AE364" i="298"/>
  <c r="BB315" i="298"/>
  <c r="AD315" i="298"/>
  <c r="N315" i="298"/>
  <c r="AO313" i="298"/>
  <c r="R313" i="298"/>
  <c r="S306" i="298"/>
  <c r="O304" i="298"/>
  <c r="AT259" i="298"/>
  <c r="W160" i="298"/>
  <c r="W151" i="298"/>
  <c r="BC146" i="298"/>
  <c r="BC149" i="298"/>
  <c r="L159" i="298"/>
  <c r="L125" i="298"/>
  <c r="L126" i="298" s="1"/>
  <c r="BE321" i="298"/>
  <c r="AN321" i="298"/>
  <c r="Q321" i="298"/>
  <c r="AY320" i="298"/>
  <c r="AP316" i="298"/>
  <c r="BA315" i="298"/>
  <c r="AC315" i="298"/>
  <c r="M315" i="298"/>
  <c r="BE313" i="298"/>
  <c r="AN313" i="298"/>
  <c r="Q313" i="298"/>
  <c r="AF309" i="298"/>
  <c r="AF301" i="298"/>
  <c r="AF185" i="298"/>
  <c r="P185" i="298"/>
  <c r="AE166" i="298"/>
  <c r="AW160" i="298"/>
  <c r="AZ160" i="298" s="1"/>
  <c r="V160" i="298"/>
  <c r="AW130" i="298"/>
  <c r="AZ130" i="298" s="1"/>
  <c r="AW136" i="298"/>
  <c r="AV129" i="298"/>
  <c r="AY129" i="298" s="1"/>
  <c r="AY121" i="298"/>
  <c r="BE123" i="298"/>
  <c r="BD121" i="298"/>
  <c r="BC118" i="298"/>
  <c r="BC159" i="298" s="1"/>
  <c r="O309" i="298"/>
  <c r="AE185" i="298"/>
  <c r="BE175" i="298"/>
  <c r="O153" i="298"/>
  <c r="AZ146" i="298"/>
  <c r="Z125" i="298"/>
  <c r="BD123" i="298"/>
  <c r="BI116" i="298"/>
  <c r="BJ116" i="298" s="1"/>
  <c r="BK116" i="298" s="1"/>
  <c r="AV108" i="298"/>
  <c r="AP319" i="298"/>
  <c r="BA318" i="298"/>
  <c r="AC318" i="298"/>
  <c r="M318" i="298"/>
  <c r="BE316" i="298"/>
  <c r="AN316" i="298"/>
  <c r="Q316" i="298"/>
  <c r="AY315" i="298"/>
  <c r="X310" i="298"/>
  <c r="AF306" i="298"/>
  <c r="AD185" i="298"/>
  <c r="AU160" i="298"/>
  <c r="AZ123" i="298"/>
  <c r="K595" i="298"/>
  <c r="AF35" i="298"/>
  <c r="AZ30" i="298"/>
  <c r="AF34" i="298"/>
  <c r="P34" i="298"/>
  <c r="T34" i="298"/>
  <c r="AA304" i="298"/>
  <c r="AU246" i="298"/>
  <c r="BA123" i="298"/>
  <c r="AE290" i="298"/>
  <c r="AW137" i="298"/>
  <c r="S123" i="298"/>
  <c r="W123" i="298"/>
  <c r="S118" i="298"/>
  <c r="AS251" i="298"/>
  <c r="AT225" i="298"/>
  <c r="M136" i="298"/>
  <c r="AC136" i="298"/>
  <c r="BB319" i="298"/>
  <c r="AO317" i="298"/>
  <c r="R317" i="298"/>
  <c r="AQ310" i="298"/>
  <c r="S302" i="298"/>
  <c r="BE180" i="298"/>
  <c r="L136" i="298"/>
  <c r="U125" i="298"/>
  <c r="Y125" i="298"/>
  <c r="AP320" i="298"/>
  <c r="R310" i="298"/>
  <c r="O298" i="298"/>
  <c r="BD152" i="298"/>
  <c r="AF138" i="298"/>
  <c r="AB138" i="298"/>
  <c r="BD103" i="298"/>
  <c r="AV94" i="298"/>
  <c r="AB94" i="298"/>
  <c r="S595" i="298"/>
  <c r="BE91" i="298"/>
  <c r="BC122" i="298"/>
  <c r="BI115" i="298"/>
  <c r="BJ115" i="298" s="1"/>
  <c r="BK115" i="298" s="1"/>
  <c r="AN108" i="298"/>
  <c r="T108" i="298"/>
  <c r="P55" i="298"/>
  <c r="AY122" i="298"/>
  <c r="AV130" i="298"/>
  <c r="AY130" i="298" s="1"/>
  <c r="G108" i="298"/>
  <c r="AY106" i="298"/>
  <c r="BC595" i="298"/>
  <c r="AB298" i="298"/>
  <c r="AB315" i="298" s="1"/>
  <c r="M138" i="298"/>
  <c r="Y138" i="298"/>
  <c r="BC121" i="298"/>
  <c r="F108" i="298"/>
  <c r="S150" i="298"/>
  <c r="W150" i="298"/>
  <c r="BC106" i="298"/>
  <c r="U27" i="28"/>
  <c r="U63" i="28"/>
  <c r="U36" i="28"/>
  <c r="U41" i="28" s="1"/>
  <c r="D20" i="230"/>
  <c r="BD73" i="298"/>
  <c r="BD59" i="298"/>
  <c r="BD85" i="298" s="1"/>
  <c r="AW35" i="298"/>
  <c r="AZ35" i="298" s="1"/>
  <c r="AW30" i="298"/>
  <c r="AC30" i="298"/>
  <c r="M41" i="298"/>
  <c r="M30" i="298"/>
  <c r="M35" i="298"/>
  <c r="BD84" i="298"/>
  <c r="AC35" i="298"/>
  <c r="AU35" i="298"/>
  <c r="AU30" i="298"/>
  <c r="AE35" i="298"/>
  <c r="BD29" i="298"/>
  <c r="AA41" i="298"/>
  <c r="AA35" i="298"/>
  <c r="O35" i="298"/>
  <c r="BD68" i="298"/>
  <c r="AF60" i="298"/>
  <c r="AE60" i="298"/>
  <c r="W121" i="298"/>
  <c r="AF45" i="298"/>
  <c r="AF51" i="298" s="1"/>
  <c r="AD69" i="298"/>
  <c r="AD60" i="298"/>
  <c r="U18" i="298"/>
  <c r="U40" i="298"/>
  <c r="U39" i="298"/>
  <c r="AC60" i="298"/>
  <c r="BC33" i="298"/>
  <c r="BC30" i="298"/>
  <c r="AE12" i="298"/>
  <c r="AE159" i="298"/>
  <c r="T18" i="298"/>
  <c r="T79" i="298" s="1"/>
  <c r="T40" i="298"/>
  <c r="T39" i="298"/>
  <c r="BE73" i="298"/>
  <c r="BE59" i="298"/>
  <c r="BE85" i="298" s="1"/>
  <c r="BE44" i="298"/>
  <c r="Q35" i="298"/>
  <c r="BB34" i="298"/>
  <c r="BA34" i="298"/>
  <c r="AD12" i="298"/>
  <c r="AD46" i="298" s="1"/>
  <c r="AD159" i="298"/>
  <c r="AH159" i="298" s="1"/>
  <c r="BE29" i="298"/>
  <c r="S30" i="298"/>
  <c r="AQ24" i="298"/>
  <c r="K57" i="3"/>
  <c r="AB35" i="298"/>
  <c r="AN34" i="298"/>
  <c r="AB34" i="298"/>
  <c r="BE28" i="298"/>
  <c r="AF30" i="298"/>
  <c r="P30" i="298"/>
  <c r="AO22" i="298"/>
  <c r="AO24" i="298"/>
  <c r="H519" i="298"/>
  <c r="H12" i="298"/>
  <c r="H638" i="298" s="1"/>
  <c r="J157" i="313"/>
  <c r="AG156" i="298"/>
  <c r="G12" i="298"/>
  <c r="AY505" i="298"/>
  <c r="P33" i="298"/>
  <c r="AY30" i="298"/>
  <c r="AD30" i="298"/>
  <c r="N30" i="298"/>
  <c r="R33" i="298"/>
  <c r="I157" i="313"/>
  <c r="AB41" i="298"/>
  <c r="AV35" i="298"/>
  <c r="AY35" i="298" s="1"/>
  <c r="Q12" i="298"/>
  <c r="Q638" i="298" s="1"/>
  <c r="Q519" i="298"/>
  <c r="I66" i="3"/>
  <c r="W35" i="298"/>
  <c r="AC34" i="298"/>
  <c r="AQ30" i="298"/>
  <c r="AB30" i="298"/>
  <c r="AV30" i="298"/>
  <c r="P12" i="298"/>
  <c r="P639" i="298" s="1"/>
  <c r="P519" i="298"/>
  <c r="G157" i="313"/>
  <c r="AF33" i="298"/>
  <c r="AP30" i="298"/>
  <c r="AA30" i="298"/>
  <c r="X35" i="298"/>
  <c r="T30" i="298"/>
  <c r="H35" i="298"/>
  <c r="D30" i="298"/>
  <c r="AR22" i="298"/>
  <c r="AD33" i="298"/>
  <c r="Y30" i="298"/>
  <c r="BD28" i="298"/>
  <c r="P98" i="292"/>
  <c r="N39" i="298"/>
  <c r="AR35" i="298"/>
  <c r="T35" i="298"/>
  <c r="J33" i="298"/>
  <c r="AN30" i="298"/>
  <c r="U34" i="298"/>
  <c r="AN22" i="298"/>
  <c r="AC133" i="298"/>
  <c r="Y12" i="298"/>
  <c r="Y638" i="298" s="1"/>
  <c r="M18" i="298"/>
  <c r="M79" i="298" s="1"/>
  <c r="AB33" i="298"/>
  <c r="AM30" i="298"/>
  <c r="BA35" i="298"/>
  <c r="AT519" i="298"/>
  <c r="AR13" i="298"/>
  <c r="AN13" i="298"/>
  <c r="AN18" i="298"/>
  <c r="AN79" i="298" s="1"/>
  <c r="AM13" i="298"/>
  <c r="AM18" i="298"/>
  <c r="AM79" i="298" s="1"/>
  <c r="T41" i="298"/>
  <c r="AO35" i="298"/>
  <c r="AU34" i="298"/>
  <c r="AW33" i="298"/>
  <c r="AZ33" i="298" s="1"/>
  <c r="Z33" i="298"/>
  <c r="AG158" i="298"/>
  <c r="BA505" i="298"/>
  <c r="AL18" i="298"/>
  <c r="AL13" i="298"/>
  <c r="Y33" i="298"/>
  <c r="U30" i="298"/>
  <c r="I33" i="298"/>
  <c r="E30" i="298"/>
  <c r="E42" i="298" s="1"/>
  <c r="K12" i="298"/>
  <c r="K519" i="298"/>
  <c r="AB505" i="298"/>
  <c r="H157" i="313"/>
  <c r="AB133" i="298"/>
  <c r="R13" i="298"/>
  <c r="AK30" i="298"/>
  <c r="AV12" i="298"/>
  <c r="K38" i="3"/>
  <c r="F146" i="313"/>
  <c r="F157" i="313" s="1"/>
  <c r="E157" i="313"/>
  <c r="Q49" i="3"/>
  <c r="AG122" i="298"/>
  <c r="G12" i="292"/>
  <c r="H12" i="292"/>
  <c r="AA18" i="298"/>
  <c r="AO18" i="298"/>
  <c r="V13" i="298"/>
  <c r="CN85" i="293"/>
  <c r="G62" i="292"/>
  <c r="F49" i="292"/>
  <c r="CG85" i="293"/>
  <c r="CE85" i="293"/>
  <c r="E17" i="292"/>
  <c r="CF85" i="293"/>
  <c r="F80" i="51"/>
  <c r="F81" i="51"/>
  <c r="E22" i="51"/>
  <c r="F22" i="51"/>
  <c r="E23" i="51"/>
  <c r="F23" i="51"/>
  <c r="H17" i="292"/>
  <c r="G81" i="51"/>
  <c r="H71" i="51"/>
  <c r="H30" i="51"/>
  <c r="D17" i="292"/>
  <c r="J79" i="51"/>
  <c r="I80" i="51"/>
  <c r="F31" i="51"/>
  <c r="AB33" i="28"/>
  <c r="AB32" i="28"/>
  <c r="AB59" i="28"/>
  <c r="E43" i="51"/>
  <c r="G43" i="51"/>
  <c r="AA33" i="28"/>
  <c r="AA32" i="28"/>
  <c r="AA59" i="28"/>
  <c r="I76" i="51"/>
  <c r="I70" i="51"/>
  <c r="J70" i="51"/>
  <c r="J17" i="51"/>
  <c r="AK26" i="28"/>
  <c r="AL26" i="28"/>
  <c r="AM26" i="28"/>
  <c r="AN26" i="28"/>
  <c r="AH72" i="28"/>
  <c r="AH73" i="28" s="1"/>
  <c r="C49" i="292"/>
  <c r="G70" i="51"/>
  <c r="G71" i="51"/>
  <c r="AA65" i="28"/>
  <c r="F70" i="51"/>
  <c r="F71" i="51"/>
  <c r="I7" i="51"/>
  <c r="J75" i="51"/>
  <c r="J76" i="51"/>
  <c r="E71" i="51"/>
  <c r="F17" i="292"/>
  <c r="G74" i="51"/>
  <c r="E49" i="292"/>
  <c r="G51" i="51"/>
  <c r="G22" i="51"/>
  <c r="H22" i="51"/>
  <c r="L23" i="28"/>
  <c r="L24" i="28" s="1"/>
  <c r="C20" i="230"/>
  <c r="C24" i="230"/>
  <c r="K23" i="28"/>
  <c r="K24" i="28" s="1"/>
  <c r="P23" i="28"/>
  <c r="P24" i="28" s="1"/>
  <c r="F34" i="51"/>
  <c r="AE19" i="28"/>
  <c r="AE20" i="28"/>
  <c r="O31" i="28"/>
  <c r="O22" i="28"/>
  <c r="O19" i="28"/>
  <c r="O20" i="28"/>
  <c r="AD31" i="28"/>
  <c r="AD19" i="28"/>
  <c r="AD20" i="28"/>
  <c r="N31" i="28"/>
  <c r="N22" i="28"/>
  <c r="N19" i="28"/>
  <c r="N20" i="28"/>
  <c r="J51" i="51"/>
  <c r="R64" i="28"/>
  <c r="AC22" i="28"/>
  <c r="AC19" i="28"/>
  <c r="AC20" i="28"/>
  <c r="M22" i="28"/>
  <c r="M19" i="28"/>
  <c r="M20" i="28"/>
  <c r="Q64" i="28"/>
  <c r="Q74" i="28"/>
  <c r="P64" i="28"/>
  <c r="P74" i="28"/>
  <c r="G18" i="51"/>
  <c r="AE64" i="28"/>
  <c r="AE74" i="28"/>
  <c r="O64" i="28"/>
  <c r="O74" i="28"/>
  <c r="M31" i="28"/>
  <c r="L33" i="28"/>
  <c r="L32" i="28"/>
  <c r="K33" i="28"/>
  <c r="K59" i="28"/>
  <c r="F59" i="28"/>
  <c r="AC31" i="28"/>
  <c r="V20" i="28"/>
  <c r="F20" i="28"/>
  <c r="V19" i="28"/>
  <c r="F19" i="28"/>
  <c r="Z59" i="28"/>
  <c r="D24" i="230"/>
  <c r="V22" i="28"/>
  <c r="F22" i="28"/>
  <c r="U64" i="28"/>
  <c r="E64" i="28"/>
  <c r="V31" i="28"/>
  <c r="S19" i="28"/>
  <c r="R20" i="28"/>
  <c r="R19" i="28"/>
  <c r="M19" i="230"/>
  <c r="M20" i="230" s="1"/>
  <c r="R22" i="28"/>
  <c r="P20" i="28"/>
  <c r="P19" i="28"/>
  <c r="R31" i="28"/>
  <c r="R59" i="28" s="1"/>
  <c r="AB20" i="28"/>
  <c r="L20" i="28"/>
  <c r="L19" i="28"/>
  <c r="AA20" i="28"/>
  <c r="K20" i="28"/>
  <c r="AB526" i="1" l="1"/>
  <c r="AB204" i="1"/>
  <c r="AC204" i="1"/>
  <c r="Y204" i="1"/>
  <c r="AA204" i="1"/>
  <c r="X204" i="1"/>
  <c r="Z204" i="1"/>
  <c r="BM1291" i="1"/>
  <c r="BN1291" i="1"/>
  <c r="AF526" i="1"/>
  <c r="BK1285" i="1"/>
  <c r="AB519" i="1"/>
  <c r="AA526" i="1"/>
  <c r="W488" i="1"/>
  <c r="W423" i="1" s="1"/>
  <c r="AA424" i="1" s="1"/>
  <c r="BK518" i="1"/>
  <c r="BL526" i="1" s="1"/>
  <c r="BH384" i="1"/>
  <c r="K518" i="1"/>
  <c r="B9" i="525"/>
  <c r="AF392" i="1"/>
  <c r="O9" i="525" s="1"/>
  <c r="BO1285" i="1"/>
  <c r="T700" i="1"/>
  <c r="R869" i="1"/>
  <c r="R880" i="1" s="1"/>
  <c r="R698" i="1"/>
  <c r="R700" i="1" s="1"/>
  <c r="R751" i="1" s="1"/>
  <c r="R747" i="1" s="1"/>
  <c r="AC869" i="1"/>
  <c r="AC698" i="1"/>
  <c r="W869" i="1"/>
  <c r="W698" i="1"/>
  <c r="AA702" i="1" s="1"/>
  <c r="AE869" i="1"/>
  <c r="AE698" i="1"/>
  <c r="X869" i="1"/>
  <c r="X698" i="1"/>
  <c r="Z700" i="1"/>
  <c r="Z702" i="1"/>
  <c r="AB869" i="1"/>
  <c r="AB698" i="1"/>
  <c r="Y869" i="1"/>
  <c r="Y698" i="1"/>
  <c r="L869" i="1"/>
  <c r="L698" i="1"/>
  <c r="L700" i="1" s="1"/>
  <c r="L751" i="1" s="1"/>
  <c r="L747" i="1" s="1"/>
  <c r="H869" i="1"/>
  <c r="H698" i="1"/>
  <c r="H700" i="1" s="1"/>
  <c r="H751" i="1" s="1"/>
  <c r="H747" i="1" s="1"/>
  <c r="AA700" i="1"/>
  <c r="BO1291" i="1"/>
  <c r="BO1303" i="1" s="1"/>
  <c r="BN1285" i="1"/>
  <c r="P869" i="1"/>
  <c r="P698" i="1"/>
  <c r="P700" i="1" s="1"/>
  <c r="P751" i="1" s="1"/>
  <c r="P747" i="1" s="1"/>
  <c r="V700" i="1"/>
  <c r="U869" i="1"/>
  <c r="U698" i="1"/>
  <c r="BM1285" i="1"/>
  <c r="O869" i="1"/>
  <c r="O698" i="1"/>
  <c r="O700" i="1" s="1"/>
  <c r="O751" i="1" s="1"/>
  <c r="I869" i="1"/>
  <c r="M880" i="1" s="1"/>
  <c r="I698" i="1"/>
  <c r="I700" i="1" s="1"/>
  <c r="I751" i="1" s="1"/>
  <c r="I747" i="1" s="1"/>
  <c r="AD869" i="1"/>
  <c r="AD698" i="1"/>
  <c r="BL918" i="1"/>
  <c r="BL925" i="1"/>
  <c r="BN918" i="1"/>
  <c r="BN925" i="1"/>
  <c r="BI918" i="1"/>
  <c r="BI925" i="1"/>
  <c r="BJ918" i="1"/>
  <c r="BJ925" i="1"/>
  <c r="BI914" i="1"/>
  <c r="BI916" i="1" s="1"/>
  <c r="BI915" i="1" s="1"/>
  <c r="BI906" i="1"/>
  <c r="BJ914" i="1"/>
  <c r="BJ906" i="1"/>
  <c r="BM918" i="1"/>
  <c r="BM925" i="1"/>
  <c r="BK918" i="1"/>
  <c r="BK925" i="1"/>
  <c r="AI931" i="1"/>
  <c r="AI918" i="1" s="1"/>
  <c r="AJ984" i="1"/>
  <c r="AD906" i="1"/>
  <c r="AJ983" i="1"/>
  <c r="AJ981" i="1"/>
  <c r="W1309" i="1"/>
  <c r="AJ980" i="1"/>
  <c r="AJ988" i="1"/>
  <c r="AN976" i="1"/>
  <c r="AJ979" i="1"/>
  <c r="AJ989" i="1"/>
  <c r="AJ987" i="1"/>
  <c r="AJ986" i="1"/>
  <c r="AJ982" i="1"/>
  <c r="Y1309" i="1"/>
  <c r="T1291" i="1"/>
  <c r="T1303" i="1" s="1"/>
  <c r="T1309" i="1" s="1"/>
  <c r="W1285" i="1"/>
  <c r="BL1291" i="1"/>
  <c r="BL1285" i="1"/>
  <c r="AJ164" i="1"/>
  <c r="AC1309" i="1"/>
  <c r="AG1309" i="1"/>
  <c r="AA1309" i="1"/>
  <c r="AD1309" i="1"/>
  <c r="AB1309" i="1"/>
  <c r="AI1309" i="1"/>
  <c r="AE1309" i="1"/>
  <c r="AO212" i="1"/>
  <c r="AO193" i="1"/>
  <c r="BI743" i="1"/>
  <c r="O748" i="1"/>
  <c r="BI748" i="1" s="1"/>
  <c r="BJ743" i="1"/>
  <c r="S748" i="1"/>
  <c r="BK748" i="1"/>
  <c r="BL743" i="1"/>
  <c r="AA748" i="1"/>
  <c r="AL865" i="1"/>
  <c r="AL749" i="1" s="1"/>
  <c r="AH749" i="1"/>
  <c r="BH743" i="1"/>
  <c r="K748" i="1"/>
  <c r="BH748" i="1" s="1"/>
  <c r="AO723" i="1"/>
  <c r="AO727" i="1"/>
  <c r="AN865" i="1"/>
  <c r="AJ749" i="1"/>
  <c r="AA744" i="1"/>
  <c r="O744" i="1"/>
  <c r="W744" i="1"/>
  <c r="BL968" i="1"/>
  <c r="O385" i="1"/>
  <c r="S384" i="1"/>
  <c r="BJ957" i="1"/>
  <c r="BK743" i="1"/>
  <c r="AI743" i="1"/>
  <c r="BN955" i="1"/>
  <c r="BI968" i="1"/>
  <c r="BJ968" i="1"/>
  <c r="BK968" i="1"/>
  <c r="BM959" i="1"/>
  <c r="BM972" i="1" s="1"/>
  <c r="AB743" i="1"/>
  <c r="BM955" i="1"/>
  <c r="BM968" i="1" s="1"/>
  <c r="BI970" i="1"/>
  <c r="AE744" i="1"/>
  <c r="BO972" i="1"/>
  <c r="BI384" i="1"/>
  <c r="BO970" i="1"/>
  <c r="BN963" i="1"/>
  <c r="AE1009" i="1"/>
  <c r="AI1009" i="1"/>
  <c r="AH57" i="28"/>
  <c r="BO698" i="1"/>
  <c r="BO727" i="1"/>
  <c r="BO701" i="1"/>
  <c r="AI1012" i="1"/>
  <c r="BN698" i="1"/>
  <c r="AE1012" i="1"/>
  <c r="AD214" i="1"/>
  <c r="E30" i="523"/>
  <c r="E121" i="523"/>
  <c r="W970" i="1"/>
  <c r="AE33" i="1"/>
  <c r="V983" i="1"/>
  <c r="V989" i="1"/>
  <c r="V981" i="1"/>
  <c r="V985" i="1"/>
  <c r="E156" i="1"/>
  <c r="E963" i="1"/>
  <c r="I156" i="1"/>
  <c r="I963" i="1"/>
  <c r="P156" i="1"/>
  <c r="P963" i="1"/>
  <c r="W156" i="1"/>
  <c r="W963" i="1"/>
  <c r="AI981" i="1"/>
  <c r="AI968" i="1"/>
  <c r="AM968" i="1"/>
  <c r="R156" i="1"/>
  <c r="V163" i="1" s="1"/>
  <c r="R963" i="1"/>
  <c r="V976" i="1" s="1"/>
  <c r="AA385" i="1"/>
  <c r="BL384" i="1"/>
  <c r="BM386" i="1" s="1"/>
  <c r="U156" i="1"/>
  <c r="U163" i="1" s="1"/>
  <c r="U963" i="1"/>
  <c r="O156" i="1"/>
  <c r="O963" i="1"/>
  <c r="N156" i="1"/>
  <c r="N963" i="1"/>
  <c r="Z156" i="1"/>
  <c r="Z163" i="1" s="1"/>
  <c r="Z963" i="1"/>
  <c r="AD976" i="1" s="1"/>
  <c r="H156" i="1"/>
  <c r="H963" i="1"/>
  <c r="AG989" i="1"/>
  <c r="AG985" i="1"/>
  <c r="AG981" i="1"/>
  <c r="AG983" i="1"/>
  <c r="AB989" i="1"/>
  <c r="BK384" i="1"/>
  <c r="AB983" i="1"/>
  <c r="AF989" i="1"/>
  <c r="AF976" i="1"/>
  <c r="AF985" i="1"/>
  <c r="AF981" i="1"/>
  <c r="AF983" i="1"/>
  <c r="AJ976" i="1"/>
  <c r="BJ488" i="1"/>
  <c r="BJ489" i="1" s="1"/>
  <c r="S156" i="1"/>
  <c r="S963" i="1"/>
  <c r="AA156" i="1"/>
  <c r="AA963" i="1"/>
  <c r="J156" i="1"/>
  <c r="J963" i="1"/>
  <c r="AB981" i="1"/>
  <c r="AF968" i="1"/>
  <c r="AB968" i="1"/>
  <c r="AE972" i="1"/>
  <c r="AE156" i="1"/>
  <c r="AI163" i="1" s="1"/>
  <c r="AE963" i="1"/>
  <c r="AE985" i="1" s="1"/>
  <c r="Y156" i="1"/>
  <c r="Y963" i="1"/>
  <c r="AB385" i="1"/>
  <c r="AF385" i="1"/>
  <c r="AI983" i="1"/>
  <c r="AI384" i="1"/>
  <c r="AI518" i="1" s="1"/>
  <c r="AI394" i="1" s="1"/>
  <c r="AM970" i="1"/>
  <c r="AH989" i="1"/>
  <c r="AH985" i="1"/>
  <c r="AH976" i="1"/>
  <c r="AH981" i="1"/>
  <c r="AH983" i="1"/>
  <c r="AI985" i="1"/>
  <c r="AI972" i="1"/>
  <c r="AM972" i="1"/>
  <c r="AE1014" i="1"/>
  <c r="AE957" i="1"/>
  <c r="BM957" i="1" s="1"/>
  <c r="BM970" i="1" s="1"/>
  <c r="X156" i="1"/>
  <c r="X963" i="1"/>
  <c r="T156" i="1"/>
  <c r="T963" i="1"/>
  <c r="AB972" i="1"/>
  <c r="AB985" i="1"/>
  <c r="AF972" i="1"/>
  <c r="AC156" i="1"/>
  <c r="AG163" i="1" s="1"/>
  <c r="AC963" i="1"/>
  <c r="AD989" i="1"/>
  <c r="AD985" i="1"/>
  <c r="AD981" i="1"/>
  <c r="AD983" i="1"/>
  <c r="AE968" i="1"/>
  <c r="G156" i="1"/>
  <c r="G963" i="1"/>
  <c r="S423" i="1"/>
  <c r="W425" i="1" s="1"/>
  <c r="V33" i="1"/>
  <c r="AC33" i="1"/>
  <c r="T33" i="1"/>
  <c r="Z33" i="1"/>
  <c r="AJ423" i="1"/>
  <c r="AN488" i="1"/>
  <c r="U33" i="1"/>
  <c r="AB33" i="1"/>
  <c r="X33" i="1"/>
  <c r="AH33" i="1"/>
  <c r="AM39" i="1"/>
  <c r="AI33" i="1"/>
  <c r="AF33" i="1"/>
  <c r="Y33" i="1"/>
  <c r="AD47" i="1"/>
  <c r="AD33" i="1"/>
  <c r="AG33" i="1"/>
  <c r="AA33" i="1"/>
  <c r="W33" i="1"/>
  <c r="AJ33" i="1"/>
  <c r="AK33" i="1"/>
  <c r="AJ52" i="1"/>
  <c r="AJ203" i="1"/>
  <c r="AF195" i="1"/>
  <c r="AB214" i="1"/>
  <c r="AB215" i="1" s="1"/>
  <c r="AC1267" i="1"/>
  <c r="AD1268" i="1" s="1"/>
  <c r="AC188" i="1"/>
  <c r="AE195" i="1"/>
  <c r="AI195" i="1"/>
  <c r="AF423" i="1"/>
  <c r="AJ425" i="1" s="1"/>
  <c r="BI502" i="1"/>
  <c r="BO314" i="1"/>
  <c r="BO904" i="1"/>
  <c r="AN911" i="1"/>
  <c r="AJ47" i="1"/>
  <c r="AN39" i="1"/>
  <c r="G42" i="523"/>
  <c r="H51" i="523"/>
  <c r="AJ886" i="1"/>
  <c r="E42" i="504"/>
  <c r="T174" i="520"/>
  <c r="T174" i="521"/>
  <c r="Z24" i="522"/>
  <c r="Z56" i="522" s="1"/>
  <c r="S174" i="519"/>
  <c r="P174" i="520"/>
  <c r="P174" i="521"/>
  <c r="R174" i="520"/>
  <c r="R174" i="521"/>
  <c r="BH1197" i="1"/>
  <c r="N174" i="519"/>
  <c r="D42" i="504"/>
  <c r="F51" i="523"/>
  <c r="G51" i="523"/>
  <c r="Q174" i="520"/>
  <c r="Q174" i="521"/>
  <c r="O174" i="521"/>
  <c r="O174" i="520"/>
  <c r="D42" i="503"/>
  <c r="E42" i="503"/>
  <c r="E51" i="523"/>
  <c r="H42" i="523"/>
  <c r="I42" i="523"/>
  <c r="I51" i="523"/>
  <c r="D68" i="523"/>
  <c r="D51" i="523"/>
  <c r="AB523" i="1"/>
  <c r="AF523" i="1"/>
  <c r="AJ531" i="1" s="1"/>
  <c r="K8" i="525"/>
  <c r="AJ528" i="1"/>
  <c r="B16" i="525"/>
  <c r="F37" i="525"/>
  <c r="K36" i="525"/>
  <c r="L37" i="525" s="1"/>
  <c r="Q9" i="525"/>
  <c r="D9" i="525"/>
  <c r="C48" i="525"/>
  <c r="G32" i="525"/>
  <c r="AF869" i="1"/>
  <c r="B39" i="525"/>
  <c r="F40" i="525" s="1"/>
  <c r="P9" i="525"/>
  <c r="C9" i="525"/>
  <c r="L31" i="525"/>
  <c r="F32" i="525"/>
  <c r="F48" i="525"/>
  <c r="AL660" i="1"/>
  <c r="D31" i="525"/>
  <c r="D43" i="525" s="1"/>
  <c r="H44" i="525" s="1"/>
  <c r="AN514" i="1"/>
  <c r="F8" i="525"/>
  <c r="AM660" i="1"/>
  <c r="E31" i="525"/>
  <c r="F49" i="525"/>
  <c r="F43" i="525"/>
  <c r="E49" i="525"/>
  <c r="I56" i="525" s="1"/>
  <c r="I40" i="525"/>
  <c r="AM528" i="1"/>
  <c r="E16" i="525"/>
  <c r="AK528" i="1"/>
  <c r="C16" i="525"/>
  <c r="C43" i="525" s="1"/>
  <c r="L51" i="525"/>
  <c r="D49" i="525"/>
  <c r="H40" i="525"/>
  <c r="K23" i="525"/>
  <c r="D51" i="525"/>
  <c r="H58" i="525" s="1"/>
  <c r="H17" i="525"/>
  <c r="B48" i="525"/>
  <c r="C49" i="525"/>
  <c r="AJ58" i="468"/>
  <c r="AJ35" i="468" s="1"/>
  <c r="AJ40" i="468" s="1"/>
  <c r="Q883" i="1"/>
  <c r="Q869" i="1"/>
  <c r="Q880" i="1" s="1"/>
  <c r="Z883" i="1"/>
  <c r="Z869" i="1"/>
  <c r="J866" i="1"/>
  <c r="N877" i="1" s="1"/>
  <c r="J869" i="1"/>
  <c r="N880" i="1" s="1"/>
  <c r="V883" i="1"/>
  <c r="V869" i="1"/>
  <c r="AG883" i="1"/>
  <c r="AG869" i="1"/>
  <c r="K866" i="1"/>
  <c r="K869" i="1"/>
  <c r="AA883" i="1"/>
  <c r="AA869" i="1"/>
  <c r="T883" i="1"/>
  <c r="T869" i="1"/>
  <c r="AJ869" i="1"/>
  <c r="AJ882" i="1"/>
  <c r="AH869" i="1"/>
  <c r="AL882" i="1"/>
  <c r="AI869" i="1"/>
  <c r="AM882" i="1"/>
  <c r="O883" i="1"/>
  <c r="AJ883" i="1"/>
  <c r="AH883" i="1"/>
  <c r="AL883" i="1"/>
  <c r="AB883" i="1"/>
  <c r="AC883" i="1"/>
  <c r="AF883" i="1"/>
  <c r="P883" i="1"/>
  <c r="AD883" i="1"/>
  <c r="R883" i="1"/>
  <c r="AE883" i="1"/>
  <c r="AI883" i="1"/>
  <c r="AM883" i="1"/>
  <c r="U883" i="1"/>
  <c r="L883" i="1"/>
  <c r="Y883" i="1"/>
  <c r="M883" i="1"/>
  <c r="X883" i="1"/>
  <c r="N883" i="1"/>
  <c r="Q866" i="1"/>
  <c r="Q877" i="1" s="1"/>
  <c r="V866" i="1"/>
  <c r="AG866" i="1"/>
  <c r="AA866" i="1"/>
  <c r="W866" i="1"/>
  <c r="AF866" i="1"/>
  <c r="AD866" i="1"/>
  <c r="AE866" i="1"/>
  <c r="T866" i="1"/>
  <c r="Y866" i="1"/>
  <c r="O14" i="519"/>
  <c r="O15" i="519" s="1"/>
  <c r="AJ515" i="1"/>
  <c r="AJ392" i="1" s="1"/>
  <c r="AN392" i="1" s="1"/>
  <c r="AN400" i="1" s="1"/>
  <c r="AO514" i="1"/>
  <c r="AN518" i="1"/>
  <c r="AN394" i="1" s="1"/>
  <c r="AN402" i="1" s="1"/>
  <c r="AO518" i="1"/>
  <c r="Z57" i="522"/>
  <c r="Z51" i="522" s="1"/>
  <c r="Z52" i="522" s="1"/>
  <c r="AJ98" i="468"/>
  <c r="AJ109" i="468" s="1"/>
  <c r="AJ45" i="468"/>
  <c r="AJ51" i="468" s="1"/>
  <c r="AJ15" i="468"/>
  <c r="AN20" i="468" s="1"/>
  <c r="AM58" i="468"/>
  <c r="AM35" i="468" s="1"/>
  <c r="AM15" i="468"/>
  <c r="AM20" i="468" s="1"/>
  <c r="AM98" i="468"/>
  <c r="AM109" i="468" s="1"/>
  <c r="AM45" i="468"/>
  <c r="AM50" i="468" s="1"/>
  <c r="AI647" i="1"/>
  <c r="AL648" i="1"/>
  <c r="AL674" i="1" s="1"/>
  <c r="AH674" i="1"/>
  <c r="BY25" i="468"/>
  <c r="AL58" i="468"/>
  <c r="AL35" i="468" s="1"/>
  <c r="AN648" i="1"/>
  <c r="AJ674" i="1"/>
  <c r="AL98" i="468"/>
  <c r="AL109" i="468" s="1"/>
  <c r="BX10" i="468"/>
  <c r="BX58" i="468" s="1"/>
  <c r="AL15" i="468"/>
  <c r="AO648" i="1"/>
  <c r="AK674" i="1"/>
  <c r="BM1335" i="1"/>
  <c r="BM1339" i="1"/>
  <c r="BN1345" i="1" s="1"/>
  <c r="AA19" i="522"/>
  <c r="AA20" i="522" s="1"/>
  <c r="O203" i="519"/>
  <c r="O205" i="519" s="1"/>
  <c r="BM647" i="1"/>
  <c r="BM657" i="1" s="1"/>
  <c r="AM646" i="1"/>
  <c r="AM672" i="1" s="1"/>
  <c r="AL645" i="1"/>
  <c r="H23" i="525" s="1"/>
  <c r="AM645" i="1"/>
  <c r="I23" i="525" s="1"/>
  <c r="I28" i="525" s="1"/>
  <c r="BL1339" i="1"/>
  <c r="BL1335" i="1"/>
  <c r="G178" i="519"/>
  <c r="G203" i="519"/>
  <c r="BL604" i="1"/>
  <c r="BL610" i="1"/>
  <c r="BM605" i="1"/>
  <c r="BM604" i="1"/>
  <c r="BM610" i="1"/>
  <c r="BN605" i="1"/>
  <c r="BN604" i="1"/>
  <c r="L14" i="519"/>
  <c r="L15" i="519" s="1"/>
  <c r="N178" i="519"/>
  <c r="N203" i="519"/>
  <c r="N205" i="519" s="1"/>
  <c r="Y57" i="522"/>
  <c r="Y51" i="522" s="1"/>
  <c r="Y52" i="522" s="1"/>
  <c r="L203" i="519"/>
  <c r="C77" i="523"/>
  <c r="BH1271" i="1"/>
  <c r="X19" i="522"/>
  <c r="X20" i="522" s="1"/>
  <c r="D77" i="523"/>
  <c r="BI1271" i="1"/>
  <c r="E77" i="523"/>
  <c r="BJ1271" i="1"/>
  <c r="W57" i="522"/>
  <c r="W51" i="522" s="1"/>
  <c r="W52" i="522" s="1"/>
  <c r="D105" i="3"/>
  <c r="E105" i="3" s="1"/>
  <c r="O1271" i="1"/>
  <c r="H178" i="521"/>
  <c r="H203" i="521"/>
  <c r="H205" i="521" s="1"/>
  <c r="H14" i="521"/>
  <c r="H15" i="521" s="1"/>
  <c r="I14" i="521"/>
  <c r="I15" i="521" s="1"/>
  <c r="I203" i="521"/>
  <c r="I205" i="521" s="1"/>
  <c r="I178" i="521"/>
  <c r="I203" i="520"/>
  <c r="I14" i="520"/>
  <c r="I15" i="520" s="1"/>
  <c r="I178" i="520"/>
  <c r="J14" i="521"/>
  <c r="J15" i="521" s="1"/>
  <c r="J203" i="521"/>
  <c r="J205" i="521" s="1"/>
  <c r="J178" i="521"/>
  <c r="J203" i="520"/>
  <c r="J14" i="520"/>
  <c r="J15" i="520" s="1"/>
  <c r="J178" i="520"/>
  <c r="M177" i="519"/>
  <c r="M14" i="519" s="1"/>
  <c r="M15" i="519" s="1"/>
  <c r="M177" i="521"/>
  <c r="M177" i="520"/>
  <c r="L14" i="520"/>
  <c r="L15" i="520" s="1"/>
  <c r="L203" i="520"/>
  <c r="L178" i="520"/>
  <c r="L203" i="521"/>
  <c r="L205" i="521" s="1"/>
  <c r="L14" i="521"/>
  <c r="L15" i="521" s="1"/>
  <c r="L178" i="521"/>
  <c r="K203" i="521"/>
  <c r="K205" i="521" s="1"/>
  <c r="K14" i="521"/>
  <c r="K15" i="521" s="1"/>
  <c r="K178" i="521"/>
  <c r="K203" i="520"/>
  <c r="K14" i="520"/>
  <c r="K15" i="520" s="1"/>
  <c r="K178" i="520"/>
  <c r="R53" i="521"/>
  <c r="R54" i="521" s="1"/>
  <c r="R195" i="521"/>
  <c r="R195" i="520"/>
  <c r="R53" i="520"/>
  <c r="R54" i="520" s="1"/>
  <c r="S203" i="521"/>
  <c r="S205" i="521" s="1"/>
  <c r="S14" i="521"/>
  <c r="S15" i="521" s="1"/>
  <c r="S178" i="521"/>
  <c r="N14" i="520"/>
  <c r="N15" i="520" s="1"/>
  <c r="N203" i="520"/>
  <c r="N205" i="520" s="1"/>
  <c r="N178" i="520"/>
  <c r="S14" i="520"/>
  <c r="S15" i="520" s="1"/>
  <c r="S203" i="520"/>
  <c r="S205" i="520" s="1"/>
  <c r="S178" i="520"/>
  <c r="N203" i="521"/>
  <c r="N205" i="521" s="1"/>
  <c r="N14" i="521"/>
  <c r="N15" i="521" s="1"/>
  <c r="N178" i="521"/>
  <c r="T14" i="520"/>
  <c r="T15" i="520" s="1"/>
  <c r="T203" i="520"/>
  <c r="T205" i="520" s="1"/>
  <c r="T178" i="520"/>
  <c r="H178" i="519"/>
  <c r="T203" i="521"/>
  <c r="T205" i="521" s="1"/>
  <c r="T14" i="521"/>
  <c r="T15" i="521" s="1"/>
  <c r="T178" i="521"/>
  <c r="S195" i="520"/>
  <c r="S53" i="520"/>
  <c r="S54" i="520" s="1"/>
  <c r="H203" i="519"/>
  <c r="Q195" i="520"/>
  <c r="Q53" i="520"/>
  <c r="Q54" i="520" s="1"/>
  <c r="S53" i="521"/>
  <c r="S54" i="521" s="1"/>
  <c r="S195" i="521"/>
  <c r="Q53" i="521"/>
  <c r="Q54" i="521" s="1"/>
  <c r="Q195" i="521"/>
  <c r="R203" i="521"/>
  <c r="R205" i="521" s="1"/>
  <c r="R14" i="521"/>
  <c r="R15" i="521" s="1"/>
  <c r="R178" i="521"/>
  <c r="I178" i="519"/>
  <c r="D14" i="521"/>
  <c r="D15" i="521" s="1"/>
  <c r="D203" i="521"/>
  <c r="D205" i="521" s="1"/>
  <c r="D178" i="521"/>
  <c r="R14" i="520"/>
  <c r="R15" i="520" s="1"/>
  <c r="R203" i="520"/>
  <c r="R205" i="520" s="1"/>
  <c r="R178" i="520"/>
  <c r="I203" i="519"/>
  <c r="D14" i="520"/>
  <c r="D15" i="520" s="1"/>
  <c r="D203" i="520"/>
  <c r="D178" i="520"/>
  <c r="O178" i="521"/>
  <c r="O203" i="521"/>
  <c r="O205" i="521" s="1"/>
  <c r="O14" i="521"/>
  <c r="O15" i="521" s="1"/>
  <c r="E14" i="521"/>
  <c r="E15" i="521" s="1"/>
  <c r="E203" i="521"/>
  <c r="E205" i="521" s="1"/>
  <c r="E178" i="521"/>
  <c r="O14" i="520"/>
  <c r="O15" i="520" s="1"/>
  <c r="O203" i="520"/>
  <c r="O205" i="520" s="1"/>
  <c r="O178" i="520"/>
  <c r="J178" i="519"/>
  <c r="E14" i="520"/>
  <c r="E15" i="520" s="1"/>
  <c r="E203" i="520"/>
  <c r="E178" i="520"/>
  <c r="J203" i="519"/>
  <c r="F178" i="520"/>
  <c r="F203" i="520"/>
  <c r="F14" i="520"/>
  <c r="F15" i="520" s="1"/>
  <c r="T195" i="520"/>
  <c r="T53" i="520"/>
  <c r="T54" i="520" s="1"/>
  <c r="F14" i="521"/>
  <c r="F15" i="521" s="1"/>
  <c r="F203" i="521"/>
  <c r="F205" i="521" s="1"/>
  <c r="F178" i="521"/>
  <c r="T53" i="521"/>
  <c r="T54" i="521" s="1"/>
  <c r="T195" i="521"/>
  <c r="K178" i="519"/>
  <c r="G178" i="520"/>
  <c r="G203" i="520"/>
  <c r="G14" i="520"/>
  <c r="G15" i="520" s="1"/>
  <c r="P203" i="520"/>
  <c r="P205" i="520" s="1"/>
  <c r="P14" i="520"/>
  <c r="P15" i="520" s="1"/>
  <c r="P178" i="520"/>
  <c r="K203" i="519"/>
  <c r="G14" i="521"/>
  <c r="G15" i="521" s="1"/>
  <c r="G178" i="521"/>
  <c r="G203" i="521"/>
  <c r="G205" i="521" s="1"/>
  <c r="P14" i="521"/>
  <c r="P15" i="521" s="1"/>
  <c r="P203" i="521"/>
  <c r="P205" i="521" s="1"/>
  <c r="P178" i="521"/>
  <c r="Q14" i="520"/>
  <c r="Q15" i="520" s="1"/>
  <c r="Q203" i="520"/>
  <c r="Q205" i="520" s="1"/>
  <c r="Q178" i="520"/>
  <c r="H203" i="520"/>
  <c r="H178" i="520"/>
  <c r="H14" i="520"/>
  <c r="H15" i="520" s="1"/>
  <c r="Q14" i="521"/>
  <c r="Q15" i="521" s="1"/>
  <c r="Q203" i="521"/>
  <c r="Q205" i="521" s="1"/>
  <c r="Q178" i="521"/>
  <c r="D14" i="519"/>
  <c r="D15" i="519" s="1"/>
  <c r="D203" i="519"/>
  <c r="D178" i="519"/>
  <c r="P14" i="519"/>
  <c r="P15" i="519" s="1"/>
  <c r="P203" i="519"/>
  <c r="P205" i="519" s="1"/>
  <c r="P178" i="519"/>
  <c r="E203" i="519"/>
  <c r="E14" i="519"/>
  <c r="E15" i="519" s="1"/>
  <c r="E178" i="519"/>
  <c r="F14" i="519"/>
  <c r="F15" i="519" s="1"/>
  <c r="F203" i="519"/>
  <c r="F178" i="519"/>
  <c r="Q195" i="519"/>
  <c r="Q53" i="519"/>
  <c r="R195" i="519"/>
  <c r="R53" i="519"/>
  <c r="S195" i="519"/>
  <c r="S53" i="519"/>
  <c r="T195" i="519"/>
  <c r="T53" i="519"/>
  <c r="AD101" i="1"/>
  <c r="AV1266" i="1"/>
  <c r="F116" i="503"/>
  <c r="F120" i="503" s="1"/>
  <c r="I116" i="504"/>
  <c r="I120" i="504" s="1"/>
  <c r="H116" i="523"/>
  <c r="H120" i="523" s="1"/>
  <c r="I116" i="503"/>
  <c r="I120" i="503" s="1"/>
  <c r="B24" i="313"/>
  <c r="AJ273" i="1"/>
  <c r="F115" i="198"/>
  <c r="F119" i="198" s="1"/>
  <c r="Z101" i="1"/>
  <c r="I116" i="523"/>
  <c r="I120" i="523" s="1"/>
  <c r="AB54" i="523"/>
  <c r="G109" i="504"/>
  <c r="V102" i="1"/>
  <c r="H115" i="198"/>
  <c r="H119" i="198" s="1"/>
  <c r="AF541" i="298"/>
  <c r="AJ125" i="1"/>
  <c r="AK72" i="359"/>
  <c r="Z54" i="523"/>
  <c r="AI945" i="1"/>
  <c r="AI831" i="1"/>
  <c r="F67" i="523"/>
  <c r="AE1083" i="1"/>
  <c r="AE1104" i="1" s="1"/>
  <c r="AE1111" i="1" s="1"/>
  <c r="AI1112" i="1" s="1"/>
  <c r="AE1267" i="1"/>
  <c r="H67" i="523"/>
  <c r="I67" i="523"/>
  <c r="K159" i="523"/>
  <c r="S1265" i="1"/>
  <c r="F68" i="523"/>
  <c r="D124" i="523"/>
  <c r="D124" i="503"/>
  <c r="D124" i="504"/>
  <c r="I68" i="523"/>
  <c r="K151" i="523"/>
  <c r="E68" i="523"/>
  <c r="E52" i="523"/>
  <c r="AH101" i="1"/>
  <c r="H116" i="504"/>
  <c r="G116" i="523"/>
  <c r="H68" i="523"/>
  <c r="G67" i="523"/>
  <c r="AI528" i="1"/>
  <c r="H116" i="503"/>
  <c r="G116" i="504"/>
  <c r="G68" i="523"/>
  <c r="Z1267" i="1"/>
  <c r="AA63" i="523"/>
  <c r="I115" i="198"/>
  <c r="I119" i="198" s="1"/>
  <c r="G115" i="198"/>
  <c r="G119" i="198" s="1"/>
  <c r="G116" i="503"/>
  <c r="BD1266" i="1"/>
  <c r="AI911" i="1"/>
  <c r="BK1265" i="1"/>
  <c r="AA54" i="523"/>
  <c r="C109" i="504"/>
  <c r="C109" i="523"/>
  <c r="C108" i="198"/>
  <c r="C109" i="503"/>
  <c r="E109" i="523"/>
  <c r="E109" i="504"/>
  <c r="E108" i="198"/>
  <c r="E109" i="503"/>
  <c r="F116" i="523"/>
  <c r="AD113" i="1"/>
  <c r="BG1263" i="1"/>
  <c r="BG1265" i="1" s="1"/>
  <c r="BM1265" i="1"/>
  <c r="F116" i="504"/>
  <c r="AY1266" i="1"/>
  <c r="BA1266" i="1"/>
  <c r="BB1266" i="1"/>
  <c r="AX1266" i="1"/>
  <c r="AG1266" i="1"/>
  <c r="AE1266" i="1"/>
  <c r="AJ1266" i="1"/>
  <c r="W1266" i="1"/>
  <c r="AA1266" i="1"/>
  <c r="AB1266" i="1"/>
  <c r="Y1266" i="1"/>
  <c r="AK1266" i="1"/>
  <c r="U1266" i="1"/>
  <c r="AD1266" i="1"/>
  <c r="AU1266" i="1"/>
  <c r="AW1266" i="1"/>
  <c r="AZ1266" i="1"/>
  <c r="BC1266" i="1"/>
  <c r="BE1266" i="1"/>
  <c r="D123" i="198"/>
  <c r="AI1266" i="1"/>
  <c r="V1266" i="1"/>
  <c r="X1266" i="1"/>
  <c r="AF1266" i="1"/>
  <c r="Z1266" i="1"/>
  <c r="AH1266" i="1"/>
  <c r="AC1266" i="1"/>
  <c r="BK1223" i="1"/>
  <c r="S1223" i="1"/>
  <c r="BJ1266" i="1"/>
  <c r="AI660" i="1"/>
  <c r="AJ911" i="1"/>
  <c r="BO619" i="1"/>
  <c r="BO270" i="1" s="1"/>
  <c r="AM514" i="1"/>
  <c r="I8" i="525" s="1"/>
  <c r="I12" i="525" s="1"/>
  <c r="D58" i="504"/>
  <c r="D58" i="503"/>
  <c r="J58" i="503"/>
  <c r="J58" i="504"/>
  <c r="E67" i="504"/>
  <c r="E30" i="504"/>
  <c r="E43" i="504"/>
  <c r="F50" i="503"/>
  <c r="F50" i="504"/>
  <c r="AQ41" i="359"/>
  <c r="AQ40" i="359" s="1"/>
  <c r="BN100" i="1"/>
  <c r="I50" i="504"/>
  <c r="I50" i="503"/>
  <c r="E50" i="503"/>
  <c r="E50" i="504"/>
  <c r="I58" i="503"/>
  <c r="I58" i="504"/>
  <c r="AO41" i="359"/>
  <c r="AO40" i="359" s="1"/>
  <c r="AJ855" i="1"/>
  <c r="H88" i="292"/>
  <c r="H89" i="292" s="1"/>
  <c r="H72" i="504"/>
  <c r="H72" i="503"/>
  <c r="BO439" i="1"/>
  <c r="BO269" i="1" s="1"/>
  <c r="BO38" i="1"/>
  <c r="I72" i="504"/>
  <c r="I72" i="503"/>
  <c r="AI909" i="1"/>
  <c r="AM909" i="1"/>
  <c r="F88" i="292"/>
  <c r="F89" i="292" s="1"/>
  <c r="F72" i="504"/>
  <c r="F72" i="503"/>
  <c r="V37" i="522"/>
  <c r="D77" i="503"/>
  <c r="D77" i="504"/>
  <c r="G88" i="292"/>
  <c r="G89" i="292" s="1"/>
  <c r="G72" i="504"/>
  <c r="G72" i="503"/>
  <c r="AN864" i="1"/>
  <c r="AN797" i="1"/>
  <c r="BL70" i="1"/>
  <c r="G58" i="503"/>
  <c r="G58" i="504"/>
  <c r="AJ909" i="1"/>
  <c r="BO902" i="1"/>
  <c r="BO909" i="1" s="1"/>
  <c r="E65" i="3"/>
  <c r="C77" i="503"/>
  <c r="C77" i="504"/>
  <c r="AI855" i="1"/>
  <c r="AM854" i="1"/>
  <c r="AM855" i="1" s="1"/>
  <c r="AA27" i="522"/>
  <c r="AA41" i="522" s="1"/>
  <c r="AA42" i="522" s="1"/>
  <c r="I29" i="504"/>
  <c r="I29" i="503"/>
  <c r="AJ910" i="1"/>
  <c r="BO903" i="1"/>
  <c r="BO910" i="1" s="1"/>
  <c r="BI100" i="1"/>
  <c r="D50" i="503"/>
  <c r="D50" i="504"/>
  <c r="AM879" i="1"/>
  <c r="C58" i="504"/>
  <c r="C58" i="503"/>
  <c r="CA156" i="1"/>
  <c r="CC156" i="1" s="1"/>
  <c r="AM648" i="1"/>
  <c r="E77" i="503"/>
  <c r="E77" i="504"/>
  <c r="H50" i="504"/>
  <c r="H50" i="503"/>
  <c r="BO36" i="1"/>
  <c r="BO37" i="1"/>
  <c r="G29" i="504"/>
  <c r="G29" i="503"/>
  <c r="C50" i="503"/>
  <c r="C50" i="504"/>
  <c r="C67" i="504"/>
  <c r="AM427" i="1"/>
  <c r="C67" i="503"/>
  <c r="AJ291" i="1"/>
  <c r="AJ298" i="1" s="1"/>
  <c r="AM865" i="1"/>
  <c r="D67" i="504"/>
  <c r="BO1329" i="1"/>
  <c r="BO1323" i="1"/>
  <c r="BM70" i="1"/>
  <c r="H58" i="503"/>
  <c r="H58" i="504"/>
  <c r="H29" i="503"/>
  <c r="H29" i="504"/>
  <c r="X27" i="522"/>
  <c r="X59" i="522" s="1"/>
  <c r="F29" i="504"/>
  <c r="F42" i="504" s="1"/>
  <c r="F29" i="503"/>
  <c r="F42" i="503" s="1"/>
  <c r="G50" i="504"/>
  <c r="G50" i="503"/>
  <c r="D67" i="503"/>
  <c r="BK70" i="1"/>
  <c r="F58" i="503"/>
  <c r="F58" i="504"/>
  <c r="E30" i="503"/>
  <c r="E43" i="503"/>
  <c r="E67" i="503"/>
  <c r="C35" i="276"/>
  <c r="V41" i="522"/>
  <c r="V42" i="522" s="1"/>
  <c r="V31" i="522"/>
  <c r="C24" i="313"/>
  <c r="BB137" i="298"/>
  <c r="BN86" i="1"/>
  <c r="BK86" i="1"/>
  <c r="D59" i="522"/>
  <c r="D73" i="522" s="1"/>
  <c r="D74" i="522" s="1"/>
  <c r="O31" i="522"/>
  <c r="O41" i="522"/>
  <c r="O42" i="522" s="1"/>
  <c r="O59" i="522"/>
  <c r="O63" i="522" s="1"/>
  <c r="W37" i="522"/>
  <c r="W59" i="522"/>
  <c r="W73" i="522" s="1"/>
  <c r="W74" i="522" s="1"/>
  <c r="T206" i="519"/>
  <c r="U202" i="519"/>
  <c r="AM86" i="1"/>
  <c r="BO86" i="1" s="1"/>
  <c r="W31" i="522"/>
  <c r="L41" i="522"/>
  <c r="L42" i="522" s="1"/>
  <c r="R24" i="313"/>
  <c r="K13" i="1"/>
  <c r="AC44" i="1"/>
  <c r="AG1357" i="1"/>
  <c r="P1203" i="1"/>
  <c r="AD93" i="1"/>
  <c r="Q7" i="267"/>
  <c r="Q9" i="313" s="1"/>
  <c r="Q34" i="313" s="1"/>
  <c r="AA93" i="1"/>
  <c r="J13" i="1"/>
  <c r="T1203" i="1"/>
  <c r="I45" i="1"/>
  <c r="W44" i="1"/>
  <c r="AE102" i="1"/>
  <c r="N102" i="1"/>
  <c r="E102" i="1"/>
  <c r="V13" i="1"/>
  <c r="X1391" i="1"/>
  <c r="AB1202" i="1"/>
  <c r="AB93" i="1"/>
  <c r="O102" i="1"/>
  <c r="BD19" i="1"/>
  <c r="BD109" i="1" s="1"/>
  <c r="U1203" i="1"/>
  <c r="AF1203" i="1"/>
  <c r="I7" i="267"/>
  <c r="I9" i="313" s="1"/>
  <c r="Y102" i="1"/>
  <c r="H1391" i="1"/>
  <c r="J716" i="298"/>
  <c r="J722" i="298" s="1"/>
  <c r="D58" i="292"/>
  <c r="D59" i="292" s="1"/>
  <c r="AK65" i="359"/>
  <c r="F36" i="3"/>
  <c r="F57" i="3" s="1"/>
  <c r="V57" i="522"/>
  <c r="V51" i="522" s="1"/>
  <c r="V52" i="522" s="1"/>
  <c r="V19" i="522"/>
  <c r="V20" i="522" s="1"/>
  <c r="F59" i="522"/>
  <c r="F73" i="522" s="1"/>
  <c r="F74" i="522" s="1"/>
  <c r="F41" i="522"/>
  <c r="F42" i="522" s="1"/>
  <c r="AF39" i="28"/>
  <c r="AJ1202" i="1"/>
  <c r="P23" i="522"/>
  <c r="P55" i="522" s="1"/>
  <c r="BI1197" i="1"/>
  <c r="V23" i="522" s="1"/>
  <c r="V55" i="522" s="1"/>
  <c r="V24" i="522"/>
  <c r="V56" i="522" s="1"/>
  <c r="M59" i="522"/>
  <c r="M73" i="522" s="1"/>
  <c r="M74" i="522" s="1"/>
  <c r="M41" i="522"/>
  <c r="M42" i="522" s="1"/>
  <c r="BN1197" i="1"/>
  <c r="AA23" i="522" s="1"/>
  <c r="AA55" i="522" s="1"/>
  <c r="AA24" i="522"/>
  <c r="AA56" i="522" s="1"/>
  <c r="H40" i="292"/>
  <c r="Z27" i="522"/>
  <c r="BL1197" i="1"/>
  <c r="Y23" i="522" s="1"/>
  <c r="Y55" i="522" s="1"/>
  <c r="Y24" i="522"/>
  <c r="Y56" i="522" s="1"/>
  <c r="BK1197" i="1"/>
  <c r="X23" i="522" s="1"/>
  <c r="X55" i="522" s="1"/>
  <c r="X24" i="522"/>
  <c r="X56" i="522" s="1"/>
  <c r="H59" i="522"/>
  <c r="H41" i="522"/>
  <c r="H42" i="522" s="1"/>
  <c r="H37" i="522"/>
  <c r="H31" i="522"/>
  <c r="AD1202" i="1"/>
  <c r="J23" i="522"/>
  <c r="J55" i="522" s="1"/>
  <c r="BI125" i="1"/>
  <c r="D75" i="523" s="1"/>
  <c r="V73" i="522"/>
  <c r="V74" i="522" s="1"/>
  <c r="V63" i="522"/>
  <c r="V69" i="522"/>
  <c r="BJ1203" i="1"/>
  <c r="W24" i="522"/>
  <c r="W56" i="522" s="1"/>
  <c r="G40" i="292"/>
  <c r="Y27" i="522"/>
  <c r="K59" i="522"/>
  <c r="K41" i="522"/>
  <c r="K42" i="522" s="1"/>
  <c r="K31" i="522"/>
  <c r="K37" i="522"/>
  <c r="J59" i="522"/>
  <c r="J41" i="522"/>
  <c r="J42" i="522" s="1"/>
  <c r="J31" i="522"/>
  <c r="J37" i="522"/>
  <c r="E41" i="522"/>
  <c r="E42" i="522" s="1"/>
  <c r="E59" i="522"/>
  <c r="E73" i="522" s="1"/>
  <c r="E74" i="522" s="1"/>
  <c r="I59" i="522"/>
  <c r="I41" i="522"/>
  <c r="I42" i="522" s="1"/>
  <c r="I31" i="522"/>
  <c r="I37" i="522"/>
  <c r="G41" i="522"/>
  <c r="G42" i="522" s="1"/>
  <c r="G59" i="522"/>
  <c r="G37" i="522"/>
  <c r="G31" i="522"/>
  <c r="AI1202" i="1"/>
  <c r="Z1202" i="1"/>
  <c r="BR12" i="1"/>
  <c r="P11" i="267"/>
  <c r="T12" i="267" s="1"/>
  <c r="BR49" i="1"/>
  <c r="AH1203" i="1"/>
  <c r="BS12" i="1"/>
  <c r="BN1260" i="1"/>
  <c r="AH909" i="1"/>
  <c r="AH910" i="1"/>
  <c r="AH56" i="28"/>
  <c r="BN619" i="1"/>
  <c r="BN270" i="1" s="1"/>
  <c r="AG270" i="1"/>
  <c r="BL828" i="1"/>
  <c r="BL276" i="1" s="1"/>
  <c r="BL271" i="1"/>
  <c r="S52" i="1"/>
  <c r="S273" i="1"/>
  <c r="V52" i="1"/>
  <c r="V204" i="1" s="1"/>
  <c r="V273" i="1"/>
  <c r="BJ828" i="1"/>
  <c r="BJ276" i="1" s="1"/>
  <c r="BJ271" i="1"/>
  <c r="R52" i="1"/>
  <c r="R273" i="1"/>
  <c r="T52" i="1"/>
  <c r="T204" i="1" s="1"/>
  <c r="T273" i="1"/>
  <c r="AG52" i="1"/>
  <c r="AG273" i="1"/>
  <c r="U52" i="1"/>
  <c r="U204" i="1" s="1"/>
  <c r="U273" i="1"/>
  <c r="BM1260" i="1"/>
  <c r="T1260" i="1"/>
  <c r="S1260" i="1"/>
  <c r="BL1260" i="1"/>
  <c r="BK1260" i="1"/>
  <c r="BN115" i="1"/>
  <c r="BN70" i="1"/>
  <c r="F48" i="3"/>
  <c r="BI70" i="1"/>
  <c r="BH115" i="1"/>
  <c r="BH70" i="1"/>
  <c r="AF924" i="1"/>
  <c r="AF171" i="298"/>
  <c r="AB171" i="298"/>
  <c r="BB639" i="298"/>
  <c r="AK60" i="359"/>
  <c r="AK142" i="359" s="1"/>
  <c r="AL39" i="1"/>
  <c r="BD447" i="298"/>
  <c r="AO192" i="298"/>
  <c r="AP22" i="298"/>
  <c r="AW29" i="468"/>
  <c r="C36" i="276"/>
  <c r="AH911" i="1"/>
  <c r="AL911" i="1"/>
  <c r="BD446" i="298"/>
  <c r="AP867" i="1"/>
  <c r="AP797" i="1" s="1"/>
  <c r="AL864" i="1"/>
  <c r="AL875" i="1" s="1"/>
  <c r="AE63" i="1"/>
  <c r="AE65" i="1" s="1"/>
  <c r="AE55" i="1" s="1"/>
  <c r="AL515" i="1"/>
  <c r="AL392" i="1" s="1"/>
  <c r="AH612" i="1"/>
  <c r="AH615" i="1" s="1"/>
  <c r="AL430" i="1"/>
  <c r="AL432" i="1"/>
  <c r="AH528" i="1"/>
  <c r="AL528" i="1"/>
  <c r="AL514" i="1"/>
  <c r="H8" i="525" s="1"/>
  <c r="H12" i="525" s="1"/>
  <c r="R178" i="519"/>
  <c r="T178" i="519"/>
  <c r="AJ1353" i="1"/>
  <c r="AK39" i="1"/>
  <c r="AO60" i="359"/>
  <c r="AO142" i="359" s="1"/>
  <c r="AO65" i="359"/>
  <c r="AP72" i="359"/>
  <c r="AP65" i="359"/>
  <c r="AQ72" i="359"/>
  <c r="AQ864" i="1"/>
  <c r="T188" i="519"/>
  <c r="S188" i="519"/>
  <c r="Q204" i="519"/>
  <c r="Q186" i="519"/>
  <c r="Q188" i="519"/>
  <c r="R204" i="519"/>
  <c r="R188" i="519"/>
  <c r="R186" i="519"/>
  <c r="S204" i="519"/>
  <c r="S186" i="519"/>
  <c r="T204" i="519"/>
  <c r="R14" i="519"/>
  <c r="R15" i="519" s="1"/>
  <c r="R203" i="519"/>
  <c r="Q14" i="519"/>
  <c r="Q15" i="519" s="1"/>
  <c r="Q203" i="519"/>
  <c r="Q178" i="519"/>
  <c r="S14" i="519"/>
  <c r="S15" i="519" s="1"/>
  <c r="S203" i="519"/>
  <c r="T14" i="519"/>
  <c r="T15" i="519" s="1"/>
  <c r="T203" i="519"/>
  <c r="R206" i="519"/>
  <c r="S202" i="519"/>
  <c r="T80" i="519"/>
  <c r="U80" i="519" s="1"/>
  <c r="V80" i="519" s="1"/>
  <c r="W80" i="519" s="1"/>
  <c r="X80" i="519" s="1"/>
  <c r="Y80" i="519" s="1"/>
  <c r="Z80" i="519" s="1"/>
  <c r="AA80" i="519" s="1"/>
  <c r="AB80" i="519" s="1"/>
  <c r="AC80" i="519" s="1"/>
  <c r="AD80" i="519" s="1"/>
  <c r="AE80" i="519" s="1"/>
  <c r="AF80" i="519" s="1"/>
  <c r="AG80" i="519" s="1"/>
  <c r="S178" i="519"/>
  <c r="S79" i="519"/>
  <c r="S34" i="519" s="1"/>
  <c r="S206" i="519"/>
  <c r="T202" i="519"/>
  <c r="AE716" i="298"/>
  <c r="BD353" i="298"/>
  <c r="BD129" i="298" s="1"/>
  <c r="BW19" i="468"/>
  <c r="AE45" i="298"/>
  <c r="AE51" i="298" s="1"/>
  <c r="AT18" i="298"/>
  <c r="AT19" i="298" s="1"/>
  <c r="AT13" i="298"/>
  <c r="AT14" i="298" s="1"/>
  <c r="AE171" i="298"/>
  <c r="AD831" i="1"/>
  <c r="AQ330" i="298"/>
  <c r="H716" i="298"/>
  <c r="H722" i="298" s="1"/>
  <c r="AY351" i="298"/>
  <c r="AB831" i="1"/>
  <c r="BA353" i="298"/>
  <c r="BA129" i="298" s="1"/>
  <c r="S318" i="298"/>
  <c r="X831" i="1"/>
  <c r="AA60" i="298"/>
  <c r="AA61" i="298" s="1"/>
  <c r="AA86" i="298" s="1"/>
  <c r="AQ22" i="298"/>
  <c r="V719" i="298"/>
  <c r="V171" i="298"/>
  <c r="AK639" i="298"/>
  <c r="K319" i="298"/>
  <c r="AF70" i="298"/>
  <c r="AA720" i="298"/>
  <c r="U530" i="298"/>
  <c r="U532" i="298" s="1"/>
  <c r="U534" i="298" s="1"/>
  <c r="R719" i="298"/>
  <c r="AP44" i="298"/>
  <c r="AP60" i="298" s="1"/>
  <c r="S181" i="298"/>
  <c r="S182" i="298" s="1"/>
  <c r="AA46" i="298"/>
  <c r="K321" i="298"/>
  <c r="CC21" i="468"/>
  <c r="AD879" i="1"/>
  <c r="AD882" i="1" s="1"/>
  <c r="AL19" i="298"/>
  <c r="K313" i="298"/>
  <c r="BA474" i="298"/>
  <c r="AB721" i="298"/>
  <c r="K314" i="298"/>
  <c r="K322" i="298"/>
  <c r="V357" i="298"/>
  <c r="G44" i="298"/>
  <c r="G46" i="298" s="1"/>
  <c r="BB475" i="298"/>
  <c r="AD65" i="28"/>
  <c r="AA831" i="1"/>
  <c r="S160" i="298"/>
  <c r="S524" i="298"/>
  <c r="V549" i="298"/>
  <c r="AM542" i="298"/>
  <c r="K318" i="298"/>
  <c r="W153" i="298"/>
  <c r="AE720" i="298"/>
  <c r="AH879" i="1"/>
  <c r="V176" i="298"/>
  <c r="AA721" i="298"/>
  <c r="BC137" i="298"/>
  <c r="J42" i="298"/>
  <c r="S684" i="298"/>
  <c r="Y59" i="28"/>
  <c r="AZ704" i="298"/>
  <c r="AZ716" i="298" s="1"/>
  <c r="AM192" i="298"/>
  <c r="K716" i="298"/>
  <c r="K722" i="298" s="1"/>
  <c r="Y32" i="28"/>
  <c r="Z32" i="28"/>
  <c r="BA356" i="298"/>
  <c r="BA357" i="298" s="1"/>
  <c r="AQ192" i="298"/>
  <c r="AB412" i="298"/>
  <c r="AB356" i="298" s="1"/>
  <c r="AB357" i="298" s="1"/>
  <c r="BD1248" i="1"/>
  <c r="BG1248" i="1" s="1"/>
  <c r="AG910" i="1"/>
  <c r="U9" i="267"/>
  <c r="U11" i="313" s="1"/>
  <c r="Y879" i="1"/>
  <c r="Y882" i="1" s="1"/>
  <c r="AI879" i="1"/>
  <c r="AE1369" i="1"/>
  <c r="AE306" i="1"/>
  <c r="AF879" i="1"/>
  <c r="AF882" i="1" s="1"/>
  <c r="AJ1022" i="1"/>
  <c r="AJ1026" i="1"/>
  <c r="AE249" i="1"/>
  <c r="AE15" i="1" s="1"/>
  <c r="AJ1021" i="1"/>
  <c r="AJ1016" i="1"/>
  <c r="AJ1025" i="1"/>
  <c r="AG911" i="1"/>
  <c r="AF14" i="1"/>
  <c r="AF171" i="1" s="1"/>
  <c r="AF249" i="1"/>
  <c r="AF15" i="1" s="1"/>
  <c r="AF178" i="1" s="1"/>
  <c r="AB14" i="1"/>
  <c r="AB171" i="1" s="1"/>
  <c r="AB178" i="1" s="1"/>
  <c r="AB249" i="1"/>
  <c r="AB15" i="1" s="1"/>
  <c r="AC14" i="1"/>
  <c r="AC171" i="1" s="1"/>
  <c r="AC249" i="1"/>
  <c r="AC15" i="1" s="1"/>
  <c r="AC178" i="1" s="1"/>
  <c r="AG14" i="1"/>
  <c r="AG171" i="1" s="1"/>
  <c r="AG249" i="1"/>
  <c r="AG15" i="1" s="1"/>
  <c r="AG178" i="1" s="1"/>
  <c r="I102" i="1"/>
  <c r="BV159" i="1"/>
  <c r="J102" i="1"/>
  <c r="S102" i="1"/>
  <c r="AA106" i="1"/>
  <c r="BH618" i="1"/>
  <c r="BG618" i="1"/>
  <c r="BH438" i="1"/>
  <c r="BG438" i="1"/>
  <c r="AD104" i="1"/>
  <c r="AS102" i="1"/>
  <c r="BC125" i="1"/>
  <c r="BC100" i="1"/>
  <c r="BB102" i="1"/>
  <c r="AF102" i="1"/>
  <c r="AU125" i="1"/>
  <c r="AU100" i="1"/>
  <c r="X102" i="1"/>
  <c r="BD102" i="1"/>
  <c r="E36" i="3"/>
  <c r="E57" i="3" s="1"/>
  <c r="BH100" i="1"/>
  <c r="AG102" i="1"/>
  <c r="R102" i="1"/>
  <c r="AX102" i="1"/>
  <c r="AX101" i="1"/>
  <c r="AH102" i="1"/>
  <c r="AW101" i="1"/>
  <c r="AW102" i="1"/>
  <c r="Z102" i="1"/>
  <c r="AG1341" i="1"/>
  <c r="AK1347" i="1" s="1"/>
  <c r="AA102" i="1"/>
  <c r="H102" i="1"/>
  <c r="BG125" i="1"/>
  <c r="D63" i="3" s="1"/>
  <c r="BG100" i="1"/>
  <c r="AG39" i="28"/>
  <c r="AG40" i="28" s="1"/>
  <c r="BJ100" i="1"/>
  <c r="G58" i="292"/>
  <c r="G59" i="292" s="1"/>
  <c r="G83" i="292" s="1"/>
  <c r="BL100" i="1"/>
  <c r="AY125" i="1"/>
  <c r="AY100" i="1"/>
  <c r="AC102" i="1"/>
  <c r="T102" i="1"/>
  <c r="G102" i="1"/>
  <c r="U102" i="1"/>
  <c r="M806" i="1"/>
  <c r="M815" i="1" s="1"/>
  <c r="Q817" i="1" s="1"/>
  <c r="AV102" i="1"/>
  <c r="AZ125" i="1"/>
  <c r="AZ100" i="1"/>
  <c r="P102" i="1"/>
  <c r="AT125" i="1"/>
  <c r="AT100" i="1"/>
  <c r="BE125" i="1"/>
  <c r="BE100" i="1"/>
  <c r="W102" i="1"/>
  <c r="H58" i="292"/>
  <c r="H59" i="292" s="1"/>
  <c r="H83" i="292" s="1"/>
  <c r="BM100" i="1"/>
  <c r="AH39" i="28"/>
  <c r="AL39" i="28" s="1"/>
  <c r="BK100" i="1"/>
  <c r="AJ1003" i="1"/>
  <c r="AJ1027" i="1" s="1"/>
  <c r="BA125" i="1"/>
  <c r="BA100" i="1"/>
  <c r="AJ1023" i="1"/>
  <c r="AJ1020" i="1"/>
  <c r="AG831" i="1"/>
  <c r="AJ1024" i="1"/>
  <c r="AJ1019" i="1"/>
  <c r="C37" i="276"/>
  <c r="AG827" i="1"/>
  <c r="AG271" i="1" s="1"/>
  <c r="BM890" i="1"/>
  <c r="M26" i="1"/>
  <c r="BJ1083" i="1"/>
  <c r="BJ1104" i="1" s="1"/>
  <c r="BJ1111" i="1" s="1"/>
  <c r="AG614" i="1"/>
  <c r="BD714" i="298"/>
  <c r="BD720" i="298" s="1"/>
  <c r="X721" i="298"/>
  <c r="Z1345" i="1"/>
  <c r="V22" i="1"/>
  <c r="L13" i="313" s="1"/>
  <c r="L15" i="313" s="1"/>
  <c r="AK612" i="1"/>
  <c r="AG423" i="1"/>
  <c r="AK425" i="1" s="1"/>
  <c r="AK488" i="1"/>
  <c r="AK423" i="1" s="1"/>
  <c r="AG523" i="1"/>
  <c r="AK531" i="1" s="1"/>
  <c r="AK614" i="1"/>
  <c r="AK427" i="1"/>
  <c r="AC523" i="1"/>
  <c r="BM514" i="1"/>
  <c r="AG905" i="1"/>
  <c r="AK909" i="1"/>
  <c r="AG516" i="1"/>
  <c r="AK515" i="1"/>
  <c r="AK392" i="1" s="1"/>
  <c r="AK660" i="1"/>
  <c r="AS22" i="298"/>
  <c r="F44" i="298"/>
  <c r="F46" i="298" s="1"/>
  <c r="AD66" i="28"/>
  <c r="AA532" i="298"/>
  <c r="AA534" i="298" s="1"/>
  <c r="AA542" i="298" s="1"/>
  <c r="AP172" i="298"/>
  <c r="Q719" i="298"/>
  <c r="J59" i="28"/>
  <c r="BE476" i="298"/>
  <c r="Z638" i="298"/>
  <c r="AB542" i="298"/>
  <c r="BE542" i="298" s="1"/>
  <c r="D123" i="292"/>
  <c r="AF558" i="298"/>
  <c r="F524" i="298"/>
  <c r="K32" i="28"/>
  <c r="AA69" i="298"/>
  <c r="AA71" i="298" s="1"/>
  <c r="BB365" i="298"/>
  <c r="X94" i="298"/>
  <c r="M310" i="1"/>
  <c r="M311" i="1" s="1"/>
  <c r="M321" i="1" s="1"/>
  <c r="U720" i="298"/>
  <c r="T721" i="298"/>
  <c r="S7" i="267"/>
  <c r="S9" i="313" s="1"/>
  <c r="V1077" i="1"/>
  <c r="V1083" i="1"/>
  <c r="V1085" i="1" s="1"/>
  <c r="V1087" i="1" s="1"/>
  <c r="G530" i="298"/>
  <c r="G551" i="298" s="1"/>
  <c r="G557" i="298" s="1"/>
  <c r="G560" i="298" s="1"/>
  <c r="S530" i="298"/>
  <c r="S532" i="298" s="1"/>
  <c r="S534" i="298" s="1"/>
  <c r="M1083" i="1"/>
  <c r="M1085" i="1" s="1"/>
  <c r="M1087" i="1" s="1"/>
  <c r="M1095" i="1" s="1"/>
  <c r="BE448" i="298"/>
  <c r="AF18" i="298"/>
  <c r="AF79" i="298" s="1"/>
  <c r="AR322" i="298"/>
  <c r="AF13" i="298"/>
  <c r="AS310" i="298"/>
  <c r="P172" i="298"/>
  <c r="G524" i="298"/>
  <c r="AR314" i="298"/>
  <c r="M1077" i="1"/>
  <c r="AR319" i="298"/>
  <c r="AY630" i="298"/>
  <c r="BQ61" i="468"/>
  <c r="V721" i="298"/>
  <c r="AC19" i="1"/>
  <c r="AC109" i="1" s="1"/>
  <c r="L720" i="298"/>
  <c r="AR332" i="298"/>
  <c r="AR334" i="298" s="1"/>
  <c r="AR338" i="298" s="1"/>
  <c r="AS339" i="298" s="1"/>
  <c r="BD715" i="298"/>
  <c r="AR318" i="298"/>
  <c r="BD108" i="298"/>
  <c r="AR321" i="298"/>
  <c r="BD710" i="298"/>
  <c r="C55" i="276"/>
  <c r="BA364" i="298"/>
  <c r="D27" i="28"/>
  <c r="H63" i="28"/>
  <c r="BA36" i="298"/>
  <c r="AV549" i="298"/>
  <c r="J45" i="1"/>
  <c r="J46" i="1"/>
  <c r="L42" i="298"/>
  <c r="J524" i="298"/>
  <c r="AM639" i="298"/>
  <c r="AM22" i="298"/>
  <c r="V716" i="298"/>
  <c r="AA13" i="298"/>
  <c r="BB36" i="298"/>
  <c r="J44" i="1"/>
  <c r="H27" i="28"/>
  <c r="J19" i="1"/>
  <c r="J20" i="1" s="1"/>
  <c r="S826" i="1"/>
  <c r="BB125" i="1"/>
  <c r="O42" i="298"/>
  <c r="BC715" i="298"/>
  <c r="BC721" i="298" s="1"/>
  <c r="T357" i="298"/>
  <c r="AE551" i="298"/>
  <c r="AE557" i="298" s="1"/>
  <c r="AE558" i="298" s="1"/>
  <c r="BT19" i="468"/>
  <c r="AR313" i="298"/>
  <c r="AU342" i="298"/>
  <c r="BY19" i="468"/>
  <c r="BD471" i="298"/>
  <c r="Q665" i="1"/>
  <c r="AT41" i="298"/>
  <c r="AP192" i="298"/>
  <c r="AD357" i="298"/>
  <c r="O719" i="298"/>
  <c r="CA21" i="468"/>
  <c r="AD720" i="298"/>
  <c r="L719" i="298"/>
  <c r="J22" i="298"/>
  <c r="J24" i="298"/>
  <c r="J530" i="298"/>
  <c r="J532" i="298" s="1"/>
  <c r="J534" i="298" s="1"/>
  <c r="J41" i="298"/>
  <c r="V172" i="298"/>
  <c r="AR329" i="298"/>
  <c r="BC467" i="298"/>
  <c r="AW638" i="298"/>
  <c r="R721" i="298"/>
  <c r="AV172" i="298"/>
  <c r="AY172" i="298" s="1"/>
  <c r="BE110" i="468"/>
  <c r="AU1094" i="1"/>
  <c r="P357" i="298"/>
  <c r="J431" i="298"/>
  <c r="F530" i="298"/>
  <c r="F551" i="298" s="1"/>
  <c r="F557" i="298" s="1"/>
  <c r="F560" i="298" s="1"/>
  <c r="Y721" i="298"/>
  <c r="AL172" i="298"/>
  <c r="AS329" i="298"/>
  <c r="AS341" i="298" s="1"/>
  <c r="AS342" i="298" s="1"/>
  <c r="O431" i="298"/>
  <c r="BD352" i="298"/>
  <c r="AZ430" i="298"/>
  <c r="AZ431" i="298" s="1"/>
  <c r="V19" i="298"/>
  <c r="M716" i="298"/>
  <c r="R36" i="298"/>
  <c r="AS716" i="298"/>
  <c r="J18" i="298"/>
  <c r="J19" i="298" s="1"/>
  <c r="Q36" i="28"/>
  <c r="Q41" i="28" s="1"/>
  <c r="P85" i="28" s="1"/>
  <c r="AL44" i="298"/>
  <c r="AL46" i="298" s="1"/>
  <c r="S310" i="298"/>
  <c r="BC138" i="298"/>
  <c r="AI121" i="298"/>
  <c r="AI114" i="298" s="1"/>
  <c r="BB530" i="298"/>
  <c r="BB532" i="298" s="1"/>
  <c r="BB534" i="298" s="1"/>
  <c r="S314" i="298"/>
  <c r="BB352" i="298"/>
  <c r="BD440" i="298"/>
  <c r="BD130" i="298" s="1"/>
  <c r="BC684" i="298"/>
  <c r="AZ109" i="1"/>
  <c r="BC1197" i="1"/>
  <c r="BC1202" i="1" s="1"/>
  <c r="AV329" i="298"/>
  <c r="AV341" i="298" s="1"/>
  <c r="BD467" i="298"/>
  <c r="BB467" i="298"/>
  <c r="U716" i="298"/>
  <c r="P176" i="298"/>
  <c r="BD468" i="298"/>
  <c r="BD131" i="298" s="1"/>
  <c r="Q549" i="298"/>
  <c r="AA171" i="298"/>
  <c r="AR172" i="298"/>
  <c r="AB719" i="298"/>
  <c r="X719" i="298"/>
  <c r="AL36" i="298"/>
  <c r="AY109" i="1"/>
  <c r="F32" i="28"/>
  <c r="BD366" i="298"/>
  <c r="I549" i="298"/>
  <c r="Q25" i="28"/>
  <c r="AP542" i="298"/>
  <c r="AC720" i="298"/>
  <c r="W720" i="298"/>
  <c r="AU192" i="298"/>
  <c r="AH114" i="298"/>
  <c r="Q27" i="28"/>
  <c r="J39" i="298"/>
  <c r="AE36" i="298"/>
  <c r="J13" i="298"/>
  <c r="S317" i="298"/>
  <c r="AW332" i="298"/>
  <c r="AW334" i="298" s="1"/>
  <c r="AW338" i="298" s="1"/>
  <c r="BE446" i="298"/>
  <c r="J638" i="298"/>
  <c r="BA365" i="298"/>
  <c r="BI419" i="1"/>
  <c r="BK827" i="1"/>
  <c r="AA560" i="298"/>
  <c r="Y716" i="298"/>
  <c r="AZ1197" i="1"/>
  <c r="AZ1202" i="1" s="1"/>
  <c r="AZ1203" i="1"/>
  <c r="BD1203" i="1"/>
  <c r="AX1197" i="1"/>
  <c r="AX1202" i="1" s="1"/>
  <c r="AX1203" i="1"/>
  <c r="BA1197" i="1"/>
  <c r="BA1202" i="1" s="1"/>
  <c r="BA1203" i="1"/>
  <c r="Y831" i="1"/>
  <c r="AY1197" i="1"/>
  <c r="AY1202" i="1" s="1"/>
  <c r="AY1203" i="1"/>
  <c r="BD1204" i="1"/>
  <c r="Q1102" i="1"/>
  <c r="AN633" i="298"/>
  <c r="AN638" i="298" s="1"/>
  <c r="AE541" i="298"/>
  <c r="BE541" i="298" s="1"/>
  <c r="AY519" i="298"/>
  <c r="AY21" i="298" s="1"/>
  <c r="AY44" i="298" s="1"/>
  <c r="I59" i="28"/>
  <c r="BC470" i="298"/>
  <c r="BC475" i="298"/>
  <c r="AP324" i="298"/>
  <c r="AA66" i="28"/>
  <c r="BD138" i="298"/>
  <c r="O137" i="298"/>
  <c r="S721" i="298"/>
  <c r="AP639" i="298"/>
  <c r="Z36" i="298"/>
  <c r="BB21" i="298"/>
  <c r="BB24" i="298" s="1"/>
  <c r="BE719" i="298"/>
  <c r="AB172" i="298"/>
  <c r="G32" i="28"/>
  <c r="Z65" i="28"/>
  <c r="BD719" i="298"/>
  <c r="L716" i="298"/>
  <c r="Y65" i="28"/>
  <c r="AU23" i="1"/>
  <c r="AU13" i="298"/>
  <c r="O720" i="298"/>
  <c r="BC471" i="298"/>
  <c r="S1021" i="1"/>
  <c r="AY125" i="298"/>
  <c r="O96" i="28"/>
  <c r="AV133" i="298"/>
  <c r="AY133" i="298" s="1"/>
  <c r="S448" i="298"/>
  <c r="AR716" i="298"/>
  <c r="AR722" i="298" s="1"/>
  <c r="BC545" i="298"/>
  <c r="BC548" i="298" s="1"/>
  <c r="BC549" i="298" s="1"/>
  <c r="BC519" i="298"/>
  <c r="BC530" i="298" s="1"/>
  <c r="BC532" i="298" s="1"/>
  <c r="BC534" i="298" s="1"/>
  <c r="X176" i="298"/>
  <c r="AT549" i="298"/>
  <c r="X1341" i="1"/>
  <c r="P310" i="1"/>
  <c r="P311" i="1" s="1"/>
  <c r="P321" i="1" s="1"/>
  <c r="R1345" i="1"/>
  <c r="AT1094" i="1"/>
  <c r="AK192" i="298"/>
  <c r="R716" i="298"/>
  <c r="BE352" i="298"/>
  <c r="W27" i="28"/>
  <c r="CB21" i="468"/>
  <c r="AR317" i="298"/>
  <c r="AR320" i="298"/>
  <c r="X13" i="298"/>
  <c r="D26" i="51"/>
  <c r="D34" i="51" s="1"/>
  <c r="X639" i="298"/>
  <c r="S352" i="298"/>
  <c r="AR316" i="298"/>
  <c r="S467" i="298"/>
  <c r="AB62" i="298"/>
  <c r="AB64" i="298" s="1"/>
  <c r="W63" i="28"/>
  <c r="BD365" i="298"/>
  <c r="AR310" i="298"/>
  <c r="X549" i="298"/>
  <c r="Y720" i="298"/>
  <c r="AE719" i="298"/>
  <c r="E13" i="276"/>
  <c r="F13" i="276" s="1"/>
  <c r="AS1094" i="1"/>
  <c r="J32" i="28"/>
  <c r="AS19" i="298"/>
  <c r="K316" i="298"/>
  <c r="BC366" i="298"/>
  <c r="AR19" i="298"/>
  <c r="S319" i="298"/>
  <c r="AA716" i="298"/>
  <c r="P720" i="298"/>
  <c r="BA713" i="298"/>
  <c r="BA719" i="298" s="1"/>
  <c r="AC171" i="298"/>
  <c r="P358" i="298"/>
  <c r="R21" i="298"/>
  <c r="R44" i="298" s="1"/>
  <c r="X358" i="298"/>
  <c r="I638" i="298"/>
  <c r="AA176" i="298"/>
  <c r="O36" i="298"/>
  <c r="I65" i="28"/>
  <c r="W721" i="298"/>
  <c r="BK829" i="1"/>
  <c r="BH620" i="1"/>
  <c r="M13" i="298"/>
  <c r="AV639" i="298"/>
  <c r="I42" i="298"/>
  <c r="BA470" i="298"/>
  <c r="T719" i="298"/>
  <c r="P32" i="28"/>
  <c r="AL716" i="298"/>
  <c r="AL722" i="298" s="1"/>
  <c r="W549" i="298"/>
  <c r="L1344" i="1"/>
  <c r="AC505" i="298"/>
  <c r="AC560" i="298" s="1"/>
  <c r="AC716" i="298"/>
  <c r="BE33" i="298"/>
  <c r="AO36" i="298"/>
  <c r="K315" i="298"/>
  <c r="K320" i="298"/>
  <c r="P716" i="298"/>
  <c r="BL888" i="1"/>
  <c r="AS44" i="298"/>
  <c r="AS60" i="298" s="1"/>
  <c r="BK821" i="1"/>
  <c r="W39" i="298"/>
  <c r="AQ532" i="298"/>
  <c r="AQ534" i="298" s="1"/>
  <c r="AQ551" i="298"/>
  <c r="AQ557" i="298" s="1"/>
  <c r="AQ560" i="298" s="1"/>
  <c r="AL192" i="298"/>
  <c r="S59" i="28"/>
  <c r="BC716" i="298"/>
  <c r="AZ476" i="298"/>
  <c r="AF638" i="298"/>
  <c r="J640" i="298"/>
  <c r="J40" i="298"/>
  <c r="Q59" i="28"/>
  <c r="CA19" i="468"/>
  <c r="P59" i="28"/>
  <c r="T36" i="28"/>
  <c r="T41" i="28" s="1"/>
  <c r="T46" i="28" s="1"/>
  <c r="AO542" i="298"/>
  <c r="AC45" i="1"/>
  <c r="X357" i="298"/>
  <c r="U25" i="28"/>
  <c r="O721" i="298"/>
  <c r="T63" i="28"/>
  <c r="N13" i="298"/>
  <c r="AF46" i="298"/>
  <c r="R172" i="298"/>
  <c r="Y172" i="298"/>
  <c r="AR639" i="298"/>
  <c r="M549" i="298"/>
  <c r="O372" i="298"/>
  <c r="P665" i="1"/>
  <c r="BK826" i="1"/>
  <c r="U172" i="298"/>
  <c r="Q32" i="28"/>
  <c r="BE698" i="298"/>
  <c r="AN716" i="298"/>
  <c r="AN722" i="298" s="1"/>
  <c r="M434" i="1"/>
  <c r="K369" i="298"/>
  <c r="O370" i="298" s="1"/>
  <c r="E18" i="276"/>
  <c r="G18" i="276" s="1"/>
  <c r="U549" i="298"/>
  <c r="V720" i="298"/>
  <c r="O18" i="298"/>
  <c r="S19" i="298" s="1"/>
  <c r="L36" i="298"/>
  <c r="AH47" i="1"/>
  <c r="BZ21" i="468"/>
  <c r="L721" i="298"/>
  <c r="AA545" i="298"/>
  <c r="AA548" i="298" s="1"/>
  <c r="AA549" i="298" s="1"/>
  <c r="AA510" i="298"/>
  <c r="BC12" i="298"/>
  <c r="BC39" i="298" s="1"/>
  <c r="BM12" i="1"/>
  <c r="BM1297" i="1" s="1"/>
  <c r="I40" i="298"/>
  <c r="AU640" i="298"/>
  <c r="AE172" i="298"/>
  <c r="AO639" i="298"/>
  <c r="CA105" i="468"/>
  <c r="O357" i="298"/>
  <c r="I24" i="28"/>
  <c r="I63" i="28" s="1"/>
  <c r="W530" i="298"/>
  <c r="W551" i="298" s="1"/>
  <c r="W557" i="298" s="1"/>
  <c r="AA719" i="298"/>
  <c r="AA137" i="298"/>
  <c r="S108" i="298"/>
  <c r="R181" i="298"/>
  <c r="R182" i="298" s="1"/>
  <c r="R192" i="298" s="1"/>
  <c r="R171" i="298"/>
  <c r="T59" i="28"/>
  <c r="W21" i="298"/>
  <c r="W24" i="298" s="1"/>
  <c r="AY466" i="298"/>
  <c r="AY476" i="298" s="1"/>
  <c r="AO187" i="298"/>
  <c r="BA476" i="298"/>
  <c r="BA468" i="298"/>
  <c r="BA131" i="298" s="1"/>
  <c r="AB13" i="298"/>
  <c r="AO44" i="298"/>
  <c r="AO46" i="298" s="1"/>
  <c r="BC136" i="298"/>
  <c r="AP341" i="298"/>
  <c r="AP342" i="298" s="1"/>
  <c r="BC448" i="298"/>
  <c r="I13" i="298"/>
  <c r="N357" i="298"/>
  <c r="W716" i="298"/>
  <c r="AZ639" i="298"/>
  <c r="AZ18" i="298"/>
  <c r="AZ640" i="298"/>
  <c r="V1341" i="1"/>
  <c r="AF47" i="298"/>
  <c r="AM187" i="298"/>
  <c r="AB716" i="298"/>
  <c r="O39" i="298"/>
  <c r="BW21" i="468"/>
  <c r="BW56" i="468" s="1"/>
  <c r="AU181" i="298"/>
  <c r="AU191" i="298" s="1"/>
  <c r="AE55" i="298"/>
  <c r="AE57" i="298" s="1"/>
  <c r="AE48" i="298" s="1"/>
  <c r="AE177" i="298"/>
  <c r="AL22" i="298"/>
  <c r="H32" i="28"/>
  <c r="W42" i="298"/>
  <c r="AM172" i="298"/>
  <c r="U719" i="298"/>
  <c r="X18" i="298"/>
  <c r="X19" i="298" s="1"/>
  <c r="BD185" i="298"/>
  <c r="BA715" i="298"/>
  <c r="BB721" i="298" s="1"/>
  <c r="AF716" i="298"/>
  <c r="O40" i="298"/>
  <c r="AN187" i="298"/>
  <c r="Q716" i="298"/>
  <c r="O41" i="298"/>
  <c r="N720" i="298"/>
  <c r="AG305" i="1"/>
  <c r="U21" i="298"/>
  <c r="U44" i="298" s="1"/>
  <c r="Y719" i="298"/>
  <c r="AU639" i="298"/>
  <c r="BC108" i="298"/>
  <c r="T32" i="28"/>
  <c r="S364" i="298"/>
  <c r="AE298" i="298"/>
  <c r="AE315" i="298" s="1"/>
  <c r="BC698" i="298"/>
  <c r="AH1345" i="1"/>
  <c r="AZ545" i="298"/>
  <c r="AZ548" i="298" s="1"/>
  <c r="AE137" i="298"/>
  <c r="BA446" i="298"/>
  <c r="AF639" i="298"/>
  <c r="H65" i="28"/>
  <c r="X519" i="1"/>
  <c r="X527" i="1" s="1"/>
  <c r="BD439" i="298"/>
  <c r="L39" i="298"/>
  <c r="U181" i="298"/>
  <c r="O13" i="298"/>
  <c r="AU41" i="298"/>
  <c r="AF40" i="298"/>
  <c r="AC172" i="298"/>
  <c r="O639" i="298"/>
  <c r="W181" i="298"/>
  <c r="AH1354" i="1"/>
  <c r="AH1363" i="1" s="1"/>
  <c r="BD364" i="298"/>
  <c r="AY445" i="298"/>
  <c r="AY448" i="298" s="1"/>
  <c r="BS19" i="468"/>
  <c r="BX21" i="468"/>
  <c r="AU40" i="298"/>
  <c r="R549" i="298"/>
  <c r="AN542" i="298"/>
  <c r="Q357" i="298"/>
  <c r="AF505" i="298"/>
  <c r="AF519" i="298" s="1"/>
  <c r="AF41" i="298"/>
  <c r="AZ366" i="298"/>
  <c r="P721" i="298"/>
  <c r="K66" i="28"/>
  <c r="BA519" i="298"/>
  <c r="BA21" i="298" s="1"/>
  <c r="BD698" i="298"/>
  <c r="R530" i="298"/>
  <c r="R551" i="298" s="1"/>
  <c r="R557" i="298" s="1"/>
  <c r="AW172" i="298"/>
  <c r="AZ172" i="298" s="1"/>
  <c r="L639" i="298"/>
  <c r="I716" i="298"/>
  <c r="I722" i="298" s="1"/>
  <c r="AU716" i="298"/>
  <c r="AE176" i="298"/>
  <c r="AZ125" i="298"/>
  <c r="I39" i="298"/>
  <c r="AN192" i="298"/>
  <c r="AT39" i="298"/>
  <c r="I41" i="298"/>
  <c r="AW126" i="298"/>
  <c r="AZ126" i="298" s="1"/>
  <c r="AZ714" i="298"/>
  <c r="AZ720" i="298" s="1"/>
  <c r="BA366" i="298"/>
  <c r="AY363" i="298"/>
  <c r="Y356" i="298"/>
  <c r="AC358" i="298" s="1"/>
  <c r="AF39" i="298"/>
  <c r="CA93" i="468"/>
  <c r="BY93" i="468"/>
  <c r="AB528" i="1"/>
  <c r="AB536" i="1" s="1"/>
  <c r="AU39" i="298"/>
  <c r="AN342" i="298"/>
  <c r="AQ335" i="298"/>
  <c r="AC41" i="298"/>
  <c r="N139" i="298"/>
  <c r="AB66" i="28"/>
  <c r="H639" i="298"/>
  <c r="AG533" i="1"/>
  <c r="U665" i="1"/>
  <c r="AB866" i="1"/>
  <c r="AU18" i="298"/>
  <c r="AU79" i="298" s="1"/>
  <c r="AQ79" i="298"/>
  <c r="T172" i="298"/>
  <c r="AK79" i="298"/>
  <c r="AA172" i="298"/>
  <c r="AF139" i="298"/>
  <c r="H39" i="292"/>
  <c r="H44" i="292" s="1"/>
  <c r="M721" i="298"/>
  <c r="BA352" i="298"/>
  <c r="M65" i="28"/>
  <c r="O1028" i="1"/>
  <c r="K36" i="298"/>
  <c r="P39" i="298"/>
  <c r="AU633" i="298"/>
  <c r="AU638" i="298" s="1"/>
  <c r="U28" i="28"/>
  <c r="T720" i="298"/>
  <c r="W13" i="298"/>
  <c r="W18" i="298"/>
  <c r="W640" i="298"/>
  <c r="U656" i="1"/>
  <c r="BA153" i="298"/>
  <c r="N369" i="298"/>
  <c r="N370" i="298" s="1"/>
  <c r="AF831" i="1"/>
  <c r="J372" i="298"/>
  <c r="N371" i="298"/>
  <c r="AE721" i="298"/>
  <c r="AT640" i="298"/>
  <c r="Z42" i="298"/>
  <c r="X638" i="298"/>
  <c r="AT639" i="298"/>
  <c r="AZ638" i="298"/>
  <c r="W40" i="298"/>
  <c r="AD534" i="1"/>
  <c r="BE619" i="298"/>
  <c r="BE159" i="298"/>
  <c r="X39" i="298"/>
  <c r="M357" i="298"/>
  <c r="P1083" i="1"/>
  <c r="P1104" i="1" s="1"/>
  <c r="P1111" i="1" s="1"/>
  <c r="P1114" i="1" s="1"/>
  <c r="AC719" i="298"/>
  <c r="M720" i="298"/>
  <c r="AD721" i="298"/>
  <c r="AT94" i="298"/>
  <c r="AT42" i="298"/>
  <c r="BA160" i="298"/>
  <c r="X66" i="28"/>
  <c r="AF176" i="298"/>
  <c r="CB105" i="468"/>
  <c r="AB534" i="1"/>
  <c r="AF721" i="298"/>
  <c r="L41" i="298"/>
  <c r="Z665" i="1"/>
  <c r="AB656" i="1"/>
  <c r="BE126" i="298"/>
  <c r="AU330" i="298"/>
  <c r="S665" i="1"/>
  <c r="AB1344" i="1"/>
  <c r="Z73" i="359"/>
  <c r="Z74" i="359" s="1"/>
  <c r="G39" i="292"/>
  <c r="AU530" i="298"/>
  <c r="AU551" i="298" s="1"/>
  <c r="AU557" i="298" s="1"/>
  <c r="AU560" i="298" s="1"/>
  <c r="AU524" i="298"/>
  <c r="D39" i="292"/>
  <c r="D41" i="292" s="1"/>
  <c r="AU21" i="298"/>
  <c r="AU24" i="298" s="1"/>
  <c r="V36" i="298"/>
  <c r="W638" i="298"/>
  <c r="U1102" i="1"/>
  <c r="BG110" i="468"/>
  <c r="W639" i="298"/>
  <c r="BB413" i="298"/>
  <c r="BB356" i="298"/>
  <c r="AE298" i="1"/>
  <c r="AU324" i="298"/>
  <c r="BY21" i="468"/>
  <c r="J1102" i="1"/>
  <c r="H549" i="298"/>
  <c r="L65" i="28"/>
  <c r="AC721" i="298"/>
  <c r="G36" i="51"/>
  <c r="O358" i="298"/>
  <c r="S719" i="298"/>
  <c r="S1345" i="1"/>
  <c r="J1391" i="1"/>
  <c r="BA714" i="298"/>
  <c r="E21" i="298"/>
  <c r="E24" i="298" s="1"/>
  <c r="E524" i="298"/>
  <c r="E530" i="298"/>
  <c r="AB720" i="298"/>
  <c r="O1027" i="1"/>
  <c r="T524" i="298"/>
  <c r="T530" i="298"/>
  <c r="T21" i="298"/>
  <c r="BC468" i="298"/>
  <c r="BC131" i="298" s="1"/>
  <c r="W364" i="298"/>
  <c r="S366" i="298"/>
  <c r="AQ187" i="298"/>
  <c r="AP187" i="298"/>
  <c r="BC353" i="298"/>
  <c r="BC129" i="298" s="1"/>
  <c r="BI619" i="1"/>
  <c r="BI270" i="1" s="1"/>
  <c r="X32" i="28"/>
  <c r="Z176" i="298"/>
  <c r="AP722" i="298"/>
  <c r="AQ172" i="298"/>
  <c r="I32" i="28"/>
  <c r="H59" i="28"/>
  <c r="AL541" i="298"/>
  <c r="AL542" i="298"/>
  <c r="BD33" i="298"/>
  <c r="S176" i="298"/>
  <c r="AA524" i="298"/>
  <c r="O21" i="298"/>
  <c r="O530" i="298"/>
  <c r="O181" i="298"/>
  <c r="O524" i="298"/>
  <c r="L66" i="28"/>
  <c r="X716" i="298"/>
  <c r="Z721" i="298"/>
  <c r="AZ1027" i="1"/>
  <c r="BE125" i="298"/>
  <c r="AM56" i="359"/>
  <c r="AA21" i="298"/>
  <c r="X42" i="298"/>
  <c r="AB560" i="298"/>
  <c r="T299" i="1"/>
  <c r="BD475" i="298"/>
  <c r="BE97" i="298"/>
  <c r="BE94" i="298" s="1"/>
  <c r="BD704" i="298"/>
  <c r="Z716" i="298"/>
  <c r="AS551" i="298"/>
  <c r="AS557" i="298" s="1"/>
  <c r="AS532" i="298"/>
  <c r="AS534" i="298" s="1"/>
  <c r="CB19" i="468"/>
  <c r="O716" i="298"/>
  <c r="AW39" i="298"/>
  <c r="AZ39" i="298" s="1"/>
  <c r="Y171" i="298"/>
  <c r="AS187" i="298"/>
  <c r="V79" i="298"/>
  <c r="AP330" i="298"/>
  <c r="AO332" i="298"/>
  <c r="AO334" i="298" s="1"/>
  <c r="AP335" i="298" s="1"/>
  <c r="X172" i="298"/>
  <c r="BQ110" i="468"/>
  <c r="AL187" i="298"/>
  <c r="AW41" i="298"/>
  <c r="AZ41" i="298" s="1"/>
  <c r="S320" i="298"/>
  <c r="AQ338" i="298"/>
  <c r="AT633" i="298"/>
  <c r="AT638" i="298" s="1"/>
  <c r="AN56" i="359"/>
  <c r="I369" i="298"/>
  <c r="M371" i="298" s="1"/>
  <c r="I431" i="298"/>
  <c r="AC139" i="298"/>
  <c r="S315" i="298"/>
  <c r="Q879" i="1"/>
  <c r="Q882" i="1" s="1"/>
  <c r="M21" i="298"/>
  <c r="M44" i="298" s="1"/>
  <c r="M530" i="298"/>
  <c r="M524" i="298"/>
  <c r="BQ59" i="468"/>
  <c r="BQ60" i="468" s="1"/>
  <c r="AT710" i="298"/>
  <c r="AT716" i="298" s="1"/>
  <c r="AT167" i="298"/>
  <c r="R720" i="298"/>
  <c r="BE710" i="298"/>
  <c r="BE716" i="298" s="1"/>
  <c r="BE714" i="298"/>
  <c r="AP19" i="298"/>
  <c r="P40" i="298"/>
  <c r="AS192" i="298"/>
  <c r="R886" i="1"/>
  <c r="AZ448" i="298"/>
  <c r="AF172" i="298"/>
  <c r="I639" i="298"/>
  <c r="X21" i="298"/>
  <c r="X181" i="298"/>
  <c r="X530" i="298"/>
  <c r="X524" i="298"/>
  <c r="AK541" i="298"/>
  <c r="AK542" i="298"/>
  <c r="M719" i="298"/>
  <c r="BL514" i="1"/>
  <c r="S476" i="298"/>
  <c r="S474" i="298"/>
  <c r="AS633" i="298"/>
  <c r="AS638" i="298" s="1"/>
  <c r="AS639" i="298"/>
  <c r="T65" i="28"/>
  <c r="BC185" i="298"/>
  <c r="BY105" i="468"/>
  <c r="AK94" i="298"/>
  <c r="AR551" i="298"/>
  <c r="AR557" i="298" s="1"/>
  <c r="AR532" i="298"/>
  <c r="AR534" i="298" s="1"/>
  <c r="O640" i="298"/>
  <c r="S13" i="298"/>
  <c r="N13" i="1"/>
  <c r="G59" i="28"/>
  <c r="X640" i="298"/>
  <c r="X40" i="298"/>
  <c r="AR187" i="298"/>
  <c r="AR192" i="298"/>
  <c r="V886" i="1"/>
  <c r="AL633" i="298"/>
  <c r="AL638" i="298" s="1"/>
  <c r="AL639" i="298"/>
  <c r="AF720" i="298"/>
  <c r="BK889" i="1"/>
  <c r="L21" i="298"/>
  <c r="L530" i="298"/>
  <c r="L181" i="298"/>
  <c r="L524" i="298"/>
  <c r="AQ324" i="298"/>
  <c r="BE630" i="298"/>
  <c r="R533" i="1"/>
  <c r="AX1094" i="1"/>
  <c r="W59" i="28"/>
  <c r="I21" i="298"/>
  <c r="I524" i="298"/>
  <c r="I530" i="298"/>
  <c r="L18" i="298"/>
  <c r="L79" i="298" s="1"/>
  <c r="L640" i="298"/>
  <c r="L40" i="298"/>
  <c r="U14" i="298"/>
  <c r="U177" i="298" s="1"/>
  <c r="U176" i="298"/>
  <c r="O66" i="28"/>
  <c r="AC66" i="28"/>
  <c r="H26" i="51"/>
  <c r="H28" i="51" s="1"/>
  <c r="AE66" i="28"/>
  <c r="AZ39" i="1"/>
  <c r="AT49" i="1"/>
  <c r="AT188" i="1" s="1"/>
  <c r="V21" i="298"/>
  <c r="V524" i="298"/>
  <c r="V181" i="298"/>
  <c r="V530" i="298"/>
  <c r="BJ520" i="1"/>
  <c r="BK528" i="1" s="1"/>
  <c r="R19" i="298"/>
  <c r="I18" i="298"/>
  <c r="I19" i="298" s="1"/>
  <c r="R357" i="298"/>
  <c r="T716" i="298"/>
  <c r="Z720" i="298"/>
  <c r="AQ633" i="298"/>
  <c r="AQ638" i="298" s="1"/>
  <c r="AQ639" i="298"/>
  <c r="Y96" i="28"/>
  <c r="E96" i="28"/>
  <c r="AG43" i="298"/>
  <c r="BN135" i="298"/>
  <c r="BO134" i="298"/>
  <c r="BC720" i="298"/>
  <c r="X36" i="28"/>
  <c r="X41" i="28" s="1"/>
  <c r="X80" i="28" s="1"/>
  <c r="X63" i="28"/>
  <c r="X27" i="28"/>
  <c r="X25" i="28"/>
  <c r="AQ722" i="298"/>
  <c r="AD639" i="298"/>
  <c r="L13" i="298"/>
  <c r="BB138" i="298"/>
  <c r="T191" i="298"/>
  <c r="N358" i="298"/>
  <c r="N716" i="298"/>
  <c r="C38" i="276"/>
  <c r="AU126" i="298"/>
  <c r="AU133" i="298"/>
  <c r="AW139" i="298"/>
  <c r="AV21" i="298"/>
  <c r="AV44" i="298" s="1"/>
  <c r="AV182" i="298"/>
  <c r="AV524" i="298"/>
  <c r="AV530" i="298"/>
  <c r="AB71" i="298"/>
  <c r="AB74" i="298"/>
  <c r="AF75" i="298" s="1"/>
  <c r="AS42" i="298"/>
  <c r="AS36" i="298"/>
  <c r="AT36" i="298"/>
  <c r="BU19" i="468"/>
  <c r="BC474" i="298"/>
  <c r="BC476" i="298"/>
  <c r="Q720" i="298"/>
  <c r="S439" i="298"/>
  <c r="BC440" i="298"/>
  <c r="BC130" i="298" s="1"/>
  <c r="AM19" i="298"/>
  <c r="E27" i="28"/>
  <c r="E36" i="28"/>
  <c r="E41" i="28" s="1"/>
  <c r="D85" i="28" s="1"/>
  <c r="E25" i="28"/>
  <c r="S313" i="298"/>
  <c r="S322" i="298"/>
  <c r="S321" i="298"/>
  <c r="BD167" i="298"/>
  <c r="BD159" i="298"/>
  <c r="L357" i="298"/>
  <c r="M358" i="298"/>
  <c r="R66" i="28"/>
  <c r="Q639" i="298"/>
  <c r="S39" i="1"/>
  <c r="Y47" i="1"/>
  <c r="AH1344" i="1"/>
  <c r="AC83" i="298"/>
  <c r="AW14" i="298"/>
  <c r="AZ14" i="298" s="1"/>
  <c r="AZ133" i="298"/>
  <c r="AW344" i="298"/>
  <c r="AC46" i="298"/>
  <c r="S356" i="298"/>
  <c r="W412" i="298"/>
  <c r="S413" i="298"/>
  <c r="Z172" i="298"/>
  <c r="AD172" i="298"/>
  <c r="Z166" i="298"/>
  <c r="AL44" i="359"/>
  <c r="AL51" i="359"/>
  <c r="Q66" i="28"/>
  <c r="BE137" i="298"/>
  <c r="H372" i="298"/>
  <c r="W96" i="28"/>
  <c r="J36" i="298"/>
  <c r="J44" i="298"/>
  <c r="AC18" i="298"/>
  <c r="AC640" i="298"/>
  <c r="D21" i="298"/>
  <c r="D24" i="298" s="1"/>
  <c r="D524" i="298"/>
  <c r="D530" i="298"/>
  <c r="E33" i="28"/>
  <c r="E32" i="28"/>
  <c r="AI123" i="298"/>
  <c r="AH116" i="298"/>
  <c r="AH138" i="298"/>
  <c r="N65" i="28"/>
  <c r="N66" i="28"/>
  <c r="Z39" i="298"/>
  <c r="Z40" i="298"/>
  <c r="Z41" i="298"/>
  <c r="Z18" i="298"/>
  <c r="Z71" i="298" s="1"/>
  <c r="Z505" i="298"/>
  <c r="Z560" i="298" s="1"/>
  <c r="Z13" i="298"/>
  <c r="Z640" i="298"/>
  <c r="A35" i="468"/>
  <c r="A40" i="468" s="1"/>
  <c r="A30" i="468"/>
  <c r="AF719" i="298"/>
  <c r="S710" i="298"/>
  <c r="S716" i="298" s="1"/>
  <c r="P66" i="28"/>
  <c r="X720" i="298"/>
  <c r="AD638" i="298"/>
  <c r="N719" i="298"/>
  <c r="CC93" i="468"/>
  <c r="D7" i="51"/>
  <c r="E9" i="51" s="1"/>
  <c r="AR42" i="298"/>
  <c r="AR44" i="298"/>
  <c r="BE108" i="298"/>
  <c r="M66" i="28"/>
  <c r="AV181" i="298"/>
  <c r="AV191" i="298" s="1"/>
  <c r="AY191" i="298" s="1"/>
  <c r="AW639" i="298"/>
  <c r="AC40" i="298"/>
  <c r="S720" i="298"/>
  <c r="BF110" i="468"/>
  <c r="BA467" i="298"/>
  <c r="BB470" i="298"/>
  <c r="BB468" i="298"/>
  <c r="BB131" i="298" s="1"/>
  <c r="BB133" i="298" s="1"/>
  <c r="BB14" i="298" s="1"/>
  <c r="BB177" i="298" s="1"/>
  <c r="O65" i="28"/>
  <c r="AE65" i="28"/>
  <c r="I36" i="298"/>
  <c r="Q39" i="298"/>
  <c r="X171" i="298"/>
  <c r="AB358" i="298"/>
  <c r="P638" i="298"/>
  <c r="CC19" i="468"/>
  <c r="AC1202" i="1"/>
  <c r="AA886" i="1"/>
  <c r="AC39" i="298"/>
  <c r="AO330" i="298"/>
  <c r="Z639" i="298"/>
  <c r="AW40" i="298"/>
  <c r="AZ40" i="298" s="1"/>
  <c r="Y176" i="298"/>
  <c r="G23" i="28"/>
  <c r="G24" i="28" s="1"/>
  <c r="BE133" i="298"/>
  <c r="BA710" i="298"/>
  <c r="N181" i="298"/>
  <c r="N524" i="298"/>
  <c r="N530" i="298"/>
  <c r="U32" i="28"/>
  <c r="U33" i="28"/>
  <c r="AW21" i="298"/>
  <c r="AW44" i="298" s="1"/>
  <c r="AW182" i="298"/>
  <c r="AW181" i="298"/>
  <c r="AW530" i="298"/>
  <c r="AW524" i="298"/>
  <c r="AQ19" i="298"/>
  <c r="U59" i="28"/>
  <c r="AC639" i="298"/>
  <c r="W65" i="28"/>
  <c r="AL56" i="359"/>
  <c r="AP60" i="359" s="1"/>
  <c r="AP142" i="359" s="1"/>
  <c r="W47" i="1"/>
  <c r="AC1344" i="1"/>
  <c r="AG11" i="298"/>
  <c r="BO127" i="298"/>
  <c r="BN130" i="298"/>
  <c r="AG15" i="298" s="1"/>
  <c r="AW18" i="298"/>
  <c r="AW79" i="298" s="1"/>
  <c r="AZ79" i="298" s="1"/>
  <c r="AW710" i="298"/>
  <c r="AW716" i="298" s="1"/>
  <c r="AW640" i="298"/>
  <c r="AB139" i="298"/>
  <c r="X139" i="298"/>
  <c r="BV19" i="468"/>
  <c r="J721" i="298"/>
  <c r="N721" i="298"/>
  <c r="P719" i="298"/>
  <c r="J905" i="1"/>
  <c r="J912" i="1" s="1"/>
  <c r="BL520" i="1"/>
  <c r="BL528" i="1" s="1"/>
  <c r="BE311" i="1"/>
  <c r="BE321" i="1" s="1"/>
  <c r="AC656" i="1"/>
  <c r="BK620" i="1"/>
  <c r="P22" i="1"/>
  <c r="P806" i="1" s="1"/>
  <c r="P810" i="1" s="1"/>
  <c r="BH612" i="1"/>
  <c r="H44" i="1"/>
  <c r="H47" i="1"/>
  <c r="BE1083" i="1"/>
  <c r="BE1085" i="1" s="1"/>
  <c r="BE1087" i="1" s="1"/>
  <c r="BE1094" i="1" s="1"/>
  <c r="X665" i="1"/>
  <c r="BH430" i="1"/>
  <c r="R1083" i="1"/>
  <c r="R1104" i="1" s="1"/>
  <c r="R1111" i="1" s="1"/>
  <c r="AA656" i="1"/>
  <c r="BI1338" i="1"/>
  <c r="BJ1344" i="1" s="1"/>
  <c r="BH419" i="1"/>
  <c r="T656" i="1"/>
  <c r="BL808" i="1"/>
  <c r="P533" i="1"/>
  <c r="AX1041" i="1"/>
  <c r="H45" i="1"/>
  <c r="X45" i="1"/>
  <c r="H1353" i="1"/>
  <c r="H1362" i="1" s="1"/>
  <c r="H19" i="1"/>
  <c r="H109" i="1" s="1"/>
  <c r="BE1077" i="1"/>
  <c r="AV1038" i="1"/>
  <c r="AV1040" i="1" s="1"/>
  <c r="AV1044" i="1" s="1"/>
  <c r="AV1048" i="1" s="1"/>
  <c r="V519" i="1"/>
  <c r="BK519" i="1" s="1"/>
  <c r="O1346" i="1"/>
  <c r="H46" i="1"/>
  <c r="V1344" i="1"/>
  <c r="J22" i="1"/>
  <c r="J49" i="1" s="1"/>
  <c r="J188" i="1" s="1"/>
  <c r="J1083" i="1"/>
  <c r="J1077" i="1"/>
  <c r="BK245" i="1"/>
  <c r="U663" i="1"/>
  <c r="K1023" i="1"/>
  <c r="AW109" i="1"/>
  <c r="AE61" i="359"/>
  <c r="AE62" i="359" s="1"/>
  <c r="AA61" i="359"/>
  <c r="AA62" i="359" s="1"/>
  <c r="T668" i="1"/>
  <c r="Q1345" i="1"/>
  <c r="AD1072" i="1"/>
  <c r="AD1077" i="1" s="1"/>
  <c r="AX23" i="1"/>
  <c r="BE310" i="1"/>
  <c r="BE320" i="1" s="1"/>
  <c r="V514" i="1"/>
  <c r="R514" i="1" s="1"/>
  <c r="N514" i="1" s="1"/>
  <c r="R523" i="1" s="1"/>
  <c r="AW26" i="1"/>
  <c r="BE1038" i="1"/>
  <c r="BE1040" i="1" s="1"/>
  <c r="BE1044" i="1" s="1"/>
  <c r="W665" i="1"/>
  <c r="K1341" i="1"/>
  <c r="K1347" i="1" s="1"/>
  <c r="W666" i="1"/>
  <c r="BH1338" i="1"/>
  <c r="BH1344" i="1" s="1"/>
  <c r="AA1345" i="1"/>
  <c r="O905" i="1"/>
  <c r="O912" i="1" s="1"/>
  <c r="BI912" i="1"/>
  <c r="AG1354" i="1"/>
  <c r="R1346" i="1"/>
  <c r="AD298" i="1"/>
  <c r="AG1203" i="1"/>
  <c r="AG46" i="1"/>
  <c r="Y536" i="1"/>
  <c r="AG1058" i="1"/>
  <c r="AF533" i="1"/>
  <c r="AG663" i="1"/>
  <c r="Q886" i="1"/>
  <c r="I509" i="1"/>
  <c r="BJ890" i="1"/>
  <c r="V1346" i="1"/>
  <c r="S886" i="1"/>
  <c r="BM887" i="1"/>
  <c r="U1345" i="1"/>
  <c r="S911" i="1"/>
  <c r="P1346" i="1"/>
  <c r="R299" i="1"/>
  <c r="AB515" i="1"/>
  <c r="X515" i="1" s="1"/>
  <c r="R298" i="1"/>
  <c r="AA615" i="1"/>
  <c r="O435" i="1"/>
  <c r="N1346" i="1"/>
  <c r="Q291" i="1"/>
  <c r="U298" i="1" s="1"/>
  <c r="Z666" i="1"/>
  <c r="BL38" i="1"/>
  <c r="H13" i="1"/>
  <c r="U666" i="1"/>
  <c r="BJ428" i="1"/>
  <c r="AV109" i="1"/>
  <c r="Y1344" i="1"/>
  <c r="W7" i="267"/>
  <c r="AW125" i="1"/>
  <c r="L13" i="1"/>
  <c r="U1341" i="1"/>
  <c r="BE1102" i="1"/>
  <c r="BK887" i="1"/>
  <c r="AH831" i="1"/>
  <c r="BJ430" i="1"/>
  <c r="AI1344" i="1"/>
  <c r="AB659" i="1"/>
  <c r="H435" i="1"/>
  <c r="AG1345" i="1"/>
  <c r="BK618" i="1"/>
  <c r="R39" i="1"/>
  <c r="BM612" i="1"/>
  <c r="BM615" i="1" s="1"/>
  <c r="N614" i="1"/>
  <c r="U905" i="1"/>
  <c r="AG1344" i="1"/>
  <c r="M1344" i="1"/>
  <c r="S1346" i="1"/>
  <c r="S46" i="1"/>
  <c r="Q533" i="1"/>
  <c r="X656" i="1"/>
  <c r="X299" i="1"/>
  <c r="Z1341" i="1"/>
  <c r="P1102" i="1"/>
  <c r="Q1344" i="1"/>
  <c r="AA19" i="1"/>
  <c r="AA83" i="1" s="1"/>
  <c r="AE44" i="1"/>
  <c r="Z1203" i="1"/>
  <c r="AA45" i="1"/>
  <c r="BN419" i="1"/>
  <c r="AF305" i="1"/>
  <c r="Z1346" i="1"/>
  <c r="R22" i="1"/>
  <c r="T663" i="1"/>
  <c r="AD1346" i="1"/>
  <c r="BM247" i="1"/>
  <c r="AW1094" i="1"/>
  <c r="AE536" i="1"/>
  <c r="AA1344" i="1"/>
  <c r="AA1346" i="1"/>
  <c r="O656" i="1"/>
  <c r="X534" i="1"/>
  <c r="K615" i="1"/>
  <c r="T1345" i="1"/>
  <c r="X19" i="1"/>
  <c r="X109" i="1" s="1"/>
  <c r="BK890" i="1"/>
  <c r="Y656" i="1"/>
  <c r="BM128" i="1"/>
  <c r="BM125" i="1" s="1"/>
  <c r="H75" i="523" s="1"/>
  <c r="AT20" i="1"/>
  <c r="I19" i="1"/>
  <c r="I109" i="1" s="1"/>
  <c r="BH912" i="1"/>
  <c r="S533" i="1"/>
  <c r="BI39" i="1"/>
  <c r="AJ1346" i="1"/>
  <c r="P44" i="1"/>
  <c r="Z19" i="1"/>
  <c r="Z20" i="1" s="1"/>
  <c r="E14" i="276"/>
  <c r="H14" i="276" s="1"/>
  <c r="Z1058" i="1"/>
  <c r="Z1072" i="1" s="1"/>
  <c r="Z310" i="1" s="1"/>
  <c r="Z311" i="1" s="1"/>
  <c r="Z321" i="1" s="1"/>
  <c r="AC53" i="1"/>
  <c r="X46" i="1"/>
  <c r="AY23" i="1"/>
  <c r="B34" i="313"/>
  <c r="AF299" i="1"/>
  <c r="AE19" i="1"/>
  <c r="AI20" i="1" s="1"/>
  <c r="AZ23" i="1"/>
  <c r="E65" i="51"/>
  <c r="Q22" i="1"/>
  <c r="Q26" i="1" s="1"/>
  <c r="R310" i="1"/>
  <c r="R311" i="1" s="1"/>
  <c r="V316" i="1" s="1"/>
  <c r="Y423" i="1"/>
  <c r="AC425" i="1" s="1"/>
  <c r="AS109" i="1"/>
  <c r="J1341" i="1"/>
  <c r="J1347" i="1" s="1"/>
  <c r="M1345" i="1"/>
  <c r="Q656" i="1"/>
  <c r="I615" i="1"/>
  <c r="X1202" i="1"/>
  <c r="BL657" i="1"/>
  <c r="U886" i="1"/>
  <c r="K1085" i="1"/>
  <c r="K1087" i="1" s="1"/>
  <c r="K1095" i="1" s="1"/>
  <c r="AS26" i="1"/>
  <c r="T46" i="1"/>
  <c r="U533" i="1"/>
  <c r="X7" i="267"/>
  <c r="Q434" i="1"/>
  <c r="BL619" i="1"/>
  <c r="BL270" i="1" s="1"/>
  <c r="BI827" i="1"/>
  <c r="AG44" i="1"/>
  <c r="O1102" i="1"/>
  <c r="AC1346" i="1"/>
  <c r="AI1341" i="1"/>
  <c r="AM1347" i="1" s="1"/>
  <c r="BK612" i="1"/>
  <c r="AF615" i="1"/>
  <c r="BJ246" i="1"/>
  <c r="L912" i="1"/>
  <c r="BK1340" i="1"/>
  <c r="BL1346" i="1" s="1"/>
  <c r="BB1035" i="1"/>
  <c r="BB1047" i="1" s="1"/>
  <c r="AE831" i="1"/>
  <c r="P1344" i="1"/>
  <c r="BN808" i="1"/>
  <c r="AE1346" i="1"/>
  <c r="W1344" i="1"/>
  <c r="Y1346" i="1"/>
  <c r="BL139" i="1"/>
  <c r="Q1083" i="1"/>
  <c r="Q1104" i="1" s="1"/>
  <c r="Q1111" i="1" s="1"/>
  <c r="BE831" i="1"/>
  <c r="BM658" i="1"/>
  <c r="BM799" i="1"/>
  <c r="AB299" i="1"/>
  <c r="AE1202" i="1"/>
  <c r="S1248" i="1"/>
  <c r="W911" i="1"/>
  <c r="S1019" i="1"/>
  <c r="BM525" i="1"/>
  <c r="BL1338" i="1"/>
  <c r="BM1344" i="1" s="1"/>
  <c r="AZ1025" i="1"/>
  <c r="O1024" i="1"/>
  <c r="AA1058" i="1"/>
  <c r="AA1098" i="1" s="1"/>
  <c r="AA1101" i="1" s="1"/>
  <c r="AA1102" i="1" s="1"/>
  <c r="S45" i="1"/>
  <c r="O1026" i="1"/>
  <c r="AF516" i="1"/>
  <c r="X44" i="1"/>
  <c r="BJ646" i="1"/>
  <c r="I17" i="51"/>
  <c r="BM796" i="1"/>
  <c r="BM831" i="1" s="1"/>
  <c r="K1077" i="1"/>
  <c r="W533" i="1"/>
  <c r="M656" i="1"/>
  <c r="U866" i="1"/>
  <c r="X1203" i="1"/>
  <c r="U1346" i="1"/>
  <c r="BK872" i="1"/>
  <c r="X435" i="1"/>
  <c r="BB1197" i="1"/>
  <c r="BB1202" i="1" s="1"/>
  <c r="L1345" i="1"/>
  <c r="BH432" i="1"/>
  <c r="BH435" i="1" s="1"/>
  <c r="AE1203" i="1"/>
  <c r="BH821" i="1"/>
  <c r="BH831" i="1" s="1"/>
  <c r="BL889" i="1"/>
  <c r="Y666" i="1"/>
  <c r="BH440" i="1"/>
  <c r="Z909" i="1"/>
  <c r="P39" i="1"/>
  <c r="AE1248" i="1"/>
  <c r="BM1248" i="1" s="1"/>
  <c r="BN1329" i="1"/>
  <c r="BN1341" i="1" s="1"/>
  <c r="AB13" i="1"/>
  <c r="R909" i="1"/>
  <c r="U1344" i="1"/>
  <c r="BN861" i="1"/>
  <c r="BN872" i="1" s="1"/>
  <c r="E44" i="276"/>
  <c r="H44" i="276" s="1"/>
  <c r="AA1025" i="1"/>
  <c r="BJ125" i="1"/>
  <c r="E75" i="523" s="1"/>
  <c r="N909" i="1"/>
  <c r="Q20" i="1"/>
  <c r="AF7" i="267"/>
  <c r="X9" i="313" s="1"/>
  <c r="E58" i="292"/>
  <c r="E59" i="292" s="1"/>
  <c r="V435" i="1"/>
  <c r="M424" i="1"/>
  <c r="O615" i="1"/>
  <c r="N7" i="267"/>
  <c r="N9" i="313" s="1"/>
  <c r="N34" i="313" s="1"/>
  <c r="BM139" i="1"/>
  <c r="BI438" i="1"/>
  <c r="O1025" i="1"/>
  <c r="AI299" i="1"/>
  <c r="R1202" i="1"/>
  <c r="N39" i="1"/>
  <c r="T1102" i="1"/>
  <c r="O433" i="1"/>
  <c r="X1344" i="1"/>
  <c r="AJ612" i="1"/>
  <c r="AJ615" i="1" s="1"/>
  <c r="AJ62" i="28"/>
  <c r="R534" i="1"/>
  <c r="M1346" i="1"/>
  <c r="BH1072" i="1"/>
  <c r="BH1077" i="1" s="1"/>
  <c r="BM246" i="1"/>
  <c r="AH1341" i="1"/>
  <c r="AL1347" i="1" s="1"/>
  <c r="BC1102" i="1"/>
  <c r="BJ310" i="1"/>
  <c r="BJ311" i="1" s="1"/>
  <c r="BJ321" i="1" s="1"/>
  <c r="AN62" i="28"/>
  <c r="BL245" i="1"/>
  <c r="AM62" i="28"/>
  <c r="N443" i="1"/>
  <c r="J443" i="1"/>
  <c r="AL62" i="28"/>
  <c r="O424" i="1"/>
  <c r="AC666" i="1"/>
  <c r="Y1345" i="1"/>
  <c r="AZ1085" i="1"/>
  <c r="AZ1087" i="1" s="1"/>
  <c r="AZ1104" i="1"/>
  <c r="AZ1111" i="1" s="1"/>
  <c r="AZ1114" i="1" s="1"/>
  <c r="Q663" i="1"/>
  <c r="AE45" i="1"/>
  <c r="P666" i="1"/>
  <c r="D73" i="292"/>
  <c r="R45" i="1"/>
  <c r="AE299" i="1"/>
  <c r="E48" i="3"/>
  <c r="R668" i="1"/>
  <c r="AA246" i="1"/>
  <c r="R665" i="1"/>
  <c r="BK428" i="1"/>
  <c r="AH46" i="1"/>
  <c r="X1204" i="1"/>
  <c r="BI115" i="1"/>
  <c r="R663" i="1"/>
  <c r="BK1248" i="1"/>
  <c r="X47" i="1"/>
  <c r="P656" i="1"/>
  <c r="AH45" i="1"/>
  <c r="C73" i="292"/>
  <c r="BK429" i="1"/>
  <c r="BJ887" i="1"/>
  <c r="T665" i="1"/>
  <c r="AA905" i="1"/>
  <c r="J435" i="1"/>
  <c r="S139" i="1"/>
  <c r="S1271" i="1" s="1"/>
  <c r="AA1104" i="1"/>
  <c r="AA1111" i="1" s="1"/>
  <c r="X1345" i="1"/>
  <c r="BM314" i="1"/>
  <c r="AE1058" i="1"/>
  <c r="P13" i="1"/>
  <c r="T45" i="468"/>
  <c r="BK139" i="1"/>
  <c r="AJ1341" i="1"/>
  <c r="U534" i="1"/>
  <c r="Y1341" i="1"/>
  <c r="Y66" i="359"/>
  <c r="M1341" i="1"/>
  <c r="O1021" i="1"/>
  <c r="AJ1345" i="1"/>
  <c r="W1341" i="1"/>
  <c r="BD1102" i="1"/>
  <c r="BA1025" i="1"/>
  <c r="M13" i="1"/>
  <c r="O1022" i="1"/>
  <c r="AF1346" i="1"/>
  <c r="G8" i="267"/>
  <c r="Q55" i="468"/>
  <c r="I18" i="51"/>
  <c r="AA73" i="359"/>
  <c r="AA74" i="359" s="1"/>
  <c r="AB58" i="468"/>
  <c r="AB36" i="468" s="1"/>
  <c r="C34" i="313"/>
  <c r="BU10" i="468"/>
  <c r="BU58" i="468" s="1"/>
  <c r="BA1047" i="1"/>
  <c r="BA1036" i="1"/>
  <c r="R47" i="1"/>
  <c r="AZ1036" i="1"/>
  <c r="O434" i="1"/>
  <c r="V15" i="468"/>
  <c r="Z20" i="468" s="1"/>
  <c r="AB15" i="468"/>
  <c r="AB20" i="468" s="1"/>
  <c r="V656" i="1"/>
  <c r="AE666" i="1"/>
  <c r="AC305" i="1"/>
  <c r="AE1344" i="1"/>
  <c r="V905" i="1"/>
  <c r="AC1345" i="1"/>
  <c r="T910" i="1"/>
  <c r="P1202" i="1"/>
  <c r="BK799" i="1"/>
  <c r="BK796" i="1"/>
  <c r="BL799" i="1"/>
  <c r="G20" i="230"/>
  <c r="P45" i="1"/>
  <c r="AA13" i="1"/>
  <c r="S44" i="1"/>
  <c r="AE1004" i="1"/>
  <c r="AE1019" i="1" s="1"/>
  <c r="BL872" i="1"/>
  <c r="Q1341" i="1"/>
  <c r="BI658" i="1"/>
  <c r="I1341" i="1"/>
  <c r="I1347" i="1" s="1"/>
  <c r="AG13" i="1"/>
  <c r="AG1204" i="1"/>
  <c r="AA53" i="1"/>
  <c r="AE13" i="1"/>
  <c r="BV25" i="468"/>
  <c r="BM440" i="1"/>
  <c r="BJ909" i="1"/>
  <c r="P47" i="1"/>
  <c r="BG1072" i="1"/>
  <c r="BG22" i="1" s="1"/>
  <c r="U7" i="267"/>
  <c r="AA665" i="1"/>
  <c r="BD39" i="1"/>
  <c r="BG39" i="1" s="1"/>
  <c r="AG1391" i="1"/>
  <c r="E16" i="276"/>
  <c r="H16" i="276" s="1"/>
  <c r="BK658" i="1"/>
  <c r="BM872" i="1"/>
  <c r="BK1072" i="1"/>
  <c r="BK1077" i="1" s="1"/>
  <c r="W1346" i="1"/>
  <c r="BL868" i="1"/>
  <c r="BL869" i="1" s="1"/>
  <c r="N433" i="1"/>
  <c r="M433" i="1"/>
  <c r="AF47" i="1"/>
  <c r="BM808" i="1"/>
  <c r="V663" i="1"/>
  <c r="BN868" i="1"/>
  <c r="R1391" i="1"/>
  <c r="R1204" i="1"/>
  <c r="R1203" i="1"/>
  <c r="AD83" i="1"/>
  <c r="R46" i="1"/>
  <c r="AF663" i="1"/>
  <c r="AE7" i="267"/>
  <c r="W9" i="313" s="1"/>
  <c r="AI248" i="1"/>
  <c r="BI440" i="1"/>
  <c r="V1345" i="1"/>
  <c r="AD666" i="1"/>
  <c r="AZ1016" i="1"/>
  <c r="BK868" i="1"/>
  <c r="BK869" i="1" s="1"/>
  <c r="AI612" i="1"/>
  <c r="AI613" i="1" s="1"/>
  <c r="BA109" i="1"/>
  <c r="E46" i="276"/>
  <c r="F46" i="276" s="1"/>
  <c r="H39" i="1"/>
  <c r="T98" i="468"/>
  <c r="T101" i="468" s="1"/>
  <c r="T424" i="1"/>
  <c r="X533" i="1"/>
  <c r="T614" i="1"/>
  <c r="L310" i="1"/>
  <c r="L311" i="1" s="1"/>
  <c r="L321" i="1" s="1"/>
  <c r="Q424" i="1"/>
  <c r="L656" i="1"/>
  <c r="Z886" i="1"/>
  <c r="AG1202" i="1"/>
  <c r="AE54" i="1"/>
  <c r="BK125" i="1"/>
  <c r="F75" i="523" s="1"/>
  <c r="T1346" i="1"/>
  <c r="AE31" i="28"/>
  <c r="AE33" i="28" s="1"/>
  <c r="AC614" i="1"/>
  <c r="W22" i="1"/>
  <c r="W49" i="1" s="1"/>
  <c r="AE53" i="1"/>
  <c r="T15" i="468"/>
  <c r="X20" i="468" s="1"/>
  <c r="AB1345" i="1"/>
  <c r="AD533" i="1"/>
  <c r="AI13" i="1"/>
  <c r="S19" i="1"/>
  <c r="S109" i="1" s="1"/>
  <c r="U11" i="267"/>
  <c r="U12" i="267" s="1"/>
  <c r="BK905" i="1"/>
  <c r="BK906" i="1" s="1"/>
  <c r="O1016" i="1"/>
  <c r="K22" i="1"/>
  <c r="K806" i="1" s="1"/>
  <c r="K810" i="1" s="1"/>
  <c r="W39" i="1"/>
  <c r="AD668" i="1"/>
  <c r="N879" i="1"/>
  <c r="N882" i="1" s="1"/>
  <c r="AE910" i="1"/>
  <c r="P663" i="1"/>
  <c r="AC1357" i="1"/>
  <c r="AC1203" i="1"/>
  <c r="AC1204" i="1"/>
  <c r="AC1391" i="1"/>
  <c r="AC1353" i="1"/>
  <c r="AC1354" i="1"/>
  <c r="AC1058" i="1"/>
  <c r="X39" i="1"/>
  <c r="BI1335" i="1"/>
  <c r="S656" i="1"/>
  <c r="P668" i="1"/>
  <c r="R44" i="1"/>
  <c r="AB910" i="1"/>
  <c r="L1077" i="1"/>
  <c r="T523" i="1"/>
  <c r="T531" i="1" s="1"/>
  <c r="BM234" i="1"/>
  <c r="T19" i="1"/>
  <c r="E50" i="51"/>
  <c r="BH125" i="1"/>
  <c r="C75" i="523" s="1"/>
  <c r="AY1041" i="1"/>
  <c r="AE886" i="1"/>
  <c r="P46" i="1"/>
  <c r="AG534" i="1"/>
  <c r="AE434" i="1"/>
  <c r="BJ525" i="1"/>
  <c r="BH1335" i="1"/>
  <c r="L22" i="1"/>
  <c r="L26" i="1" s="1"/>
  <c r="H7" i="267"/>
  <c r="H9" i="313" s="1"/>
  <c r="H34" i="313" s="1"/>
  <c r="BN799" i="1"/>
  <c r="AG45" i="1"/>
  <c r="S1020" i="1"/>
  <c r="C58" i="292"/>
  <c r="C59" i="292" s="1"/>
  <c r="G10" i="313"/>
  <c r="BJ889" i="1"/>
  <c r="AE879" i="1"/>
  <c r="F58" i="292"/>
  <c r="F59" i="292" s="1"/>
  <c r="BJ831" i="1"/>
  <c r="E10" i="51"/>
  <c r="AG291" i="1"/>
  <c r="AG298" i="1" s="1"/>
  <c r="H22" i="1"/>
  <c r="H26" i="1" s="1"/>
  <c r="AD1341" i="1"/>
  <c r="AI1014" i="1"/>
  <c r="O613" i="1"/>
  <c r="AC1341" i="1"/>
  <c r="V298" i="1"/>
  <c r="S666" i="1"/>
  <c r="H1341" i="1"/>
  <c r="H1347" i="1" s="1"/>
  <c r="BK1335" i="1"/>
  <c r="BI1339" i="1"/>
  <c r="BJ1345" i="1" s="1"/>
  <c r="L519" i="1"/>
  <c r="P527" i="1" s="1"/>
  <c r="E33" i="51"/>
  <c r="W1020" i="1"/>
  <c r="AJ1072" i="1"/>
  <c r="N248" i="1"/>
  <c r="Y886" i="1"/>
  <c r="BM911" i="1"/>
  <c r="R19" i="1"/>
  <c r="R109" i="1" s="1"/>
  <c r="M910" i="1"/>
  <c r="AJ663" i="1"/>
  <c r="AG19" i="1"/>
  <c r="AG109" i="1" s="1"/>
  <c r="AB98" i="468"/>
  <c r="BL796" i="1"/>
  <c r="BD1038" i="1"/>
  <c r="BD1040" i="1" s="1"/>
  <c r="BD1044" i="1" s="1"/>
  <c r="AG666" i="1"/>
  <c r="AG1353" i="1"/>
  <c r="X1346" i="1"/>
  <c r="AJ299" i="1"/>
  <c r="W886" i="1"/>
  <c r="Z138" i="359"/>
  <c r="BJ22" i="1"/>
  <c r="BJ26" i="1" s="1"/>
  <c r="BJ247" i="1"/>
  <c r="BJ314" i="1"/>
  <c r="Q310" i="1"/>
  <c r="BK1338" i="1"/>
  <c r="BK1344" i="1" s="1"/>
  <c r="AY49" i="1"/>
  <c r="BL283" i="1"/>
  <c r="BM889" i="1"/>
  <c r="AD1344" i="1"/>
  <c r="Q534" i="1"/>
  <c r="AC46" i="1"/>
  <c r="AH49" i="1"/>
  <c r="BD1047" i="1"/>
  <c r="BE1036" i="1"/>
  <c r="U45" i="1"/>
  <c r="V528" i="1"/>
  <c r="E37" i="51"/>
  <c r="AD665" i="1"/>
  <c r="S1102" i="1"/>
  <c r="BN514" i="1"/>
  <c r="Z668" i="1"/>
  <c r="BN1344" i="1"/>
  <c r="AX1035" i="1"/>
  <c r="AY1036" i="1" s="1"/>
  <c r="AF53" i="1"/>
  <c r="AF54" i="1"/>
  <c r="U1202" i="1"/>
  <c r="AF44" i="1"/>
  <c r="K1346" i="1"/>
  <c r="Z46" i="1"/>
  <c r="Z13" i="1"/>
  <c r="Z515" i="1"/>
  <c r="AD524" i="1" s="1"/>
  <c r="AH532" i="1" s="1"/>
  <c r="AD516" i="1"/>
  <c r="BN420" i="1"/>
  <c r="BN238" i="1" s="1"/>
  <c r="W234" i="1"/>
  <c r="AE248" i="1" s="1"/>
  <c r="V614" i="1"/>
  <c r="P7" i="267"/>
  <c r="T8" i="267" s="1"/>
  <c r="AB305" i="1"/>
  <c r="AV125" i="1"/>
  <c r="AZ1022" i="1"/>
  <c r="U44" i="1"/>
  <c r="X886" i="1"/>
  <c r="AB909" i="1"/>
  <c r="V7" i="267"/>
  <c r="V8" i="267" s="1"/>
  <c r="AD39" i="1"/>
  <c r="AA44" i="1"/>
  <c r="AG248" i="1"/>
  <c r="V235" i="1"/>
  <c r="V164" i="1" s="1"/>
  <c r="Z299" i="1"/>
  <c r="S1027" i="1"/>
  <c r="W1345" i="1"/>
  <c r="BA1021" i="1"/>
  <c r="AH660" i="1"/>
  <c r="AH668" i="1" s="1"/>
  <c r="AH1357" i="1"/>
  <c r="AH1366" i="1" s="1"/>
  <c r="AH1353" i="1"/>
  <c r="AH1362" i="1" s="1"/>
  <c r="AH13" i="1"/>
  <c r="AH1058" i="1"/>
  <c r="AH1204" i="1"/>
  <c r="AH1391" i="1"/>
  <c r="AH1202" i="1"/>
  <c r="AH19" i="1"/>
  <c r="BM282" i="1"/>
  <c r="AB666" i="1"/>
  <c r="U13" i="1"/>
  <c r="AB1025" i="1"/>
  <c r="E24" i="51"/>
  <c r="BM49" i="1"/>
  <c r="BM188" i="1" s="1"/>
  <c r="E15" i="276"/>
  <c r="H15" i="276" s="1"/>
  <c r="AF74" i="1"/>
  <c r="AF76" i="1" s="1"/>
  <c r="BA1023" i="1"/>
  <c r="BD1197" i="1"/>
  <c r="BD1202" i="1" s="1"/>
  <c r="S11" i="267"/>
  <c r="S20" i="313" s="1"/>
  <c r="BM235" i="1"/>
  <c r="BM164" i="1" s="1"/>
  <c r="BJ912" i="1"/>
  <c r="BI909" i="1"/>
  <c r="AB1104" i="1"/>
  <c r="AB1111" i="1" s="1"/>
  <c r="AB1114" i="1" s="1"/>
  <c r="AB1085" i="1"/>
  <c r="AB1087" i="1" s="1"/>
  <c r="N47" i="1"/>
  <c r="AJ39" i="1"/>
  <c r="BM292" i="1"/>
  <c r="BM291" i="1" s="1"/>
  <c r="BH650" i="1"/>
  <c r="BH239" i="1"/>
  <c r="BD299" i="1"/>
  <c r="BG299" i="1" s="1"/>
  <c r="M39" i="1"/>
  <c r="Z45" i="1"/>
  <c r="O246" i="1"/>
  <c r="V73" i="359"/>
  <c r="V74" i="359" s="1"/>
  <c r="S47" i="1"/>
  <c r="BN234" i="1"/>
  <c r="T886" i="1"/>
  <c r="U879" i="1"/>
  <c r="U882" i="1" s="1"/>
  <c r="Z879" i="1"/>
  <c r="Z882" i="1" s="1"/>
  <c r="BM888" i="1"/>
  <c r="E29" i="51"/>
  <c r="BN12" i="1"/>
  <c r="BN1297" i="1" s="1"/>
  <c r="BE49" i="1"/>
  <c r="BE188" i="1" s="1"/>
  <c r="X298" i="1"/>
  <c r="O519" i="1"/>
  <c r="R519" i="1"/>
  <c r="D905" i="1"/>
  <c r="H912" i="1" s="1"/>
  <c r="AZ1038" i="1"/>
  <c r="Z866" i="1"/>
  <c r="BL292" i="1"/>
  <c r="BJ1197" i="1"/>
  <c r="BL234" i="1"/>
  <c r="BL235" i="1" s="1"/>
  <c r="BL164" i="1" s="1"/>
  <c r="AG15" i="468"/>
  <c r="O931" i="1"/>
  <c r="U19" i="1"/>
  <c r="U109" i="1" s="1"/>
  <c r="BK314" i="1"/>
  <c r="AI905" i="1"/>
  <c r="U98" i="468"/>
  <c r="U101" i="468" s="1"/>
  <c r="AE665" i="1"/>
  <c r="BA1020" i="1"/>
  <c r="AZ1019" i="1"/>
  <c r="BN235" i="1"/>
  <c r="BN164" i="1" s="1"/>
  <c r="T1344" i="1"/>
  <c r="BI620" i="1"/>
  <c r="BB1016" i="1"/>
  <c r="S292" i="1"/>
  <c r="S299" i="1" s="1"/>
  <c r="AH517" i="1"/>
  <c r="AH525" i="1" s="1"/>
  <c r="AH533" i="1" s="1"/>
  <c r="BL438" i="1"/>
  <c r="AC45" i="468"/>
  <c r="AC51" i="468" s="1"/>
  <c r="V659" i="1"/>
  <c r="AY1030" i="1"/>
  <c r="S1022" i="1"/>
  <c r="BA1095" i="1"/>
  <c r="Z44" i="1"/>
  <c r="BQ647" i="1"/>
  <c r="BQ641" i="1" s="1"/>
  <c r="AC81" i="1"/>
  <c r="AC89" i="1" s="1"/>
  <c r="AC93" i="1" s="1"/>
  <c r="AW20" i="1"/>
  <c r="AE656" i="1"/>
  <c r="BA1038" i="1"/>
  <c r="AZ1028" i="1"/>
  <c r="BC1038" i="1"/>
  <c r="AS125" i="1"/>
  <c r="AX49" i="1"/>
  <c r="BM38" i="1"/>
  <c r="AA46" i="1"/>
  <c r="AZ49" i="1"/>
  <c r="J64" i="51"/>
  <c r="U15" i="468"/>
  <c r="Y20" i="468" s="1"/>
  <c r="BH498" i="1"/>
  <c r="BH499" i="1" s="1"/>
  <c r="AC15" i="468"/>
  <c r="AC20" i="468" s="1"/>
  <c r="AJ905" i="1"/>
  <c r="AH905" i="1"/>
  <c r="Y665" i="1"/>
  <c r="BA1019" i="1"/>
  <c r="AA879" i="1"/>
  <c r="AZ1024" i="1"/>
  <c r="AD248" i="1"/>
  <c r="AC1083" i="1"/>
  <c r="AC1104" i="1" s="1"/>
  <c r="AC1111" i="1" s="1"/>
  <c r="E72" i="51"/>
  <c r="I905" i="1"/>
  <c r="I912" i="1" s="1"/>
  <c r="AC72" i="1"/>
  <c r="AC73" i="1" s="1"/>
  <c r="AC116" i="1" s="1"/>
  <c r="S283" i="1"/>
  <c r="AK98" i="468"/>
  <c r="AK101" i="468" s="1"/>
  <c r="BM419" i="1"/>
  <c r="AC58" i="468"/>
  <c r="AC35" i="468" s="1"/>
  <c r="AD40" i="468" s="1"/>
  <c r="R13" i="1"/>
  <c r="BA1022" i="1"/>
  <c r="AZ1020" i="1"/>
  <c r="BC242" i="1"/>
  <c r="BC235" i="1"/>
  <c r="AI45" i="468"/>
  <c r="AI50" i="468" s="1"/>
  <c r="P886" i="1"/>
  <c r="AZ1021" i="1"/>
  <c r="AC98" i="468"/>
  <c r="AC109" i="468" s="1"/>
  <c r="BE39" i="1"/>
  <c r="AK45" i="468"/>
  <c r="BI292" i="1"/>
  <c r="BJ299" i="1" s="1"/>
  <c r="U527" i="1"/>
  <c r="AL45" i="468"/>
  <c r="AL61" i="468" s="1"/>
  <c r="BL655" i="1"/>
  <c r="Z1344" i="1"/>
  <c r="AF248" i="1"/>
  <c r="BA1027" i="1"/>
  <c r="AZ1023" i="1"/>
  <c r="AX125" i="1"/>
  <c r="Z1391" i="1"/>
  <c r="Z1204" i="1"/>
  <c r="AO49" i="468"/>
  <c r="U45" i="468"/>
  <c r="AU109" i="1"/>
  <c r="L614" i="1"/>
  <c r="BC291" i="1"/>
  <c r="BC298" i="1" s="1"/>
  <c r="AK58" i="468"/>
  <c r="AK35" i="468" s="1"/>
  <c r="BI234" i="1"/>
  <c r="BI235" i="1" s="1"/>
  <c r="BI164" i="1" s="1"/>
  <c r="Z663" i="1"/>
  <c r="K1021" i="1"/>
  <c r="BA1104" i="1"/>
  <c r="BA1111" i="1" s="1"/>
  <c r="BA1114" i="1" s="1"/>
  <c r="AD886" i="1"/>
  <c r="BK1339" i="1"/>
  <c r="BK1345" i="1" s="1"/>
  <c r="AB665" i="1"/>
  <c r="BA1028" i="1"/>
  <c r="T1202" i="1"/>
  <c r="AH44" i="1"/>
  <c r="R1341" i="1"/>
  <c r="E82" i="51"/>
  <c r="AD299" i="1"/>
  <c r="BI282" i="1"/>
  <c r="BL658" i="1"/>
  <c r="AA1021" i="1"/>
  <c r="M911" i="1"/>
  <c r="AA1094" i="1"/>
  <c r="L1346" i="1"/>
  <c r="Y434" i="1"/>
  <c r="BA1024" i="1"/>
  <c r="BH1323" i="1"/>
  <c r="Z61" i="359"/>
  <c r="Z62" i="359" s="1"/>
  <c r="S282" i="1"/>
  <c r="W905" i="1"/>
  <c r="AB248" i="1"/>
  <c r="N659" i="1"/>
  <c r="R613" i="1"/>
  <c r="AD13" i="1"/>
  <c r="AO15" i="468"/>
  <c r="AO20" i="468" s="1"/>
  <c r="AZ47" i="1"/>
  <c r="I911" i="1"/>
  <c r="AB1346" i="1"/>
  <c r="D1359" i="1"/>
  <c r="D1368" i="1" s="1"/>
  <c r="BA1016" i="1"/>
  <c r="F7" i="267"/>
  <c r="P1391" i="1"/>
  <c r="P1204" i="1"/>
  <c r="P19" i="1"/>
  <c r="P109" i="1" s="1"/>
  <c r="AE49" i="468"/>
  <c r="AE51" i="468"/>
  <c r="AE61" i="468"/>
  <c r="AE1345" i="1"/>
  <c r="AI1345" i="1"/>
  <c r="V666" i="1"/>
  <c r="Q909" i="1"/>
  <c r="Q905" i="1"/>
  <c r="U909" i="1"/>
  <c r="O247" i="1"/>
  <c r="AA247" i="1"/>
  <c r="AF98" i="468"/>
  <c r="AF101" i="468" s="1"/>
  <c r="BV10" i="468"/>
  <c r="BW25" i="468"/>
  <c r="AG45" i="468"/>
  <c r="AG49" i="468" s="1"/>
  <c r="AF58" i="468"/>
  <c r="AF35" i="468" s="1"/>
  <c r="AF15" i="468"/>
  <c r="Q911" i="1"/>
  <c r="U911" i="1"/>
  <c r="O1344" i="1"/>
  <c r="S1344" i="1"/>
  <c r="BE242" i="1"/>
  <c r="BE248" i="1"/>
  <c r="BE235" i="1"/>
  <c r="N1341" i="1"/>
  <c r="BA47" i="1"/>
  <c r="BA39" i="1"/>
  <c r="BA49" i="1"/>
  <c r="BA188" i="1" s="1"/>
  <c r="BB39" i="1"/>
  <c r="M24" i="230"/>
  <c r="M23" i="230"/>
  <c r="AF45" i="468"/>
  <c r="AF51" i="468" s="1"/>
  <c r="S829" i="1"/>
  <c r="S799" i="1"/>
  <c r="S868" i="1"/>
  <c r="S698" i="1" s="1"/>
  <c r="S700" i="1" s="1"/>
  <c r="S751" i="1" s="1"/>
  <c r="W799" i="1"/>
  <c r="AC435" i="1"/>
  <c r="AC433" i="1"/>
  <c r="E19" i="1"/>
  <c r="E109" i="1" s="1"/>
  <c r="E1391" i="1"/>
  <c r="E46" i="1"/>
  <c r="E1353" i="1"/>
  <c r="E1362" i="1" s="1"/>
  <c r="E1356" i="1"/>
  <c r="E44" i="1"/>
  <c r="AF614" i="1"/>
  <c r="AB615" i="1"/>
  <c r="BL432" i="1"/>
  <c r="BL435" i="1" s="1"/>
  <c r="V434" i="1"/>
  <c r="R433" i="1"/>
  <c r="R435" i="1"/>
  <c r="BD46" i="1"/>
  <c r="AH434" i="1"/>
  <c r="AD435" i="1"/>
  <c r="AD433" i="1"/>
  <c r="Q433" i="1"/>
  <c r="U433" i="1"/>
  <c r="K1028" i="1"/>
  <c r="K1020" i="1"/>
  <c r="BS99" i="468"/>
  <c r="AH432" i="1"/>
  <c r="AL434" i="1" s="1"/>
  <c r="AH430" i="1"/>
  <c r="T615" i="1"/>
  <c r="T613" i="1"/>
  <c r="O1345" i="1"/>
  <c r="AG434" i="1"/>
  <c r="BK247" i="1"/>
  <c r="BM432" i="1"/>
  <c r="BM435" i="1" s="1"/>
  <c r="K1022" i="1"/>
  <c r="X659" i="1"/>
  <c r="Y614" i="1"/>
  <c r="Y613" i="1"/>
  <c r="U613" i="1"/>
  <c r="U615" i="1"/>
  <c r="AA533" i="1"/>
  <c r="V613" i="1"/>
  <c r="V615" i="1"/>
  <c r="AA1341" i="1"/>
  <c r="D62" i="51"/>
  <c r="E56" i="51"/>
  <c r="BD22" i="1"/>
  <c r="BD311" i="1"/>
  <c r="BD1077" i="1"/>
  <c r="BD1083" i="1"/>
  <c r="BD310" i="1"/>
  <c r="BD320" i="1" s="1"/>
  <c r="AA245" i="1"/>
  <c r="V665" i="1"/>
  <c r="X22" i="1"/>
  <c r="X1083" i="1"/>
  <c r="X1077" i="1"/>
  <c r="BD242" i="1"/>
  <c r="BD235" i="1"/>
  <c r="BG235" i="1" s="1"/>
  <c r="T22" i="1"/>
  <c r="T1083" i="1"/>
  <c r="T310" i="1"/>
  <c r="T1077" i="1"/>
  <c r="Z435" i="1"/>
  <c r="Z433" i="1"/>
  <c r="L659" i="1"/>
  <c r="M49" i="1"/>
  <c r="M188" i="1" s="1"/>
  <c r="S905" i="1"/>
  <c r="T906" i="1" s="1"/>
  <c r="R912" i="1"/>
  <c r="BB22" i="1"/>
  <c r="BB310" i="1"/>
  <c r="BB320" i="1" s="1"/>
  <c r="BB1077" i="1"/>
  <c r="BB311" i="1"/>
  <c r="BB321" i="1" s="1"/>
  <c r="BB1083" i="1"/>
  <c r="AH666" i="1"/>
  <c r="AI430" i="1"/>
  <c r="AI432" i="1"/>
  <c r="AM434" i="1" s="1"/>
  <c r="X310" i="1"/>
  <c r="J7" i="267"/>
  <c r="T13" i="1"/>
  <c r="X13" i="1"/>
  <c r="T44" i="1"/>
  <c r="T1204" i="1"/>
  <c r="T1391" i="1"/>
  <c r="T45" i="1"/>
  <c r="O7" i="267"/>
  <c r="Y1058" i="1"/>
  <c r="Y19" i="1"/>
  <c r="Y13" i="1"/>
  <c r="Y44" i="1"/>
  <c r="Y1204" i="1"/>
  <c r="Y45" i="1"/>
  <c r="Y1391" i="1"/>
  <c r="BI796" i="1"/>
  <c r="BI831" i="1" s="1"/>
  <c r="BI799" i="1"/>
  <c r="V45" i="468"/>
  <c r="AD649" i="1"/>
  <c r="T666" i="1"/>
  <c r="N1083" i="1"/>
  <c r="N1077" i="1"/>
  <c r="AE433" i="1"/>
  <c r="AE435" i="1"/>
  <c r="S612" i="1"/>
  <c r="W614" i="1" s="1"/>
  <c r="W618" i="1"/>
  <c r="S618" i="1"/>
  <c r="P299" i="1"/>
  <c r="V433" i="1"/>
  <c r="AP10" i="468"/>
  <c r="AH655" i="1"/>
  <c r="AH663" i="1" s="1"/>
  <c r="BH1339" i="1"/>
  <c r="E1355" i="1"/>
  <c r="AB61" i="468"/>
  <c r="AI20" i="468"/>
  <c r="BN292" i="1"/>
  <c r="S266" i="1"/>
  <c r="BG1194" i="1"/>
  <c r="AI666" i="1"/>
  <c r="N1345" i="1"/>
  <c r="BN910" i="1"/>
  <c r="T435" i="1"/>
  <c r="X433" i="1"/>
  <c r="Y46" i="1"/>
  <c r="W435" i="1"/>
  <c r="AA433" i="1"/>
  <c r="BL612" i="1"/>
  <c r="BL615" i="1" s="1"/>
  <c r="S438" i="1"/>
  <c r="BK439" i="1"/>
  <c r="BK269" i="1" s="1"/>
  <c r="W438" i="1"/>
  <c r="N1344" i="1"/>
  <c r="R1344" i="1"/>
  <c r="AC665" i="1"/>
  <c r="BL890" i="1"/>
  <c r="AG432" i="1"/>
  <c r="AK434" i="1" s="1"/>
  <c r="AG430" i="1"/>
  <c r="BE1197" i="1"/>
  <c r="BE1202" i="1" s="1"/>
  <c r="S22" i="1"/>
  <c r="S1083" i="1"/>
  <c r="S310" i="1"/>
  <c r="S311" i="1" s="1"/>
  <c r="S1077" i="1"/>
  <c r="AE663" i="1"/>
  <c r="R666" i="1"/>
  <c r="X660" i="1"/>
  <c r="X668" i="1" s="1"/>
  <c r="K1025" i="1"/>
  <c r="J911" i="1"/>
  <c r="K909" i="1"/>
  <c r="AH1346" i="1"/>
  <c r="D48" i="3"/>
  <c r="BG115" i="1"/>
  <c r="S1391" i="1"/>
  <c r="S1204" i="1"/>
  <c r="M905" i="1"/>
  <c r="AI910" i="1"/>
  <c r="N22" i="1"/>
  <c r="N26" i="1" s="1"/>
  <c r="X905" i="1"/>
  <c r="Y523" i="1"/>
  <c r="BL12" i="1"/>
  <c r="BL1297" i="1" s="1"/>
  <c r="AA1203" i="1"/>
  <c r="AA1204" i="1"/>
  <c r="AA1391" i="1"/>
  <c r="BL826" i="1"/>
  <c r="BM827" i="1"/>
  <c r="BL829" i="1"/>
  <c r="BL821" i="1"/>
  <c r="BJ612" i="1"/>
  <c r="BN865" i="1"/>
  <c r="BN876" i="1" s="1"/>
  <c r="BN890" i="1" s="1"/>
  <c r="AB660" i="1"/>
  <c r="Y1202" i="1"/>
  <c r="AH39" i="1"/>
  <c r="BL246" i="1"/>
  <c r="BI615" i="1"/>
  <c r="BL1183" i="1"/>
  <c r="Y73" i="359"/>
  <c r="Y74" i="359" s="1"/>
  <c r="AW49" i="1"/>
  <c r="AW47" i="1"/>
  <c r="AY1085" i="1"/>
  <c r="AY1087" i="1" s="1"/>
  <c r="AY1104" i="1"/>
  <c r="AY1111" i="1" s="1"/>
  <c r="AY1114" i="1" s="1"/>
  <c r="Q615" i="1"/>
  <c r="Q613" i="1"/>
  <c r="O1020" i="1"/>
  <c r="O1019" i="1"/>
  <c r="AA666" i="1"/>
  <c r="I22" i="1"/>
  <c r="I1077" i="1"/>
  <c r="I1083" i="1"/>
  <c r="BJ657" i="1"/>
  <c r="AJ660" i="1"/>
  <c r="D36" i="3"/>
  <c r="D57" i="3" s="1"/>
  <c r="AD614" i="1"/>
  <c r="Z615" i="1"/>
  <c r="Z613" i="1"/>
  <c r="O879" i="1"/>
  <c r="O882" i="1" s="1"/>
  <c r="O866" i="1"/>
  <c r="Q299" i="1"/>
  <c r="BK657" i="1"/>
  <c r="BN139" i="1"/>
  <c r="BN864" i="1"/>
  <c r="BN875" i="1" s="1"/>
  <c r="BN889" i="1" s="1"/>
  <c r="I13" i="1"/>
  <c r="I44" i="1"/>
  <c r="I1391" i="1"/>
  <c r="K128" i="1"/>
  <c r="K125" i="1" s="1"/>
  <c r="K1194" i="1"/>
  <c r="AE138" i="359"/>
  <c r="BN37" i="1"/>
  <c r="AV23" i="1"/>
  <c r="AD50" i="1"/>
  <c r="AD58" i="1" s="1"/>
  <c r="BK246" i="1"/>
  <c r="S528" i="1"/>
  <c r="S536" i="1" s="1"/>
  <c r="M519" i="1"/>
  <c r="M527" i="1" s="1"/>
  <c r="X666" i="1"/>
  <c r="O509" i="1"/>
  <c r="BJ658" i="1"/>
  <c r="G73" i="292"/>
  <c r="BL115" i="1"/>
  <c r="AE533" i="1"/>
  <c r="AF1085" i="1"/>
  <c r="AF1087" i="1" s="1"/>
  <c r="AF1104" i="1"/>
  <c r="I866" i="1"/>
  <c r="M877" i="1" s="1"/>
  <c r="M879" i="1"/>
  <c r="M882" i="1" s="1"/>
  <c r="U22" i="1"/>
  <c r="U310" i="1"/>
  <c r="U311" i="1" s="1"/>
  <c r="U321" i="1" s="1"/>
  <c r="U1083" i="1"/>
  <c r="U1077" i="1"/>
  <c r="T1341" i="1"/>
  <c r="D7" i="267"/>
  <c r="N1391" i="1"/>
  <c r="N45" i="1"/>
  <c r="N46" i="1"/>
  <c r="N44" i="1"/>
  <c r="N19" i="1"/>
  <c r="BQ648" i="1"/>
  <c r="BH12" i="1"/>
  <c r="BH1297" i="1" s="1"/>
  <c r="BH1303" i="1" s="1"/>
  <c r="BH1098" i="1"/>
  <c r="BH1101" i="1" s="1"/>
  <c r="BJ888" i="1"/>
  <c r="BK888" i="1"/>
  <c r="P659" i="1"/>
  <c r="S1202" i="1"/>
  <c r="AV1095" i="1"/>
  <c r="AV1094" i="1"/>
  <c r="AC886" i="1"/>
  <c r="W528" i="1"/>
  <c r="AA536" i="1" s="1"/>
  <c r="AC534" i="1"/>
  <c r="Y534" i="1"/>
  <c r="BK299" i="1"/>
  <c r="N310" i="1"/>
  <c r="E45" i="292"/>
  <c r="Z53" i="1"/>
  <c r="E45" i="1"/>
  <c r="W310" i="1"/>
  <c r="W311" i="1" s="1"/>
  <c r="X425" i="1"/>
  <c r="BI829" i="1"/>
  <c r="BH508" i="1"/>
  <c r="BH443" i="1" s="1"/>
  <c r="BH446" i="1" s="1"/>
  <c r="S1203" i="1"/>
  <c r="BN440" i="1"/>
  <c r="BN438" i="1"/>
  <c r="L433" i="1"/>
  <c r="L435" i="1"/>
  <c r="AI515" i="1"/>
  <c r="AA515" i="1"/>
  <c r="P909" i="1"/>
  <c r="P905" i="1"/>
  <c r="P912" i="1" s="1"/>
  <c r="T909" i="1"/>
  <c r="K7" i="267"/>
  <c r="U46" i="1"/>
  <c r="U1391" i="1"/>
  <c r="U1204" i="1"/>
  <c r="X523" i="1"/>
  <c r="E1357" i="1"/>
  <c r="S620" i="1"/>
  <c r="S650" i="1"/>
  <c r="BJ650" i="1" s="1"/>
  <c r="AO36" i="468"/>
  <c r="AO34" i="468"/>
  <c r="AB911" i="1"/>
  <c r="BM430" i="1"/>
  <c r="AW23" i="1"/>
  <c r="E49" i="276"/>
  <c r="F49" i="276" s="1"/>
  <c r="T425" i="1"/>
  <c r="T536" i="1"/>
  <c r="BM1340" i="1"/>
  <c r="BM1346" i="1" s="1"/>
  <c r="BB1102" i="1"/>
  <c r="AI614" i="1"/>
  <c r="AE613" i="1"/>
  <c r="BK1194" i="1"/>
  <c r="BK430" i="1"/>
  <c r="BL429" i="1"/>
  <c r="AG879" i="1"/>
  <c r="BM868" i="1"/>
  <c r="BM869" i="1" s="1"/>
  <c r="AC879" i="1"/>
  <c r="AC866" i="1"/>
  <c r="BD47" i="1"/>
  <c r="AO50" i="468"/>
  <c r="AO61" i="468"/>
  <c r="AF298" i="1"/>
  <c r="BH646" i="1"/>
  <c r="BN1183" i="1"/>
  <c r="AI1346" i="1"/>
  <c r="BD44" i="1"/>
  <c r="AO109" i="468"/>
  <c r="AO101" i="468"/>
  <c r="AD54" i="1"/>
  <c r="X424" i="1"/>
  <c r="O1341" i="1"/>
  <c r="Y1203" i="1"/>
  <c r="D1077" i="1"/>
  <c r="D1083" i="1"/>
  <c r="AF13" i="1"/>
  <c r="AF19" i="1"/>
  <c r="AF83" i="1" s="1"/>
  <c r="AF1058" i="1"/>
  <c r="AF1354" i="1"/>
  <c r="AF1204" i="1"/>
  <c r="AJ13" i="1"/>
  <c r="AF1391" i="1"/>
  <c r="Q666" i="1"/>
  <c r="BI808" i="1"/>
  <c r="AC663" i="1"/>
  <c r="Y663" i="1"/>
  <c r="BH829" i="1"/>
  <c r="AE1398" i="1"/>
  <c r="AE1397" i="1" s="1"/>
  <c r="P73" i="359"/>
  <c r="P74" i="359" s="1"/>
  <c r="AG519" i="1"/>
  <c r="AG395" i="1" s="1"/>
  <c r="AG393" i="1" s="1"/>
  <c r="AG391" i="1" s="1"/>
  <c r="AG528" i="1"/>
  <c r="AD434" i="1"/>
  <c r="AE66" i="359"/>
  <c r="Q435" i="1"/>
  <c r="BK525" i="1"/>
  <c r="AE1341" i="1"/>
  <c r="K1024" i="1"/>
  <c r="E1358" i="1"/>
  <c r="BH292" i="1"/>
  <c r="BH299" i="1" s="1"/>
  <c r="Z55" i="468"/>
  <c r="AA55" i="468"/>
  <c r="AE905" i="1"/>
  <c r="BH1329" i="1"/>
  <c r="S1023" i="1"/>
  <c r="F22" i="1"/>
  <c r="F1083" i="1"/>
  <c r="F1077" i="1"/>
  <c r="AF46" i="1"/>
  <c r="AA1202" i="1"/>
  <c r="AD91" i="1"/>
  <c r="AD110" i="1" s="1"/>
  <c r="BK432" i="1"/>
  <c r="BK435" i="1" s="1"/>
  <c r="BK440" i="1"/>
  <c r="BL439" i="1"/>
  <c r="BL269" i="1" s="1"/>
  <c r="H866" i="1"/>
  <c r="BH868" i="1"/>
  <c r="BH869" i="1" s="1"/>
  <c r="H519" i="1"/>
  <c r="BH520" i="1"/>
  <c r="AD1345" i="1"/>
  <c r="AI49" i="1"/>
  <c r="AI1267" i="1" s="1"/>
  <c r="S1335" i="1"/>
  <c r="S1341" i="1" s="1"/>
  <c r="X879" i="1"/>
  <c r="X882" i="1" s="1"/>
  <c r="X866" i="1"/>
  <c r="AB879" i="1"/>
  <c r="BK1098" i="1"/>
  <c r="BK1101" i="1" s="1"/>
  <c r="BK1102" i="1" s="1"/>
  <c r="BK1063" i="1"/>
  <c r="AF660" i="1"/>
  <c r="BN650" i="1"/>
  <c r="BK808" i="1"/>
  <c r="BD13" i="1"/>
  <c r="BG13" i="1" s="1"/>
  <c r="O245" i="1"/>
  <c r="AH614" i="1"/>
  <c r="AD613" i="1"/>
  <c r="AD615" i="1"/>
  <c r="D109" i="1"/>
  <c r="Z519" i="1"/>
  <c r="Z528" i="1"/>
  <c r="AD528" i="1"/>
  <c r="AR98" i="468"/>
  <c r="AR101" i="468" s="1"/>
  <c r="V299" i="1"/>
  <c r="K1027" i="1"/>
  <c r="M443" i="1"/>
  <c r="M444" i="1" s="1"/>
  <c r="N435" i="1"/>
  <c r="BC22" i="1"/>
  <c r="BC1077" i="1"/>
  <c r="BC1083" i="1"/>
  <c r="BC311" i="1"/>
  <c r="H1077" i="1"/>
  <c r="H1083" i="1"/>
  <c r="AH488" i="1"/>
  <c r="AD423" i="1"/>
  <c r="AD424" i="1" s="1"/>
  <c r="AD1104" i="1"/>
  <c r="AD1111" i="1" s="1"/>
  <c r="AD1085" i="1"/>
  <c r="AD1087" i="1" s="1"/>
  <c r="AC519" i="1"/>
  <c r="AC527" i="1" s="1"/>
  <c r="AC528" i="1"/>
  <c r="AC536" i="1" s="1"/>
  <c r="BL428" i="1"/>
  <c r="BM429" i="1"/>
  <c r="W909" i="1"/>
  <c r="BR98" i="468"/>
  <c r="BR109" i="468" s="1"/>
  <c r="BR110" i="468" s="1"/>
  <c r="R614" i="1"/>
  <c r="BJ614" i="1" s="1"/>
  <c r="N615" i="1"/>
  <c r="N613" i="1"/>
  <c r="W615" i="1"/>
  <c r="AA613" i="1"/>
  <c r="BN128" i="1"/>
  <c r="M47" i="1"/>
  <c r="K912" i="1"/>
  <c r="BI657" i="1"/>
  <c r="AT109" i="1"/>
  <c r="V424" i="1"/>
  <c r="AR58" i="468"/>
  <c r="AH299" i="1"/>
  <c r="M445" i="1"/>
  <c r="S1025" i="1"/>
  <c r="BI1340" i="1"/>
  <c r="AF613" i="1"/>
  <c r="AC515" i="1"/>
  <c r="AG524" i="1" s="1"/>
  <c r="AF1202" i="1"/>
  <c r="Q910" i="1"/>
  <c r="U910" i="1"/>
  <c r="W656" i="1"/>
  <c r="AB905" i="1"/>
  <c r="L1104" i="1"/>
  <c r="L1111" i="1" s="1"/>
  <c r="L1114" i="1" s="1"/>
  <c r="BH283" i="1"/>
  <c r="AV49" i="1"/>
  <c r="AV188" i="1" s="1"/>
  <c r="P61" i="359"/>
  <c r="P143" i="359" s="1"/>
  <c r="P144" i="359" s="1"/>
  <c r="AF45" i="1"/>
  <c r="AE72" i="1"/>
  <c r="AE73" i="1" s="1"/>
  <c r="AE116" i="1" s="1"/>
  <c r="BH282" i="1"/>
  <c r="BK234" i="1"/>
  <c r="AH298" i="1"/>
  <c r="AD910" i="1"/>
  <c r="BL128" i="1"/>
  <c r="BL125" i="1" s="1"/>
  <c r="G75" i="523" s="1"/>
  <c r="S1026" i="1"/>
  <c r="Z905" i="1"/>
  <c r="BD125" i="1"/>
  <c r="AE46" i="1"/>
  <c r="AE1354" i="1"/>
  <c r="AI1363" i="1" s="1"/>
  <c r="AE1204" i="1"/>
  <c r="AE1357" i="1"/>
  <c r="AI1366" i="1" s="1"/>
  <c r="AE1353" i="1"/>
  <c r="AI1362" i="1" s="1"/>
  <c r="AE1391" i="1"/>
  <c r="Z831" i="1"/>
  <c r="W266" i="1"/>
  <c r="U614" i="1"/>
  <c r="AC434" i="1"/>
  <c r="Y435" i="1"/>
  <c r="Y433" i="1"/>
  <c r="BE13" i="1"/>
  <c r="BK282" i="1"/>
  <c r="Z72" i="1"/>
  <c r="Z81" i="1"/>
  <c r="Z1083" i="1"/>
  <c r="Q514" i="1"/>
  <c r="U523" i="1" s="1"/>
  <c r="Q528" i="1"/>
  <c r="Q536" i="1" s="1"/>
  <c r="BK12" i="1"/>
  <c r="BK1297" i="1" s="1"/>
  <c r="BK1303" i="1" s="1"/>
  <c r="BK1309" i="1" s="1"/>
  <c r="AE50" i="1"/>
  <c r="AE58" i="1" s="1"/>
  <c r="AC533" i="1"/>
  <c r="AC909" i="1"/>
  <c r="BD1036" i="1"/>
  <c r="S1028" i="1"/>
  <c r="M613" i="1"/>
  <c r="M615" i="1"/>
  <c r="AF1357" i="1"/>
  <c r="BM619" i="1"/>
  <c r="BM270" i="1" s="1"/>
  <c r="BL620" i="1"/>
  <c r="BL618" i="1"/>
  <c r="AB298" i="1"/>
  <c r="AI1398" i="1"/>
  <c r="E1354" i="1"/>
  <c r="W1083" i="1"/>
  <c r="W1104" i="1" s="1"/>
  <c r="W1111" i="1" s="1"/>
  <c r="K1019" i="1"/>
  <c r="AB435" i="1"/>
  <c r="AB433" i="1"/>
  <c r="AF519" i="1"/>
  <c r="AF395" i="1" s="1"/>
  <c r="AF393" i="1" s="1"/>
  <c r="AF528" i="1"/>
  <c r="BN520" i="1"/>
  <c r="BN528" i="1" s="1"/>
  <c r="BD45" i="1"/>
  <c r="BM428" i="1"/>
  <c r="BG1198" i="1"/>
  <c r="AC13" i="1"/>
  <c r="BI424" i="1"/>
  <c r="AE81" i="1"/>
  <c r="AE82" i="1" s="1"/>
  <c r="BJ808" i="1"/>
  <c r="V534" i="1"/>
  <c r="S1016" i="1"/>
  <c r="BH1340" i="1"/>
  <c r="BH1346" i="1" s="1"/>
  <c r="AF1353" i="1"/>
  <c r="I46" i="1"/>
  <c r="S432" i="1"/>
  <c r="BJ439" i="1"/>
  <c r="BJ438" i="1"/>
  <c r="L528" i="1"/>
  <c r="P536" i="1" s="1"/>
  <c r="I47" i="1"/>
  <c r="E22" i="1"/>
  <c r="E26" i="1" s="1"/>
  <c r="E1077" i="1"/>
  <c r="E1083" i="1"/>
  <c r="BE1047" i="1"/>
  <c r="AG909" i="1"/>
  <c r="U96" i="28"/>
  <c r="J96" i="28"/>
  <c r="Z96" i="28"/>
  <c r="R96" i="28"/>
  <c r="BZ105" i="468"/>
  <c r="BZ19" i="468"/>
  <c r="F96" i="28"/>
  <c r="V96" i="28"/>
  <c r="M96" i="28"/>
  <c r="G96" i="28"/>
  <c r="AB96" i="28"/>
  <c r="X96" i="28"/>
  <c r="AF96" i="28"/>
  <c r="H96" i="28"/>
  <c r="AE96" i="28"/>
  <c r="Q96" i="28"/>
  <c r="Z36" i="28"/>
  <c r="Z41" i="28" s="1"/>
  <c r="Z80" i="28" s="1"/>
  <c r="Z25" i="28"/>
  <c r="Z27" i="28"/>
  <c r="Z63" i="28"/>
  <c r="AA192" i="298"/>
  <c r="L63" i="28"/>
  <c r="L36" i="28"/>
  <c r="L41" i="28" s="1"/>
  <c r="L80" i="28" s="1"/>
  <c r="L25" i="28"/>
  <c r="L27" i="28"/>
  <c r="AH84" i="28"/>
  <c r="AH85" i="28"/>
  <c r="AJ73" i="28"/>
  <c r="AK73" i="28"/>
  <c r="AL73" i="28"/>
  <c r="AH86" i="28"/>
  <c r="AM73" i="28"/>
  <c r="AN73" i="28"/>
  <c r="J36" i="28"/>
  <c r="J41" i="28" s="1"/>
  <c r="J80" i="28" s="1"/>
  <c r="J27" i="28"/>
  <c r="J63" i="28"/>
  <c r="AB63" i="28"/>
  <c r="AB36" i="28"/>
  <c r="AB41" i="28" s="1"/>
  <c r="AB80" i="28" s="1"/>
  <c r="AB25" i="28"/>
  <c r="AB27" i="28"/>
  <c r="BC719" i="298"/>
  <c r="AB113" i="1"/>
  <c r="AB91" i="1"/>
  <c r="AB110" i="1" s="1"/>
  <c r="P879" i="1"/>
  <c r="T879" i="1"/>
  <c r="P866" i="1"/>
  <c r="AC660" i="1"/>
  <c r="AG660" i="1"/>
  <c r="AC649" i="1"/>
  <c r="BM650" i="1"/>
  <c r="AD20" i="468"/>
  <c r="AJ95" i="28"/>
  <c r="AK95" i="28"/>
  <c r="AL95" i="28"/>
  <c r="AM95" i="28"/>
  <c r="AN95" i="28"/>
  <c r="AH96" i="28"/>
  <c r="V84" i="28"/>
  <c r="V90" i="28" s="1"/>
  <c r="V85" i="28"/>
  <c r="V75" i="28"/>
  <c r="V81" i="28"/>
  <c r="V86" i="28"/>
  <c r="P79" i="28"/>
  <c r="P84" i="28"/>
  <c r="P90" i="28" s="1"/>
  <c r="P75" i="28"/>
  <c r="P81" i="28"/>
  <c r="P86" i="28"/>
  <c r="Y66" i="28"/>
  <c r="Z66" i="28"/>
  <c r="U65" i="28"/>
  <c r="V65" i="28"/>
  <c r="M23" i="28"/>
  <c r="M24" i="28" s="1"/>
  <c r="H27" i="292"/>
  <c r="H32" i="292"/>
  <c r="H22" i="292"/>
  <c r="K21" i="298"/>
  <c r="K530" i="298"/>
  <c r="K524" i="298"/>
  <c r="AN42" i="298"/>
  <c r="AN36" i="298"/>
  <c r="AN44" i="298"/>
  <c r="Y41" i="298"/>
  <c r="BC36" i="298"/>
  <c r="AD47" i="298"/>
  <c r="AL79" i="298"/>
  <c r="AV338" i="298"/>
  <c r="AV335" i="298"/>
  <c r="BA430" i="298"/>
  <c r="L369" i="298"/>
  <c r="L371" i="298"/>
  <c r="L431" i="298"/>
  <c r="BA704" i="298"/>
  <c r="BA698" i="298"/>
  <c r="BB698" i="298"/>
  <c r="Q138" i="359"/>
  <c r="Q61" i="359"/>
  <c r="Q73" i="359"/>
  <c r="Q74" i="359" s="1"/>
  <c r="Q66" i="359"/>
  <c r="R61" i="359"/>
  <c r="R138" i="359"/>
  <c r="V61" i="359"/>
  <c r="R73" i="359"/>
  <c r="R74" i="359" s="1"/>
  <c r="R66" i="359"/>
  <c r="AE639" i="298"/>
  <c r="AB73" i="359"/>
  <c r="AB74" i="359" s="1"/>
  <c r="AB66" i="359"/>
  <c r="AB61" i="359"/>
  <c r="AB138" i="359"/>
  <c r="M66" i="359"/>
  <c r="M138" i="359"/>
  <c r="M73" i="359"/>
  <c r="M74" i="359" s="1"/>
  <c r="AE47" i="1"/>
  <c r="AE39" i="1"/>
  <c r="O514" i="1"/>
  <c r="S523" i="1" s="1"/>
  <c r="AB83" i="1"/>
  <c r="BI655" i="1"/>
  <c r="W663" i="1"/>
  <c r="L109" i="1"/>
  <c r="AG101" i="468"/>
  <c r="AG109" i="468"/>
  <c r="BI868" i="1"/>
  <c r="BI869" i="1" s="1"/>
  <c r="L866" i="1"/>
  <c r="L879" i="1"/>
  <c r="L882" i="1" s="1"/>
  <c r="R879" i="1"/>
  <c r="V879" i="1"/>
  <c r="R866" i="1"/>
  <c r="Z534" i="1"/>
  <c r="AF666" i="1"/>
  <c r="BI872" i="1"/>
  <c r="BJ872" i="1"/>
  <c r="BI1323" i="1"/>
  <c r="BI1329" i="1"/>
  <c r="J75" i="28"/>
  <c r="J81" i="28"/>
  <c r="J86" i="28"/>
  <c r="J79" i="28"/>
  <c r="J84" i="28"/>
  <c r="G41" i="298"/>
  <c r="G18" i="298"/>
  <c r="G79" i="298" s="1"/>
  <c r="G40" i="298"/>
  <c r="G39" i="298"/>
  <c r="G639" i="298"/>
  <c r="G640" i="298"/>
  <c r="AR283" i="298"/>
  <c r="AR284" i="298"/>
  <c r="F23" i="28"/>
  <c r="F24" i="28" s="1"/>
  <c r="P27" i="28"/>
  <c r="P63" i="28"/>
  <c r="P36" i="28"/>
  <c r="P41" i="28" s="1"/>
  <c r="P80" i="28" s="1"/>
  <c r="F32" i="292"/>
  <c r="F27" i="292"/>
  <c r="F22" i="292"/>
  <c r="L38" i="3"/>
  <c r="K13" i="298"/>
  <c r="K18" i="298"/>
  <c r="K39" i="298"/>
  <c r="K638" i="298"/>
  <c r="K639" i="298"/>
  <c r="K640" i="298"/>
  <c r="AV42" i="298"/>
  <c r="AY42" i="298" s="1"/>
  <c r="AV36" i="298"/>
  <c r="AY36" i="298" s="1"/>
  <c r="M36" i="298"/>
  <c r="M42" i="298"/>
  <c r="Q36" i="298"/>
  <c r="X177" i="298"/>
  <c r="X66" i="359"/>
  <c r="Z66" i="359"/>
  <c r="L66" i="359"/>
  <c r="L138" i="359"/>
  <c r="V39" i="1"/>
  <c r="V47" i="1"/>
  <c r="AF82" i="1"/>
  <c r="AF89" i="1"/>
  <c r="AF104" i="1" s="1"/>
  <c r="AF106" i="1" s="1"/>
  <c r="BK39" i="1"/>
  <c r="K47" i="1"/>
  <c r="K39" i="1"/>
  <c r="H73" i="292"/>
  <c r="BM115" i="1"/>
  <c r="AY39" i="1"/>
  <c r="BJ435" i="1"/>
  <c r="BJ433" i="1"/>
  <c r="M425" i="1"/>
  <c r="BI425" i="1" s="1"/>
  <c r="S128" i="1"/>
  <c r="S125" i="1" s="1"/>
  <c r="S1194" i="1"/>
  <c r="S1183" i="1"/>
  <c r="M7" i="267"/>
  <c r="W45" i="1"/>
  <c r="W13" i="1"/>
  <c r="W19" i="1"/>
  <c r="W46" i="1"/>
  <c r="W1204" i="1"/>
  <c r="W1203" i="1"/>
  <c r="W1202" i="1"/>
  <c r="W1391" i="1"/>
  <c r="V668" i="1"/>
  <c r="F1355" i="1"/>
  <c r="G1376" i="1"/>
  <c r="H1376" i="1" s="1"/>
  <c r="P1345" i="1"/>
  <c r="M81" i="28"/>
  <c r="M86" i="28"/>
  <c r="M75" i="28"/>
  <c r="O84" i="28"/>
  <c r="O90" i="28" s="1"/>
  <c r="O75" i="28"/>
  <c r="O81" i="28"/>
  <c r="O86" i="28"/>
  <c r="AD61" i="298"/>
  <c r="AD86" i="298" s="1"/>
  <c r="AE47" i="298"/>
  <c r="AA320" i="298"/>
  <c r="BD160" i="298"/>
  <c r="BD153" i="298"/>
  <c r="O318" i="298"/>
  <c r="AF493" i="298"/>
  <c r="V23" i="28"/>
  <c r="V24" i="28" s="1"/>
  <c r="D43" i="28"/>
  <c r="D46" i="28"/>
  <c r="AT21" i="298"/>
  <c r="AT181" i="298"/>
  <c r="AT530" i="298"/>
  <c r="AT182" i="298"/>
  <c r="AT524" i="298"/>
  <c r="BE30" i="298"/>
  <c r="AB42" i="298"/>
  <c r="AB36" i="298"/>
  <c r="K40" i="298"/>
  <c r="BE69" i="298"/>
  <c r="BE60" i="298"/>
  <c r="AD70" i="298"/>
  <c r="AD74" i="298"/>
  <c r="AE61" i="298"/>
  <c r="AE86" i="298" s="1"/>
  <c r="AE87" i="298" s="1"/>
  <c r="Z62" i="298"/>
  <c r="Z64" i="298" s="1"/>
  <c r="BC160" i="298"/>
  <c r="BC153" i="298"/>
  <c r="BD619" i="298"/>
  <c r="Z357" i="298"/>
  <c r="AH61" i="359"/>
  <c r="AH138" i="359"/>
  <c r="AH73" i="359"/>
  <c r="AH74" i="359" s="1"/>
  <c r="AH66" i="359"/>
  <c r="AC66" i="359"/>
  <c r="AC61" i="359"/>
  <c r="AC138" i="359"/>
  <c r="AC73" i="359"/>
  <c r="AC74" i="359" s="1"/>
  <c r="Q47" i="1"/>
  <c r="Q39" i="1"/>
  <c r="G47" i="1"/>
  <c r="AG38" i="28"/>
  <c r="G22" i="1"/>
  <c r="G1083" i="1"/>
  <c r="G1077" i="1"/>
  <c r="AB73" i="1"/>
  <c r="D26" i="1"/>
  <c r="D49" i="1"/>
  <c r="AD73" i="1"/>
  <c r="AD116" i="1" s="1"/>
  <c r="K109" i="1"/>
  <c r="AA74" i="1"/>
  <c r="AA76" i="1" s="1"/>
  <c r="AD49" i="468"/>
  <c r="AD50" i="468"/>
  <c r="AD61" i="468"/>
  <c r="AG36" i="468"/>
  <c r="AG34" i="468"/>
  <c r="O660" i="1"/>
  <c r="K649" i="1"/>
  <c r="BM854" i="1"/>
  <c r="BM855" i="1" s="1"/>
  <c r="N528" i="1"/>
  <c r="R528" i="1"/>
  <c r="N519" i="1"/>
  <c r="N527" i="1" s="1"/>
  <c r="BI520" i="1"/>
  <c r="BK1183" i="1"/>
  <c r="I446" i="1"/>
  <c r="F1357" i="1"/>
  <c r="G1378" i="1"/>
  <c r="H1378" i="1" s="1"/>
  <c r="BM1197" i="1"/>
  <c r="Z23" i="522" s="1"/>
  <c r="Z55" i="522" s="1"/>
  <c r="H1356" i="1"/>
  <c r="H1365" i="1" s="1"/>
  <c r="I1377" i="1"/>
  <c r="Z75" i="28"/>
  <c r="Z81" i="28"/>
  <c r="Z86" i="28"/>
  <c r="Z79" i="28"/>
  <c r="Z84" i="28"/>
  <c r="Z90" i="28" s="1"/>
  <c r="AC96" i="28"/>
  <c r="AE75" i="28"/>
  <c r="AE81" i="28"/>
  <c r="S27" i="28"/>
  <c r="T28" i="28" s="1"/>
  <c r="S63" i="28"/>
  <c r="S36" i="28"/>
  <c r="S41" i="28" s="1"/>
  <c r="S80" i="28" s="1"/>
  <c r="AN49" i="468"/>
  <c r="AN50" i="468"/>
  <c r="AN61" i="468"/>
  <c r="AG138" i="359"/>
  <c r="AG73" i="359"/>
  <c r="AG74" i="359" s="1"/>
  <c r="AG66" i="359"/>
  <c r="AG61" i="359"/>
  <c r="BA20" i="1"/>
  <c r="AG47" i="1"/>
  <c r="AG39" i="1"/>
  <c r="BG12" i="1"/>
  <c r="BG156" i="1" s="1"/>
  <c r="BH1063" i="1"/>
  <c r="BG1098" i="1"/>
  <c r="BG1101" i="1" s="1"/>
  <c r="Y248" i="1"/>
  <c r="AC248" i="1"/>
  <c r="U235" i="1"/>
  <c r="U164" i="1" s="1"/>
  <c r="M248" i="1"/>
  <c r="BC47" i="1"/>
  <c r="BC39" i="1"/>
  <c r="BX93" i="468"/>
  <c r="L424" i="1"/>
  <c r="H446" i="1"/>
  <c r="BJ245" i="1"/>
  <c r="T527" i="1"/>
  <c r="BE109" i="1"/>
  <c r="AD59" i="468"/>
  <c r="AD34" i="468"/>
  <c r="AD36" i="468"/>
  <c r="R15" i="468"/>
  <c r="BT25" i="468"/>
  <c r="R45" i="468"/>
  <c r="BS10" i="468"/>
  <c r="BT45" i="468" s="1"/>
  <c r="BT61" i="468" s="1"/>
  <c r="R98" i="468"/>
  <c r="N424" i="1"/>
  <c r="R424" i="1"/>
  <c r="BL1241" i="1"/>
  <c r="AA1248" i="1"/>
  <c r="BL1248" i="1" s="1"/>
  <c r="AA1027" i="1"/>
  <c r="AW1044" i="1"/>
  <c r="AX1045" i="1" s="1"/>
  <c r="AF1345" i="1"/>
  <c r="K96" i="28"/>
  <c r="AC75" i="28"/>
  <c r="AC81" i="28"/>
  <c r="AC86" i="28"/>
  <c r="AG96" i="28"/>
  <c r="Q75" i="28"/>
  <c r="Q81" i="28"/>
  <c r="Q86" i="28"/>
  <c r="Q79" i="28"/>
  <c r="AC23" i="28"/>
  <c r="AC24" i="28" s="1"/>
  <c r="AB84" i="28" s="1"/>
  <c r="AB90" i="28" s="1"/>
  <c r="AA63" i="28"/>
  <c r="AA36" i="28"/>
  <c r="AA41" i="28" s="1"/>
  <c r="Z85" i="28" s="1"/>
  <c r="AA25" i="28"/>
  <c r="AA27" i="28"/>
  <c r="L57" i="3"/>
  <c r="AC36" i="298"/>
  <c r="AC42" i="298"/>
  <c r="BO132" i="298"/>
  <c r="BC97" i="298"/>
  <c r="BC94" i="298" s="1"/>
  <c r="BC619" i="298"/>
  <c r="BC630" i="298"/>
  <c r="AS261" i="298"/>
  <c r="AS240" i="298"/>
  <c r="AT253" i="298" s="1"/>
  <c r="AS248" i="298"/>
  <c r="AS214" i="298"/>
  <c r="AS222" i="298"/>
  <c r="AS281" i="298"/>
  <c r="AD558" i="298"/>
  <c r="Q172" i="298"/>
  <c r="M166" i="298"/>
  <c r="S65" i="28"/>
  <c r="W66" i="28"/>
  <c r="T66" i="28"/>
  <c r="K41" i="298"/>
  <c r="Z87" i="298"/>
  <c r="M369" i="298"/>
  <c r="M431" i="298"/>
  <c r="M109" i="1"/>
  <c r="L47" i="1"/>
  <c r="L39" i="1"/>
  <c r="AA47" i="1"/>
  <c r="AA39" i="1"/>
  <c r="G45" i="1"/>
  <c r="G19" i="1"/>
  <c r="G109" i="1" s="1"/>
  <c r="G46" i="1"/>
  <c r="G1356" i="1"/>
  <c r="G1353" i="1"/>
  <c r="G1391" i="1"/>
  <c r="BL32" i="1"/>
  <c r="BI508" i="1"/>
  <c r="L443" i="1"/>
  <c r="L445" i="1"/>
  <c r="L509" i="1"/>
  <c r="W20" i="468"/>
  <c r="U424" i="1"/>
  <c r="Y425" i="1"/>
  <c r="AA36" i="468"/>
  <c r="AA34" i="468"/>
  <c r="BR645" i="1"/>
  <c r="BN648" i="1"/>
  <c r="BN658" i="1" s="1"/>
  <c r="K443" i="1"/>
  <c r="K446" i="1" s="1"/>
  <c r="K509" i="1"/>
  <c r="T534" i="1"/>
  <c r="BM1323" i="1"/>
  <c r="BM1329" i="1"/>
  <c r="AW1030" i="1"/>
  <c r="AW1047" i="1"/>
  <c r="AW1036" i="1"/>
  <c r="BN1323" i="1"/>
  <c r="P1341" i="1"/>
  <c r="K75" i="28"/>
  <c r="K81" i="28"/>
  <c r="K86" i="28"/>
  <c r="K79" i="28"/>
  <c r="K84" i="28"/>
  <c r="T96" i="28"/>
  <c r="AV13" i="298"/>
  <c r="AY13" i="298" s="1"/>
  <c r="AW13" i="298"/>
  <c r="AZ13" i="298" s="1"/>
  <c r="AV39" i="298"/>
  <c r="AY39" i="298" s="1"/>
  <c r="AV18" i="298"/>
  <c r="AV640" i="298"/>
  <c r="AV710" i="298"/>
  <c r="AV716" i="298" s="1"/>
  <c r="H36" i="298"/>
  <c r="D42" i="298"/>
  <c r="P171" i="298"/>
  <c r="T176" i="298"/>
  <c r="AT214" i="298"/>
  <c r="AU227" i="298" s="1"/>
  <c r="AT222" i="298"/>
  <c r="AT281" i="298"/>
  <c r="AU222" i="298"/>
  <c r="BA125" i="298"/>
  <c r="BA126" i="298" s="1"/>
  <c r="BB125" i="298"/>
  <c r="BA167" i="298"/>
  <c r="Z719" i="298"/>
  <c r="AD719" i="298"/>
  <c r="U66" i="28"/>
  <c r="Q65" i="28"/>
  <c r="O23" i="28"/>
  <c r="O24" i="28" s="1"/>
  <c r="P25" i="28" s="1"/>
  <c r="F51" i="51"/>
  <c r="G47" i="51"/>
  <c r="AG115" i="298"/>
  <c r="AH122" i="298"/>
  <c r="AG137" i="298"/>
  <c r="AK44" i="298"/>
  <c r="AK42" i="298"/>
  <c r="AM44" i="298"/>
  <c r="AM36" i="298"/>
  <c r="AM42" i="298"/>
  <c r="H18" i="298"/>
  <c r="H13" i="298"/>
  <c r="H41" i="298"/>
  <c r="H40" i="298"/>
  <c r="H39" i="298"/>
  <c r="H42" i="298"/>
  <c r="H640" i="298"/>
  <c r="G24" i="298"/>
  <c r="AW36" i="298"/>
  <c r="AZ36" i="298" s="1"/>
  <c r="AW42" i="298"/>
  <c r="AZ42" i="298" s="1"/>
  <c r="U43" i="28"/>
  <c r="U46" i="28"/>
  <c r="AY108" i="298"/>
  <c r="Y126" i="298"/>
  <c r="Y139" i="298"/>
  <c r="AT261" i="298"/>
  <c r="Z358" i="298"/>
  <c r="AD358" i="298"/>
  <c r="AD716" i="298"/>
  <c r="G638" i="298"/>
  <c r="V66" i="359"/>
  <c r="W66" i="359"/>
  <c r="W61" i="359"/>
  <c r="W138" i="359"/>
  <c r="W73" i="359"/>
  <c r="W74" i="359" s="1"/>
  <c r="X73" i="359"/>
  <c r="X74" i="359" s="1"/>
  <c r="P55" i="468"/>
  <c r="R29" i="313"/>
  <c r="R34" i="313" s="1"/>
  <c r="AB47" i="1"/>
  <c r="AB39" i="1"/>
  <c r="BM32" i="1"/>
  <c r="BL319" i="1"/>
  <c r="BL314" i="1"/>
  <c r="T433" i="1"/>
  <c r="P435" i="1"/>
  <c r="P433" i="1"/>
  <c r="X248" i="1"/>
  <c r="T235" i="1"/>
  <c r="T164" i="1" s="1"/>
  <c r="L248" i="1"/>
  <c r="F65" i="3"/>
  <c r="BN32" i="1"/>
  <c r="BG139" i="1"/>
  <c r="BG1271" i="1" s="1"/>
  <c r="L613" i="1"/>
  <c r="L615" i="1"/>
  <c r="P613" i="1"/>
  <c r="BL423" i="1"/>
  <c r="AA101" i="468"/>
  <c r="AA109" i="468"/>
  <c r="BM655" i="1"/>
  <c r="N656" i="1"/>
  <c r="R656" i="1"/>
  <c r="AG613" i="1"/>
  <c r="R425" i="1"/>
  <c r="BJ425" i="1" s="1"/>
  <c r="AB1019" i="1"/>
  <c r="AB424" i="1"/>
  <c r="AF1341" i="1"/>
  <c r="S96" i="28"/>
  <c r="AA96" i="28"/>
  <c r="AD96" i="28"/>
  <c r="T79" i="28"/>
  <c r="T84" i="28"/>
  <c r="T90" i="28" s="1"/>
  <c r="T85" i="28"/>
  <c r="T81" i="28"/>
  <c r="T86" i="28"/>
  <c r="T75" i="28"/>
  <c r="F36" i="51"/>
  <c r="F35" i="51"/>
  <c r="W291" i="1"/>
  <c r="AC33" i="28"/>
  <c r="AC32" i="28"/>
  <c r="AC59" i="28"/>
  <c r="K63" i="28"/>
  <c r="K36" i="28"/>
  <c r="K41" i="28" s="1"/>
  <c r="J85" i="28" s="1"/>
  <c r="K25" i="28"/>
  <c r="K27" i="28"/>
  <c r="AQ44" i="298"/>
  <c r="AR36" i="298"/>
  <c r="AQ36" i="298"/>
  <c r="AQ42" i="298"/>
  <c r="AG142" i="298"/>
  <c r="AH156" i="298"/>
  <c r="AU253" i="298"/>
  <c r="R33" i="28"/>
  <c r="R32" i="28"/>
  <c r="S32" i="28"/>
  <c r="V66" i="28"/>
  <c r="M33" i="28"/>
  <c r="M32" i="28"/>
  <c r="M59" i="28"/>
  <c r="O33" i="28"/>
  <c r="O32" i="28"/>
  <c r="O59" i="28"/>
  <c r="E67" i="292"/>
  <c r="E39" i="292"/>
  <c r="C39" i="292"/>
  <c r="C67" i="292"/>
  <c r="G22" i="292"/>
  <c r="J34" i="51"/>
  <c r="I35" i="51"/>
  <c r="U36" i="298"/>
  <c r="U42" i="298"/>
  <c r="T36" i="298"/>
  <c r="X36" i="298"/>
  <c r="T42" i="298"/>
  <c r="J66" i="3"/>
  <c r="AZ519" i="298"/>
  <c r="H21" i="298"/>
  <c r="H530" i="298"/>
  <c r="H524" i="298"/>
  <c r="U126" i="298"/>
  <c r="M139" i="298"/>
  <c r="AZ420" i="298"/>
  <c r="AZ421" i="298" s="1"/>
  <c r="I421" i="298"/>
  <c r="Z542" i="298"/>
  <c r="Z541" i="298"/>
  <c r="BB716" i="298"/>
  <c r="U61" i="359"/>
  <c r="Y61" i="359"/>
  <c r="U66" i="359"/>
  <c r="U138" i="359"/>
  <c r="U73" i="359"/>
  <c r="U74" i="359" s="1"/>
  <c r="AF73" i="359"/>
  <c r="AF74" i="359" s="1"/>
  <c r="AF66" i="359"/>
  <c r="AF61" i="359"/>
  <c r="AF138" i="359"/>
  <c r="AF432" i="1"/>
  <c r="AJ434" i="1" s="1"/>
  <c r="AJ427" i="1"/>
  <c r="BN427" i="1"/>
  <c r="AF430" i="1"/>
  <c r="AX20" i="1"/>
  <c r="AY20" i="1"/>
  <c r="AX109" i="1"/>
  <c r="T9" i="313"/>
  <c r="BI12" i="1"/>
  <c r="BI1297" i="1" s="1"/>
  <c r="BI1303" i="1" s="1"/>
  <c r="BI1098" i="1"/>
  <c r="BI1101" i="1" s="1"/>
  <c r="BI1063" i="1"/>
  <c r="BJ1063" i="1"/>
  <c r="AF74" i="28"/>
  <c r="AF75" i="28" s="1"/>
  <c r="I39" i="1"/>
  <c r="E47" i="1"/>
  <c r="T20" i="313"/>
  <c r="T13" i="267"/>
  <c r="BM245" i="1"/>
  <c r="AF39" i="1"/>
  <c r="AH37" i="28"/>
  <c r="F40" i="292"/>
  <c r="AQ10" i="468"/>
  <c r="AI655" i="1"/>
  <c r="AI663" i="1" s="1"/>
  <c r="BN645" i="1"/>
  <c r="BN655" i="1" s="1"/>
  <c r="Y101" i="468"/>
  <c r="Y109" i="468"/>
  <c r="BI435" i="1"/>
  <c r="AA35" i="468"/>
  <c r="AA40" i="468" s="1"/>
  <c r="V533" i="1"/>
  <c r="Y533" i="1"/>
  <c r="AA663" i="1"/>
  <c r="Z656" i="1"/>
  <c r="BN618" i="1"/>
  <c r="BN620" i="1"/>
  <c r="O446" i="1"/>
  <c r="AB1028" i="1"/>
  <c r="AB1027" i="1"/>
  <c r="AB1026" i="1"/>
  <c r="AB1024" i="1"/>
  <c r="AB1022" i="1"/>
  <c r="AB1020" i="1"/>
  <c r="AB1016" i="1"/>
  <c r="L1087" i="1"/>
  <c r="L1341" i="1"/>
  <c r="S79" i="28"/>
  <c r="S84" i="28"/>
  <c r="S90" i="28" s="1"/>
  <c r="S81" i="28"/>
  <c r="S86" i="28"/>
  <c r="S75" i="28"/>
  <c r="AA75" i="28"/>
  <c r="AA81" i="28"/>
  <c r="AA86" i="28"/>
  <c r="AA84" i="28"/>
  <c r="AA90" i="28" s="1"/>
  <c r="AA79" i="28"/>
  <c r="AD75" i="28"/>
  <c r="AD81" i="28"/>
  <c r="AD86" i="28"/>
  <c r="D79" i="28"/>
  <c r="D84" i="28"/>
  <c r="D80" i="28"/>
  <c r="D86" i="28"/>
  <c r="D75" i="28"/>
  <c r="D81" i="28"/>
  <c r="K97" i="298"/>
  <c r="K94" i="298" s="1"/>
  <c r="K619" i="298"/>
  <c r="K630" i="298"/>
  <c r="S633" i="298"/>
  <c r="S638" i="298" s="1"/>
  <c r="S639" i="298"/>
  <c r="AN34" i="468"/>
  <c r="AN36" i="468"/>
  <c r="R20" i="313"/>
  <c r="R13" i="267"/>
  <c r="R16" i="267" s="1"/>
  <c r="R18" i="267" s="1"/>
  <c r="G11" i="276"/>
  <c r="F11" i="276"/>
  <c r="H11" i="276"/>
  <c r="F17" i="276"/>
  <c r="G17" i="276"/>
  <c r="H17" i="276"/>
  <c r="O22" i="1"/>
  <c r="O310" i="1"/>
  <c r="O1083" i="1"/>
  <c r="O1077" i="1"/>
  <c r="F93" i="51"/>
  <c r="F37" i="51" s="1"/>
  <c r="BB20" i="1"/>
  <c r="BB109" i="1"/>
  <c r="G93" i="51"/>
  <c r="G77" i="51" s="1"/>
  <c r="BC20" i="1"/>
  <c r="C15" i="313"/>
  <c r="F45" i="276"/>
  <c r="G45" i="276"/>
  <c r="H45" i="276"/>
  <c r="BI1072" i="1"/>
  <c r="L28" i="313"/>
  <c r="L34" i="313" s="1"/>
  <c r="L24" i="313"/>
  <c r="BH235" i="1"/>
  <c r="Y36" i="468"/>
  <c r="Y34" i="468"/>
  <c r="AA49" i="468"/>
  <c r="AA51" i="468"/>
  <c r="AA50" i="468"/>
  <c r="AA61" i="468"/>
  <c r="BN266" i="1"/>
  <c r="BN283" i="1"/>
  <c r="BM490" i="1"/>
  <c r="X663" i="1"/>
  <c r="AB663" i="1"/>
  <c r="AD656" i="1"/>
  <c r="AH646" i="1"/>
  <c r="BK646" i="1"/>
  <c r="AA660" i="1"/>
  <c r="AE660" i="1"/>
  <c r="AA649" i="1"/>
  <c r="AD663" i="1"/>
  <c r="AY1045" i="1"/>
  <c r="AY1048" i="1"/>
  <c r="T659" i="1"/>
  <c r="AB1341" i="1"/>
  <c r="J1374" i="1"/>
  <c r="I1353" i="1"/>
  <c r="I96" i="28"/>
  <c r="L75" i="28"/>
  <c r="L81" i="28"/>
  <c r="L86" i="28"/>
  <c r="L79" i="28"/>
  <c r="N96" i="28"/>
  <c r="I66" i="28"/>
  <c r="J66" i="28"/>
  <c r="F65" i="28"/>
  <c r="AF83" i="298"/>
  <c r="L139" i="298"/>
  <c r="AB55" i="468"/>
  <c r="AE531" i="1"/>
  <c r="AI531" i="1"/>
  <c r="AA20" i="468"/>
  <c r="X536" i="1"/>
  <c r="BH39" i="1"/>
  <c r="AE50" i="468"/>
  <c r="T533" i="1"/>
  <c r="BL887" i="1"/>
  <c r="BW10" i="468"/>
  <c r="AH15" i="468"/>
  <c r="AH20" i="468" s="1"/>
  <c r="AH58" i="468"/>
  <c r="AH45" i="468"/>
  <c r="BX25" i="468"/>
  <c r="AH98" i="468"/>
  <c r="BJ1329" i="1"/>
  <c r="BJ1341" i="1" s="1"/>
  <c r="BK1329" i="1"/>
  <c r="BJ1323" i="1"/>
  <c r="BK1323" i="1"/>
  <c r="I84" i="28"/>
  <c r="I81" i="28"/>
  <c r="I86" i="28"/>
  <c r="I75" i="28"/>
  <c r="L96" i="28"/>
  <c r="N75" i="28"/>
  <c r="N81" i="28"/>
  <c r="N86" i="28"/>
  <c r="AE18" i="298"/>
  <c r="AE40" i="298"/>
  <c r="AE505" i="298"/>
  <c r="AE39" i="298"/>
  <c r="AE42" i="298"/>
  <c r="AE41" i="298"/>
  <c r="AE13" i="298"/>
  <c r="AE46" i="298"/>
  <c r="AE640" i="298"/>
  <c r="S97" i="298"/>
  <c r="S94" i="298" s="1"/>
  <c r="S630" i="298"/>
  <c r="S619" i="298"/>
  <c r="D32" i="292"/>
  <c r="D27" i="292"/>
  <c r="D22" i="292"/>
  <c r="AA36" i="298"/>
  <c r="AA42" i="298"/>
  <c r="BD35" i="298"/>
  <c r="W46" i="28"/>
  <c r="W43" i="28"/>
  <c r="BQ19" i="468"/>
  <c r="BQ54" i="468" s="1"/>
  <c r="BR19" i="468"/>
  <c r="D93" i="51"/>
  <c r="AZ20" i="1"/>
  <c r="BI319" i="1"/>
  <c r="R23" i="28"/>
  <c r="R24" i="28" s="1"/>
  <c r="Q84" i="28" s="1"/>
  <c r="Q90" i="28" s="1"/>
  <c r="Q98" i="292"/>
  <c r="AP42" i="298"/>
  <c r="AP36" i="298"/>
  <c r="Q18" i="298"/>
  <c r="U19" i="298" s="1"/>
  <c r="Q13" i="298"/>
  <c r="Q42" i="298"/>
  <c r="Q41" i="298"/>
  <c r="Q40" i="298"/>
  <c r="Q640" i="298"/>
  <c r="N36" i="298"/>
  <c r="N42" i="298"/>
  <c r="AI159" i="298"/>
  <c r="AI145" i="298" s="1"/>
  <c r="AI152" i="298" s="1"/>
  <c r="AH145" i="298"/>
  <c r="T13" i="298"/>
  <c r="U13" i="298"/>
  <c r="AV40" i="298"/>
  <c r="AY40" i="298" s="1"/>
  <c r="T171" i="298"/>
  <c r="BC125" i="298"/>
  <c r="BC167" i="298"/>
  <c r="AU283" i="298"/>
  <c r="U357" i="298"/>
  <c r="Y358" i="298"/>
  <c r="AT248" i="298"/>
  <c r="S66" i="359"/>
  <c r="S61" i="359"/>
  <c r="S138" i="359"/>
  <c r="S73" i="359"/>
  <c r="S74" i="359" s="1"/>
  <c r="T61" i="359"/>
  <c r="T66" i="359"/>
  <c r="T138" i="359"/>
  <c r="X61" i="359"/>
  <c r="T73" i="359"/>
  <c r="T74" i="359" s="1"/>
  <c r="AD66" i="359"/>
  <c r="AD61" i="359"/>
  <c r="AD138" i="359"/>
  <c r="AD73" i="359"/>
  <c r="AD74" i="359" s="1"/>
  <c r="AE73" i="359"/>
  <c r="AE74" i="359" s="1"/>
  <c r="BL37" i="1"/>
  <c r="BL903" i="1"/>
  <c r="G43" i="276"/>
  <c r="F43" i="276"/>
  <c r="H43" i="276"/>
  <c r="AB1072" i="1"/>
  <c r="AB1063" i="1"/>
  <c r="AB1098" i="1"/>
  <c r="AB1101" i="1" s="1"/>
  <c r="F48" i="276"/>
  <c r="G48" i="276"/>
  <c r="H48" i="276"/>
  <c r="BM266" i="1"/>
  <c r="BM283" i="1"/>
  <c r="AI47" i="1"/>
  <c r="AI39" i="1"/>
  <c r="V320" i="1"/>
  <c r="BC109" i="1"/>
  <c r="BN826" i="1"/>
  <c r="BN829" i="1"/>
  <c r="BN821" i="1"/>
  <c r="BN831" i="1" s="1"/>
  <c r="Z101" i="468"/>
  <c r="Z109" i="468"/>
  <c r="BJ655" i="1"/>
  <c r="BK655" i="1"/>
  <c r="AE109" i="468"/>
  <c r="AE101" i="468"/>
  <c r="BI646" i="1"/>
  <c r="Q1346" i="1"/>
  <c r="Y79" i="28"/>
  <c r="Y84" i="28"/>
  <c r="Y90" i="28" s="1"/>
  <c r="Y75" i="28"/>
  <c r="Y81" i="28"/>
  <c r="Y86" i="28"/>
  <c r="AB75" i="28"/>
  <c r="AB81" i="28"/>
  <c r="AB86" i="28"/>
  <c r="AB79" i="28"/>
  <c r="X75" i="28"/>
  <c r="X81" i="28"/>
  <c r="X86" i="28"/>
  <c r="X79" i="28"/>
  <c r="X84" i="28"/>
  <c r="X90" i="28" s="1"/>
  <c r="AG144" i="298"/>
  <c r="AH158" i="298"/>
  <c r="F39" i="292"/>
  <c r="F67" i="292"/>
  <c r="Q21" i="298"/>
  <c r="Q530" i="298"/>
  <c r="Q181" i="298"/>
  <c r="Q524" i="298"/>
  <c r="BE35" i="298"/>
  <c r="AN35" i="468"/>
  <c r="F47" i="276"/>
  <c r="H47" i="276"/>
  <c r="G47" i="276"/>
  <c r="AU20" i="1"/>
  <c r="AV20" i="1"/>
  <c r="E7" i="267"/>
  <c r="E9" i="313" s="1"/>
  <c r="E24" i="313" s="1"/>
  <c r="O45" i="1"/>
  <c r="O13" i="1"/>
  <c r="O19" i="1"/>
  <c r="O46" i="1"/>
  <c r="O1391" i="1"/>
  <c r="BJ109" i="1"/>
  <c r="S13" i="1"/>
  <c r="BD110" i="468"/>
  <c r="BU99" i="468"/>
  <c r="V101" i="468"/>
  <c r="BT98" i="468"/>
  <c r="BT109" i="468" s="1"/>
  <c r="N23" i="28"/>
  <c r="N24" i="28" s="1"/>
  <c r="R65" i="28"/>
  <c r="N33" i="28"/>
  <c r="N32" i="28"/>
  <c r="N59" i="28"/>
  <c r="AE23" i="28"/>
  <c r="AE24" i="28" s="1"/>
  <c r="H43" i="51"/>
  <c r="I30" i="51"/>
  <c r="I26" i="51" s="1"/>
  <c r="H32" i="51"/>
  <c r="BA12" i="298"/>
  <c r="BA545" i="298"/>
  <c r="BA548" i="298" s="1"/>
  <c r="BA510" i="298"/>
  <c r="BB510" i="298"/>
  <c r="AD36" i="298"/>
  <c r="AD42" i="298"/>
  <c r="AD13" i="298"/>
  <c r="AD18" i="298"/>
  <c r="AD505" i="298"/>
  <c r="AD41" i="298"/>
  <c r="AD40" i="298"/>
  <c r="AD39" i="298"/>
  <c r="AD640" i="298"/>
  <c r="AF61" i="298"/>
  <c r="AF62" i="298" s="1"/>
  <c r="AF64" i="298" s="1"/>
  <c r="K42" i="298"/>
  <c r="AU36" i="298"/>
  <c r="AU42" i="298"/>
  <c r="AV41" i="298"/>
  <c r="AY41" i="298" s="1"/>
  <c r="BE185" i="298"/>
  <c r="BE190" i="298"/>
  <c r="T192" i="298"/>
  <c r="BD136" i="298"/>
  <c r="AA79" i="298"/>
  <c r="AU266" i="298"/>
  <c r="N73" i="359"/>
  <c r="N74" i="359" s="1"/>
  <c r="N66" i="359"/>
  <c r="N138" i="359"/>
  <c r="O73" i="359"/>
  <c r="O74" i="359" s="1"/>
  <c r="O66" i="359"/>
  <c r="O138" i="359"/>
  <c r="V20" i="313"/>
  <c r="V12" i="267"/>
  <c r="AC47" i="1"/>
  <c r="AC39" i="1"/>
  <c r="BK266" i="1"/>
  <c r="BL266" i="1"/>
  <c r="BK283" i="1"/>
  <c r="AI1072" i="1"/>
  <c r="AI1114" i="1"/>
  <c r="AI1098" i="1"/>
  <c r="Q20" i="313"/>
  <c r="AG74" i="28"/>
  <c r="AG75" i="28" s="1"/>
  <c r="U39" i="1"/>
  <c r="Y39" i="1"/>
  <c r="U47" i="1"/>
  <c r="BN38" i="1"/>
  <c r="BN904" i="1"/>
  <c r="AK886" i="1"/>
  <c r="AG886" i="1"/>
  <c r="V321" i="1"/>
  <c r="AI36" i="468"/>
  <c r="AI34" i="468"/>
  <c r="AI59" i="468"/>
  <c r="BT58" i="468"/>
  <c r="BN314" i="1"/>
  <c r="BN319" i="1"/>
  <c r="AE40" i="468"/>
  <c r="R659" i="1"/>
  <c r="BL1329" i="1"/>
  <c r="BL1323" i="1"/>
  <c r="AC912" i="1"/>
  <c r="AB1021" i="1"/>
  <c r="Z659" i="1"/>
  <c r="AG1346" i="1"/>
  <c r="E81" i="28"/>
  <c r="E79" i="28"/>
  <c r="E86" i="28"/>
  <c r="E75" i="28"/>
  <c r="AJ72" i="28"/>
  <c r="AL72" i="28"/>
  <c r="AM72" i="28"/>
  <c r="AN72" i="28"/>
  <c r="AK72" i="28"/>
  <c r="O320" i="298"/>
  <c r="O310" i="298"/>
  <c r="O317" i="298"/>
  <c r="O322" i="298"/>
  <c r="O319" i="298"/>
  <c r="O316" i="298"/>
  <c r="O313" i="298"/>
  <c r="O315" i="298"/>
  <c r="BE138" i="298"/>
  <c r="AR261" i="298"/>
  <c r="AR240" i="298"/>
  <c r="AR266" i="298" s="1"/>
  <c r="Y493" i="298"/>
  <c r="BC493" i="298"/>
  <c r="BC494" i="298" s="1"/>
  <c r="T47" i="1"/>
  <c r="T39" i="1"/>
  <c r="BL36" i="1"/>
  <c r="BL902" i="1"/>
  <c r="AX47" i="1"/>
  <c r="AX39" i="1"/>
  <c r="O44" i="1"/>
  <c r="S663" i="1"/>
  <c r="BK298" i="1"/>
  <c r="AE20" i="468"/>
  <c r="Y298" i="1"/>
  <c r="AJ831" i="1"/>
  <c r="Z298" i="1"/>
  <c r="Y527" i="1"/>
  <c r="AF1344" i="1"/>
  <c r="AJ1344" i="1"/>
  <c r="G75" i="28"/>
  <c r="G81" i="28"/>
  <c r="G86" i="28"/>
  <c r="G84" i="28"/>
  <c r="G85" i="28"/>
  <c r="BE136" i="298"/>
  <c r="AB14" i="298"/>
  <c r="AB176" i="298"/>
  <c r="BD34" i="298"/>
  <c r="AB322" i="298"/>
  <c r="AF310" i="298"/>
  <c r="AB316" i="298"/>
  <c r="AB313" i="298"/>
  <c r="AB318" i="298"/>
  <c r="AB320" i="298"/>
  <c r="AB319" i="298"/>
  <c r="AB317" i="298"/>
  <c r="AB321" i="298"/>
  <c r="AB310" i="298"/>
  <c r="AA191" i="298"/>
  <c r="W316" i="298"/>
  <c r="W321" i="298"/>
  <c r="W318" i="298"/>
  <c r="W315" i="298"/>
  <c r="W320" i="298"/>
  <c r="W310" i="298"/>
  <c r="W317" i="298"/>
  <c r="W314" i="298"/>
  <c r="W322" i="298"/>
  <c r="W319" i="298"/>
  <c r="H43" i="28"/>
  <c r="H46" i="28"/>
  <c r="E27" i="292"/>
  <c r="E32" i="292"/>
  <c r="E22" i="292"/>
  <c r="G32" i="292"/>
  <c r="AC14" i="298"/>
  <c r="AC177" i="298" s="1"/>
  <c r="AC176" i="298"/>
  <c r="Y36" i="298"/>
  <c r="Y42" i="298"/>
  <c r="BD30" i="298"/>
  <c r="G42" i="298"/>
  <c r="P36" i="298"/>
  <c r="P42" i="298"/>
  <c r="AA136" i="298"/>
  <c r="O136" i="298"/>
  <c r="AE136" i="298"/>
  <c r="U79" i="298"/>
  <c r="BD125" i="298"/>
  <c r="AB314" i="298"/>
  <c r="BD137" i="298"/>
  <c r="AU284" i="298"/>
  <c r="BA159" i="298"/>
  <c r="BE160" i="298"/>
  <c r="BE153" i="298"/>
  <c r="W719" i="298"/>
  <c r="P66" i="359"/>
  <c r="G44" i="1"/>
  <c r="J47" i="1"/>
  <c r="J39" i="1"/>
  <c r="AN51" i="468"/>
  <c r="AV47" i="1"/>
  <c r="AV39" i="1"/>
  <c r="AW39" i="1"/>
  <c r="G12" i="276"/>
  <c r="H12" i="276"/>
  <c r="F12" i="276"/>
  <c r="O47" i="1"/>
  <c r="O39" i="1"/>
  <c r="X613" i="1"/>
  <c r="X615" i="1"/>
  <c r="AB613" i="1"/>
  <c r="Z235" i="1"/>
  <c r="Z164" i="1" s="1"/>
  <c r="Z248" i="1"/>
  <c r="AH248" i="1"/>
  <c r="AR20" i="468"/>
  <c r="Z36" i="468"/>
  <c r="Z34" i="468"/>
  <c r="BN125" i="1"/>
  <c r="I75" i="523" s="1"/>
  <c r="AA113" i="1"/>
  <c r="AA117" i="1" s="1"/>
  <c r="BM37" i="1"/>
  <c r="AE59" i="468"/>
  <c r="AE36" i="468"/>
  <c r="AE34" i="468"/>
  <c r="AA527" i="1"/>
  <c r="AJ879" i="1"/>
  <c r="BL646" i="1"/>
  <c r="W945" i="1"/>
  <c r="AA945" i="1"/>
  <c r="AB533" i="1"/>
  <c r="BB1044" i="1"/>
  <c r="U80" i="28"/>
  <c r="U75" i="28"/>
  <c r="U81" i="28"/>
  <c r="U79" i="28"/>
  <c r="U86" i="28"/>
  <c r="W75" i="28"/>
  <c r="W81" i="28"/>
  <c r="W86" i="28"/>
  <c r="W79" i="28"/>
  <c r="W84" i="28"/>
  <c r="W90" i="28" s="1"/>
  <c r="W80" i="28"/>
  <c r="Y36" i="28"/>
  <c r="Y41" i="28" s="1"/>
  <c r="X85" i="28" s="1"/>
  <c r="Y25" i="28"/>
  <c r="Y27" i="28"/>
  <c r="Y63" i="28"/>
  <c r="AC61" i="298"/>
  <c r="AC62" i="298" s="1"/>
  <c r="AC64" i="298" s="1"/>
  <c r="AD23" i="28"/>
  <c r="AD24" i="28" s="1"/>
  <c r="T25" i="28"/>
  <c r="BE12" i="298"/>
  <c r="BE46" i="298" s="1"/>
  <c r="BD12" i="298"/>
  <c r="BD638" i="298" s="1"/>
  <c r="P21" i="298"/>
  <c r="P530" i="298"/>
  <c r="P181" i="298"/>
  <c r="P524" i="298"/>
  <c r="AF36" i="298"/>
  <c r="AF42" i="298"/>
  <c r="BD94" i="298"/>
  <c r="N24" i="298"/>
  <c r="N22" i="298"/>
  <c r="N44" i="298"/>
  <c r="O314" i="298"/>
  <c r="AE302" i="298"/>
  <c r="O321" i="298"/>
  <c r="BB181" i="298"/>
  <c r="BB182" i="298" s="1"/>
  <c r="BB185" i="298"/>
  <c r="BB190" i="298"/>
  <c r="W313" i="298"/>
  <c r="AA314" i="298"/>
  <c r="AA322" i="298"/>
  <c r="AA319" i="298"/>
  <c r="AA316" i="298"/>
  <c r="AA321" i="298"/>
  <c r="AA318" i="298"/>
  <c r="AA315" i="298"/>
  <c r="AA310" i="298"/>
  <c r="AA317" i="298"/>
  <c r="BE364" i="298"/>
  <c r="BE366" i="298"/>
  <c r="AE638" i="298"/>
  <c r="Q721" i="298"/>
  <c r="U721" i="298"/>
  <c r="AV638" i="298"/>
  <c r="Z47" i="1"/>
  <c r="Z39" i="1"/>
  <c r="AS49" i="1"/>
  <c r="Y9" i="313"/>
  <c r="BM36" i="1"/>
  <c r="BN36" i="1"/>
  <c r="BM902" i="1"/>
  <c r="G24" i="313"/>
  <c r="BZ93" i="468"/>
  <c r="F73" i="292"/>
  <c r="BK115" i="1"/>
  <c r="AI109" i="468"/>
  <c r="AI101" i="468"/>
  <c r="Z40" i="468"/>
  <c r="BI266" i="1"/>
  <c r="BI283" i="1"/>
  <c r="M660" i="1"/>
  <c r="BI650" i="1"/>
  <c r="Q660" i="1"/>
  <c r="M649" i="1"/>
  <c r="Z424" i="1"/>
  <c r="X857" i="1"/>
  <c r="BK857" i="1"/>
  <c r="BK858" i="1" s="1"/>
  <c r="BM646" i="1"/>
  <c r="H514" i="1"/>
  <c r="L523" i="1" s="1"/>
  <c r="P531" i="1" s="1"/>
  <c r="W523" i="1"/>
  <c r="BL650" i="1"/>
  <c r="Z533" i="1"/>
  <c r="AB1023" i="1"/>
  <c r="F1362" i="1"/>
  <c r="R84" i="28"/>
  <c r="R90" i="28" s="1"/>
  <c r="R75" i="28"/>
  <c r="R81" i="28"/>
  <c r="R86" i="28"/>
  <c r="AE138" i="298"/>
  <c r="AA138" i="298"/>
  <c r="O138" i="298"/>
  <c r="S44" i="298"/>
  <c r="S36" i="298"/>
  <c r="S42" i="298"/>
  <c r="W36" i="298"/>
  <c r="E46" i="51"/>
  <c r="D43" i="51"/>
  <c r="E51" i="51"/>
  <c r="Y505" i="298"/>
  <c r="Y18" i="298"/>
  <c r="Y40" i="298"/>
  <c r="AC13" i="298"/>
  <c r="Y39" i="298"/>
  <c r="Y13" i="298"/>
  <c r="Y639" i="298"/>
  <c r="Y640" i="298"/>
  <c r="F74" i="51"/>
  <c r="G75" i="51" s="1"/>
  <c r="H75" i="51"/>
  <c r="I9" i="51"/>
  <c r="J7" i="51"/>
  <c r="AO19" i="298"/>
  <c r="AO79" i="298"/>
  <c r="W32" i="28"/>
  <c r="V33" i="28"/>
  <c r="V32" i="28"/>
  <c r="V59" i="28"/>
  <c r="P65" i="28"/>
  <c r="S66" i="28"/>
  <c r="AD33" i="28"/>
  <c r="AD32" i="28"/>
  <c r="AD59" i="28"/>
  <c r="AB519" i="298"/>
  <c r="AB510" i="298"/>
  <c r="AB545" i="298"/>
  <c r="AB548" i="298" s="1"/>
  <c r="AB549" i="298" s="1"/>
  <c r="AN19" i="298"/>
  <c r="P13" i="298"/>
  <c r="P41" i="298"/>
  <c r="P18" i="298"/>
  <c r="T19" i="298" s="1"/>
  <c r="P640" i="298"/>
  <c r="AY12" i="298"/>
  <c r="AY545" i="298"/>
  <c r="AY548" i="298" s="1"/>
  <c r="BE34" i="298"/>
  <c r="S167" i="298"/>
  <c r="S125" i="298"/>
  <c r="S126" i="298" s="1"/>
  <c r="S159" i="298"/>
  <c r="W125" i="298"/>
  <c r="W133" i="298"/>
  <c r="AD139" i="298"/>
  <c r="Z126" i="298"/>
  <c r="Z139" i="298"/>
  <c r="AT316" i="298"/>
  <c r="AT313" i="298"/>
  <c r="AT321" i="298"/>
  <c r="AT318" i="298"/>
  <c r="AT315" i="298"/>
  <c r="AT310" i="298"/>
  <c r="AT320" i="298"/>
  <c r="AU310" i="298"/>
  <c r="AT317" i="298"/>
  <c r="AT314" i="298"/>
  <c r="AT322" i="298"/>
  <c r="AT332" i="298"/>
  <c r="M192" i="298"/>
  <c r="CB93" i="468"/>
  <c r="CB109" i="468"/>
  <c r="AT39" i="1"/>
  <c r="AA66" i="359"/>
  <c r="AU47" i="1"/>
  <c r="AU39" i="1"/>
  <c r="BJ39" i="1"/>
  <c r="BJ47" i="1"/>
  <c r="V28" i="313"/>
  <c r="G34" i="313"/>
  <c r="AC613" i="1"/>
  <c r="AC615" i="1"/>
  <c r="BX19" i="468"/>
  <c r="AA299" i="1"/>
  <c r="BL247" i="1"/>
  <c r="AU49" i="1"/>
  <c r="Z50" i="468"/>
  <c r="Z61" i="468"/>
  <c r="Z49" i="468"/>
  <c r="AB425" i="1"/>
  <c r="AB50" i="468"/>
  <c r="AB49" i="468"/>
  <c r="BK650" i="1"/>
  <c r="U649" i="1"/>
  <c r="U660" i="1"/>
  <c r="Y660" i="1"/>
  <c r="AD101" i="468"/>
  <c r="AD109" i="468"/>
  <c r="BR45" i="468"/>
  <c r="BR61" i="468" s="1"/>
  <c r="BR58" i="468"/>
  <c r="BR59" i="468" s="1"/>
  <c r="AB886" i="1"/>
  <c r="AF886" i="1"/>
  <c r="BL525" i="1"/>
  <c r="BN854" i="1"/>
  <c r="BI525" i="1"/>
  <c r="AA1028" i="1"/>
  <c r="AA1026" i="1"/>
  <c r="AA1024" i="1"/>
  <c r="AA1022" i="1"/>
  <c r="AA1020" i="1"/>
  <c r="AA1016" i="1"/>
  <c r="AA1019" i="1"/>
  <c r="BM1183" i="1"/>
  <c r="BM1194" i="1"/>
  <c r="F1354" i="1"/>
  <c r="F1363" i="1" s="1"/>
  <c r="G1375" i="1"/>
  <c r="F1379" i="1"/>
  <c r="F1358" i="1" s="1"/>
  <c r="W1026" i="1"/>
  <c r="W1025" i="1"/>
  <c r="W1023" i="1"/>
  <c r="W1022" i="1"/>
  <c r="W1021" i="1"/>
  <c r="W1019" i="1"/>
  <c r="W1016" i="1"/>
  <c r="W1028" i="1"/>
  <c r="W1027" i="1"/>
  <c r="F81" i="28"/>
  <c r="F86" i="28"/>
  <c r="F75" i="28"/>
  <c r="H75" i="28"/>
  <c r="H81" i="28"/>
  <c r="H86" i="28"/>
  <c r="H79" i="28"/>
  <c r="H80" i="28"/>
  <c r="P96" i="28"/>
  <c r="B1384" i="1"/>
  <c r="AF534" i="1" l="1"/>
  <c r="BN1303" i="1"/>
  <c r="BO1309" i="1" s="1"/>
  <c r="BM1303" i="1"/>
  <c r="AJ204" i="1"/>
  <c r="AJ196" i="1" s="1"/>
  <c r="AE66" i="1"/>
  <c r="AJ534" i="1"/>
  <c r="BK488" i="1"/>
  <c r="BL490" i="1" s="1"/>
  <c r="L880" i="1"/>
  <c r="T880" i="1"/>
  <c r="V880" i="1"/>
  <c r="V894" i="1" s="1"/>
  <c r="BI385" i="1"/>
  <c r="AB880" i="1"/>
  <c r="V702" i="1"/>
  <c r="P880" i="1"/>
  <c r="AA880" i="1"/>
  <c r="S747" i="1"/>
  <c r="AF391" i="1"/>
  <c r="AA425" i="1"/>
  <c r="O880" i="1"/>
  <c r="AD880" i="1"/>
  <c r="AC880" i="1"/>
  <c r="Y880" i="1"/>
  <c r="BL1303" i="1"/>
  <c r="BL1309" i="1" s="1"/>
  <c r="E9" i="525"/>
  <c r="K9" i="525" s="1"/>
  <c r="AI392" i="1"/>
  <c r="S385" i="1"/>
  <c r="S518" i="1"/>
  <c r="O526" i="1"/>
  <c r="BH518" i="1"/>
  <c r="BI526" i="1" s="1"/>
  <c r="K519" i="1"/>
  <c r="BH519" i="1" s="1"/>
  <c r="AD700" i="1"/>
  <c r="AD702" i="1"/>
  <c r="AH702" i="1"/>
  <c r="U700" i="1"/>
  <c r="U702" i="1"/>
  <c r="AB700" i="1"/>
  <c r="AB702" i="1"/>
  <c r="AF702" i="1"/>
  <c r="W702" i="1"/>
  <c r="W700" i="1"/>
  <c r="AA701" i="1" s="1"/>
  <c r="AA751" i="1"/>
  <c r="K747" i="1"/>
  <c r="AC700" i="1"/>
  <c r="AC702" i="1"/>
  <c r="AG702" i="1"/>
  <c r="V701" i="1"/>
  <c r="V751" i="1"/>
  <c r="Z751" i="1"/>
  <c r="Z701" i="1"/>
  <c r="X700" i="1"/>
  <c r="X702" i="1"/>
  <c r="O747" i="1"/>
  <c r="Y700" i="1"/>
  <c r="Y702" i="1"/>
  <c r="AE702" i="1"/>
  <c r="AE700" i="1"/>
  <c r="AI702" i="1"/>
  <c r="T702" i="1"/>
  <c r="T751" i="1"/>
  <c r="T701" i="1"/>
  <c r="BJ916" i="1"/>
  <c r="BJ915" i="1" s="1"/>
  <c r="O914" i="1"/>
  <c r="AF925" i="1"/>
  <c r="AE906" i="1"/>
  <c r="BK912" i="1"/>
  <c r="BK914" i="1"/>
  <c r="BK916" i="1" s="1"/>
  <c r="BK915" i="1" s="1"/>
  <c r="Z906" i="1"/>
  <c r="AF914" i="1"/>
  <c r="AA906" i="1"/>
  <c r="Y912" i="1"/>
  <c r="U906" i="1"/>
  <c r="AK912" i="1"/>
  <c r="AG906" i="1"/>
  <c r="AF912" i="1"/>
  <c r="AB906" i="1"/>
  <c r="X912" i="1"/>
  <c r="X906" i="1"/>
  <c r="W906" i="1"/>
  <c r="V912" i="1"/>
  <c r="V906" i="1"/>
  <c r="AN912" i="1"/>
  <c r="AJ906" i="1"/>
  <c r="AK906" i="1"/>
  <c r="AC906" i="1"/>
  <c r="AM912" i="1"/>
  <c r="AI906" i="1"/>
  <c r="Y906" i="1"/>
  <c r="AH906" i="1"/>
  <c r="AF906" i="1"/>
  <c r="BJ744" i="1"/>
  <c r="BO215" i="1"/>
  <c r="BO702" i="1"/>
  <c r="BI1309" i="1"/>
  <c r="BJ1309" i="1"/>
  <c r="BJ748" i="1"/>
  <c r="BJ755" i="1" s="1"/>
  <c r="S755" i="1"/>
  <c r="X1309" i="1"/>
  <c r="BN1309" i="1"/>
  <c r="BK744" i="1"/>
  <c r="AB744" i="1"/>
  <c r="AB748" i="1"/>
  <c r="AI744" i="1"/>
  <c r="AI748" i="1"/>
  <c r="AJ756" i="1"/>
  <c r="AJ764" i="1" s="1"/>
  <c r="BN749" i="1"/>
  <c r="BN756" i="1" s="1"/>
  <c r="BN764" i="1" s="1"/>
  <c r="AH756" i="1"/>
  <c r="AH764" i="1" s="1"/>
  <c r="AH747" i="1"/>
  <c r="AL747" i="1"/>
  <c r="AL756" i="1"/>
  <c r="AP749" i="1"/>
  <c r="AA755" i="1"/>
  <c r="BL748" i="1"/>
  <c r="BL755" i="1" s="1"/>
  <c r="W755" i="1"/>
  <c r="BI755" i="1"/>
  <c r="BI744" i="1"/>
  <c r="AE755" i="1"/>
  <c r="AN749" i="1"/>
  <c r="AJ747" i="1"/>
  <c r="AQ865" i="1"/>
  <c r="AM749" i="1"/>
  <c r="BN743" i="1"/>
  <c r="BO744" i="1" s="1"/>
  <c r="W385" i="1"/>
  <c r="BI963" i="1"/>
  <c r="BI989" i="1" s="1"/>
  <c r="AM744" i="1"/>
  <c r="BJ963" i="1"/>
  <c r="BJ989" i="1" s="1"/>
  <c r="BK963" i="1"/>
  <c r="BK983" i="1" s="1"/>
  <c r="BJ384" i="1"/>
  <c r="BK385" i="1" s="1"/>
  <c r="BM743" i="1"/>
  <c r="BM744" i="1" s="1"/>
  <c r="AF744" i="1"/>
  <c r="BL744" i="1"/>
  <c r="BN970" i="1"/>
  <c r="BN972" i="1"/>
  <c r="BH963" i="1"/>
  <c r="BN968" i="1"/>
  <c r="BO968" i="1"/>
  <c r="BJ970" i="1"/>
  <c r="BK970" i="1"/>
  <c r="BM963" i="1"/>
  <c r="BN976" i="1" s="1"/>
  <c r="BL963" i="1"/>
  <c r="BN989" i="1"/>
  <c r="BN981" i="1"/>
  <c r="BN985" i="1"/>
  <c r="BN983" i="1"/>
  <c r="AH58" i="28"/>
  <c r="AJ58" i="28" s="1"/>
  <c r="BJ423" i="1"/>
  <c r="BJ424" i="1" s="1"/>
  <c r="BO729" i="1"/>
  <c r="BO218" i="1" s="1"/>
  <c r="W424" i="1"/>
  <c r="S424" i="1"/>
  <c r="T163" i="1"/>
  <c r="BN674" i="1"/>
  <c r="AP674" i="1"/>
  <c r="BL385" i="1"/>
  <c r="X163" i="1"/>
  <c r="AC163" i="1"/>
  <c r="Y163" i="1"/>
  <c r="AA163" i="1"/>
  <c r="W163" i="1"/>
  <c r="BL386" i="1"/>
  <c r="Y985" i="1"/>
  <c r="Y976" i="1"/>
  <c r="Y983" i="1"/>
  <c r="Y989" i="1"/>
  <c r="Y981" i="1"/>
  <c r="AE989" i="1"/>
  <c r="AE976" i="1"/>
  <c r="AI976" i="1"/>
  <c r="Z976" i="1"/>
  <c r="Z985" i="1"/>
  <c r="Z989" i="1"/>
  <c r="Z983" i="1"/>
  <c r="Z981" i="1"/>
  <c r="AC976" i="1"/>
  <c r="AC989" i="1"/>
  <c r="AC981" i="1"/>
  <c r="AC983" i="1"/>
  <c r="AC985" i="1"/>
  <c r="U976" i="1"/>
  <c r="U989" i="1"/>
  <c r="U983" i="1"/>
  <c r="U985" i="1"/>
  <c r="U981" i="1"/>
  <c r="T976" i="1"/>
  <c r="T983" i="1"/>
  <c r="T989" i="1"/>
  <c r="T985" i="1"/>
  <c r="T981" i="1"/>
  <c r="AA976" i="1"/>
  <c r="AA989" i="1"/>
  <c r="AA981" i="1"/>
  <c r="AA985" i="1"/>
  <c r="AA983" i="1"/>
  <c r="X976" i="1"/>
  <c r="X989" i="1"/>
  <c r="X985" i="1"/>
  <c r="X983" i="1"/>
  <c r="X981" i="1"/>
  <c r="AE970" i="1"/>
  <c r="AE983" i="1"/>
  <c r="AE384" i="1"/>
  <c r="AE214" i="1"/>
  <c r="W976" i="1"/>
  <c r="W989" i="1"/>
  <c r="W983" i="1"/>
  <c r="W985" i="1"/>
  <c r="W981" i="1"/>
  <c r="AB163" i="1"/>
  <c r="AD163" i="1"/>
  <c r="Z214" i="1"/>
  <c r="Z215" i="1" s="1"/>
  <c r="AE163" i="1"/>
  <c r="AI337" i="1"/>
  <c r="BN384" i="1"/>
  <c r="BO386" i="1" s="1"/>
  <c r="AM385" i="1"/>
  <c r="AB976" i="1"/>
  <c r="AI970" i="1"/>
  <c r="AA214" i="1"/>
  <c r="AA215" i="1" s="1"/>
  <c r="AE981" i="1"/>
  <c r="AG976" i="1"/>
  <c r="AJ424" i="1"/>
  <c r="BO911" i="1"/>
  <c r="AY1267" i="1"/>
  <c r="AY1268" i="1" s="1"/>
  <c r="AY188" i="1"/>
  <c r="AU1267" i="1"/>
  <c r="AU1268" i="1" s="1"/>
  <c r="AU188" i="1"/>
  <c r="AS1267" i="1"/>
  <c r="AS188" i="1"/>
  <c r="D1267" i="1"/>
  <c r="D1268" i="1" s="1"/>
  <c r="D188" i="1"/>
  <c r="C8" i="523"/>
  <c r="C30" i="523" s="1"/>
  <c r="BH156" i="1"/>
  <c r="AW1267" i="1"/>
  <c r="AW1268" i="1" s="1"/>
  <c r="AW188" i="1"/>
  <c r="AZ1267" i="1"/>
  <c r="AZ1268" i="1" s="1"/>
  <c r="AZ188" i="1"/>
  <c r="D8" i="523"/>
  <c r="E9" i="523" s="1"/>
  <c r="BI156" i="1"/>
  <c r="AX1267" i="1"/>
  <c r="AX1268" i="1" s="1"/>
  <c r="AX188" i="1"/>
  <c r="R894" i="1"/>
  <c r="W1267" i="1"/>
  <c r="AA1269" i="1" s="1"/>
  <c r="W188" i="1"/>
  <c r="H8" i="523"/>
  <c r="H30" i="523" s="1"/>
  <c r="BM156" i="1"/>
  <c r="BM214" i="1" s="1"/>
  <c r="AE25" i="1"/>
  <c r="AE178" i="1"/>
  <c r="F8" i="523"/>
  <c r="F43" i="523" s="1"/>
  <c r="BK156" i="1"/>
  <c r="AF1268" i="1"/>
  <c r="AF424" i="1"/>
  <c r="G8" i="523"/>
  <c r="G30" i="523" s="1"/>
  <c r="BL156" i="1"/>
  <c r="AC214" i="1"/>
  <c r="AC215" i="1" s="1"/>
  <c r="AG195" i="1"/>
  <c r="I8" i="523"/>
  <c r="I30" i="523" s="1"/>
  <c r="BN156" i="1"/>
  <c r="AC1268" i="1"/>
  <c r="H9" i="525"/>
  <c r="H13" i="525" s="1"/>
  <c r="AJ20" i="468"/>
  <c r="AJ101" i="468"/>
  <c r="AN59" i="468"/>
  <c r="G51" i="504"/>
  <c r="AJ34" i="468"/>
  <c r="AJ39" i="468" s="1"/>
  <c r="AF531" i="1"/>
  <c r="Y877" i="1"/>
  <c r="H42" i="503"/>
  <c r="G42" i="504"/>
  <c r="AJ36" i="468"/>
  <c r="AJ41" i="468" s="1"/>
  <c r="G51" i="503"/>
  <c r="I42" i="504"/>
  <c r="D51" i="504"/>
  <c r="F51" i="504"/>
  <c r="S174" i="520"/>
  <c r="S174" i="521"/>
  <c r="I42" i="503"/>
  <c r="D51" i="503"/>
  <c r="N174" i="521"/>
  <c r="N174" i="520"/>
  <c r="H42" i="504"/>
  <c r="G42" i="503"/>
  <c r="E51" i="503"/>
  <c r="I51" i="504"/>
  <c r="H51" i="504"/>
  <c r="E51" i="504"/>
  <c r="I51" i="503"/>
  <c r="H51" i="503"/>
  <c r="F51" i="503"/>
  <c r="AF880" i="1"/>
  <c r="AM536" i="1"/>
  <c r="AM668" i="1"/>
  <c r="E43" i="525"/>
  <c r="I44" i="525" s="1"/>
  <c r="U880" i="1"/>
  <c r="U894" i="1" s="1"/>
  <c r="R49" i="525"/>
  <c r="V56" i="525" s="1"/>
  <c r="V40" i="525"/>
  <c r="F50" i="525"/>
  <c r="F55" i="525"/>
  <c r="C50" i="525"/>
  <c r="G55" i="525"/>
  <c r="E51" i="525"/>
  <c r="I58" i="525" s="1"/>
  <c r="I17" i="525"/>
  <c r="E48" i="525"/>
  <c r="I32" i="525"/>
  <c r="L48" i="525"/>
  <c r="T9" i="525"/>
  <c r="T13" i="525" s="1"/>
  <c r="G9" i="525"/>
  <c r="G13" i="525" s="1"/>
  <c r="H28" i="525"/>
  <c r="L23" i="525"/>
  <c r="L28" i="525" s="1"/>
  <c r="U40" i="525"/>
  <c r="Q49" i="525"/>
  <c r="H56" i="525"/>
  <c r="F12" i="525"/>
  <c r="L8" i="525"/>
  <c r="L12" i="525" s="1"/>
  <c r="Q891" i="1"/>
  <c r="AJ517" i="1"/>
  <c r="AJ525" i="1" s="1"/>
  <c r="AJ533" i="1" s="1"/>
  <c r="F9" i="525"/>
  <c r="AG880" i="1"/>
  <c r="K31" i="525"/>
  <c r="K48" i="525" s="1"/>
  <c r="B49" i="525"/>
  <c r="F56" i="525" s="1"/>
  <c r="B43" i="525"/>
  <c r="F44" i="525" s="1"/>
  <c r="K39" i="525"/>
  <c r="AJ880" i="1"/>
  <c r="D48" i="525"/>
  <c r="H55" i="525" s="1"/>
  <c r="H32" i="525"/>
  <c r="O49" i="525"/>
  <c r="B51" i="525"/>
  <c r="K16" i="525"/>
  <c r="F17" i="525"/>
  <c r="AM897" i="1"/>
  <c r="C51" i="525"/>
  <c r="G58" i="525" s="1"/>
  <c r="G17" i="525"/>
  <c r="BL880" i="1"/>
  <c r="AG897" i="1"/>
  <c r="AJ49" i="468"/>
  <c r="AJ61" i="468"/>
  <c r="AF897" i="1"/>
  <c r="AJ50" i="468"/>
  <c r="U897" i="1"/>
  <c r="T897" i="1"/>
  <c r="AE877" i="1"/>
  <c r="BI880" i="1"/>
  <c r="AI897" i="1"/>
  <c r="Z897" i="1"/>
  <c r="X897" i="1"/>
  <c r="AD897" i="1"/>
  <c r="Y897" i="1"/>
  <c r="AF877" i="1"/>
  <c r="AE897" i="1"/>
  <c r="V897" i="1"/>
  <c r="AC897" i="1"/>
  <c r="O877" i="1"/>
  <c r="AB897" i="1"/>
  <c r="Q894" i="1"/>
  <c r="AL897" i="1"/>
  <c r="AH897" i="1"/>
  <c r="AJ897" i="1"/>
  <c r="X880" i="1"/>
  <c r="AA877" i="1"/>
  <c r="BM880" i="1"/>
  <c r="BN883" i="1"/>
  <c r="BN869" i="1"/>
  <c r="BN880" i="1" s="1"/>
  <c r="AI880" i="1"/>
  <c r="AM880" i="1"/>
  <c r="AE880" i="1"/>
  <c r="AH880" i="1"/>
  <c r="AL880" i="1"/>
  <c r="Z880" i="1"/>
  <c r="W883" i="1"/>
  <c r="AA897" i="1" s="1"/>
  <c r="S869" i="1"/>
  <c r="BL883" i="1"/>
  <c r="BM883" i="1"/>
  <c r="BI883" i="1"/>
  <c r="S883" i="1"/>
  <c r="BJ868" i="1"/>
  <c r="BJ869" i="1" s="1"/>
  <c r="BJ880" i="1" s="1"/>
  <c r="AM59" i="468"/>
  <c r="AM34" i="468"/>
  <c r="AN39" i="468" s="1"/>
  <c r="BM1341" i="1"/>
  <c r="BN1347" i="1" s="1"/>
  <c r="AP515" i="1"/>
  <c r="U9" i="525"/>
  <c r="U13" i="525" s="1"/>
  <c r="AM515" i="1"/>
  <c r="AF527" i="1"/>
  <c r="AK402" i="1"/>
  <c r="AO410" i="1" s="1"/>
  <c r="AO394" i="1"/>
  <c r="AJ402" i="1"/>
  <c r="AN410" i="1" s="1"/>
  <c r="AN515" i="1"/>
  <c r="AN517" i="1" s="1"/>
  <c r="S9" i="525"/>
  <c r="AQ518" i="1"/>
  <c r="AM394" i="1"/>
  <c r="AM40" i="468"/>
  <c r="AH882" i="1"/>
  <c r="AH896" i="1" s="1"/>
  <c r="AI882" i="1"/>
  <c r="AM896" i="1" s="1"/>
  <c r="AM36" i="468"/>
  <c r="AN41" i="468" s="1"/>
  <c r="AL101" i="468"/>
  <c r="BY99" i="468"/>
  <c r="AL34" i="468"/>
  <c r="AM655" i="1"/>
  <c r="AM663" i="1" s="1"/>
  <c r="AM51" i="468"/>
  <c r="AM49" i="468"/>
  <c r="AM61" i="468"/>
  <c r="AL59" i="468"/>
  <c r="AL36" i="468"/>
  <c r="AL40" i="468"/>
  <c r="AU10" i="468"/>
  <c r="AU15" i="468" s="1"/>
  <c r="BX98" i="468"/>
  <c r="BX109" i="468" s="1"/>
  <c r="AD659" i="1"/>
  <c r="AD667" i="1" s="1"/>
  <c r="AM101" i="468"/>
  <c r="AK684" i="1"/>
  <c r="AK692" i="1" s="1"/>
  <c r="AO674" i="1"/>
  <c r="AM682" i="1"/>
  <c r="AQ672" i="1"/>
  <c r="AJ684" i="1"/>
  <c r="AJ692" i="1" s="1"/>
  <c r="AN674" i="1"/>
  <c r="AL655" i="1"/>
  <c r="AL663" i="1" s="1"/>
  <c r="BM1345" i="1"/>
  <c r="AH647" i="1"/>
  <c r="AH672" i="1"/>
  <c r="AL684" i="1"/>
  <c r="AL692" i="1" s="1"/>
  <c r="AQ648" i="1"/>
  <c r="AM674" i="1"/>
  <c r="BL1341" i="1"/>
  <c r="BX45" i="468"/>
  <c r="BX61" i="468" s="1"/>
  <c r="AT10" i="468"/>
  <c r="AT15" i="468" s="1"/>
  <c r="AM647" i="1"/>
  <c r="AM657" i="1" s="1"/>
  <c r="AL646" i="1"/>
  <c r="D106" i="3"/>
  <c r="E106" i="3" s="1"/>
  <c r="AP46" i="298"/>
  <c r="M178" i="519"/>
  <c r="M203" i="519"/>
  <c r="M205" i="519" s="1"/>
  <c r="H77" i="523"/>
  <c r="BM1271" i="1"/>
  <c r="F77" i="523"/>
  <c r="BK1271" i="1"/>
  <c r="I77" i="523"/>
  <c r="BN1271" i="1"/>
  <c r="G77" i="523"/>
  <c r="BL1271" i="1"/>
  <c r="M178" i="520"/>
  <c r="M14" i="520"/>
  <c r="M15" i="520" s="1"/>
  <c r="M203" i="520"/>
  <c r="M205" i="520" s="1"/>
  <c r="M203" i="521"/>
  <c r="M205" i="521" s="1"/>
  <c r="M14" i="521"/>
  <c r="M15" i="521" s="1"/>
  <c r="M178" i="521"/>
  <c r="AP69" i="298"/>
  <c r="AP74" i="298" s="1"/>
  <c r="BL1265" i="1"/>
  <c r="BM1266" i="1" s="1"/>
  <c r="AD117" i="1"/>
  <c r="AD124" i="1" s="1"/>
  <c r="BO514" i="1"/>
  <c r="BO523" i="1" s="1"/>
  <c r="G109" i="503"/>
  <c r="G108" i="198"/>
  <c r="G109" i="523"/>
  <c r="L137" i="523"/>
  <c r="AI536" i="1"/>
  <c r="AE1269" i="1"/>
  <c r="AE1268" i="1"/>
  <c r="AE1085" i="1"/>
  <c r="AE1087" i="1" s="1"/>
  <c r="AE1095" i="1" s="1"/>
  <c r="AE1112" i="1"/>
  <c r="AE1114" i="1"/>
  <c r="AC94" i="1"/>
  <c r="AA55" i="523"/>
  <c r="BH1266" i="1"/>
  <c r="C123" i="198" s="1"/>
  <c r="BG1266" i="1"/>
  <c r="AT81" i="1"/>
  <c r="AT83" i="1" s="1"/>
  <c r="AT1267" i="1"/>
  <c r="C123" i="504"/>
  <c r="E110" i="503"/>
  <c r="E123" i="503"/>
  <c r="G120" i="503"/>
  <c r="G120" i="504"/>
  <c r="G123" i="504" s="1"/>
  <c r="AV53" i="1"/>
  <c r="AV1267" i="1"/>
  <c r="AV1268" i="1" s="1"/>
  <c r="AD1269" i="1"/>
  <c r="H120" i="503"/>
  <c r="BM1267" i="1"/>
  <c r="H13" i="523"/>
  <c r="F120" i="504"/>
  <c r="E110" i="504"/>
  <c r="E123" i="504"/>
  <c r="K152" i="523"/>
  <c r="Q65" i="1"/>
  <c r="M1267" i="1"/>
  <c r="BA53" i="1"/>
  <c r="BA1267" i="1"/>
  <c r="BA1268" i="1" s="1"/>
  <c r="BE53" i="1"/>
  <c r="BE1267" i="1"/>
  <c r="BE1268" i="1" s="1"/>
  <c r="I109" i="503"/>
  <c r="I123" i="503" s="1"/>
  <c r="J124" i="503" s="1"/>
  <c r="I109" i="504"/>
  <c r="I123" i="504" s="1"/>
  <c r="J124" i="504" s="1"/>
  <c r="I109" i="523"/>
  <c r="I108" i="198"/>
  <c r="E110" i="523"/>
  <c r="E123" i="523"/>
  <c r="K160" i="523"/>
  <c r="J81" i="1"/>
  <c r="J83" i="1" s="1"/>
  <c r="J1267" i="1"/>
  <c r="BN1265" i="1"/>
  <c r="BO1266" i="1" s="1"/>
  <c r="C123" i="503"/>
  <c r="AA64" i="523"/>
  <c r="H109" i="503"/>
  <c r="H108" i="198"/>
  <c r="H109" i="504"/>
  <c r="H109" i="523"/>
  <c r="F109" i="504"/>
  <c r="F108" i="198"/>
  <c r="F109" i="523"/>
  <c r="F109" i="503"/>
  <c r="F123" i="503" s="1"/>
  <c r="G120" i="523"/>
  <c r="AH1267" i="1"/>
  <c r="AH1269" i="1" s="1"/>
  <c r="F120" i="523"/>
  <c r="C123" i="523"/>
  <c r="H120" i="504"/>
  <c r="AB55" i="523"/>
  <c r="AF1269" i="1"/>
  <c r="T1266" i="1"/>
  <c r="AI1269" i="1"/>
  <c r="X41" i="522"/>
  <c r="X42" i="522" s="1"/>
  <c r="BK1266" i="1"/>
  <c r="X37" i="522"/>
  <c r="AA31" i="522"/>
  <c r="AA37" i="522"/>
  <c r="AA59" i="522"/>
  <c r="AA73" i="522" s="1"/>
  <c r="AA74" i="522" s="1"/>
  <c r="BO854" i="1"/>
  <c r="BO855" i="1" s="1"/>
  <c r="X31" i="522"/>
  <c r="BO427" i="1"/>
  <c r="BO428" i="1" s="1"/>
  <c r="S211" i="519"/>
  <c r="H67" i="503"/>
  <c r="H68" i="504"/>
  <c r="G8" i="504"/>
  <c r="G110" i="504" s="1"/>
  <c r="G8" i="503"/>
  <c r="G121" i="503" s="1"/>
  <c r="BO429" i="1"/>
  <c r="G77" i="503"/>
  <c r="G77" i="504"/>
  <c r="G95" i="292"/>
  <c r="G92" i="292" s="1"/>
  <c r="G75" i="504"/>
  <c r="G75" i="503"/>
  <c r="AJ912" i="1"/>
  <c r="BO905" i="1"/>
  <c r="H97" i="292"/>
  <c r="H77" i="503"/>
  <c r="H77" i="504"/>
  <c r="F8" i="504"/>
  <c r="F121" i="504" s="1"/>
  <c r="F8" i="503"/>
  <c r="F121" i="503" s="1"/>
  <c r="F77" i="503"/>
  <c r="F77" i="504"/>
  <c r="E68" i="504"/>
  <c r="E52" i="504"/>
  <c r="E68" i="503"/>
  <c r="E52" i="503"/>
  <c r="I68" i="503"/>
  <c r="H8" i="504"/>
  <c r="H121" i="504" s="1"/>
  <c r="H8" i="503"/>
  <c r="H121" i="503" s="1"/>
  <c r="I68" i="504"/>
  <c r="AG47" i="28"/>
  <c r="AG81" i="28" s="1"/>
  <c r="E75" i="504"/>
  <c r="E75" i="503"/>
  <c r="AM893" i="1"/>
  <c r="C8" i="504"/>
  <c r="C121" i="504" s="1"/>
  <c r="C8" i="503"/>
  <c r="C121" i="503" s="1"/>
  <c r="AJ1077" i="1"/>
  <c r="F68" i="504"/>
  <c r="D95" i="292"/>
  <c r="D92" i="292" s="1"/>
  <c r="D75" i="504"/>
  <c r="D75" i="503"/>
  <c r="AM430" i="1"/>
  <c r="AM432" i="1"/>
  <c r="D68" i="504"/>
  <c r="F68" i="503"/>
  <c r="D68" i="503"/>
  <c r="C95" i="292"/>
  <c r="C92" i="292" s="1"/>
  <c r="C75" i="504"/>
  <c r="C75" i="503"/>
  <c r="BN62" i="1"/>
  <c r="H13" i="503"/>
  <c r="H126" i="503" s="1"/>
  <c r="H13" i="504"/>
  <c r="H126" i="504" s="1"/>
  <c r="I77" i="503"/>
  <c r="I77" i="504"/>
  <c r="C68" i="504"/>
  <c r="I8" i="504"/>
  <c r="I121" i="504" s="1"/>
  <c r="I8" i="503"/>
  <c r="I121" i="503" s="1"/>
  <c r="C68" i="503"/>
  <c r="AM614" i="1"/>
  <c r="D8" i="504"/>
  <c r="D8" i="503"/>
  <c r="G68" i="503"/>
  <c r="G67" i="503"/>
  <c r="AM612" i="1"/>
  <c r="I75" i="503"/>
  <c r="I75" i="504"/>
  <c r="H95" i="292"/>
  <c r="H92" i="292" s="1"/>
  <c r="H75" i="504"/>
  <c r="H75" i="503"/>
  <c r="G68" i="504"/>
  <c r="G67" i="504"/>
  <c r="AH47" i="28"/>
  <c r="AH81" i="28" s="1"/>
  <c r="AN81" i="28" s="1"/>
  <c r="F75" i="504"/>
  <c r="F75" i="503"/>
  <c r="F67" i="503"/>
  <c r="I67" i="503"/>
  <c r="F67" i="504"/>
  <c r="I67" i="504"/>
  <c r="H67" i="504"/>
  <c r="H68" i="503"/>
  <c r="AQ514" i="1"/>
  <c r="O73" i="522"/>
  <c r="O74" i="522" s="1"/>
  <c r="W69" i="522"/>
  <c r="O69" i="522"/>
  <c r="W63" i="522"/>
  <c r="AB94" i="1"/>
  <c r="AD94" i="1"/>
  <c r="Q54" i="519"/>
  <c r="Q52" i="519"/>
  <c r="BE20" i="1"/>
  <c r="R209" i="519"/>
  <c r="R210" i="519"/>
  <c r="Q209" i="519"/>
  <c r="Q210" i="519"/>
  <c r="Q211" i="519"/>
  <c r="S209" i="519"/>
  <c r="S210" i="519"/>
  <c r="R211" i="519"/>
  <c r="T209" i="519"/>
  <c r="T210" i="519"/>
  <c r="T211" i="519"/>
  <c r="T35" i="519"/>
  <c r="N722" i="298"/>
  <c r="BD20" i="1"/>
  <c r="U8" i="267"/>
  <c r="Q13" i="267"/>
  <c r="Q16" i="267" s="1"/>
  <c r="Q18" i="267" s="1"/>
  <c r="P20" i="313"/>
  <c r="T21" i="313" s="1"/>
  <c r="AJ1362" i="1"/>
  <c r="AG1366" i="1"/>
  <c r="AF93" i="1"/>
  <c r="AC96" i="1"/>
  <c r="BI102" i="1"/>
  <c r="BH1202" i="1"/>
  <c r="H8" i="292"/>
  <c r="H45" i="292" s="1"/>
  <c r="F8" i="292"/>
  <c r="F13" i="292" s="1"/>
  <c r="BN45" i="1"/>
  <c r="BL45" i="1"/>
  <c r="AA96" i="1"/>
  <c r="AB96" i="1"/>
  <c r="BG47" i="1"/>
  <c r="AD96" i="1"/>
  <c r="AF47" i="28"/>
  <c r="AF81" i="28" s="1"/>
  <c r="F63" i="3"/>
  <c r="BR50" i="1"/>
  <c r="BS13" i="1"/>
  <c r="H73" i="522"/>
  <c r="H74" i="522" s="1"/>
  <c r="H63" i="522"/>
  <c r="H69" i="522"/>
  <c r="J73" i="522"/>
  <c r="J74" i="522" s="1"/>
  <c r="J63" i="522"/>
  <c r="J69" i="522"/>
  <c r="G73" i="522"/>
  <c r="G74" i="522" s="1"/>
  <c r="G63" i="522"/>
  <c r="G69" i="522"/>
  <c r="BJ1202" i="1"/>
  <c r="W23" i="522"/>
  <c r="W55" i="522" s="1"/>
  <c r="Y59" i="522"/>
  <c r="Y41" i="522"/>
  <c r="Y42" i="522" s="1"/>
  <c r="Y37" i="522"/>
  <c r="Y31" i="522"/>
  <c r="U551" i="298"/>
  <c r="U557" i="298" s="1"/>
  <c r="U560" i="298" s="1"/>
  <c r="X73" i="522"/>
  <c r="X74" i="522" s="1"/>
  <c r="X63" i="522"/>
  <c r="X69" i="522"/>
  <c r="I73" i="522"/>
  <c r="I74" i="522" s="1"/>
  <c r="I63" i="522"/>
  <c r="I69" i="522"/>
  <c r="G41" i="292"/>
  <c r="G82" i="292" s="1"/>
  <c r="Z59" i="522"/>
  <c r="Z41" i="522"/>
  <c r="Z42" i="522" s="1"/>
  <c r="Z37" i="522"/>
  <c r="Z31" i="522"/>
  <c r="R33" i="519"/>
  <c r="K73" i="522"/>
  <c r="K74" i="522" s="1"/>
  <c r="K63" i="522"/>
  <c r="K69" i="522"/>
  <c r="AH72" i="1"/>
  <c r="AH73" i="1" s="1"/>
  <c r="AH116" i="1" s="1"/>
  <c r="AD106" i="1"/>
  <c r="AE59" i="1"/>
  <c r="AE60" i="1" s="1"/>
  <c r="BM828" i="1"/>
  <c r="BM276" i="1" s="1"/>
  <c r="BM271" i="1"/>
  <c r="BK828" i="1"/>
  <c r="BK276" i="1" s="1"/>
  <c r="BK271" i="1"/>
  <c r="BJ434" i="1"/>
  <c r="BJ269" i="1"/>
  <c r="BI828" i="1"/>
  <c r="BI276" i="1" s="1"/>
  <c r="BI271" i="1"/>
  <c r="AH613" i="1"/>
  <c r="AG924" i="1"/>
  <c r="AJ924" i="1"/>
  <c r="AB924" i="1"/>
  <c r="AE722" i="298"/>
  <c r="BW54" i="468"/>
  <c r="BX54" i="468"/>
  <c r="AT79" i="298"/>
  <c r="AL614" i="1"/>
  <c r="AO69" i="298"/>
  <c r="AH912" i="1"/>
  <c r="AL912" i="1"/>
  <c r="BP867" i="1"/>
  <c r="X8" i="267"/>
  <c r="AO72" i="359"/>
  <c r="AR60" i="359"/>
  <c r="AR142" i="359" s="1"/>
  <c r="Q205" i="519"/>
  <c r="AG1369" i="1"/>
  <c r="AG25" i="1"/>
  <c r="AF306" i="1"/>
  <c r="AF25" i="1"/>
  <c r="AL517" i="1"/>
  <c r="AL525" i="1" s="1"/>
  <c r="AL533" i="1" s="1"/>
  <c r="AP514" i="1"/>
  <c r="AL433" i="1"/>
  <c r="AL435" i="1"/>
  <c r="AL668" i="1"/>
  <c r="AL612" i="1"/>
  <c r="AL889" i="1"/>
  <c r="AP889" i="1"/>
  <c r="AL488" i="1"/>
  <c r="S205" i="519"/>
  <c r="BO648" i="1"/>
  <c r="BO658" i="1" s="1"/>
  <c r="BO666" i="1" s="1"/>
  <c r="AP648" i="1"/>
  <c r="AO805" i="1"/>
  <c r="AO878" i="1"/>
  <c r="BO864" i="1"/>
  <c r="BO875" i="1" s="1"/>
  <c r="BO889" i="1" s="1"/>
  <c r="AP864" i="1"/>
  <c r="BP864" i="1" s="1"/>
  <c r="AK517" i="1"/>
  <c r="AK519" i="1" s="1"/>
  <c r="AK395" i="1" s="1"/>
  <c r="AO515" i="1"/>
  <c r="BO865" i="1"/>
  <c r="BO876" i="1" s="1"/>
  <c r="BO890" i="1" s="1"/>
  <c r="AP865" i="1"/>
  <c r="AM137" i="359"/>
  <c r="AQ60" i="359"/>
  <c r="AQ142" i="359" s="1"/>
  <c r="T205" i="519"/>
  <c r="R205" i="519"/>
  <c r="Q58" i="519"/>
  <c r="Q59" i="519"/>
  <c r="T79" i="519"/>
  <c r="S78" i="519"/>
  <c r="S64" i="519" s="1"/>
  <c r="R24" i="298"/>
  <c r="L722" i="298"/>
  <c r="AY366" i="298"/>
  <c r="O722" i="298"/>
  <c r="BA133" i="298"/>
  <c r="BA14" i="298" s="1"/>
  <c r="BA177" i="298" s="1"/>
  <c r="BB357" i="298"/>
  <c r="AH893" i="1"/>
  <c r="BD721" i="298"/>
  <c r="AE70" i="298"/>
  <c r="G69" i="298"/>
  <c r="G71" i="298" s="1"/>
  <c r="F69" i="298"/>
  <c r="F71" i="298" s="1"/>
  <c r="BB358" i="298"/>
  <c r="F60" i="298"/>
  <c r="F61" i="298" s="1"/>
  <c r="F86" i="298" s="1"/>
  <c r="S186" i="298"/>
  <c r="W186" i="298"/>
  <c r="U24" i="298"/>
  <c r="BE721" i="298"/>
  <c r="BU54" i="468"/>
  <c r="AA74" i="298"/>
  <c r="AD109" i="298" s="1"/>
  <c r="AF412" i="298"/>
  <c r="AF356" i="298" s="1"/>
  <c r="AF357" i="298" s="1"/>
  <c r="G60" i="298"/>
  <c r="G61" i="298" s="1"/>
  <c r="G86" i="298" s="1"/>
  <c r="J45" i="298"/>
  <c r="AI893" i="1"/>
  <c r="AP45" i="298"/>
  <c r="AP51" i="298" s="1"/>
  <c r="AE9" i="267"/>
  <c r="W11" i="313" s="1"/>
  <c r="Q43" i="28"/>
  <c r="Q28" i="28"/>
  <c r="T43" i="28"/>
  <c r="U44" i="28" s="1"/>
  <c r="S551" i="298"/>
  <c r="S557" i="298" s="1"/>
  <c r="S560" i="298" s="1"/>
  <c r="AO722" i="298"/>
  <c r="BZ54" i="468"/>
  <c r="BE720" i="298"/>
  <c r="AF722" i="298"/>
  <c r="AT330" i="298"/>
  <c r="CA56" i="468"/>
  <c r="AL45" i="298"/>
  <c r="CB56" i="468"/>
  <c r="AV330" i="298"/>
  <c r="K372" i="298"/>
  <c r="Z722" i="298"/>
  <c r="AF19" i="298"/>
  <c r="BD716" i="298"/>
  <c r="BE722" i="298" s="1"/>
  <c r="W9" i="267"/>
  <c r="Y896" i="1"/>
  <c r="AF1369" i="1"/>
  <c r="BN827" i="1"/>
  <c r="AG828" i="1"/>
  <c r="AG276" i="1" s="1"/>
  <c r="AB306" i="1"/>
  <c r="V9" i="267"/>
  <c r="V11" i="313" s="1"/>
  <c r="AB1369" i="1"/>
  <c r="R9" i="267"/>
  <c r="R11" i="313" s="1"/>
  <c r="S9" i="267"/>
  <c r="S11" i="313" s="1"/>
  <c r="AG306" i="1"/>
  <c r="AC1369" i="1"/>
  <c r="AC306" i="1"/>
  <c r="BG242" i="1"/>
  <c r="BG249" i="1" s="1"/>
  <c r="BD249" i="1"/>
  <c r="BH242" i="1"/>
  <c r="BH249" i="1" s="1"/>
  <c r="BE249" i="1"/>
  <c r="BC249" i="1"/>
  <c r="BN516" i="1"/>
  <c r="AD140" i="1"/>
  <c r="AC104" i="1"/>
  <c r="AC106" i="1" s="1"/>
  <c r="BH615" i="1"/>
  <c r="BH613" i="1"/>
  <c r="M810" i="1"/>
  <c r="BJ1085" i="1"/>
  <c r="BJ1087" i="1" s="1"/>
  <c r="BJ1095" i="1" s="1"/>
  <c r="F37" i="3"/>
  <c r="BD101" i="1"/>
  <c r="BG101" i="1" s="1"/>
  <c r="BG102" i="1"/>
  <c r="AV101" i="1"/>
  <c r="BN101" i="1"/>
  <c r="BL102" i="1"/>
  <c r="BL101" i="1"/>
  <c r="BJ102" i="1"/>
  <c r="BJ101" i="1"/>
  <c r="V26" i="1"/>
  <c r="BA101" i="1"/>
  <c r="BA102" i="1"/>
  <c r="BK102" i="1"/>
  <c r="BK101" i="1"/>
  <c r="BN102" i="1"/>
  <c r="BM102" i="1"/>
  <c r="BM101" i="1"/>
  <c r="AN39" i="28"/>
  <c r="AK39" i="28"/>
  <c r="AT101" i="1"/>
  <c r="AT102" i="1"/>
  <c r="AJ39" i="28"/>
  <c r="BH102" i="1"/>
  <c r="BH101" i="1"/>
  <c r="BI101" i="1"/>
  <c r="BE102" i="1"/>
  <c r="BE101" i="1"/>
  <c r="AJ1015" i="1"/>
  <c r="AZ101" i="1"/>
  <c r="AZ102" i="1"/>
  <c r="M1094" i="1"/>
  <c r="AG1347" i="1"/>
  <c r="AM39" i="28"/>
  <c r="BB101" i="1"/>
  <c r="BC101" i="1"/>
  <c r="BC102" i="1"/>
  <c r="AU101" i="1"/>
  <c r="AU102" i="1"/>
  <c r="V806" i="1"/>
  <c r="V815" i="1" s="1"/>
  <c r="Z817" i="1" s="1"/>
  <c r="Z40" i="1" s="1"/>
  <c r="AY101" i="1"/>
  <c r="AY102" i="1"/>
  <c r="AK424" i="1"/>
  <c r="V49" i="1"/>
  <c r="V188" i="1" s="1"/>
  <c r="BN523" i="1"/>
  <c r="AC531" i="1"/>
  <c r="V23" i="1"/>
  <c r="J109" i="1"/>
  <c r="AG424" i="1"/>
  <c r="BM523" i="1"/>
  <c r="S8" i="267"/>
  <c r="M320" i="1"/>
  <c r="AC20" i="1"/>
  <c r="AG531" i="1"/>
  <c r="AG912" i="1"/>
  <c r="M1104" i="1"/>
  <c r="M1111" i="1" s="1"/>
  <c r="M1114" i="1" s="1"/>
  <c r="V1104" i="1"/>
  <c r="V1111" i="1" s="1"/>
  <c r="V1114" i="1" s="1"/>
  <c r="AK668" i="1"/>
  <c r="AK613" i="1"/>
  <c r="AK615" i="1"/>
  <c r="AK430" i="1"/>
  <c r="AK432" i="1"/>
  <c r="G532" i="298"/>
  <c r="G534" i="298" s="1"/>
  <c r="G542" i="298" s="1"/>
  <c r="Y722" i="298"/>
  <c r="U42" i="28"/>
  <c r="AE310" i="298"/>
  <c r="AF76" i="298"/>
  <c r="AF80" i="298" s="1"/>
  <c r="AW335" i="298"/>
  <c r="AA541" i="298"/>
  <c r="AV344" i="298"/>
  <c r="AF71" i="298"/>
  <c r="AE55" i="468"/>
  <c r="AO60" i="298"/>
  <c r="AO61" i="298" s="1"/>
  <c r="AO86" i="298" s="1"/>
  <c r="AO92" i="298" s="1"/>
  <c r="AZ369" i="298"/>
  <c r="AZ372" i="298" s="1"/>
  <c r="AB1347" i="1"/>
  <c r="AC61" i="468"/>
  <c r="AH50" i="1"/>
  <c r="AH58" i="1" s="1"/>
  <c r="AV14" i="298"/>
  <c r="AY14" i="298" s="1"/>
  <c r="AS335" i="298"/>
  <c r="AS69" i="298"/>
  <c r="AS71" i="298" s="1"/>
  <c r="AR335" i="298"/>
  <c r="AS46" i="298"/>
  <c r="AS47" i="298"/>
  <c r="AC510" i="298"/>
  <c r="AR339" i="298"/>
  <c r="BC181" i="298"/>
  <c r="BC182" i="298" s="1"/>
  <c r="BC187" i="298" s="1"/>
  <c r="J79" i="298"/>
  <c r="AU19" i="298"/>
  <c r="BD133" i="298"/>
  <c r="BT54" i="468"/>
  <c r="K85" i="28"/>
  <c r="AS324" i="298"/>
  <c r="P320" i="1"/>
  <c r="AM722" i="298"/>
  <c r="AE143" i="359"/>
  <c r="AE144" i="359" s="1"/>
  <c r="V1347" i="1"/>
  <c r="AW324" i="298"/>
  <c r="X1347" i="1"/>
  <c r="CC56" i="468"/>
  <c r="AV324" i="298"/>
  <c r="V722" i="298"/>
  <c r="AS330" i="298"/>
  <c r="AR558" i="298"/>
  <c r="BZ56" i="468"/>
  <c r="H41" i="292"/>
  <c r="H82" i="292" s="1"/>
  <c r="AC722" i="298"/>
  <c r="BB44" i="298"/>
  <c r="BB69" i="298" s="1"/>
  <c r="P1085" i="1"/>
  <c r="P1087" i="1" s="1"/>
  <c r="R22" i="298"/>
  <c r="I85" i="28"/>
  <c r="AN85" i="28" s="1"/>
  <c r="Q46" i="28"/>
  <c r="M20" i="1"/>
  <c r="Q80" i="28"/>
  <c r="E28" i="28"/>
  <c r="V22" i="298"/>
  <c r="N19" i="298"/>
  <c r="AA722" i="298"/>
  <c r="AS722" i="298"/>
  <c r="AY524" i="298"/>
  <c r="BI613" i="1"/>
  <c r="AB19" i="298"/>
  <c r="Q722" i="298"/>
  <c r="AC545" i="298"/>
  <c r="AC548" i="298" s="1"/>
  <c r="Q40" i="1"/>
  <c r="BB551" i="298"/>
  <c r="BB557" i="298" s="1"/>
  <c r="AR330" i="298"/>
  <c r="F532" i="298"/>
  <c r="F534" i="298" s="1"/>
  <c r="F542" i="298" s="1"/>
  <c r="AW330" i="298"/>
  <c r="AC519" i="298"/>
  <c r="AC21" i="298" s="1"/>
  <c r="AP47" i="298"/>
  <c r="I79" i="28"/>
  <c r="AR324" i="298"/>
  <c r="BB719" i="298"/>
  <c r="R186" i="298"/>
  <c r="AF536" i="1"/>
  <c r="I25" i="28"/>
  <c r="X79" i="298"/>
  <c r="BD298" i="1"/>
  <c r="AB527" i="1"/>
  <c r="AS45" i="298"/>
  <c r="AS51" i="298" s="1"/>
  <c r="AR341" i="298"/>
  <c r="AR342" i="298" s="1"/>
  <c r="AS343" i="298" s="1"/>
  <c r="AG8" i="267"/>
  <c r="AI136" i="298"/>
  <c r="R1085" i="1"/>
  <c r="R1087" i="1" s="1"/>
  <c r="AL60" i="298"/>
  <c r="AL61" i="298" s="1"/>
  <c r="AL86" i="298" s="1"/>
  <c r="AL92" i="298" s="1"/>
  <c r="AL69" i="298"/>
  <c r="AL71" i="298" s="1"/>
  <c r="BC551" i="298"/>
  <c r="BC557" i="298" s="1"/>
  <c r="BC560" i="298" s="1"/>
  <c r="AE321" i="298"/>
  <c r="O1347" i="1"/>
  <c r="AD310" i="1"/>
  <c r="AD311" i="1" s="1"/>
  <c r="AD316" i="1" s="1"/>
  <c r="AV22" i="298"/>
  <c r="AY22" i="298" s="1"/>
  <c r="O371" i="298"/>
  <c r="X28" i="28"/>
  <c r="J551" i="298"/>
  <c r="J557" i="298" s="1"/>
  <c r="J558" i="298" s="1"/>
  <c r="AY182" i="298"/>
  <c r="U722" i="298"/>
  <c r="AU44" i="298"/>
  <c r="AV47" i="298" s="1"/>
  <c r="AY47" i="298" s="1"/>
  <c r="AE318" i="298"/>
  <c r="BC524" i="298"/>
  <c r="W44" i="298"/>
  <c r="AA45" i="298" s="1"/>
  <c r="AA51" i="298" s="1"/>
  <c r="I36" i="28"/>
  <c r="I41" i="28" s="1"/>
  <c r="I42" i="28" s="1"/>
  <c r="I27" i="28"/>
  <c r="I28" i="28" s="1"/>
  <c r="BB22" i="298"/>
  <c r="BG1203" i="1"/>
  <c r="BG1204" i="1"/>
  <c r="AE313" i="298"/>
  <c r="AE316" i="298"/>
  <c r="AE319" i="298"/>
  <c r="BC40" i="298"/>
  <c r="AF560" i="298"/>
  <c r="BC638" i="298"/>
  <c r="AE322" i="298"/>
  <c r="AE317" i="298"/>
  <c r="AE320" i="298"/>
  <c r="T80" i="28"/>
  <c r="S85" i="28"/>
  <c r="AL85" i="28" s="1"/>
  <c r="W22" i="298"/>
  <c r="BC42" i="298"/>
  <c r="BK831" i="1"/>
  <c r="AS558" i="298"/>
  <c r="BM44" i="1"/>
  <c r="N49" i="1"/>
  <c r="N188" i="1" s="1"/>
  <c r="V523" i="1"/>
  <c r="V531" i="1" s="1"/>
  <c r="AE314" i="298"/>
  <c r="O79" i="298"/>
  <c r="H13" i="276"/>
  <c r="BM1202" i="1"/>
  <c r="BM1203" i="1"/>
  <c r="G13" i="276"/>
  <c r="BM45" i="1"/>
  <c r="P722" i="298"/>
  <c r="AE52" i="298"/>
  <c r="U22" i="298"/>
  <c r="BC639" i="298"/>
  <c r="F18" i="276"/>
  <c r="BC21" i="298"/>
  <c r="BD23" i="298" s="1"/>
  <c r="BC640" i="298"/>
  <c r="AW1041" i="1"/>
  <c r="H18" i="276"/>
  <c r="BD14" i="298"/>
  <c r="BD177" i="298" s="1"/>
  <c r="AO335" i="298"/>
  <c r="AR560" i="298"/>
  <c r="BC41" i="298"/>
  <c r="BC13" i="298"/>
  <c r="BC18" i="298"/>
  <c r="BC19" i="298" s="1"/>
  <c r="V186" i="298"/>
  <c r="W532" i="298"/>
  <c r="W534" i="298" s="1"/>
  <c r="W542" i="298" s="1"/>
  <c r="G44" i="292"/>
  <c r="N372" i="298"/>
  <c r="Z1347" i="1"/>
  <c r="AU532" i="298"/>
  <c r="AU534" i="298" s="1"/>
  <c r="AU542" i="298" s="1"/>
  <c r="R191" i="298"/>
  <c r="J25" i="28"/>
  <c r="BX56" i="468"/>
  <c r="BJ806" i="1"/>
  <c r="BJ803" i="1" s="1"/>
  <c r="AA1063" i="1"/>
  <c r="AT50" i="1"/>
  <c r="BJ49" i="1"/>
  <c r="BJ188" i="1" s="1"/>
  <c r="E80" i="28"/>
  <c r="AG14" i="28"/>
  <c r="AG15" i="28" s="1"/>
  <c r="T722" i="298"/>
  <c r="Y28" i="28"/>
  <c r="H84" i="28"/>
  <c r="AF545" i="298"/>
  <c r="AF548" i="298" s="1"/>
  <c r="AF549" i="298" s="1"/>
  <c r="BA181" i="298"/>
  <c r="BB186" i="298" s="1"/>
  <c r="H27" i="51"/>
  <c r="BM1204" i="1"/>
  <c r="BM46" i="1"/>
  <c r="E42" i="28"/>
  <c r="AQ541" i="298"/>
  <c r="AQ542" i="298"/>
  <c r="AF510" i="298"/>
  <c r="BA524" i="298"/>
  <c r="BA358" i="298"/>
  <c r="AD722" i="298"/>
  <c r="I372" i="298"/>
  <c r="W191" i="298"/>
  <c r="W182" i="298"/>
  <c r="BY56" i="468"/>
  <c r="Y357" i="298"/>
  <c r="Q42" i="28"/>
  <c r="U191" i="298"/>
  <c r="U182" i="298"/>
  <c r="U192" i="298" s="1"/>
  <c r="BA721" i="298"/>
  <c r="AS560" i="298"/>
  <c r="X722" i="298"/>
  <c r="AE1028" i="1"/>
  <c r="AC664" i="1"/>
  <c r="R722" i="298"/>
  <c r="AE1020" i="1"/>
  <c r="BA720" i="298"/>
  <c r="AZ549" i="298"/>
  <c r="AT53" i="1"/>
  <c r="AT72" i="1"/>
  <c r="AT73" i="1" s="1"/>
  <c r="AT116" i="1" s="1"/>
  <c r="AT122" i="1" s="1"/>
  <c r="BH311" i="1"/>
  <c r="BH321" i="1" s="1"/>
  <c r="M722" i="298"/>
  <c r="AB722" i="298"/>
  <c r="BH22" i="1"/>
  <c r="BH23" i="1" s="1"/>
  <c r="AM65" i="359"/>
  <c r="BR60" i="468"/>
  <c r="AM60" i="359"/>
  <c r="AM142" i="359" s="1"/>
  <c r="AA186" i="298"/>
  <c r="BA716" i="298"/>
  <c r="BA722" i="298" s="1"/>
  <c r="R532" i="298"/>
  <c r="R534" i="298" s="1"/>
  <c r="R542" i="298" s="1"/>
  <c r="D44" i="292"/>
  <c r="AC357" i="298"/>
  <c r="CC54" i="468"/>
  <c r="BC133" i="298"/>
  <c r="AA143" i="359"/>
  <c r="AA144" i="359" s="1"/>
  <c r="M19" i="298"/>
  <c r="U20" i="1"/>
  <c r="AD22" i="1"/>
  <c r="T13" i="313" s="1"/>
  <c r="T18" i="313" s="1"/>
  <c r="T27" i="313" s="1"/>
  <c r="BB720" i="298"/>
  <c r="E44" i="298"/>
  <c r="I79" i="298"/>
  <c r="W79" i="298"/>
  <c r="W19" i="298"/>
  <c r="BK1346" i="1"/>
  <c r="N912" i="1"/>
  <c r="AV186" i="298"/>
  <c r="AY186" i="298" s="1"/>
  <c r="BM528" i="1"/>
  <c r="BM536" i="1" s="1"/>
  <c r="AD62" i="298"/>
  <c r="AD64" i="298" s="1"/>
  <c r="AD65" i="298" s="1"/>
  <c r="AB516" i="1"/>
  <c r="AO324" i="298"/>
  <c r="BE505" i="298"/>
  <c r="BE545" i="298" s="1"/>
  <c r="BE548" i="298" s="1"/>
  <c r="BE1104" i="1"/>
  <c r="BE1111" i="1" s="1"/>
  <c r="BE1114" i="1" s="1"/>
  <c r="AA1072" i="1"/>
  <c r="AA22" i="1" s="1"/>
  <c r="BJ533" i="1"/>
  <c r="AE62" i="298"/>
  <c r="AE64" i="298" s="1"/>
  <c r="AB664" i="1"/>
  <c r="BK44" i="1"/>
  <c r="BE1095" i="1"/>
  <c r="X664" i="1"/>
  <c r="AA19" i="298"/>
  <c r="BI614" i="1"/>
  <c r="AC1085" i="1"/>
  <c r="AC1087" i="1" s="1"/>
  <c r="AC1095" i="1" s="1"/>
  <c r="X24" i="298"/>
  <c r="X44" i="298"/>
  <c r="X22" i="298"/>
  <c r="O24" i="298"/>
  <c r="S22" i="298"/>
  <c r="O44" i="298"/>
  <c r="S47" i="298" s="1"/>
  <c r="BD18" i="298"/>
  <c r="AA24" i="298"/>
  <c r="AA22" i="298"/>
  <c r="W85" i="28"/>
  <c r="T42" i="28"/>
  <c r="BL1344" i="1"/>
  <c r="L806" i="1"/>
  <c r="L815" i="1" s="1"/>
  <c r="L819" i="1" s="1"/>
  <c r="T44" i="298"/>
  <c r="T24" i="298"/>
  <c r="T551" i="298"/>
  <c r="T557" i="298" s="1"/>
  <c r="T532" i="298"/>
  <c r="T534" i="298" s="1"/>
  <c r="G44" i="276"/>
  <c r="BV54" i="468"/>
  <c r="AR541" i="298"/>
  <c r="AR542" i="298"/>
  <c r="E532" i="298"/>
  <c r="E534" i="298" s="1"/>
  <c r="E551" i="298"/>
  <c r="E557" i="298" s="1"/>
  <c r="E560" i="298" s="1"/>
  <c r="D44" i="298"/>
  <c r="D60" i="298" s="1"/>
  <c r="AQ342" i="298"/>
  <c r="AQ343" i="298" s="1"/>
  <c r="AQ339" i="298"/>
  <c r="O191" i="298"/>
  <c r="O182" i="298"/>
  <c r="L20" i="1"/>
  <c r="I532" i="298"/>
  <c r="I534" i="298" s="1"/>
  <c r="I551" i="298"/>
  <c r="I557" i="298" s="1"/>
  <c r="J541" i="298"/>
  <c r="J542" i="298"/>
  <c r="O532" i="298"/>
  <c r="O534" i="298" s="1"/>
  <c r="O551" i="298"/>
  <c r="O557" i="298" s="1"/>
  <c r="K28" i="28"/>
  <c r="I44" i="298"/>
  <c r="I22" i="298"/>
  <c r="I24" i="298"/>
  <c r="AE1022" i="1"/>
  <c r="AT166" i="298"/>
  <c r="AU171" i="298" s="1"/>
  <c r="AT172" i="298"/>
  <c r="AU172" i="298"/>
  <c r="BI1344" i="1"/>
  <c r="BB1030" i="1"/>
  <c r="AE1024" i="1"/>
  <c r="CA54" i="468"/>
  <c r="U877" i="1"/>
  <c r="U891" i="1" s="1"/>
  <c r="P49" i="1"/>
  <c r="P188" i="1" s="1"/>
  <c r="AU722" i="298"/>
  <c r="AT722" i="298"/>
  <c r="AE1016" i="1"/>
  <c r="AV24" i="298"/>
  <c r="AY24" i="298" s="1"/>
  <c r="CB54" i="468"/>
  <c r="M532" i="298"/>
  <c r="M534" i="298" s="1"/>
  <c r="M551" i="298"/>
  <c r="M557" i="298" s="1"/>
  <c r="AS541" i="298"/>
  <c r="AS542" i="298"/>
  <c r="R85" i="28"/>
  <c r="M24" i="298"/>
  <c r="M22" i="298"/>
  <c r="L532" i="298"/>
  <c r="L534" i="298" s="1"/>
  <c r="L551" i="298"/>
  <c r="L557" i="298" s="1"/>
  <c r="L560" i="298" s="1"/>
  <c r="L24" i="298"/>
  <c r="L44" i="298"/>
  <c r="AO338" i="298"/>
  <c r="AO339" i="298" s="1"/>
  <c r="BL831" i="1"/>
  <c r="P26" i="1"/>
  <c r="AM72" i="359"/>
  <c r="V532" i="298"/>
  <c r="V534" i="298" s="1"/>
  <c r="V551" i="298"/>
  <c r="V557" i="298" s="1"/>
  <c r="V191" i="298"/>
  <c r="V182" i="298"/>
  <c r="L191" i="298"/>
  <c r="L182" i="298"/>
  <c r="L192" i="298" s="1"/>
  <c r="Y664" i="1"/>
  <c r="BV98" i="468"/>
  <c r="BV109" i="468" s="1"/>
  <c r="K1094" i="1"/>
  <c r="V44" i="298"/>
  <c r="V24" i="298"/>
  <c r="AN65" i="359"/>
  <c r="AN137" i="359"/>
  <c r="AN72" i="359"/>
  <c r="AN60" i="359"/>
  <c r="AN142" i="359" s="1"/>
  <c r="BJ528" i="1"/>
  <c r="BK536" i="1" s="1"/>
  <c r="E63" i="292"/>
  <c r="AH1083" i="1"/>
  <c r="AH1085" i="1" s="1"/>
  <c r="AH1087" i="1" s="1"/>
  <c r="AH1094" i="1" s="1"/>
  <c r="AI1347" i="1"/>
  <c r="X551" i="298"/>
  <c r="X557" i="298" s="1"/>
  <c r="X532" i="298"/>
  <c r="X534" i="298" s="1"/>
  <c r="BW99" i="468"/>
  <c r="X182" i="298"/>
  <c r="X186" i="298"/>
  <c r="X191" i="298"/>
  <c r="G63" i="28"/>
  <c r="G27" i="28"/>
  <c r="H28" i="28" s="1"/>
  <c r="H25" i="28"/>
  <c r="G36" i="28"/>
  <c r="G41" i="28" s="1"/>
  <c r="G79" i="28"/>
  <c r="F84" i="28"/>
  <c r="BD41" i="298"/>
  <c r="T664" i="1"/>
  <c r="N532" i="298"/>
  <c r="N551" i="298"/>
  <c r="N557" i="298" s="1"/>
  <c r="R558" i="298" s="1"/>
  <c r="BA530" i="298"/>
  <c r="BA551" i="298" s="1"/>
  <c r="BA557" i="298" s="1"/>
  <c r="AU14" i="298"/>
  <c r="AU344" i="298"/>
  <c r="K80" i="28"/>
  <c r="AA62" i="298"/>
  <c r="AA64" i="298" s="1"/>
  <c r="D532" i="298"/>
  <c r="AY530" i="298"/>
  <c r="AY551" i="298" s="1"/>
  <c r="AY557" i="298" s="1"/>
  <c r="AY560" i="298" s="1"/>
  <c r="D551" i="298"/>
  <c r="D557" i="298" s="1"/>
  <c r="D560" i="298" s="1"/>
  <c r="E43" i="28"/>
  <c r="E44" i="28" s="1"/>
  <c r="E46" i="28"/>
  <c r="AB76" i="298"/>
  <c r="AB80" i="298" s="1"/>
  <c r="AB83" i="298"/>
  <c r="AB87" i="298" s="1"/>
  <c r="X46" i="28"/>
  <c r="X43" i="28"/>
  <c r="X44" i="28" s="1"/>
  <c r="X42" i="28"/>
  <c r="BC722" i="298"/>
  <c r="AW532" i="298"/>
  <c r="AW534" i="298" s="1"/>
  <c r="AW551" i="298"/>
  <c r="AW557" i="298" s="1"/>
  <c r="N191" i="298"/>
  <c r="N182" i="298"/>
  <c r="W560" i="298"/>
  <c r="AA558" i="298"/>
  <c r="Z171" i="298"/>
  <c r="AD176" i="298"/>
  <c r="AD171" i="298"/>
  <c r="BE172" i="298"/>
  <c r="BD166" i="298"/>
  <c r="BE171" i="298" s="1"/>
  <c r="AY54" i="1"/>
  <c r="AW191" i="298"/>
  <c r="AZ191" i="298" s="1"/>
  <c r="AW186" i="298"/>
  <c r="AZ186" i="298" s="1"/>
  <c r="S722" i="298"/>
  <c r="W722" i="298"/>
  <c r="AR69" i="298"/>
  <c r="AR46" i="298"/>
  <c r="AR60" i="298"/>
  <c r="AR61" i="298" s="1"/>
  <c r="AR86" i="298" s="1"/>
  <c r="AR92" i="298" s="1"/>
  <c r="AR628" i="298" s="1"/>
  <c r="V57" i="298"/>
  <c r="V48" i="298" s="1"/>
  <c r="R46" i="298"/>
  <c r="R69" i="298"/>
  <c r="R60" i="298"/>
  <c r="R61" i="298" s="1"/>
  <c r="R86" i="298" s="1"/>
  <c r="R560" i="298"/>
  <c r="AV532" i="298"/>
  <c r="AV534" i="298" s="1"/>
  <c r="AV551" i="298"/>
  <c r="AV557" i="298" s="1"/>
  <c r="AH425" i="1"/>
  <c r="AL65" i="359"/>
  <c r="AL60" i="359"/>
  <c r="AL142" i="359" s="1"/>
  <c r="AL72" i="359"/>
  <c r="AL137" i="359"/>
  <c r="AW192" i="298"/>
  <c r="AZ192" i="298" s="1"/>
  <c r="AW187" i="298"/>
  <c r="AZ187" i="298" s="1"/>
  <c r="O444" i="1"/>
  <c r="AW24" i="298"/>
  <c r="AZ24" i="298" s="1"/>
  <c r="AW22" i="298"/>
  <c r="AZ22" i="298" s="1"/>
  <c r="Z519" i="298"/>
  <c r="Z510" i="298"/>
  <c r="Z545" i="298"/>
  <c r="Z548" i="298" s="1"/>
  <c r="Z549" i="298" s="1"/>
  <c r="AC71" i="298"/>
  <c r="AC79" i="298"/>
  <c r="AV187" i="298"/>
  <c r="AY187" i="298" s="1"/>
  <c r="AV192" i="298"/>
  <c r="AY192" i="298" s="1"/>
  <c r="BE40" i="298"/>
  <c r="Z79" i="298"/>
  <c r="Z19" i="298"/>
  <c r="Z76" i="298"/>
  <c r="AI116" i="298"/>
  <c r="BF116" i="298" s="1"/>
  <c r="BF123" i="298" s="1"/>
  <c r="AI138" i="298"/>
  <c r="J69" i="298"/>
  <c r="N57" i="298"/>
  <c r="N48" i="298" s="1"/>
  <c r="J60" i="298"/>
  <c r="J46" i="298"/>
  <c r="AA412" i="298"/>
  <c r="W356" i="298"/>
  <c r="BC412" i="298"/>
  <c r="AC76" i="298"/>
  <c r="S357" i="298"/>
  <c r="W358" i="298"/>
  <c r="BC358" i="298" s="1"/>
  <c r="BE1030" i="1"/>
  <c r="BD1048" i="1"/>
  <c r="AG1363" i="1"/>
  <c r="BK613" i="1"/>
  <c r="Z523" i="1"/>
  <c r="AD531" i="1" s="1"/>
  <c r="V527" i="1"/>
  <c r="F13" i="313"/>
  <c r="K815" i="1"/>
  <c r="K819" i="1" s="1"/>
  <c r="BK514" i="1"/>
  <c r="BL523" i="1" s="1"/>
  <c r="AG20" i="1"/>
  <c r="Z664" i="1"/>
  <c r="BL666" i="1"/>
  <c r="Q664" i="1"/>
  <c r="BC320" i="1"/>
  <c r="H20" i="1"/>
  <c r="Q320" i="1"/>
  <c r="R667" i="1"/>
  <c r="Q298" i="1"/>
  <c r="Z8" i="267"/>
  <c r="AB667" i="1"/>
  <c r="V9" i="313"/>
  <c r="V10" i="313" s="1"/>
  <c r="BU45" i="468"/>
  <c r="BU61" i="468" s="1"/>
  <c r="Z143" i="359"/>
  <c r="Z144" i="359" s="1"/>
  <c r="W8" i="267"/>
  <c r="Z316" i="1"/>
  <c r="V13" i="267"/>
  <c r="V16" i="267" s="1"/>
  <c r="V18" i="267" s="1"/>
  <c r="V19" i="267" s="1"/>
  <c r="BK47" i="1"/>
  <c r="Q23" i="1"/>
  <c r="J1085" i="1"/>
  <c r="J1087" i="1" s="1"/>
  <c r="J1104" i="1"/>
  <c r="J1111" i="1" s="1"/>
  <c r="J1114" i="1" s="1"/>
  <c r="AK109" i="468"/>
  <c r="AK110" i="468" s="1"/>
  <c r="AL50" i="468"/>
  <c r="AE912" i="1"/>
  <c r="AE664" i="1"/>
  <c r="J26" i="1"/>
  <c r="J806" i="1"/>
  <c r="X516" i="1"/>
  <c r="AB524" i="1"/>
  <c r="T515" i="1"/>
  <c r="X524" i="1" s="1"/>
  <c r="AF1362" i="1"/>
  <c r="W315" i="1"/>
  <c r="F14" i="276"/>
  <c r="R321" i="1"/>
  <c r="AZ54" i="1"/>
  <c r="AF524" i="1"/>
  <c r="AJ532" i="1" s="1"/>
  <c r="X20" i="1"/>
  <c r="R315" i="1"/>
  <c r="S912" i="1"/>
  <c r="AI1063" i="1"/>
  <c r="U1347" i="1"/>
  <c r="U664" i="1"/>
  <c r="S664" i="1"/>
  <c r="Q49" i="1"/>
  <c r="Q188" i="1" s="1"/>
  <c r="BK615" i="1"/>
  <c r="Q806" i="1"/>
  <c r="Q810" i="1" s="1"/>
  <c r="AG1362" i="1"/>
  <c r="P664" i="1"/>
  <c r="G13" i="313"/>
  <c r="G15" i="313" s="1"/>
  <c r="AA912" i="1"/>
  <c r="BM299" i="1"/>
  <c r="BM1058" i="1"/>
  <c r="BM1072" i="1" s="1"/>
  <c r="N444" i="1"/>
  <c r="F44" i="276"/>
  <c r="BM663" i="1"/>
  <c r="AD896" i="1"/>
  <c r="R10" i="313"/>
  <c r="AC101" i="468"/>
  <c r="AB35" i="468"/>
  <c r="AB40" i="468" s="1"/>
  <c r="BL1058" i="1"/>
  <c r="BL1098" i="1" s="1"/>
  <c r="BL1101" i="1" s="1"/>
  <c r="BL1102" i="1" s="1"/>
  <c r="AD20" i="1"/>
  <c r="BK1083" i="1"/>
  <c r="BK1085" i="1" s="1"/>
  <c r="BK1087" i="1" s="1"/>
  <c r="W26" i="1"/>
  <c r="R320" i="1"/>
  <c r="BN291" i="1"/>
  <c r="BN298" i="1" s="1"/>
  <c r="AG1098" i="1"/>
  <c r="AG1101" i="1" s="1"/>
  <c r="AR109" i="468"/>
  <c r="AZ81" i="1"/>
  <c r="AZ83" i="1" s="1"/>
  <c r="AG1072" i="1"/>
  <c r="AE893" i="1"/>
  <c r="BV99" i="468"/>
  <c r="BK310" i="1"/>
  <c r="BK320" i="1" s="1"/>
  <c r="N8" i="267"/>
  <c r="BI433" i="1"/>
  <c r="AZ72" i="1"/>
  <c r="AZ73" i="1" s="1"/>
  <c r="AZ116" i="1" s="1"/>
  <c r="AZ122" i="1" s="1"/>
  <c r="R8" i="267"/>
  <c r="AF8" i="267"/>
  <c r="L49" i="1"/>
  <c r="M912" i="1"/>
  <c r="Y1347" i="1"/>
  <c r="N24" i="313"/>
  <c r="BE1041" i="1"/>
  <c r="BG1197" i="1"/>
  <c r="BG1202" i="1" s="1"/>
  <c r="AI664" i="1"/>
  <c r="AJ22" i="1"/>
  <c r="P23" i="1"/>
  <c r="W806" i="1"/>
  <c r="M13" i="313"/>
  <c r="BN666" i="1"/>
  <c r="AZ53" i="1"/>
  <c r="BN1346" i="1"/>
  <c r="G14" i="276"/>
  <c r="V20" i="468"/>
  <c r="BN1058" i="1"/>
  <c r="AB34" i="468"/>
  <c r="AB39" i="468" s="1"/>
  <c r="Z109" i="1"/>
  <c r="Q311" i="1"/>
  <c r="U316" i="1" s="1"/>
  <c r="L1347" i="1"/>
  <c r="AJ613" i="1"/>
  <c r="AB20" i="1"/>
  <c r="S321" i="1"/>
  <c r="H13" i="313"/>
  <c r="L14" i="313" s="1"/>
  <c r="AJ310" i="1"/>
  <c r="AD1347" i="1"/>
  <c r="S291" i="1"/>
  <c r="S298" i="1" s="1"/>
  <c r="AE109" i="1"/>
  <c r="W235" i="1"/>
  <c r="W164" i="1" s="1"/>
  <c r="AE20" i="1"/>
  <c r="AC50" i="468"/>
  <c r="Z536" i="1"/>
  <c r="O248" i="1"/>
  <c r="AA109" i="1"/>
  <c r="N446" i="1"/>
  <c r="AA20" i="1"/>
  <c r="AG1063" i="1"/>
  <c r="AA248" i="1"/>
  <c r="Y668" i="1"/>
  <c r="R23" i="1"/>
  <c r="BC1036" i="1"/>
  <c r="BE81" i="1"/>
  <c r="BE83" i="1" s="1"/>
  <c r="BL886" i="1"/>
  <c r="BL299" i="1"/>
  <c r="BE72" i="1"/>
  <c r="BE73" i="1" s="1"/>
  <c r="BE116" i="1" s="1"/>
  <c r="BE122" i="1" s="1"/>
  <c r="W299" i="1"/>
  <c r="BI291" i="1"/>
  <c r="BI298" i="1" s="1"/>
  <c r="W664" i="1"/>
  <c r="BL291" i="1"/>
  <c r="BL298" i="1" s="1"/>
  <c r="BK24" i="1"/>
  <c r="BK25" i="1" s="1"/>
  <c r="AA1114" i="1"/>
  <c r="BA1112" i="1"/>
  <c r="AZ50" i="1"/>
  <c r="AZ58" i="1" s="1"/>
  <c r="N1347" i="1"/>
  <c r="BN1204" i="1"/>
  <c r="BJ248" i="1"/>
  <c r="BK533" i="1"/>
  <c r="AC55" i="468"/>
  <c r="AI615" i="1"/>
  <c r="W1347" i="1"/>
  <c r="BN46" i="1"/>
  <c r="BM72" i="1"/>
  <c r="L527" i="1"/>
  <c r="P535" i="1" s="1"/>
  <c r="Z1098" i="1"/>
  <c r="Z1101" i="1" s="1"/>
  <c r="AD1102" i="1" s="1"/>
  <c r="BL19" i="1"/>
  <c r="BL109" i="1" s="1"/>
  <c r="H18" i="292"/>
  <c r="H19" i="292" s="1"/>
  <c r="BN1004" i="1"/>
  <c r="BN1016" i="1" s="1"/>
  <c r="AD1063" i="1"/>
  <c r="AA1347" i="1"/>
  <c r="BJ514" i="1"/>
  <c r="U20" i="313"/>
  <c r="U21" i="313" s="1"/>
  <c r="BJ320" i="1"/>
  <c r="Q1085" i="1"/>
  <c r="Q1087" i="1" s="1"/>
  <c r="BN44" i="1"/>
  <c r="P315" i="1"/>
  <c r="BI434" i="1"/>
  <c r="M1347" i="1"/>
  <c r="BK434" i="1"/>
  <c r="BM81" i="1"/>
  <c r="BK656" i="1"/>
  <c r="Y424" i="1"/>
  <c r="P815" i="1"/>
  <c r="T817" i="1" s="1"/>
  <c r="T40" i="1" s="1"/>
  <c r="BK866" i="1"/>
  <c r="AC424" i="1"/>
  <c r="Z22" i="1"/>
  <c r="P13" i="313" s="1"/>
  <c r="AE1098" i="1"/>
  <c r="AE1101" i="1" s="1"/>
  <c r="AE1102" i="1" s="1"/>
  <c r="BH1102" i="1"/>
  <c r="BM19" i="1"/>
  <c r="Z1063" i="1"/>
  <c r="AB668" i="1"/>
  <c r="AE882" i="1"/>
  <c r="AB912" i="1"/>
  <c r="BN13" i="1"/>
  <c r="Z320" i="1"/>
  <c r="T20" i="1"/>
  <c r="E63" i="3"/>
  <c r="R26" i="1"/>
  <c r="Z315" i="1"/>
  <c r="L320" i="1"/>
  <c r="BL614" i="1"/>
  <c r="BB1036" i="1"/>
  <c r="Z1077" i="1"/>
  <c r="AE1063" i="1"/>
  <c r="AE1072" i="1"/>
  <c r="AE1077" i="1" s="1"/>
  <c r="R49" i="1"/>
  <c r="BM665" i="1"/>
  <c r="BV45" i="468"/>
  <c r="BV61" i="468" s="1"/>
  <c r="E49" i="1"/>
  <c r="E188" i="1" s="1"/>
  <c r="AA91" i="1"/>
  <c r="V315" i="1"/>
  <c r="R806" i="1"/>
  <c r="R815" i="1" s="1"/>
  <c r="V817" i="1" s="1"/>
  <c r="V40" i="1" s="1"/>
  <c r="AK40" i="468"/>
  <c r="AE89" i="1"/>
  <c r="AK34" i="468"/>
  <c r="BI1341" i="1"/>
  <c r="BJ1347" i="1" s="1"/>
  <c r="AE83" i="1"/>
  <c r="AC1347" i="1"/>
  <c r="BM614" i="1"/>
  <c r="Q668" i="1"/>
  <c r="S13" i="267"/>
  <c r="W16" i="267" s="1"/>
  <c r="AH1347" i="1"/>
  <c r="AJ536" i="1"/>
  <c r="AZ1094" i="1"/>
  <c r="AZ1095" i="1"/>
  <c r="BE1045" i="1"/>
  <c r="M72" i="1"/>
  <c r="M73" i="1" s="1"/>
  <c r="M116" i="1" s="1"/>
  <c r="O445" i="1"/>
  <c r="M81" i="1"/>
  <c r="M83" i="1" s="1"/>
  <c r="J446" i="1"/>
  <c r="N445" i="1"/>
  <c r="C11" i="267"/>
  <c r="C18" i="267" s="1"/>
  <c r="Q315" i="1"/>
  <c r="B13" i="313"/>
  <c r="B15" i="313" s="1"/>
  <c r="BL879" i="1"/>
  <c r="BL882" i="1" s="1"/>
  <c r="BM433" i="1"/>
  <c r="BK46" i="1"/>
  <c r="X531" i="1"/>
  <c r="BK666" i="1"/>
  <c r="G1355" i="1"/>
  <c r="AY72" i="1"/>
  <c r="AY73" i="1" s="1"/>
  <c r="AY116" i="1" s="1"/>
  <c r="AY122" i="1" s="1"/>
  <c r="BJ666" i="1"/>
  <c r="L23" i="1"/>
  <c r="Q893" i="1"/>
  <c r="AF36" i="468"/>
  <c r="AF41" i="468" s="1"/>
  <c r="AY50" i="1"/>
  <c r="AY58" i="1" s="1"/>
  <c r="BK13" i="1"/>
  <c r="AE8" i="267"/>
  <c r="AY53" i="1"/>
  <c r="BI299" i="1"/>
  <c r="AI912" i="1"/>
  <c r="E95" i="292"/>
  <c r="E92" i="292" s="1"/>
  <c r="AY81" i="1"/>
  <c r="E1359" i="1"/>
  <c r="E1368" i="1" s="1"/>
  <c r="AH12" i="28"/>
  <c r="AH40" i="28" s="1"/>
  <c r="T109" i="1"/>
  <c r="BN1202" i="1"/>
  <c r="BK1202" i="1"/>
  <c r="H806" i="1"/>
  <c r="H810" i="1" s="1"/>
  <c r="AC83" i="1"/>
  <c r="BD1030" i="1"/>
  <c r="W23" i="1"/>
  <c r="U13" i="267"/>
  <c r="Y16" i="267" s="1"/>
  <c r="Y18" i="267" s="1"/>
  <c r="Y19" i="267" s="1"/>
  <c r="AI59" i="1" s="1"/>
  <c r="AM55" i="468"/>
  <c r="E37" i="3"/>
  <c r="Y85" i="28"/>
  <c r="AE110" i="468"/>
  <c r="AC36" i="468"/>
  <c r="AC41" i="468" s="1"/>
  <c r="BU98" i="468"/>
  <c r="BU109" i="468" s="1"/>
  <c r="BU110" i="468" s="1"/>
  <c r="AE59" i="28"/>
  <c r="U9" i="313"/>
  <c r="U10" i="313" s="1"/>
  <c r="AE32" i="28"/>
  <c r="AK59" i="468"/>
  <c r="AC110" i="468"/>
  <c r="G16" i="276"/>
  <c r="AR34" i="468"/>
  <c r="AL55" i="468"/>
  <c r="H46" i="276"/>
  <c r="G46" i="276"/>
  <c r="P62" i="359"/>
  <c r="AK61" i="468"/>
  <c r="AN55" i="468"/>
  <c r="AK50" i="468"/>
  <c r="P13" i="267"/>
  <c r="P16" i="267" s="1"/>
  <c r="P18" i="267" s="1"/>
  <c r="AB109" i="468"/>
  <c r="AB101" i="468"/>
  <c r="Y8" i="267"/>
  <c r="Y531" i="1"/>
  <c r="AG668" i="1"/>
  <c r="L10" i="313"/>
  <c r="AG59" i="468"/>
  <c r="L8" i="267"/>
  <c r="BM886" i="1"/>
  <c r="AO59" i="468"/>
  <c r="N806" i="1"/>
  <c r="N815" i="1" s="1"/>
  <c r="R817" i="1" s="1"/>
  <c r="BL613" i="1"/>
  <c r="AK36" i="468"/>
  <c r="BK1341" i="1"/>
  <c r="BK1347" i="1" s="1"/>
  <c r="N23" i="1"/>
  <c r="BN886" i="1"/>
  <c r="AX54" i="1"/>
  <c r="W613" i="1"/>
  <c r="AE1027" i="1"/>
  <c r="BK614" i="1"/>
  <c r="AR36" i="468"/>
  <c r="D13" i="313"/>
  <c r="AD893" i="1"/>
  <c r="AE1021" i="1"/>
  <c r="BK433" i="1"/>
  <c r="BM53" i="1"/>
  <c r="BH509" i="1"/>
  <c r="AB531" i="1"/>
  <c r="K26" i="1"/>
  <c r="K49" i="1"/>
  <c r="AG20" i="468"/>
  <c r="AE74" i="1"/>
  <c r="AE76" i="1" s="1"/>
  <c r="AE77" i="1" s="1"/>
  <c r="U55" i="468"/>
  <c r="AJ59" i="468"/>
  <c r="BH1341" i="1"/>
  <c r="BH1347" i="1" s="1"/>
  <c r="V20" i="1"/>
  <c r="AE1026" i="1"/>
  <c r="Q1347" i="1"/>
  <c r="AF20" i="468"/>
  <c r="AE1025" i="1"/>
  <c r="U893" i="1"/>
  <c r="U896" i="1"/>
  <c r="H24" i="313"/>
  <c r="Y893" i="1"/>
  <c r="AE1023" i="1"/>
  <c r="H49" i="1"/>
  <c r="H188" i="1" s="1"/>
  <c r="V55" i="468"/>
  <c r="AC1072" i="1"/>
  <c r="AC1098" i="1"/>
  <c r="AC1101" i="1" s="1"/>
  <c r="AC59" i="468"/>
  <c r="H23" i="1"/>
  <c r="BL1345" i="1"/>
  <c r="AX81" i="1"/>
  <c r="AX89" i="1" s="1"/>
  <c r="AC49" i="468"/>
  <c r="BM425" i="1"/>
  <c r="AI61" i="468"/>
  <c r="AC34" i="468"/>
  <c r="Q527" i="1"/>
  <c r="Q535" i="1" s="1"/>
  <c r="BG1077" i="1"/>
  <c r="AX72" i="1"/>
  <c r="AX73" i="1" s="1"/>
  <c r="AX116" i="1" s="1"/>
  <c r="AX122" i="1" s="1"/>
  <c r="BG311" i="1"/>
  <c r="F16" i="276"/>
  <c r="AX53" i="1"/>
  <c r="W1085" i="1"/>
  <c r="W1087" i="1" s="1"/>
  <c r="W1094" i="1" s="1"/>
  <c r="BK1094" i="1" s="1"/>
  <c r="Z667" i="1"/>
  <c r="R664" i="1"/>
  <c r="AD74" i="1"/>
  <c r="AD76" i="1" s="1"/>
  <c r="F95" i="292"/>
  <c r="F92" i="292" s="1"/>
  <c r="AG40" i="468"/>
  <c r="AF40" i="468"/>
  <c r="BK663" i="1"/>
  <c r="BJ663" i="1"/>
  <c r="AH1098" i="1"/>
  <c r="AH1101" i="1" s="1"/>
  <c r="AH1102" i="1" s="1"/>
  <c r="AH1072" i="1"/>
  <c r="AH1063" i="1"/>
  <c r="AC1114" i="1"/>
  <c r="V515" i="1"/>
  <c r="Z524" i="1" s="1"/>
  <c r="Z516" i="1"/>
  <c r="S1347" i="1"/>
  <c r="BJ665" i="1"/>
  <c r="BN299" i="1"/>
  <c r="AK20" i="468"/>
  <c r="BM248" i="1"/>
  <c r="AA882" i="1"/>
  <c r="BM666" i="1"/>
  <c r="AB1095" i="1"/>
  <c r="AB1094" i="1"/>
  <c r="W912" i="1"/>
  <c r="M53" i="1"/>
  <c r="BN1203" i="1"/>
  <c r="AD877" i="1"/>
  <c r="Z877" i="1"/>
  <c r="X55" i="468"/>
  <c r="AZ1040" i="1"/>
  <c r="AZ1030" i="1"/>
  <c r="AM110" i="468"/>
  <c r="BK22" i="1"/>
  <c r="BL24" i="1" s="1"/>
  <c r="BL25" i="1" s="1"/>
  <c r="F9" i="313"/>
  <c r="F8" i="267"/>
  <c r="R1347" i="1"/>
  <c r="AK49" i="468"/>
  <c r="AK51" i="468"/>
  <c r="AX1047" i="1"/>
  <c r="AX1048" i="1" s="1"/>
  <c r="AY1049" i="1" s="1"/>
  <c r="AX1036" i="1"/>
  <c r="AX1030" i="1"/>
  <c r="AA28" i="28"/>
  <c r="AA664" i="1"/>
  <c r="AI51" i="468"/>
  <c r="AI49" i="468"/>
  <c r="BM434" i="1"/>
  <c r="BK665" i="1"/>
  <c r="BC1050" i="1"/>
  <c r="G98" i="51"/>
  <c r="BC14" i="1"/>
  <c r="AD55" i="468"/>
  <c r="U320" i="1"/>
  <c r="BI879" i="1"/>
  <c r="BI882" i="1" s="1"/>
  <c r="AX50" i="1"/>
  <c r="AX58" i="1" s="1"/>
  <c r="BN614" i="1"/>
  <c r="U536" i="1"/>
  <c r="P20" i="1"/>
  <c r="AD110" i="468"/>
  <c r="AF34" i="468"/>
  <c r="AF39" i="468" s="1"/>
  <c r="BL434" i="1"/>
  <c r="BR648" i="1"/>
  <c r="BR649" i="1" s="1"/>
  <c r="BC1040" i="1"/>
  <c r="BC1030" i="1"/>
  <c r="I8" i="267"/>
  <c r="Y535" i="1"/>
  <c r="BH47" i="1"/>
  <c r="AF59" i="468"/>
  <c r="I20" i="1"/>
  <c r="BA1040" i="1"/>
  <c r="BA1030" i="1"/>
  <c r="BI660" i="1"/>
  <c r="H49" i="276"/>
  <c r="V664" i="1"/>
  <c r="G49" i="276"/>
  <c r="U49" i="1"/>
  <c r="U188" i="1" s="1"/>
  <c r="AA85" i="28"/>
  <c r="AL51" i="468"/>
  <c r="G15" i="276"/>
  <c r="AH109" i="1"/>
  <c r="AH20" i="1"/>
  <c r="P9" i="313"/>
  <c r="T10" i="313" s="1"/>
  <c r="P8" i="267"/>
  <c r="AL49" i="468"/>
  <c r="BI1346" i="1"/>
  <c r="AH1114" i="1"/>
  <c r="F15" i="276"/>
  <c r="AF668" i="1"/>
  <c r="BK660" i="1"/>
  <c r="AO55" i="468"/>
  <c r="AC113" i="1"/>
  <c r="AC117" i="1" s="1"/>
  <c r="AC91" i="1"/>
  <c r="AC110" i="1" s="1"/>
  <c r="AF11" i="267"/>
  <c r="X20" i="313" s="1"/>
  <c r="X21" i="313" s="1"/>
  <c r="E41" i="276"/>
  <c r="X11" i="267"/>
  <c r="AH53" i="1"/>
  <c r="AH54" i="1"/>
  <c r="AH81" i="1"/>
  <c r="AI1413" i="1"/>
  <c r="AI1387" i="1" s="1"/>
  <c r="AI1410" i="1"/>
  <c r="AI1386" i="1" s="1"/>
  <c r="AI1407" i="1"/>
  <c r="AI1385" i="1" s="1"/>
  <c r="AI1404" i="1"/>
  <c r="AI1384" i="1" s="1"/>
  <c r="AI1401" i="1"/>
  <c r="AI1383" i="1" s="1"/>
  <c r="AK532" i="1"/>
  <c r="AG51" i="468"/>
  <c r="Z1085" i="1"/>
  <c r="Z1087" i="1" s="1"/>
  <c r="Z1104" i="1"/>
  <c r="Z1111" i="1" s="1"/>
  <c r="Z912" i="1"/>
  <c r="AD912" i="1"/>
  <c r="BL1204" i="1"/>
  <c r="G8" i="292"/>
  <c r="BL46" i="1"/>
  <c r="BE316" i="1"/>
  <c r="BD321" i="1"/>
  <c r="BG321" i="1" s="1"/>
  <c r="AH435" i="1"/>
  <c r="AH433" i="1"/>
  <c r="AG61" i="468"/>
  <c r="Z89" i="1"/>
  <c r="AA58" i="523" s="1"/>
  <c r="AA60" i="523" s="1"/>
  <c r="AA61" i="523" s="1"/>
  <c r="Z83" i="1"/>
  <c r="AD82" i="1"/>
  <c r="F1085" i="1"/>
  <c r="F1087" i="1" s="1"/>
  <c r="F1104" i="1"/>
  <c r="F1111" i="1" s="1"/>
  <c r="BL1203" i="1"/>
  <c r="BD23" i="1"/>
  <c r="BG23" i="1" s="1"/>
  <c r="BE23" i="1"/>
  <c r="BD26" i="1"/>
  <c r="AG50" i="468"/>
  <c r="S433" i="1"/>
  <c r="S435" i="1"/>
  <c r="W434" i="1"/>
  <c r="Z73" i="1"/>
  <c r="Z116" i="1" s="1"/>
  <c r="J23" i="1"/>
  <c r="F26" i="1"/>
  <c r="F49" i="1"/>
  <c r="F188" i="1" s="1"/>
  <c r="BB26" i="1"/>
  <c r="BB49" i="1"/>
  <c r="BB23" i="1"/>
  <c r="E59" i="51"/>
  <c r="N320" i="1"/>
  <c r="N311" i="1"/>
  <c r="AJ1397" i="1"/>
  <c r="Y515" i="1"/>
  <c r="AC524" i="1" s="1"/>
  <c r="AC516" i="1"/>
  <c r="U1085" i="1"/>
  <c r="U1087" i="1" s="1"/>
  <c r="U1104" i="1"/>
  <c r="U1111" i="1" s="1"/>
  <c r="U1114" i="1" s="1"/>
  <c r="E63" i="51"/>
  <c r="D56" i="51"/>
  <c r="E58" i="51" s="1"/>
  <c r="AR59" i="468"/>
  <c r="S660" i="1"/>
  <c r="S668" i="1" s="1"/>
  <c r="S649" i="1"/>
  <c r="W660" i="1"/>
  <c r="K13" i="313"/>
  <c r="U806" i="1"/>
  <c r="U26" i="1"/>
  <c r="AY1094" i="1"/>
  <c r="AY1095" i="1"/>
  <c r="Q912" i="1"/>
  <c r="U912" i="1"/>
  <c r="W55" i="468"/>
  <c r="AD1094" i="1"/>
  <c r="AD1095" i="1"/>
  <c r="BN612" i="1"/>
  <c r="Y55" i="468"/>
  <c r="AD1114" i="1"/>
  <c r="AH1112" i="1"/>
  <c r="AW72" i="1"/>
  <c r="AW81" i="1"/>
  <c r="AW53" i="1"/>
  <c r="AG435" i="1"/>
  <c r="AG433" i="1"/>
  <c r="Z41" i="468"/>
  <c r="AA80" i="28"/>
  <c r="BD49" i="1"/>
  <c r="M23" i="1"/>
  <c r="I26" i="1"/>
  <c r="I23" i="1"/>
  <c r="I806" i="1"/>
  <c r="I49" i="1"/>
  <c r="AJ1063" i="1"/>
  <c r="AF1098" i="1"/>
  <c r="AF1101" i="1" s="1"/>
  <c r="AJ1102" i="1" s="1"/>
  <c r="AF1072" i="1"/>
  <c r="T320" i="1"/>
  <c r="T315" i="1"/>
  <c r="T311" i="1"/>
  <c r="BC26" i="1"/>
  <c r="BC23" i="1"/>
  <c r="AF109" i="1"/>
  <c r="AF20" i="1"/>
  <c r="BN19" i="1"/>
  <c r="BN109" i="1" s="1"/>
  <c r="T1085" i="1"/>
  <c r="T1087" i="1" s="1"/>
  <c r="T1104" i="1"/>
  <c r="T1111" i="1" s="1"/>
  <c r="AF1095" i="1"/>
  <c r="AF1094" i="1"/>
  <c r="BK248" i="1"/>
  <c r="AF55" i="468"/>
  <c r="AJ20" i="1"/>
  <c r="AF109" i="468"/>
  <c r="BJ1346" i="1"/>
  <c r="AP98" i="468"/>
  <c r="AP15" i="468"/>
  <c r="AP20" i="468" s="1"/>
  <c r="AP45" i="468"/>
  <c r="AP58" i="468"/>
  <c r="AP35" i="468" s="1"/>
  <c r="AP40" i="468" s="1"/>
  <c r="J13" i="313"/>
  <c r="T26" i="1"/>
  <c r="T23" i="1"/>
  <c r="T806" i="1"/>
  <c r="AC877" i="1"/>
  <c r="BM866" i="1"/>
  <c r="AG877" i="1"/>
  <c r="BL248" i="1"/>
  <c r="BL656" i="1"/>
  <c r="J72" i="1"/>
  <c r="J73" i="1" s="1"/>
  <c r="J116" i="1" s="1"/>
  <c r="P316" i="1"/>
  <c r="BV58" i="468"/>
  <c r="BV59" i="468" s="1"/>
  <c r="AF49" i="468"/>
  <c r="AI81" i="1"/>
  <c r="AI82" i="1" s="1"/>
  <c r="AI72" i="1"/>
  <c r="AI1083" i="1"/>
  <c r="AI1085" i="1" s="1"/>
  <c r="AI1087" i="1" s="1"/>
  <c r="AI53" i="1"/>
  <c r="AI54" i="1"/>
  <c r="AI50" i="1"/>
  <c r="AI58" i="1" s="1"/>
  <c r="AG11" i="267"/>
  <c r="Y20" i="313" s="1"/>
  <c r="E40" i="276"/>
  <c r="Y11" i="267"/>
  <c r="D1085" i="1"/>
  <c r="D1087" i="1" s="1"/>
  <c r="D1104" i="1"/>
  <c r="D1111" i="1" s="1"/>
  <c r="D1114" i="1" s="1"/>
  <c r="W515" i="1"/>
  <c r="AA524" i="1" s="1"/>
  <c r="AA516" i="1"/>
  <c r="AE524" i="1"/>
  <c r="BE1050" i="1"/>
  <c r="I98" i="51"/>
  <c r="BE14" i="1"/>
  <c r="BE15" i="1" s="1"/>
  <c r="AD527" i="1"/>
  <c r="Z527" i="1"/>
  <c r="AF1111" i="1"/>
  <c r="AF61" i="468"/>
  <c r="BM13" i="1"/>
  <c r="E1363" i="1"/>
  <c r="AI517" i="1"/>
  <c r="BN515" i="1"/>
  <c r="BL1202" i="1"/>
  <c r="H98" i="51"/>
  <c r="BD1050" i="1"/>
  <c r="BD14" i="1"/>
  <c r="BG14" i="1" s="1"/>
  <c r="R55" i="468"/>
  <c r="AF50" i="468"/>
  <c r="BL665" i="1"/>
  <c r="T912" i="1"/>
  <c r="BH1345" i="1"/>
  <c r="BI1345" i="1"/>
  <c r="BM879" i="1"/>
  <c r="BN879" i="1"/>
  <c r="AE1347" i="1"/>
  <c r="P667" i="1"/>
  <c r="BO867" i="1"/>
  <c r="O9" i="313"/>
  <c r="S10" i="313" s="1"/>
  <c r="O8" i="267"/>
  <c r="J53" i="1"/>
  <c r="BD1085" i="1"/>
  <c r="BD1087" i="1" s="1"/>
  <c r="BD1104" i="1"/>
  <c r="BD1111" i="1" s="1"/>
  <c r="U23" i="1"/>
  <c r="BC1104" i="1"/>
  <c r="BC1111" i="1" s="1"/>
  <c r="BC1085" i="1"/>
  <c r="BC1087" i="1" s="1"/>
  <c r="K9" i="313"/>
  <c r="K8" i="267"/>
  <c r="R527" i="1"/>
  <c r="R535" i="1" s="1"/>
  <c r="BA72" i="1"/>
  <c r="BA73" i="1" s="1"/>
  <c r="BA116" i="1" s="1"/>
  <c r="BA122" i="1" s="1"/>
  <c r="P1112" i="1"/>
  <c r="AG55" i="468"/>
  <c r="M446" i="1"/>
  <c r="AW50" i="1"/>
  <c r="AW58" i="1" s="1"/>
  <c r="BH866" i="1"/>
  <c r="AG527" i="1"/>
  <c r="AG535" i="1" s="1"/>
  <c r="BJ615" i="1"/>
  <c r="BJ613" i="1"/>
  <c r="S613" i="1"/>
  <c r="S615" i="1"/>
  <c r="X320" i="1"/>
  <c r="X315" i="1"/>
  <c r="X311" i="1"/>
  <c r="AF1363" i="1"/>
  <c r="AJ1363" i="1"/>
  <c r="BM515" i="1"/>
  <c r="BL13" i="1"/>
  <c r="BI519" i="1"/>
  <c r="AF1366" i="1"/>
  <c r="AJ1366" i="1"/>
  <c r="AR35" i="468"/>
  <c r="AG893" i="1"/>
  <c r="AG882" i="1"/>
  <c r="BK235" i="1"/>
  <c r="BK164" i="1" s="1"/>
  <c r="AH35" i="468"/>
  <c r="AH40" i="468" s="1"/>
  <c r="BA50" i="1"/>
  <c r="BA58" i="1" s="1"/>
  <c r="AV54" i="1"/>
  <c r="AI110" i="468"/>
  <c r="BA54" i="1"/>
  <c r="AA41" i="468"/>
  <c r="AV81" i="1"/>
  <c r="AV89" i="1" s="1"/>
  <c r="S1104" i="1"/>
  <c r="S1111" i="1" s="1"/>
  <c r="S1114" i="1" s="1"/>
  <c r="S1085" i="1"/>
  <c r="S1087" i="1" s="1"/>
  <c r="D9" i="313"/>
  <c r="H8" i="267"/>
  <c r="Y109" i="1"/>
  <c r="Y20" i="1"/>
  <c r="J8" i="267"/>
  <c r="J9" i="313"/>
  <c r="AW54" i="1"/>
  <c r="AG536" i="1"/>
  <c r="BH1204" i="1"/>
  <c r="BH45" i="1"/>
  <c r="BH44" i="1"/>
  <c r="C8" i="292"/>
  <c r="E9" i="3"/>
  <c r="BH19" i="1"/>
  <c r="BH46" i="1"/>
  <c r="W531" i="1"/>
  <c r="BC49" i="1"/>
  <c r="BC188" i="1" s="1"/>
  <c r="AE39" i="468"/>
  <c r="BK1203" i="1"/>
  <c r="AV72" i="1"/>
  <c r="AV73" i="1" s="1"/>
  <c r="AV116" i="1" s="1"/>
  <c r="AV122" i="1" s="1"/>
  <c r="BE1048" i="1"/>
  <c r="M514" i="1"/>
  <c r="N20" i="1"/>
  <c r="N109" i="1"/>
  <c r="AJ668" i="1"/>
  <c r="S26" i="1"/>
  <c r="S806" i="1"/>
  <c r="S49" i="1"/>
  <c r="S188" i="1" s="1"/>
  <c r="I13" i="313"/>
  <c r="I15" i="313" s="1"/>
  <c r="W433" i="1"/>
  <c r="AI435" i="1"/>
  <c r="AI433" i="1"/>
  <c r="U315" i="1"/>
  <c r="BB1085" i="1"/>
  <c r="BB1087" i="1" s="1"/>
  <c r="BB1104" i="1"/>
  <c r="BB1111" i="1" s="1"/>
  <c r="AC74" i="1"/>
  <c r="AC76" i="1" s="1"/>
  <c r="N65" i="1"/>
  <c r="BL519" i="1"/>
  <c r="BL527" i="1" s="1"/>
  <c r="AZ1112" i="1"/>
  <c r="T55" i="468"/>
  <c r="X23" i="1"/>
  <c r="X806" i="1"/>
  <c r="AB809" i="1" s="1"/>
  <c r="X26" i="1"/>
  <c r="N13" i="313"/>
  <c r="X49" i="1"/>
  <c r="AF1063" i="1"/>
  <c r="BK1204" i="1"/>
  <c r="T667" i="1"/>
  <c r="BL433" i="1"/>
  <c r="E1085" i="1"/>
  <c r="E1087" i="1" s="1"/>
  <c r="E1104" i="1"/>
  <c r="E1111" i="1" s="1"/>
  <c r="E1114" i="1" s="1"/>
  <c r="BM613" i="1"/>
  <c r="BH1203" i="1"/>
  <c r="N1104" i="1"/>
  <c r="N1111" i="1" s="1"/>
  <c r="R1112" i="1" s="1"/>
  <c r="N1085" i="1"/>
  <c r="N1087" i="1" s="1"/>
  <c r="AH423" i="1"/>
  <c r="AH424" i="1" s="1"/>
  <c r="H1085" i="1"/>
  <c r="H1104" i="1"/>
  <c r="H1111" i="1" s="1"/>
  <c r="AC882" i="1"/>
  <c r="AC896" i="1" s="1"/>
  <c r="AC893" i="1"/>
  <c r="AF893" i="1"/>
  <c r="AB893" i="1"/>
  <c r="AB882" i="1"/>
  <c r="W536" i="1"/>
  <c r="BL44" i="1"/>
  <c r="BK45" i="1"/>
  <c r="BN663" i="1"/>
  <c r="T49" i="1"/>
  <c r="BH1083" i="1"/>
  <c r="BH1104" i="1" s="1"/>
  <c r="BH1111" i="1" s="1"/>
  <c r="BH1114" i="1" s="1"/>
  <c r="I1104" i="1"/>
  <c r="I1111" i="1" s="1"/>
  <c r="I1085" i="1"/>
  <c r="I1087" i="1" s="1"/>
  <c r="I1095" i="1" s="1"/>
  <c r="R20" i="1"/>
  <c r="AH55" i="468"/>
  <c r="BD316" i="1"/>
  <c r="BG316" i="1" s="1"/>
  <c r="BC321" i="1"/>
  <c r="BC316" i="1"/>
  <c r="Y1072" i="1"/>
  <c r="Y1098" i="1"/>
  <c r="Y1101" i="1" s="1"/>
  <c r="Y1063" i="1"/>
  <c r="AC1063" i="1"/>
  <c r="X877" i="1"/>
  <c r="BL866" i="1"/>
  <c r="AB877" i="1"/>
  <c r="F1359" i="1"/>
  <c r="F1368" i="1" s="1"/>
  <c r="X1085" i="1"/>
  <c r="X1087" i="1" s="1"/>
  <c r="X1104" i="1"/>
  <c r="X1111" i="1" s="1"/>
  <c r="BA81" i="1"/>
  <c r="AE41" i="468"/>
  <c r="BK19" i="1"/>
  <c r="BI528" i="1"/>
  <c r="AH536" i="1"/>
  <c r="AD536" i="1"/>
  <c r="AD1398" i="1"/>
  <c r="AD1397" i="1" s="1"/>
  <c r="S879" i="1"/>
  <c r="S866" i="1"/>
  <c r="BJ866" i="1" s="1"/>
  <c r="W879" i="1"/>
  <c r="F27" i="28"/>
  <c r="F63" i="28"/>
  <c r="F36" i="28"/>
  <c r="F41" i="28" s="1"/>
  <c r="F25" i="28"/>
  <c r="G25" i="28"/>
  <c r="E84" i="28"/>
  <c r="F79" i="28"/>
  <c r="I27" i="51"/>
  <c r="I28" i="51"/>
  <c r="AE63" i="28"/>
  <c r="AE36" i="28"/>
  <c r="AE41" i="28" s="1"/>
  <c r="AE25" i="28"/>
  <c r="AE27" i="28"/>
  <c r="AE79" i="28"/>
  <c r="AD84" i="28"/>
  <c r="AD90" i="28" s="1"/>
  <c r="M63" i="28"/>
  <c r="M36" i="28"/>
  <c r="M41" i="28" s="1"/>
  <c r="M25" i="28"/>
  <c r="M27" i="28"/>
  <c r="M28" i="28" s="1"/>
  <c r="L84" i="28"/>
  <c r="M79" i="28"/>
  <c r="N63" i="28"/>
  <c r="N36" i="28"/>
  <c r="N41" i="28" s="1"/>
  <c r="N25" i="28"/>
  <c r="N27" i="28"/>
  <c r="M84" i="28"/>
  <c r="N79" i="28"/>
  <c r="AD63" i="28"/>
  <c r="AD36" i="28"/>
  <c r="AD41" i="28" s="1"/>
  <c r="AD25" i="28"/>
  <c r="AD27" i="28"/>
  <c r="AD79" i="28"/>
  <c r="AC84" i="28"/>
  <c r="AC90" i="28" s="1"/>
  <c r="AE88" i="298"/>
  <c r="AE626" i="298"/>
  <c r="AE629" i="298" s="1"/>
  <c r="AE93" i="298"/>
  <c r="G46" i="51"/>
  <c r="X62" i="359"/>
  <c r="X143" i="359"/>
  <c r="X144" i="359" s="1"/>
  <c r="BB541" i="298"/>
  <c r="BB542" i="298"/>
  <c r="K66" i="3"/>
  <c r="BN47" i="1"/>
  <c r="BN39" i="1"/>
  <c r="AT283" i="298"/>
  <c r="AT284" i="298"/>
  <c r="AT227" i="298"/>
  <c r="AC78" i="28"/>
  <c r="AC83" i="28"/>
  <c r="H91" i="51"/>
  <c r="D9" i="3"/>
  <c r="BG19" i="1"/>
  <c r="BG46" i="1"/>
  <c r="BG44" i="1"/>
  <c r="BH13" i="1"/>
  <c r="BG45" i="1"/>
  <c r="M9" i="313"/>
  <c r="M8" i="267"/>
  <c r="R62" i="359"/>
  <c r="R143" i="359"/>
  <c r="R144" i="359" s="1"/>
  <c r="AU186" i="298"/>
  <c r="BB23" i="298"/>
  <c r="U659" i="1"/>
  <c r="Y659" i="1"/>
  <c r="AU53" i="1"/>
  <c r="AU50" i="1"/>
  <c r="AU58" i="1" s="1"/>
  <c r="AU81" i="1"/>
  <c r="AU54" i="1"/>
  <c r="AU72" i="1"/>
  <c r="S172" i="298"/>
  <c r="S166" i="298"/>
  <c r="W176" i="298" s="1"/>
  <c r="BC176" i="298" s="1"/>
  <c r="W172" i="298"/>
  <c r="R83" i="28"/>
  <c r="R78" i="28"/>
  <c r="AI1101" i="1"/>
  <c r="I43" i="51"/>
  <c r="H45" i="51"/>
  <c r="H47" i="51"/>
  <c r="BE41" i="298"/>
  <c r="I1362" i="1"/>
  <c r="BI22" i="1"/>
  <c r="BJ24" i="1" s="1"/>
  <c r="BJ25" i="1" s="1"/>
  <c r="BI310" i="1"/>
  <c r="BI1077" i="1"/>
  <c r="AI156" i="298"/>
  <c r="AI142" i="298" s="1"/>
  <c r="AH142" i="298"/>
  <c r="U46" i="298"/>
  <c r="U69" i="298"/>
  <c r="U60" i="298"/>
  <c r="AK46" i="298"/>
  <c r="AK69" i="298"/>
  <c r="AK60" i="298"/>
  <c r="K78" i="28"/>
  <c r="K83" i="28"/>
  <c r="X667" i="1"/>
  <c r="M38" i="3"/>
  <c r="X893" i="1"/>
  <c r="T882" i="1"/>
  <c r="T893" i="1"/>
  <c r="I10" i="313"/>
  <c r="I24" i="313"/>
  <c r="O1085" i="1"/>
  <c r="O1104" i="1"/>
  <c r="O1111" i="1" s="1"/>
  <c r="BI1083" i="1"/>
  <c r="BI1104" i="1" s="1"/>
  <c r="BI1111" i="1" s="1"/>
  <c r="BJ1112" i="1" s="1"/>
  <c r="AF435" i="1"/>
  <c r="AF433" i="1"/>
  <c r="J35" i="51"/>
  <c r="AG149" i="298"/>
  <c r="AF1347" i="1"/>
  <c r="AJ1347" i="1"/>
  <c r="M191" i="298"/>
  <c r="Q171" i="298"/>
  <c r="Q176" i="298"/>
  <c r="S29" i="313"/>
  <c r="S34" i="313" s="1"/>
  <c r="S24" i="313"/>
  <c r="AA531" i="1"/>
  <c r="P83" i="28"/>
  <c r="P78" i="28"/>
  <c r="P893" i="1"/>
  <c r="P882" i="1"/>
  <c r="J43" i="28"/>
  <c r="J46" i="28"/>
  <c r="AV50" i="1"/>
  <c r="AV58" i="1" s="1"/>
  <c r="D50" i="51"/>
  <c r="D19" i="51"/>
  <c r="D82" i="51"/>
  <c r="D33" i="51"/>
  <c r="D72" i="51"/>
  <c r="D10" i="51"/>
  <c r="E95" i="51"/>
  <c r="D65" i="51"/>
  <c r="E94" i="51"/>
  <c r="D24" i="51"/>
  <c r="G1362" i="1"/>
  <c r="M78" i="28"/>
  <c r="M83" i="28"/>
  <c r="BE13" i="298"/>
  <c r="BE640" i="298"/>
  <c r="BE39" i="298"/>
  <c r="BE639" i="298"/>
  <c r="T62" i="359"/>
  <c r="T143" i="359"/>
  <c r="T144" i="359" s="1"/>
  <c r="AE519" i="298"/>
  <c r="AE510" i="298"/>
  <c r="AE545" i="298"/>
  <c r="AE548" i="298" s="1"/>
  <c r="AE549" i="298" s="1"/>
  <c r="AE560" i="298"/>
  <c r="J1353" i="1"/>
  <c r="K1374" i="1"/>
  <c r="S315" i="1"/>
  <c r="O311" i="1"/>
  <c r="O320" i="1"/>
  <c r="R22" i="313"/>
  <c r="L1095" i="1"/>
  <c r="L1094" i="1"/>
  <c r="AI122" i="298"/>
  <c r="AH115" i="298"/>
  <c r="AH137" i="298"/>
  <c r="R877" i="1"/>
  <c r="R891" i="1" s="1"/>
  <c r="V877" i="1"/>
  <c r="Q143" i="359"/>
  <c r="Q144" i="359" s="1"/>
  <c r="Q62" i="359"/>
  <c r="K551" i="298"/>
  <c r="K557" i="298" s="1"/>
  <c r="K532" i="298"/>
  <c r="K534" i="298" s="1"/>
  <c r="AA298" i="1"/>
  <c r="AJ893" i="1"/>
  <c r="AB22" i="1"/>
  <c r="AB310" i="1"/>
  <c r="AB1077" i="1"/>
  <c r="G78" i="28"/>
  <c r="G83" i="28"/>
  <c r="BN911" i="1"/>
  <c r="BN905" i="1"/>
  <c r="AD519" i="298"/>
  <c r="AD545" i="298"/>
  <c r="AD548" i="298" s="1"/>
  <c r="AD510" i="298"/>
  <c r="O20" i="1"/>
  <c r="O109" i="1"/>
  <c r="Q182" i="298"/>
  <c r="Q191" i="298"/>
  <c r="Q186" i="298"/>
  <c r="U186" i="298"/>
  <c r="AH144" i="298"/>
  <c r="AH151" i="298" s="1"/>
  <c r="AI158" i="298"/>
  <c r="X535" i="1"/>
  <c r="BL649" i="1"/>
  <c r="AA659" i="1"/>
  <c r="AE659" i="1"/>
  <c r="E13" i="313"/>
  <c r="O49" i="1"/>
  <c r="O806" i="1"/>
  <c r="O26" i="1"/>
  <c r="O23" i="1"/>
  <c r="S23" i="1"/>
  <c r="D78" i="28"/>
  <c r="D83" i="28"/>
  <c r="W321" i="1"/>
  <c r="W316" i="1"/>
  <c r="T29" i="313"/>
  <c r="T34" i="313" s="1"/>
  <c r="T24" i="313"/>
  <c r="Y62" i="359"/>
  <c r="Y143" i="359"/>
  <c r="Y144" i="359" s="1"/>
  <c r="R1114" i="1"/>
  <c r="AW60" i="298"/>
  <c r="AW47" i="298"/>
  <c r="AZ47" i="298" s="1"/>
  <c r="AW69" i="298"/>
  <c r="AW45" i="298"/>
  <c r="AW46" i="298"/>
  <c r="AZ46" i="298" s="1"/>
  <c r="AG143" i="298"/>
  <c r="AG118" i="298"/>
  <c r="P1347" i="1"/>
  <c r="T1347" i="1"/>
  <c r="AW1045" i="1"/>
  <c r="AW1048" i="1"/>
  <c r="AW1049" i="1" s="1"/>
  <c r="S25" i="28"/>
  <c r="AC62" i="359"/>
  <c r="AC143" i="359"/>
  <c r="AC144" i="359" s="1"/>
  <c r="Q8" i="267"/>
  <c r="M60" i="298"/>
  <c r="M69" i="298"/>
  <c r="M46" i="298"/>
  <c r="Q57" i="298"/>
  <c r="Q48" i="298" s="1"/>
  <c r="Z893" i="1"/>
  <c r="V893" i="1"/>
  <c r="V882" i="1"/>
  <c r="K22" i="298"/>
  <c r="K24" i="298"/>
  <c r="K44" i="298"/>
  <c r="O22" i="298"/>
  <c r="AM45" i="298"/>
  <c r="AM51" i="298" s="1"/>
  <c r="AM46" i="298"/>
  <c r="AM69" i="298"/>
  <c r="AM47" i="298"/>
  <c r="AM60" i="298"/>
  <c r="AC63" i="28"/>
  <c r="AC36" i="28"/>
  <c r="AC41" i="28" s="1"/>
  <c r="AC25" i="28"/>
  <c r="AC27" i="28"/>
  <c r="AC28" i="28" s="1"/>
  <c r="AN46" i="298"/>
  <c r="AN45" i="298"/>
  <c r="AN51" i="298" s="1"/>
  <c r="AN47" i="298"/>
  <c r="AN60" i="298"/>
  <c r="AN69" i="298"/>
  <c r="AQ15" i="468"/>
  <c r="AQ20" i="468" s="1"/>
  <c r="AQ45" i="468"/>
  <c r="AQ98" i="468"/>
  <c r="AQ58" i="468"/>
  <c r="AR45" i="468"/>
  <c r="AB78" i="28"/>
  <c r="AB83" i="28"/>
  <c r="F77" i="51"/>
  <c r="E74" i="51"/>
  <c r="E84" i="51" s="1"/>
  <c r="BB1048" i="1"/>
  <c r="V21" i="313"/>
  <c r="M11" i="267"/>
  <c r="E52" i="276"/>
  <c r="W81" i="1"/>
  <c r="W72" i="1"/>
  <c r="W53" i="1"/>
  <c r="AA54" i="1"/>
  <c r="AA50" i="1"/>
  <c r="AA58" i="1" s="1"/>
  <c r="AY18" i="298"/>
  <c r="AZ19" i="298" s="1"/>
  <c r="AY640" i="298"/>
  <c r="AY710" i="298"/>
  <c r="AY716" i="298" s="1"/>
  <c r="AY639" i="298"/>
  <c r="AY638" i="298"/>
  <c r="BL660" i="1"/>
  <c r="BL909" i="1"/>
  <c r="BL905" i="1"/>
  <c r="BL906" i="1" s="1"/>
  <c r="BE638" i="298"/>
  <c r="R79" i="28"/>
  <c r="BD126" i="298"/>
  <c r="BD139" i="298"/>
  <c r="BE139" i="298"/>
  <c r="AD19" i="298"/>
  <c r="AD79" i="298"/>
  <c r="AH79" i="298" s="1"/>
  <c r="BE18" i="298"/>
  <c r="BE71" i="298" s="1"/>
  <c r="Q551" i="298"/>
  <c r="Q557" i="298" s="1"/>
  <c r="Q532" i="298"/>
  <c r="Q534" i="298" s="1"/>
  <c r="AG151" i="298"/>
  <c r="BI656" i="1"/>
  <c r="BJ656" i="1"/>
  <c r="BC172" i="298"/>
  <c r="BD172" i="298"/>
  <c r="BC166" i="298"/>
  <c r="AE79" i="298"/>
  <c r="AI79" i="298" s="1"/>
  <c r="AE19" i="298"/>
  <c r="AE71" i="298"/>
  <c r="AE76" i="298"/>
  <c r="AE668" i="1"/>
  <c r="AI668" i="1"/>
  <c r="AO41" i="468"/>
  <c r="AA78" i="28"/>
  <c r="AA83" i="28"/>
  <c r="U62" i="359"/>
  <c r="U143" i="359"/>
  <c r="U144" i="359" s="1"/>
  <c r="G54" i="51"/>
  <c r="AD560" i="298"/>
  <c r="S43" i="28"/>
  <c r="S46" i="28"/>
  <c r="G1085" i="1"/>
  <c r="G1104" i="1"/>
  <c r="G1111" i="1" s="1"/>
  <c r="BG1083" i="1"/>
  <c r="BG1104" i="1" s="1"/>
  <c r="BG1111" i="1" s="1"/>
  <c r="BE42" i="298"/>
  <c r="BE36" i="298"/>
  <c r="E64" i="292"/>
  <c r="E83" i="292"/>
  <c r="Q24" i="313"/>
  <c r="J78" i="28"/>
  <c r="J83" i="28"/>
  <c r="R893" i="1"/>
  <c r="R882" i="1"/>
  <c r="S55" i="468"/>
  <c r="V27" i="28"/>
  <c r="V63" i="28"/>
  <c r="V25" i="28"/>
  <c r="V36" i="28"/>
  <c r="V41" i="28" s="1"/>
  <c r="W25" i="28"/>
  <c r="D29" i="51"/>
  <c r="AI22" i="1"/>
  <c r="AI310" i="1"/>
  <c r="AI1077" i="1"/>
  <c r="BN855" i="1"/>
  <c r="U538" i="298"/>
  <c r="U63" i="298" s="1"/>
  <c r="BC63" i="298" s="1"/>
  <c r="U537" i="298"/>
  <c r="N69" i="298"/>
  <c r="N60" i="298"/>
  <c r="N47" i="298"/>
  <c r="R47" i="298"/>
  <c r="N45" i="298"/>
  <c r="N51" i="298" s="1"/>
  <c r="N46" i="298"/>
  <c r="R45" i="298"/>
  <c r="R51" i="298" s="1"/>
  <c r="R57" i="298"/>
  <c r="R48" i="298" s="1"/>
  <c r="P182" i="298"/>
  <c r="P191" i="298"/>
  <c r="P186" i="298"/>
  <c r="T186" i="298"/>
  <c r="BD639" i="298"/>
  <c r="AC493" i="298"/>
  <c r="BE493" i="298" s="1"/>
  <c r="BD493" i="298"/>
  <c r="BD494" i="298" s="1"/>
  <c r="BL663" i="1"/>
  <c r="Q24" i="298"/>
  <c r="Q22" i="298"/>
  <c r="Q44" i="298"/>
  <c r="Y80" i="28"/>
  <c r="BL910" i="1"/>
  <c r="BM910" i="1"/>
  <c r="S62" i="359"/>
  <c r="S143" i="359"/>
  <c r="S144" i="359" s="1"/>
  <c r="BC139" i="298"/>
  <c r="BC126" i="298"/>
  <c r="Q19" i="298"/>
  <c r="Q79" i="298"/>
  <c r="N84" i="28"/>
  <c r="AM84" i="28" s="1"/>
  <c r="BK649" i="1"/>
  <c r="AO39" i="468"/>
  <c r="W320" i="1"/>
  <c r="X16" i="267"/>
  <c r="BY54" i="468"/>
  <c r="AQ60" i="298"/>
  <c r="AQ45" i="298"/>
  <c r="AQ51" i="298" s="1"/>
  <c r="AQ46" i="298"/>
  <c r="AQ47" i="298"/>
  <c r="AQ69" i="298"/>
  <c r="AR47" i="298"/>
  <c r="AR45" i="298"/>
  <c r="AR51" i="298" s="1"/>
  <c r="BM47" i="1"/>
  <c r="BM39" i="1"/>
  <c r="G50" i="51"/>
  <c r="G56" i="51"/>
  <c r="G84" i="51" s="1"/>
  <c r="Z78" i="28"/>
  <c r="Z83" i="28"/>
  <c r="R536" i="1"/>
  <c r="V536" i="1"/>
  <c r="G26" i="1"/>
  <c r="G49" i="1"/>
  <c r="K23" i="1"/>
  <c r="I1376" i="1"/>
  <c r="H1355" i="1"/>
  <c r="H1364" i="1" s="1"/>
  <c r="AF113" i="1"/>
  <c r="AF117" i="1" s="1"/>
  <c r="AF90" i="1"/>
  <c r="AF91" i="1"/>
  <c r="P877" i="1"/>
  <c r="T877" i="1"/>
  <c r="AN110" i="468"/>
  <c r="AP61" i="298"/>
  <c r="AP86" i="298" s="1"/>
  <c r="AP92" i="298" s="1"/>
  <c r="H1375" i="1"/>
  <c r="G1379" i="1"/>
  <c r="G1358" i="1" s="1"/>
  <c r="P19" i="298"/>
  <c r="P79" i="298"/>
  <c r="H78" i="28"/>
  <c r="H83" i="28"/>
  <c r="S46" i="298"/>
  <c r="S69" i="298"/>
  <c r="S60" i="298"/>
  <c r="P551" i="298"/>
  <c r="P557" i="298" s="1"/>
  <c r="P532" i="298"/>
  <c r="P534" i="298" s="1"/>
  <c r="AC86" i="298"/>
  <c r="AC87" i="298" s="1"/>
  <c r="BE61" i="298"/>
  <c r="BE86" i="298" s="1"/>
  <c r="BE92" i="298" s="1"/>
  <c r="Z39" i="468"/>
  <c r="F52" i="51"/>
  <c r="F53" i="51"/>
  <c r="F47" i="51"/>
  <c r="F54" i="51"/>
  <c r="J514" i="1"/>
  <c r="BT99" i="468"/>
  <c r="BS98" i="468"/>
  <c r="BS109" i="468" s="1"/>
  <c r="BS110" i="468" s="1"/>
  <c r="R101" i="468"/>
  <c r="I1356" i="1"/>
  <c r="I1365" i="1" s="1"/>
  <c r="J1377" i="1"/>
  <c r="AT192" i="298"/>
  <c r="AT187" i="298"/>
  <c r="AU187" i="298"/>
  <c r="AL20" i="468"/>
  <c r="L877" i="1"/>
  <c r="BI866" i="1"/>
  <c r="AB28" i="28"/>
  <c r="AN86" i="28"/>
  <c r="AJ86" i="28"/>
  <c r="AK86" i="28"/>
  <c r="AL86" i="28"/>
  <c r="AM86" i="28"/>
  <c r="F78" i="28"/>
  <c r="F83" i="28"/>
  <c r="Y43" i="28"/>
  <c r="Y42" i="28"/>
  <c r="Y46" i="28"/>
  <c r="Y34" i="313"/>
  <c r="BB192" i="298"/>
  <c r="P44" i="298"/>
  <c r="P24" i="298"/>
  <c r="BC23" i="298"/>
  <c r="P22" i="298"/>
  <c r="T22" i="298"/>
  <c r="W78" i="28"/>
  <c r="W83" i="28"/>
  <c r="BU59" i="468"/>
  <c r="Y83" i="28"/>
  <c r="Y78" i="28"/>
  <c r="S78" i="28"/>
  <c r="S83" i="28"/>
  <c r="AK37" i="28"/>
  <c r="AL37" i="28"/>
  <c r="AM37" i="28"/>
  <c r="AN37" i="28"/>
  <c r="AJ37" i="28"/>
  <c r="T22" i="313"/>
  <c r="T78" i="28"/>
  <c r="T83" i="28"/>
  <c r="BA172" i="298"/>
  <c r="BB172" i="298"/>
  <c r="BA166" i="298"/>
  <c r="AY69" i="298"/>
  <c r="AY74" i="298" s="1"/>
  <c r="AY83" i="298" s="1"/>
  <c r="AY60" i="298"/>
  <c r="M57" i="3"/>
  <c r="BS45" i="468"/>
  <c r="BS61" i="468" s="1"/>
  <c r="BS58" i="468"/>
  <c r="BS59" i="468" s="1"/>
  <c r="BS60" i="468" s="1"/>
  <c r="Q1114" i="1"/>
  <c r="K20" i="1"/>
  <c r="AT532" i="298"/>
  <c r="AT534" i="298" s="1"/>
  <c r="AT551" i="298"/>
  <c r="AT557" i="298" s="1"/>
  <c r="F83" i="292"/>
  <c r="P43" i="28"/>
  <c r="P46" i="28"/>
  <c r="AB143" i="359"/>
  <c r="AB144" i="359" s="1"/>
  <c r="AB62" i="359"/>
  <c r="I34" i="313"/>
  <c r="D82" i="292"/>
  <c r="D37" i="51"/>
  <c r="E36" i="51"/>
  <c r="E35" i="51"/>
  <c r="K19" i="298"/>
  <c r="K79" i="298"/>
  <c r="BM656" i="1"/>
  <c r="BD36" i="298"/>
  <c r="BD42" i="298"/>
  <c r="BD40" i="298"/>
  <c r="AW342" i="298"/>
  <c r="AW339" i="298"/>
  <c r="E78" i="28"/>
  <c r="E83" i="28"/>
  <c r="Q22" i="313"/>
  <c r="V667" i="1"/>
  <c r="R98" i="292"/>
  <c r="BW98" i="468"/>
  <c r="BW109" i="468" s="1"/>
  <c r="BX99" i="468"/>
  <c r="AH101" i="468"/>
  <c r="AH109" i="468"/>
  <c r="AH110" i="468" s="1"/>
  <c r="C41" i="292"/>
  <c r="C44" i="292"/>
  <c r="W62" i="359"/>
  <c r="W143" i="359"/>
  <c r="W144" i="359" s="1"/>
  <c r="BB126" i="298"/>
  <c r="BB139" i="298"/>
  <c r="BL47" i="1"/>
  <c r="BL39" i="1"/>
  <c r="Q83" i="28"/>
  <c r="Q78" i="28"/>
  <c r="S20" i="1"/>
  <c r="O83" i="28"/>
  <c r="O78" i="28"/>
  <c r="AV60" i="298"/>
  <c r="AV69" i="298"/>
  <c r="AV46" i="298"/>
  <c r="AY46" i="298" s="1"/>
  <c r="AG110" i="468"/>
  <c r="V78" i="28"/>
  <c r="V83" i="28"/>
  <c r="BM660" i="1"/>
  <c r="BN660" i="1"/>
  <c r="AB43" i="28"/>
  <c r="AB42" i="28"/>
  <c r="AB46" i="28"/>
  <c r="AK84" i="28"/>
  <c r="AN84" i="28"/>
  <c r="AL84" i="28"/>
  <c r="U668" i="1"/>
  <c r="AF21" i="298"/>
  <c r="AF181" i="298"/>
  <c r="AF524" i="298"/>
  <c r="AJ430" i="1"/>
  <c r="AJ432" i="1"/>
  <c r="BL536" i="1"/>
  <c r="BL533" i="1"/>
  <c r="BM533" i="1"/>
  <c r="BB191" i="298"/>
  <c r="BJ660" i="1"/>
  <c r="BJ1114" i="1"/>
  <c r="N78" i="28"/>
  <c r="N83" i="28"/>
  <c r="X10" i="313"/>
  <c r="X34" i="313"/>
  <c r="E41" i="292"/>
  <c r="E44" i="292"/>
  <c r="K43" i="28"/>
  <c r="K42" i="28"/>
  <c r="K46" i="28"/>
  <c r="G1357" i="1"/>
  <c r="AS283" i="298"/>
  <c r="AS284" i="298"/>
  <c r="AS227" i="298"/>
  <c r="AE78" i="28"/>
  <c r="AD75" i="298"/>
  <c r="AD83" i="298"/>
  <c r="AD87" i="298" s="1"/>
  <c r="AD76" i="298"/>
  <c r="AF109" i="298"/>
  <c r="AE109" i="298"/>
  <c r="BE74" i="298"/>
  <c r="AT22" i="298"/>
  <c r="AT24" i="298"/>
  <c r="AT44" i="298"/>
  <c r="AU22" i="298"/>
  <c r="O85" i="28"/>
  <c r="L370" i="298"/>
  <c r="L372" i="298"/>
  <c r="AC659" i="1"/>
  <c r="BM649" i="1"/>
  <c r="Z28" i="28"/>
  <c r="R27" i="28"/>
  <c r="R28" i="28" s="1"/>
  <c r="R63" i="28"/>
  <c r="R36" i="28"/>
  <c r="R41" i="28" s="1"/>
  <c r="S42" i="28" s="1"/>
  <c r="R25" i="28"/>
  <c r="Y19" i="298"/>
  <c r="AC19" i="298"/>
  <c r="Y79" i="298"/>
  <c r="BL857" i="1"/>
  <c r="BL858" i="1" s="1"/>
  <c r="AB857" i="1"/>
  <c r="AO45" i="298"/>
  <c r="AO51" i="298" s="1"/>
  <c r="AB177" i="298"/>
  <c r="BE14" i="298"/>
  <c r="BE177" i="298" s="1"/>
  <c r="AC535" i="1"/>
  <c r="BF114" i="298"/>
  <c r="BA549" i="298"/>
  <c r="BB549" i="298"/>
  <c r="AA59" i="1"/>
  <c r="BR54" i="468"/>
  <c r="BS54" i="468"/>
  <c r="AK55" i="468"/>
  <c r="AH50" i="468"/>
  <c r="AH61" i="468"/>
  <c r="AH49" i="468"/>
  <c r="AH51" i="468"/>
  <c r="M819" i="1"/>
  <c r="I1378" i="1"/>
  <c r="H1357" i="1"/>
  <c r="H1366" i="1" s="1"/>
  <c r="D53" i="1"/>
  <c r="D72" i="1"/>
  <c r="D81" i="1"/>
  <c r="AH143" i="359"/>
  <c r="AH144" i="359" s="1"/>
  <c r="AH62" i="359"/>
  <c r="D27" i="3"/>
  <c r="BG26" i="1"/>
  <c r="BG49" i="1"/>
  <c r="BG806" i="1"/>
  <c r="K514" i="1"/>
  <c r="O523" i="1" s="1"/>
  <c r="S531" i="1" s="1"/>
  <c r="BA369" i="298"/>
  <c r="BA431" i="298"/>
  <c r="L28" i="28"/>
  <c r="BN430" i="1"/>
  <c r="BN432" i="1"/>
  <c r="BN428" i="1"/>
  <c r="F24" i="51"/>
  <c r="F10" i="51"/>
  <c r="F19" i="51"/>
  <c r="F94" i="51"/>
  <c r="F95" i="51"/>
  <c r="F72" i="51"/>
  <c r="F82" i="51"/>
  <c r="F46" i="51"/>
  <c r="F33" i="51"/>
  <c r="F65" i="51"/>
  <c r="F29" i="51"/>
  <c r="Y519" i="298"/>
  <c r="BD505" i="298"/>
  <c r="Y545" i="298"/>
  <c r="Y548" i="298" s="1"/>
  <c r="Y549" i="298" s="1"/>
  <c r="Y510" i="298"/>
  <c r="BM905" i="1"/>
  <c r="BM909" i="1"/>
  <c r="BN909" i="1"/>
  <c r="BD13" i="298"/>
  <c r="BD640" i="298"/>
  <c r="BD39" i="298"/>
  <c r="AO47" i="298"/>
  <c r="U84" i="28"/>
  <c r="U90" i="28" s="1"/>
  <c r="BA44" i="298"/>
  <c r="BA24" i="298"/>
  <c r="AF86" i="298"/>
  <c r="AF87" i="298" s="1"/>
  <c r="BA13" i="298"/>
  <c r="BA18" i="298"/>
  <c r="BA41" i="298"/>
  <c r="BA40" i="298"/>
  <c r="BA39" i="298"/>
  <c r="BA640" i="298"/>
  <c r="BA639" i="298"/>
  <c r="BA638" i="298"/>
  <c r="BA42" i="298"/>
  <c r="BB13" i="298"/>
  <c r="BF145" i="298"/>
  <c r="AH152" i="298"/>
  <c r="AH59" i="468"/>
  <c r="AH36" i="468"/>
  <c r="AH41" i="468" s="1"/>
  <c r="AH34" i="468"/>
  <c r="AH39" i="468" s="1"/>
  <c r="L78" i="28"/>
  <c r="L83" i="28"/>
  <c r="AH664" i="1"/>
  <c r="AD664" i="1"/>
  <c r="AN656" i="1"/>
  <c r="AN682" i="1" s="1"/>
  <c r="D83" i="292"/>
  <c r="H551" i="298"/>
  <c r="H557" i="298" s="1"/>
  <c r="AZ530" i="298"/>
  <c r="AZ551" i="298" s="1"/>
  <c r="AZ557" i="298" s="1"/>
  <c r="H532" i="298"/>
  <c r="AT266" i="298"/>
  <c r="H19" i="298"/>
  <c r="H79" i="298"/>
  <c r="L19" i="298"/>
  <c r="O63" i="28"/>
  <c r="O36" i="28"/>
  <c r="O41" i="28" s="1"/>
  <c r="P42" i="28" s="1"/>
  <c r="O25" i="28"/>
  <c r="O27" i="28"/>
  <c r="L444" i="1"/>
  <c r="L446" i="1"/>
  <c r="G1354" i="1"/>
  <c r="G1363" i="1" s="1"/>
  <c r="M370" i="298"/>
  <c r="M372" i="298"/>
  <c r="AS266" i="298"/>
  <c r="AS253" i="298"/>
  <c r="AA43" i="28"/>
  <c r="AA42" i="28"/>
  <c r="AA46" i="28"/>
  <c r="AC79" i="28"/>
  <c r="AG143" i="359"/>
  <c r="AG144" i="359" s="1"/>
  <c r="AG62" i="359"/>
  <c r="AD71" i="298"/>
  <c r="E34" i="313"/>
  <c r="S22" i="313"/>
  <c r="AC668" i="1"/>
  <c r="Z43" i="28"/>
  <c r="Z42" i="28"/>
  <c r="Z46" i="28"/>
  <c r="AS81" i="1"/>
  <c r="AS72" i="1"/>
  <c r="AS53" i="1"/>
  <c r="AS61" i="298"/>
  <c r="AS86" i="298" s="1"/>
  <c r="AS92" i="298" s="1"/>
  <c r="F41" i="292"/>
  <c r="F44" i="292"/>
  <c r="Z88" i="298"/>
  <c r="Z626" i="298"/>
  <c r="Z629" i="298" s="1"/>
  <c r="Z93" i="298"/>
  <c r="O79" i="28"/>
  <c r="AJ55" i="468"/>
  <c r="W20" i="1"/>
  <c r="W109" i="1"/>
  <c r="BJ886" i="1"/>
  <c r="BK886" i="1"/>
  <c r="V79" i="28"/>
  <c r="AK85" i="28"/>
  <c r="L43" i="28"/>
  <c r="L42" i="28"/>
  <c r="L46" i="28"/>
  <c r="AT334" i="298"/>
  <c r="AT324" i="298"/>
  <c r="W14" i="298"/>
  <c r="AB21" i="298"/>
  <c r="AB181" i="298"/>
  <c r="AB524" i="298"/>
  <c r="E54" i="51"/>
  <c r="U83" i="28"/>
  <c r="U78" i="28"/>
  <c r="AP861" i="1"/>
  <c r="AF65" i="298"/>
  <c r="AN40" i="468"/>
  <c r="AO40" i="468"/>
  <c r="X78" i="28"/>
  <c r="X83" i="28"/>
  <c r="AD143" i="359"/>
  <c r="AD144" i="359" s="1"/>
  <c r="AD62" i="359"/>
  <c r="G95" i="51"/>
  <c r="G29" i="51"/>
  <c r="G65" i="51"/>
  <c r="G19" i="51"/>
  <c r="G94" i="51"/>
  <c r="G82" i="51"/>
  <c r="G37" i="51"/>
  <c r="G33" i="51"/>
  <c r="G10" i="51"/>
  <c r="G72" i="51"/>
  <c r="G24" i="51"/>
  <c r="BI1102" i="1"/>
  <c r="BJ1102" i="1"/>
  <c r="H24" i="298"/>
  <c r="H22" i="298"/>
  <c r="H44" i="298"/>
  <c r="L22" i="298"/>
  <c r="D65" i="3"/>
  <c r="AV19" i="298"/>
  <c r="AW19" i="298"/>
  <c r="AV79" i="298"/>
  <c r="AY79" i="298" s="1"/>
  <c r="BI509" i="1"/>
  <c r="BI443" i="1"/>
  <c r="T535" i="1"/>
  <c r="BM73" i="1"/>
  <c r="BM116" i="1" s="1"/>
  <c r="H61" i="523" s="1"/>
  <c r="AB116" i="1"/>
  <c r="AB117" i="1" s="1"/>
  <c r="AA139" i="298"/>
  <c r="W126" i="298"/>
  <c r="O139" i="298"/>
  <c r="AE139" i="298"/>
  <c r="J9" i="51"/>
  <c r="D46" i="51"/>
  <c r="D51" i="51"/>
  <c r="D54" i="51" s="1"/>
  <c r="M659" i="1"/>
  <c r="BI649" i="1"/>
  <c r="Q659" i="1"/>
  <c r="AF358" i="298"/>
  <c r="AA118" i="1"/>
  <c r="AA1190" i="1"/>
  <c r="AA1193" i="1" s="1"/>
  <c r="AA124" i="1"/>
  <c r="J30" i="51"/>
  <c r="J26" i="51" s="1"/>
  <c r="I32" i="51"/>
  <c r="F49" i="3"/>
  <c r="W1114" i="1"/>
  <c r="AA1112" i="1"/>
  <c r="AB1102" i="1"/>
  <c r="I78" i="28"/>
  <c r="I83" i="28"/>
  <c r="BW45" i="468"/>
  <c r="BW61" i="468" s="1"/>
  <c r="BW58" i="468"/>
  <c r="C83" i="292"/>
  <c r="W10" i="313"/>
  <c r="W34" i="313"/>
  <c r="AD78" i="28"/>
  <c r="AD83" i="28"/>
  <c r="AI649" i="1"/>
  <c r="AI657" i="1"/>
  <c r="AI665" i="1" s="1"/>
  <c r="AF12" i="28"/>
  <c r="F9" i="3"/>
  <c r="D8" i="292"/>
  <c r="BI13" i="1"/>
  <c r="BI19" i="1"/>
  <c r="BI44" i="1"/>
  <c r="BI1204" i="1"/>
  <c r="BI1203" i="1"/>
  <c r="BI45" i="1"/>
  <c r="BI1202" i="1"/>
  <c r="BJ13" i="1"/>
  <c r="BI47" i="1"/>
  <c r="BI46" i="1"/>
  <c r="AF62" i="359"/>
  <c r="AF143" i="359"/>
  <c r="AF144" i="359" s="1"/>
  <c r="S192" i="298"/>
  <c r="AZ21" i="298"/>
  <c r="AZ44" i="298" s="1"/>
  <c r="AZ182" i="298"/>
  <c r="AZ524" i="298"/>
  <c r="AA39" i="468"/>
  <c r="BH649" i="1"/>
  <c r="O659" i="1"/>
  <c r="AI55" i="468"/>
  <c r="AB74" i="1"/>
  <c r="AB76" i="1" s="1"/>
  <c r="V62" i="359"/>
  <c r="V143" i="359"/>
  <c r="V144" i="359" s="1"/>
  <c r="AV339" i="298"/>
  <c r="AV342" i="298"/>
  <c r="AV343" i="298" s="1"/>
  <c r="O19" i="298"/>
  <c r="AB41" i="468"/>
  <c r="AA60" i="1" l="1"/>
  <c r="T894" i="1"/>
  <c r="BL489" i="1"/>
  <c r="BK489" i="1"/>
  <c r="BK423" i="1"/>
  <c r="BL425" i="1" s="1"/>
  <c r="AI60" i="1"/>
  <c r="Z894" i="1"/>
  <c r="P894" i="1"/>
  <c r="AF894" i="1"/>
  <c r="BM1309" i="1"/>
  <c r="AE894" i="1"/>
  <c r="AH894" i="1"/>
  <c r="AC894" i="1"/>
  <c r="AG894" i="1"/>
  <c r="O527" i="1"/>
  <c r="AI385" i="1"/>
  <c r="AE518" i="1"/>
  <c r="W526" i="1"/>
  <c r="BJ518" i="1"/>
  <c r="S526" i="1"/>
  <c r="S534" i="1" s="1"/>
  <c r="S519" i="1"/>
  <c r="AK393" i="1"/>
  <c r="AK391" i="1" s="1"/>
  <c r="AO395" i="1"/>
  <c r="BI527" i="1"/>
  <c r="T758" i="1"/>
  <c r="T766" i="1" s="1"/>
  <c r="T747" i="1"/>
  <c r="AC701" i="1"/>
  <c r="AC751" i="1"/>
  <c r="AG701" i="1"/>
  <c r="AB701" i="1"/>
  <c r="AB751" i="1"/>
  <c r="AF701" i="1"/>
  <c r="X701" i="1"/>
  <c r="X751" i="1"/>
  <c r="U701" i="1"/>
  <c r="U751" i="1"/>
  <c r="AE701" i="1"/>
  <c r="AE751" i="1"/>
  <c r="AI701" i="1"/>
  <c r="Z747" i="1"/>
  <c r="Z758" i="1"/>
  <c r="AA747" i="1"/>
  <c r="Y701" i="1"/>
  <c r="Y751" i="1"/>
  <c r="V758" i="1"/>
  <c r="V766" i="1" s="1"/>
  <c r="V747" i="1"/>
  <c r="W701" i="1"/>
  <c r="W751" i="1"/>
  <c r="AA758" i="1" s="1"/>
  <c r="AD701" i="1"/>
  <c r="AD751" i="1"/>
  <c r="AH701" i="1"/>
  <c r="BM914" i="1"/>
  <c r="BM906" i="1"/>
  <c r="BO914" i="1"/>
  <c r="BO906" i="1"/>
  <c r="AJ914" i="1"/>
  <c r="AJ916" i="1" s="1"/>
  <c r="AJ931" i="1"/>
  <c r="AF931" i="1"/>
  <c r="BN914" i="1"/>
  <c r="BN906" i="1"/>
  <c r="AG925" i="1"/>
  <c r="AJ925" i="1"/>
  <c r="BL912" i="1"/>
  <c r="BL914" i="1"/>
  <c r="BL916" i="1" s="1"/>
  <c r="BL915" i="1" s="1"/>
  <c r="AG914" i="1"/>
  <c r="AB914" i="1"/>
  <c r="X924" i="1"/>
  <c r="AB931" i="1" s="1"/>
  <c r="AB925" i="1"/>
  <c r="BJ763" i="1"/>
  <c r="BK755" i="1"/>
  <c r="BK763" i="1" s="1"/>
  <c r="W763" i="1"/>
  <c r="AE763" i="1"/>
  <c r="AN756" i="1"/>
  <c r="AN764" i="1" s="1"/>
  <c r="AA763" i="1"/>
  <c r="BJ385" i="1"/>
  <c r="AM747" i="1"/>
  <c r="BO747" i="1" s="1"/>
  <c r="AQ749" i="1"/>
  <c r="BP749" i="1" s="1"/>
  <c r="AM756" i="1"/>
  <c r="AJ754" i="1"/>
  <c r="AJ759" i="1"/>
  <c r="BK985" i="1"/>
  <c r="BK989" i="1"/>
  <c r="AP764" i="1"/>
  <c r="AL764" i="1"/>
  <c r="BP865" i="1"/>
  <c r="BP876" i="1" s="1"/>
  <c r="BP890" i="1" s="1"/>
  <c r="AM58" i="28"/>
  <c r="AN58" i="28"/>
  <c r="BI981" i="1"/>
  <c r="AL754" i="1"/>
  <c r="AL759" i="1"/>
  <c r="AP747" i="1"/>
  <c r="BI983" i="1"/>
  <c r="AH74" i="28"/>
  <c r="AH75" i="28" s="1"/>
  <c r="AN75" i="28" s="1"/>
  <c r="BO749" i="1"/>
  <c r="BO756" i="1" s="1"/>
  <c r="BO764" i="1" s="1"/>
  <c r="BI985" i="1"/>
  <c r="AI747" i="1"/>
  <c r="AI755" i="1"/>
  <c r="AI763" i="1" s="1"/>
  <c r="BN748" i="1"/>
  <c r="AM755" i="1"/>
  <c r="BJ985" i="1"/>
  <c r="BM748" i="1"/>
  <c r="BM755" i="1" s="1"/>
  <c r="BM763" i="1" s="1"/>
  <c r="AB755" i="1"/>
  <c r="AB763" i="1" s="1"/>
  <c r="AF755" i="1"/>
  <c r="AN747" i="1"/>
  <c r="BJ983" i="1"/>
  <c r="BJ981" i="1"/>
  <c r="BJ976" i="1"/>
  <c r="AK58" i="28"/>
  <c r="BK981" i="1"/>
  <c r="BK976" i="1"/>
  <c r="BN744" i="1"/>
  <c r="AM690" i="1"/>
  <c r="AH64" i="28"/>
  <c r="AK64" i="28" s="1"/>
  <c r="BI976" i="1"/>
  <c r="BM985" i="1"/>
  <c r="AL58" i="28"/>
  <c r="BM981" i="1"/>
  <c r="BM989" i="1"/>
  <c r="BM983" i="1"/>
  <c r="BL981" i="1"/>
  <c r="BL989" i="1"/>
  <c r="BL985" i="1"/>
  <c r="BL983" i="1"/>
  <c r="BL976" i="1"/>
  <c r="BM976" i="1"/>
  <c r="BK425" i="1"/>
  <c r="AJ26" i="1"/>
  <c r="BN672" i="1"/>
  <c r="BO385" i="1"/>
  <c r="BN337" i="1"/>
  <c r="BO338" i="1" s="1"/>
  <c r="AM338" i="1"/>
  <c r="AE385" i="1"/>
  <c r="BM384" i="1"/>
  <c r="BM385" i="1" s="1"/>
  <c r="C121" i="523"/>
  <c r="F9" i="523"/>
  <c r="C52" i="523"/>
  <c r="F30" i="523"/>
  <c r="C110" i="523"/>
  <c r="F110" i="523"/>
  <c r="D9" i="523"/>
  <c r="D121" i="523"/>
  <c r="G52" i="523"/>
  <c r="G121" i="523"/>
  <c r="G43" i="523"/>
  <c r="D110" i="523"/>
  <c r="D43" i="523"/>
  <c r="D30" i="523"/>
  <c r="D52" i="523"/>
  <c r="G110" i="523"/>
  <c r="I1267" i="1"/>
  <c r="I188" i="1"/>
  <c r="BJ214" i="1"/>
  <c r="BJ215" i="1" s="1"/>
  <c r="V214" i="1"/>
  <c r="V215" i="1" s="1"/>
  <c r="Z195" i="1"/>
  <c r="Z196" i="1" s="1"/>
  <c r="H110" i="523"/>
  <c r="Z24" i="523"/>
  <c r="AA24" i="523" s="1"/>
  <c r="BI163" i="1"/>
  <c r="BJ163" i="1"/>
  <c r="BG1267" i="1"/>
  <c r="BG1268" i="1" s="1"/>
  <c r="BG188" i="1"/>
  <c r="G1267" i="1"/>
  <c r="G188" i="1"/>
  <c r="H9" i="523"/>
  <c r="BB1267" i="1"/>
  <c r="BB1268" i="1" s="1"/>
  <c r="BB188" i="1"/>
  <c r="K1267" i="1"/>
  <c r="K188" i="1"/>
  <c r="R1267" i="1"/>
  <c r="R188" i="1"/>
  <c r="V195" i="1" s="1"/>
  <c r="V196" i="1" s="1"/>
  <c r="H52" i="523"/>
  <c r="W195" i="1"/>
  <c r="AA195" i="1"/>
  <c r="AA196" i="1" s="1"/>
  <c r="W214" i="1"/>
  <c r="W215" i="1" s="1"/>
  <c r="L1267" i="1"/>
  <c r="L188" i="1"/>
  <c r="H121" i="523"/>
  <c r="O1267" i="1"/>
  <c r="O188" i="1"/>
  <c r="T1267" i="1"/>
  <c r="T188" i="1"/>
  <c r="X1267" i="1"/>
  <c r="AB1269" i="1" s="1"/>
  <c r="X188" i="1"/>
  <c r="BD1267" i="1"/>
  <c r="BD1268" i="1" s="1"/>
  <c r="BD188" i="1"/>
  <c r="H43" i="523"/>
  <c r="U214" i="1"/>
  <c r="U215" i="1" s="1"/>
  <c r="U195" i="1"/>
  <c r="U196" i="1" s="1"/>
  <c r="AN924" i="1"/>
  <c r="I110" i="523"/>
  <c r="I9" i="523"/>
  <c r="I121" i="523"/>
  <c r="I52" i="523"/>
  <c r="BK163" i="1"/>
  <c r="F52" i="523"/>
  <c r="K143" i="523"/>
  <c r="K144" i="523" s="1"/>
  <c r="L148" i="523" s="1"/>
  <c r="F121" i="523"/>
  <c r="I43" i="523"/>
  <c r="BL163" i="1"/>
  <c r="BM163" i="1"/>
  <c r="G9" i="523"/>
  <c r="BN163" i="1"/>
  <c r="BO163" i="1"/>
  <c r="AK39" i="468"/>
  <c r="AK41" i="468"/>
  <c r="AC891" i="1"/>
  <c r="AJ519" i="1"/>
  <c r="AJ395" i="1" s="1"/>
  <c r="AJ393" i="1" s="1"/>
  <c r="AJ391" i="1" s="1"/>
  <c r="AN391" i="1" s="1"/>
  <c r="AN399" i="1" s="1"/>
  <c r="AP71" i="298"/>
  <c r="Y894" i="1"/>
  <c r="BK879" i="1"/>
  <c r="BK882" i="1" s="1"/>
  <c r="AF535" i="1"/>
  <c r="BJ879" i="1"/>
  <c r="BJ893" i="1" s="1"/>
  <c r="AJ894" i="1"/>
  <c r="AE891" i="1"/>
  <c r="BM894" i="1"/>
  <c r="AN525" i="1"/>
  <c r="AN533" i="1" s="1"/>
  <c r="C52" i="525"/>
  <c r="AF891" i="1"/>
  <c r="D50" i="525"/>
  <c r="H57" i="525" s="1"/>
  <c r="AO392" i="1"/>
  <c r="B50" i="525"/>
  <c r="B52" i="525" s="1"/>
  <c r="K51" i="525"/>
  <c r="L58" i="525" s="1"/>
  <c r="L17" i="525"/>
  <c r="P49" i="525"/>
  <c r="F58" i="525"/>
  <c r="L32" i="525"/>
  <c r="S13" i="525"/>
  <c r="BN392" i="1"/>
  <c r="R9" i="525"/>
  <c r="X9" i="525" s="1"/>
  <c r="S49" i="525"/>
  <c r="S40" i="525"/>
  <c r="F13" i="525"/>
  <c r="U56" i="525"/>
  <c r="L55" i="525"/>
  <c r="F52" i="525"/>
  <c r="AM392" i="1"/>
  <c r="V9" i="525" s="1"/>
  <c r="Y9" i="525" s="1"/>
  <c r="I9" i="525"/>
  <c r="I13" i="525" s="1"/>
  <c r="X39" i="525"/>
  <c r="AK400" i="1"/>
  <c r="AO408" i="1" s="1"/>
  <c r="K49" i="525"/>
  <c r="K50" i="525" s="1"/>
  <c r="K43" i="525"/>
  <c r="E50" i="525"/>
  <c r="I55" i="525"/>
  <c r="AM894" i="1"/>
  <c r="BN897" i="1"/>
  <c r="BJ894" i="1"/>
  <c r="BN894" i="1"/>
  <c r="AI894" i="1"/>
  <c r="AD894" i="1"/>
  <c r="BM897" i="1"/>
  <c r="W897" i="1"/>
  <c r="AL894" i="1"/>
  <c r="X894" i="1"/>
  <c r="AB894" i="1"/>
  <c r="S880" i="1"/>
  <c r="S894" i="1" s="1"/>
  <c r="W880" i="1"/>
  <c r="BK880" i="1"/>
  <c r="BM1347" i="1"/>
  <c r="BJ883" i="1"/>
  <c r="BJ897" i="1" s="1"/>
  <c r="AM39" i="468"/>
  <c r="BK883" i="1"/>
  <c r="AQ515" i="1"/>
  <c r="BP515" i="1" s="1"/>
  <c r="AM517" i="1"/>
  <c r="AM519" i="1" s="1"/>
  <c r="AM395" i="1" s="1"/>
  <c r="AI896" i="1"/>
  <c r="AM402" i="1"/>
  <c r="AQ410" i="1" s="1"/>
  <c r="AQ394" i="1"/>
  <c r="AJ400" i="1"/>
  <c r="AN408" i="1" s="1"/>
  <c r="BN394" i="1"/>
  <c r="AK403" i="1"/>
  <c r="AO411" i="1" s="1"/>
  <c r="AL400" i="1"/>
  <c r="AP408" i="1" s="1"/>
  <c r="AP392" i="1"/>
  <c r="AM41" i="468"/>
  <c r="AJ896" i="1"/>
  <c r="BP648" i="1"/>
  <c r="BP658" i="1" s="1"/>
  <c r="BP666" i="1" s="1"/>
  <c r="AM684" i="1"/>
  <c r="AQ674" i="1"/>
  <c r="BP674" i="1" s="1"/>
  <c r="BO674" i="1"/>
  <c r="BO684" i="1" s="1"/>
  <c r="AL647" i="1"/>
  <c r="AL672" i="1"/>
  <c r="AM649" i="1"/>
  <c r="AM675" i="1" s="1"/>
  <c r="AM671" i="1" s="1"/>
  <c r="AI659" i="1"/>
  <c r="AI667" i="1" s="1"/>
  <c r="AI675" i="1"/>
  <c r="AI671" i="1" s="1"/>
  <c r="AI577" i="1" s="1"/>
  <c r="P1095" i="1"/>
  <c r="R1095" i="1"/>
  <c r="Q1094" i="1"/>
  <c r="BL1266" i="1"/>
  <c r="AP70" i="298"/>
  <c r="U558" i="298"/>
  <c r="AT82" i="1"/>
  <c r="AT89" i="1"/>
  <c r="AT93" i="1" s="1"/>
  <c r="J89" i="1"/>
  <c r="J113" i="1" s="1"/>
  <c r="J117" i="1" s="1"/>
  <c r="AL81" i="28"/>
  <c r="AD1190" i="1"/>
  <c r="AD1193" i="1" s="1"/>
  <c r="AD118" i="1"/>
  <c r="G123" i="503"/>
  <c r="G124" i="503" s="1"/>
  <c r="G123" i="523"/>
  <c r="F74" i="298"/>
  <c r="F76" i="298" s="1"/>
  <c r="F80" i="298" s="1"/>
  <c r="AA63" i="522"/>
  <c r="AE1094" i="1"/>
  <c r="AO71" i="298"/>
  <c r="F123" i="523"/>
  <c r="F124" i="523" s="1"/>
  <c r="AO74" i="298"/>
  <c r="AO76" i="298" s="1"/>
  <c r="AO80" i="298" s="1"/>
  <c r="Q19" i="267"/>
  <c r="H123" i="504"/>
  <c r="I124" i="504" s="1"/>
  <c r="AO70" i="298"/>
  <c r="AF86" i="28"/>
  <c r="F110" i="504"/>
  <c r="H123" i="503"/>
  <c r="BC53" i="1"/>
  <c r="BC1267" i="1"/>
  <c r="BC1268" i="1" s="1"/>
  <c r="H72" i="1"/>
  <c r="H73" i="1" s="1"/>
  <c r="H116" i="1" s="1"/>
  <c r="H1267" i="1"/>
  <c r="G110" i="503"/>
  <c r="J50" i="1"/>
  <c r="F1267" i="1"/>
  <c r="E81" i="1"/>
  <c r="E83" i="1" s="1"/>
  <c r="E1267" i="1"/>
  <c r="BN1113" i="1"/>
  <c r="I25" i="523"/>
  <c r="H110" i="504"/>
  <c r="I110" i="504"/>
  <c r="I123" i="523"/>
  <c r="J124" i="523" s="1"/>
  <c r="H123" i="523"/>
  <c r="E13" i="523"/>
  <c r="BJ1267" i="1"/>
  <c r="I110" i="503"/>
  <c r="E124" i="504"/>
  <c r="G121" i="504"/>
  <c r="H110" i="503"/>
  <c r="H33" i="523"/>
  <c r="H17" i="523"/>
  <c r="Z26" i="523"/>
  <c r="H64" i="523"/>
  <c r="H126" i="523"/>
  <c r="C110" i="504"/>
  <c r="D110" i="504"/>
  <c r="D121" i="504"/>
  <c r="W50" i="1"/>
  <c r="W58" i="1" s="1"/>
  <c r="S1267" i="1"/>
  <c r="AE93" i="1"/>
  <c r="AE94" i="1" s="1"/>
  <c r="F110" i="503"/>
  <c r="C124" i="523"/>
  <c r="C124" i="503"/>
  <c r="C124" i="504"/>
  <c r="U72" i="1"/>
  <c r="U73" i="1" s="1"/>
  <c r="U116" i="1" s="1"/>
  <c r="U1267" i="1"/>
  <c r="G11" i="267"/>
  <c r="G18" i="267" s="1"/>
  <c r="G19" i="267" s="1"/>
  <c r="Q1267" i="1"/>
  <c r="E53" i="276"/>
  <c r="H53" i="276" s="1"/>
  <c r="V1267" i="1"/>
  <c r="BN1266" i="1"/>
  <c r="C110" i="503"/>
  <c r="E124" i="523"/>
  <c r="F123" i="504"/>
  <c r="G124" i="504" s="1"/>
  <c r="P81" i="1"/>
  <c r="P83" i="1" s="1"/>
  <c r="P1267" i="1"/>
  <c r="D11" i="267"/>
  <c r="D18" i="267" s="1"/>
  <c r="N1267" i="1"/>
  <c r="D121" i="503"/>
  <c r="D110" i="503"/>
  <c r="F124" i="503"/>
  <c r="E124" i="503"/>
  <c r="BM1268" i="1"/>
  <c r="I52" i="504"/>
  <c r="D52" i="504"/>
  <c r="C30" i="504"/>
  <c r="H30" i="504"/>
  <c r="F9" i="504"/>
  <c r="C30" i="503"/>
  <c r="H52" i="503"/>
  <c r="F9" i="503"/>
  <c r="G43" i="503"/>
  <c r="I30" i="503"/>
  <c r="U79" i="519"/>
  <c r="V79" i="519" s="1"/>
  <c r="W79" i="519" s="1"/>
  <c r="X79" i="519" s="1"/>
  <c r="Y79" i="519" s="1"/>
  <c r="Z79" i="519" s="1"/>
  <c r="AK81" i="28"/>
  <c r="AA69" i="522"/>
  <c r="I30" i="504"/>
  <c r="AM81" i="28"/>
  <c r="F43" i="504"/>
  <c r="AJ81" i="28"/>
  <c r="H43" i="504"/>
  <c r="G52" i="503"/>
  <c r="BO434" i="1"/>
  <c r="C52" i="503"/>
  <c r="AG86" i="28"/>
  <c r="C52" i="504"/>
  <c r="BM122" i="1"/>
  <c r="BM1192" i="1" s="1"/>
  <c r="H61" i="503"/>
  <c r="H64" i="503" s="1"/>
  <c r="H61" i="504"/>
  <c r="H64" i="504" s="1"/>
  <c r="H89" i="504" s="1"/>
  <c r="H133" i="504" s="1"/>
  <c r="AM433" i="1"/>
  <c r="AM435" i="1"/>
  <c r="AM613" i="1"/>
  <c r="AM615" i="1"/>
  <c r="BN51" i="1"/>
  <c r="BN203" i="1" s="1"/>
  <c r="F52" i="504"/>
  <c r="BO912" i="1"/>
  <c r="D9" i="503"/>
  <c r="D43" i="503"/>
  <c r="D30" i="503"/>
  <c r="E9" i="503"/>
  <c r="D9" i="504"/>
  <c r="E9" i="504"/>
  <c r="D30" i="504"/>
  <c r="D43" i="504"/>
  <c r="AM665" i="1"/>
  <c r="I43" i="503"/>
  <c r="I9" i="503"/>
  <c r="F30" i="504"/>
  <c r="I43" i="504"/>
  <c r="I9" i="504"/>
  <c r="AL423" i="1"/>
  <c r="AL424" i="1" s="1"/>
  <c r="F30" i="503"/>
  <c r="G30" i="503"/>
  <c r="G9" i="503"/>
  <c r="F43" i="503"/>
  <c r="G9" i="504"/>
  <c r="Z26" i="504"/>
  <c r="H17" i="504"/>
  <c r="BJ72" i="1"/>
  <c r="E13" i="503"/>
  <c r="E126" i="503" s="1"/>
  <c r="E13" i="504"/>
  <c r="E126" i="504" s="1"/>
  <c r="H17" i="503"/>
  <c r="Z26" i="503"/>
  <c r="I25" i="503"/>
  <c r="I25" i="504"/>
  <c r="H30" i="503"/>
  <c r="H9" i="503"/>
  <c r="Z24" i="503"/>
  <c r="H9" i="504"/>
  <c r="Z24" i="504"/>
  <c r="G43" i="504"/>
  <c r="I52" i="503"/>
  <c r="H52" i="504"/>
  <c r="G30" i="504"/>
  <c r="H43" i="503"/>
  <c r="G52" i="504"/>
  <c r="D52" i="503"/>
  <c r="AJ320" i="1"/>
  <c r="BO614" i="1"/>
  <c r="F52" i="503"/>
  <c r="F63" i="292"/>
  <c r="G13" i="292"/>
  <c r="P18" i="313"/>
  <c r="P27" i="313" s="1"/>
  <c r="P30" i="313" s="1"/>
  <c r="P32" i="313" s="1"/>
  <c r="AF95" i="1"/>
  <c r="AC109" i="298"/>
  <c r="AA83" i="298"/>
  <c r="AA87" i="298" s="1"/>
  <c r="AA88" i="298" s="1"/>
  <c r="H9" i="292"/>
  <c r="H46" i="292" s="1"/>
  <c r="I46" i="292" s="1"/>
  <c r="J46" i="292" s="1"/>
  <c r="F9" i="292"/>
  <c r="F64" i="292" s="1"/>
  <c r="F45" i="292"/>
  <c r="R130" i="519"/>
  <c r="S19" i="519" s="1"/>
  <c r="AF96" i="1"/>
  <c r="AE86" i="28"/>
  <c r="Z104" i="1"/>
  <c r="Z106" i="1" s="1"/>
  <c r="Z93" i="1"/>
  <c r="AX104" i="1"/>
  <c r="AX106" i="1" s="1"/>
  <c r="AX93" i="1"/>
  <c r="AV104" i="1"/>
  <c r="AV106" i="1" s="1"/>
  <c r="AV93" i="1"/>
  <c r="H63" i="292"/>
  <c r="AH74" i="1"/>
  <c r="AH76" i="1" s="1"/>
  <c r="AH77" i="1" s="1"/>
  <c r="Y73" i="522"/>
  <c r="Y74" i="522" s="1"/>
  <c r="Y63" i="522"/>
  <c r="Y69" i="522"/>
  <c r="Z73" i="522"/>
  <c r="Z74" i="522" s="1"/>
  <c r="Z63" i="522"/>
  <c r="Z69" i="522"/>
  <c r="T78" i="519"/>
  <c r="U78" i="519" s="1"/>
  <c r="AE75" i="298"/>
  <c r="AA76" i="298"/>
  <c r="AA80" i="298" s="1"/>
  <c r="BN828" i="1"/>
  <c r="BN276" i="1" s="1"/>
  <c r="BN271" i="1"/>
  <c r="AH924" i="1"/>
  <c r="AC924" i="1"/>
  <c r="AK924" i="1"/>
  <c r="BP797" i="1"/>
  <c r="AL425" i="1"/>
  <c r="AL615" i="1"/>
  <c r="AL613" i="1"/>
  <c r="AP517" i="1"/>
  <c r="AP525" i="1" s="1"/>
  <c r="AP533" i="1" s="1"/>
  <c r="BP514" i="1"/>
  <c r="BP523" i="1" s="1"/>
  <c r="BP531" i="1" s="1"/>
  <c r="BP875" i="1"/>
  <c r="BP889" i="1" s="1"/>
  <c r="AK525" i="1"/>
  <c r="AK533" i="1" s="1"/>
  <c r="AK527" i="1"/>
  <c r="AO535" i="1" s="1"/>
  <c r="AO519" i="1"/>
  <c r="AO517" i="1"/>
  <c r="AO656" i="1"/>
  <c r="AO682" i="1" s="1"/>
  <c r="AN664" i="1"/>
  <c r="BP814" i="1"/>
  <c r="R111" i="519"/>
  <c r="R144" i="519" s="1"/>
  <c r="S33" i="519" s="1"/>
  <c r="T113" i="519"/>
  <c r="T146" i="519" s="1"/>
  <c r="S112" i="519"/>
  <c r="S145" i="519" s="1"/>
  <c r="AC524" i="298"/>
  <c r="G74" i="298"/>
  <c r="G76" i="298" s="1"/>
  <c r="G80" i="298" s="1"/>
  <c r="J42" i="28"/>
  <c r="J70" i="298"/>
  <c r="T44" i="28"/>
  <c r="AU46" i="298"/>
  <c r="W558" i="298"/>
  <c r="W559" i="298" s="1"/>
  <c r="W54" i="298" s="1"/>
  <c r="W55" i="298" s="1"/>
  <c r="G541" i="298"/>
  <c r="AS74" i="298"/>
  <c r="AS76" i="298" s="1"/>
  <c r="AS80" i="298" s="1"/>
  <c r="AV345" i="298"/>
  <c r="AS70" i="298"/>
  <c r="AU541" i="298"/>
  <c r="BD722" i="298"/>
  <c r="AU69" i="298"/>
  <c r="AU71" i="298" s="1"/>
  <c r="BK809" i="1"/>
  <c r="V810" i="1"/>
  <c r="V81" i="1"/>
  <c r="Z82" i="1" s="1"/>
  <c r="L11" i="267"/>
  <c r="P12" i="267" s="1"/>
  <c r="BJ1094" i="1"/>
  <c r="V53" i="1"/>
  <c r="Z59" i="1"/>
  <c r="BM89" i="1"/>
  <c r="AE104" i="1"/>
  <c r="V803" i="1"/>
  <c r="BN531" i="1"/>
  <c r="Z54" i="1"/>
  <c r="Z50" i="1"/>
  <c r="Z58" i="1" s="1"/>
  <c r="V819" i="1"/>
  <c r="V812" i="1"/>
  <c r="V50" i="1"/>
  <c r="V58" i="1" s="1"/>
  <c r="V72" i="1"/>
  <c r="V73" i="1" s="1"/>
  <c r="V116" i="1" s="1"/>
  <c r="N53" i="1"/>
  <c r="R65" i="1"/>
  <c r="R55" i="1" s="1"/>
  <c r="BO531" i="1"/>
  <c r="T54" i="1"/>
  <c r="AA1077" i="1"/>
  <c r="V1112" i="1"/>
  <c r="BM531" i="1"/>
  <c r="BC306" i="1"/>
  <c r="BC15" i="1"/>
  <c r="BD306" i="1"/>
  <c r="BG306" i="1" s="1"/>
  <c r="BD15" i="1"/>
  <c r="BG15" i="1" s="1"/>
  <c r="N54" i="1"/>
  <c r="P1094" i="1"/>
  <c r="AG22" i="1"/>
  <c r="AG806" i="1" s="1"/>
  <c r="AG1083" i="1"/>
  <c r="Q1112" i="1"/>
  <c r="AK435" i="1"/>
  <c r="AK433" i="1"/>
  <c r="AG18" i="28"/>
  <c r="AG16" i="28" s="1"/>
  <c r="AG17" i="28" s="1"/>
  <c r="BC558" i="298"/>
  <c r="BA371" i="298"/>
  <c r="AS62" i="298"/>
  <c r="AS64" i="298" s="1"/>
  <c r="E18" i="292"/>
  <c r="E28" i="292" s="1"/>
  <c r="AU47" i="298"/>
  <c r="BB558" i="298"/>
  <c r="AU60" i="298"/>
  <c r="AU61" i="298" s="1"/>
  <c r="AU86" i="298" s="1"/>
  <c r="AU92" i="298" s="1"/>
  <c r="BC192" i="298"/>
  <c r="BB560" i="298"/>
  <c r="W45" i="298"/>
  <c r="W51" i="298" s="1"/>
  <c r="AV45" i="298"/>
  <c r="AY45" i="298" s="1"/>
  <c r="F541" i="298"/>
  <c r="BC186" i="298"/>
  <c r="BE519" i="298"/>
  <c r="BE181" i="298" s="1"/>
  <c r="BB60" i="298"/>
  <c r="BB45" i="298"/>
  <c r="BB51" i="298" s="1"/>
  <c r="BB46" i="298"/>
  <c r="I43" i="28"/>
  <c r="I44" i="28" s="1"/>
  <c r="AC181" i="298"/>
  <c r="AC191" i="298" s="1"/>
  <c r="AD320" i="1"/>
  <c r="R1094" i="1"/>
  <c r="AL74" i="298"/>
  <c r="AL83" i="298" s="1"/>
  <c r="AL87" i="298" s="1"/>
  <c r="AL88" i="298" s="1"/>
  <c r="AD315" i="1"/>
  <c r="AB535" i="1"/>
  <c r="W541" i="298"/>
  <c r="BC541" i="298" s="1"/>
  <c r="I46" i="28"/>
  <c r="AP339" i="298"/>
  <c r="W46" i="298"/>
  <c r="AA47" i="298"/>
  <c r="J560" i="298"/>
  <c r="AR343" i="298"/>
  <c r="AI144" i="298"/>
  <c r="AI151" i="298" s="1"/>
  <c r="AA310" i="1"/>
  <c r="AA315" i="1" s="1"/>
  <c r="W47" i="298"/>
  <c r="AA52" i="298"/>
  <c r="AA55" i="298" s="1"/>
  <c r="AA57" i="298" s="1"/>
  <c r="AA48" i="298" s="1"/>
  <c r="D69" i="298"/>
  <c r="D71" i="298" s="1"/>
  <c r="E27" i="3"/>
  <c r="E28" i="3" s="1"/>
  <c r="BC79" i="298"/>
  <c r="N81" i="1"/>
  <c r="N83" i="1" s="1"/>
  <c r="AD321" i="1"/>
  <c r="I80" i="28"/>
  <c r="T516" i="1"/>
  <c r="N50" i="1"/>
  <c r="N58" i="1" s="1"/>
  <c r="AD806" i="1"/>
  <c r="BD19" i="298"/>
  <c r="W60" i="298"/>
  <c r="W61" i="298" s="1"/>
  <c r="W86" i="298" s="1"/>
  <c r="H85" i="28"/>
  <c r="W69" i="298"/>
  <c r="J28" i="28"/>
  <c r="BE306" i="1"/>
  <c r="BH14" i="1"/>
  <c r="BH15" i="1" s="1"/>
  <c r="BJ53" i="1"/>
  <c r="BJ81" i="1"/>
  <c r="BJ89" i="1" s="1"/>
  <c r="S45" i="298"/>
  <c r="S51" i="298" s="1"/>
  <c r="N72" i="1"/>
  <c r="N73" i="1" s="1"/>
  <c r="N116" i="1" s="1"/>
  <c r="D46" i="298"/>
  <c r="BK311" i="1"/>
  <c r="BK316" i="1" s="1"/>
  <c r="BK315" i="1"/>
  <c r="BC24" i="298"/>
  <c r="BC22" i="298"/>
  <c r="AR62" i="298"/>
  <c r="AR64" i="298" s="1"/>
  <c r="BC44" i="298"/>
  <c r="BD54" i="298" s="1"/>
  <c r="BD559" i="298" s="1"/>
  <c r="BK664" i="1"/>
  <c r="BJ815" i="1"/>
  <c r="BJ819" i="1" s="1"/>
  <c r="BB722" i="298"/>
  <c r="V24" i="313"/>
  <c r="BI24" i="1"/>
  <c r="BI25" i="1" s="1"/>
  <c r="BM83" i="1"/>
  <c r="P72" i="1"/>
  <c r="P73" i="1" s="1"/>
  <c r="P74" i="1" s="1"/>
  <c r="P76" i="1" s="1"/>
  <c r="AD549" i="298"/>
  <c r="AD26" i="1"/>
  <c r="BJ810" i="1"/>
  <c r="BH806" i="1"/>
  <c r="BH49" i="1"/>
  <c r="BH188" i="1" s="1"/>
  <c r="BH26" i="1"/>
  <c r="BA182" i="298"/>
  <c r="BB187" i="298" s="1"/>
  <c r="Y44" i="28"/>
  <c r="E52" i="51"/>
  <c r="BA191" i="298"/>
  <c r="BE176" i="298"/>
  <c r="F15" i="313"/>
  <c r="AJ311" i="1"/>
  <c r="BH316" i="1"/>
  <c r="BM516" i="1"/>
  <c r="AJ806" i="1"/>
  <c r="AJ810" i="1" s="1"/>
  <c r="E53" i="1"/>
  <c r="BD79" i="298"/>
  <c r="Z16" i="267"/>
  <c r="Z18" i="267" s="1"/>
  <c r="Z19" i="267" s="1"/>
  <c r="AJ59" i="1" s="1"/>
  <c r="K44" i="28"/>
  <c r="AO342" i="298"/>
  <c r="AO343" i="298" s="1"/>
  <c r="AA187" i="298"/>
  <c r="W187" i="298"/>
  <c r="W192" i="298"/>
  <c r="BK1104" i="1"/>
  <c r="BK1111" i="1" s="1"/>
  <c r="BK1112" i="1" s="1"/>
  <c r="BN536" i="1"/>
  <c r="AF532" i="1"/>
  <c r="R541" i="298"/>
  <c r="P817" i="1"/>
  <c r="P40" i="1" s="1"/>
  <c r="BJ536" i="1"/>
  <c r="BN1063" i="1"/>
  <c r="Z80" i="298"/>
  <c r="AE65" i="298"/>
  <c r="AO62" i="298"/>
  <c r="AO64" i="298" s="1"/>
  <c r="L44" i="28"/>
  <c r="F11" i="267"/>
  <c r="F20" i="313" s="1"/>
  <c r="F22" i="313" s="1"/>
  <c r="AC1094" i="1"/>
  <c r="P54" i="1"/>
  <c r="E46" i="298"/>
  <c r="E69" i="298"/>
  <c r="E60" i="298"/>
  <c r="E61" i="298" s="1"/>
  <c r="E86" i="298" s="1"/>
  <c r="BM1098" i="1"/>
  <c r="BM1101" i="1" s="1"/>
  <c r="BM1102" i="1" s="1"/>
  <c r="N28" i="28"/>
  <c r="BI445" i="1"/>
  <c r="M542" i="298"/>
  <c r="M541" i="298"/>
  <c r="BL1072" i="1"/>
  <c r="BL1077" i="1" s="1"/>
  <c r="Z26" i="1"/>
  <c r="Q815" i="1"/>
  <c r="U817" i="1" s="1"/>
  <c r="U40" i="1" s="1"/>
  <c r="G14" i="313"/>
  <c r="AL62" i="298"/>
  <c r="AL64" i="298" s="1"/>
  <c r="BF142" i="298"/>
  <c r="BF156" i="298" s="1"/>
  <c r="Z535" i="1"/>
  <c r="Z47" i="298"/>
  <c r="V45" i="298"/>
  <c r="V51" i="298" s="1"/>
  <c r="V47" i="298"/>
  <c r="V46" i="298"/>
  <c r="V69" i="298"/>
  <c r="Z45" i="298"/>
  <c r="Z51" i="298" s="1"/>
  <c r="Z52" i="298"/>
  <c r="V60" i="298"/>
  <c r="V61" i="298" s="1"/>
  <c r="V86" i="298" s="1"/>
  <c r="BE1049" i="1"/>
  <c r="BE1051" i="1" s="1"/>
  <c r="Y891" i="1"/>
  <c r="AE80" i="298"/>
  <c r="AB532" i="1"/>
  <c r="T65" i="1"/>
  <c r="P53" i="1"/>
  <c r="E541" i="298"/>
  <c r="E542" i="298"/>
  <c r="AT191" i="298"/>
  <c r="O817" i="1"/>
  <c r="O40" i="1" s="1"/>
  <c r="R62" i="298"/>
  <c r="R64" i="298" s="1"/>
  <c r="BN1003" i="1"/>
  <c r="BN1027" i="1" s="1"/>
  <c r="V192" i="298"/>
  <c r="V187" i="298"/>
  <c r="BW110" i="468"/>
  <c r="BN1023" i="1"/>
  <c r="V560" i="298"/>
  <c r="Z558" i="298"/>
  <c r="BE89" i="1"/>
  <c r="BE93" i="1" s="1"/>
  <c r="T46" i="298"/>
  <c r="T69" i="298"/>
  <c r="T60" i="298"/>
  <c r="I60" i="298"/>
  <c r="I61" i="298" s="1"/>
  <c r="I86" i="298" s="1"/>
  <c r="I45" i="298"/>
  <c r="I46" i="298"/>
  <c r="M57" i="298"/>
  <c r="M48" i="298" s="1"/>
  <c r="I69" i="298"/>
  <c r="AI1102" i="1"/>
  <c r="O560" i="298"/>
  <c r="S558" i="298"/>
  <c r="O541" i="298"/>
  <c r="O542" i="298"/>
  <c r="L541" i="298"/>
  <c r="L542" i="298"/>
  <c r="AC39" i="468"/>
  <c r="X192" i="298"/>
  <c r="X187" i="298"/>
  <c r="L810" i="1"/>
  <c r="I558" i="298"/>
  <c r="I560" i="298"/>
  <c r="Q53" i="1"/>
  <c r="AC80" i="298"/>
  <c r="X542" i="298"/>
  <c r="X541" i="298"/>
  <c r="I541" i="298"/>
  <c r="I542" i="298"/>
  <c r="S57" i="298"/>
  <c r="S48" i="298" s="1"/>
  <c r="O69" i="298"/>
  <c r="S70" i="298" s="1"/>
  <c r="O60" i="298"/>
  <c r="O61" i="298" s="1"/>
  <c r="O86" i="298" s="1"/>
  <c r="O46" i="298"/>
  <c r="P22" i="313"/>
  <c r="M45" i="298"/>
  <c r="M51" i="298" s="1"/>
  <c r="X560" i="298"/>
  <c r="AB558" i="298"/>
  <c r="X558" i="298"/>
  <c r="T560" i="298"/>
  <c r="L81" i="1"/>
  <c r="L72" i="1"/>
  <c r="L73" i="1" s="1"/>
  <c r="U29" i="313"/>
  <c r="U34" i="313" s="1"/>
  <c r="O192" i="298"/>
  <c r="S187" i="298"/>
  <c r="Z531" i="1"/>
  <c r="AO110" i="468"/>
  <c r="V558" i="298"/>
  <c r="P57" i="298"/>
  <c r="P48" i="298" s="1"/>
  <c r="L46" i="298"/>
  <c r="L60" i="298"/>
  <c r="L69" i="298"/>
  <c r="AD80" i="298"/>
  <c r="P65" i="1"/>
  <c r="M47" i="298"/>
  <c r="B11" i="267"/>
  <c r="R72" i="1"/>
  <c r="R73" i="1" s="1"/>
  <c r="R116" i="1" s="1"/>
  <c r="X69" i="298"/>
  <c r="AB47" i="298"/>
  <c r="AB45" i="298"/>
  <c r="AB51" i="298" s="1"/>
  <c r="AB52" i="298"/>
  <c r="X47" i="298"/>
  <c r="X60" i="298"/>
  <c r="X61" i="298" s="1"/>
  <c r="X46" i="298"/>
  <c r="X52" i="298" s="1"/>
  <c r="X45" i="298"/>
  <c r="X51" i="298" s="1"/>
  <c r="L53" i="1"/>
  <c r="AW343" i="298"/>
  <c r="AW345" i="298" s="1"/>
  <c r="AH1095" i="1"/>
  <c r="M560" i="298"/>
  <c r="M558" i="298"/>
  <c r="BA23" i="298"/>
  <c r="AB88" i="298"/>
  <c r="AB626" i="298"/>
  <c r="AB629" i="298" s="1"/>
  <c r="AB93" i="298"/>
  <c r="E53" i="51"/>
  <c r="BL1063" i="1"/>
  <c r="J74" i="298"/>
  <c r="J71" i="298"/>
  <c r="Z21" i="298"/>
  <c r="Z524" i="298"/>
  <c r="Z181" i="298"/>
  <c r="AW560" i="298"/>
  <c r="AW558" i="298"/>
  <c r="AZ558" i="298" s="1"/>
  <c r="R74" i="298"/>
  <c r="R71" i="298"/>
  <c r="AW542" i="298"/>
  <c r="AW541" i="298"/>
  <c r="F62" i="298"/>
  <c r="F64" i="298" s="1"/>
  <c r="S28" i="28"/>
  <c r="BC413" i="298"/>
  <c r="BD414" i="298"/>
  <c r="BC356" i="298"/>
  <c r="O28" i="28"/>
  <c r="BA22" i="298"/>
  <c r="AP62" i="298"/>
  <c r="AP64" i="298" s="1"/>
  <c r="W357" i="298"/>
  <c r="AA358" i="298"/>
  <c r="AV560" i="298"/>
  <c r="AV558" i="298"/>
  <c r="AY558" i="298" s="1"/>
  <c r="G46" i="28"/>
  <c r="F85" i="28"/>
  <c r="G43" i="28"/>
  <c r="H44" i="28" s="1"/>
  <c r="G80" i="28"/>
  <c r="H42" i="28"/>
  <c r="BM1063" i="1"/>
  <c r="BK806" i="1"/>
  <c r="AE412" i="298"/>
  <c r="BD412" i="298"/>
  <c r="AA356" i="298"/>
  <c r="AA357" i="298" s="1"/>
  <c r="AV542" i="298"/>
  <c r="AV541" i="298"/>
  <c r="BB559" i="298"/>
  <c r="BB54" i="298" s="1"/>
  <c r="BA560" i="298"/>
  <c r="AU45" i="298"/>
  <c r="AU51" i="298" s="1"/>
  <c r="D534" i="298"/>
  <c r="AY532" i="298"/>
  <c r="N558" i="298"/>
  <c r="N560" i="298"/>
  <c r="J61" i="298"/>
  <c r="J86" i="298" s="1"/>
  <c r="AR74" i="298"/>
  <c r="AR71" i="298"/>
  <c r="N192" i="298"/>
  <c r="R187" i="298"/>
  <c r="N534" i="298"/>
  <c r="BA532" i="298"/>
  <c r="W815" i="1"/>
  <c r="AA817" i="1" s="1"/>
  <c r="AA40" i="1" s="1"/>
  <c r="AG1102" i="1"/>
  <c r="AG310" i="1"/>
  <c r="AG320" i="1" s="1"/>
  <c r="AZ82" i="1"/>
  <c r="AC40" i="468"/>
  <c r="AG1077" i="1"/>
  <c r="U22" i="313"/>
  <c r="U24" i="313"/>
  <c r="H815" i="1"/>
  <c r="H819" i="1" s="1"/>
  <c r="AL39" i="468"/>
  <c r="BV110" i="468"/>
  <c r="BK523" i="1"/>
  <c r="BL531" i="1" s="1"/>
  <c r="BM912" i="1"/>
  <c r="AA110" i="1"/>
  <c r="V34" i="313"/>
  <c r="V22" i="313"/>
  <c r="Y10" i="313"/>
  <c r="J1095" i="1"/>
  <c r="J1094" i="1"/>
  <c r="J815" i="1"/>
  <c r="N816" i="1" s="1"/>
  <c r="J810" i="1"/>
  <c r="AZ89" i="1"/>
  <c r="AZ93" i="1" s="1"/>
  <c r="W803" i="1"/>
  <c r="AR110" i="468"/>
  <c r="P515" i="1"/>
  <c r="T524" i="1" s="1"/>
  <c r="X532" i="1" s="1"/>
  <c r="BK424" i="1"/>
  <c r="Q316" i="1"/>
  <c r="Q321" i="1"/>
  <c r="W810" i="1"/>
  <c r="M89" i="1"/>
  <c r="M93" i="1" s="1"/>
  <c r="BL877" i="1"/>
  <c r="AE310" i="1"/>
  <c r="AI315" i="1" s="1"/>
  <c r="AE90" i="1"/>
  <c r="AE22" i="1"/>
  <c r="AI23" i="1" s="1"/>
  <c r="BJ668" i="1"/>
  <c r="AE140" i="1"/>
  <c r="BM109" i="1"/>
  <c r="R50" i="1"/>
  <c r="R58" i="1" s="1"/>
  <c r="BM20" i="1"/>
  <c r="R54" i="1"/>
  <c r="Q81" i="1"/>
  <c r="Q82" i="1" s="1"/>
  <c r="U65" i="1"/>
  <c r="Q72" i="1"/>
  <c r="Q73" i="1" s="1"/>
  <c r="Q116" i="1" s="1"/>
  <c r="P50" i="1"/>
  <c r="P58" i="1" s="1"/>
  <c r="W298" i="1"/>
  <c r="Q50" i="1"/>
  <c r="Q58" i="1" s="1"/>
  <c r="AF140" i="1"/>
  <c r="Q54" i="1"/>
  <c r="BL664" i="1"/>
  <c r="AE91" i="1"/>
  <c r="AE110" i="1" s="1"/>
  <c r="P816" i="1"/>
  <c r="H15" i="313"/>
  <c r="S320" i="1"/>
  <c r="Z1102" i="1"/>
  <c r="U54" i="1"/>
  <c r="R810" i="1"/>
  <c r="N810" i="1"/>
  <c r="BA82" i="1"/>
  <c r="V54" i="1"/>
  <c r="Y21" i="313"/>
  <c r="AE113" i="1"/>
  <c r="AE117" i="1" s="1"/>
  <c r="AE124" i="1" s="1"/>
  <c r="K11" i="267"/>
  <c r="K20" i="313" s="1"/>
  <c r="BN1019" i="1"/>
  <c r="BN1020" i="1"/>
  <c r="H81" i="1"/>
  <c r="H83" i="1" s="1"/>
  <c r="AY89" i="1"/>
  <c r="AY93" i="1" s="1"/>
  <c r="BN1021" i="1"/>
  <c r="BJ298" i="1"/>
  <c r="P819" i="1"/>
  <c r="BM659" i="1"/>
  <c r="AY83" i="1"/>
  <c r="BN1022" i="1"/>
  <c r="AD23" i="1"/>
  <c r="H14" i="313"/>
  <c r="AG41" i="468"/>
  <c r="BL668" i="1"/>
  <c r="BN1025" i="1"/>
  <c r="Z806" i="1"/>
  <c r="BL1347" i="1"/>
  <c r="BN1024" i="1"/>
  <c r="E72" i="1"/>
  <c r="E73" i="1" s="1"/>
  <c r="E116" i="1" s="1"/>
  <c r="Z23" i="1"/>
  <c r="E54" i="276"/>
  <c r="G54" i="276" s="1"/>
  <c r="H28" i="292"/>
  <c r="AD41" i="468"/>
  <c r="AI1004" i="1"/>
  <c r="AI1020" i="1" s="1"/>
  <c r="X54" i="1"/>
  <c r="D59" i="51"/>
  <c r="AI63" i="1"/>
  <c r="L50" i="1"/>
  <c r="L58" i="1" s="1"/>
  <c r="T81" i="1"/>
  <c r="T83" i="1" s="1"/>
  <c r="BM1095" i="1"/>
  <c r="J11" i="267"/>
  <c r="J18" i="267" s="1"/>
  <c r="AV83" i="1"/>
  <c r="E55" i="276"/>
  <c r="G55" i="276" s="1"/>
  <c r="AE896" i="1"/>
  <c r="V65" i="1"/>
  <c r="Q1095" i="1"/>
  <c r="I1094" i="1"/>
  <c r="R81" i="1"/>
  <c r="R89" i="1" s="1"/>
  <c r="BL20" i="1"/>
  <c r="BM877" i="1"/>
  <c r="AG39" i="468"/>
  <c r="T53" i="1"/>
  <c r="BM298" i="1"/>
  <c r="R53" i="1"/>
  <c r="BN1026" i="1"/>
  <c r="T50" i="1"/>
  <c r="T58" i="1" s="1"/>
  <c r="L54" i="1"/>
  <c r="H11" i="267"/>
  <c r="BN1028" i="1"/>
  <c r="Y22" i="313"/>
  <c r="AF1102" i="1"/>
  <c r="U1112" i="1"/>
  <c r="C13" i="267"/>
  <c r="U535" i="1"/>
  <c r="AN12" i="28"/>
  <c r="C20" i="313"/>
  <c r="C18" i="313" s="1"/>
  <c r="C27" i="313" s="1"/>
  <c r="C30" i="313" s="1"/>
  <c r="C32" i="313" s="1"/>
  <c r="BK49" i="1"/>
  <c r="BK188" i="1" s="1"/>
  <c r="BK195" i="1" s="1"/>
  <c r="W54" i="1"/>
  <c r="AM12" i="28"/>
  <c r="AG896" i="1"/>
  <c r="AH38" i="28"/>
  <c r="AH13" i="28"/>
  <c r="AV82" i="1"/>
  <c r="BN524" i="1"/>
  <c r="F14" i="313"/>
  <c r="AL12" i="28"/>
  <c r="AK12" i="28"/>
  <c r="U50" i="1"/>
  <c r="U58" i="1" s="1"/>
  <c r="AJ12" i="28"/>
  <c r="U81" i="1"/>
  <c r="H50" i="1"/>
  <c r="AD39" i="468"/>
  <c r="T15" i="267"/>
  <c r="T16" i="267" s="1"/>
  <c r="T18" i="267" s="1"/>
  <c r="T19" i="267" s="1"/>
  <c r="AD59" i="1" s="1"/>
  <c r="AF110" i="468"/>
  <c r="AL41" i="468"/>
  <c r="M14" i="313"/>
  <c r="T72" i="1"/>
  <c r="T73" i="1" s="1"/>
  <c r="T74" i="1" s="1"/>
  <c r="T76" i="1" s="1"/>
  <c r="T15" i="313"/>
  <c r="AX82" i="1"/>
  <c r="AC22" i="1"/>
  <c r="AC1077" i="1"/>
  <c r="AC310" i="1"/>
  <c r="Q667" i="1"/>
  <c r="BL424" i="1"/>
  <c r="P891" i="1"/>
  <c r="O65" i="1"/>
  <c r="K72" i="1"/>
  <c r="K73" i="1" s="1"/>
  <c r="K116" i="1" s="1"/>
  <c r="K81" i="1"/>
  <c r="K53" i="1"/>
  <c r="BC72" i="1"/>
  <c r="BC73" i="1" s="1"/>
  <c r="BC116" i="1" s="1"/>
  <c r="BC122" i="1" s="1"/>
  <c r="BK26" i="1"/>
  <c r="BK23" i="1"/>
  <c r="AX83" i="1"/>
  <c r="AH14" i="28"/>
  <c r="AH15" i="28" s="1"/>
  <c r="AI40" i="468"/>
  <c r="W1095" i="1"/>
  <c r="AY82" i="1"/>
  <c r="H53" i="1"/>
  <c r="L65" i="1"/>
  <c r="BI1347" i="1"/>
  <c r="AD532" i="1"/>
  <c r="AC118" i="1"/>
  <c r="AC1190" i="1"/>
  <c r="AC1193" i="1" s="1"/>
  <c r="AC124" i="1"/>
  <c r="P10" i="313"/>
  <c r="P24" i="313"/>
  <c r="P34" i="313"/>
  <c r="AD891" i="1"/>
  <c r="X50" i="1"/>
  <c r="X58" i="1" s="1"/>
  <c r="Y667" i="1"/>
  <c r="BC81" i="1"/>
  <c r="BC83" i="1" s="1"/>
  <c r="AH82" i="1"/>
  <c r="AH83" i="1"/>
  <c r="AH89" i="1"/>
  <c r="X12" i="267"/>
  <c r="X13" i="267"/>
  <c r="X15" i="267" s="1"/>
  <c r="F41" i="276"/>
  <c r="H41" i="276"/>
  <c r="G41" i="276"/>
  <c r="BA1041" i="1"/>
  <c r="BA1044" i="1"/>
  <c r="BB1041" i="1"/>
  <c r="AE667" i="1"/>
  <c r="R515" i="1"/>
  <c r="V524" i="1" s="1"/>
  <c r="V516" i="1"/>
  <c r="BC54" i="1"/>
  <c r="AA63" i="1"/>
  <c r="BN668" i="1"/>
  <c r="AB891" i="1"/>
  <c r="X22" i="313"/>
  <c r="AH22" i="1"/>
  <c r="AH1077" i="1"/>
  <c r="AH310" i="1"/>
  <c r="F10" i="313"/>
  <c r="F34" i="313"/>
  <c r="F24" i="313"/>
  <c r="BC1044" i="1"/>
  <c r="BD1041" i="1"/>
  <c r="BC1041" i="1"/>
  <c r="V535" i="1"/>
  <c r="BM664" i="1"/>
  <c r="U53" i="1"/>
  <c r="BI877" i="1"/>
  <c r="K15" i="313"/>
  <c r="AZ1044" i="1"/>
  <c r="AZ1041" i="1"/>
  <c r="AH1401" i="1"/>
  <c r="AH1383" i="1" s="1"/>
  <c r="AH1404" i="1"/>
  <c r="AH1384" i="1" s="1"/>
  <c r="AH1407" i="1"/>
  <c r="AH1385" i="1" s="1"/>
  <c r="AH1410" i="1"/>
  <c r="AH1386" i="1" s="1"/>
  <c r="AH1413" i="1"/>
  <c r="AH1387" i="1" s="1"/>
  <c r="AG532" i="1"/>
  <c r="AB1112" i="1"/>
  <c r="X1112" i="1"/>
  <c r="X1114" i="1"/>
  <c r="C9" i="292"/>
  <c r="C64" i="292" s="1"/>
  <c r="C45" i="292"/>
  <c r="C63" i="292"/>
  <c r="AI83" i="1"/>
  <c r="AI89" i="1"/>
  <c r="AI93" i="1" s="1"/>
  <c r="U810" i="1"/>
  <c r="U803" i="1"/>
  <c r="U815" i="1"/>
  <c r="G63" i="292"/>
  <c r="G45" i="292"/>
  <c r="G9" i="292"/>
  <c r="BA89" i="1"/>
  <c r="X1094" i="1"/>
  <c r="X1095" i="1"/>
  <c r="AX1049" i="1"/>
  <c r="AY74" i="1"/>
  <c r="AY76" i="1" s="1"/>
  <c r="AJ110" i="468"/>
  <c r="BA83" i="1"/>
  <c r="BB1114" i="1"/>
  <c r="BB1112" i="1"/>
  <c r="W668" i="1"/>
  <c r="F53" i="1"/>
  <c r="F81" i="1"/>
  <c r="F72" i="1"/>
  <c r="AI1095" i="1"/>
  <c r="AI1094" i="1"/>
  <c r="H1112" i="1"/>
  <c r="H1114" i="1"/>
  <c r="L1112" i="1"/>
  <c r="W659" i="1"/>
  <c r="AA667" i="1" s="1"/>
  <c r="S659" i="1"/>
  <c r="S667" i="1" s="1"/>
  <c r="BJ649" i="1"/>
  <c r="BJ659" i="1" s="1"/>
  <c r="BT110" i="468"/>
  <c r="BK109" i="1"/>
  <c r="H1087" i="1"/>
  <c r="BH1085" i="1"/>
  <c r="K24" i="313"/>
  <c r="K34" i="313"/>
  <c r="K10" i="313"/>
  <c r="AI525" i="1"/>
  <c r="AI533" i="1" s="1"/>
  <c r="AI519" i="1"/>
  <c r="AI395" i="1" s="1"/>
  <c r="AI393" i="1" s="1"/>
  <c r="AI391" i="1" s="1"/>
  <c r="BN517" i="1"/>
  <c r="BN525" i="1" s="1"/>
  <c r="BN533" i="1" s="1"/>
  <c r="Z1112" i="1"/>
  <c r="Z1114" i="1"/>
  <c r="BK20" i="1"/>
  <c r="BC1094" i="1"/>
  <c r="BC1095" i="1"/>
  <c r="BO515" i="1"/>
  <c r="Z1095" i="1"/>
  <c r="Z1094" i="1"/>
  <c r="AE28" i="28"/>
  <c r="J10" i="313"/>
  <c r="J34" i="313"/>
  <c r="J24" i="313"/>
  <c r="N10" i="313"/>
  <c r="BC1112" i="1"/>
  <c r="BC1114" i="1"/>
  <c r="Z74" i="1"/>
  <c r="Z76" i="1" s="1"/>
  <c r="AD77" i="1" s="1"/>
  <c r="N1094" i="1"/>
  <c r="N1095" i="1"/>
  <c r="I11" i="267"/>
  <c r="M12" i="267" s="1"/>
  <c r="S81" i="1"/>
  <c r="W82" i="1" s="1"/>
  <c r="S53" i="1"/>
  <c r="S72" i="1"/>
  <c r="BN518" i="1"/>
  <c r="AH526" i="1"/>
  <c r="AH519" i="1"/>
  <c r="AH395" i="1" s="1"/>
  <c r="AH393" i="1" s="1"/>
  <c r="AH391" i="1" s="1"/>
  <c r="Y1102" i="1"/>
  <c r="AC1102" i="1"/>
  <c r="N1112" i="1"/>
  <c r="N1114" i="1"/>
  <c r="S815" i="1"/>
  <c r="S810" i="1"/>
  <c r="AF1112" i="1"/>
  <c r="AF1114" i="1"/>
  <c r="Y22" i="1"/>
  <c r="Y310" i="1"/>
  <c r="Y1077" i="1"/>
  <c r="BD1114" i="1"/>
  <c r="BD1112" i="1"/>
  <c r="BE1112" i="1"/>
  <c r="AG891" i="1"/>
  <c r="D24" i="313"/>
  <c r="H10" i="313"/>
  <c r="D34" i="313"/>
  <c r="BD1094" i="1"/>
  <c r="BD1095" i="1"/>
  <c r="AW83" i="1"/>
  <c r="AW82" i="1"/>
  <c r="AW89" i="1"/>
  <c r="AW93" i="1" s="1"/>
  <c r="T14" i="313"/>
  <c r="BD53" i="1"/>
  <c r="BD81" i="1"/>
  <c r="BD72" i="1"/>
  <c r="BE50" i="1"/>
  <c r="BE58" i="1" s="1"/>
  <c r="BE54" i="1"/>
  <c r="AD535" i="1"/>
  <c r="AW73" i="1"/>
  <c r="AW116" i="1" s="1"/>
  <c r="AW122" i="1" s="1"/>
  <c r="AW1192" i="1" s="1"/>
  <c r="E38" i="3"/>
  <c r="E56" i="3"/>
  <c r="E75" i="3"/>
  <c r="D15" i="313"/>
  <c r="AD1112" i="1"/>
  <c r="BB1094" i="1"/>
  <c r="BB1095" i="1"/>
  <c r="K14" i="313"/>
  <c r="AA668" i="1"/>
  <c r="E1094" i="1"/>
  <c r="E1095" i="1"/>
  <c r="T815" i="1"/>
  <c r="X817" i="1" s="1"/>
  <c r="X40" i="1" s="1"/>
  <c r="T803" i="1"/>
  <c r="T810" i="1"/>
  <c r="T30" i="313"/>
  <c r="T31" i="313" s="1"/>
  <c r="J74" i="1"/>
  <c r="J76" i="1" s="1"/>
  <c r="X316" i="1"/>
  <c r="X321" i="1"/>
  <c r="O24" i="313"/>
  <c r="O10" i="313"/>
  <c r="O34" i="313"/>
  <c r="T321" i="1"/>
  <c r="T316" i="1"/>
  <c r="U1091" i="1"/>
  <c r="U75" i="1" s="1"/>
  <c r="BK75" i="1" s="1"/>
  <c r="U1090" i="1"/>
  <c r="AE532" i="1"/>
  <c r="AI532" i="1"/>
  <c r="BD54" i="1"/>
  <c r="BG54" i="1" s="1"/>
  <c r="P14" i="313"/>
  <c r="P15" i="313"/>
  <c r="BO814" i="1"/>
  <c r="BO797" i="1"/>
  <c r="J14" i="313"/>
  <c r="J15" i="313"/>
  <c r="AB896" i="1"/>
  <c r="AF896" i="1"/>
  <c r="AI73" i="1"/>
  <c r="AI74" i="1" s="1"/>
  <c r="AI76" i="1" s="1"/>
  <c r="BH109" i="1"/>
  <c r="I93" i="51"/>
  <c r="I46" i="51" s="1"/>
  <c r="BN20" i="1"/>
  <c r="Q523" i="1"/>
  <c r="U531" i="1" s="1"/>
  <c r="BI514" i="1"/>
  <c r="BJ523" i="1" s="1"/>
  <c r="I514" i="1"/>
  <c r="BH514" i="1" s="1"/>
  <c r="AP51" i="468"/>
  <c r="AP55" i="468"/>
  <c r="AP50" i="468"/>
  <c r="AP49" i="468"/>
  <c r="AP61" i="468"/>
  <c r="BN615" i="1"/>
  <c r="BN613" i="1"/>
  <c r="F1095" i="1"/>
  <c r="F1094" i="1"/>
  <c r="BC50" i="1"/>
  <c r="BC58" i="1" s="1"/>
  <c r="F76" i="51"/>
  <c r="BK668" i="1"/>
  <c r="S877" i="1"/>
  <c r="S891" i="1" s="1"/>
  <c r="W877" i="1"/>
  <c r="N11" i="267"/>
  <c r="AB59" i="1"/>
  <c r="E51" i="276"/>
  <c r="X81" i="1"/>
  <c r="X72" i="1"/>
  <c r="X73" i="1" s="1"/>
  <c r="X116" i="1" s="1"/>
  <c r="AB54" i="1"/>
  <c r="AB50" i="1"/>
  <c r="AB58" i="1" s="1"/>
  <c r="X53" i="1"/>
  <c r="X59" i="1" s="1"/>
  <c r="AJ1398" i="1"/>
  <c r="BD50" i="1"/>
  <c r="BW59" i="468"/>
  <c r="BW60" i="468" s="1"/>
  <c r="F1114" i="1"/>
  <c r="J1112" i="1"/>
  <c r="S882" i="1"/>
  <c r="S893" i="1"/>
  <c r="N15" i="313"/>
  <c r="N14" i="313"/>
  <c r="BN893" i="1"/>
  <c r="BN882" i="1"/>
  <c r="D1095" i="1"/>
  <c r="D1094" i="1"/>
  <c r="AP101" i="468"/>
  <c r="AP109" i="468"/>
  <c r="AP110" i="468" s="1"/>
  <c r="N321" i="1"/>
  <c r="R316" i="1"/>
  <c r="T1112" i="1"/>
  <c r="T1114" i="1"/>
  <c r="AC1398" i="1"/>
  <c r="AC1397" i="1" s="1"/>
  <c r="BM882" i="1"/>
  <c r="BM896" i="1" s="1"/>
  <c r="BM893" i="1"/>
  <c r="Y12" i="267"/>
  <c r="Y13" i="267"/>
  <c r="Y15" i="267" s="1"/>
  <c r="M65" i="1"/>
  <c r="M54" i="1"/>
  <c r="I72" i="1"/>
  <c r="I50" i="1"/>
  <c r="M50" i="1"/>
  <c r="M58" i="1" s="1"/>
  <c r="I53" i="1"/>
  <c r="I81" i="1"/>
  <c r="Z113" i="1"/>
  <c r="Z117" i="1" s="1"/>
  <c r="Z91" i="1"/>
  <c r="Z110" i="1" s="1"/>
  <c r="AD90" i="1"/>
  <c r="AC140" i="1"/>
  <c r="AF22" i="1"/>
  <c r="AF23" i="1" s="1"/>
  <c r="AF310" i="1"/>
  <c r="AF1077" i="1"/>
  <c r="BN1098" i="1"/>
  <c r="BN1101" i="1" s="1"/>
  <c r="W1112" i="1"/>
  <c r="W1113" i="1" s="1"/>
  <c r="W62" i="1" s="1"/>
  <c r="W51" i="1" s="1"/>
  <c r="W203" i="1" s="1"/>
  <c r="AL110" i="468"/>
  <c r="AF110" i="1"/>
  <c r="X815" i="1"/>
  <c r="X803" i="1"/>
  <c r="X810" i="1"/>
  <c r="F40" i="276"/>
  <c r="G40" i="276"/>
  <c r="H40" i="276"/>
  <c r="I815" i="1"/>
  <c r="M817" i="1" s="1"/>
  <c r="M40" i="1" s="1"/>
  <c r="I810" i="1"/>
  <c r="BM668" i="1"/>
  <c r="AP36" i="468"/>
  <c r="AP41" i="468" s="1"/>
  <c r="AP34" i="468"/>
  <c r="AP39" i="468" s="1"/>
  <c r="AP59" i="468"/>
  <c r="W882" i="1"/>
  <c r="W893" i="1"/>
  <c r="AA893" i="1"/>
  <c r="E57" i="51"/>
  <c r="BB81" i="1"/>
  <c r="BB54" i="1"/>
  <c r="BB72" i="1"/>
  <c r="BB53" i="1"/>
  <c r="BB50" i="1"/>
  <c r="BB58" i="1" s="1"/>
  <c r="M1112" i="1"/>
  <c r="I1112" i="1"/>
  <c r="I1114" i="1"/>
  <c r="S515" i="1"/>
  <c r="W524" i="1" s="1"/>
  <c r="AA532" i="1" s="1"/>
  <c r="W516" i="1"/>
  <c r="H13" i="292"/>
  <c r="U515" i="1"/>
  <c r="Y524" i="1" s="1"/>
  <c r="AC532" i="1" s="1"/>
  <c r="Y516" i="1"/>
  <c r="BL516" i="1" s="1"/>
  <c r="BL515" i="1"/>
  <c r="BN1072" i="1"/>
  <c r="BN1077" i="1" s="1"/>
  <c r="AJ84" i="28"/>
  <c r="R40" i="1"/>
  <c r="J28" i="51"/>
  <c r="J27" i="51"/>
  <c r="AF88" i="298"/>
  <c r="AF626" i="298"/>
  <c r="AF629" i="298" s="1"/>
  <c r="AF93" i="298"/>
  <c r="AB118" i="1"/>
  <c r="AB1190" i="1"/>
  <c r="AB1193" i="1" s="1"/>
  <c r="AB124" i="1"/>
  <c r="BB74" i="298"/>
  <c r="BB71" i="298"/>
  <c r="M10" i="313"/>
  <c r="M24" i="313"/>
  <c r="M34" i="313"/>
  <c r="BE76" i="298"/>
  <c r="BE83" i="298"/>
  <c r="BE87" i="298" s="1"/>
  <c r="BE93" i="298" s="1"/>
  <c r="BE109" i="298"/>
  <c r="BG53" i="1"/>
  <c r="BG72" i="1"/>
  <c r="BG81" i="1"/>
  <c r="I1357" i="1"/>
  <c r="I1366" i="1" s="1"/>
  <c r="J1378" i="1"/>
  <c r="AV61" i="298"/>
  <c r="AV86" i="298" s="1"/>
  <c r="AV92" i="298" s="1"/>
  <c r="AI41" i="468"/>
  <c r="AT74" i="1"/>
  <c r="AT76" i="1" s="1"/>
  <c r="P45" i="298"/>
  <c r="P51" i="298" s="1"/>
  <c r="P46" i="298"/>
  <c r="P60" i="298"/>
  <c r="T57" i="298"/>
  <c r="T48" i="298" s="1"/>
  <c r="P47" i="298"/>
  <c r="P69" i="298"/>
  <c r="T45" i="298"/>
  <c r="T51" i="298" s="1"/>
  <c r="T47" i="298"/>
  <c r="T891" i="1"/>
  <c r="X891" i="1"/>
  <c r="F52" i="276"/>
  <c r="G52" i="276"/>
  <c r="H52" i="276"/>
  <c r="AK74" i="298"/>
  <c r="AK71" i="298"/>
  <c r="BE74" i="1"/>
  <c r="BE76" i="1" s="1"/>
  <c r="U667" i="1"/>
  <c r="W83" i="1"/>
  <c r="W89" i="1"/>
  <c r="AA82" i="1"/>
  <c r="F82" i="292"/>
  <c r="AC667" i="1"/>
  <c r="AY61" i="298"/>
  <c r="AY86" i="298" s="1"/>
  <c r="AY92" i="298" s="1"/>
  <c r="F50" i="51"/>
  <c r="F48" i="51"/>
  <c r="F56" i="51"/>
  <c r="G57" i="51" s="1"/>
  <c r="F49" i="51"/>
  <c r="M15" i="313"/>
  <c r="M20" i="313"/>
  <c r="M18" i="267"/>
  <c r="M13" i="267"/>
  <c r="Q12" i="267"/>
  <c r="G1087" i="1"/>
  <c r="BG1085" i="1"/>
  <c r="J1356" i="1"/>
  <c r="J1365" i="1" s="1"/>
  <c r="K1377" i="1"/>
  <c r="BJ877" i="1"/>
  <c r="BK877" i="1"/>
  <c r="AF118" i="1"/>
  <c r="AF1190" i="1"/>
  <c r="AF1193" i="1" s="1"/>
  <c r="AF124" i="1"/>
  <c r="V896" i="1"/>
  <c r="Z896" i="1"/>
  <c r="Q187" i="298"/>
  <c r="Q192" i="298"/>
  <c r="U187" i="298"/>
  <c r="H49" i="51"/>
  <c r="H56" i="51"/>
  <c r="H48" i="51"/>
  <c r="AE21" i="298"/>
  <c r="AE181" i="298"/>
  <c r="AE524" i="298"/>
  <c r="D28" i="3"/>
  <c r="AH649" i="1"/>
  <c r="AH675" i="1" s="1"/>
  <c r="AH671" i="1" s="1"/>
  <c r="AH657" i="1"/>
  <c r="AH665" i="1" s="1"/>
  <c r="AI320" i="1"/>
  <c r="AI311" i="1"/>
  <c r="D49" i="3"/>
  <c r="E49" i="3"/>
  <c r="AB191" i="298"/>
  <c r="AB186" i="298"/>
  <c r="AB182" i="298"/>
  <c r="AD88" i="298"/>
  <c r="AD89" i="298" s="1"/>
  <c r="AD626" i="298"/>
  <c r="AD629" i="298" s="1"/>
  <c r="AD93" i="298"/>
  <c r="AB44" i="28"/>
  <c r="AY1192" i="1"/>
  <c r="BA171" i="298"/>
  <c r="BB171" i="298"/>
  <c r="H1354" i="1"/>
  <c r="I1375" i="1"/>
  <c r="H1379" i="1"/>
  <c r="H1358" i="1" s="1"/>
  <c r="H1367" i="1" s="1"/>
  <c r="Q45" i="298"/>
  <c r="Q51" i="298" s="1"/>
  <c r="Q69" i="298"/>
  <c r="U70" i="298" s="1"/>
  <c r="Q60" i="298"/>
  <c r="U57" i="298"/>
  <c r="U48" i="298" s="1"/>
  <c r="Q47" i="298"/>
  <c r="Q46" i="298"/>
  <c r="N61" i="298"/>
  <c r="N86" i="298" s="1"/>
  <c r="Y13" i="313"/>
  <c r="AI26" i="1"/>
  <c r="AI806" i="1"/>
  <c r="BC191" i="298"/>
  <c r="BC171" i="298"/>
  <c r="BD176" i="298"/>
  <c r="BD171" i="298"/>
  <c r="AC43" i="28"/>
  <c r="AC44" i="28" s="1"/>
  <c r="AC42" i="28"/>
  <c r="AC46" i="28"/>
  <c r="AC80" i="28"/>
  <c r="AB85" i="28"/>
  <c r="BM74" i="1"/>
  <c r="BM76" i="1" s="1"/>
  <c r="L66" i="3"/>
  <c r="AE43" i="28"/>
  <c r="AE42" i="28"/>
  <c r="AE46" i="28"/>
  <c r="AE80" i="28"/>
  <c r="AD85" i="28"/>
  <c r="AZ532" i="298"/>
  <c r="H534" i="298"/>
  <c r="W18" i="267"/>
  <c r="W19" i="267" s="1"/>
  <c r="AG59" i="1" s="1"/>
  <c r="S98" i="292"/>
  <c r="N71" i="298"/>
  <c r="N74" i="298"/>
  <c r="N70" i="298"/>
  <c r="R70" i="298"/>
  <c r="Q10" i="313"/>
  <c r="BI320" i="1"/>
  <c r="BJ315" i="1"/>
  <c r="BI311" i="1"/>
  <c r="BA19" i="298"/>
  <c r="BA79" i="298"/>
  <c r="BB19" i="298"/>
  <c r="AF77" i="1"/>
  <c r="BI659" i="1"/>
  <c r="H45" i="298"/>
  <c r="H46" i="298"/>
  <c r="H69" i="298"/>
  <c r="H60" i="298"/>
  <c r="L57" i="298"/>
  <c r="L48" i="298" s="1"/>
  <c r="L47" i="298"/>
  <c r="L45" i="298"/>
  <c r="L51" i="298" s="1"/>
  <c r="AS628" i="298"/>
  <c r="AZ560" i="298"/>
  <c r="BA558" i="298"/>
  <c r="BA370" i="298"/>
  <c r="BA372" i="298"/>
  <c r="R819" i="1"/>
  <c r="R816" i="1"/>
  <c r="BF121" i="298"/>
  <c r="Q44" i="28"/>
  <c r="C82" i="292"/>
  <c r="BX59" i="468"/>
  <c r="M74" i="1"/>
  <c r="M76" i="1" s="1"/>
  <c r="AP628" i="298"/>
  <c r="AQ74" i="298"/>
  <c r="AQ70" i="298"/>
  <c r="AQ71" i="298"/>
  <c r="AR70" i="298"/>
  <c r="AR50" i="468"/>
  <c r="AR49" i="468"/>
  <c r="AR51" i="468"/>
  <c r="AR61" i="468"/>
  <c r="AM61" i="298"/>
  <c r="AM86" i="298" s="1"/>
  <c r="AM92" i="298" s="1"/>
  <c r="G62" i="298"/>
  <c r="G64" i="298" s="1"/>
  <c r="O321" i="1"/>
  <c r="S316" i="1"/>
  <c r="BI1112" i="1"/>
  <c r="BI1114" i="1"/>
  <c r="U61" i="298"/>
  <c r="U86" i="298" s="1"/>
  <c r="AF14" i="28"/>
  <c r="F27" i="3"/>
  <c r="BI23" i="1"/>
  <c r="BI26" i="1"/>
  <c r="BI49" i="1"/>
  <c r="BI188" i="1" s="1"/>
  <c r="BI806" i="1"/>
  <c r="BJ809" i="1" s="1"/>
  <c r="BJ23" i="1"/>
  <c r="J43" i="51"/>
  <c r="I45" i="51"/>
  <c r="I47" i="51"/>
  <c r="AL70" i="298"/>
  <c r="H93" i="51"/>
  <c r="BG109" i="1"/>
  <c r="BH20" i="1"/>
  <c r="AD28" i="28"/>
  <c r="BG815" i="1"/>
  <c r="BG803" i="1"/>
  <c r="BG810" i="1"/>
  <c r="AK61" i="298"/>
  <c r="AK86" i="298" s="1"/>
  <c r="AK92" i="298" s="1"/>
  <c r="AB22" i="298"/>
  <c r="AB24" i="298"/>
  <c r="G87" i="51"/>
  <c r="W177" i="298"/>
  <c r="BC14" i="298"/>
  <c r="BC177" i="298" s="1"/>
  <c r="H560" i="298"/>
  <c r="H558" i="298"/>
  <c r="BA559" i="298"/>
  <c r="BA54" i="298" s="1"/>
  <c r="L558" i="298"/>
  <c r="BF152" i="298"/>
  <c r="D61" i="298"/>
  <c r="D86" i="298" s="1"/>
  <c r="S61" i="298"/>
  <c r="S86" i="298" s="1"/>
  <c r="BJ664" i="1"/>
  <c r="AY722" i="298"/>
  <c r="AZ722" i="298"/>
  <c r="AQ36" i="468"/>
  <c r="AQ34" i="468"/>
  <c r="AQ59" i="468"/>
  <c r="AG12" i="298"/>
  <c r="AG125" i="298"/>
  <c r="AG139" i="298" s="1"/>
  <c r="AG126" i="298"/>
  <c r="O815" i="1"/>
  <c r="S817" i="1" s="1"/>
  <c r="S40" i="1" s="1"/>
  <c r="O810" i="1"/>
  <c r="AP83" i="298"/>
  <c r="AP87" i="298" s="1"/>
  <c r="AP93" i="298" s="1"/>
  <c r="AP76" i="298"/>
  <c r="AP80" i="298" s="1"/>
  <c r="AP109" i="298"/>
  <c r="K541" i="298"/>
  <c r="K542" i="298"/>
  <c r="S1112" i="1"/>
  <c r="O1112" i="1"/>
  <c r="O1114" i="1"/>
  <c r="AV74" i="1"/>
  <c r="AV76" i="1" s="1"/>
  <c r="U74" i="298"/>
  <c r="U71" i="298"/>
  <c r="AV113" i="1"/>
  <c r="AV117" i="1" s="1"/>
  <c r="AV124" i="1" s="1"/>
  <c r="AV91" i="1"/>
  <c r="AV110" i="1" s="1"/>
  <c r="AV140" i="1"/>
  <c r="D56" i="3"/>
  <c r="E10" i="3"/>
  <c r="D38" i="3"/>
  <c r="N43" i="28"/>
  <c r="N42" i="28"/>
  <c r="N46" i="28"/>
  <c r="N80" i="28"/>
  <c r="M85" i="28"/>
  <c r="AG150" i="298"/>
  <c r="O1087" i="1"/>
  <c r="BI1085" i="1"/>
  <c r="AV1192" i="1"/>
  <c r="AF52" i="298"/>
  <c r="AF59" i="1"/>
  <c r="AF60" i="1" s="1"/>
  <c r="S171" i="298"/>
  <c r="W171" i="298"/>
  <c r="S191" i="298"/>
  <c r="AD43" i="28"/>
  <c r="AD42" i="28"/>
  <c r="AD46" i="28"/>
  <c r="AC85" i="28"/>
  <c r="AJ85" i="28" s="1"/>
  <c r="AD80" i="28"/>
  <c r="AI39" i="468"/>
  <c r="S74" i="298"/>
  <c r="S71" i="298"/>
  <c r="AX113" i="1"/>
  <c r="AX117" i="1" s="1"/>
  <c r="AX124" i="1" s="1"/>
  <c r="AX91" i="1"/>
  <c r="AX110" i="1" s="1"/>
  <c r="AX140" i="1"/>
  <c r="K560" i="298"/>
  <c r="K558" i="298"/>
  <c r="O558" i="298"/>
  <c r="BI444" i="1"/>
  <c r="BI446" i="1"/>
  <c r="AT335" i="298"/>
  <c r="AU335" i="298"/>
  <c r="AT338" i="298"/>
  <c r="AS89" i="1"/>
  <c r="AS83" i="1"/>
  <c r="BD519" i="298"/>
  <c r="BD545" i="298"/>
  <c r="BD548" i="298" s="1"/>
  <c r="BD549" i="298" s="1"/>
  <c r="BD510" i="298"/>
  <c r="R43" i="28"/>
  <c r="R44" i="28" s="1"/>
  <c r="R42" i="28"/>
  <c r="R46" i="28"/>
  <c r="R80" i="28"/>
  <c r="Q85" i="28"/>
  <c r="P28" i="28"/>
  <c r="AJ433" i="1"/>
  <c r="AJ435" i="1"/>
  <c r="AT558" i="298"/>
  <c r="AT560" i="298"/>
  <c r="AU558" i="298"/>
  <c r="BE494" i="298"/>
  <c r="AQ35" i="468"/>
  <c r="M71" i="298"/>
  <c r="M74" i="298"/>
  <c r="E15" i="313"/>
  <c r="I14" i="313"/>
  <c r="BA74" i="1"/>
  <c r="BA76" i="1" s="1"/>
  <c r="AH143" i="298"/>
  <c r="AH150" i="298" s="1"/>
  <c r="AH118" i="298"/>
  <c r="L1374" i="1"/>
  <c r="K1353" i="1"/>
  <c r="U45" i="298"/>
  <c r="U51" i="298" s="1"/>
  <c r="M43" i="28"/>
  <c r="M44" i="28" s="1"/>
  <c r="M42" i="28"/>
  <c r="M46" i="28"/>
  <c r="L85" i="28"/>
  <c r="M80" i="28"/>
  <c r="BE1192" i="1"/>
  <c r="Q13" i="313"/>
  <c r="AA26" i="1"/>
  <c r="AA23" i="1"/>
  <c r="AA806" i="1"/>
  <c r="AE809" i="1" s="1"/>
  <c r="AQ101" i="468"/>
  <c r="AQ109" i="468"/>
  <c r="AQ110" i="468" s="1"/>
  <c r="AM70" i="298"/>
  <c r="AM74" i="298"/>
  <c r="AM71" i="298"/>
  <c r="O43" i="28"/>
  <c r="O42" i="28"/>
  <c r="O46" i="28"/>
  <c r="O80" i="28"/>
  <c r="N85" i="28"/>
  <c r="AM85" i="28" s="1"/>
  <c r="Y21" i="298"/>
  <c r="AC22" i="298" s="1"/>
  <c r="Y181" i="298"/>
  <c r="Y524" i="298"/>
  <c r="AT541" i="298"/>
  <c r="AT542" i="298"/>
  <c r="N57" i="3"/>
  <c r="BE628" i="298"/>
  <c r="G59" i="51"/>
  <c r="AQ61" i="298"/>
  <c r="AQ86" i="298" s="1"/>
  <c r="AQ92" i="298" s="1"/>
  <c r="BT59" i="468"/>
  <c r="BT60" i="468" s="1"/>
  <c r="BA1192" i="1"/>
  <c r="AI115" i="298"/>
  <c r="AI137" i="298"/>
  <c r="BB176" i="298"/>
  <c r="T896" i="1"/>
  <c r="X896" i="1"/>
  <c r="U47" i="298"/>
  <c r="V816" i="1"/>
  <c r="E11" i="267"/>
  <c r="O53" i="1"/>
  <c r="O54" i="1"/>
  <c r="O81" i="1"/>
  <c r="O50" i="1"/>
  <c r="O58" i="1" s="1"/>
  <c r="O72" i="1"/>
  <c r="S65" i="1"/>
  <c r="S54" i="1"/>
  <c r="S50" i="1"/>
  <c r="S58" i="1" s="1"/>
  <c r="AC24" i="298"/>
  <c r="J93" i="51"/>
  <c r="J33" i="51" s="1"/>
  <c r="BI20" i="1"/>
  <c r="BI109" i="1"/>
  <c r="BJ20" i="1"/>
  <c r="BA45" i="298"/>
  <c r="BA51" i="298" s="1"/>
  <c r="BA69" i="298"/>
  <c r="BB70" i="298" s="1"/>
  <c r="BA60" i="298"/>
  <c r="BA47" i="298"/>
  <c r="BA46" i="298"/>
  <c r="BE510" i="298"/>
  <c r="AX74" i="1"/>
  <c r="AX76" i="1" s="1"/>
  <c r="AC88" i="298"/>
  <c r="AC626" i="298"/>
  <c r="AC629" i="298" s="1"/>
  <c r="AC93" i="298"/>
  <c r="I1355" i="1"/>
  <c r="I1364" i="1" s="1"/>
  <c r="J1376" i="1"/>
  <c r="G48" i="51"/>
  <c r="Q542" i="298"/>
  <c r="Q541" i="298"/>
  <c r="D74" i="51"/>
  <c r="D77" i="51" s="1"/>
  <c r="E77" i="51"/>
  <c r="AQ49" i="468"/>
  <c r="AQ51" i="468"/>
  <c r="AQ50" i="468"/>
  <c r="AQ61" i="468"/>
  <c r="AQ55" i="468"/>
  <c r="AR55" i="468"/>
  <c r="M61" i="298"/>
  <c r="M86" i="298" s="1"/>
  <c r="AW51" i="298"/>
  <c r="AZ51" i="298" s="1"/>
  <c r="AZ45" i="298"/>
  <c r="AH149" i="298"/>
  <c r="AU73" i="1"/>
  <c r="AU116" i="1" s="1"/>
  <c r="AU122" i="1" s="1"/>
  <c r="Q560" i="298"/>
  <c r="Q558" i="298"/>
  <c r="K45" i="298"/>
  <c r="K60" i="298"/>
  <c r="K69" i="298"/>
  <c r="K46" i="298"/>
  <c r="O57" i="298"/>
  <c r="O48" i="298" s="1"/>
  <c r="O47" i="298"/>
  <c r="O45" i="298"/>
  <c r="O51" i="298" s="1"/>
  <c r="AW74" i="298"/>
  <c r="AW71" i="298"/>
  <c r="AZ71" i="298" s="1"/>
  <c r="AW70" i="298"/>
  <c r="AZ70" i="298" s="1"/>
  <c r="BL659" i="1"/>
  <c r="AD21" i="298"/>
  <c r="AD181" i="298"/>
  <c r="AD524" i="298"/>
  <c r="AB311" i="1"/>
  <c r="AB320" i="1"/>
  <c r="AB315" i="1"/>
  <c r="V891" i="1"/>
  <c r="Z891" i="1"/>
  <c r="J1362" i="1"/>
  <c r="G1359" i="1"/>
  <c r="G1368" i="1" s="1"/>
  <c r="N38" i="3"/>
  <c r="AI149" i="298"/>
  <c r="N819" i="1"/>
  <c r="AS73" i="1"/>
  <c r="AS116" i="1" s="1"/>
  <c r="AS122" i="1" s="1"/>
  <c r="BN435" i="1"/>
  <c r="BN433" i="1"/>
  <c r="D83" i="1"/>
  <c r="D89" i="1"/>
  <c r="BE62" i="298"/>
  <c r="BE64" i="298" s="1"/>
  <c r="D73" i="1"/>
  <c r="D116" i="1" s="1"/>
  <c r="AT60" i="298"/>
  <c r="AT47" i="298"/>
  <c r="AT45" i="298"/>
  <c r="AT51" i="298" s="1"/>
  <c r="AT69" i="298"/>
  <c r="AT46" i="298"/>
  <c r="E46" i="292"/>
  <c r="E82" i="292"/>
  <c r="AO628" i="298"/>
  <c r="BV60" i="468"/>
  <c r="P560" i="298"/>
  <c r="P558" i="298"/>
  <c r="T558" i="298"/>
  <c r="G49" i="51"/>
  <c r="P187" i="298"/>
  <c r="P192" i="298"/>
  <c r="T187" i="298"/>
  <c r="V46" i="28"/>
  <c r="V43" i="28"/>
  <c r="V42" i="28"/>
  <c r="U85" i="28"/>
  <c r="V80" i="28"/>
  <c r="W42" i="28"/>
  <c r="AZ74" i="1"/>
  <c r="AZ76" i="1" s="1"/>
  <c r="BE19" i="298"/>
  <c r="BE79" i="298"/>
  <c r="AN74" i="298"/>
  <c r="AN70" i="298"/>
  <c r="AN71" i="298"/>
  <c r="R13" i="313"/>
  <c r="AB806" i="1"/>
  <c r="AF809" i="1" s="1"/>
  <c r="AB26" i="1"/>
  <c r="AB23" i="1"/>
  <c r="AG146" i="298"/>
  <c r="AU89" i="1"/>
  <c r="AU82" i="1"/>
  <c r="AU83" i="1"/>
  <c r="F46" i="28"/>
  <c r="F42" i="28"/>
  <c r="F43" i="28"/>
  <c r="E85" i="28"/>
  <c r="F80" i="28"/>
  <c r="G42" i="28"/>
  <c r="AX1192" i="1"/>
  <c r="BX110" i="468"/>
  <c r="AF182" i="298"/>
  <c r="AF191" i="298"/>
  <c r="AF186" i="298"/>
  <c r="G81" i="1"/>
  <c r="G72" i="1"/>
  <c r="G53" i="1"/>
  <c r="K50" i="1"/>
  <c r="AZ1192" i="1"/>
  <c r="BG1114" i="1"/>
  <c r="BH1112" i="1"/>
  <c r="BB47" i="298"/>
  <c r="W73" i="1"/>
  <c r="W116" i="1" s="1"/>
  <c r="AN61" i="298"/>
  <c r="AN86" i="298" s="1"/>
  <c r="AN92" i="298" s="1"/>
  <c r="AW61" i="298"/>
  <c r="AW86" i="298" s="1"/>
  <c r="AW92" i="298" s="1"/>
  <c r="BN912" i="1"/>
  <c r="V28" i="28"/>
  <c r="W28" i="28"/>
  <c r="Z44" i="28"/>
  <c r="AA44" i="28"/>
  <c r="P542" i="298"/>
  <c r="P541" i="298"/>
  <c r="D13" i="292"/>
  <c r="D9" i="292"/>
  <c r="D63" i="292"/>
  <c r="D45" i="292"/>
  <c r="E13" i="292"/>
  <c r="F10" i="3"/>
  <c r="G9" i="3"/>
  <c r="G15" i="3"/>
  <c r="F75" i="3"/>
  <c r="F56" i="3"/>
  <c r="F38" i="3"/>
  <c r="J32" i="51"/>
  <c r="BM857" i="1"/>
  <c r="BM858" i="1" s="1"/>
  <c r="AF857" i="1"/>
  <c r="AZ69" i="298"/>
  <c r="AZ74" i="298" s="1"/>
  <c r="AZ60" i="298"/>
  <c r="AF13" i="28"/>
  <c r="AF40" i="28"/>
  <c r="AF38" i="28"/>
  <c r="AG13" i="28"/>
  <c r="E87" i="51"/>
  <c r="AY109" i="298"/>
  <c r="AC549" i="298"/>
  <c r="AF24" i="298"/>
  <c r="AF22" i="298"/>
  <c r="AV71" i="298"/>
  <c r="AY71" i="298" s="1"/>
  <c r="AV74" i="298"/>
  <c r="N523" i="1"/>
  <c r="R531" i="1" s="1"/>
  <c r="X18" i="267"/>
  <c r="X19" i="267" s="1"/>
  <c r="AH59" i="1" s="1"/>
  <c r="G1114" i="1"/>
  <c r="K1112" i="1"/>
  <c r="BM310" i="1"/>
  <c r="BM1077" i="1"/>
  <c r="BM1083" i="1"/>
  <c r="F28" i="28"/>
  <c r="G28" i="28"/>
  <c r="B1385" i="1"/>
  <c r="X60" i="1" l="1"/>
  <c r="Z60" i="1"/>
  <c r="AB60" i="1"/>
  <c r="AM577" i="1"/>
  <c r="AM288" i="1" s="1"/>
  <c r="AI288" i="1"/>
  <c r="AA65" i="1"/>
  <c r="AA66" i="1"/>
  <c r="AH63" i="1"/>
  <c r="AH60" i="1"/>
  <c r="AI65" i="1"/>
  <c r="AI66" i="1"/>
  <c r="AD63" i="1"/>
  <c r="AD60" i="1"/>
  <c r="AM393" i="1"/>
  <c r="AM391" i="1" s="1"/>
  <c r="AQ395" i="1"/>
  <c r="W527" i="1"/>
  <c r="S527" i="1"/>
  <c r="S535" i="1" s="1"/>
  <c r="BJ519" i="1"/>
  <c r="BJ526" i="1"/>
  <c r="BJ534" i="1" s="1"/>
  <c r="BK526" i="1"/>
  <c r="W534" i="1"/>
  <c r="AA534" i="1"/>
  <c r="AE526" i="1"/>
  <c r="AE488" i="1"/>
  <c r="AE519" i="1"/>
  <c r="AI527" i="1" s="1"/>
  <c r="BM518" i="1"/>
  <c r="BM526" i="1" s="1"/>
  <c r="BM534" i="1" s="1"/>
  <c r="AE758" i="1"/>
  <c r="AE766" i="1" s="1"/>
  <c r="AE747" i="1"/>
  <c r="AI754" i="1" s="1"/>
  <c r="AI758" i="1"/>
  <c r="AD758" i="1"/>
  <c r="AD766" i="1" s="1"/>
  <c r="AD747" i="1"/>
  <c r="AH758" i="1"/>
  <c r="Y747" i="1"/>
  <c r="Y758" i="1"/>
  <c r="AP762" i="1"/>
  <c r="U758" i="1"/>
  <c r="U766" i="1" s="1"/>
  <c r="U747" i="1"/>
  <c r="AC747" i="1"/>
  <c r="AC758" i="1"/>
  <c r="AG758" i="1"/>
  <c r="Z759" i="1"/>
  <c r="Z754" i="1"/>
  <c r="AB747" i="1"/>
  <c r="AB758" i="1"/>
  <c r="AF758" i="1"/>
  <c r="BN747" i="1"/>
  <c r="BO754" i="1" s="1"/>
  <c r="X747" i="1"/>
  <c r="X758" i="1"/>
  <c r="X766" i="1" s="1"/>
  <c r="T759" i="1"/>
  <c r="T767" i="1" s="1"/>
  <c r="T754" i="1"/>
  <c r="T762" i="1" s="1"/>
  <c r="V759" i="1"/>
  <c r="V767" i="1" s="1"/>
  <c r="V754" i="1"/>
  <c r="V762" i="1" s="1"/>
  <c r="BN916" i="1"/>
  <c r="BN915" i="1" s="1"/>
  <c r="W747" i="1"/>
  <c r="W758" i="1"/>
  <c r="W766" i="1" s="1"/>
  <c r="Z766" i="1"/>
  <c r="AH577" i="1"/>
  <c r="AL678" i="1"/>
  <c r="AL652" i="1" s="1"/>
  <c r="BO916" i="1"/>
  <c r="BO915" i="1" s="1"/>
  <c r="AK926" i="1"/>
  <c r="AK931" i="1"/>
  <c r="AN914" i="1"/>
  <c r="AN916" i="1" s="1"/>
  <c r="AO924" i="1"/>
  <c r="AN931" i="1"/>
  <c r="AG931" i="1"/>
  <c r="AI914" i="1"/>
  <c r="BL763" i="1"/>
  <c r="X925" i="1"/>
  <c r="X914" i="1"/>
  <c r="AB916" i="1" s="1"/>
  <c r="AK914" i="1"/>
  <c r="AH914" i="1"/>
  <c r="BM916" i="1"/>
  <c r="BM915" i="1" s="1"/>
  <c r="AC914" i="1"/>
  <c r="AF916" i="1"/>
  <c r="Y924" i="1"/>
  <c r="AC925" i="1"/>
  <c r="AH925" i="1"/>
  <c r="AI925" i="1"/>
  <c r="AN925" i="1"/>
  <c r="AK925" i="1"/>
  <c r="AM64" i="28"/>
  <c r="AN64" i="28"/>
  <c r="AL75" i="28"/>
  <c r="AM75" i="28"/>
  <c r="BP756" i="1"/>
  <c r="BP764" i="1" s="1"/>
  <c r="AN759" i="1"/>
  <c r="AN767" i="1" s="1"/>
  <c r="AF763" i="1"/>
  <c r="AJ763" i="1"/>
  <c r="AM763" i="1"/>
  <c r="AQ763" i="1"/>
  <c r="BN755" i="1"/>
  <c r="BN763" i="1" s="1"/>
  <c r="BO755" i="1"/>
  <c r="AP759" i="1"/>
  <c r="AP767" i="1" s="1"/>
  <c r="AP751" i="1"/>
  <c r="AH83" i="28"/>
  <c r="AM83" i="28" s="1"/>
  <c r="AK75" i="28"/>
  <c r="AJ75" i="28"/>
  <c r="AM764" i="1"/>
  <c r="AQ764" i="1"/>
  <c r="AN754" i="1"/>
  <c r="AN762" i="1" s="1"/>
  <c r="AM759" i="1"/>
  <c r="AQ747" i="1"/>
  <c r="BP747" i="1" s="1"/>
  <c r="AM754" i="1"/>
  <c r="AL64" i="28"/>
  <c r="AJ64" i="28"/>
  <c r="BN386" i="1"/>
  <c r="BN385" i="1"/>
  <c r="Z30" i="523"/>
  <c r="AA30" i="523" s="1"/>
  <c r="T1269" i="1"/>
  <c r="BI195" i="1"/>
  <c r="M1268" i="1"/>
  <c r="L1268" i="1"/>
  <c r="BN52" i="1"/>
  <c r="X1269" i="1"/>
  <c r="K1268" i="1"/>
  <c r="BK214" i="1"/>
  <c r="BK215" i="1" s="1"/>
  <c r="X195" i="1"/>
  <c r="X196" i="1" s="1"/>
  <c r="X214" i="1"/>
  <c r="X215" i="1" s="1"/>
  <c r="AB195" i="1"/>
  <c r="AB196" i="1" s="1"/>
  <c r="BJ195" i="1"/>
  <c r="T214" i="1"/>
  <c r="T215" i="1" s="1"/>
  <c r="T195" i="1"/>
  <c r="T196" i="1" s="1"/>
  <c r="BI214" i="1"/>
  <c r="BI215" i="1" s="1"/>
  <c r="K155" i="523"/>
  <c r="K156" i="523"/>
  <c r="K163" i="523"/>
  <c r="K164" i="523"/>
  <c r="AJ527" i="1"/>
  <c r="AN535" i="1" s="1"/>
  <c r="AN519" i="1"/>
  <c r="AN520" i="1" s="1"/>
  <c r="AJ403" i="1"/>
  <c r="BO524" i="1"/>
  <c r="BO532" i="1" s="1"/>
  <c r="BL893" i="1"/>
  <c r="BK893" i="1"/>
  <c r="BJ882" i="1"/>
  <c r="BJ896" i="1" s="1"/>
  <c r="AM525" i="1"/>
  <c r="AM533" i="1" s="1"/>
  <c r="Y13" i="525"/>
  <c r="AQ392" i="1"/>
  <c r="BP392" i="1" s="1"/>
  <c r="D52" i="525"/>
  <c r="H59" i="525" s="1"/>
  <c r="F57" i="525"/>
  <c r="AM400" i="1"/>
  <c r="AQ408" i="1" s="1"/>
  <c r="AQ517" i="1"/>
  <c r="AQ525" i="1" s="1"/>
  <c r="BO392" i="1"/>
  <c r="BO400" i="1" s="1"/>
  <c r="K52" i="525"/>
  <c r="BK897" i="1"/>
  <c r="X49" i="525"/>
  <c r="V13" i="525"/>
  <c r="L9" i="525"/>
  <c r="L13" i="525" s="1"/>
  <c r="E52" i="525"/>
  <c r="I59" i="525" s="1"/>
  <c r="I57" i="525"/>
  <c r="F59" i="525"/>
  <c r="BK894" i="1"/>
  <c r="BL894" i="1"/>
  <c r="W894" i="1"/>
  <c r="AA894" i="1"/>
  <c r="BL897" i="1"/>
  <c r="BN395" i="1"/>
  <c r="AL402" i="1"/>
  <c r="AP410" i="1" s="1"/>
  <c r="AP394" i="1"/>
  <c r="BP394" i="1" s="1"/>
  <c r="BO394" i="1"/>
  <c r="BO402" i="1" s="1"/>
  <c r="AL519" i="1"/>
  <c r="AL395" i="1" s="1"/>
  <c r="BP684" i="1"/>
  <c r="BP692" i="1" s="1"/>
  <c r="AM692" i="1"/>
  <c r="AL682" i="1"/>
  <c r="AP672" i="1"/>
  <c r="AM659" i="1"/>
  <c r="AM667" i="1" s="1"/>
  <c r="AM685" i="1"/>
  <c r="AM693" i="1" s="1"/>
  <c r="AL649" i="1"/>
  <c r="AL657" i="1"/>
  <c r="AL665" i="1" s="1"/>
  <c r="AT140" i="1"/>
  <c r="AT104" i="1"/>
  <c r="AT106" i="1" s="1"/>
  <c r="U1268" i="1"/>
  <c r="AT113" i="1"/>
  <c r="AT117" i="1" s="1"/>
  <c r="AT118" i="1" s="1"/>
  <c r="AT91" i="1"/>
  <c r="AT110" i="1" s="1"/>
  <c r="AO83" i="298"/>
  <c r="AO87" i="298" s="1"/>
  <c r="AO88" i="298" s="1"/>
  <c r="H124" i="503"/>
  <c r="H127" i="503" s="1"/>
  <c r="J91" i="1"/>
  <c r="J110" i="1" s="1"/>
  <c r="J104" i="1"/>
  <c r="J106" i="1" s="1"/>
  <c r="J93" i="1"/>
  <c r="H124" i="504"/>
  <c r="H127" i="504" s="1"/>
  <c r="F83" i="298"/>
  <c r="F87" i="298" s="1"/>
  <c r="F93" i="298" s="1"/>
  <c r="J75" i="298"/>
  <c r="F53" i="276"/>
  <c r="H124" i="523"/>
  <c r="H127" i="523" s="1"/>
  <c r="D13" i="267"/>
  <c r="D20" i="313"/>
  <c r="D22" i="313" s="1"/>
  <c r="G124" i="523"/>
  <c r="BM1094" i="1"/>
  <c r="AP75" i="298"/>
  <c r="AO75" i="298"/>
  <c r="AO109" i="298"/>
  <c r="G13" i="267"/>
  <c r="AF94" i="1"/>
  <c r="G12" i="267"/>
  <c r="G20" i="313"/>
  <c r="G21" i="313" s="1"/>
  <c r="I124" i="503"/>
  <c r="AE96" i="1"/>
  <c r="AE95" i="1"/>
  <c r="P82" i="1"/>
  <c r="P89" i="1"/>
  <c r="P93" i="1" s="1"/>
  <c r="I1268" i="1"/>
  <c r="G53" i="276"/>
  <c r="E89" i="1"/>
  <c r="E104" i="1" s="1"/>
  <c r="E106" i="1" s="1"/>
  <c r="I82" i="1"/>
  <c r="J1268" i="1"/>
  <c r="Q1268" i="1"/>
  <c r="W1268" i="1"/>
  <c r="R1268" i="1"/>
  <c r="P1268" i="1"/>
  <c r="BK1267" i="1"/>
  <c r="F13" i="523"/>
  <c r="H89" i="523"/>
  <c r="H132" i="523" s="1"/>
  <c r="H69" i="523"/>
  <c r="T1268" i="1"/>
  <c r="Z33" i="523"/>
  <c r="Z28" i="523"/>
  <c r="AA28" i="523" s="1"/>
  <c r="AA26" i="523" s="1"/>
  <c r="AA27" i="523" s="1"/>
  <c r="N1268" i="1"/>
  <c r="BJ1268" i="1"/>
  <c r="E33" i="523"/>
  <c r="E17" i="523"/>
  <c r="E126" i="523"/>
  <c r="E127" i="523" s="1"/>
  <c r="V1269" i="1"/>
  <c r="Z1269" i="1"/>
  <c r="X1268" i="1"/>
  <c r="U1269" i="1"/>
  <c r="O1268" i="1"/>
  <c r="BI1267" i="1"/>
  <c r="BJ1269" i="1" s="1"/>
  <c r="D13" i="523"/>
  <c r="S1268" i="1"/>
  <c r="H35" i="523"/>
  <c r="H54" i="523"/>
  <c r="H46" i="523"/>
  <c r="H78" i="523"/>
  <c r="F124" i="504"/>
  <c r="H62" i="523"/>
  <c r="H1268" i="1"/>
  <c r="F1268" i="1"/>
  <c r="G1268" i="1"/>
  <c r="E1268" i="1"/>
  <c r="C13" i="523"/>
  <c r="BH1267" i="1"/>
  <c r="BH1268" i="1" s="1"/>
  <c r="E127" i="503"/>
  <c r="W1269" i="1"/>
  <c r="V1268" i="1"/>
  <c r="E127" i="504"/>
  <c r="I124" i="523"/>
  <c r="AA93" i="298"/>
  <c r="AA626" i="298"/>
  <c r="AA629" i="298" s="1"/>
  <c r="H89" i="503"/>
  <c r="H132" i="503" s="1"/>
  <c r="Z28" i="503"/>
  <c r="AA28" i="503" s="1"/>
  <c r="Z33" i="503"/>
  <c r="H33" i="504"/>
  <c r="H33" i="503"/>
  <c r="H62" i="503" s="1"/>
  <c r="AM527" i="1"/>
  <c r="E17" i="504"/>
  <c r="E17" i="503"/>
  <c r="BL62" i="1"/>
  <c r="F13" i="503"/>
  <c r="F126" i="503" s="1"/>
  <c r="F127" i="503" s="1"/>
  <c r="F13" i="504"/>
  <c r="F126" i="504" s="1"/>
  <c r="Z33" i="504"/>
  <c r="Z28" i="504"/>
  <c r="AA28" i="504" s="1"/>
  <c r="H69" i="504"/>
  <c r="AJ321" i="1"/>
  <c r="H69" i="503"/>
  <c r="Z30" i="504"/>
  <c r="AA30" i="504" s="1"/>
  <c r="AA24" i="504"/>
  <c r="D13" i="503"/>
  <c r="D126" i="503" s="1"/>
  <c r="D127" i="503" s="1"/>
  <c r="D13" i="504"/>
  <c r="D126" i="504" s="1"/>
  <c r="D127" i="504" s="1"/>
  <c r="AA24" i="503"/>
  <c r="Z30" i="503"/>
  <c r="AA30" i="503" s="1"/>
  <c r="BH81" i="1"/>
  <c r="BH82" i="1" s="1"/>
  <c r="C13" i="504"/>
  <c r="C126" i="504" s="1"/>
  <c r="C127" i="504" s="1"/>
  <c r="C13" i="503"/>
  <c r="C126" i="503" s="1"/>
  <c r="C127" i="503" s="1"/>
  <c r="BN273" i="1"/>
  <c r="E33" i="503"/>
  <c r="E33" i="504"/>
  <c r="H64" i="292"/>
  <c r="I64" i="292" s="1"/>
  <c r="J64" i="292" s="1"/>
  <c r="F46" i="292"/>
  <c r="F14" i="292"/>
  <c r="H29" i="292"/>
  <c r="H14" i="292"/>
  <c r="AA94" i="1"/>
  <c r="V78" i="519"/>
  <c r="W78" i="519" s="1"/>
  <c r="X78" i="519" s="1"/>
  <c r="Y78" i="519" s="1"/>
  <c r="Z78" i="519" s="1"/>
  <c r="AA78" i="519" s="1"/>
  <c r="AB78" i="519" s="1"/>
  <c r="T64" i="519"/>
  <c r="S97" i="519"/>
  <c r="S130" i="519" s="1"/>
  <c r="T19" i="519" s="1"/>
  <c r="BR104" i="1"/>
  <c r="BR106" i="1" s="1"/>
  <c r="BE96" i="1"/>
  <c r="AV96" i="1"/>
  <c r="AU104" i="1"/>
  <c r="AU106" i="1" s="1"/>
  <c r="AU93" i="1"/>
  <c r="AV95" i="1" s="1"/>
  <c r="AS104" i="1"/>
  <c r="AS106" i="1" s="1"/>
  <c r="AS93" i="1"/>
  <c r="AS96" i="1" s="1"/>
  <c r="W104" i="1"/>
  <c r="W106" i="1" s="1"/>
  <c r="W93" i="1"/>
  <c r="AH104" i="1"/>
  <c r="AH106" i="1" s="1"/>
  <c r="AH93" i="1"/>
  <c r="AZ96" i="1"/>
  <c r="AZ95" i="1"/>
  <c r="BJ104" i="1"/>
  <c r="BJ106" i="1" s="1"/>
  <c r="BJ93" i="1"/>
  <c r="AX96" i="1"/>
  <c r="AX95" i="1"/>
  <c r="AY96" i="1"/>
  <c r="AY95" i="1"/>
  <c r="D104" i="1"/>
  <c r="D106" i="1" s="1"/>
  <c r="D93" i="1"/>
  <c r="AI96" i="1"/>
  <c r="AI95" i="1"/>
  <c r="AW95" i="1"/>
  <c r="AW96" i="1"/>
  <c r="BA104" i="1"/>
  <c r="BA106" i="1" s="1"/>
  <c r="BA93" i="1"/>
  <c r="AT96" i="1"/>
  <c r="Z96" i="1"/>
  <c r="AD95" i="1"/>
  <c r="R104" i="1"/>
  <c r="R106" i="1" s="1"/>
  <c r="R93" i="1"/>
  <c r="BM91" i="1"/>
  <c r="BM110" i="1" s="1"/>
  <c r="BM93" i="1"/>
  <c r="G83" i="298"/>
  <c r="G87" i="298" s="1"/>
  <c r="G88" i="298" s="1"/>
  <c r="AE106" i="1"/>
  <c r="W52" i="1"/>
  <c r="W204" i="1" s="1"/>
  <c r="W196" i="1" s="1"/>
  <c r="W273" i="1"/>
  <c r="AD924" i="1"/>
  <c r="AL924" i="1"/>
  <c r="AS75" i="298"/>
  <c r="BC559" i="298"/>
  <c r="BC54" i="298" s="1"/>
  <c r="BC55" i="298" s="1"/>
  <c r="W57" i="298"/>
  <c r="W48" i="298" s="1"/>
  <c r="AI104" i="1"/>
  <c r="AI106" i="1" s="1"/>
  <c r="AO824" i="1"/>
  <c r="AO832" i="1" s="1"/>
  <c r="BO518" i="1"/>
  <c r="BO526" i="1" s="1"/>
  <c r="AP518" i="1"/>
  <c r="BP518" i="1" s="1"/>
  <c r="AO664" i="1"/>
  <c r="AP656" i="1"/>
  <c r="AP682" i="1" s="1"/>
  <c r="AO525" i="1"/>
  <c r="AO533" i="1" s="1"/>
  <c r="BP524" i="1"/>
  <c r="AP805" i="1"/>
  <c r="AP824" i="1" s="1"/>
  <c r="AP832" i="1" s="1"/>
  <c r="AO520" i="1"/>
  <c r="AQ861" i="1"/>
  <c r="T34" i="519"/>
  <c r="AA79" i="519"/>
  <c r="S111" i="519"/>
  <c r="S144" i="519" s="1"/>
  <c r="T33" i="519" s="1"/>
  <c r="AS109" i="298"/>
  <c r="AS83" i="298"/>
  <c r="AS87" i="298" s="1"/>
  <c r="AS93" i="298" s="1"/>
  <c r="L18" i="267"/>
  <c r="P19" i="267"/>
  <c r="L13" i="267"/>
  <c r="D74" i="298"/>
  <c r="D83" i="298" s="1"/>
  <c r="D87" i="298" s="1"/>
  <c r="BE530" i="298"/>
  <c r="BE532" i="298" s="1"/>
  <c r="BE534" i="298" s="1"/>
  <c r="BE524" i="298"/>
  <c r="AV70" i="298"/>
  <c r="AY70" i="298" s="1"/>
  <c r="AU74" i="298"/>
  <c r="AU76" i="298" s="1"/>
  <c r="AU80" i="298" s="1"/>
  <c r="V83" i="1"/>
  <c r="V89" i="1"/>
  <c r="L20" i="313"/>
  <c r="P31" i="313" s="1"/>
  <c r="H50" i="292"/>
  <c r="H51" i="292" s="1"/>
  <c r="H76" i="292" s="1"/>
  <c r="H79" i="292" s="1"/>
  <c r="L12" i="267"/>
  <c r="BM140" i="1"/>
  <c r="AL75" i="298"/>
  <c r="AL109" i="298"/>
  <c r="AS65" i="298"/>
  <c r="AL76" i="298"/>
  <c r="AL80" i="298" s="1"/>
  <c r="BH815" i="1"/>
  <c r="BH812" i="1" s="1"/>
  <c r="BI809" i="1"/>
  <c r="Z803" i="1"/>
  <c r="AD809" i="1"/>
  <c r="BK807" i="1"/>
  <c r="BL809" i="1"/>
  <c r="AD815" i="1"/>
  <c r="AH817" i="1" s="1"/>
  <c r="AH809" i="1"/>
  <c r="Z63" i="1"/>
  <c r="V74" i="1"/>
  <c r="V76" i="1" s="1"/>
  <c r="Z77" i="1" s="1"/>
  <c r="BE91" i="1"/>
  <c r="BE110" i="1" s="1"/>
  <c r="BE104" i="1"/>
  <c r="BE106" i="1" s="1"/>
  <c r="BD58" i="1"/>
  <c r="BG58" i="1" s="1"/>
  <c r="BG50" i="1"/>
  <c r="BG812" i="1"/>
  <c r="BG819" i="1"/>
  <c r="AZ140" i="1"/>
  <c r="AZ104" i="1"/>
  <c r="AZ106" i="1" s="1"/>
  <c r="AX90" i="1"/>
  <c r="AW104" i="1"/>
  <c r="AW106" i="1" s="1"/>
  <c r="BM113" i="1"/>
  <c r="BM117" i="1" s="1"/>
  <c r="BM118" i="1" s="1"/>
  <c r="BM104" i="1"/>
  <c r="BM106" i="1" s="1"/>
  <c r="AY91" i="1"/>
  <c r="AY110" i="1" s="1"/>
  <c r="AY104" i="1"/>
  <c r="AY106" i="1" s="1"/>
  <c r="M91" i="1"/>
  <c r="M110" i="1" s="1"/>
  <c r="M104" i="1"/>
  <c r="M106" i="1" s="1"/>
  <c r="AG31" i="28"/>
  <c r="AG33" i="28" s="1"/>
  <c r="AG65" i="28"/>
  <c r="AG20" i="28"/>
  <c r="AF105" i="1"/>
  <c r="AG22" i="28"/>
  <c r="AG23" i="28" s="1"/>
  <c r="AG24" i="28" s="1"/>
  <c r="N82" i="1"/>
  <c r="AG1104" i="1"/>
  <c r="AG1085" i="1"/>
  <c r="AG1087" i="1" s="1"/>
  <c r="BN1083" i="1"/>
  <c r="BN1085" i="1" s="1"/>
  <c r="BN1087" i="1" s="1"/>
  <c r="AG26" i="1"/>
  <c r="W13" i="313"/>
  <c r="W15" i="313" s="1"/>
  <c r="AG66" i="28"/>
  <c r="AU62" i="298"/>
  <c r="AU64" i="298" s="1"/>
  <c r="BE140" i="1"/>
  <c r="AA320" i="1"/>
  <c r="BE113" i="1"/>
  <c r="BE117" i="1" s="1"/>
  <c r="BE118" i="1" s="1"/>
  <c r="BH72" i="1"/>
  <c r="BH73" i="1" s="1"/>
  <c r="BH116" i="1" s="1"/>
  <c r="BH122" i="1" s="1"/>
  <c r="BH53" i="1"/>
  <c r="BH50" i="1"/>
  <c r="BH58" i="1" s="1"/>
  <c r="BH54" i="1"/>
  <c r="P36" i="313"/>
  <c r="AV51" i="298"/>
  <c r="AY51" i="298" s="1"/>
  <c r="BC46" i="298"/>
  <c r="J44" i="28"/>
  <c r="N89" i="1"/>
  <c r="N93" i="1" s="1"/>
  <c r="BC60" i="298"/>
  <c r="E19" i="292"/>
  <c r="E29" i="292" s="1"/>
  <c r="BC47" i="298"/>
  <c r="BC69" i="298"/>
  <c r="BC70" i="298" s="1"/>
  <c r="AJ803" i="1"/>
  <c r="AC182" i="298"/>
  <c r="AC192" i="298" s="1"/>
  <c r="AA311" i="1"/>
  <c r="AA316" i="1" s="1"/>
  <c r="BJ812" i="1"/>
  <c r="W62" i="298"/>
  <c r="W64" i="298" s="1"/>
  <c r="AA65" i="298" s="1"/>
  <c r="BK321" i="1"/>
  <c r="BC45" i="298"/>
  <c r="BC51" i="298" s="1"/>
  <c r="L816" i="1"/>
  <c r="P116" i="1"/>
  <c r="BA192" i="298"/>
  <c r="BA187" i="298"/>
  <c r="AD810" i="1"/>
  <c r="AD803" i="1"/>
  <c r="AA70" i="298"/>
  <c r="W71" i="298"/>
  <c r="W74" i="298"/>
  <c r="W75" i="298" s="1"/>
  <c r="W70" i="298"/>
  <c r="AJ815" i="1"/>
  <c r="AJ819" i="1" s="1"/>
  <c r="BJ83" i="1"/>
  <c r="AP343" i="298"/>
  <c r="C18" i="292"/>
  <c r="C19" i="292" s="1"/>
  <c r="BN1102" i="1"/>
  <c r="L515" i="1"/>
  <c r="P524" i="1" s="1"/>
  <c r="T532" i="1" s="1"/>
  <c r="BF144" i="298"/>
  <c r="BF151" i="298" s="1"/>
  <c r="T77" i="1"/>
  <c r="BH807" i="1"/>
  <c r="BH810" i="1"/>
  <c r="BH803" i="1"/>
  <c r="Z55" i="298"/>
  <c r="Z57" i="298" s="1"/>
  <c r="Z48" i="298" s="1"/>
  <c r="BK1114" i="1"/>
  <c r="L83" i="1"/>
  <c r="L89" i="1"/>
  <c r="L93" i="1" s="1"/>
  <c r="BL1083" i="1"/>
  <c r="BL1085" i="1" s="1"/>
  <c r="BL1087" i="1" s="1"/>
  <c r="AE806" i="1"/>
  <c r="BL310" i="1"/>
  <c r="BM315" i="1" s="1"/>
  <c r="AZ113" i="1"/>
  <c r="AZ117" i="1" s="1"/>
  <c r="AZ124" i="1" s="1"/>
  <c r="AE23" i="1"/>
  <c r="AE26" i="1"/>
  <c r="U13" i="313"/>
  <c r="U18" i="313" s="1"/>
  <c r="U27" i="313" s="1"/>
  <c r="U30" i="313" s="1"/>
  <c r="AF89" i="298"/>
  <c r="M113" i="1"/>
  <c r="M117" i="1" s="1"/>
  <c r="M1190" i="1" s="1"/>
  <c r="M1193" i="1" s="1"/>
  <c r="E62" i="298"/>
  <c r="E64" i="298" s="1"/>
  <c r="U62" i="298"/>
  <c r="U64" i="298" s="1"/>
  <c r="F18" i="267"/>
  <c r="J19" i="267" s="1"/>
  <c r="F13" i="267"/>
  <c r="BF149" i="298"/>
  <c r="F18" i="313"/>
  <c r="F27" i="313" s="1"/>
  <c r="F30" i="313" s="1"/>
  <c r="F32" i="313" s="1"/>
  <c r="AE320" i="1"/>
  <c r="AP65" i="298"/>
  <c r="P516" i="1"/>
  <c r="X55" i="298"/>
  <c r="X57" i="298" s="1"/>
  <c r="X48" i="298" s="1"/>
  <c r="AE311" i="1"/>
  <c r="AI316" i="1" s="1"/>
  <c r="AE315" i="1"/>
  <c r="AB55" i="298"/>
  <c r="AB57" i="298" s="1"/>
  <c r="AB48" i="298" s="1"/>
  <c r="O44" i="28"/>
  <c r="AI1026" i="1"/>
  <c r="AZ91" i="1"/>
  <c r="AZ110" i="1" s="1"/>
  <c r="O62" i="298"/>
  <c r="O64" i="298" s="1"/>
  <c r="AI1016" i="1"/>
  <c r="H20" i="313"/>
  <c r="F12" i="267"/>
  <c r="AZ90" i="1"/>
  <c r="E71" i="298"/>
  <c r="E74" i="298"/>
  <c r="H55" i="276"/>
  <c r="AG311" i="1"/>
  <c r="AG321" i="1" s="1"/>
  <c r="AG315" i="1"/>
  <c r="M62" i="298"/>
  <c r="M64" i="298" s="1"/>
  <c r="X71" i="298"/>
  <c r="X74" i="298"/>
  <c r="AB70" i="298"/>
  <c r="L61" i="298"/>
  <c r="L86" i="298" s="1"/>
  <c r="B18" i="267"/>
  <c r="T89" i="1"/>
  <c r="T93" i="1" s="1"/>
  <c r="AI1003" i="1"/>
  <c r="AI1027" i="1" s="1"/>
  <c r="L74" i="298"/>
  <c r="L71" i="298"/>
  <c r="B13" i="267"/>
  <c r="V71" i="298"/>
  <c r="Z70" i="298"/>
  <c r="V74" i="298"/>
  <c r="BN1015" i="1"/>
  <c r="T82" i="1"/>
  <c r="AE1190" i="1"/>
  <c r="AE1193" i="1" s="1"/>
  <c r="I70" i="298"/>
  <c r="I74" i="298"/>
  <c r="M75" i="298" s="1"/>
  <c r="I71" i="298"/>
  <c r="J12" i="267"/>
  <c r="J13" i="267"/>
  <c r="F54" i="276"/>
  <c r="Q89" i="1"/>
  <c r="Q93" i="1" s="1"/>
  <c r="Q95" i="1" s="1"/>
  <c r="H54" i="276"/>
  <c r="J20" i="313"/>
  <c r="J18" i="313" s="1"/>
  <c r="J27" i="313" s="1"/>
  <c r="J30" i="313" s="1"/>
  <c r="B20" i="313"/>
  <c r="F21" i="313" s="1"/>
  <c r="X62" i="298"/>
  <c r="X64" i="298" s="1"/>
  <c r="X86" i="298"/>
  <c r="V62" i="298"/>
  <c r="V64" i="298" s="1"/>
  <c r="W819" i="1"/>
  <c r="W812" i="1"/>
  <c r="X70" i="298"/>
  <c r="T74" i="298"/>
  <c r="T71" i="298"/>
  <c r="X82" i="1"/>
  <c r="AY87" i="298"/>
  <c r="AY88" i="298" s="1"/>
  <c r="U82" i="1"/>
  <c r="K12" i="267"/>
  <c r="BM891" i="1"/>
  <c r="BK803" i="1"/>
  <c r="L82" i="1"/>
  <c r="BK810" i="1"/>
  <c r="O71" i="298"/>
  <c r="O74" i="298"/>
  <c r="K13" i="267"/>
  <c r="I62" i="298"/>
  <c r="I64" i="298" s="1"/>
  <c r="M70" i="298"/>
  <c r="Q819" i="1"/>
  <c r="AK535" i="1"/>
  <c r="K18" i="267"/>
  <c r="K19" i="267" s="1"/>
  <c r="V70" i="298"/>
  <c r="T61" i="298"/>
  <c r="T62" i="298" s="1"/>
  <c r="T64" i="298" s="1"/>
  <c r="Q816" i="1"/>
  <c r="W816" i="1"/>
  <c r="BK815" i="1"/>
  <c r="BK816" i="1" s="1"/>
  <c r="L817" i="1"/>
  <c r="L40" i="1" s="1"/>
  <c r="S62" i="298"/>
  <c r="S64" i="298" s="1"/>
  <c r="AR76" i="298"/>
  <c r="AR80" i="298" s="1"/>
  <c r="AR83" i="298"/>
  <c r="AR87" i="298" s="1"/>
  <c r="AR109" i="298"/>
  <c r="D542" i="298"/>
  <c r="D541" i="298"/>
  <c r="AY534" i="298"/>
  <c r="J83" i="298"/>
  <c r="J87" i="298" s="1"/>
  <c r="J76" i="298"/>
  <c r="J80" i="298" s="1"/>
  <c r="J62" i="298"/>
  <c r="J64" i="298" s="1"/>
  <c r="J65" i="298" s="1"/>
  <c r="AE358" i="298"/>
  <c r="R76" i="298"/>
  <c r="R80" i="298" s="1"/>
  <c r="R83" i="298"/>
  <c r="R87" i="298" s="1"/>
  <c r="AN62" i="298"/>
  <c r="AN64" i="298" s="1"/>
  <c r="AO65" i="298" s="1"/>
  <c r="AY62" i="298"/>
  <c r="AY64" i="298" s="1"/>
  <c r="BE414" i="298"/>
  <c r="BD413" i="298"/>
  <c r="BD356" i="298"/>
  <c r="N541" i="298"/>
  <c r="N542" i="298"/>
  <c r="BA534" i="298"/>
  <c r="BB57" i="298"/>
  <c r="BB48" i="298" s="1"/>
  <c r="BB55" i="298"/>
  <c r="AE356" i="298"/>
  <c r="AE357" i="298" s="1"/>
  <c r="BE412" i="298"/>
  <c r="Z186" i="298"/>
  <c r="Z191" i="298"/>
  <c r="Z182" i="298"/>
  <c r="AH146" i="298"/>
  <c r="AH153" i="298" s="1"/>
  <c r="D62" i="298"/>
  <c r="D64" i="298" s="1"/>
  <c r="N62" i="298"/>
  <c r="N64" i="298" s="1"/>
  <c r="AV62" i="298"/>
  <c r="AV64" i="298" s="1"/>
  <c r="Z22" i="298"/>
  <c r="Z24" i="298"/>
  <c r="BC357" i="298"/>
  <c r="BD358" i="298"/>
  <c r="AE118" i="1"/>
  <c r="Q83" i="1"/>
  <c r="N12" i="267"/>
  <c r="J819" i="1"/>
  <c r="N817" i="1"/>
  <c r="N40" i="1" s="1"/>
  <c r="BA90" i="1"/>
  <c r="AI1028" i="1"/>
  <c r="AI1021" i="1"/>
  <c r="BN310" i="1"/>
  <c r="BN315" i="1" s="1"/>
  <c r="AI1019" i="1"/>
  <c r="V82" i="1"/>
  <c r="BK531" i="1"/>
  <c r="AD52" i="298"/>
  <c r="AD55" i="298" s="1"/>
  <c r="AD57" i="298" s="1"/>
  <c r="AD48" i="298" s="1"/>
  <c r="AY140" i="1"/>
  <c r="AY113" i="1"/>
  <c r="AY117" i="1" s="1"/>
  <c r="AY124" i="1" s="1"/>
  <c r="AY90" i="1"/>
  <c r="Z810" i="1"/>
  <c r="F55" i="276"/>
  <c r="Z815" i="1"/>
  <c r="AD817" i="1" s="1"/>
  <c r="H89" i="1"/>
  <c r="H82" i="1"/>
  <c r="N74" i="1"/>
  <c r="N76" i="1" s="1"/>
  <c r="N77" i="1" s="1"/>
  <c r="U89" i="1"/>
  <c r="U93" i="1" s="1"/>
  <c r="AI1024" i="1"/>
  <c r="BM22" i="1"/>
  <c r="BN24" i="1" s="1"/>
  <c r="BN25" i="1" s="1"/>
  <c r="U83" i="1"/>
  <c r="AI1023" i="1"/>
  <c r="AI1025" i="1"/>
  <c r="AI1022" i="1"/>
  <c r="H13" i="267"/>
  <c r="H18" i="267"/>
  <c r="X63" i="1"/>
  <c r="H12" i="267"/>
  <c r="BK72" i="1"/>
  <c r="C22" i="313"/>
  <c r="BK54" i="1"/>
  <c r="BK81" i="1"/>
  <c r="BK83" i="1" s="1"/>
  <c r="AG23" i="1"/>
  <c r="K74" i="1"/>
  <c r="K76" i="1" s="1"/>
  <c r="BK53" i="1"/>
  <c r="BK50" i="1"/>
  <c r="BK58" i="1" s="1"/>
  <c r="F18" i="292"/>
  <c r="F23" i="292" s="1"/>
  <c r="R83" i="1"/>
  <c r="AH18" i="28"/>
  <c r="AJ18" i="28" s="1"/>
  <c r="R82" i="1"/>
  <c r="E76" i="51"/>
  <c r="BJ891" i="1"/>
  <c r="BN22" i="1"/>
  <c r="BN26" i="1" s="1"/>
  <c r="AL14" i="28"/>
  <c r="AK14" i="28"/>
  <c r="AN14" i="28"/>
  <c r="AJ14" i="28"/>
  <c r="AF315" i="1"/>
  <c r="BN896" i="1"/>
  <c r="E74" i="1"/>
  <c r="E76" i="1" s="1"/>
  <c r="AM14" i="28"/>
  <c r="BC82" i="1"/>
  <c r="C46" i="292"/>
  <c r="AC311" i="1"/>
  <c r="AC321" i="1" s="1"/>
  <c r="AC320" i="1"/>
  <c r="G58" i="51"/>
  <c r="BJ667" i="1"/>
  <c r="AZ77" i="1"/>
  <c r="AC806" i="1"/>
  <c r="AG809" i="1" s="1"/>
  <c r="AC26" i="1"/>
  <c r="S13" i="313"/>
  <c r="K83" i="1"/>
  <c r="K89" i="1"/>
  <c r="Z532" i="1"/>
  <c r="BI523" i="1"/>
  <c r="BJ531" i="1" s="1"/>
  <c r="N515" i="1"/>
  <c r="R524" i="1" s="1"/>
  <c r="V532" i="1" s="1"/>
  <c r="R516" i="1"/>
  <c r="BA1045" i="1"/>
  <c r="BA1048" i="1"/>
  <c r="BB1045" i="1"/>
  <c r="BD82" i="1"/>
  <c r="AZ1045" i="1"/>
  <c r="AZ1048" i="1"/>
  <c r="AZ1049" i="1" s="1"/>
  <c r="AF119" i="1"/>
  <c r="AU74" i="1"/>
  <c r="AU76" i="1" s="1"/>
  <c r="AU77" i="1" s="1"/>
  <c r="AH90" i="1"/>
  <c r="AH113" i="1"/>
  <c r="AH117" i="1" s="1"/>
  <c r="AH91" i="1"/>
  <c r="AH110" i="1" s="1"/>
  <c r="BD1045" i="1"/>
  <c r="BC1048" i="1"/>
  <c r="BC1045" i="1"/>
  <c r="AH311" i="1"/>
  <c r="AH320" i="1"/>
  <c r="AH315" i="1"/>
  <c r="BC89" i="1"/>
  <c r="BC93" i="1" s="1"/>
  <c r="X13" i="313"/>
  <c r="AH26" i="1"/>
  <c r="AH806" i="1"/>
  <c r="AH23" i="1"/>
  <c r="AJ1413" i="1"/>
  <c r="AJ1387" i="1" s="1"/>
  <c r="AJ1410" i="1"/>
  <c r="AJ1386" i="1" s="1"/>
  <c r="AJ1407" i="1"/>
  <c r="AJ1385" i="1" s="1"/>
  <c r="AJ1404" i="1"/>
  <c r="AJ1384" i="1" s="1"/>
  <c r="AJ1401" i="1"/>
  <c r="AJ1383" i="1" s="1"/>
  <c r="AG1401" i="1"/>
  <c r="AG1383" i="1" s="1"/>
  <c r="AG1404" i="1"/>
  <c r="AG1384" i="1" s="1"/>
  <c r="AG1407" i="1"/>
  <c r="AG1385" i="1" s="1"/>
  <c r="AG1410" i="1"/>
  <c r="AG1386" i="1" s="1"/>
  <c r="AG1413" i="1"/>
  <c r="AG1387" i="1" s="1"/>
  <c r="AI77" i="1"/>
  <c r="O13" i="313"/>
  <c r="Y26" i="1"/>
  <c r="Y23" i="1"/>
  <c r="Y806" i="1"/>
  <c r="AC809" i="1" s="1"/>
  <c r="Y49" i="1"/>
  <c r="Y188" i="1" s="1"/>
  <c r="AC23" i="1"/>
  <c r="G14" i="292"/>
  <c r="O515" i="1"/>
  <c r="S516" i="1"/>
  <c r="AK536" i="1"/>
  <c r="U812" i="1"/>
  <c r="U819" i="1"/>
  <c r="U816" i="1"/>
  <c r="W667" i="1"/>
  <c r="Y817" i="1"/>
  <c r="AF320" i="1"/>
  <c r="AF311" i="1"/>
  <c r="AF316" i="1" s="1"/>
  <c r="AJ315" i="1"/>
  <c r="W817" i="1"/>
  <c r="S819" i="1"/>
  <c r="AI113" i="1"/>
  <c r="AI91" i="1"/>
  <c r="AI110" i="1" s="1"/>
  <c r="AI90" i="1"/>
  <c r="BB73" i="1"/>
  <c r="BB116" i="1" s="1"/>
  <c r="BB122" i="1" s="1"/>
  <c r="BB1192" i="1" s="1"/>
  <c r="AF806" i="1"/>
  <c r="AJ809" i="1" s="1"/>
  <c r="V13" i="313"/>
  <c r="V14" i="313" s="1"/>
  <c r="AF26" i="1"/>
  <c r="AJ23" i="1"/>
  <c r="AW74" i="1"/>
  <c r="AW76" i="1" s="1"/>
  <c r="AW77" i="1" s="1"/>
  <c r="H1095" i="1"/>
  <c r="H1094" i="1"/>
  <c r="BH1087" i="1"/>
  <c r="BO517" i="1"/>
  <c r="BO525" i="1" s="1"/>
  <c r="BO533" i="1" s="1"/>
  <c r="AK1397" i="1"/>
  <c r="Y315" i="1"/>
  <c r="Y311" i="1"/>
  <c r="Y320" i="1"/>
  <c r="AC315" i="1"/>
  <c r="R74" i="1"/>
  <c r="R76" i="1" s="1"/>
  <c r="I73" i="1"/>
  <c r="I116" i="1" s="1"/>
  <c r="AB82" i="1"/>
  <c r="X83" i="1"/>
  <c r="X89" i="1"/>
  <c r="I10" i="51"/>
  <c r="I37" i="51"/>
  <c r="I29" i="51"/>
  <c r="I54" i="51"/>
  <c r="I24" i="51"/>
  <c r="I33" i="51"/>
  <c r="I72" i="51"/>
  <c r="I65" i="51"/>
  <c r="I82" i="51"/>
  <c r="I19" i="51"/>
  <c r="I77" i="51"/>
  <c r="BB89" i="1"/>
  <c r="BB83" i="1"/>
  <c r="BB82" i="1"/>
  <c r="M523" i="1"/>
  <c r="Q531" i="1" s="1"/>
  <c r="BD89" i="1"/>
  <c r="BD83" i="1"/>
  <c r="BE82" i="1"/>
  <c r="BA140" i="1"/>
  <c r="AW140" i="1"/>
  <c r="AW90" i="1"/>
  <c r="AW113" i="1"/>
  <c r="AW117" i="1" s="1"/>
  <c r="AW91" i="1"/>
  <c r="AW110" i="1" s="1"/>
  <c r="BA91" i="1"/>
  <c r="BA110" i="1" s="1"/>
  <c r="BM524" i="1"/>
  <c r="AB63" i="1"/>
  <c r="BK659" i="1"/>
  <c r="BK667" i="1" s="1"/>
  <c r="BK1113" i="1"/>
  <c r="BK62" i="1" s="1"/>
  <c r="F25" i="523" s="1"/>
  <c r="F16" i="523" s="1"/>
  <c r="F27" i="523" s="1"/>
  <c r="X74" i="1"/>
  <c r="X76" i="1" s="1"/>
  <c r="AB77" i="1" s="1"/>
  <c r="I819" i="1"/>
  <c r="M816" i="1"/>
  <c r="I13" i="267"/>
  <c r="I20" i="313"/>
  <c r="I18" i="267"/>
  <c r="M19" i="267" s="1"/>
  <c r="AG803" i="1"/>
  <c r="AG810" i="1"/>
  <c r="AG815" i="1"/>
  <c r="W896" i="1"/>
  <c r="AA896" i="1"/>
  <c r="H51" i="276"/>
  <c r="F51" i="276"/>
  <c r="G51" i="276"/>
  <c r="S73" i="1"/>
  <c r="S116" i="1" s="1"/>
  <c r="BA77" i="1"/>
  <c r="AB1398" i="1"/>
  <c r="AB1397" i="1" s="1"/>
  <c r="T819" i="1"/>
  <c r="T816" i="1"/>
  <c r="T812" i="1"/>
  <c r="X819" i="1"/>
  <c r="X816" i="1"/>
  <c r="X812" i="1"/>
  <c r="AH527" i="1"/>
  <c r="BN519" i="1"/>
  <c r="T32" i="313"/>
  <c r="Z124" i="1"/>
  <c r="Z118" i="1"/>
  <c r="Z1190" i="1"/>
  <c r="Z1193" i="1" s="1"/>
  <c r="F73" i="1"/>
  <c r="F116" i="1" s="1"/>
  <c r="BD73" i="1"/>
  <c r="BD116" i="1" s="1"/>
  <c r="BD122" i="1" s="1"/>
  <c r="BA113" i="1"/>
  <c r="BA117" i="1" s="1"/>
  <c r="BA124" i="1" s="1"/>
  <c r="G64" i="292"/>
  <c r="G46" i="292"/>
  <c r="I89" i="1"/>
  <c r="M82" i="1"/>
  <c r="I83" i="1"/>
  <c r="F89" i="1"/>
  <c r="F83" i="1"/>
  <c r="J82" i="1"/>
  <c r="R12" i="267"/>
  <c r="N20" i="313"/>
  <c r="N13" i="267"/>
  <c r="N16" i="267" s="1"/>
  <c r="N18" i="267" s="1"/>
  <c r="N19" i="267" s="1"/>
  <c r="R19" i="267"/>
  <c r="Q515" i="1"/>
  <c r="U524" i="1" s="1"/>
  <c r="Y532" i="1" s="1"/>
  <c r="U516" i="1"/>
  <c r="BK516" i="1" s="1"/>
  <c r="BK515" i="1"/>
  <c r="S89" i="1"/>
  <c r="S83" i="1"/>
  <c r="AK232" i="1"/>
  <c r="AH534" i="1"/>
  <c r="AL534" i="1"/>
  <c r="AI116" i="1"/>
  <c r="W891" i="1"/>
  <c r="AA891" i="1"/>
  <c r="BL22" i="1"/>
  <c r="BM24" i="1" s="1"/>
  <c r="BM25" i="1" s="1"/>
  <c r="BX60" i="468"/>
  <c r="AB817" i="1"/>
  <c r="J45" i="51"/>
  <c r="J46" i="51"/>
  <c r="J47" i="51"/>
  <c r="T116" i="1"/>
  <c r="BK73" i="1"/>
  <c r="BK116" i="1" s="1"/>
  <c r="F61" i="523" s="1"/>
  <c r="D14" i="292"/>
  <c r="E14" i="292"/>
  <c r="D64" i="292"/>
  <c r="D46" i="292"/>
  <c r="BO861" i="1"/>
  <c r="BO872" i="1" s="1"/>
  <c r="BO886" i="1" s="1"/>
  <c r="AS74" i="1"/>
  <c r="AS76" i="1" s="1"/>
  <c r="AT77" i="1" s="1"/>
  <c r="AG24" i="298"/>
  <c r="D74" i="1"/>
  <c r="D76" i="1" s="1"/>
  <c r="E50" i="292"/>
  <c r="BJ113" i="1"/>
  <c r="BJ91" i="1"/>
  <c r="BJ110" i="1" s="1"/>
  <c r="BJ140" i="1"/>
  <c r="S83" i="298"/>
  <c r="S87" i="298" s="1"/>
  <c r="S76" i="298"/>
  <c r="S80" i="298" s="1"/>
  <c r="AF15" i="28"/>
  <c r="N83" i="298"/>
  <c r="N87" i="298" s="1"/>
  <c r="N75" i="298"/>
  <c r="N76" i="298"/>
  <c r="N80" i="298" s="1"/>
  <c r="R75" i="298"/>
  <c r="BK891" i="1"/>
  <c r="BL891" i="1"/>
  <c r="P61" i="298"/>
  <c r="AZ83" i="298"/>
  <c r="AZ109" i="298"/>
  <c r="AW75" i="298"/>
  <c r="AZ75" i="298" s="1"/>
  <c r="AW76" i="298"/>
  <c r="AW83" i="298"/>
  <c r="AW87" i="298" s="1"/>
  <c r="AW109" i="298"/>
  <c r="O73" i="1"/>
  <c r="O116" i="1" s="1"/>
  <c r="G73" i="1"/>
  <c r="G116" i="1" s="1"/>
  <c r="AI810" i="1"/>
  <c r="AI815" i="1"/>
  <c r="AI803" i="1"/>
  <c r="M22" i="313"/>
  <c r="Q21" i="313"/>
  <c r="M18" i="313"/>
  <c r="M27" i="313" s="1"/>
  <c r="M30" i="313" s="1"/>
  <c r="W113" i="1"/>
  <c r="W117" i="1" s="1"/>
  <c r="W91" i="1"/>
  <c r="W110" i="1" s="1"/>
  <c r="AA90" i="1"/>
  <c r="K22" i="313"/>
  <c r="K18" i="313"/>
  <c r="K27" i="313" s="1"/>
  <c r="K30" i="313" s="1"/>
  <c r="K1362" i="1"/>
  <c r="AS113" i="1"/>
  <c r="AS117" i="1" s="1"/>
  <c r="AS118" i="1" s="1"/>
  <c r="AS91" i="1"/>
  <c r="AS110" i="1" s="1"/>
  <c r="AS140" i="1"/>
  <c r="O1094" i="1"/>
  <c r="O1095" i="1"/>
  <c r="BI1087" i="1"/>
  <c r="AW62" i="298"/>
  <c r="AW64" i="298" s="1"/>
  <c r="AU90" i="1"/>
  <c r="AU113" i="1"/>
  <c r="AU117" i="1" s="1"/>
  <c r="AU124" i="1" s="1"/>
  <c r="AU91" i="1"/>
  <c r="AU110" i="1" s="1"/>
  <c r="AU140" i="1"/>
  <c r="AN75" i="298"/>
  <c r="AN83" i="298"/>
  <c r="AN87" i="298" s="1"/>
  <c r="AN93" i="298" s="1"/>
  <c r="AN76" i="298"/>
  <c r="AN80" i="298" s="1"/>
  <c r="AN109" i="298"/>
  <c r="BE549" i="298"/>
  <c r="AB321" i="1"/>
  <c r="AB316" i="1"/>
  <c r="BL896" i="1"/>
  <c r="L1353" i="1"/>
  <c r="M1374" i="1"/>
  <c r="AQ40" i="468"/>
  <c r="AR40" i="468"/>
  <c r="AT339" i="298"/>
  <c r="AT342" i="298"/>
  <c r="AU339" i="298"/>
  <c r="O819" i="1"/>
  <c r="O816" i="1"/>
  <c r="S816" i="1"/>
  <c r="D84" i="51"/>
  <c r="K1356" i="1"/>
  <c r="K1365" i="1" s="1"/>
  <c r="L1377" i="1"/>
  <c r="BE88" i="298"/>
  <c r="BE626" i="298"/>
  <c r="BE629" i="298" s="1"/>
  <c r="AW628" i="298"/>
  <c r="BE191" i="298"/>
  <c r="BE182" i="298"/>
  <c r="G83" i="1"/>
  <c r="G89" i="1"/>
  <c r="K82" i="1"/>
  <c r="AN628" i="298"/>
  <c r="J72" i="51"/>
  <c r="J95" i="51"/>
  <c r="J94" i="51"/>
  <c r="J19" i="51"/>
  <c r="J24" i="51"/>
  <c r="J77" i="51"/>
  <c r="J65" i="51"/>
  <c r="J82" i="51"/>
  <c r="J54" i="51"/>
  <c r="J10" i="51"/>
  <c r="J37" i="51"/>
  <c r="AQ62" i="298"/>
  <c r="AQ64" i="298" s="1"/>
  <c r="Y186" i="298"/>
  <c r="Y182" i="298"/>
  <c r="Y191" i="298"/>
  <c r="AH12" i="298"/>
  <c r="AH125" i="298"/>
  <c r="AH139" i="298" s="1"/>
  <c r="AH126" i="298"/>
  <c r="I1354" i="1"/>
  <c r="J1375" i="1"/>
  <c r="I1379" i="1"/>
  <c r="I1358" i="1" s="1"/>
  <c r="I1367" i="1" s="1"/>
  <c r="BE80" i="298"/>
  <c r="BM320" i="1"/>
  <c r="BM311" i="1"/>
  <c r="BN857" i="1"/>
  <c r="BN858" i="1" s="1"/>
  <c r="AJ857" i="1"/>
  <c r="H9" i="3"/>
  <c r="G36" i="3"/>
  <c r="G27" i="3"/>
  <c r="G42" i="3"/>
  <c r="H15" i="3"/>
  <c r="G25" i="3"/>
  <c r="AG44" i="298"/>
  <c r="AG160" i="298"/>
  <c r="AG153" i="298"/>
  <c r="AT71" i="298"/>
  <c r="AT74" i="298"/>
  <c r="AT70" i="298"/>
  <c r="AD182" i="298"/>
  <c r="AD191" i="298"/>
  <c r="AD186" i="298"/>
  <c r="AQ628" i="298"/>
  <c r="Y22" i="298"/>
  <c r="Y44" i="298"/>
  <c r="Y24" i="298"/>
  <c r="BD21" i="298"/>
  <c r="BE23" i="298" s="1"/>
  <c r="AC186" i="298"/>
  <c r="U83" i="298"/>
  <c r="U87" i="298" s="1"/>
  <c r="U76" i="298"/>
  <c r="U80" i="298" s="1"/>
  <c r="H84" i="51"/>
  <c r="H24" i="51"/>
  <c r="H65" i="51"/>
  <c r="H19" i="51"/>
  <c r="H72" i="51"/>
  <c r="H94" i="51"/>
  <c r="H95" i="51"/>
  <c r="H77" i="51"/>
  <c r="H54" i="51"/>
  <c r="H37" i="51"/>
  <c r="H82" i="51"/>
  <c r="H10" i="51"/>
  <c r="H33" i="51"/>
  <c r="H29" i="51"/>
  <c r="I95" i="51"/>
  <c r="I94" i="51"/>
  <c r="H46" i="51"/>
  <c r="Q74" i="1"/>
  <c r="Q76" i="1" s="1"/>
  <c r="Q77" i="1" s="1"/>
  <c r="AE44" i="28"/>
  <c r="Y18" i="313"/>
  <c r="Y27" i="313" s="1"/>
  <c r="Y30" i="313" s="1"/>
  <c r="Y15" i="313"/>
  <c r="H1363" i="1"/>
  <c r="H1359" i="1"/>
  <c r="H1368" i="1" s="1"/>
  <c r="F59" i="51"/>
  <c r="F57" i="51"/>
  <c r="F58" i="51"/>
  <c r="F84" i="51"/>
  <c r="AG18" i="298"/>
  <c r="AG13" i="298"/>
  <c r="AG14" i="298" s="1"/>
  <c r="AG73" i="298"/>
  <c r="AG84" i="298"/>
  <c r="AG505" i="298"/>
  <c r="H61" i="298"/>
  <c r="H86" i="298" s="1"/>
  <c r="M66" i="3"/>
  <c r="BA70" i="298"/>
  <c r="BA74" i="298"/>
  <c r="BB75" i="298" s="1"/>
  <c r="BA71" i="298"/>
  <c r="AA815" i="1"/>
  <c r="AE817" i="1" s="1"/>
  <c r="AE818" i="1" s="1"/>
  <c r="AA810" i="1"/>
  <c r="AA803" i="1"/>
  <c r="I49" i="51"/>
  <c r="I56" i="51"/>
  <c r="I50" i="51"/>
  <c r="I48" i="51"/>
  <c r="H70" i="298"/>
  <c r="H71" i="298"/>
  <c r="H74" i="298"/>
  <c r="L70" i="298"/>
  <c r="AU628" i="298"/>
  <c r="AE191" i="298"/>
  <c r="AE186" i="298"/>
  <c r="AE182" i="298"/>
  <c r="AL93" i="298"/>
  <c r="AD22" i="298"/>
  <c r="AD24" i="298"/>
  <c r="J1355" i="1"/>
  <c r="J1364" i="1" s="1"/>
  <c r="K1376" i="1"/>
  <c r="BM1085" i="1"/>
  <c r="BM1087" i="1" s="1"/>
  <c r="BM1104" i="1"/>
  <c r="BM1111" i="1" s="1"/>
  <c r="L116" i="1"/>
  <c r="W74" i="1"/>
  <c r="W76" i="1" s="1"/>
  <c r="AF187" i="298"/>
  <c r="AF192" i="298"/>
  <c r="AZ61" i="298"/>
  <c r="AZ86" i="298" s="1"/>
  <c r="AZ92" i="298" s="1"/>
  <c r="L74" i="1"/>
  <c r="L76" i="1" s="1"/>
  <c r="AT61" i="298"/>
  <c r="AT86" i="298" s="1"/>
  <c r="AT92" i="298" s="1"/>
  <c r="AQ39" i="468"/>
  <c r="AR39" i="468"/>
  <c r="J118" i="1"/>
  <c r="J1190" i="1"/>
  <c r="J1193" i="1" s="1"/>
  <c r="J124" i="1"/>
  <c r="BE21" i="298"/>
  <c r="AY77" i="1"/>
  <c r="AH659" i="1"/>
  <c r="AH667" i="1" s="1"/>
  <c r="AE24" i="298"/>
  <c r="AE22" i="298"/>
  <c r="AK83" i="298"/>
  <c r="AK87" i="298" s="1"/>
  <c r="AK88" i="298" s="1"/>
  <c r="AL89" i="298" s="1"/>
  <c r="AK76" i="298"/>
  <c r="AK80" i="298" s="1"/>
  <c r="AK109" i="298"/>
  <c r="BU60" i="468"/>
  <c r="AD44" i="28"/>
  <c r="AQ41" i="468"/>
  <c r="AR41" i="468"/>
  <c r="AQ76" i="298"/>
  <c r="AQ80" i="298" s="1"/>
  <c r="AQ75" i="298"/>
  <c r="AQ83" i="298"/>
  <c r="AQ87" i="298" s="1"/>
  <c r="AQ93" i="298" s="1"/>
  <c r="AQ109" i="298"/>
  <c r="AR75" i="298"/>
  <c r="AB187" i="298"/>
  <c r="AB192" i="298"/>
  <c r="AE89" i="298"/>
  <c r="BC1192" i="1"/>
  <c r="AV628" i="298"/>
  <c r="BC74" i="1"/>
  <c r="BC76" i="1" s="1"/>
  <c r="O57" i="3"/>
  <c r="AK62" i="298"/>
  <c r="AK64" i="298" s="1"/>
  <c r="AL65" i="298" s="1"/>
  <c r="AU70" i="298"/>
  <c r="Q61" i="298"/>
  <c r="Q86" i="298" s="1"/>
  <c r="H74" i="1"/>
  <c r="H76" i="1" s="1"/>
  <c r="V44" i="28"/>
  <c r="W44" i="28"/>
  <c r="D91" i="1"/>
  <c r="D110" i="1" s="1"/>
  <c r="D113" i="1"/>
  <c r="D117" i="1" s="1"/>
  <c r="AU1192" i="1"/>
  <c r="O89" i="1"/>
  <c r="O82" i="1"/>
  <c r="O83" i="1"/>
  <c r="S82" i="1"/>
  <c r="BA55" i="298"/>
  <c r="BA57" i="298"/>
  <c r="BA48" i="298" s="1"/>
  <c r="BI803" i="1"/>
  <c r="BI815" i="1"/>
  <c r="BJ817" i="1" s="1"/>
  <c r="BJ818" i="1" s="1"/>
  <c r="BI810" i="1"/>
  <c r="BI807" i="1"/>
  <c r="BJ807" i="1"/>
  <c r="Q70" i="298"/>
  <c r="Q74" i="298"/>
  <c r="U75" i="298" s="1"/>
  <c r="Q71" i="298"/>
  <c r="K46" i="292"/>
  <c r="R91" i="1"/>
  <c r="R110" i="1" s="1"/>
  <c r="R113" i="1"/>
  <c r="R117" i="1" s="1"/>
  <c r="J29" i="51"/>
  <c r="BN59" i="1"/>
  <c r="I23" i="523" s="1"/>
  <c r="AF63" i="1"/>
  <c r="AF66" i="1" s="1"/>
  <c r="AF18" i="28"/>
  <c r="AF16" i="28" s="1"/>
  <c r="AF17" i="28" s="1"/>
  <c r="D18" i="292"/>
  <c r="BI72" i="1"/>
  <c r="BI54" i="1"/>
  <c r="BI53" i="1"/>
  <c r="BI50" i="1"/>
  <c r="BI58" i="1" s="1"/>
  <c r="BI81" i="1"/>
  <c r="BJ54" i="1"/>
  <c r="BJ50" i="1"/>
  <c r="BJ58" i="1" s="1"/>
  <c r="U74" i="1"/>
  <c r="U76" i="1" s="1"/>
  <c r="J1357" i="1"/>
  <c r="J1366" i="1" s="1"/>
  <c r="K1378" i="1"/>
  <c r="Q15" i="313"/>
  <c r="Q14" i="313"/>
  <c r="Q18" i="313"/>
  <c r="Q27" i="313" s="1"/>
  <c r="Q30" i="313" s="1"/>
  <c r="BM667" i="1"/>
  <c r="AV76" i="298"/>
  <c r="AV83" i="298"/>
  <c r="AV87" i="298" s="1"/>
  <c r="AV109" i="298"/>
  <c r="AF55" i="298"/>
  <c r="AM62" i="298"/>
  <c r="AM64" i="298" s="1"/>
  <c r="AM65" i="298" s="1"/>
  <c r="BI316" i="1"/>
  <c r="BI321" i="1"/>
  <c r="BJ316" i="1"/>
  <c r="H50" i="51"/>
  <c r="AY628" i="298"/>
  <c r="P70" i="298"/>
  <c r="P74" i="298"/>
  <c r="P71" i="298"/>
  <c r="T70" i="298"/>
  <c r="K71" i="298"/>
  <c r="K70" i="298"/>
  <c r="K74" i="298"/>
  <c r="O70" i="298"/>
  <c r="E20" i="313"/>
  <c r="E18" i="267"/>
  <c r="E13" i="267"/>
  <c r="I12" i="267"/>
  <c r="AM75" i="298"/>
  <c r="AM83" i="298"/>
  <c r="AM87" i="298" s="1"/>
  <c r="AM76" i="298"/>
  <c r="AM80" i="298" s="1"/>
  <c r="AM109" i="298"/>
  <c r="BD181" i="298"/>
  <c r="BE186" i="298" s="1"/>
  <c r="BD524" i="298"/>
  <c r="BD530" i="298"/>
  <c r="N44" i="28"/>
  <c r="AV118" i="1"/>
  <c r="AV1190" i="1"/>
  <c r="AV1193" i="1" s="1"/>
  <c r="AP88" i="298"/>
  <c r="AP626" i="298"/>
  <c r="AP629" i="298" s="1"/>
  <c r="AM628" i="298"/>
  <c r="H541" i="298"/>
  <c r="H542" i="298"/>
  <c r="AZ534" i="298"/>
  <c r="S44" i="28"/>
  <c r="H59" i="51"/>
  <c r="H57" i="51"/>
  <c r="H58" i="51"/>
  <c r="G1095" i="1"/>
  <c r="G1094" i="1"/>
  <c r="BG1087" i="1"/>
  <c r="BG89" i="1"/>
  <c r="BG83" i="1"/>
  <c r="F44" i="28"/>
  <c r="G44" i="28"/>
  <c r="AI143" i="298"/>
  <c r="BF115" i="298"/>
  <c r="AI118" i="298"/>
  <c r="AB815" i="1"/>
  <c r="AF817" i="1" s="1"/>
  <c r="AF818" i="1" s="1"/>
  <c r="AB803" i="1"/>
  <c r="AB810" i="1"/>
  <c r="AX118" i="1"/>
  <c r="AX1190" i="1"/>
  <c r="AX1193" i="1" s="1"/>
  <c r="R15" i="313"/>
  <c r="R18" i="313"/>
  <c r="R27" i="313" s="1"/>
  <c r="R30" i="313" s="1"/>
  <c r="R14" i="313"/>
  <c r="O38" i="3"/>
  <c r="K61" i="298"/>
  <c r="K86" i="298" s="1"/>
  <c r="W65" i="1"/>
  <c r="AT90" i="1"/>
  <c r="M76" i="298"/>
  <c r="M80" i="298" s="1"/>
  <c r="M83" i="298"/>
  <c r="M87" i="298" s="1"/>
  <c r="AV90" i="1"/>
  <c r="F28" i="3"/>
  <c r="P44" i="28"/>
  <c r="AI321" i="1"/>
  <c r="BG73" i="1"/>
  <c r="BG116" i="1" s="1"/>
  <c r="BG122" i="1" s="1"/>
  <c r="BB76" i="298"/>
  <c r="BB80" i="298" s="1"/>
  <c r="BB83" i="298"/>
  <c r="BB109" i="298"/>
  <c r="BJ40" i="1"/>
  <c r="BJ41" i="1" s="1"/>
  <c r="AL577" i="1" l="1"/>
  <c r="AL288" i="1" s="1"/>
  <c r="AH288" i="1"/>
  <c r="AI289" i="1"/>
  <c r="AM303" i="1"/>
  <c r="AM289" i="1"/>
  <c r="AM296" i="1" s="1"/>
  <c r="AM295" i="1"/>
  <c r="AB65" i="1"/>
  <c r="AB55" i="1" s="1"/>
  <c r="AB66" i="1"/>
  <c r="AH65" i="1"/>
  <c r="AH66" i="1"/>
  <c r="Z65" i="1"/>
  <c r="Z66" i="1"/>
  <c r="X65" i="1"/>
  <c r="X66" i="1"/>
  <c r="AD65" i="1"/>
  <c r="AD66" i="1"/>
  <c r="BO759" i="1"/>
  <c r="AI759" i="1"/>
  <c r="AM767" i="1" s="1"/>
  <c r="BK534" i="1"/>
  <c r="BL534" i="1"/>
  <c r="BK527" i="1"/>
  <c r="BJ527" i="1"/>
  <c r="BJ535" i="1" s="1"/>
  <c r="AE527" i="1"/>
  <c r="AE535" i="1" s="1"/>
  <c r="BM519" i="1"/>
  <c r="BM527" i="1" s="1"/>
  <c r="BM535" i="1" s="1"/>
  <c r="AL393" i="1"/>
  <c r="AL391" i="1" s="1"/>
  <c r="AP395" i="1"/>
  <c r="AI488" i="1"/>
  <c r="BM488" i="1"/>
  <c r="AE423" i="1"/>
  <c r="AE424" i="1" s="1"/>
  <c r="AA535" i="1"/>
  <c r="W535" i="1"/>
  <c r="AC766" i="1"/>
  <c r="AE534" i="1"/>
  <c r="AI534" i="1"/>
  <c r="BN526" i="1"/>
  <c r="BN534" i="1" s="1"/>
  <c r="AC759" i="1"/>
  <c r="AC754" i="1"/>
  <c r="AG754" i="1"/>
  <c r="AG759" i="1"/>
  <c r="W759" i="1"/>
  <c r="W767" i="1" s="1"/>
  <c r="W754" i="1"/>
  <c r="W762" i="1" s="1"/>
  <c r="AA754" i="1"/>
  <c r="AB766" i="1"/>
  <c r="AA759" i="1"/>
  <c r="AB759" i="1"/>
  <c r="AB754" i="1"/>
  <c r="AF759" i="1"/>
  <c r="AF754" i="1"/>
  <c r="AI766" i="1"/>
  <c r="AM766" i="1"/>
  <c r="X754" i="1"/>
  <c r="X762" i="1" s="1"/>
  <c r="X759" i="1"/>
  <c r="X767" i="1" s="1"/>
  <c r="Z762" i="1"/>
  <c r="AE759" i="1"/>
  <c r="AE754" i="1"/>
  <c r="AQ762" i="1"/>
  <c r="AM762" i="1"/>
  <c r="AH766" i="1"/>
  <c r="AL766" i="1"/>
  <c r="AD759" i="1"/>
  <c r="AD767" i="1" s="1"/>
  <c r="AD754" i="1"/>
  <c r="AD762" i="1" s="1"/>
  <c r="AH759" i="1"/>
  <c r="AH754" i="1"/>
  <c r="AF766" i="1"/>
  <c r="AJ766" i="1"/>
  <c r="Z767" i="1"/>
  <c r="Y766" i="1"/>
  <c r="U759" i="1"/>
  <c r="U767" i="1" s="1"/>
  <c r="U754" i="1"/>
  <c r="U762" i="1" s="1"/>
  <c r="AG766" i="1"/>
  <c r="AK766" i="1"/>
  <c r="Y759" i="1"/>
  <c r="Y754" i="1"/>
  <c r="AA766" i="1"/>
  <c r="AL587" i="1"/>
  <c r="AP594" i="1" s="1"/>
  <c r="AE914" i="1"/>
  <c r="AF915" i="1" s="1"/>
  <c r="AH931" i="1"/>
  <c r="AO931" i="1"/>
  <c r="AP924" i="1"/>
  <c r="AM914" i="1"/>
  <c r="AM916" i="1" s="1"/>
  <c r="AL926" i="1"/>
  <c r="AL931" i="1"/>
  <c r="AC931" i="1"/>
  <c r="AK916" i="1"/>
  <c r="AG916" i="1"/>
  <c r="AD914" i="1"/>
  <c r="Y914" i="1"/>
  <c r="AC916" i="1" s="1"/>
  <c r="AL914" i="1"/>
  <c r="AL925" i="1"/>
  <c r="AM925" i="1"/>
  <c r="Z924" i="1"/>
  <c r="AD925" i="1"/>
  <c r="AE925" i="1"/>
  <c r="U924" i="1"/>
  <c r="Y931" i="1" s="1"/>
  <c r="Y925" i="1"/>
  <c r="AJ83" i="28"/>
  <c r="AK83" i="28"/>
  <c r="AN83" i="28"/>
  <c r="BP759" i="1"/>
  <c r="BP754" i="1"/>
  <c r="BP762" i="1" s="1"/>
  <c r="AL83" i="28"/>
  <c r="BO763" i="1"/>
  <c r="BP763" i="1"/>
  <c r="AP758" i="1"/>
  <c r="AP766" i="1" s="1"/>
  <c r="AP700" i="1"/>
  <c r="AQ759" i="1"/>
  <c r="AQ767" i="1" s="1"/>
  <c r="AQ751" i="1"/>
  <c r="BP751" i="1" s="1"/>
  <c r="BP758" i="1" s="1"/>
  <c r="BP766" i="1" s="1"/>
  <c r="AL690" i="1"/>
  <c r="Z35" i="523"/>
  <c r="AA35" i="523" s="1"/>
  <c r="AA33" i="523" s="1"/>
  <c r="AA34" i="523" s="1"/>
  <c r="BO857" i="1"/>
  <c r="BO858" i="1" s="1"/>
  <c r="AN857" i="1"/>
  <c r="AJ535" i="1"/>
  <c r="Y195" i="1"/>
  <c r="Y196" i="1" s="1"/>
  <c r="Y214" i="1"/>
  <c r="Y215" i="1" s="1"/>
  <c r="AC195" i="1"/>
  <c r="AC196" i="1" s="1"/>
  <c r="BP532" i="1"/>
  <c r="BK896" i="1"/>
  <c r="BL524" i="1"/>
  <c r="BM532" i="1" s="1"/>
  <c r="BP517" i="1"/>
  <c r="BP525" i="1" s="1"/>
  <c r="BP533" i="1" s="1"/>
  <c r="AA13" i="525"/>
  <c r="AO626" i="298"/>
  <c r="AO629" i="298" s="1"/>
  <c r="AO93" i="298"/>
  <c r="BP400" i="1"/>
  <c r="BP408" i="1" s="1"/>
  <c r="AM535" i="1"/>
  <c r="AM403" i="1"/>
  <c r="AQ411" i="1" s="1"/>
  <c r="AL527" i="1"/>
  <c r="AP535" i="1" s="1"/>
  <c r="AL403" i="1"/>
  <c r="AP411" i="1" s="1"/>
  <c r="BO395" i="1"/>
  <c r="BO403" i="1" s="1"/>
  <c r="BP402" i="1"/>
  <c r="BP410" i="1" s="1"/>
  <c r="AT124" i="1"/>
  <c r="BP861" i="1"/>
  <c r="BP872" i="1" s="1"/>
  <c r="BP886" i="1" s="1"/>
  <c r="AN690" i="1"/>
  <c r="AL659" i="1"/>
  <c r="AL667" i="1" s="1"/>
  <c r="AL675" i="1"/>
  <c r="AL671" i="1" s="1"/>
  <c r="N95" i="1"/>
  <c r="F88" i="298"/>
  <c r="D18" i="313"/>
  <c r="D27" i="313" s="1"/>
  <c r="D30" i="313" s="1"/>
  <c r="D32" i="313" s="1"/>
  <c r="H21" i="313"/>
  <c r="E113" i="1"/>
  <c r="E117" i="1" s="1"/>
  <c r="E124" i="1" s="1"/>
  <c r="G18" i="313"/>
  <c r="G27" i="313" s="1"/>
  <c r="G30" i="313" s="1"/>
  <c r="G31" i="313" s="1"/>
  <c r="K21" i="313"/>
  <c r="G22" i="313"/>
  <c r="E93" i="1"/>
  <c r="E91" i="1"/>
  <c r="E110" i="1" s="1"/>
  <c r="P95" i="1"/>
  <c r="P91" i="1"/>
  <c r="P110" i="1" s="1"/>
  <c r="P104" i="1"/>
  <c r="P106" i="1" s="1"/>
  <c r="P113" i="1"/>
  <c r="P117" i="1" s="1"/>
  <c r="P118" i="1" s="1"/>
  <c r="H88" i="523"/>
  <c r="H74" i="523"/>
  <c r="E35" i="523"/>
  <c r="E61" i="523"/>
  <c r="E64" i="523" s="1"/>
  <c r="E54" i="523"/>
  <c r="E46" i="523"/>
  <c r="E78" i="523"/>
  <c r="Y1267" i="1"/>
  <c r="Z63" i="523"/>
  <c r="Z64" i="523" s="1"/>
  <c r="C126" i="523"/>
  <c r="C127" i="523" s="1"/>
  <c r="C33" i="523"/>
  <c r="F127" i="504"/>
  <c r="D33" i="523"/>
  <c r="E36" i="523" s="1"/>
  <c r="D126" i="523"/>
  <c r="D127" i="523" s="1"/>
  <c r="D17" i="523"/>
  <c r="D18" i="523"/>
  <c r="D14" i="523"/>
  <c r="D22" i="523" s="1"/>
  <c r="D23" i="523" s="1"/>
  <c r="F33" i="523"/>
  <c r="F62" i="523" s="1"/>
  <c r="F14" i="523"/>
  <c r="F22" i="523" s="1"/>
  <c r="F23" i="523" s="1"/>
  <c r="F17" i="523"/>
  <c r="F18" i="523"/>
  <c r="F64" i="523"/>
  <c r="F126" i="523"/>
  <c r="F127" i="523" s="1"/>
  <c r="H48" i="523"/>
  <c r="BI1268" i="1"/>
  <c r="BI1269" i="1"/>
  <c r="E18" i="523"/>
  <c r="BK1268" i="1"/>
  <c r="BK1269" i="1"/>
  <c r="H56" i="523"/>
  <c r="E14" i="523"/>
  <c r="E22" i="523" s="1"/>
  <c r="E23" i="523" s="1"/>
  <c r="BL1113" i="1"/>
  <c r="G25" i="523"/>
  <c r="E14" i="504"/>
  <c r="E22" i="504" s="1"/>
  <c r="E23" i="504" s="1"/>
  <c r="AA26" i="503"/>
  <c r="AA27" i="503" s="1"/>
  <c r="E14" i="503"/>
  <c r="E22" i="503" s="1"/>
  <c r="E23" i="503" s="1"/>
  <c r="T112" i="519"/>
  <c r="T145" i="519" s="1"/>
  <c r="U34" i="519" s="1"/>
  <c r="U112" i="519" s="1"/>
  <c r="U145" i="519" s="1"/>
  <c r="BH89" i="1"/>
  <c r="BH140" i="1" s="1"/>
  <c r="D76" i="298"/>
  <c r="D80" i="298" s="1"/>
  <c r="BL51" i="1"/>
  <c r="BL203" i="1" s="1"/>
  <c r="D14" i="504"/>
  <c r="D22" i="504" s="1"/>
  <c r="D23" i="504" s="1"/>
  <c r="D17" i="504"/>
  <c r="D18" i="504"/>
  <c r="D17" i="503"/>
  <c r="D14" i="503"/>
  <c r="D22" i="503" s="1"/>
  <c r="D23" i="503" s="1"/>
  <c r="D18" i="503"/>
  <c r="AA26" i="504"/>
  <c r="AA27" i="504" s="1"/>
  <c r="H88" i="503"/>
  <c r="H74" i="503"/>
  <c r="H88" i="504"/>
  <c r="H74" i="504"/>
  <c r="I23" i="503"/>
  <c r="I23" i="504"/>
  <c r="Z35" i="504"/>
  <c r="AA35" i="504" s="1"/>
  <c r="AA33" i="504" s="1"/>
  <c r="AA34" i="504" s="1"/>
  <c r="F17" i="504"/>
  <c r="F14" i="504"/>
  <c r="F22" i="504" s="1"/>
  <c r="F23" i="504" s="1"/>
  <c r="F18" i="504"/>
  <c r="F14" i="503"/>
  <c r="F22" i="503" s="1"/>
  <c r="F23" i="503" s="1"/>
  <c r="F18" i="503"/>
  <c r="F17" i="503"/>
  <c r="G25" i="503"/>
  <c r="G25" i="504"/>
  <c r="E18" i="503"/>
  <c r="E18" i="504"/>
  <c r="H35" i="504"/>
  <c r="H54" i="504"/>
  <c r="H56" i="504" s="1"/>
  <c r="H78" i="504"/>
  <c r="H46" i="504"/>
  <c r="H48" i="504" s="1"/>
  <c r="Z35" i="503"/>
  <c r="AA35" i="503" s="1"/>
  <c r="AA33" i="503" s="1"/>
  <c r="AA34" i="503" s="1"/>
  <c r="H54" i="503"/>
  <c r="H56" i="503" s="1"/>
  <c r="H35" i="503"/>
  <c r="H46" i="503"/>
  <c r="H48" i="503" s="1"/>
  <c r="H78" i="503"/>
  <c r="BH83" i="1"/>
  <c r="H62" i="504"/>
  <c r="F61" i="503"/>
  <c r="F64" i="503" s="1"/>
  <c r="F61" i="504"/>
  <c r="F64" i="504" s="1"/>
  <c r="F25" i="503"/>
  <c r="F16" i="503" s="1"/>
  <c r="F27" i="503" s="1"/>
  <c r="F25" i="504"/>
  <c r="F16" i="504" s="1"/>
  <c r="F27" i="504" s="1"/>
  <c r="E54" i="504"/>
  <c r="E78" i="504"/>
  <c r="E61" i="504"/>
  <c r="E64" i="504" s="1"/>
  <c r="E46" i="504"/>
  <c r="E35" i="504"/>
  <c r="E78" i="503"/>
  <c r="E61" i="503"/>
  <c r="E64" i="503" s="1"/>
  <c r="E35" i="503"/>
  <c r="E46" i="503"/>
  <c r="E54" i="503"/>
  <c r="G93" i="298"/>
  <c r="BC57" i="298"/>
  <c r="BC48" i="298" s="1"/>
  <c r="U94" i="1"/>
  <c r="AI94" i="1"/>
  <c r="AT95" i="1"/>
  <c r="I104" i="1"/>
  <c r="I106" i="1" s="1"/>
  <c r="I93" i="1"/>
  <c r="M95" i="1" s="1"/>
  <c r="X104" i="1"/>
  <c r="X106" i="1" s="1"/>
  <c r="X93" i="1"/>
  <c r="X94" i="1" s="1"/>
  <c r="K104" i="1"/>
  <c r="K106" i="1" s="1"/>
  <c r="K93" i="1"/>
  <c r="T96" i="1"/>
  <c r="T95" i="1"/>
  <c r="W96" i="1"/>
  <c r="AA95" i="1"/>
  <c r="G104" i="1"/>
  <c r="G106" i="1" s="1"/>
  <c r="G93" i="1"/>
  <c r="BG104" i="1"/>
  <c r="BG106" i="1" s="1"/>
  <c r="BG93" i="1"/>
  <c r="BG96" i="1" s="1"/>
  <c r="H104" i="1"/>
  <c r="H106" i="1" s="1"/>
  <c r="H93" i="1"/>
  <c r="H95" i="1" s="1"/>
  <c r="V91" i="1"/>
  <c r="V110" i="1" s="1"/>
  <c r="V93" i="1"/>
  <c r="V94" i="1" s="1"/>
  <c r="U96" i="1"/>
  <c r="U95" i="1"/>
  <c r="BD104" i="1"/>
  <c r="BD106" i="1" s="1"/>
  <c r="BD93" i="1"/>
  <c r="S104" i="1"/>
  <c r="S106" i="1" s="1"/>
  <c r="S93" i="1"/>
  <c r="T94" i="1" s="1"/>
  <c r="BC96" i="1"/>
  <c r="BM96" i="1"/>
  <c r="BJ96" i="1"/>
  <c r="BB104" i="1"/>
  <c r="BB106" i="1" s="1"/>
  <c r="BB93" i="1"/>
  <c r="BA95" i="1"/>
  <c r="BA96" i="1"/>
  <c r="AH95" i="1"/>
  <c r="AH96" i="1"/>
  <c r="O104" i="1"/>
  <c r="O106" i="1" s="1"/>
  <c r="O93" i="1"/>
  <c r="F104" i="1"/>
  <c r="F106" i="1" s="1"/>
  <c r="F93" i="1"/>
  <c r="J95" i="1" s="1"/>
  <c r="R95" i="1"/>
  <c r="AU95" i="1"/>
  <c r="AU96" i="1"/>
  <c r="T97" i="519"/>
  <c r="T130" i="519" s="1"/>
  <c r="U19" i="519" s="1"/>
  <c r="AU75" i="298"/>
  <c r="AV75" i="298"/>
  <c r="AY75" i="298" s="1"/>
  <c r="AS626" i="298"/>
  <c r="AS629" i="298" s="1"/>
  <c r="AS88" i="298"/>
  <c r="BP526" i="1"/>
  <c r="BP534" i="1" s="1"/>
  <c r="L19" i="267"/>
  <c r="AQ656" i="1"/>
  <c r="AQ682" i="1" s="1"/>
  <c r="AP664" i="1"/>
  <c r="AP646" i="1"/>
  <c r="AO528" i="1"/>
  <c r="AO536" i="1" s="1"/>
  <c r="AO418" i="1"/>
  <c r="AO223" i="1" s="1"/>
  <c r="AQ805" i="1"/>
  <c r="AQ824" i="1" s="1"/>
  <c r="AQ832" i="1" s="1"/>
  <c r="AM832" i="1"/>
  <c r="BO805" i="1"/>
  <c r="AN528" i="1"/>
  <c r="AN536" i="1" s="1"/>
  <c r="AN418" i="1"/>
  <c r="AQ533" i="1"/>
  <c r="V104" i="1"/>
  <c r="V106" i="1" s="1"/>
  <c r="T111" i="519"/>
  <c r="T144" i="519" s="1"/>
  <c r="U33" i="519" s="1"/>
  <c r="U111" i="519" s="1"/>
  <c r="U144" i="519" s="1"/>
  <c r="AC78" i="519"/>
  <c r="AB79" i="519"/>
  <c r="V113" i="1"/>
  <c r="V117" i="1" s="1"/>
  <c r="V1190" i="1" s="1"/>
  <c r="V1193" i="1" s="1"/>
  <c r="L18" i="313"/>
  <c r="L27" i="313" s="1"/>
  <c r="L30" i="313" s="1"/>
  <c r="L32" i="313" s="1"/>
  <c r="AU83" i="298"/>
  <c r="AU87" i="298" s="1"/>
  <c r="AU88" i="298" s="1"/>
  <c r="G109" i="298"/>
  <c r="Z90" i="1"/>
  <c r="BE551" i="298"/>
  <c r="BE557" i="298" s="1"/>
  <c r="BE560" i="298" s="1"/>
  <c r="AU109" i="298"/>
  <c r="H98" i="292"/>
  <c r="V90" i="1"/>
  <c r="P21" i="313"/>
  <c r="H69" i="292"/>
  <c r="H71" i="292" s="1"/>
  <c r="H53" i="292"/>
  <c r="H68" i="292"/>
  <c r="L22" i="313"/>
  <c r="BF158" i="298"/>
  <c r="BH816" i="1"/>
  <c r="BH819" i="1"/>
  <c r="AV65" i="298"/>
  <c r="AY65" i="298" s="1"/>
  <c r="AD819" i="1"/>
  <c r="BM124" i="1"/>
  <c r="AD812" i="1"/>
  <c r="AD40" i="1"/>
  <c r="AD41" i="1" s="1"/>
  <c r="AD818" i="1"/>
  <c r="AB40" i="1"/>
  <c r="AB41" i="1" s="1"/>
  <c r="AB818" i="1"/>
  <c r="AH40" i="1"/>
  <c r="AH41" i="1" s="1"/>
  <c r="AH818" i="1"/>
  <c r="W14" i="313"/>
  <c r="AE810" i="1"/>
  <c r="AI809" i="1"/>
  <c r="BM1190" i="1"/>
  <c r="BM1193" i="1" s="1"/>
  <c r="BC140" i="1"/>
  <c r="BC104" i="1"/>
  <c r="BC106" i="1" s="1"/>
  <c r="U113" i="1"/>
  <c r="U117" i="1" s="1"/>
  <c r="U118" i="1" s="1"/>
  <c r="U104" i="1"/>
  <c r="U106" i="1" s="1"/>
  <c r="L113" i="1"/>
  <c r="L117" i="1" s="1"/>
  <c r="L124" i="1" s="1"/>
  <c r="L104" i="1"/>
  <c r="L106" i="1" s="1"/>
  <c r="R90" i="1"/>
  <c r="N104" i="1"/>
  <c r="N106" i="1" s="1"/>
  <c r="AG78" i="28"/>
  <c r="AF83" i="28"/>
  <c r="AG59" i="28"/>
  <c r="T91" i="1"/>
  <c r="T110" i="1" s="1"/>
  <c r="T104" i="1"/>
  <c r="T106" i="1" s="1"/>
  <c r="Q91" i="1"/>
  <c r="Q110" i="1" s="1"/>
  <c r="Q104" i="1"/>
  <c r="Q106" i="1" s="1"/>
  <c r="BE124" i="1"/>
  <c r="BE1190" i="1"/>
  <c r="BE1193" i="1" s="1"/>
  <c r="AZ1190" i="1"/>
  <c r="AZ1193" i="1" s="1"/>
  <c r="AZ118" i="1"/>
  <c r="AE119" i="1"/>
  <c r="P90" i="1"/>
  <c r="AD119" i="1"/>
  <c r="AT119" i="1"/>
  <c r="BK63" i="1"/>
  <c r="BK51" i="1"/>
  <c r="BK203" i="1" s="1"/>
  <c r="AG1094" i="1"/>
  <c r="AG1095" i="1"/>
  <c r="AG1111" i="1"/>
  <c r="BN1104" i="1"/>
  <c r="L516" i="1"/>
  <c r="H515" i="1"/>
  <c r="L524" i="1" s="1"/>
  <c r="P532" i="1" s="1"/>
  <c r="N91" i="1"/>
  <c r="N110" i="1" s="1"/>
  <c r="N140" i="1"/>
  <c r="AA321" i="1"/>
  <c r="Y14" i="313"/>
  <c r="BC71" i="298"/>
  <c r="N113" i="1"/>
  <c r="N117" i="1" s="1"/>
  <c r="N118" i="1" s="1"/>
  <c r="N90" i="1"/>
  <c r="BL311" i="1"/>
  <c r="BL316" i="1" s="1"/>
  <c r="BL315" i="1"/>
  <c r="BL320" i="1"/>
  <c r="BL1104" i="1"/>
  <c r="BL1111" i="1" s="1"/>
  <c r="BL1114" i="1" s="1"/>
  <c r="AW65" i="298"/>
  <c r="AZ65" i="298" s="1"/>
  <c r="L91" i="1"/>
  <c r="L110" i="1" s="1"/>
  <c r="AJ812" i="1"/>
  <c r="AA75" i="298"/>
  <c r="W76" i="298"/>
  <c r="W80" i="298" s="1"/>
  <c r="W83" i="298"/>
  <c r="W87" i="298" s="1"/>
  <c r="AE803" i="1"/>
  <c r="AK1398" i="1"/>
  <c r="F31" i="313"/>
  <c r="AE815" i="1"/>
  <c r="AI817" i="1" s="1"/>
  <c r="BA61" i="298"/>
  <c r="BA86" i="298" s="1"/>
  <c r="BA92" i="298" s="1"/>
  <c r="BA628" i="298" s="1"/>
  <c r="U91" i="1"/>
  <c r="U110" i="1" s="1"/>
  <c r="L90" i="1"/>
  <c r="BI40" i="1"/>
  <c r="BI41" i="1" s="1"/>
  <c r="I65" i="298"/>
  <c r="Q140" i="1"/>
  <c r="M118" i="1"/>
  <c r="L21" i="313"/>
  <c r="U15" i="313"/>
  <c r="F19" i="267"/>
  <c r="AE316" i="1"/>
  <c r="M124" i="1"/>
  <c r="U14" i="313"/>
  <c r="V109" i="298"/>
  <c r="AY93" i="298"/>
  <c r="AE321" i="1"/>
  <c r="U90" i="1"/>
  <c r="S65" i="298"/>
  <c r="U109" i="298"/>
  <c r="AH20" i="28"/>
  <c r="AH19" i="28"/>
  <c r="H18" i="313"/>
  <c r="H27" i="313" s="1"/>
  <c r="H30" i="313" s="1"/>
  <c r="H32" i="313" s="1"/>
  <c r="J21" i="313"/>
  <c r="H22" i="313"/>
  <c r="J22" i="313"/>
  <c r="W65" i="298"/>
  <c r="H62" i="298"/>
  <c r="H64" i="298" s="1"/>
  <c r="H65" i="298" s="1"/>
  <c r="O109" i="298"/>
  <c r="X140" i="1"/>
  <c r="E76" i="298"/>
  <c r="E80" i="298" s="1"/>
  <c r="E83" i="298"/>
  <c r="E87" i="298" s="1"/>
  <c r="AY1190" i="1"/>
  <c r="AY1193" i="1" s="1"/>
  <c r="T113" i="1"/>
  <c r="T117" i="1" s="1"/>
  <c r="T118" i="1" s="1"/>
  <c r="AY118" i="1"/>
  <c r="T90" i="1"/>
  <c r="AH31" i="28"/>
  <c r="AN31" i="28" s="1"/>
  <c r="X109" i="298"/>
  <c r="AB65" i="298"/>
  <c r="X65" i="298"/>
  <c r="V65" i="298"/>
  <c r="Z65" i="298"/>
  <c r="BK819" i="1"/>
  <c r="BK812" i="1"/>
  <c r="S75" i="298"/>
  <c r="AH22" i="28"/>
  <c r="AJ22" i="28" s="1"/>
  <c r="T86" i="298"/>
  <c r="BC61" i="298"/>
  <c r="B18" i="313"/>
  <c r="B27" i="313" s="1"/>
  <c r="B30" i="313" s="1"/>
  <c r="B32" i="313" s="1"/>
  <c r="B22" i="313"/>
  <c r="BI817" i="1"/>
  <c r="BI818" i="1" s="1"/>
  <c r="L76" i="298"/>
  <c r="L80" i="298" s="1"/>
  <c r="L83" i="298"/>
  <c r="L87" i="298" s="1"/>
  <c r="AM18" i="28"/>
  <c r="M65" i="298"/>
  <c r="V76" i="298"/>
  <c r="V80" i="298" s="1"/>
  <c r="V75" i="298"/>
  <c r="V83" i="298"/>
  <c r="V87" i="298" s="1"/>
  <c r="Z75" i="298"/>
  <c r="AH160" i="298"/>
  <c r="Q109" i="298"/>
  <c r="I75" i="298"/>
  <c r="I76" i="298"/>
  <c r="I80" i="298" s="1"/>
  <c r="I83" i="298"/>
  <c r="I87" i="298" s="1"/>
  <c r="AH44" i="298"/>
  <c r="AH46" i="298" s="1"/>
  <c r="AP89" i="298"/>
  <c r="AI1015" i="1"/>
  <c r="AY626" i="298"/>
  <c r="AY629" i="298" s="1"/>
  <c r="Q90" i="1"/>
  <c r="L62" i="298"/>
  <c r="L64" i="298" s="1"/>
  <c r="O76" i="298"/>
  <c r="O80" i="298" s="1"/>
  <c r="O83" i="298"/>
  <c r="O87" i="298" s="1"/>
  <c r="H19" i="267"/>
  <c r="W109" i="298"/>
  <c r="T83" i="298"/>
  <c r="BC74" i="298"/>
  <c r="T76" i="298"/>
  <c r="T80" i="298" s="1"/>
  <c r="S140" i="1"/>
  <c r="X83" i="298"/>
  <c r="X87" i="298" s="1"/>
  <c r="X76" i="298"/>
  <c r="X80" i="298" s="1"/>
  <c r="X75" i="298"/>
  <c r="AB75" i="298"/>
  <c r="AN18" i="28"/>
  <c r="Q113" i="1"/>
  <c r="Q117" i="1" s="1"/>
  <c r="Q118" i="1" s="1"/>
  <c r="BK89" i="1"/>
  <c r="P109" i="298"/>
  <c r="N21" i="313"/>
  <c r="J88" i="298"/>
  <c r="J93" i="298"/>
  <c r="J626" i="298"/>
  <c r="J629" i="298" s="1"/>
  <c r="AN65" i="298"/>
  <c r="N65" i="298"/>
  <c r="R65" i="298"/>
  <c r="AY542" i="298"/>
  <c r="AY541" i="298"/>
  <c r="BA541" i="298"/>
  <c r="BA542" i="298"/>
  <c r="R88" i="298"/>
  <c r="R626" i="298"/>
  <c r="R629" i="298" s="1"/>
  <c r="R93" i="298"/>
  <c r="Z192" i="298"/>
  <c r="Z187" i="298"/>
  <c r="AR88" i="298"/>
  <c r="AR626" i="298"/>
  <c r="AR629" i="298" s="1"/>
  <c r="AR93" i="298"/>
  <c r="BD357" i="298"/>
  <c r="BE358" i="298"/>
  <c r="K62" i="298"/>
  <c r="K64" i="298" s="1"/>
  <c r="BE413" i="298"/>
  <c r="BE356" i="298"/>
  <c r="BE357" i="298" s="1"/>
  <c r="H91" i="1"/>
  <c r="H110" i="1" s="1"/>
  <c r="R77" i="1"/>
  <c r="H90" i="1"/>
  <c r="AD816" i="1"/>
  <c r="BN23" i="1"/>
  <c r="Z816" i="1"/>
  <c r="H113" i="1"/>
  <c r="H117" i="1" s="1"/>
  <c r="H118" i="1" s="1"/>
  <c r="W140" i="1"/>
  <c r="BN806" i="1"/>
  <c r="BN803" i="1" s="1"/>
  <c r="Z819" i="1"/>
  <c r="Z812" i="1"/>
  <c r="W90" i="1"/>
  <c r="BM806" i="1"/>
  <c r="BN320" i="1"/>
  <c r="AH16" i="28"/>
  <c r="AJ16" i="28" s="1"/>
  <c r="AH65" i="28"/>
  <c r="K140" i="1"/>
  <c r="BM26" i="1"/>
  <c r="F19" i="292"/>
  <c r="F29" i="292" s="1"/>
  <c r="F28" i="292"/>
  <c r="F33" i="292"/>
  <c r="AL18" i="28"/>
  <c r="BK82" i="1"/>
  <c r="AH66" i="28"/>
  <c r="U140" i="1"/>
  <c r="AK18" i="28"/>
  <c r="BL667" i="1"/>
  <c r="AG316" i="1"/>
  <c r="T140" i="1"/>
  <c r="V140" i="1"/>
  <c r="O140" i="1"/>
  <c r="BB74" i="1"/>
  <c r="BB76" i="1" s="1"/>
  <c r="BB77" i="1" s="1"/>
  <c r="K91" i="1"/>
  <c r="K110" i="1" s="1"/>
  <c r="K113" i="1"/>
  <c r="K117" i="1" s="1"/>
  <c r="L140" i="1"/>
  <c r="M140" i="1"/>
  <c r="S18" i="313"/>
  <c r="S27" i="313" s="1"/>
  <c r="S30" i="313" s="1"/>
  <c r="S32" i="313" s="1"/>
  <c r="S15" i="313"/>
  <c r="V77" i="1"/>
  <c r="AC815" i="1"/>
  <c r="AC803" i="1"/>
  <c r="AC810" i="1"/>
  <c r="BJ73" i="1"/>
  <c r="BJ116" i="1" s="1"/>
  <c r="BJ122" i="1" s="1"/>
  <c r="AH321" i="1"/>
  <c r="AH316" i="1"/>
  <c r="X18" i="313"/>
  <c r="X27" i="313" s="1"/>
  <c r="X30" i="313" s="1"/>
  <c r="X15" i="313"/>
  <c r="X14" i="313"/>
  <c r="AH118" i="1"/>
  <c r="AH1190" i="1"/>
  <c r="AH1193" i="1" s="1"/>
  <c r="AH124" i="1"/>
  <c r="BA1049" i="1"/>
  <c r="BB1049" i="1"/>
  <c r="AH803" i="1"/>
  <c r="AH810" i="1"/>
  <c r="AH815" i="1"/>
  <c r="BM23" i="1"/>
  <c r="BA1190" i="1"/>
  <c r="BA1193" i="1" s="1"/>
  <c r="BN311" i="1"/>
  <c r="BN321" i="1" s="1"/>
  <c r="BC91" i="1"/>
  <c r="BC110" i="1" s="1"/>
  <c r="AS124" i="1"/>
  <c r="BC113" i="1"/>
  <c r="BC117" i="1" s="1"/>
  <c r="BC124" i="1" s="1"/>
  <c r="BK65" i="1"/>
  <c r="S74" i="1"/>
  <c r="S76" i="1" s="1"/>
  <c r="W77" i="1" s="1"/>
  <c r="BD1049" i="1"/>
  <c r="BD1051" i="1" s="1"/>
  <c r="BC1049" i="1"/>
  <c r="BC1051" i="1" s="1"/>
  <c r="AI117" i="1"/>
  <c r="AI124" i="1" s="1"/>
  <c r="AV77" i="1"/>
  <c r="J515" i="1"/>
  <c r="N516" i="1"/>
  <c r="BC90" i="1"/>
  <c r="BA118" i="1"/>
  <c r="BI73" i="1"/>
  <c r="BI116" i="1" s="1"/>
  <c r="BI122" i="1" s="1"/>
  <c r="BI1192" i="1" s="1"/>
  <c r="AX77" i="1"/>
  <c r="BL806" i="1"/>
  <c r="BM809" i="1" s="1"/>
  <c r="BL26" i="1"/>
  <c r="BL23" i="1"/>
  <c r="AF1401" i="1"/>
  <c r="AF1383" i="1" s="1"/>
  <c r="AF1404" i="1"/>
  <c r="AF1384" i="1" s="1"/>
  <c r="AF1407" i="1"/>
  <c r="AF1385" i="1" s="1"/>
  <c r="AF1410" i="1"/>
  <c r="AF1386" i="1" s="1"/>
  <c r="AF1413" i="1"/>
  <c r="AF1387" i="1" s="1"/>
  <c r="BD1192" i="1"/>
  <c r="I22" i="313"/>
  <c r="I18" i="313"/>
  <c r="I27" i="313" s="1"/>
  <c r="I30" i="313" s="1"/>
  <c r="I32" i="313" s="1"/>
  <c r="S524" i="1"/>
  <c r="W532" i="1" s="1"/>
  <c r="K515" i="1"/>
  <c r="K516" i="1" s="1"/>
  <c r="O516" i="1"/>
  <c r="BD113" i="1"/>
  <c r="BD117" i="1" s="1"/>
  <c r="BD124" i="1" s="1"/>
  <c r="BD91" i="1"/>
  <c r="BD110" i="1" s="1"/>
  <c r="BD140" i="1"/>
  <c r="BE90" i="1"/>
  <c r="O11" i="267"/>
  <c r="AC50" i="1"/>
  <c r="AC58" i="1" s="1"/>
  <c r="Y72" i="1"/>
  <c r="E50" i="276"/>
  <c r="Y53" i="1"/>
  <c r="Y59" i="1" s="1"/>
  <c r="Y54" i="1"/>
  <c r="Y81" i="1"/>
  <c r="AC54" i="1"/>
  <c r="Y1083" i="1"/>
  <c r="Y50" i="1"/>
  <c r="Y58" i="1" s="1"/>
  <c r="BL49" i="1"/>
  <c r="BL188" i="1" s="1"/>
  <c r="Y815" i="1"/>
  <c r="AC817" i="1" s="1"/>
  <c r="Y810" i="1"/>
  <c r="Y803" i="1"/>
  <c r="O74" i="1"/>
  <c r="O76" i="1" s="1"/>
  <c r="O77" i="1" s="1"/>
  <c r="S113" i="1"/>
  <c r="S117" i="1" s="1"/>
  <c r="S91" i="1"/>
  <c r="S110" i="1" s="1"/>
  <c r="AW1190" i="1"/>
  <c r="AW1193" i="1" s="1"/>
  <c r="AW118" i="1"/>
  <c r="AG812" i="1"/>
  <c r="AG819" i="1"/>
  <c r="O15" i="313"/>
  <c r="O14" i="313"/>
  <c r="S14" i="313"/>
  <c r="I91" i="1"/>
  <c r="I110" i="1" s="1"/>
  <c r="I90" i="1"/>
  <c r="I113" i="1"/>
  <c r="I117" i="1" s="1"/>
  <c r="M90" i="1"/>
  <c r="W40" i="1"/>
  <c r="BK40" i="1" s="1"/>
  <c r="BK41" i="1" s="1"/>
  <c r="BK817" i="1"/>
  <c r="BK818" i="1" s="1"/>
  <c r="AA1398" i="1"/>
  <c r="AA1397" i="1" s="1"/>
  <c r="Y321" i="1"/>
  <c r="Y316" i="1"/>
  <c r="AC316" i="1"/>
  <c r="M515" i="1"/>
  <c r="Q516" i="1"/>
  <c r="BJ516" i="1" s="1"/>
  <c r="BJ515" i="1"/>
  <c r="V15" i="313"/>
  <c r="V18" i="313"/>
  <c r="V27" i="313" s="1"/>
  <c r="V30" i="313" s="1"/>
  <c r="AF321" i="1"/>
  <c r="AJ316" i="1"/>
  <c r="F74" i="1"/>
  <c r="F76" i="1" s="1"/>
  <c r="J77" i="1" s="1"/>
  <c r="M21" i="313"/>
  <c r="J90" i="1"/>
  <c r="F113" i="1"/>
  <c r="F117" i="1" s="1"/>
  <c r="F91" i="1"/>
  <c r="F110" i="1" s="1"/>
  <c r="I74" i="1"/>
  <c r="I76" i="1" s="1"/>
  <c r="BH1095" i="1"/>
  <c r="BH1094" i="1"/>
  <c r="N18" i="313"/>
  <c r="N27" i="313" s="1"/>
  <c r="N30" i="313" s="1"/>
  <c r="N22" i="313"/>
  <c r="R21" i="313"/>
  <c r="H77" i="1"/>
  <c r="AF815" i="1"/>
  <c r="AJ817" i="1" s="1"/>
  <c r="AF803" i="1"/>
  <c r="AF810" i="1"/>
  <c r="BN532" i="1"/>
  <c r="AW124" i="1"/>
  <c r="Y40" i="1"/>
  <c r="BL40" i="1" s="1"/>
  <c r="BL41" i="1" s="1"/>
  <c r="BL817" i="1"/>
  <c r="BL818" i="1" s="1"/>
  <c r="AH535" i="1"/>
  <c r="BD90" i="1"/>
  <c r="BG90" i="1" s="1"/>
  <c r="BB91" i="1"/>
  <c r="BB110" i="1" s="1"/>
  <c r="BB113" i="1"/>
  <c r="BB117" i="1" s="1"/>
  <c r="BB90" i="1"/>
  <c r="BB140" i="1"/>
  <c r="BH74" i="1"/>
  <c r="BH76" i="1" s="1"/>
  <c r="X90" i="1"/>
  <c r="AB90" i="1"/>
  <c r="X91" i="1"/>
  <c r="X110" i="1" s="1"/>
  <c r="X113" i="1"/>
  <c r="X117" i="1" s="1"/>
  <c r="P140" i="1"/>
  <c r="X77" i="1"/>
  <c r="I19" i="267"/>
  <c r="BK74" i="1"/>
  <c r="BK76" i="1" s="1"/>
  <c r="BD74" i="1"/>
  <c r="BD76" i="1" s="1"/>
  <c r="BE77" i="1" s="1"/>
  <c r="R31" i="313"/>
  <c r="R32" i="313"/>
  <c r="Q32" i="313"/>
  <c r="Q36" i="313" s="1"/>
  <c r="Q31" i="313"/>
  <c r="AF40" i="1"/>
  <c r="AF41" i="1" s="1"/>
  <c r="U31" i="313"/>
  <c r="U32" i="313"/>
  <c r="R118" i="1"/>
  <c r="R1190" i="1"/>
  <c r="R1193" i="1" s="1"/>
  <c r="R124" i="1"/>
  <c r="BA76" i="298"/>
  <c r="BA80" i="298" s="1"/>
  <c r="BA83" i="298"/>
  <c r="BA75" i="298"/>
  <c r="BA109" i="298"/>
  <c r="AG55" i="298"/>
  <c r="AG54" i="298" s="1"/>
  <c r="BM321" i="1"/>
  <c r="S88" i="298"/>
  <c r="S626" i="298"/>
  <c r="S629" i="298" s="1"/>
  <c r="S93" i="298"/>
  <c r="K1357" i="1"/>
  <c r="K1366" i="1" s="1"/>
  <c r="L1378" i="1"/>
  <c r="BE22" i="298"/>
  <c r="BE24" i="298"/>
  <c r="AG19" i="298"/>
  <c r="L1356" i="1"/>
  <c r="L1365" i="1" s="1"/>
  <c r="M1377" i="1"/>
  <c r="AI819" i="1"/>
  <c r="AI812" i="1"/>
  <c r="AG21" i="298"/>
  <c r="AH24" i="298"/>
  <c r="AM88" i="298"/>
  <c r="AM89" i="298" s="1"/>
  <c r="AM626" i="298"/>
  <c r="AM629" i="298" s="1"/>
  <c r="BL1095" i="1"/>
  <c r="BL1094" i="1"/>
  <c r="AM93" i="298"/>
  <c r="BH1192" i="1"/>
  <c r="F87" i="51"/>
  <c r="F85" i="51"/>
  <c r="F86" i="51"/>
  <c r="G85" i="51"/>
  <c r="G86" i="51"/>
  <c r="AH13" i="298"/>
  <c r="AH14" i="298" s="1"/>
  <c r="AH55" i="298" s="1"/>
  <c r="AH54" i="298" s="1"/>
  <c r="AH18" i="298"/>
  <c r="AH19" i="298" s="1"/>
  <c r="AH505" i="298"/>
  <c r="AH73" i="298"/>
  <c r="AH84" i="298"/>
  <c r="L1376" i="1"/>
  <c r="K1355" i="1"/>
  <c r="K1364" i="1" s="1"/>
  <c r="AB812" i="1"/>
  <c r="AB819" i="1"/>
  <c r="AB816" i="1"/>
  <c r="P75" i="298"/>
  <c r="P83" i="298"/>
  <c r="P76" i="298"/>
  <c r="P80" i="298" s="1"/>
  <c r="S109" i="298"/>
  <c r="T75" i="298"/>
  <c r="R109" i="298"/>
  <c r="AK93" i="298"/>
  <c r="U77" i="1"/>
  <c r="L46" i="292"/>
  <c r="I58" i="51"/>
  <c r="I59" i="51"/>
  <c r="I57" i="51"/>
  <c r="I84" i="51"/>
  <c r="Y187" i="298"/>
  <c r="Y192" i="298"/>
  <c r="W118" i="1"/>
  <c r="W1190" i="1"/>
  <c r="W1193" i="1" s="1"/>
  <c r="W124" i="1"/>
  <c r="AW88" i="298"/>
  <c r="AW626" i="298"/>
  <c r="AW629" i="298" s="1"/>
  <c r="P38" i="3"/>
  <c r="N66" i="3"/>
  <c r="H86" i="51"/>
  <c r="H87" i="51"/>
  <c r="H85" i="51"/>
  <c r="AD187" i="298"/>
  <c r="AD192" i="298"/>
  <c r="AZ76" i="298"/>
  <c r="AW80" i="298"/>
  <c r="AZ80" i="298" s="1"/>
  <c r="E22" i="313"/>
  <c r="I21" i="313"/>
  <c r="E18" i="313"/>
  <c r="E27" i="313" s="1"/>
  <c r="E30" i="313" s="1"/>
  <c r="E32" i="313" s="1"/>
  <c r="AF65" i="1"/>
  <c r="AF55" i="1" s="1"/>
  <c r="G55" i="3"/>
  <c r="G56" i="3" s="1"/>
  <c r="G37" i="3"/>
  <c r="AQ65" i="298"/>
  <c r="AR65" i="298"/>
  <c r="AT343" i="298"/>
  <c r="AU343" i="298"/>
  <c r="AU345" i="298" s="1"/>
  <c r="AN88" i="298"/>
  <c r="AN626" i="298"/>
  <c r="AN629" i="298" s="1"/>
  <c r="AF57" i="298"/>
  <c r="AF48" i="298" s="1"/>
  <c r="AI12" i="298"/>
  <c r="AI125" i="298"/>
  <c r="AA77" i="1"/>
  <c r="I9" i="3"/>
  <c r="H36" i="3"/>
  <c r="H42" i="3"/>
  <c r="H25" i="3"/>
  <c r="G113" i="1"/>
  <c r="G117" i="1" s="1"/>
  <c r="G91" i="1"/>
  <c r="G110" i="1" s="1"/>
  <c r="J140" i="1"/>
  <c r="I140" i="1"/>
  <c r="K90" i="1"/>
  <c r="M32" i="313"/>
  <c r="M31" i="313"/>
  <c r="BG74" i="1"/>
  <c r="BG76" i="1" s="1"/>
  <c r="BF122" i="298"/>
  <c r="BF118" i="298"/>
  <c r="AY76" i="298"/>
  <c r="AV80" i="298"/>
  <c r="AY80" i="298" s="1"/>
  <c r="BI82" i="1"/>
  <c r="BI83" i="1"/>
  <c r="BI89" i="1"/>
  <c r="BJ82" i="1"/>
  <c r="Q75" i="298"/>
  <c r="Q83" i="298"/>
  <c r="Q87" i="298" s="1"/>
  <c r="Q76" i="298"/>
  <c r="Q80" i="298" s="1"/>
  <c r="T109" i="298"/>
  <c r="O113" i="1"/>
  <c r="O117" i="1" s="1"/>
  <c r="O90" i="1"/>
  <c r="O91" i="1"/>
  <c r="O110" i="1" s="1"/>
  <c r="R140" i="1"/>
  <c r="S90" i="1"/>
  <c r="P57" i="3"/>
  <c r="AC187" i="298"/>
  <c r="U88" i="298"/>
  <c r="U626" i="298"/>
  <c r="U629" i="298" s="1"/>
  <c r="U93" i="298"/>
  <c r="K31" i="313"/>
  <c r="K32" i="313"/>
  <c r="AZ87" i="298"/>
  <c r="AZ93" i="298" s="1"/>
  <c r="D87" i="51"/>
  <c r="E85" i="51"/>
  <c r="E86" i="51"/>
  <c r="P86" i="298"/>
  <c r="BB61" i="298"/>
  <c r="AE187" i="298"/>
  <c r="AE192" i="298"/>
  <c r="AT62" i="298"/>
  <c r="AT64" i="298" s="1"/>
  <c r="BM1114" i="1"/>
  <c r="BE192" i="298"/>
  <c r="AU118" i="1"/>
  <c r="AU1190" i="1"/>
  <c r="AU1193" i="1" s="1"/>
  <c r="P62" i="298"/>
  <c r="P64" i="298" s="1"/>
  <c r="N88" i="298"/>
  <c r="N626" i="298"/>
  <c r="N629" i="298" s="1"/>
  <c r="N93" i="298"/>
  <c r="E68" i="292"/>
  <c r="E51" i="292"/>
  <c r="AQ88" i="298"/>
  <c r="AQ626" i="298"/>
  <c r="AQ629" i="298" s="1"/>
  <c r="AT628" i="298"/>
  <c r="BM1091" i="1"/>
  <c r="BM1090" i="1"/>
  <c r="H76" i="298"/>
  <c r="H80" i="298" s="1"/>
  <c r="H83" i="298"/>
  <c r="H87" i="298" s="1"/>
  <c r="H75" i="298"/>
  <c r="K109" i="298"/>
  <c r="J109" i="298"/>
  <c r="I109" i="298"/>
  <c r="L75" i="298"/>
  <c r="H109" i="298"/>
  <c r="Y31" i="313"/>
  <c r="Y32" i="313"/>
  <c r="Y36" i="313" s="1"/>
  <c r="AV88" i="298"/>
  <c r="AV626" i="298"/>
  <c r="AV629" i="298" s="1"/>
  <c r="AT76" i="298"/>
  <c r="AT80" i="298" s="1"/>
  <c r="AT75" i="298"/>
  <c r="AT83" i="298"/>
  <c r="AT87" i="298" s="1"/>
  <c r="AT109" i="298"/>
  <c r="AG27" i="28"/>
  <c r="AG36" i="28"/>
  <c r="AG41" i="28" s="1"/>
  <c r="AG63" i="28"/>
  <c r="AG79" i="28"/>
  <c r="AF84" i="28"/>
  <c r="AF90" i="28" s="1"/>
  <c r="AZ542" i="298"/>
  <c r="AZ541" i="298"/>
  <c r="J32" i="313"/>
  <c r="J31" i="313"/>
  <c r="G140" i="1"/>
  <c r="AV93" i="298"/>
  <c r="L77" i="1"/>
  <c r="P77" i="1"/>
  <c r="J1354" i="1"/>
  <c r="K1375" i="1"/>
  <c r="J1379" i="1"/>
  <c r="J1358" i="1" s="1"/>
  <c r="J1367" i="1" s="1"/>
  <c r="M1353" i="1"/>
  <c r="N1374" i="1"/>
  <c r="F76" i="292"/>
  <c r="BK122" i="1"/>
  <c r="BG1192" i="1"/>
  <c r="AI150" i="298"/>
  <c r="AI146" i="298"/>
  <c r="BF143" i="298"/>
  <c r="BD532" i="298"/>
  <c r="BD534" i="298" s="1"/>
  <c r="BD551" i="298"/>
  <c r="BD557" i="298" s="1"/>
  <c r="BD186" i="298"/>
  <c r="BD191" i="298"/>
  <c r="BD182" i="298"/>
  <c r="BE187" i="298" s="1"/>
  <c r="K76" i="298"/>
  <c r="K80" i="298" s="1"/>
  <c r="K75" i="298"/>
  <c r="K83" i="298"/>
  <c r="K87" i="298" s="1"/>
  <c r="M109" i="298"/>
  <c r="N109" i="298"/>
  <c r="O75" i="298"/>
  <c r="L109" i="298"/>
  <c r="BI812" i="1"/>
  <c r="BI819" i="1"/>
  <c r="BI816" i="1"/>
  <c r="BJ816" i="1"/>
  <c r="D118" i="1"/>
  <c r="D124" i="1"/>
  <c r="Q62" i="298"/>
  <c r="Q64" i="298" s="1"/>
  <c r="AZ628" i="298"/>
  <c r="AE40" i="1"/>
  <c r="AE41" i="1" s="1"/>
  <c r="AG510" i="298"/>
  <c r="AG545" i="298"/>
  <c r="BD24" i="298"/>
  <c r="BD22" i="298"/>
  <c r="I1363" i="1"/>
  <c r="I1359" i="1"/>
  <c r="I1368" i="1" s="1"/>
  <c r="AW93" i="298"/>
  <c r="L1362" i="1"/>
  <c r="D88" i="298"/>
  <c r="D93" i="298"/>
  <c r="BE537" i="298"/>
  <c r="BE538" i="298"/>
  <c r="M88" i="298"/>
  <c r="M626" i="298"/>
  <c r="M629" i="298" s="1"/>
  <c r="M93" i="298"/>
  <c r="D17" i="3"/>
  <c r="BG91" i="1"/>
  <c r="BG110" i="1" s="1"/>
  <c r="BG113" i="1"/>
  <c r="BG117" i="1" s="1"/>
  <c r="BG124" i="1" s="1"/>
  <c r="BG140" i="1"/>
  <c r="BG1094" i="1"/>
  <c r="BG1095" i="1"/>
  <c r="D23" i="292"/>
  <c r="D28" i="292"/>
  <c r="D33" i="292"/>
  <c r="D19" i="292"/>
  <c r="E23" i="292"/>
  <c r="E33" i="292"/>
  <c r="AF22" i="28"/>
  <c r="AF31" i="28"/>
  <c r="AF19" i="28"/>
  <c r="AF20" i="28"/>
  <c r="AF66" i="28"/>
  <c r="AF65" i="28"/>
  <c r="AG19" i="28"/>
  <c r="K64" i="292"/>
  <c r="AZ62" i="298"/>
  <c r="AZ64" i="298" s="1"/>
  <c r="H84" i="292"/>
  <c r="H140" i="1"/>
  <c r="AA812" i="1"/>
  <c r="AA819" i="1"/>
  <c r="AA816" i="1"/>
  <c r="BI1095" i="1"/>
  <c r="BI1094" i="1"/>
  <c r="G74" i="1"/>
  <c r="G76" i="1" s="1"/>
  <c r="K77" i="1" s="1"/>
  <c r="J49" i="51"/>
  <c r="J48" i="51"/>
  <c r="J50" i="51"/>
  <c r="J56" i="51"/>
  <c r="Y47" i="298"/>
  <c r="BD44" i="298"/>
  <c r="Y45" i="298"/>
  <c r="Y51" i="298" s="1"/>
  <c r="Y46" i="298"/>
  <c r="Y52" i="298" s="1"/>
  <c r="Y60" i="298"/>
  <c r="Y69" i="298"/>
  <c r="Y530" i="298"/>
  <c r="AC47" i="298"/>
  <c r="AC45" i="298"/>
  <c r="AC51" i="298" s="1"/>
  <c r="AG45" i="298"/>
  <c r="AG51" i="298" s="1"/>
  <c r="AG46" i="298"/>
  <c r="AG69" i="298"/>
  <c r="AG52" i="298"/>
  <c r="AG60" i="298"/>
  <c r="AG47" i="298"/>
  <c r="AG530" i="298"/>
  <c r="B1386" i="1"/>
  <c r="AP577" i="1" l="1"/>
  <c r="AH289" i="1"/>
  <c r="AL303" i="1" s="1"/>
  <c r="AL295" i="1"/>
  <c r="AL289" i="1"/>
  <c r="AL296" i="1" s="1"/>
  <c r="Y60" i="1"/>
  <c r="AE762" i="1"/>
  <c r="BP767" i="1"/>
  <c r="AC762" i="1"/>
  <c r="AI425" i="1"/>
  <c r="AI535" i="1"/>
  <c r="BO534" i="1"/>
  <c r="AI916" i="1"/>
  <c r="AB762" i="1"/>
  <c r="AB767" i="1"/>
  <c r="BL535" i="1"/>
  <c r="BK535" i="1"/>
  <c r="BN490" i="1"/>
  <c r="BM489" i="1"/>
  <c r="BM423" i="1"/>
  <c r="BN527" i="1"/>
  <c r="BN535" i="1" s="1"/>
  <c r="AI423" i="1"/>
  <c r="AM488" i="1"/>
  <c r="BN488" i="1"/>
  <c r="Y767" i="1"/>
  <c r="AE767" i="1"/>
  <c r="AF762" i="1"/>
  <c r="AJ762" i="1"/>
  <c r="AH762" i="1"/>
  <c r="AL762" i="1"/>
  <c r="AI762" i="1"/>
  <c r="AG762" i="1"/>
  <c r="AK762" i="1"/>
  <c r="AA767" i="1"/>
  <c r="AF767" i="1"/>
  <c r="AJ767" i="1"/>
  <c r="AH767" i="1"/>
  <c r="AL767" i="1"/>
  <c r="AG767" i="1"/>
  <c r="AK767" i="1"/>
  <c r="AC767" i="1"/>
  <c r="Y762" i="1"/>
  <c r="AA762" i="1"/>
  <c r="AI767" i="1"/>
  <c r="AQ924" i="1"/>
  <c r="AP931" i="1"/>
  <c r="AA914" i="1"/>
  <c r="AE916" i="1" s="1"/>
  <c r="AD931" i="1"/>
  <c r="AL916" i="1"/>
  <c r="Z914" i="1"/>
  <c r="AD916" i="1" s="1"/>
  <c r="AH916" i="1"/>
  <c r="AK915" i="1"/>
  <c r="AG915" i="1"/>
  <c r="AJ915" i="1"/>
  <c r="AN915" i="1"/>
  <c r="V924" i="1"/>
  <c r="W914" i="1" s="1"/>
  <c r="Z925" i="1"/>
  <c r="AA925" i="1"/>
  <c r="AP154" i="1"/>
  <c r="AQ758" i="1"/>
  <c r="AQ766" i="1" s="1"/>
  <c r="AQ700" i="1"/>
  <c r="AQ154" i="1" s="1"/>
  <c r="AQ161" i="1" s="1"/>
  <c r="AP698" i="1"/>
  <c r="AP720" i="1" s="1"/>
  <c r="AP701" i="1"/>
  <c r="BL52" i="1"/>
  <c r="BL204" i="1" s="1"/>
  <c r="BL214" i="1"/>
  <c r="BL215" i="1" s="1"/>
  <c r="BL195" i="1"/>
  <c r="BM195" i="1"/>
  <c r="AO230" i="1"/>
  <c r="AO255" i="1"/>
  <c r="AO262" i="1" s="1"/>
  <c r="AN223" i="1"/>
  <c r="AN255" i="1" s="1"/>
  <c r="J89" i="298"/>
  <c r="AO690" i="1"/>
  <c r="AL685" i="1"/>
  <c r="AL693" i="1" s="1"/>
  <c r="E118" i="1"/>
  <c r="BL273" i="1"/>
  <c r="G32" i="313"/>
  <c r="C50" i="292"/>
  <c r="C68" i="292" s="1"/>
  <c r="E17" i="3"/>
  <c r="E44" i="3" s="1"/>
  <c r="BH93" i="1"/>
  <c r="BH95" i="1" s="1"/>
  <c r="E56" i="523"/>
  <c r="BH104" i="1"/>
  <c r="BH106" i="1" s="1"/>
  <c r="E89" i="523"/>
  <c r="E132" i="523" s="1"/>
  <c r="E69" i="523"/>
  <c r="C33" i="503"/>
  <c r="C61" i="503" s="1"/>
  <c r="C64" i="503" s="1"/>
  <c r="C69" i="503" s="1"/>
  <c r="BL1267" i="1"/>
  <c r="G13" i="523"/>
  <c r="C33" i="504"/>
  <c r="C78" i="504" s="1"/>
  <c r="F65" i="523"/>
  <c r="F89" i="523"/>
  <c r="F132" i="523" s="1"/>
  <c r="F69" i="523"/>
  <c r="AB1268" i="1"/>
  <c r="Y1269" i="1"/>
  <c r="AC1269" i="1"/>
  <c r="Z1268" i="1"/>
  <c r="AA1268" i="1"/>
  <c r="Y1268" i="1"/>
  <c r="F36" i="523"/>
  <c r="F34" i="523"/>
  <c r="F35" i="523"/>
  <c r="F54" i="523"/>
  <c r="F46" i="523"/>
  <c r="F78" i="523"/>
  <c r="BH91" i="1"/>
  <c r="BH110" i="1" s="1"/>
  <c r="D35" i="523"/>
  <c r="D34" i="523"/>
  <c r="D54" i="523"/>
  <c r="D61" i="523"/>
  <c r="D64" i="523" s="1"/>
  <c r="D36" i="523"/>
  <c r="D78" i="523"/>
  <c r="D46" i="523"/>
  <c r="E47" i="523" s="1"/>
  <c r="E48" i="523"/>
  <c r="C61" i="523"/>
  <c r="C64" i="523" s="1"/>
  <c r="C69" i="523" s="1"/>
  <c r="C54" i="523"/>
  <c r="C56" i="523" s="1"/>
  <c r="C35" i="523"/>
  <c r="C78" i="523"/>
  <c r="C46" i="523"/>
  <c r="BH90" i="1"/>
  <c r="BH113" i="1"/>
  <c r="BH117" i="1" s="1"/>
  <c r="BH124" i="1" s="1"/>
  <c r="E34" i="523"/>
  <c r="U97" i="519"/>
  <c r="F89" i="504"/>
  <c r="F133" i="504" s="1"/>
  <c r="F69" i="504"/>
  <c r="F89" i="503"/>
  <c r="F132" i="503" s="1"/>
  <c r="F69" i="503"/>
  <c r="G13" i="503"/>
  <c r="G126" i="503" s="1"/>
  <c r="G127" i="503" s="1"/>
  <c r="G13" i="504"/>
  <c r="G126" i="504" s="1"/>
  <c r="G127" i="504" s="1"/>
  <c r="BN1094" i="1"/>
  <c r="BN1090" i="1" s="1"/>
  <c r="BN1095" i="1"/>
  <c r="BN1091" i="1" s="1"/>
  <c r="D33" i="503"/>
  <c r="D33" i="504"/>
  <c r="E48" i="504"/>
  <c r="F65" i="504"/>
  <c r="E89" i="504"/>
  <c r="E133" i="504" s="1"/>
  <c r="E69" i="504"/>
  <c r="BK93" i="1"/>
  <c r="BK94" i="1" s="1"/>
  <c r="F33" i="503"/>
  <c r="F33" i="504"/>
  <c r="E56" i="503"/>
  <c r="E48" i="503"/>
  <c r="F65" i="503"/>
  <c r="E69" i="503"/>
  <c r="E89" i="503"/>
  <c r="E132" i="503" s="1"/>
  <c r="E56" i="504"/>
  <c r="L95" i="1"/>
  <c r="W94" i="1"/>
  <c r="K95" i="1"/>
  <c r="BD95" i="1"/>
  <c r="BG95" i="1" s="1"/>
  <c r="BD96" i="1"/>
  <c r="BE95" i="1"/>
  <c r="BB95" i="1"/>
  <c r="BB96" i="1"/>
  <c r="V96" i="1"/>
  <c r="V95" i="1"/>
  <c r="Z95" i="1"/>
  <c r="BI104" i="1"/>
  <c r="BI106" i="1" s="1"/>
  <c r="BI93" i="1"/>
  <c r="BC95" i="1"/>
  <c r="O95" i="1"/>
  <c r="I95" i="1"/>
  <c r="W95" i="1"/>
  <c r="S95" i="1"/>
  <c r="X95" i="1"/>
  <c r="X96" i="1"/>
  <c r="AB95" i="1"/>
  <c r="AS89" i="298"/>
  <c r="BK52" i="1"/>
  <c r="BK204" i="1" s="1"/>
  <c r="BK196" i="1" s="1"/>
  <c r="BK273" i="1"/>
  <c r="BO824" i="1"/>
  <c r="BO832" i="1" s="1"/>
  <c r="AU93" i="298"/>
  <c r="AU626" i="298"/>
  <c r="AU629" i="298" s="1"/>
  <c r="V124" i="1"/>
  <c r="AN824" i="1"/>
  <c r="BP805" i="1"/>
  <c r="AN419" i="1"/>
  <c r="AO419" i="1"/>
  <c r="AQ664" i="1"/>
  <c r="AQ646" i="1"/>
  <c r="L31" i="313"/>
  <c r="V118" i="1"/>
  <c r="Z119" i="1" s="1"/>
  <c r="V34" i="519"/>
  <c r="V112" i="519" s="1"/>
  <c r="V145" i="519" s="1"/>
  <c r="W34" i="519" s="1"/>
  <c r="W112" i="519" s="1"/>
  <c r="W145" i="519" s="1"/>
  <c r="X34" i="519" s="1"/>
  <c r="AC79" i="519"/>
  <c r="AD78" i="519"/>
  <c r="BE558" i="298"/>
  <c r="P124" i="1"/>
  <c r="P1190" i="1"/>
  <c r="P1193" i="1" s="1"/>
  <c r="AC40" i="1"/>
  <c r="AC818" i="1"/>
  <c r="AJ40" i="1"/>
  <c r="AJ41" i="1" s="1"/>
  <c r="AJ818" i="1"/>
  <c r="U124" i="1"/>
  <c r="U1190" i="1"/>
  <c r="U1193" i="1" s="1"/>
  <c r="AI40" i="1"/>
  <c r="AI41" i="1" s="1"/>
  <c r="AI818" i="1"/>
  <c r="BM815" i="1"/>
  <c r="BM812" i="1" s="1"/>
  <c r="BN809" i="1"/>
  <c r="F50" i="292"/>
  <c r="F68" i="292" s="1"/>
  <c r="BK104" i="1"/>
  <c r="BK106" i="1" s="1"/>
  <c r="AH119" i="1"/>
  <c r="AA105" i="1"/>
  <c r="AW119" i="1"/>
  <c r="AE105" i="1"/>
  <c r="BA119" i="1"/>
  <c r="Q105" i="1"/>
  <c r="AU119" i="1"/>
  <c r="AT105" i="1"/>
  <c r="H516" i="1"/>
  <c r="H105" i="1"/>
  <c r="AZ105" i="1"/>
  <c r="N119" i="1"/>
  <c r="T119" i="1"/>
  <c r="U105" i="1"/>
  <c r="Z105" i="1"/>
  <c r="AD105" i="1"/>
  <c r="AY119" i="1"/>
  <c r="V105" i="1"/>
  <c r="BL321" i="1"/>
  <c r="AG49" i="1"/>
  <c r="AG1114" i="1"/>
  <c r="AG1112" i="1"/>
  <c r="BN1111" i="1"/>
  <c r="N124" i="1"/>
  <c r="N1190" i="1"/>
  <c r="N1193" i="1" s="1"/>
  <c r="BM316" i="1"/>
  <c r="AE816" i="1"/>
  <c r="AH59" i="28"/>
  <c r="BL1112" i="1"/>
  <c r="BM1112" i="1"/>
  <c r="AE819" i="1"/>
  <c r="AE812" i="1"/>
  <c r="BA62" i="298"/>
  <c r="BA64" i="298" s="1"/>
  <c r="BA65" i="298" s="1"/>
  <c r="AI816" i="1"/>
  <c r="H31" i="313"/>
  <c r="W88" i="298"/>
  <c r="AA89" i="298" s="1"/>
  <c r="W626" i="298"/>
  <c r="W629" i="298" s="1"/>
  <c r="W93" i="298"/>
  <c r="BA87" i="298"/>
  <c r="BA93" i="298" s="1"/>
  <c r="AK1401" i="1"/>
  <c r="AK1383" i="1" s="1"/>
  <c r="AK1407" i="1"/>
  <c r="AK1385" i="1" s="1"/>
  <c r="AK1404" i="1"/>
  <c r="AK1384" i="1" s="1"/>
  <c r="AL1397" i="1"/>
  <c r="AG83" i="28"/>
  <c r="Q119" i="1"/>
  <c r="AH78" i="28"/>
  <c r="AL78" i="28" s="1"/>
  <c r="AM31" i="28"/>
  <c r="AL31" i="28"/>
  <c r="AH33" i="28"/>
  <c r="AK31" i="28"/>
  <c r="AH32" i="28"/>
  <c r="AJ31" i="28"/>
  <c r="AH17" i="28"/>
  <c r="AN22" i="28"/>
  <c r="AH23" i="28"/>
  <c r="AH24" i="28" s="1"/>
  <c r="AL24" i="28" s="1"/>
  <c r="L65" i="298"/>
  <c r="AZ119" i="1"/>
  <c r="AH69" i="298"/>
  <c r="AH74" i="298" s="1"/>
  <c r="AH45" i="298"/>
  <c r="AH51" i="298" s="1"/>
  <c r="AN16" i="28"/>
  <c r="AH52" i="298"/>
  <c r="AM16" i="28"/>
  <c r="AL16" i="28"/>
  <c r="AH47" i="298"/>
  <c r="AN89" i="298"/>
  <c r="E88" i="298"/>
  <c r="E93" i="298"/>
  <c r="AH530" i="298"/>
  <c r="AH551" i="298" s="1"/>
  <c r="AH557" i="298" s="1"/>
  <c r="AH60" i="298"/>
  <c r="AH61" i="298" s="1"/>
  <c r="AH62" i="298" s="1"/>
  <c r="AH64" i="298" s="1"/>
  <c r="AH65" i="298" s="1"/>
  <c r="I88" i="298"/>
  <c r="I626" i="298"/>
  <c r="I629" i="298" s="1"/>
  <c r="I93" i="298"/>
  <c r="H124" i="1"/>
  <c r="H1190" i="1"/>
  <c r="H1193" i="1" s="1"/>
  <c r="L88" i="298"/>
  <c r="L626" i="298"/>
  <c r="L629" i="298" s="1"/>
  <c r="L93" i="298"/>
  <c r="V93" i="298"/>
  <c r="V88" i="298"/>
  <c r="V626" i="298"/>
  <c r="V629" i="298" s="1"/>
  <c r="BK140" i="1"/>
  <c r="Q124" i="1"/>
  <c r="BK113" i="1"/>
  <c r="BK117" i="1" s="1"/>
  <c r="BK124" i="1" s="1"/>
  <c r="BC86" i="298"/>
  <c r="BC92" i="298" s="1"/>
  <c r="BC62" i="298"/>
  <c r="BC64" i="298" s="1"/>
  <c r="BC76" i="298"/>
  <c r="BC80" i="298" s="1"/>
  <c r="BC83" i="298"/>
  <c r="BC75" i="298"/>
  <c r="BC109" i="298"/>
  <c r="Q1190" i="1"/>
  <c r="Q1193" i="1" s="1"/>
  <c r="BK91" i="1"/>
  <c r="BK110" i="1" s="1"/>
  <c r="BK90" i="1"/>
  <c r="BN810" i="1"/>
  <c r="O93" i="298"/>
  <c r="O88" i="298"/>
  <c r="S89" i="298" s="1"/>
  <c r="O626" i="298"/>
  <c r="O629" i="298" s="1"/>
  <c r="X88" i="298"/>
  <c r="X626" i="298"/>
  <c r="X629" i="298" s="1"/>
  <c r="X93" i="298"/>
  <c r="AM22" i="28"/>
  <c r="AL22" i="28"/>
  <c r="AK22" i="28"/>
  <c r="BN815" i="1"/>
  <c r="BN819" i="1" s="1"/>
  <c r="T87" i="298"/>
  <c r="BN807" i="1"/>
  <c r="AK16" i="28"/>
  <c r="K65" i="298"/>
  <c r="O65" i="298"/>
  <c r="AV89" i="298"/>
  <c r="AY89" i="298" s="1"/>
  <c r="BM803" i="1"/>
  <c r="BM810" i="1"/>
  <c r="BM807" i="1"/>
  <c r="AO89" i="298"/>
  <c r="AW89" i="298"/>
  <c r="AZ89" i="298" s="1"/>
  <c r="BL807" i="1"/>
  <c r="F24" i="292"/>
  <c r="F34" i="292"/>
  <c r="F79" i="292"/>
  <c r="F84" i="292" s="1"/>
  <c r="AF816" i="1"/>
  <c r="BN316" i="1"/>
  <c r="BC77" i="1"/>
  <c r="BI74" i="1"/>
  <c r="BI76" i="1" s="1"/>
  <c r="BI77" i="1" s="1"/>
  <c r="BL815" i="1"/>
  <c r="BM817" i="1" s="1"/>
  <c r="BM818" i="1" s="1"/>
  <c r="BL803" i="1"/>
  <c r="BL810" i="1"/>
  <c r="AC819" i="1"/>
  <c r="AC812" i="1"/>
  <c r="BJ74" i="1"/>
  <c r="BJ76" i="1" s="1"/>
  <c r="BK77" i="1" s="1"/>
  <c r="AG816" i="1"/>
  <c r="K1190" i="1"/>
  <c r="K1193" i="1" s="1"/>
  <c r="K118" i="1"/>
  <c r="K124" i="1"/>
  <c r="AG817" i="1"/>
  <c r="N524" i="1"/>
  <c r="R532" i="1" s="1"/>
  <c r="J516" i="1"/>
  <c r="AI118" i="1"/>
  <c r="X31" i="313"/>
  <c r="X32" i="313"/>
  <c r="X36" i="313" s="1"/>
  <c r="BD77" i="1"/>
  <c r="BG77" i="1" s="1"/>
  <c r="AX119" i="1"/>
  <c r="L1190" i="1"/>
  <c r="L1193" i="1" s="1"/>
  <c r="BC1190" i="1"/>
  <c r="BC1193" i="1" s="1"/>
  <c r="L118" i="1"/>
  <c r="BC118" i="1"/>
  <c r="T124" i="1"/>
  <c r="T1190" i="1"/>
  <c r="T1193" i="1" s="1"/>
  <c r="AH812" i="1"/>
  <c r="AH819" i="1"/>
  <c r="AH816" i="1"/>
  <c r="AI1190" i="1"/>
  <c r="AI1193" i="1" s="1"/>
  <c r="AE1401" i="1"/>
  <c r="AE1383" i="1" s="1"/>
  <c r="AE1404" i="1"/>
  <c r="AE1384" i="1" s="1"/>
  <c r="AE1407" i="1"/>
  <c r="AE1385" i="1" s="1"/>
  <c r="AE1410" i="1"/>
  <c r="AE1386" i="1" s="1"/>
  <c r="AE1413" i="1"/>
  <c r="AE1387" i="1" s="1"/>
  <c r="BH77" i="1"/>
  <c r="BD118" i="1"/>
  <c r="BD1190" i="1"/>
  <c r="BD1193" i="1" s="1"/>
  <c r="F118" i="1"/>
  <c r="F124" i="1"/>
  <c r="O524" i="1"/>
  <c r="S532" i="1" s="1"/>
  <c r="S77" i="1"/>
  <c r="BB124" i="1"/>
  <c r="BB118" i="1"/>
  <c r="BB1190" i="1"/>
  <c r="BB1193" i="1" s="1"/>
  <c r="R119" i="1"/>
  <c r="I77" i="1"/>
  <c r="M77" i="1"/>
  <c r="S124" i="1"/>
  <c r="S1190" i="1"/>
  <c r="S1193" i="1" s="1"/>
  <c r="S118" i="1"/>
  <c r="AF812" i="1"/>
  <c r="AF819" i="1"/>
  <c r="AJ816" i="1"/>
  <c r="Z1398" i="1"/>
  <c r="Z1397" i="1" s="1"/>
  <c r="Y63" i="1"/>
  <c r="Y66" i="1" s="1"/>
  <c r="BL59" i="1"/>
  <c r="G23" i="523" s="1"/>
  <c r="AK230" i="1"/>
  <c r="AQ535" i="1"/>
  <c r="AL535" i="1"/>
  <c r="AP519" i="1"/>
  <c r="Q524" i="1"/>
  <c r="U532" i="1" s="1"/>
  <c r="I515" i="1"/>
  <c r="M516" i="1"/>
  <c r="BI516" i="1" s="1"/>
  <c r="BI515" i="1"/>
  <c r="I31" i="313"/>
  <c r="F50" i="276"/>
  <c r="G50" i="276"/>
  <c r="H50" i="276"/>
  <c r="Y819" i="1"/>
  <c r="Y812" i="1"/>
  <c r="Y816" i="1"/>
  <c r="AC816" i="1"/>
  <c r="Y1085" i="1"/>
  <c r="Y1087" i="1" s="1"/>
  <c r="Y1104" i="1"/>
  <c r="Y1111" i="1" s="1"/>
  <c r="Y73" i="1"/>
  <c r="BM54" i="1"/>
  <c r="BM50" i="1"/>
  <c r="BM58" i="1" s="1"/>
  <c r="BM62" i="1"/>
  <c r="H25" i="523" s="1"/>
  <c r="BL81" i="1"/>
  <c r="BL72" i="1"/>
  <c r="BL54" i="1"/>
  <c r="BL50" i="1"/>
  <c r="BL58" i="1" s="1"/>
  <c r="G18" i="292"/>
  <c r="BL53" i="1"/>
  <c r="N32" i="313"/>
  <c r="N36" i="313" s="1"/>
  <c r="N31" i="313"/>
  <c r="I118" i="1"/>
  <c r="I1190" i="1"/>
  <c r="I1193" i="1" s="1"/>
  <c r="I124" i="1"/>
  <c r="O20" i="313"/>
  <c r="S12" i="267"/>
  <c r="O13" i="267"/>
  <c r="O12" i="267"/>
  <c r="V32" i="313"/>
  <c r="V36" i="313" s="1"/>
  <c r="V31" i="313"/>
  <c r="BK524" i="1"/>
  <c r="BL532" i="1" s="1"/>
  <c r="Y83" i="1"/>
  <c r="AC82" i="1"/>
  <c r="Y89" i="1"/>
  <c r="Z58" i="523" s="1"/>
  <c r="Z60" i="523" s="1"/>
  <c r="Z61" i="523" s="1"/>
  <c r="Y82" i="1"/>
  <c r="X118" i="1"/>
  <c r="X1190" i="1"/>
  <c r="X1193" i="1" s="1"/>
  <c r="X124" i="1"/>
  <c r="BJ1192" i="1"/>
  <c r="E53" i="292"/>
  <c r="E69" i="292"/>
  <c r="E76" i="292"/>
  <c r="E79" i="292" s="1"/>
  <c r="AT65" i="298"/>
  <c r="AU65" i="298"/>
  <c r="AZ88" i="298"/>
  <c r="AZ626" i="298"/>
  <c r="AZ629" i="298" s="1"/>
  <c r="Q88" i="298"/>
  <c r="Q89" i="298" s="1"/>
  <c r="Q626" i="298"/>
  <c r="Q629" i="298" s="1"/>
  <c r="Q93" i="298"/>
  <c r="AG61" i="298"/>
  <c r="AG62" i="298" s="1"/>
  <c r="AG64" i="298" s="1"/>
  <c r="AF33" i="28"/>
  <c r="AF32" i="28"/>
  <c r="AF59" i="28"/>
  <c r="AF78" i="28"/>
  <c r="AE83" i="28"/>
  <c r="AG32" i="28"/>
  <c r="Q65" i="298"/>
  <c r="U65" i="298"/>
  <c r="H88" i="298"/>
  <c r="H626" i="298"/>
  <c r="H629" i="298" s="1"/>
  <c r="H93" i="298"/>
  <c r="K88" i="298"/>
  <c r="K626" i="298"/>
  <c r="K629" i="298" s="1"/>
  <c r="K93" i="298"/>
  <c r="BF126" i="298"/>
  <c r="BF125" i="298"/>
  <c r="BF159" i="298"/>
  <c r="O66" i="3"/>
  <c r="AF23" i="28"/>
  <c r="AF24" i="28" s="1"/>
  <c r="BD187" i="298"/>
  <c r="BD192" i="298"/>
  <c r="H37" i="3"/>
  <c r="H55" i="3"/>
  <c r="H56" i="3" s="1"/>
  <c r="AH510" i="298"/>
  <c r="AH545" i="298"/>
  <c r="AH548" i="298" s="1"/>
  <c r="AH549" i="298" s="1"/>
  <c r="BK1192" i="1"/>
  <c r="AG70" i="298"/>
  <c r="AG74" i="298"/>
  <c r="AG71" i="298"/>
  <c r="J58" i="51"/>
  <c r="J59" i="51"/>
  <c r="J57" i="51"/>
  <c r="J84" i="51"/>
  <c r="H91" i="292"/>
  <c r="D50" i="292"/>
  <c r="F17" i="3"/>
  <c r="BI113" i="1"/>
  <c r="BI117" i="1" s="1"/>
  <c r="BI91" i="1"/>
  <c r="BI110" i="1" s="1"/>
  <c r="BI90" i="1"/>
  <c r="BI140" i="1"/>
  <c r="BJ90" i="1"/>
  <c r="M46" i="292"/>
  <c r="N89" i="298"/>
  <c r="R89" i="298"/>
  <c r="J9" i="3"/>
  <c r="I36" i="3"/>
  <c r="AH21" i="298"/>
  <c r="AI24" i="298"/>
  <c r="AI21" i="298" s="1"/>
  <c r="O1374" i="1"/>
  <c r="N1353" i="1"/>
  <c r="P65" i="298"/>
  <c r="T65" i="298"/>
  <c r="Q38" i="3"/>
  <c r="AG30" i="298"/>
  <c r="AG22" i="298"/>
  <c r="AI18" i="298"/>
  <c r="AI13" i="298"/>
  <c r="AI14" i="298" s="1"/>
  <c r="AI505" i="298"/>
  <c r="AI73" i="298"/>
  <c r="BF73" i="298" s="1"/>
  <c r="AI84" i="298"/>
  <c r="BF84" i="298" s="1"/>
  <c r="BF12" i="298"/>
  <c r="BF13" i="298" s="1"/>
  <c r="H119" i="1"/>
  <c r="AG551" i="298"/>
  <c r="AG532" i="298"/>
  <c r="AT88" i="298"/>
  <c r="AT89" i="298" s="1"/>
  <c r="AT626" i="298"/>
  <c r="AT629" i="298" s="1"/>
  <c r="M1362" i="1"/>
  <c r="AI126" i="298"/>
  <c r="AI139" i="298"/>
  <c r="BD541" i="298"/>
  <c r="BD542" i="298"/>
  <c r="U119" i="1"/>
  <c r="Y551" i="298"/>
  <c r="Y557" i="298" s="1"/>
  <c r="Y532" i="298"/>
  <c r="Y534" i="298" s="1"/>
  <c r="BG118" i="1"/>
  <c r="BG1190" i="1"/>
  <c r="BG1193" i="1" s="1"/>
  <c r="AV119" i="1"/>
  <c r="BF150" i="298"/>
  <c r="BF157" i="298"/>
  <c r="BF146" i="298"/>
  <c r="K1354" i="1"/>
  <c r="L1375" i="1"/>
  <c r="K1379" i="1"/>
  <c r="K1358" i="1" s="1"/>
  <c r="K1367" i="1" s="1"/>
  <c r="AM232" i="1"/>
  <c r="L1357" i="1"/>
  <c r="L1366" i="1" s="1"/>
  <c r="M1378" i="1"/>
  <c r="BD45" i="298"/>
  <c r="BD51" i="298" s="1"/>
  <c r="BD46" i="298"/>
  <c r="BD69" i="298"/>
  <c r="BD47" i="298"/>
  <c r="BD60" i="298"/>
  <c r="BE47" i="298"/>
  <c r="BE45" i="298"/>
  <c r="BE51" i="298" s="1"/>
  <c r="Y71" i="298"/>
  <c r="Y70" i="298"/>
  <c r="Y74" i="298"/>
  <c r="AC70" i="298"/>
  <c r="AI44" i="298"/>
  <c r="AI160" i="298"/>
  <c r="AI153" i="298"/>
  <c r="J1363" i="1"/>
  <c r="J1359" i="1"/>
  <c r="J1368" i="1" s="1"/>
  <c r="BJ117" i="1"/>
  <c r="BJ124" i="1" s="1"/>
  <c r="AA119" i="1"/>
  <c r="I87" i="51"/>
  <c r="I85" i="51"/>
  <c r="I86" i="51"/>
  <c r="Y61" i="298"/>
  <c r="L64" i="292"/>
  <c r="D44" i="3"/>
  <c r="D32" i="3"/>
  <c r="D19" i="3"/>
  <c r="D51" i="3"/>
  <c r="D66" i="3"/>
  <c r="AG548" i="298"/>
  <c r="AG549" i="298" s="1"/>
  <c r="BB86" i="298"/>
  <c r="BB62" i="298"/>
  <c r="BB64" i="298" s="1"/>
  <c r="N1377" i="1"/>
  <c r="M1356" i="1"/>
  <c r="M1365" i="1" s="1"/>
  <c r="BE54" i="298"/>
  <c r="BE559" i="298" s="1"/>
  <c r="D24" i="292"/>
  <c r="D34" i="292"/>
  <c r="D29" i="292"/>
  <c r="E34" i="292"/>
  <c r="E24" i="292"/>
  <c r="BD560" i="298"/>
  <c r="BD558" i="298"/>
  <c r="AT93" i="298"/>
  <c r="Y55" i="298"/>
  <c r="BD52" i="298"/>
  <c r="AG43" i="28"/>
  <c r="AF85" i="28"/>
  <c r="AG80" i="28"/>
  <c r="AG46" i="28"/>
  <c r="AQ89" i="298"/>
  <c r="AR89" i="298"/>
  <c r="Q57" i="3"/>
  <c r="P87" i="298"/>
  <c r="G118" i="1"/>
  <c r="G124" i="1"/>
  <c r="O118" i="1"/>
  <c r="O1190" i="1"/>
  <c r="O1193" i="1" s="1"/>
  <c r="O124" i="1"/>
  <c r="L1355" i="1"/>
  <c r="L1364" i="1" s="1"/>
  <c r="M1376" i="1"/>
  <c r="AK1410" i="1"/>
  <c r="AK1386" i="1" s="1"/>
  <c r="AA916" i="1" l="1"/>
  <c r="AB915" i="1"/>
  <c r="AM425" i="1"/>
  <c r="AI424" i="1"/>
  <c r="BM424" i="1"/>
  <c r="BN425" i="1"/>
  <c r="BN423" i="1"/>
  <c r="BO490" i="1"/>
  <c r="BN489" i="1"/>
  <c r="AM423" i="1"/>
  <c r="AM424" i="1" s="1"/>
  <c r="BO488" i="1"/>
  <c r="BO489" i="1" s="1"/>
  <c r="Z931" i="1"/>
  <c r="BP924" i="1"/>
  <c r="BP931" i="1" s="1"/>
  <c r="AQ931" i="1"/>
  <c r="X915" i="1"/>
  <c r="V914" i="1"/>
  <c r="Z916" i="1" s="1"/>
  <c r="AH915" i="1"/>
  <c r="AI915" i="1"/>
  <c r="AC915" i="1"/>
  <c r="V925" i="1"/>
  <c r="W925" i="1"/>
  <c r="BL196" i="1"/>
  <c r="BP700" i="1"/>
  <c r="BP701" i="1" s="1"/>
  <c r="AP161" i="1"/>
  <c r="BP154" i="1"/>
  <c r="BP161" i="1" s="1"/>
  <c r="AP702" i="1"/>
  <c r="AQ698" i="1"/>
  <c r="AQ701" i="1"/>
  <c r="BJ524" i="1"/>
  <c r="BK532" i="1" s="1"/>
  <c r="C51" i="292"/>
  <c r="C69" i="292" s="1"/>
  <c r="C71" i="292" s="1"/>
  <c r="AP690" i="1"/>
  <c r="AQ690" i="1"/>
  <c r="E20" i="3"/>
  <c r="E18" i="3"/>
  <c r="E51" i="3"/>
  <c r="E59" i="3" s="1"/>
  <c r="E32" i="3"/>
  <c r="E33" i="3" s="1"/>
  <c r="E19" i="3"/>
  <c r="BH1190" i="1"/>
  <c r="BH1193" i="1" s="1"/>
  <c r="BH118" i="1"/>
  <c r="BH119" i="1" s="1"/>
  <c r="E76" i="3"/>
  <c r="E66" i="3"/>
  <c r="BH96" i="1"/>
  <c r="C61" i="504"/>
  <c r="C64" i="504" s="1"/>
  <c r="C69" i="504" s="1"/>
  <c r="C74" i="504" s="1"/>
  <c r="C35" i="504"/>
  <c r="C54" i="504"/>
  <c r="C56" i="504" s="1"/>
  <c r="C46" i="504"/>
  <c r="E133" i="523"/>
  <c r="BM1269" i="1"/>
  <c r="BL1268" i="1"/>
  <c r="BL1269" i="1"/>
  <c r="D65" i="523"/>
  <c r="D89" i="523"/>
  <c r="D132" i="523" s="1"/>
  <c r="D133" i="523" s="1"/>
  <c r="D69" i="523"/>
  <c r="E70" i="523" s="1"/>
  <c r="E88" i="523"/>
  <c r="E74" i="523"/>
  <c r="F47" i="523"/>
  <c r="F48" i="523"/>
  <c r="C78" i="503"/>
  <c r="D56" i="523"/>
  <c r="D55" i="523"/>
  <c r="F70" i="523"/>
  <c r="F88" i="523"/>
  <c r="F74" i="523"/>
  <c r="C35" i="503"/>
  <c r="C88" i="523"/>
  <c r="C132" i="523" s="1"/>
  <c r="C74" i="523"/>
  <c r="E65" i="523"/>
  <c r="BS49" i="1"/>
  <c r="BS50" i="1" s="1"/>
  <c r="AG1267" i="1"/>
  <c r="AB63" i="523"/>
  <c r="AB64" i="523" s="1"/>
  <c r="F55" i="523"/>
  <c r="F56" i="523"/>
  <c r="C46" i="503"/>
  <c r="C54" i="503"/>
  <c r="C56" i="503" s="1"/>
  <c r="D48" i="523"/>
  <c r="D47" i="523"/>
  <c r="G17" i="523"/>
  <c r="G33" i="523"/>
  <c r="G18" i="523"/>
  <c r="G126" i="523"/>
  <c r="G127" i="523" s="1"/>
  <c r="G14" i="523"/>
  <c r="G22" i="523" s="1"/>
  <c r="H14" i="523"/>
  <c r="H22" i="523" s="1"/>
  <c r="H18" i="523"/>
  <c r="E55" i="523"/>
  <c r="E134" i="504"/>
  <c r="BK96" i="1"/>
  <c r="E133" i="503"/>
  <c r="G23" i="503"/>
  <c r="G23" i="504"/>
  <c r="G14" i="504"/>
  <c r="G22" i="504" s="1"/>
  <c r="G17" i="504"/>
  <c r="H14" i="504"/>
  <c r="H22" i="504" s="1"/>
  <c r="H18" i="504"/>
  <c r="G18" i="504"/>
  <c r="G14" i="503"/>
  <c r="G22" i="503" s="1"/>
  <c r="G17" i="503"/>
  <c r="G18" i="503"/>
  <c r="H14" i="503"/>
  <c r="H22" i="503" s="1"/>
  <c r="H18" i="503"/>
  <c r="F88" i="504"/>
  <c r="F74" i="504"/>
  <c r="H25" i="503"/>
  <c r="H25" i="504"/>
  <c r="F88" i="503"/>
  <c r="F74" i="503"/>
  <c r="BK95" i="1"/>
  <c r="F34" i="504"/>
  <c r="F54" i="504"/>
  <c r="F62" i="504"/>
  <c r="F46" i="504"/>
  <c r="F36" i="504"/>
  <c r="F35" i="504"/>
  <c r="F78" i="504"/>
  <c r="E88" i="504"/>
  <c r="E74" i="504"/>
  <c r="F70" i="504"/>
  <c r="C74" i="503"/>
  <c r="C88" i="503"/>
  <c r="C132" i="503" s="1"/>
  <c r="E88" i="503"/>
  <c r="F70" i="503"/>
  <c r="E74" i="503"/>
  <c r="D54" i="504"/>
  <c r="D78" i="504"/>
  <c r="D34" i="504"/>
  <c r="D61" i="504"/>
  <c r="D64" i="504" s="1"/>
  <c r="D46" i="504"/>
  <c r="D36" i="504"/>
  <c r="D35" i="504"/>
  <c r="E36" i="504"/>
  <c r="E34" i="504"/>
  <c r="F34" i="503"/>
  <c r="F62" i="503"/>
  <c r="F36" i="503"/>
  <c r="F46" i="503"/>
  <c r="F78" i="503"/>
  <c r="F35" i="503"/>
  <c r="F54" i="503"/>
  <c r="D61" i="503"/>
  <c r="D64" i="503" s="1"/>
  <c r="D34" i="503"/>
  <c r="D78" i="503"/>
  <c r="D35" i="503"/>
  <c r="D36" i="503"/>
  <c r="D46" i="503"/>
  <c r="D54" i="503"/>
  <c r="E34" i="503"/>
  <c r="E36" i="503"/>
  <c r="BI94" i="1"/>
  <c r="BJ94" i="1"/>
  <c r="Y104" i="1"/>
  <c r="Y106" i="1" s="1"/>
  <c r="Y93" i="1"/>
  <c r="BI95" i="1"/>
  <c r="BI96" i="1"/>
  <c r="BJ95" i="1"/>
  <c r="AL1398" i="1"/>
  <c r="V119" i="1"/>
  <c r="BM40" i="1"/>
  <c r="BM41" i="1" s="1"/>
  <c r="AC41" i="1"/>
  <c r="AN230" i="1"/>
  <c r="BP824" i="1"/>
  <c r="BP832" i="1" s="1"/>
  <c r="AN832" i="1"/>
  <c r="AP520" i="1"/>
  <c r="AP528" i="1" s="1"/>
  <c r="V33" i="519"/>
  <c r="V111" i="519" s="1"/>
  <c r="V144" i="519" s="1"/>
  <c r="W33" i="519" s="1"/>
  <c r="X112" i="519"/>
  <c r="X145" i="519" s="1"/>
  <c r="Y34" i="519" s="1"/>
  <c r="Y112" i="519" s="1"/>
  <c r="Y145" i="519" s="1"/>
  <c r="Z34" i="519" s="1"/>
  <c r="Z112" i="519" s="1"/>
  <c r="Z145" i="519" s="1"/>
  <c r="AA34" i="519" s="1"/>
  <c r="AA112" i="519" s="1"/>
  <c r="AA145" i="519" s="1"/>
  <c r="AB34" i="519" s="1"/>
  <c r="AB112" i="519" s="1"/>
  <c r="AB145" i="519" s="1"/>
  <c r="AC34" i="519" s="1"/>
  <c r="AC112" i="519" s="1"/>
  <c r="AC145" i="519" s="1"/>
  <c r="AD34" i="519" s="1"/>
  <c r="AD112" i="519" s="1"/>
  <c r="AE78" i="519"/>
  <c r="AD79" i="519"/>
  <c r="BM819" i="1"/>
  <c r="AG40" i="1"/>
  <c r="AG818" i="1"/>
  <c r="F51" i="292"/>
  <c r="F54" i="292" s="1"/>
  <c r="W119" i="1"/>
  <c r="N105" i="1"/>
  <c r="AB119" i="1"/>
  <c r="O105" i="1"/>
  <c r="BB119" i="1"/>
  <c r="K105" i="1"/>
  <c r="BA105" i="1"/>
  <c r="R105" i="1"/>
  <c r="BC105" i="1"/>
  <c r="AY105" i="1"/>
  <c r="J119" i="1"/>
  <c r="AU105" i="1"/>
  <c r="AV105" i="1"/>
  <c r="BE119" i="1"/>
  <c r="AW105" i="1"/>
  <c r="AX105" i="1"/>
  <c r="I105" i="1"/>
  <c r="P119" i="1"/>
  <c r="AH105" i="1"/>
  <c r="BH105" i="1"/>
  <c r="T105" i="1"/>
  <c r="AI119" i="1"/>
  <c r="M105" i="1"/>
  <c r="BM1113" i="1"/>
  <c r="BM51" i="1"/>
  <c r="BM203" i="1" s="1"/>
  <c r="BN1114" i="1"/>
  <c r="BN1112" i="1"/>
  <c r="AG72" i="1"/>
  <c r="AG73" i="1" s="1"/>
  <c r="AG54" i="1"/>
  <c r="W11" i="267"/>
  <c r="AG50" i="1"/>
  <c r="AG58" i="1" s="1"/>
  <c r="AE11" i="267"/>
  <c r="W20" i="313" s="1"/>
  <c r="AG53" i="1"/>
  <c r="E42" i="276"/>
  <c r="AG81" i="1"/>
  <c r="BN49" i="1"/>
  <c r="BN188" i="1" s="1"/>
  <c r="AH70" i="298"/>
  <c r="AH71" i="298"/>
  <c r="AK24" i="28"/>
  <c r="AJ24" i="28"/>
  <c r="BA88" i="298"/>
  <c r="BA89" i="298" s="1"/>
  <c r="AH27" i="28"/>
  <c r="AJ27" i="28" s="1"/>
  <c r="W89" i="298"/>
  <c r="AH36" i="28"/>
  <c r="AK36" i="28" s="1"/>
  <c r="BA626" i="298"/>
  <c r="BA629" i="298" s="1"/>
  <c r="AN78" i="28"/>
  <c r="AM78" i="28"/>
  <c r="AK78" i="28"/>
  <c r="AJ78" i="28"/>
  <c r="I89" i="298"/>
  <c r="AG84" i="28"/>
  <c r="AG90" i="28" s="1"/>
  <c r="AH532" i="298"/>
  <c r="AN24" i="28"/>
  <c r="AM24" i="28"/>
  <c r="M89" i="298"/>
  <c r="AH79" i="28"/>
  <c r="AJ79" i="28" s="1"/>
  <c r="AH63" i="28"/>
  <c r="AH25" i="28"/>
  <c r="AU89" i="298"/>
  <c r="BN812" i="1"/>
  <c r="BC628" i="298"/>
  <c r="BK1190" i="1"/>
  <c r="BK1193" i="1" s="1"/>
  <c r="BK118" i="1"/>
  <c r="U89" i="298"/>
  <c r="BC87" i="298"/>
  <c r="BL816" i="1"/>
  <c r="AB89" i="298"/>
  <c r="BL819" i="1"/>
  <c r="BL812" i="1"/>
  <c r="V89" i="298"/>
  <c r="Z89" i="298"/>
  <c r="X119" i="1"/>
  <c r="T93" i="298"/>
  <c r="T88" i="298"/>
  <c r="X89" i="298" s="1"/>
  <c r="T626" i="298"/>
  <c r="T629" i="298" s="1"/>
  <c r="BN816" i="1"/>
  <c r="BJ77" i="1"/>
  <c r="BM816" i="1"/>
  <c r="K119" i="1"/>
  <c r="L119" i="1"/>
  <c r="BN817" i="1"/>
  <c r="BN818" i="1" s="1"/>
  <c r="AD1401" i="1"/>
  <c r="AD1383" i="1" s="1"/>
  <c r="AD1404" i="1"/>
  <c r="AD1384" i="1" s="1"/>
  <c r="AD1407" i="1"/>
  <c r="AD1385" i="1" s="1"/>
  <c r="AD1410" i="1"/>
  <c r="AD1386" i="1" s="1"/>
  <c r="AD1413" i="1"/>
  <c r="AD1387" i="1" s="1"/>
  <c r="BC119" i="1"/>
  <c r="BM82" i="1"/>
  <c r="BL83" i="1"/>
  <c r="BL82" i="1"/>
  <c r="Y65" i="1"/>
  <c r="BL63" i="1"/>
  <c r="G16" i="523" s="1"/>
  <c r="G27" i="523" s="1"/>
  <c r="Y1398" i="1"/>
  <c r="Y1397" i="1" s="1"/>
  <c r="O16" i="267"/>
  <c r="O18" i="267" s="1"/>
  <c r="O19" i="267" s="1"/>
  <c r="S15" i="267"/>
  <c r="S16" i="267" s="1"/>
  <c r="S18" i="267" s="1"/>
  <c r="S19" i="267" s="1"/>
  <c r="Y116" i="1"/>
  <c r="BL73" i="1"/>
  <c r="BL116" i="1" s="1"/>
  <c r="G61" i="523" s="1"/>
  <c r="Y74" i="1"/>
  <c r="Y76" i="1" s="1"/>
  <c r="Y1112" i="1"/>
  <c r="Y1114" i="1"/>
  <c r="AC1112" i="1"/>
  <c r="Y91" i="1"/>
  <c r="Y110" i="1" s="1"/>
  <c r="Y113" i="1"/>
  <c r="AB140" i="1"/>
  <c r="AC90" i="1"/>
  <c r="Y90" i="1"/>
  <c r="Z140" i="1"/>
  <c r="Y140" i="1"/>
  <c r="BL89" i="1"/>
  <c r="AA140" i="1"/>
  <c r="Y1094" i="1"/>
  <c r="Y1095" i="1"/>
  <c r="S21" i="313"/>
  <c r="O22" i="313"/>
  <c r="S31" i="313"/>
  <c r="O21" i="313"/>
  <c r="O18" i="313"/>
  <c r="O27" i="313" s="1"/>
  <c r="O30" i="313" s="1"/>
  <c r="H23" i="292"/>
  <c r="H33" i="292"/>
  <c r="G19" i="292"/>
  <c r="G28" i="292"/>
  <c r="G23" i="292"/>
  <c r="G33" i="292"/>
  <c r="I119" i="1"/>
  <c r="M119" i="1"/>
  <c r="M524" i="1"/>
  <c r="Q532" i="1" s="1"/>
  <c r="I516" i="1"/>
  <c r="BH516" i="1" s="1"/>
  <c r="BH515" i="1"/>
  <c r="BI524" i="1" s="1"/>
  <c r="BD119" i="1"/>
  <c r="BG119" i="1" s="1"/>
  <c r="AF27" i="28"/>
  <c r="AF36" i="28"/>
  <c r="AF41" i="28" s="1"/>
  <c r="AF25" i="28"/>
  <c r="AF63" i="28"/>
  <c r="AF79" i="28"/>
  <c r="AE84" i="28"/>
  <c r="AE90" i="28" s="1"/>
  <c r="AG25" i="28"/>
  <c r="AI22" i="298"/>
  <c r="AI30" i="298"/>
  <c r="F44" i="3"/>
  <c r="F32" i="3"/>
  <c r="F18" i="3"/>
  <c r="F20" i="3"/>
  <c r="F51" i="3"/>
  <c r="F19" i="3"/>
  <c r="G24" i="3"/>
  <c r="F66" i="3"/>
  <c r="F76" i="3"/>
  <c r="G17" i="3"/>
  <c r="AH558" i="298"/>
  <c r="AH560" i="298"/>
  <c r="O1377" i="1"/>
  <c r="N1356" i="1"/>
  <c r="N1365" i="1" s="1"/>
  <c r="L1354" i="1"/>
  <c r="M1375" i="1"/>
  <c r="L1379" i="1"/>
  <c r="L1358" i="1" s="1"/>
  <c r="L1367" i="1" s="1"/>
  <c r="AH30" i="298"/>
  <c r="AH22" i="298"/>
  <c r="D68" i="292"/>
  <c r="D51" i="292"/>
  <c r="P66" i="3"/>
  <c r="Y86" i="298"/>
  <c r="BD61" i="298"/>
  <c r="BD86" i="298" s="1"/>
  <c r="BD92" i="298" s="1"/>
  <c r="BF160" i="298"/>
  <c r="BF153" i="298"/>
  <c r="BB92" i="298"/>
  <c r="BB87" i="298"/>
  <c r="AI19" i="298"/>
  <c r="BF18" i="298"/>
  <c r="BF19" i="298" s="1"/>
  <c r="J86" i="51"/>
  <c r="J87" i="51"/>
  <c r="J85" i="51"/>
  <c r="AG65" i="298"/>
  <c r="H89" i="298"/>
  <c r="L89" i="298"/>
  <c r="P88" i="298"/>
  <c r="P626" i="298"/>
  <c r="P629" i="298" s="1"/>
  <c r="P93" i="298"/>
  <c r="E45" i="3"/>
  <c r="E46" i="3"/>
  <c r="BI118" i="1"/>
  <c r="BI1190" i="1"/>
  <c r="BI1193" i="1" s="1"/>
  <c r="BI124" i="1"/>
  <c r="BJ118" i="1"/>
  <c r="BJ1190" i="1"/>
  <c r="BJ1193" i="1" s="1"/>
  <c r="AG557" i="298"/>
  <c r="M1357" i="1"/>
  <c r="M1366" i="1" s="1"/>
  <c r="N1378" i="1"/>
  <c r="N46" i="292"/>
  <c r="K89" i="298"/>
  <c r="O89" i="298"/>
  <c r="K1363" i="1"/>
  <c r="K1359" i="1"/>
  <c r="K1368" i="1" s="1"/>
  <c r="BB65" i="298"/>
  <c r="BC65" i="298"/>
  <c r="K9" i="3"/>
  <c r="J36" i="3"/>
  <c r="AL232" i="1"/>
  <c r="BO225" i="1"/>
  <c r="AG75" i="298"/>
  <c r="AG83" i="298"/>
  <c r="AG76" i="298"/>
  <c r="AG80" i="298" s="1"/>
  <c r="AH75" i="298"/>
  <c r="AH83" i="298"/>
  <c r="AH76" i="298"/>
  <c r="AH80" i="298" s="1"/>
  <c r="E84" i="292"/>
  <c r="AI55" i="298"/>
  <c r="BF14" i="298"/>
  <c r="D34" i="3"/>
  <c r="D30" i="3"/>
  <c r="Y542" i="298"/>
  <c r="Y541" i="298"/>
  <c r="E71" i="292"/>
  <c r="I37" i="3"/>
  <c r="I55" i="3"/>
  <c r="I56" i="3" s="1"/>
  <c r="N1362" i="1"/>
  <c r="M1355" i="1"/>
  <c r="M1364" i="1" s="1"/>
  <c r="N1376" i="1"/>
  <c r="D59" i="3"/>
  <c r="D62" i="3" s="1"/>
  <c r="D46" i="3"/>
  <c r="P1374" i="1"/>
  <c r="O1353" i="1"/>
  <c r="AI46" i="298"/>
  <c r="AI69" i="298"/>
  <c r="AI52" i="298"/>
  <c r="BF52" i="298" s="1"/>
  <c r="AI60" i="298"/>
  <c r="AI47" i="298"/>
  <c r="AI45" i="298"/>
  <c r="AI51" i="298" s="1"/>
  <c r="AI530" i="298"/>
  <c r="BF44" i="298"/>
  <c r="Y560" i="298"/>
  <c r="Y558" i="298"/>
  <c r="AC558" i="298"/>
  <c r="AG36" i="298"/>
  <c r="AG42" i="298"/>
  <c r="AI510" i="298"/>
  <c r="AI545" i="298"/>
  <c r="BF505" i="298"/>
  <c r="BF510" i="298" s="1"/>
  <c r="BF21" i="298"/>
  <c r="M64" i="292"/>
  <c r="F91" i="292"/>
  <c r="O119" i="1"/>
  <c r="S119" i="1"/>
  <c r="Y57" i="298"/>
  <c r="Y48" i="298" s="1"/>
  <c r="BD55" i="298"/>
  <c r="BD57" i="298" s="1"/>
  <c r="BD48" i="298" s="1"/>
  <c r="BD71" i="298"/>
  <c r="BD70" i="298"/>
  <c r="BE70" i="298"/>
  <c r="Y62" i="298"/>
  <c r="Y64" i="298" s="1"/>
  <c r="Y76" i="298"/>
  <c r="Y80" i="298" s="1"/>
  <c r="Y75" i="298"/>
  <c r="Y83" i="298"/>
  <c r="AC75" i="298"/>
  <c r="AB109" i="298"/>
  <c r="BD74" i="298"/>
  <c r="AA109" i="298"/>
  <c r="Y109" i="298"/>
  <c r="Z109" i="298"/>
  <c r="AH86" i="298"/>
  <c r="AH100" i="298" s="1"/>
  <c r="AH533" i="298"/>
  <c r="AG86" i="298"/>
  <c r="AG100" i="298" s="1"/>
  <c r="AG533" i="298"/>
  <c r="AG534" i="298" s="1"/>
  <c r="F80" i="292"/>
  <c r="B1387" i="1"/>
  <c r="AG63" i="1" l="1"/>
  <c r="AG66" i="1" s="1"/>
  <c r="AG60" i="1"/>
  <c r="BO425" i="1"/>
  <c r="BN424" i="1"/>
  <c r="BP918" i="1"/>
  <c r="BP925" i="1"/>
  <c r="Y915" i="1"/>
  <c r="AL915" i="1"/>
  <c r="AM915" i="1"/>
  <c r="AD915" i="1"/>
  <c r="AE915" i="1"/>
  <c r="BP698" i="1"/>
  <c r="BP702" i="1" s="1"/>
  <c r="AQ720" i="1"/>
  <c r="AQ702" i="1"/>
  <c r="AP722" i="1"/>
  <c r="AP186" i="1" s="1"/>
  <c r="AP724" i="1"/>
  <c r="BN195" i="1"/>
  <c r="BO195" i="1"/>
  <c r="BN214" i="1"/>
  <c r="BJ532" i="1"/>
  <c r="AP1413" i="1"/>
  <c r="AP1407" i="1"/>
  <c r="AP1401" i="1"/>
  <c r="AP1410" i="1"/>
  <c r="AP1404" i="1"/>
  <c r="C53" i="292"/>
  <c r="C76" i="292"/>
  <c r="C79" i="292" s="1"/>
  <c r="C84" i="292" s="1"/>
  <c r="C91" i="292" s="1"/>
  <c r="E30" i="3"/>
  <c r="E31" i="3" s="1"/>
  <c r="E34" i="3"/>
  <c r="C88" i="504"/>
  <c r="C133" i="504" s="1"/>
  <c r="G62" i="523"/>
  <c r="D88" i="523"/>
  <c r="D74" i="523"/>
  <c r="G64" i="523"/>
  <c r="D70" i="523"/>
  <c r="BN1267" i="1"/>
  <c r="I13" i="523"/>
  <c r="H34" i="523"/>
  <c r="G36" i="523"/>
  <c r="G34" i="523"/>
  <c r="G35" i="523"/>
  <c r="G54" i="523"/>
  <c r="G46" i="523"/>
  <c r="G78" i="523"/>
  <c r="H36" i="523"/>
  <c r="AG1268" i="1"/>
  <c r="AH1268" i="1"/>
  <c r="AI1268" i="1"/>
  <c r="AG1269" i="1"/>
  <c r="BL65" i="1"/>
  <c r="G16" i="504"/>
  <c r="G27" i="504" s="1"/>
  <c r="G16" i="503"/>
  <c r="G27" i="503" s="1"/>
  <c r="BO232" i="1"/>
  <c r="BO1334" i="1"/>
  <c r="BO1340" i="1" s="1"/>
  <c r="BO1346" i="1" s="1"/>
  <c r="I13" i="504"/>
  <c r="I126" i="504" s="1"/>
  <c r="I127" i="504" s="1"/>
  <c r="I13" i="503"/>
  <c r="I126" i="503" s="1"/>
  <c r="I127" i="503" s="1"/>
  <c r="G61" i="503"/>
  <c r="G64" i="503" s="1"/>
  <c r="G61" i="504"/>
  <c r="G64" i="504" s="1"/>
  <c r="F48" i="503"/>
  <c r="F47" i="503"/>
  <c r="D47" i="504"/>
  <c r="D48" i="504"/>
  <c r="E47" i="504"/>
  <c r="D69" i="504"/>
  <c r="D65" i="504"/>
  <c r="D89" i="504"/>
  <c r="D133" i="504" s="1"/>
  <c r="D134" i="504" s="1"/>
  <c r="E65" i="504"/>
  <c r="F48" i="504"/>
  <c r="F47" i="504"/>
  <c r="G33" i="503"/>
  <c r="G33" i="504"/>
  <c r="D55" i="504"/>
  <c r="D56" i="504"/>
  <c r="E55" i="504"/>
  <c r="D48" i="503"/>
  <c r="D47" i="503"/>
  <c r="E47" i="503"/>
  <c r="F56" i="504"/>
  <c r="F55" i="504"/>
  <c r="D55" i="503"/>
  <c r="D56" i="503"/>
  <c r="E55" i="503"/>
  <c r="D65" i="503"/>
  <c r="D89" i="503"/>
  <c r="D132" i="503" s="1"/>
  <c r="D133" i="503" s="1"/>
  <c r="D69" i="503"/>
  <c r="E65" i="503"/>
  <c r="F55" i="503"/>
  <c r="F56" i="503"/>
  <c r="Y94" i="1"/>
  <c r="Z94" i="1"/>
  <c r="BL104" i="1"/>
  <c r="BL106" i="1" s="1"/>
  <c r="BL93" i="1"/>
  <c r="Y95" i="1"/>
  <c r="Y96" i="1"/>
  <c r="AC95" i="1"/>
  <c r="BM52" i="1"/>
  <c r="BM273" i="1"/>
  <c r="AL1410" i="1"/>
  <c r="AL1386" i="1" s="1"/>
  <c r="AL1407" i="1"/>
  <c r="AL1385" i="1" s="1"/>
  <c r="AL1404" i="1"/>
  <c r="AL1384" i="1" s="1"/>
  <c r="AL1401" i="1"/>
  <c r="AL1383" i="1" s="1"/>
  <c r="AM1397" i="1"/>
  <c r="F53" i="292"/>
  <c r="F52" i="292"/>
  <c r="BN40" i="1"/>
  <c r="BN41" i="1" s="1"/>
  <c r="AG41" i="1"/>
  <c r="AP418" i="1"/>
  <c r="AP223" i="1" s="1"/>
  <c r="AN262" i="1"/>
  <c r="AN437" i="1"/>
  <c r="AO437" i="1"/>
  <c r="BO520" i="1"/>
  <c r="BO528" i="1" s="1"/>
  <c r="BO536" i="1" s="1"/>
  <c r="AQ519" i="1"/>
  <c r="W111" i="519"/>
  <c r="W144" i="519" s="1"/>
  <c r="X33" i="519" s="1"/>
  <c r="AF78" i="519"/>
  <c r="AG78" i="519" s="1"/>
  <c r="AE79" i="519"/>
  <c r="AD145" i="519"/>
  <c r="AE34" i="519" s="1"/>
  <c r="AE112" i="519" s="1"/>
  <c r="F69" i="292"/>
  <c r="F71" i="292" s="1"/>
  <c r="BK105" i="1"/>
  <c r="X105" i="1"/>
  <c r="AB105" i="1"/>
  <c r="BI119" i="1"/>
  <c r="J105" i="1"/>
  <c r="BB105" i="1"/>
  <c r="AI105" i="1"/>
  <c r="S105" i="1"/>
  <c r="W105" i="1"/>
  <c r="BD105" i="1"/>
  <c r="BG105" i="1" s="1"/>
  <c r="BE105" i="1"/>
  <c r="L105" i="1"/>
  <c r="P105" i="1"/>
  <c r="BN54" i="1"/>
  <c r="BN81" i="1"/>
  <c r="BN53" i="1"/>
  <c r="BN72" i="1"/>
  <c r="BN50" i="1"/>
  <c r="BN58" i="1" s="1"/>
  <c r="W12" i="267"/>
  <c r="W13" i="267"/>
  <c r="W15" i="267" s="1"/>
  <c r="BK119" i="1"/>
  <c r="AG83" i="1"/>
  <c r="AG89" i="1"/>
  <c r="AB58" i="523" s="1"/>
  <c r="AB60" i="523" s="1"/>
  <c r="AB61" i="523" s="1"/>
  <c r="AG82" i="1"/>
  <c r="H42" i="276"/>
  <c r="F42" i="276"/>
  <c r="G42" i="276"/>
  <c r="W21" i="313"/>
  <c r="W22" i="313"/>
  <c r="W18" i="313"/>
  <c r="W27" i="313" s="1"/>
  <c r="W30" i="313" s="1"/>
  <c r="AG74" i="1"/>
  <c r="AG76" i="1" s="1"/>
  <c r="AG116" i="1"/>
  <c r="BN73" i="1"/>
  <c r="BN116" i="1" s="1"/>
  <c r="I61" i="523" s="1"/>
  <c r="AN27" i="28"/>
  <c r="AH41" i="28"/>
  <c r="AK41" i="28" s="1"/>
  <c r="AM27" i="28"/>
  <c r="AH28" i="28"/>
  <c r="AJ36" i="28"/>
  <c r="AL27" i="28"/>
  <c r="AN36" i="28"/>
  <c r="AH534" i="298"/>
  <c r="AL36" i="28"/>
  <c r="AK27" i="28"/>
  <c r="AM36" i="28"/>
  <c r="AN79" i="28"/>
  <c r="AL79" i="28"/>
  <c r="AM79" i="28"/>
  <c r="AK79" i="28"/>
  <c r="BF30" i="298"/>
  <c r="BF36" i="298" s="1"/>
  <c r="BD62" i="298"/>
  <c r="BD64" i="298" s="1"/>
  <c r="BE65" i="298" s="1"/>
  <c r="Y87" i="298"/>
  <c r="Y88" i="298" s="1"/>
  <c r="BC626" i="298"/>
  <c r="BC629" i="298" s="1"/>
  <c r="BC88" i="298"/>
  <c r="BC93" i="298"/>
  <c r="BF79" i="298"/>
  <c r="AG87" i="298"/>
  <c r="AG88" i="298" s="1"/>
  <c r="AG89" i="298" s="1"/>
  <c r="Y117" i="1"/>
  <c r="Y124" i="1" s="1"/>
  <c r="AC1401" i="1"/>
  <c r="AC1383" i="1" s="1"/>
  <c r="AC1404" i="1"/>
  <c r="AC1384" i="1" s="1"/>
  <c r="AC1407" i="1"/>
  <c r="AC1385" i="1" s="1"/>
  <c r="AC1410" i="1"/>
  <c r="AC1386" i="1" s="1"/>
  <c r="AC1413" i="1"/>
  <c r="AC1387" i="1" s="1"/>
  <c r="G76" i="292"/>
  <c r="G79" i="292" s="1"/>
  <c r="BL122" i="1"/>
  <c r="AC77" i="1"/>
  <c r="Y77" i="1"/>
  <c r="O31" i="313"/>
  <c r="O32" i="313"/>
  <c r="O36" i="313" s="1"/>
  <c r="BO519" i="1"/>
  <c r="BO527" i="1" s="1"/>
  <c r="BO535" i="1" s="1"/>
  <c r="G50" i="292"/>
  <c r="BL90" i="1"/>
  <c r="BL140" i="1"/>
  <c r="BM90" i="1"/>
  <c r="BL113" i="1"/>
  <c r="BL117" i="1" s="1"/>
  <c r="BL91" i="1"/>
  <c r="BL110" i="1" s="1"/>
  <c r="AL536" i="1"/>
  <c r="BL74" i="1"/>
  <c r="BL76" i="1" s="1"/>
  <c r="G29" i="292"/>
  <c r="G34" i="292"/>
  <c r="H34" i="292"/>
  <c r="H24" i="292"/>
  <c r="G24" i="292"/>
  <c r="AC52" i="298"/>
  <c r="AC59" i="1"/>
  <c r="AC60" i="1" s="1"/>
  <c r="X1398" i="1"/>
  <c r="X1397" i="1" s="1"/>
  <c r="N64" i="292"/>
  <c r="P1353" i="1"/>
  <c r="Q1374" i="1"/>
  <c r="F45" i="3"/>
  <c r="F59" i="3"/>
  <c r="F46" i="3"/>
  <c r="AM831" i="1"/>
  <c r="AG560" i="298"/>
  <c r="AG558" i="298"/>
  <c r="P1377" i="1"/>
  <c r="O1356" i="1"/>
  <c r="O1365" i="1" s="1"/>
  <c r="AI36" i="298"/>
  <c r="AI42" i="298"/>
  <c r="J37" i="3"/>
  <c r="J55" i="3"/>
  <c r="J56" i="3" s="1"/>
  <c r="BJ119" i="1"/>
  <c r="Q66" i="3"/>
  <c r="AI532" i="298"/>
  <c r="AI551" i="298"/>
  <c r="BF530" i="298"/>
  <c r="BF532" i="298" s="1"/>
  <c r="BB88" i="298"/>
  <c r="BB626" i="298"/>
  <c r="D69" i="292"/>
  <c r="D54" i="292"/>
  <c r="D76" i="292"/>
  <c r="D79" i="292" s="1"/>
  <c r="D53" i="292"/>
  <c r="D52" i="292"/>
  <c r="E54" i="292"/>
  <c r="E52" i="292"/>
  <c r="BD76" i="298"/>
  <c r="BD80" i="298" s="1"/>
  <c r="BD83" i="298"/>
  <c r="BD87" i="298" s="1"/>
  <c r="BD75" i="298"/>
  <c r="BD109" i="298"/>
  <c r="BE75" i="298"/>
  <c r="L9" i="3"/>
  <c r="K36" i="3"/>
  <c r="G19" i="3"/>
  <c r="G44" i="3"/>
  <c r="G32" i="3"/>
  <c r="G18" i="3"/>
  <c r="G51" i="3"/>
  <c r="G65" i="3"/>
  <c r="H17" i="3"/>
  <c r="E60" i="3"/>
  <c r="E77" i="3"/>
  <c r="E78" i="3"/>
  <c r="E62" i="3"/>
  <c r="BB628" i="298"/>
  <c r="BB93" i="298"/>
  <c r="AH87" i="298"/>
  <c r="AH88" i="298" s="1"/>
  <c r="AH89" i="298" s="1"/>
  <c r="Y65" i="298"/>
  <c r="AC65" i="298"/>
  <c r="AI61" i="298"/>
  <c r="AI62" i="298" s="1"/>
  <c r="AI64" i="298" s="1"/>
  <c r="AH36" i="298"/>
  <c r="AH42" i="298"/>
  <c r="AI54" i="298"/>
  <c r="BF54" i="298" s="1"/>
  <c r="BF55" i="298"/>
  <c r="O46" i="292"/>
  <c r="O1376" i="1"/>
  <c r="N1355" i="1"/>
  <c r="N1364" i="1" s="1"/>
  <c r="BF45" i="298"/>
  <c r="BF51" i="298" s="1"/>
  <c r="BF46" i="298"/>
  <c r="BF69" i="298"/>
  <c r="BF47" i="298"/>
  <c r="BF60" i="298"/>
  <c r="AI70" i="298"/>
  <c r="AI74" i="298"/>
  <c r="AI71" i="298"/>
  <c r="N1357" i="1"/>
  <c r="N1366" i="1" s="1"/>
  <c r="O1378" i="1"/>
  <c r="P89" i="298"/>
  <c r="T89" i="298"/>
  <c r="BD628" i="298"/>
  <c r="M1354" i="1"/>
  <c r="N1375" i="1"/>
  <c r="M1379" i="1"/>
  <c r="M1358" i="1" s="1"/>
  <c r="M1367" i="1" s="1"/>
  <c r="AF43" i="28"/>
  <c r="AF42" i="28"/>
  <c r="AF80" i="28"/>
  <c r="AE85" i="28"/>
  <c r="AF46" i="28"/>
  <c r="AG42" i="28"/>
  <c r="BF22" i="298"/>
  <c r="BF24" i="298"/>
  <c r="AI548" i="298"/>
  <c r="AI549" i="298" s="1"/>
  <c r="BF545" i="298"/>
  <c r="BF548" i="298" s="1"/>
  <c r="BF549" i="298" s="1"/>
  <c r="E91" i="292"/>
  <c r="F85" i="292"/>
  <c r="O1362" i="1"/>
  <c r="L1363" i="1"/>
  <c r="L1359" i="1"/>
  <c r="L1368" i="1" s="1"/>
  <c r="F34" i="3"/>
  <c r="F33" i="3"/>
  <c r="F30" i="3"/>
  <c r="AF28" i="28"/>
  <c r="AG28" i="28"/>
  <c r="AK1413" i="1"/>
  <c r="AK1387" i="1" s="1"/>
  <c r="BN63" i="1" l="1"/>
  <c r="I16" i="523" s="1"/>
  <c r="I27" i="523" s="1"/>
  <c r="AG65" i="1"/>
  <c r="AG55" i="1" s="1"/>
  <c r="Z915" i="1"/>
  <c r="AA915" i="1"/>
  <c r="AP212" i="1"/>
  <c r="AP193" i="1"/>
  <c r="AP723" i="1"/>
  <c r="AP727" i="1"/>
  <c r="AQ722" i="1"/>
  <c r="AQ724" i="1"/>
  <c r="AP230" i="1"/>
  <c r="AP255" i="1"/>
  <c r="AP262" i="1" s="1"/>
  <c r="F31" i="3"/>
  <c r="BN1268" i="1"/>
  <c r="BN1269" i="1"/>
  <c r="G48" i="523"/>
  <c r="G47" i="523"/>
  <c r="H47" i="523"/>
  <c r="G55" i="523"/>
  <c r="G56" i="523"/>
  <c r="H55" i="523"/>
  <c r="G65" i="523"/>
  <c r="G89" i="523"/>
  <c r="G132" i="523" s="1"/>
  <c r="G69" i="523"/>
  <c r="H65" i="523"/>
  <c r="I33" i="523"/>
  <c r="I62" i="523" s="1"/>
  <c r="I14" i="523"/>
  <c r="I22" i="523" s="1"/>
  <c r="I18" i="523"/>
  <c r="I64" i="523"/>
  <c r="I126" i="523"/>
  <c r="I127" i="523" s="1"/>
  <c r="I17" i="523"/>
  <c r="I16" i="504"/>
  <c r="I27" i="504" s="1"/>
  <c r="BN122" i="1"/>
  <c r="BN1192" i="1" s="1"/>
  <c r="I61" i="503"/>
  <c r="I64" i="503" s="1"/>
  <c r="I61" i="504"/>
  <c r="I64" i="504" s="1"/>
  <c r="I18" i="503"/>
  <c r="I17" i="503"/>
  <c r="I14" i="503"/>
  <c r="I22" i="503" s="1"/>
  <c r="AM1398" i="1"/>
  <c r="H65" i="504"/>
  <c r="G65" i="504"/>
  <c r="G89" i="504"/>
  <c r="G133" i="504" s="1"/>
  <c r="G69" i="504"/>
  <c r="I18" i="504"/>
  <c r="I17" i="504"/>
  <c r="I14" i="504"/>
  <c r="I22" i="504" s="1"/>
  <c r="G69" i="503"/>
  <c r="G65" i="503"/>
  <c r="G89" i="503"/>
  <c r="G132" i="503" s="1"/>
  <c r="H65" i="503"/>
  <c r="D88" i="503"/>
  <c r="D74" i="503"/>
  <c r="D70" i="503"/>
  <c r="E70" i="503"/>
  <c r="G54" i="503"/>
  <c r="G34" i="503"/>
  <c r="G46" i="503"/>
  <c r="G36" i="503"/>
  <c r="G35" i="503"/>
  <c r="G78" i="503"/>
  <c r="G62" i="503"/>
  <c r="H36" i="503"/>
  <c r="H34" i="503"/>
  <c r="G62" i="504"/>
  <c r="G54" i="504"/>
  <c r="G35" i="504"/>
  <c r="G34" i="504"/>
  <c r="G78" i="504"/>
  <c r="H36" i="504"/>
  <c r="G36" i="504"/>
  <c r="H34" i="504"/>
  <c r="G46" i="504"/>
  <c r="D74" i="504"/>
  <c r="D70" i="504"/>
  <c r="D88" i="504"/>
  <c r="E70" i="504"/>
  <c r="BL94" i="1"/>
  <c r="BM94" i="1"/>
  <c r="AG104" i="1"/>
  <c r="AG106" i="1" s="1"/>
  <c r="AG93" i="1"/>
  <c r="BL96" i="1"/>
  <c r="BL95" i="1"/>
  <c r="BM95" i="1"/>
  <c r="AP536" i="1"/>
  <c r="AO438" i="1"/>
  <c r="AO440" i="1"/>
  <c r="AQ520" i="1"/>
  <c r="BP519" i="1"/>
  <c r="BP527" i="1" s="1"/>
  <c r="BP535" i="1" s="1"/>
  <c r="F70" i="292"/>
  <c r="AN440" i="1"/>
  <c r="AN438" i="1"/>
  <c r="AP419" i="1"/>
  <c r="AE145" i="519"/>
  <c r="AF34" i="519" s="1"/>
  <c r="AF79" i="519"/>
  <c r="AG79" i="519" s="1"/>
  <c r="X111" i="519"/>
  <c r="X144" i="519" s="1"/>
  <c r="Y33" i="519" s="1"/>
  <c r="BI105" i="1"/>
  <c r="BJ105" i="1"/>
  <c r="W31" i="313"/>
  <c r="W32" i="313"/>
  <c r="W36" i="313" s="1"/>
  <c r="AG90" i="1"/>
  <c r="AG113" i="1"/>
  <c r="AG117" i="1" s="1"/>
  <c r="AG140" i="1"/>
  <c r="AG91" i="1"/>
  <c r="AG110" i="1" s="1"/>
  <c r="BN89" i="1"/>
  <c r="AH140" i="1"/>
  <c r="AI140" i="1"/>
  <c r="AG77" i="1"/>
  <c r="BN76" i="1"/>
  <c r="BN77" i="1" s="1"/>
  <c r="BN74" i="1"/>
  <c r="BN82" i="1"/>
  <c r="BN83" i="1"/>
  <c r="AJ41" i="28"/>
  <c r="AN41" i="28"/>
  <c r="AM41" i="28"/>
  <c r="AG85" i="28"/>
  <c r="AH80" i="28"/>
  <c r="AN80" i="28" s="1"/>
  <c r="AH43" i="28"/>
  <c r="AH44" i="28" s="1"/>
  <c r="AH42" i="28"/>
  <c r="AL41" i="28"/>
  <c r="AH46" i="28"/>
  <c r="BF42" i="298"/>
  <c r="BD65" i="298"/>
  <c r="Y93" i="298"/>
  <c r="Y626" i="298"/>
  <c r="Y629" i="298" s="1"/>
  <c r="Y118" i="1"/>
  <c r="Y1190" i="1"/>
  <c r="Y1193" i="1" s="1"/>
  <c r="AB1401" i="1"/>
  <c r="AB1383" i="1" s="1"/>
  <c r="AB1404" i="1"/>
  <c r="AB1384" i="1" s="1"/>
  <c r="AB1407" i="1"/>
  <c r="AB1385" i="1" s="1"/>
  <c r="AB1410" i="1"/>
  <c r="AB1386" i="1" s="1"/>
  <c r="AB1413" i="1"/>
  <c r="AB1387" i="1" s="1"/>
  <c r="G68" i="292"/>
  <c r="G51" i="292"/>
  <c r="W1398" i="1"/>
  <c r="W1397" i="1" s="1"/>
  <c r="BL1192" i="1"/>
  <c r="BL124" i="1"/>
  <c r="BL77" i="1"/>
  <c r="BM77" i="1"/>
  <c r="H80" i="292"/>
  <c r="G84" i="292"/>
  <c r="G80" i="292"/>
  <c r="BE52" i="298"/>
  <c r="AC55" i="298"/>
  <c r="AC63" i="1"/>
  <c r="AC66" i="1" s="1"/>
  <c r="BM59" i="1"/>
  <c r="H23" i="523" s="1"/>
  <c r="BL118" i="1"/>
  <c r="BL1190" i="1"/>
  <c r="BL1193" i="1" s="1"/>
  <c r="AI65" i="298"/>
  <c r="BF64" i="298"/>
  <c r="BF65" i="298" s="1"/>
  <c r="BD88" i="298"/>
  <c r="BD626" i="298"/>
  <c r="BD629" i="298" s="1"/>
  <c r="H32" i="3"/>
  <c r="H18" i="3"/>
  <c r="H19" i="3"/>
  <c r="H51" i="3"/>
  <c r="H44" i="3"/>
  <c r="H65" i="3"/>
  <c r="I17" i="3"/>
  <c r="F60" i="3"/>
  <c r="F77" i="3"/>
  <c r="F78" i="3"/>
  <c r="F62" i="3"/>
  <c r="D80" i="292"/>
  <c r="D84" i="292"/>
  <c r="E80" i="292"/>
  <c r="G45" i="3"/>
  <c r="G46" i="3"/>
  <c r="G33" i="3"/>
  <c r="G34" i="3"/>
  <c r="G30" i="3"/>
  <c r="G31" i="3" s="1"/>
  <c r="P1378" i="1"/>
  <c r="O1357" i="1"/>
  <c r="O1366" i="1" s="1"/>
  <c r="D70" i="292"/>
  <c r="D71" i="292"/>
  <c r="E70" i="292"/>
  <c r="R1374" i="1"/>
  <c r="Q1353" i="1"/>
  <c r="K37" i="3"/>
  <c r="K55" i="3"/>
  <c r="K56" i="3" s="1"/>
  <c r="BB629" i="298"/>
  <c r="P1362" i="1"/>
  <c r="O1375" i="1"/>
  <c r="N1354" i="1"/>
  <c r="N1379" i="1"/>
  <c r="N1358" i="1" s="1"/>
  <c r="N1367" i="1" s="1"/>
  <c r="G48" i="3"/>
  <c r="G80" i="3" s="1"/>
  <c r="P46" i="292"/>
  <c r="BF70" i="298"/>
  <c r="BF71" i="298"/>
  <c r="M9" i="3"/>
  <c r="L36" i="3"/>
  <c r="BB89" i="298"/>
  <c r="BC89" i="298"/>
  <c r="AI86" i="298"/>
  <c r="AI100" i="298" s="1"/>
  <c r="BF100" i="298" s="1"/>
  <c r="AI533" i="298"/>
  <c r="BF533" i="298" s="1"/>
  <c r="BF534" i="298" s="1"/>
  <c r="BF61" i="298"/>
  <c r="BF86" i="298" s="1"/>
  <c r="M1363" i="1"/>
  <c r="M1359" i="1"/>
  <c r="M1368" i="1" s="1"/>
  <c r="Y89" i="298"/>
  <c r="AC89" i="298"/>
  <c r="BD93" i="298"/>
  <c r="P1376" i="1"/>
  <c r="O1355" i="1"/>
  <c r="O1364" i="1" s="1"/>
  <c r="O64" i="292"/>
  <c r="AF44" i="28"/>
  <c r="AG44" i="28"/>
  <c r="AI75" i="298"/>
  <c r="AI83" i="298"/>
  <c r="AI76" i="298"/>
  <c r="AI80" i="298" s="1"/>
  <c r="BF74" i="298"/>
  <c r="AI557" i="298"/>
  <c r="BF551" i="298"/>
  <c r="P1356" i="1"/>
  <c r="P1365" i="1" s="1"/>
  <c r="Q1377" i="1"/>
  <c r="AL1413" i="1"/>
  <c r="AL1387" i="1" s="1"/>
  <c r="B1400" i="1"/>
  <c r="B1403" i="1"/>
  <c r="B1406" i="1"/>
  <c r="B1409" i="1"/>
  <c r="B1412" i="1"/>
  <c r="P1419" i="1"/>
  <c r="Q1419" i="1"/>
  <c r="R1419" i="1"/>
  <c r="S1419" i="1"/>
  <c r="T1419" i="1"/>
  <c r="U1419" i="1"/>
  <c r="V1419" i="1"/>
  <c r="W1419" i="1"/>
  <c r="X1419" i="1"/>
  <c r="Y1419" i="1"/>
  <c r="Z1419" i="1"/>
  <c r="AA1419" i="1"/>
  <c r="AB1419" i="1"/>
  <c r="AC1419" i="1"/>
  <c r="AD1419" i="1"/>
  <c r="AE1419" i="1"/>
  <c r="AF1419" i="1"/>
  <c r="R1420" i="1"/>
  <c r="R1428" i="1" s="1"/>
  <c r="AB1420" i="1"/>
  <c r="AF1428" i="1" s="1"/>
  <c r="AC1420" i="1"/>
  <c r="AE1420" i="1"/>
  <c r="AD1424" i="1" s="1"/>
  <c r="BK1420" i="1"/>
  <c r="BL1420" i="1"/>
  <c r="BM1420" i="1"/>
  <c r="BN1420" i="1"/>
  <c r="L1421" i="1"/>
  <c r="M1421" i="1"/>
  <c r="N1421" i="1"/>
  <c r="O1421" i="1"/>
  <c r="P1421" i="1"/>
  <c r="Q1421" i="1"/>
  <c r="R1421" i="1"/>
  <c r="S1421" i="1"/>
  <c r="T1421" i="1"/>
  <c r="U1421" i="1"/>
  <c r="V1421" i="1"/>
  <c r="W1421" i="1"/>
  <c r="X1421" i="1"/>
  <c r="Y1421" i="1"/>
  <c r="Z1421" i="1"/>
  <c r="AA1421" i="1"/>
  <c r="AB1421" i="1"/>
  <c r="AF1429" i="1" s="1"/>
  <c r="AC1421" i="1"/>
  <c r="AD1421" i="1"/>
  <c r="AE1421" i="1"/>
  <c r="BK1423" i="1"/>
  <c r="BL1423" i="1"/>
  <c r="BM1423" i="1"/>
  <c r="BN1423" i="1"/>
  <c r="AE1424" i="1"/>
  <c r="BK1424" i="1"/>
  <c r="BL1424" i="1"/>
  <c r="BM1424" i="1"/>
  <c r="BN1424" i="1"/>
  <c r="AA242" i="1"/>
  <c r="AD242" i="1"/>
  <c r="Z242" i="1"/>
  <c r="Y242" i="1"/>
  <c r="X242" i="1"/>
  <c r="W242" i="1"/>
  <c r="V242" i="1"/>
  <c r="U242" i="1"/>
  <c r="T242" i="1"/>
  <c r="S242" i="1"/>
  <c r="S305" i="1" s="1"/>
  <c r="Q242" i="1"/>
  <c r="P242" i="1"/>
  <c r="AJ242" i="1"/>
  <c r="AJ14" i="1" s="1"/>
  <c r="AJ171" i="1" s="1"/>
  <c r="AI242" i="1"/>
  <c r="AH242" i="1"/>
  <c r="O242" i="1"/>
  <c r="O14" i="1" s="1"/>
  <c r="O55" i="1" s="1"/>
  <c r="N242" i="1"/>
  <c r="N14" i="1" s="1"/>
  <c r="N55" i="1" s="1"/>
  <c r="M242" i="1"/>
  <c r="M14" i="1" s="1"/>
  <c r="M55" i="1" s="1"/>
  <c r="L242" i="1"/>
  <c r="L14" i="1" s="1"/>
  <c r="L55" i="1" s="1"/>
  <c r="BN439" i="1"/>
  <c r="BN239" i="1"/>
  <c r="BN800" i="1"/>
  <c r="BM800" i="1"/>
  <c r="BL800" i="1"/>
  <c r="BK800" i="1"/>
  <c r="BJ800" i="1"/>
  <c r="BI800" i="1"/>
  <c r="BM239" i="1"/>
  <c r="BL239" i="1"/>
  <c r="BK239" i="1"/>
  <c r="BJ239" i="1"/>
  <c r="BI239" i="1"/>
  <c r="BM420" i="1"/>
  <c r="BM238" i="1" s="1"/>
  <c r="BL420" i="1"/>
  <c r="BL238" i="1" s="1"/>
  <c r="BK420" i="1"/>
  <c r="BK238" i="1" s="1"/>
  <c r="BJ420" i="1"/>
  <c r="BJ238" i="1" s="1"/>
  <c r="BI420" i="1"/>
  <c r="BI238" i="1" s="1"/>
  <c r="BJ1113" i="1"/>
  <c r="BJ62" i="1" s="1"/>
  <c r="E25" i="523" s="1"/>
  <c r="E16" i="523" s="1"/>
  <c r="E27" i="523" s="1"/>
  <c r="BI1113" i="1"/>
  <c r="BI62" i="1" s="1"/>
  <c r="D25" i="523" s="1"/>
  <c r="D16" i="523" s="1"/>
  <c r="D27" i="523" s="1"/>
  <c r="D4" i="198"/>
  <c r="K139" i="198" s="1"/>
  <c r="C8" i="198"/>
  <c r="D8" i="198"/>
  <c r="E8" i="198"/>
  <c r="F8" i="198"/>
  <c r="G8" i="198"/>
  <c r="H8" i="198"/>
  <c r="I8" i="198"/>
  <c r="C13" i="198"/>
  <c r="C125" i="198" s="1"/>
  <c r="C126" i="198" s="1"/>
  <c r="D13" i="198"/>
  <c r="D125" i="198" s="1"/>
  <c r="D126" i="198" s="1"/>
  <c r="E13" i="198"/>
  <c r="E125" i="198" s="1"/>
  <c r="F13" i="198"/>
  <c r="F125" i="198" s="1"/>
  <c r="G13" i="198"/>
  <c r="G125" i="198" s="1"/>
  <c r="H13" i="198"/>
  <c r="H125" i="198" s="1"/>
  <c r="I13" i="198"/>
  <c r="I125" i="198" s="1"/>
  <c r="F25" i="198"/>
  <c r="F16" i="198" s="1"/>
  <c r="G16" i="198"/>
  <c r="I16" i="198"/>
  <c r="G23" i="198"/>
  <c r="I23" i="198"/>
  <c r="G25" i="198"/>
  <c r="H25" i="198"/>
  <c r="I25" i="198"/>
  <c r="C28" i="198"/>
  <c r="D28" i="198"/>
  <c r="E28" i="198"/>
  <c r="F28" i="198"/>
  <c r="G28" i="198"/>
  <c r="H28" i="198"/>
  <c r="I28" i="198"/>
  <c r="AA30" i="198"/>
  <c r="C49" i="198"/>
  <c r="D49" i="198"/>
  <c r="E49" i="198"/>
  <c r="F49" i="198"/>
  <c r="G49" i="198"/>
  <c r="H49" i="198"/>
  <c r="I49" i="198"/>
  <c r="Z53" i="198"/>
  <c r="AA53" i="198"/>
  <c r="AB53" i="198"/>
  <c r="C57" i="198"/>
  <c r="D57" i="198"/>
  <c r="E57" i="198"/>
  <c r="F57" i="198"/>
  <c r="G57" i="198"/>
  <c r="H57" i="198"/>
  <c r="I57" i="198"/>
  <c r="J57" i="198"/>
  <c r="Z57" i="198"/>
  <c r="AA57" i="198"/>
  <c r="AB57" i="198"/>
  <c r="D58" i="198"/>
  <c r="E58" i="198" s="1"/>
  <c r="F58" i="198" s="1"/>
  <c r="G58" i="198" s="1"/>
  <c r="H58" i="198" s="1"/>
  <c r="I58" i="198" s="1"/>
  <c r="J58" i="198" s="1"/>
  <c r="K58" i="198" s="1"/>
  <c r="L58" i="198" s="1"/>
  <c r="M58" i="198" s="1"/>
  <c r="N58" i="198" s="1"/>
  <c r="O58" i="198" s="1"/>
  <c r="P58" i="198" s="1"/>
  <c r="Q58" i="198" s="1"/>
  <c r="R58" i="198" s="1"/>
  <c r="S58" i="198" s="1"/>
  <c r="T58" i="198" s="1"/>
  <c r="U58" i="198" s="1"/>
  <c r="V58" i="198" s="1"/>
  <c r="Z58" i="198"/>
  <c r="AA58" i="198"/>
  <c r="AB58" i="198"/>
  <c r="D61" i="198"/>
  <c r="F60" i="198"/>
  <c r="G60" i="198"/>
  <c r="H60" i="198"/>
  <c r="I60" i="198"/>
  <c r="Z62" i="198"/>
  <c r="AA62" i="198"/>
  <c r="AB62" i="198"/>
  <c r="A66" i="198"/>
  <c r="A67" i="198"/>
  <c r="Z67" i="198"/>
  <c r="AA67" i="198"/>
  <c r="AB67" i="198"/>
  <c r="AC67" i="198"/>
  <c r="C71" i="198"/>
  <c r="D71" i="198"/>
  <c r="E71" i="198"/>
  <c r="F71" i="198"/>
  <c r="G71" i="198"/>
  <c r="H71" i="198"/>
  <c r="I71" i="198"/>
  <c r="C74" i="198"/>
  <c r="D74" i="198"/>
  <c r="E74" i="198"/>
  <c r="F74" i="198"/>
  <c r="G74" i="198"/>
  <c r="H74" i="198"/>
  <c r="I74" i="198"/>
  <c r="C76" i="198"/>
  <c r="D76" i="198"/>
  <c r="E76" i="198"/>
  <c r="F76" i="198"/>
  <c r="G76" i="198"/>
  <c r="H76" i="198"/>
  <c r="I76" i="198"/>
  <c r="D100" i="198"/>
  <c r="BN65" i="1" l="1"/>
  <c r="I16" i="503"/>
  <c r="I27" i="503" s="1"/>
  <c r="W915" i="1"/>
  <c r="V305" i="1"/>
  <c r="V249" i="1"/>
  <c r="V15" i="1" s="1"/>
  <c r="T305" i="1"/>
  <c r="T249" i="1"/>
  <c r="T15" i="1" s="1"/>
  <c r="AA305" i="1"/>
  <c r="AA249" i="1"/>
  <c r="AA15" i="1" s="1"/>
  <c r="U305" i="1"/>
  <c r="U249" i="1"/>
  <c r="U15" i="1" s="1"/>
  <c r="W14" i="1"/>
  <c r="W55" i="1" s="1"/>
  <c r="W249" i="1"/>
  <c r="W15" i="1" s="1"/>
  <c r="X305" i="1"/>
  <c r="X249" i="1"/>
  <c r="X15" i="1" s="1"/>
  <c r="Y305" i="1"/>
  <c r="Y249" i="1"/>
  <c r="Y15" i="1" s="1"/>
  <c r="Z305" i="1"/>
  <c r="Z249" i="1"/>
  <c r="Z15" i="1" s="1"/>
  <c r="BP722" i="1"/>
  <c r="BP727" i="1" s="1"/>
  <c r="AQ186" i="1"/>
  <c r="AQ723" i="1"/>
  <c r="AQ727" i="1"/>
  <c r="H41" i="198"/>
  <c r="G50" i="198"/>
  <c r="G41" i="198"/>
  <c r="D41" i="198"/>
  <c r="I50" i="198"/>
  <c r="H67" i="198"/>
  <c r="H50" i="198"/>
  <c r="F67" i="198"/>
  <c r="F50" i="198"/>
  <c r="E67" i="198"/>
  <c r="E50" i="198"/>
  <c r="D67" i="198"/>
  <c r="D50" i="198"/>
  <c r="F41" i="198"/>
  <c r="E41" i="198"/>
  <c r="K158" i="198"/>
  <c r="K159" i="198" s="1"/>
  <c r="I41" i="198"/>
  <c r="G88" i="523"/>
  <c r="G74" i="523"/>
  <c r="H70" i="523"/>
  <c r="G70" i="523"/>
  <c r="I54" i="523"/>
  <c r="I35" i="523"/>
  <c r="I36" i="523"/>
  <c r="I34" i="523"/>
  <c r="I78" i="523"/>
  <c r="I46" i="523"/>
  <c r="G133" i="523"/>
  <c r="F133" i="523"/>
  <c r="I65" i="523"/>
  <c r="I89" i="523"/>
  <c r="I69" i="523"/>
  <c r="I74" i="523" s="1"/>
  <c r="H109" i="198"/>
  <c r="G109" i="198"/>
  <c r="F109" i="198"/>
  <c r="I109" i="198"/>
  <c r="E109" i="198"/>
  <c r="D109" i="198"/>
  <c r="C109" i="198"/>
  <c r="AM1410" i="1"/>
  <c r="AM1386" i="1" s="1"/>
  <c r="AM1407" i="1"/>
  <c r="AM1385" i="1" s="1"/>
  <c r="AM1404" i="1"/>
  <c r="AM1384" i="1" s="1"/>
  <c r="AM1401" i="1"/>
  <c r="AM1383" i="1" s="1"/>
  <c r="G134" i="504"/>
  <c r="F134" i="504"/>
  <c r="I33" i="504"/>
  <c r="I62" i="504" s="1"/>
  <c r="I33" i="503"/>
  <c r="I62" i="503" s="1"/>
  <c r="G133" i="503"/>
  <c r="F133" i="503"/>
  <c r="G88" i="503"/>
  <c r="G70" i="503"/>
  <c r="G74" i="503"/>
  <c r="H70" i="503"/>
  <c r="I69" i="504"/>
  <c r="I74" i="504" s="1"/>
  <c r="I89" i="504"/>
  <c r="I133" i="504" s="1"/>
  <c r="I65" i="504"/>
  <c r="I65" i="503"/>
  <c r="I89" i="503"/>
  <c r="I132" i="503" s="1"/>
  <c r="I69" i="503"/>
  <c r="I74" i="503" s="1"/>
  <c r="G70" i="504"/>
  <c r="G88" i="504"/>
  <c r="G74" i="504"/>
  <c r="H70" i="504"/>
  <c r="AN1397" i="1"/>
  <c r="E25" i="503"/>
  <c r="E16" i="503" s="1"/>
  <c r="E27" i="503" s="1"/>
  <c r="E25" i="504"/>
  <c r="E16" i="504" s="1"/>
  <c r="E27" i="504" s="1"/>
  <c r="BI51" i="1"/>
  <c r="BI203" i="1" s="1"/>
  <c r="D25" i="503"/>
  <c r="D16" i="503" s="1"/>
  <c r="D27" i="503" s="1"/>
  <c r="D25" i="504"/>
  <c r="D16" i="504" s="1"/>
  <c r="D27" i="504" s="1"/>
  <c r="H23" i="198"/>
  <c r="H23" i="503"/>
  <c r="H23" i="504"/>
  <c r="G47" i="504"/>
  <c r="G48" i="504"/>
  <c r="H47" i="504"/>
  <c r="G47" i="503"/>
  <c r="G48" i="503"/>
  <c r="H47" i="503"/>
  <c r="G55" i="504"/>
  <c r="G56" i="504"/>
  <c r="H55" i="504"/>
  <c r="G56" i="503"/>
  <c r="H55" i="503"/>
  <c r="G55" i="503"/>
  <c r="AF112" i="519"/>
  <c r="AF145" i="519" s="1"/>
  <c r="AG34" i="519" s="1"/>
  <c r="AG112" i="519" s="1"/>
  <c r="AG145" i="519" s="1"/>
  <c r="AG94" i="1"/>
  <c r="AH94" i="1"/>
  <c r="BS104" i="1"/>
  <c r="BS106" i="1" s="1"/>
  <c r="AG95" i="1"/>
  <c r="AG96" i="1"/>
  <c r="BN104" i="1"/>
  <c r="BN106" i="1" s="1"/>
  <c r="BN93" i="1"/>
  <c r="BN94" i="1" s="1"/>
  <c r="AM230" i="1"/>
  <c r="Z24" i="198"/>
  <c r="AA24" i="198" s="1"/>
  <c r="K142" i="198"/>
  <c r="K143" i="198" s="1"/>
  <c r="L147" i="198" s="1"/>
  <c r="I67" i="198"/>
  <c r="K150" i="198"/>
  <c r="BO418" i="1"/>
  <c r="BN434" i="1"/>
  <c r="BN269" i="1"/>
  <c r="C32" i="198"/>
  <c r="C34" i="198" s="1"/>
  <c r="E32" i="198"/>
  <c r="E34" i="198" s="1"/>
  <c r="I42" i="198"/>
  <c r="E42" i="198"/>
  <c r="F66" i="198"/>
  <c r="F42" i="198"/>
  <c r="D42" i="198"/>
  <c r="H66" i="198"/>
  <c r="H42" i="198"/>
  <c r="G66" i="198"/>
  <c r="G42" i="198"/>
  <c r="D32" i="198"/>
  <c r="D45" i="198" s="1"/>
  <c r="D47" i="198" s="1"/>
  <c r="I32" i="198"/>
  <c r="I53" i="198" s="1"/>
  <c r="I55" i="198" s="1"/>
  <c r="H32" i="198"/>
  <c r="H61" i="198" s="1"/>
  <c r="G32" i="198"/>
  <c r="G61" i="198" s="1"/>
  <c r="F32" i="198"/>
  <c r="F77" i="198" s="1"/>
  <c r="AQ528" i="1"/>
  <c r="AQ536" i="1" s="1"/>
  <c r="AQ418" i="1"/>
  <c r="AQ223" i="1" s="1"/>
  <c r="BP520" i="1"/>
  <c r="BP528" i="1" s="1"/>
  <c r="BP536" i="1" s="1"/>
  <c r="AM1413" i="1"/>
  <c r="AM1387" i="1" s="1"/>
  <c r="Y111" i="519"/>
  <c r="Y144" i="519" s="1"/>
  <c r="Z33" i="519" s="1"/>
  <c r="BN240" i="1"/>
  <c r="BN242" i="1" s="1"/>
  <c r="BN249" i="1" s="1"/>
  <c r="BN15" i="1" s="1"/>
  <c r="BN801" i="1"/>
  <c r="BN252" i="1" s="1"/>
  <c r="BK240" i="1"/>
  <c r="BK242" i="1" s="1"/>
  <c r="BK249" i="1" s="1"/>
  <c r="BK15" i="1" s="1"/>
  <c r="BK801" i="1"/>
  <c r="BK252" i="1" s="1"/>
  <c r="BM240" i="1"/>
  <c r="BM242" i="1" s="1"/>
  <c r="BM249" i="1" s="1"/>
  <c r="BM15" i="1" s="1"/>
  <c r="BM801" i="1"/>
  <c r="BM252" i="1" s="1"/>
  <c r="BL240" i="1"/>
  <c r="BL242" i="1" s="1"/>
  <c r="BL249" i="1" s="1"/>
  <c r="BL801" i="1"/>
  <c r="BL252" i="1" s="1"/>
  <c r="BI240" i="1"/>
  <c r="BI242" i="1" s="1"/>
  <c r="BI249" i="1" s="1"/>
  <c r="BI801" i="1"/>
  <c r="BI252" i="1" s="1"/>
  <c r="BJ240" i="1"/>
  <c r="BJ242" i="1" s="1"/>
  <c r="BJ801" i="1"/>
  <c r="BJ252" i="1" s="1"/>
  <c r="AH14" i="1"/>
  <c r="AH249" i="1"/>
  <c r="AH15" i="1" s="1"/>
  <c r="AH178" i="1" s="1"/>
  <c r="AI14" i="1"/>
  <c r="AI171" i="1" s="1"/>
  <c r="AI249" i="1"/>
  <c r="AI15" i="1" s="1"/>
  <c r="AI178" i="1" s="1"/>
  <c r="AD305" i="1"/>
  <c r="BM305" i="1" s="1"/>
  <c r="AD249" i="1"/>
  <c r="AD15" i="1" s="1"/>
  <c r="AD178" i="1" s="1"/>
  <c r="BL105" i="1"/>
  <c r="BM105" i="1"/>
  <c r="L1369" i="1"/>
  <c r="O1369" i="1"/>
  <c r="AC119" i="1"/>
  <c r="N1369" i="1"/>
  <c r="M1369" i="1"/>
  <c r="BN90" i="1"/>
  <c r="BN140" i="1"/>
  <c r="BN113" i="1"/>
  <c r="BN117" i="1" s="1"/>
  <c r="BN91" i="1"/>
  <c r="BN110" i="1" s="1"/>
  <c r="BJ51" i="1"/>
  <c r="BJ203" i="1" s="1"/>
  <c r="AJ306" i="1"/>
  <c r="AG124" i="1"/>
  <c r="AG118" i="1"/>
  <c r="AG1190" i="1"/>
  <c r="AG1193" i="1" s="1"/>
  <c r="BN75" i="1"/>
  <c r="AN43" i="28"/>
  <c r="AK80" i="28"/>
  <c r="AK43" i="28"/>
  <c r="AJ80" i="28"/>
  <c r="AM80" i="28"/>
  <c r="AM43" i="28"/>
  <c r="AL80" i="28"/>
  <c r="AL43" i="28"/>
  <c r="AJ43" i="28"/>
  <c r="BM1421" i="1"/>
  <c r="AA1429" i="1"/>
  <c r="Y119" i="1"/>
  <c r="X1429" i="1"/>
  <c r="AD1429" i="1"/>
  <c r="AC1429" i="1"/>
  <c r="AI87" i="298"/>
  <c r="AI88" i="298" s="1"/>
  <c r="AI89" i="298" s="1"/>
  <c r="BF62" i="298"/>
  <c r="BF63" i="298" s="1"/>
  <c r="E51" i="198"/>
  <c r="AA54" i="198"/>
  <c r="BM1425" i="1"/>
  <c r="BM1426" i="1" s="1"/>
  <c r="Q1424" i="1"/>
  <c r="AA1424" i="1"/>
  <c r="T14" i="1"/>
  <c r="P1429" i="1"/>
  <c r="AI305" i="1"/>
  <c r="AH305" i="1"/>
  <c r="AB54" i="198"/>
  <c r="Y1429" i="1"/>
  <c r="F14" i="198"/>
  <c r="F22" i="198" s="1"/>
  <c r="F23" i="198" s="1"/>
  <c r="AB59" i="198"/>
  <c r="AB60" i="198" s="1"/>
  <c r="D17" i="198"/>
  <c r="S1429" i="1"/>
  <c r="R1429" i="1"/>
  <c r="Q1429" i="1"/>
  <c r="AA14" i="1"/>
  <c r="D14" i="198"/>
  <c r="D22" i="198" s="1"/>
  <c r="D23" i="198" s="1"/>
  <c r="V14" i="1"/>
  <c r="Z63" i="198"/>
  <c r="G14" i="198"/>
  <c r="G22" i="198" s="1"/>
  <c r="X14" i="1"/>
  <c r="Z14" i="1"/>
  <c r="I14" i="198"/>
  <c r="I22" i="198" s="1"/>
  <c r="BN1425" i="1"/>
  <c r="BN1426" i="1" s="1"/>
  <c r="E14" i="198"/>
  <c r="E22" i="198" s="1"/>
  <c r="E23" i="198" s="1"/>
  <c r="I29" i="198"/>
  <c r="I27" i="198"/>
  <c r="H51" i="198"/>
  <c r="G27" i="198"/>
  <c r="W1429" i="1"/>
  <c r="G51" i="198"/>
  <c r="F27" i="198"/>
  <c r="V1429" i="1"/>
  <c r="AA59" i="198"/>
  <c r="AA60" i="198" s="1"/>
  <c r="U1429" i="1"/>
  <c r="H14" i="198"/>
  <c r="H22" i="198" s="1"/>
  <c r="AJ249" i="1"/>
  <c r="AJ15" i="1" s="1"/>
  <c r="AJ178" i="1" s="1"/>
  <c r="T1429" i="1"/>
  <c r="AA1401" i="1"/>
  <c r="AA1383" i="1" s="1"/>
  <c r="AA1404" i="1"/>
  <c r="AA1384" i="1" s="1"/>
  <c r="AA1407" i="1"/>
  <c r="AA1385" i="1" s="1"/>
  <c r="AA1410" i="1"/>
  <c r="AA1386" i="1" s="1"/>
  <c r="AA1413" i="1"/>
  <c r="AA1387" i="1" s="1"/>
  <c r="G67" i="198"/>
  <c r="D18" i="198"/>
  <c r="U14" i="1"/>
  <c r="G59" i="3"/>
  <c r="G60" i="3" s="1"/>
  <c r="AC65" i="1"/>
  <c r="AC55" i="1" s="1"/>
  <c r="BM63" i="1"/>
  <c r="H16" i="523" s="1"/>
  <c r="H27" i="523" s="1"/>
  <c r="AL230" i="1"/>
  <c r="I66" i="198"/>
  <c r="AC57" i="298"/>
  <c r="AC48" i="298" s="1"/>
  <c r="BE55" i="298"/>
  <c r="BE57" i="298" s="1"/>
  <c r="BE48" i="298" s="1"/>
  <c r="BL1425" i="1"/>
  <c r="BL1426" i="1" s="1"/>
  <c r="F17" i="198"/>
  <c r="BK1425" i="1"/>
  <c r="BK1426" i="1" s="1"/>
  <c r="E17" i="198"/>
  <c r="AE1429" i="1"/>
  <c r="C66" i="198"/>
  <c r="Y14" i="1"/>
  <c r="BM119" i="1"/>
  <c r="BL119" i="1"/>
  <c r="C29" i="198"/>
  <c r="H85" i="292"/>
  <c r="G91" i="292"/>
  <c r="G85" i="292"/>
  <c r="H63" i="198"/>
  <c r="Z1429" i="1"/>
  <c r="G69" i="292"/>
  <c r="H54" i="292"/>
  <c r="G52" i="292"/>
  <c r="H52" i="292"/>
  <c r="G53" i="292"/>
  <c r="G54" i="292"/>
  <c r="Z26" i="198"/>
  <c r="BN1421" i="1"/>
  <c r="V1398" i="1"/>
  <c r="V1397" i="1" s="1"/>
  <c r="E101" i="198"/>
  <c r="Z59" i="198"/>
  <c r="Z60" i="198" s="1"/>
  <c r="AJ305" i="1"/>
  <c r="BL1421" i="1"/>
  <c r="G63" i="198"/>
  <c r="F63" i="198"/>
  <c r="I17" i="198"/>
  <c r="I51" i="198"/>
  <c r="I9" i="198"/>
  <c r="I14" i="292" s="1"/>
  <c r="AB1429" i="1"/>
  <c r="AB1424" i="1"/>
  <c r="D9" i="198"/>
  <c r="E9" i="198"/>
  <c r="D102" i="198"/>
  <c r="E102" i="198" s="1"/>
  <c r="F18" i="198"/>
  <c r="F51" i="198"/>
  <c r="F9" i="198"/>
  <c r="F29" i="198"/>
  <c r="G18" i="198"/>
  <c r="G9" i="198"/>
  <c r="P14" i="1"/>
  <c r="P55" i="1" s="1"/>
  <c r="P305" i="1"/>
  <c r="Q305" i="1"/>
  <c r="Q14" i="1"/>
  <c r="Q55" i="1" s="1"/>
  <c r="H48" i="3"/>
  <c r="H80" i="3" s="1"/>
  <c r="AB63" i="198"/>
  <c r="H9" i="198"/>
  <c r="H46" i="3"/>
  <c r="H45" i="3"/>
  <c r="T145" i="1"/>
  <c r="AA63" i="198"/>
  <c r="G17" i="198"/>
  <c r="P64" i="292"/>
  <c r="R1353" i="1"/>
  <c r="S1374" i="1"/>
  <c r="I63" i="198"/>
  <c r="D51" i="198"/>
  <c r="E18" i="198"/>
  <c r="BI63" i="1"/>
  <c r="BI65" i="1"/>
  <c r="D25" i="198"/>
  <c r="D16" i="198" s="1"/>
  <c r="D27" i="198" s="1"/>
  <c r="C51" i="198"/>
  <c r="C67" i="198"/>
  <c r="BJ65" i="1"/>
  <c r="E25" i="198"/>
  <c r="E16" i="198" s="1"/>
  <c r="E27" i="198" s="1"/>
  <c r="BJ63" i="1"/>
  <c r="Q46" i="292"/>
  <c r="G29" i="198"/>
  <c r="Z9" i="267"/>
  <c r="AJ1369" i="1"/>
  <c r="Q1356" i="1"/>
  <c r="Q1365" i="1" s="1"/>
  <c r="R1377" i="1"/>
  <c r="W305" i="1"/>
  <c r="Q1362" i="1"/>
  <c r="D85" i="292"/>
  <c r="D91" i="292"/>
  <c r="E85" i="292"/>
  <c r="I32" i="3"/>
  <c r="I44" i="3"/>
  <c r="I18" i="3"/>
  <c r="I19" i="3"/>
  <c r="I51" i="3"/>
  <c r="I65" i="3"/>
  <c r="I48" i="3" s="1"/>
  <c r="J17" i="3"/>
  <c r="H29" i="198"/>
  <c r="AI560" i="298"/>
  <c r="AI558" i="298"/>
  <c r="BF557" i="298"/>
  <c r="AD14" i="1"/>
  <c r="AD171" i="1" s="1"/>
  <c r="E125" i="292"/>
  <c r="U147" i="1"/>
  <c r="T144" i="1" s="1"/>
  <c r="E29" i="198"/>
  <c r="S14" i="1"/>
  <c r="S55" i="1" s="1"/>
  <c r="E66" i="198"/>
  <c r="D29" i="198"/>
  <c r="BF75" i="298"/>
  <c r="BF76" i="298"/>
  <c r="BF80" i="298" s="1"/>
  <c r="BF83" i="298"/>
  <c r="BF87" i="298" s="1"/>
  <c r="Q1376" i="1"/>
  <c r="P1355" i="1"/>
  <c r="P1364" i="1" s="1"/>
  <c r="D66" i="198"/>
  <c r="AI534" i="298"/>
  <c r="H34" i="3"/>
  <c r="H33" i="3"/>
  <c r="I18" i="198"/>
  <c r="I34" i="292" s="1"/>
  <c r="J34" i="292" s="1"/>
  <c r="K34" i="292" s="1"/>
  <c r="L34" i="292" s="1"/>
  <c r="M34" i="292" s="1"/>
  <c r="N34" i="292" s="1"/>
  <c r="O34" i="292" s="1"/>
  <c r="P34" i="292" s="1"/>
  <c r="Q34" i="292" s="1"/>
  <c r="R34" i="292" s="1"/>
  <c r="S34" i="292" s="1"/>
  <c r="Q1378" i="1"/>
  <c r="P1357" i="1"/>
  <c r="P1366" i="1" s="1"/>
  <c r="H18" i="198"/>
  <c r="N1363" i="1"/>
  <c r="N1359" i="1"/>
  <c r="N1368" i="1" s="1"/>
  <c r="BD89" i="298"/>
  <c r="BE89" i="298"/>
  <c r="AM264" i="1"/>
  <c r="L37" i="3"/>
  <c r="L55" i="3"/>
  <c r="L56" i="3" s="1"/>
  <c r="P1375" i="1"/>
  <c r="O1354" i="1"/>
  <c r="O1379" i="1"/>
  <c r="O1358" i="1" s="1"/>
  <c r="O1367" i="1" s="1"/>
  <c r="H17" i="198"/>
  <c r="AT20" i="468"/>
  <c r="BO257" i="1"/>
  <c r="AS20" i="468"/>
  <c r="N9" i="3"/>
  <c r="M36" i="3"/>
  <c r="W1420" i="1" l="1"/>
  <c r="W306" i="1"/>
  <c r="M9" i="267"/>
  <c r="M11" i="313" s="1"/>
  <c r="W1369" i="1"/>
  <c r="BL305" i="1"/>
  <c r="W171" i="1"/>
  <c r="W178" i="1" s="1"/>
  <c r="BK305" i="1"/>
  <c r="BP723" i="1"/>
  <c r="AQ212" i="1"/>
  <c r="AQ193" i="1"/>
  <c r="BP186" i="1"/>
  <c r="BI52" i="1"/>
  <c r="BI204" i="1" s="1"/>
  <c r="BI196" i="1" s="1"/>
  <c r="F10" i="523"/>
  <c r="BK178" i="1"/>
  <c r="H10" i="523"/>
  <c r="BM178" i="1"/>
  <c r="I10" i="523"/>
  <c r="BN178" i="1"/>
  <c r="U55" i="1"/>
  <c r="U171" i="1"/>
  <c r="U178" i="1" s="1"/>
  <c r="Z55" i="1"/>
  <c r="Z171" i="1"/>
  <c r="Z178" i="1" s="1"/>
  <c r="V55" i="1"/>
  <c r="V171" i="1"/>
  <c r="V178" i="1" s="1"/>
  <c r="X55" i="1"/>
  <c r="X171" i="1"/>
  <c r="X178" i="1" s="1"/>
  <c r="T55" i="1"/>
  <c r="T171" i="1"/>
  <c r="T178" i="1" s="1"/>
  <c r="AH55" i="1"/>
  <c r="AH171" i="1"/>
  <c r="Y55" i="1"/>
  <c r="Y171" i="1"/>
  <c r="Y178" i="1" s="1"/>
  <c r="AA55" i="1"/>
  <c r="AA171" i="1"/>
  <c r="AA178" i="1" s="1"/>
  <c r="AQ230" i="1"/>
  <c r="AQ255" i="1"/>
  <c r="AQ262" i="1" s="1"/>
  <c r="AN1398" i="1"/>
  <c r="I132" i="523"/>
  <c r="H133" i="523" s="1"/>
  <c r="I56" i="523"/>
  <c r="I55" i="523"/>
  <c r="I70" i="523"/>
  <c r="I88" i="523"/>
  <c r="I47" i="523"/>
  <c r="I48" i="523"/>
  <c r="I88" i="504"/>
  <c r="I70" i="504"/>
  <c r="H10" i="503"/>
  <c r="H10" i="504"/>
  <c r="H134" i="504"/>
  <c r="H16" i="504"/>
  <c r="H27" i="504" s="1"/>
  <c r="H16" i="503"/>
  <c r="H27" i="503" s="1"/>
  <c r="I70" i="503"/>
  <c r="I88" i="503"/>
  <c r="I54" i="504"/>
  <c r="I36" i="504"/>
  <c r="I34" i="504"/>
  <c r="I35" i="504"/>
  <c r="I46" i="504"/>
  <c r="I78" i="504"/>
  <c r="BI273" i="1"/>
  <c r="I36" i="503"/>
  <c r="I54" i="503"/>
  <c r="I34" i="503"/>
  <c r="I35" i="503"/>
  <c r="I78" i="503"/>
  <c r="I46" i="503"/>
  <c r="H133" i="503"/>
  <c r="F10" i="503"/>
  <c r="F10" i="504"/>
  <c r="I10" i="504"/>
  <c r="I10" i="503"/>
  <c r="BO419" i="1"/>
  <c r="BO423" i="1"/>
  <c r="BO424" i="1" s="1"/>
  <c r="BO430" i="1"/>
  <c r="Z29" i="198"/>
  <c r="AA29" i="198" s="1"/>
  <c r="BO223" i="1"/>
  <c r="BN96" i="1"/>
  <c r="BN95" i="1"/>
  <c r="I45" i="198"/>
  <c r="I47" i="198" s="1"/>
  <c r="F45" i="198"/>
  <c r="F47" i="198" s="1"/>
  <c r="K162" i="198"/>
  <c r="H45" i="198"/>
  <c r="K163" i="198"/>
  <c r="G45" i="198"/>
  <c r="C45" i="198"/>
  <c r="D46" i="198" s="1"/>
  <c r="E45" i="198"/>
  <c r="C53" i="198"/>
  <c r="C55" i="198" s="1"/>
  <c r="K151" i="198"/>
  <c r="K155" i="198" s="1"/>
  <c r="K154" i="198"/>
  <c r="E60" i="198"/>
  <c r="E63" i="198" s="1"/>
  <c r="E88" i="198" s="1"/>
  <c r="E131" i="198" s="1"/>
  <c r="E53" i="198"/>
  <c r="E55" i="198" s="1"/>
  <c r="C77" i="198"/>
  <c r="C60" i="198"/>
  <c r="C63" i="198" s="1"/>
  <c r="C68" i="198" s="1"/>
  <c r="C73" i="198" s="1"/>
  <c r="F53" i="198"/>
  <c r="F55" i="198" s="1"/>
  <c r="BJ52" i="1"/>
  <c r="BJ204" i="1" s="1"/>
  <c r="BJ196" i="1" s="1"/>
  <c r="BJ273" i="1"/>
  <c r="E77" i="198"/>
  <c r="F33" i="198"/>
  <c r="I34" i="198"/>
  <c r="E35" i="198"/>
  <c r="F34" i="198"/>
  <c r="AI1369" i="1"/>
  <c r="AI55" i="1"/>
  <c r="AD25" i="1"/>
  <c r="AD55" i="1"/>
  <c r="AP1383" i="1"/>
  <c r="H34" i="198"/>
  <c r="F68" i="198"/>
  <c r="F87" i="198" s="1"/>
  <c r="F35" i="198"/>
  <c r="H10" i="198"/>
  <c r="F10" i="198"/>
  <c r="H53" i="198"/>
  <c r="I54" i="198" s="1"/>
  <c r="H77" i="198"/>
  <c r="I10" i="198"/>
  <c r="AH1369" i="1"/>
  <c r="AH25" i="1"/>
  <c r="E33" i="198"/>
  <c r="D53" i="198"/>
  <c r="D35" i="198"/>
  <c r="D33" i="198"/>
  <c r="H68" i="198"/>
  <c r="H87" i="198" s="1"/>
  <c r="V8" i="292" s="1"/>
  <c r="D60" i="198"/>
  <c r="D63" i="198" s="1"/>
  <c r="D68" i="198" s="1"/>
  <c r="D73" i="198" s="1"/>
  <c r="D34" i="198"/>
  <c r="F61" i="198"/>
  <c r="D77" i="198"/>
  <c r="G77" i="198"/>
  <c r="G34" i="198"/>
  <c r="H35" i="198"/>
  <c r="H33" i="198"/>
  <c r="G35" i="198"/>
  <c r="G33" i="198"/>
  <c r="G53" i="198"/>
  <c r="I61" i="198"/>
  <c r="AQ419" i="1"/>
  <c r="BP418" i="1"/>
  <c r="BP419" i="1" s="1"/>
  <c r="AP437" i="1"/>
  <c r="AP438" i="1" s="1"/>
  <c r="I35" i="198"/>
  <c r="AP1385" i="1"/>
  <c r="AQ1406" i="1"/>
  <c r="AQ1407" i="1" s="1"/>
  <c r="AQ1385" i="1" s="1"/>
  <c r="AQ1409" i="1"/>
  <c r="AQ1410" i="1" s="1"/>
  <c r="AQ1386" i="1" s="1"/>
  <c r="AP1386" i="1"/>
  <c r="AQ1403" i="1"/>
  <c r="AQ1404" i="1" s="1"/>
  <c r="AQ1384" i="1" s="1"/>
  <c r="AP1384" i="1"/>
  <c r="Z111" i="519"/>
  <c r="Z144" i="519" s="1"/>
  <c r="AA33" i="519" s="1"/>
  <c r="I33" i="198"/>
  <c r="I77" i="198"/>
  <c r="AH306" i="1"/>
  <c r="AF9" i="267"/>
  <c r="X11" i="313" s="1"/>
  <c r="X9" i="267"/>
  <c r="BN14" i="1"/>
  <c r="AI306" i="1"/>
  <c r="AG9" i="267"/>
  <c r="Y11" i="313" s="1"/>
  <c r="Y9" i="267"/>
  <c r="BJ14" i="1"/>
  <c r="BJ249" i="1"/>
  <c r="BJ15" i="1" s="1"/>
  <c r="Q9" i="267"/>
  <c r="Q11" i="313" s="1"/>
  <c r="K9" i="267"/>
  <c r="K11" i="313" s="1"/>
  <c r="Y105" i="1"/>
  <c r="AC105" i="1"/>
  <c r="AG119" i="1"/>
  <c r="P9" i="267"/>
  <c r="P11" i="313" s="1"/>
  <c r="V1369" i="1"/>
  <c r="J9" i="267"/>
  <c r="J11" i="313" s="1"/>
  <c r="BN1190" i="1"/>
  <c r="BN1193" i="1" s="1"/>
  <c r="BN118" i="1"/>
  <c r="BN124" i="1"/>
  <c r="T1420" i="1"/>
  <c r="S1424" i="1" s="1"/>
  <c r="BF88" i="298"/>
  <c r="BF89" i="298" s="1"/>
  <c r="L9" i="267"/>
  <c r="L11" i="313" s="1"/>
  <c r="BN305" i="1"/>
  <c r="T1369" i="1"/>
  <c r="T306" i="1"/>
  <c r="V1420" i="1"/>
  <c r="V1428" i="1" s="1"/>
  <c r="V306" i="1"/>
  <c r="U1420" i="1"/>
  <c r="T1424" i="1" s="1"/>
  <c r="AA1420" i="1"/>
  <c r="Z1424" i="1" s="1"/>
  <c r="AA1369" i="1"/>
  <c r="AA306" i="1"/>
  <c r="H64" i="198"/>
  <c r="BL14" i="1"/>
  <c r="BL171" i="1" s="1"/>
  <c r="N9" i="267"/>
  <c r="N11" i="313" s="1"/>
  <c r="X1420" i="1"/>
  <c r="X1369" i="1"/>
  <c r="X306" i="1"/>
  <c r="H88" i="198"/>
  <c r="V9" i="292" s="1"/>
  <c r="Y306" i="1"/>
  <c r="Z306" i="1"/>
  <c r="Z1420" i="1"/>
  <c r="Y1424" i="1" s="1"/>
  <c r="Z1369" i="1"/>
  <c r="I64" i="198"/>
  <c r="BK14" i="1"/>
  <c r="G68" i="198"/>
  <c r="Z1401" i="1"/>
  <c r="Z1383" i="1" s="1"/>
  <c r="Z1404" i="1"/>
  <c r="Z1384" i="1" s="1"/>
  <c r="Z1407" i="1"/>
  <c r="Z1385" i="1" s="1"/>
  <c r="Z1410" i="1"/>
  <c r="Z1386" i="1" s="1"/>
  <c r="Z1413" i="1"/>
  <c r="Z1387" i="1" s="1"/>
  <c r="BO255" i="1"/>
  <c r="Y1369" i="1"/>
  <c r="Y1420" i="1"/>
  <c r="Z32" i="198"/>
  <c r="AA26" i="198"/>
  <c r="AA27" i="198" s="1"/>
  <c r="O9" i="267"/>
  <c r="O11" i="313" s="1"/>
  <c r="BM65" i="1"/>
  <c r="H16" i="198"/>
  <c r="H27" i="198" s="1"/>
  <c r="U306" i="1"/>
  <c r="U1369" i="1"/>
  <c r="AM262" i="1"/>
  <c r="G71" i="292"/>
  <c r="H70" i="292"/>
  <c r="G70" i="292"/>
  <c r="G63" i="3"/>
  <c r="G70" i="3" s="1"/>
  <c r="G97" i="3" s="1"/>
  <c r="U1398" i="1"/>
  <c r="U1397" i="1" s="1"/>
  <c r="M37" i="3"/>
  <c r="M55" i="3"/>
  <c r="M56" i="3" s="1"/>
  <c r="O9" i="3"/>
  <c r="N36" i="3"/>
  <c r="O1363" i="1"/>
  <c r="O1359" i="1"/>
  <c r="O1368" i="1" s="1"/>
  <c r="R1378" i="1"/>
  <c r="Q1357" i="1"/>
  <c r="Q1366" i="1" s="1"/>
  <c r="Q1355" i="1"/>
  <c r="Q1364" i="1" s="1"/>
  <c r="R1376" i="1"/>
  <c r="D122" i="292"/>
  <c r="E123" i="292"/>
  <c r="J14" i="292"/>
  <c r="K14" i="292" s="1"/>
  <c r="L14" i="292" s="1"/>
  <c r="M14" i="292" s="1"/>
  <c r="N14" i="292" s="1"/>
  <c r="O14" i="292" s="1"/>
  <c r="P14" i="292" s="1"/>
  <c r="Q14" i="292" s="1"/>
  <c r="R14" i="292" s="1"/>
  <c r="S14" i="292" s="1"/>
  <c r="I9" i="292"/>
  <c r="P1354" i="1"/>
  <c r="Q1375" i="1"/>
  <c r="P1379" i="1"/>
  <c r="P1358" i="1" s="1"/>
  <c r="P1367" i="1" s="1"/>
  <c r="G9" i="267"/>
  <c r="G11" i="313" s="1"/>
  <c r="Q1369" i="1"/>
  <c r="Q306" i="1"/>
  <c r="Q1420" i="1"/>
  <c r="AS58" i="468"/>
  <c r="AS35" i="468" s="1"/>
  <c r="AS40" i="468" s="1"/>
  <c r="AS98" i="468"/>
  <c r="AS45" i="468"/>
  <c r="BZ25" i="468"/>
  <c r="BY10" i="468"/>
  <c r="T9" i="267"/>
  <c r="T11" i="313" s="1"/>
  <c r="AD306" i="1"/>
  <c r="AD1369" i="1"/>
  <c r="AD1420" i="1"/>
  <c r="BM14" i="1"/>
  <c r="BM171" i="1" s="1"/>
  <c r="J19" i="3"/>
  <c r="J51" i="3"/>
  <c r="J44" i="3"/>
  <c r="J32" i="3"/>
  <c r="J18" i="3"/>
  <c r="J65" i="3"/>
  <c r="J48" i="3" s="1"/>
  <c r="K17" i="3"/>
  <c r="S1377" i="1"/>
  <c r="R1356" i="1"/>
  <c r="R1365" i="1" s="1"/>
  <c r="I68" i="198"/>
  <c r="I73" i="198" s="1"/>
  <c r="BJ305" i="1"/>
  <c r="F88" i="198"/>
  <c r="F131" i="198" s="1"/>
  <c r="BO281" i="1"/>
  <c r="BO264" i="1"/>
  <c r="T1374" i="1"/>
  <c r="S1353" i="1"/>
  <c r="F9" i="267"/>
  <c r="F11" i="313" s="1"/>
  <c r="P1420" i="1"/>
  <c r="P1369" i="1"/>
  <c r="P306" i="1"/>
  <c r="R46" i="292"/>
  <c r="I9" i="267"/>
  <c r="I11" i="313" s="1"/>
  <c r="S1420" i="1"/>
  <c r="S1369" i="1"/>
  <c r="S306" i="1"/>
  <c r="U145" i="1"/>
  <c r="U146" i="1" s="1"/>
  <c r="T146" i="1"/>
  <c r="I88" i="198"/>
  <c r="V1424" i="1"/>
  <c r="G64" i="198"/>
  <c r="G88" i="198"/>
  <c r="G131" i="198" s="1"/>
  <c r="I46" i="3"/>
  <c r="I45" i="3"/>
  <c r="I59" i="3"/>
  <c r="R1362" i="1"/>
  <c r="H59" i="3"/>
  <c r="AT58" i="468"/>
  <c r="AT45" i="468"/>
  <c r="AT98" i="468"/>
  <c r="I34" i="3"/>
  <c r="I33" i="3"/>
  <c r="J98" i="51"/>
  <c r="BI14" i="1"/>
  <c r="AU20" i="468"/>
  <c r="BF560" i="298"/>
  <c r="BF558" i="298"/>
  <c r="Q64" i="292"/>
  <c r="BP212" i="1" l="1"/>
  <c r="BP193" i="1"/>
  <c r="BK55" i="1"/>
  <c r="F19" i="523" s="1"/>
  <c r="BK171" i="1"/>
  <c r="E10" i="523"/>
  <c r="BJ178" i="1"/>
  <c r="BI15" i="1"/>
  <c r="D10" i="198" s="1"/>
  <c r="BI171" i="1"/>
  <c r="BJ55" i="1"/>
  <c r="E19" i="523" s="1"/>
  <c r="BJ171" i="1"/>
  <c r="BN55" i="1"/>
  <c r="I19" i="523" s="1"/>
  <c r="BN171" i="1"/>
  <c r="AN1407" i="1"/>
  <c r="AN1385" i="1" s="1"/>
  <c r="AN1401" i="1"/>
  <c r="AN1383" i="1" s="1"/>
  <c r="AN1410" i="1"/>
  <c r="AN1386" i="1" s="1"/>
  <c r="AN1404" i="1"/>
  <c r="AN1384" i="1" s="1"/>
  <c r="AN1413" i="1"/>
  <c r="AN1387" i="1" s="1"/>
  <c r="AO1397" i="1"/>
  <c r="I47" i="503"/>
  <c r="I48" i="503"/>
  <c r="I56" i="504"/>
  <c r="I55" i="504"/>
  <c r="I56" i="503"/>
  <c r="I55" i="503"/>
  <c r="I48" i="504"/>
  <c r="I47" i="504"/>
  <c r="E10" i="503"/>
  <c r="E10" i="504"/>
  <c r="BO230" i="1"/>
  <c r="BO1332" i="1"/>
  <c r="Z34" i="198"/>
  <c r="AA34" i="198" s="1"/>
  <c r="AA32" i="198" s="1"/>
  <c r="AA33" i="198" s="1"/>
  <c r="F46" i="198"/>
  <c r="F64" i="198"/>
  <c r="E132" i="198"/>
  <c r="H46" i="198"/>
  <c r="H47" i="198"/>
  <c r="G46" i="198"/>
  <c r="G47" i="198"/>
  <c r="E46" i="198"/>
  <c r="E47" i="198"/>
  <c r="I46" i="198"/>
  <c r="E68" i="198"/>
  <c r="E87" i="198" s="1"/>
  <c r="F54" i="198"/>
  <c r="E54" i="198"/>
  <c r="F73" i="198"/>
  <c r="G69" i="198"/>
  <c r="BI55" i="1"/>
  <c r="D19" i="523" s="1"/>
  <c r="BM55" i="1"/>
  <c r="H19" i="523" s="1"/>
  <c r="BL15" i="1"/>
  <c r="BL55" i="1"/>
  <c r="G19" i="523" s="1"/>
  <c r="AQ1400" i="1"/>
  <c r="AQ1401" i="1" s="1"/>
  <c r="AQ1383" i="1" s="1"/>
  <c r="H54" i="198"/>
  <c r="H55" i="198"/>
  <c r="D55" i="198"/>
  <c r="D54" i="198"/>
  <c r="H73" i="198"/>
  <c r="D88" i="198"/>
  <c r="D131" i="198" s="1"/>
  <c r="D132" i="198" s="1"/>
  <c r="D64" i="198"/>
  <c r="E10" i="198"/>
  <c r="E64" i="198"/>
  <c r="G54" i="198"/>
  <c r="G55" i="198"/>
  <c r="AP440" i="1"/>
  <c r="BP223" i="1"/>
  <c r="BP230" i="1" s="1"/>
  <c r="AA111" i="519"/>
  <c r="AA144" i="519" s="1"/>
  <c r="AB33" i="519" s="1"/>
  <c r="BN306" i="1"/>
  <c r="BJ306" i="1"/>
  <c r="BN119" i="1"/>
  <c r="AG105" i="1"/>
  <c r="H131" i="198"/>
  <c r="G132" i="198" s="1"/>
  <c r="U1428" i="1"/>
  <c r="Y1428" i="1"/>
  <c r="AE1428" i="1"/>
  <c r="AA1428" i="1"/>
  <c r="BL306" i="1"/>
  <c r="U1424" i="1"/>
  <c r="Z1428" i="1"/>
  <c r="H69" i="198"/>
  <c r="BK306" i="1"/>
  <c r="C87" i="198"/>
  <c r="C131" i="198" s="1"/>
  <c r="G71" i="3"/>
  <c r="G77" i="3" s="1"/>
  <c r="G73" i="198"/>
  <c r="G88" i="3"/>
  <c r="G87" i="198"/>
  <c r="AB1428" i="1"/>
  <c r="W1424" i="1"/>
  <c r="X1428" i="1"/>
  <c r="AC1428" i="1"/>
  <c r="X1424" i="1"/>
  <c r="Y1401" i="1"/>
  <c r="Y1383" i="1" s="1"/>
  <c r="Y1404" i="1"/>
  <c r="Y1384" i="1" s="1"/>
  <c r="Y1407" i="1"/>
  <c r="Y1385" i="1" s="1"/>
  <c r="Y1410" i="1"/>
  <c r="Y1386" i="1" s="1"/>
  <c r="Y1413" i="1"/>
  <c r="Y1387" i="1" s="1"/>
  <c r="D87" i="198"/>
  <c r="D69" i="198"/>
  <c r="BO279" i="1"/>
  <c r="BO262" i="1"/>
  <c r="T1398" i="1"/>
  <c r="T1397" i="1" s="1"/>
  <c r="BO437" i="1"/>
  <c r="BO432" i="1" s="1"/>
  <c r="AT59" i="468"/>
  <c r="AT34" i="468"/>
  <c r="AT36" i="468"/>
  <c r="S46" i="292"/>
  <c r="T1353" i="1"/>
  <c r="U1374" i="1"/>
  <c r="AC1424" i="1"/>
  <c r="AD1428" i="1"/>
  <c r="BM306" i="1"/>
  <c r="BY45" i="468"/>
  <c r="BY61" i="468" s="1"/>
  <c r="BY58" i="468"/>
  <c r="BY59" i="468" s="1"/>
  <c r="BY60" i="468" s="1"/>
  <c r="BI306" i="1"/>
  <c r="F132" i="198"/>
  <c r="I69" i="198"/>
  <c r="BF93" i="298"/>
  <c r="I87" i="198"/>
  <c r="V12" i="292" s="1"/>
  <c r="H60" i="3"/>
  <c r="H63" i="3"/>
  <c r="H70" i="3" s="1"/>
  <c r="AS50" i="468"/>
  <c r="AS61" i="468"/>
  <c r="AS49" i="468"/>
  <c r="AS51" i="468"/>
  <c r="AT55" i="468"/>
  <c r="AS55" i="468"/>
  <c r="P9" i="3"/>
  <c r="O36" i="3"/>
  <c r="S1428" i="1"/>
  <c r="R1424" i="1"/>
  <c r="S1356" i="1"/>
  <c r="S1365" i="1" s="1"/>
  <c r="T1377" i="1"/>
  <c r="AS101" i="468"/>
  <c r="AS109" i="468"/>
  <c r="BZ99" i="468"/>
  <c r="BY98" i="468"/>
  <c r="BY109" i="468" s="1"/>
  <c r="BY110" i="468" s="1"/>
  <c r="N37" i="3"/>
  <c r="N55" i="3"/>
  <c r="N56" i="3" s="1"/>
  <c r="K19" i="3"/>
  <c r="K18" i="3"/>
  <c r="K32" i="3"/>
  <c r="K51" i="3"/>
  <c r="K44" i="3"/>
  <c r="K65" i="3"/>
  <c r="K48" i="3" s="1"/>
  <c r="L17" i="3"/>
  <c r="C107" i="292"/>
  <c r="C130" i="292" s="1"/>
  <c r="E108" i="292"/>
  <c r="E130" i="292" s="1"/>
  <c r="G110" i="292"/>
  <c r="H107" i="292"/>
  <c r="W8" i="292" s="1"/>
  <c r="H108" i="292"/>
  <c r="F107" i="292"/>
  <c r="G107" i="292"/>
  <c r="D108" i="292"/>
  <c r="D130" i="292" s="1"/>
  <c r="F108" i="292"/>
  <c r="F130" i="292" s="1"/>
  <c r="G108" i="292"/>
  <c r="G130" i="292" s="1"/>
  <c r="D107" i="292"/>
  <c r="H117" i="292"/>
  <c r="E107" i="292"/>
  <c r="D124" i="292"/>
  <c r="W1428" i="1"/>
  <c r="R1355" i="1"/>
  <c r="R1364" i="1" s="1"/>
  <c r="S1376" i="1"/>
  <c r="I63" i="3"/>
  <c r="I70" i="3" s="1"/>
  <c r="I60" i="3"/>
  <c r="AS34" i="468"/>
  <c r="AS39" i="468" s="1"/>
  <c r="AS59" i="468"/>
  <c r="AS36" i="468"/>
  <c r="AS41" i="468" s="1"/>
  <c r="Q1354" i="1"/>
  <c r="R1375" i="1"/>
  <c r="Q1379" i="1"/>
  <c r="Q1358" i="1" s="1"/>
  <c r="Q1367" i="1" s="1"/>
  <c r="R64" i="292"/>
  <c r="P1428" i="1"/>
  <c r="T1428" i="1"/>
  <c r="J34" i="3"/>
  <c r="J33" i="3"/>
  <c r="P1363" i="1"/>
  <c r="P1359" i="1"/>
  <c r="P1368" i="1" s="1"/>
  <c r="J59" i="3"/>
  <c r="J45" i="3"/>
  <c r="J46" i="3"/>
  <c r="P1424" i="1"/>
  <c r="Q1428" i="1"/>
  <c r="J9" i="292"/>
  <c r="I19" i="292"/>
  <c r="I41" i="292"/>
  <c r="I82" i="292" s="1"/>
  <c r="I59" i="292"/>
  <c r="I83" i="292" s="1"/>
  <c r="I91" i="292"/>
  <c r="R1357" i="1"/>
  <c r="R1366" i="1" s="1"/>
  <c r="S1378" i="1"/>
  <c r="AU58" i="468"/>
  <c r="AU45" i="468"/>
  <c r="AU98" i="468"/>
  <c r="BO645" i="1"/>
  <c r="BO655" i="1" s="1"/>
  <c r="BO663" i="1" s="1"/>
  <c r="AT35" i="468"/>
  <c r="AT40" i="468" s="1"/>
  <c r="S1362" i="1"/>
  <c r="AT101" i="468"/>
  <c r="AT109" i="468"/>
  <c r="V13" i="292"/>
  <c r="I131" i="198"/>
  <c r="AT49" i="468"/>
  <c r="AT50" i="468"/>
  <c r="AT61" i="468"/>
  <c r="AT51" i="468"/>
  <c r="F19" i="504" l="1"/>
  <c r="F19" i="198"/>
  <c r="I19" i="198"/>
  <c r="F19" i="503"/>
  <c r="I19" i="504"/>
  <c r="I19" i="503"/>
  <c r="E19" i="198"/>
  <c r="E19" i="503"/>
  <c r="D10" i="503"/>
  <c r="E19" i="504"/>
  <c r="D10" i="523"/>
  <c r="BI178" i="1"/>
  <c r="D10" i="504"/>
  <c r="G10" i="523"/>
  <c r="BL178" i="1"/>
  <c r="AO1413" i="1"/>
  <c r="AO1387" i="1" s="1"/>
  <c r="AO1410" i="1"/>
  <c r="AO1386" i="1" s="1"/>
  <c r="AO1407" i="1"/>
  <c r="AO1385" i="1" s="1"/>
  <c r="AO1404" i="1"/>
  <c r="AO1384" i="1" s="1"/>
  <c r="AO1401" i="1"/>
  <c r="AO1383" i="1" s="1"/>
  <c r="D19" i="503"/>
  <c r="D19" i="504"/>
  <c r="G19" i="503"/>
  <c r="G19" i="504"/>
  <c r="H19" i="503"/>
  <c r="H19" i="504"/>
  <c r="BO435" i="1"/>
  <c r="BO433" i="1"/>
  <c r="BO1338" i="1"/>
  <c r="BO1344" i="1" s="1"/>
  <c r="G10" i="503"/>
  <c r="G10" i="504"/>
  <c r="E69" i="198"/>
  <c r="F69" i="198"/>
  <c r="E73" i="198"/>
  <c r="G10" i="198"/>
  <c r="H19" i="198"/>
  <c r="D19" i="198"/>
  <c r="G19" i="198"/>
  <c r="AQ437" i="1"/>
  <c r="BP255" i="1"/>
  <c r="AU55" i="468"/>
  <c r="AU35" i="468"/>
  <c r="AP1387" i="1"/>
  <c r="AQ1412" i="1"/>
  <c r="AQ1413" i="1" s="1"/>
  <c r="AQ1387" i="1" s="1"/>
  <c r="AB111" i="519"/>
  <c r="AB144" i="519" s="1"/>
  <c r="AC33" i="519" s="1"/>
  <c r="BN105" i="1"/>
  <c r="H71" i="3"/>
  <c r="H78" i="3" s="1"/>
  <c r="G76" i="3"/>
  <c r="G75" i="3"/>
  <c r="G78" i="3"/>
  <c r="G72" i="3"/>
  <c r="X1401" i="1"/>
  <c r="X1383" i="1" s="1"/>
  <c r="X1404" i="1"/>
  <c r="X1384" i="1" s="1"/>
  <c r="X1407" i="1"/>
  <c r="X1385" i="1" s="1"/>
  <c r="X1410" i="1"/>
  <c r="X1386" i="1" s="1"/>
  <c r="X1413" i="1"/>
  <c r="X1387" i="1" s="1"/>
  <c r="BO440" i="1"/>
  <c r="BO438" i="1"/>
  <c r="S1398" i="1"/>
  <c r="S1397" i="1" s="1"/>
  <c r="E131" i="292"/>
  <c r="AT41" i="468"/>
  <c r="S64" i="292"/>
  <c r="AU109" i="468"/>
  <c r="AU101" i="468"/>
  <c r="J60" i="3"/>
  <c r="J63" i="3"/>
  <c r="J70" i="3" s="1"/>
  <c r="AU50" i="468"/>
  <c r="AU49" i="468"/>
  <c r="AU51" i="468"/>
  <c r="AU61" i="468"/>
  <c r="K9" i="292"/>
  <c r="J41" i="292"/>
  <c r="J82" i="292" s="1"/>
  <c r="J59" i="292"/>
  <c r="J83" i="292" s="1"/>
  <c r="J91" i="292"/>
  <c r="AU59" i="468"/>
  <c r="AU36" i="468"/>
  <c r="AU34" i="468"/>
  <c r="L44" i="3"/>
  <c r="L18" i="3"/>
  <c r="L19" i="3"/>
  <c r="L51" i="3"/>
  <c r="L32" i="3"/>
  <c r="L65" i="3"/>
  <c r="L48" i="3" s="1"/>
  <c r="M17" i="3"/>
  <c r="U1353" i="1"/>
  <c r="V1374" i="1"/>
  <c r="T1362" i="1"/>
  <c r="H132" i="198"/>
  <c r="K46" i="3"/>
  <c r="K45" i="3"/>
  <c r="K59" i="3"/>
  <c r="AS110" i="468"/>
  <c r="H97" i="3"/>
  <c r="H88" i="3"/>
  <c r="S1357" i="1"/>
  <c r="S1366" i="1" s="1"/>
  <c r="T1378" i="1"/>
  <c r="T1376" i="1"/>
  <c r="S1355" i="1"/>
  <c r="S1364" i="1" s="1"/>
  <c r="F131" i="292"/>
  <c r="W9" i="292"/>
  <c r="H130" i="292"/>
  <c r="O37" i="3"/>
  <c r="O55" i="3"/>
  <c r="O56" i="3" s="1"/>
  <c r="I88" i="3"/>
  <c r="I97" i="3"/>
  <c r="R1354" i="1"/>
  <c r="S1375" i="1"/>
  <c r="R1379" i="1"/>
  <c r="R1358" i="1" s="1"/>
  <c r="R1367" i="1" s="1"/>
  <c r="Q1363" i="1"/>
  <c r="Q1359" i="1"/>
  <c r="Q1368" i="1" s="1"/>
  <c r="D131" i="292"/>
  <c r="K34" i="3"/>
  <c r="K33" i="3"/>
  <c r="T1356" i="1"/>
  <c r="T1365" i="1" s="1"/>
  <c r="U1377" i="1"/>
  <c r="Q9" i="3"/>
  <c r="P36" i="3"/>
  <c r="AT110" i="468"/>
  <c r="AG93" i="298"/>
  <c r="AG94" i="298" s="1"/>
  <c r="AH93" i="298"/>
  <c r="AH94" i="298" s="1"/>
  <c r="AH97" i="298" s="1"/>
  <c r="AI93" i="298"/>
  <c r="AI94" i="298" s="1"/>
  <c r="AI97" i="298" s="1"/>
  <c r="AT39" i="468"/>
  <c r="J19" i="292"/>
  <c r="I51" i="292"/>
  <c r="I24" i="292"/>
  <c r="I29" i="292"/>
  <c r="E124" i="292"/>
  <c r="H106" i="292"/>
  <c r="W7" i="292" s="1"/>
  <c r="BP262" i="1" l="1"/>
  <c r="BP279" i="1"/>
  <c r="AQ440" i="1"/>
  <c r="AQ438" i="1"/>
  <c r="BP437" i="1"/>
  <c r="AU40" i="468"/>
  <c r="AU41" i="468"/>
  <c r="AU39" i="468"/>
  <c r="AC111" i="519"/>
  <c r="AC144" i="519" s="1"/>
  <c r="AD33" i="519" s="1"/>
  <c r="H76" i="3"/>
  <c r="H75" i="3"/>
  <c r="H77" i="3"/>
  <c r="I71" i="3"/>
  <c r="I72" i="3" s="1"/>
  <c r="H72" i="3"/>
  <c r="W1401" i="1"/>
  <c r="W1383" i="1" s="1"/>
  <c r="W1404" i="1"/>
  <c r="W1384" i="1" s="1"/>
  <c r="W1407" i="1"/>
  <c r="W1385" i="1" s="1"/>
  <c r="W1410" i="1"/>
  <c r="W1386" i="1" s="1"/>
  <c r="W1413" i="1"/>
  <c r="W1387" i="1" s="1"/>
  <c r="R1398" i="1"/>
  <c r="R1397" i="1" s="1"/>
  <c r="T1355" i="1"/>
  <c r="T1364" i="1" s="1"/>
  <c r="U1376" i="1"/>
  <c r="W1374" i="1"/>
  <c r="V1353" i="1"/>
  <c r="Q36" i="3"/>
  <c r="T1357" i="1"/>
  <c r="T1366" i="1" s="1"/>
  <c r="U1378" i="1"/>
  <c r="U1362" i="1"/>
  <c r="L45" i="3"/>
  <c r="L46" i="3"/>
  <c r="L59" i="3"/>
  <c r="AG108" i="298"/>
  <c r="AG97" i="298"/>
  <c r="BF97" i="298" s="1"/>
  <c r="BF94" i="298"/>
  <c r="S1354" i="1"/>
  <c r="T1375" i="1"/>
  <c r="S1379" i="1"/>
  <c r="S1358" i="1" s="1"/>
  <c r="S1367" i="1" s="1"/>
  <c r="L9" i="292"/>
  <c r="K41" i="292"/>
  <c r="K82" i="292" s="1"/>
  <c r="K59" i="292"/>
  <c r="K83" i="292" s="1"/>
  <c r="K91" i="292"/>
  <c r="I97" i="292"/>
  <c r="I76" i="292"/>
  <c r="I79" i="292" s="1"/>
  <c r="I52" i="292"/>
  <c r="I69" i="292"/>
  <c r="I54" i="292"/>
  <c r="I53" i="292"/>
  <c r="R1363" i="1"/>
  <c r="R1359" i="1"/>
  <c r="R1368" i="1" s="1"/>
  <c r="J88" i="3"/>
  <c r="J97" i="3"/>
  <c r="J29" i="292"/>
  <c r="J24" i="292"/>
  <c r="J51" i="292"/>
  <c r="K19" i="292"/>
  <c r="K63" i="3"/>
  <c r="K70" i="3" s="1"/>
  <c r="K60" i="3"/>
  <c r="M19" i="3"/>
  <c r="M44" i="3"/>
  <c r="M18" i="3"/>
  <c r="M51" i="3"/>
  <c r="M32" i="3"/>
  <c r="M65" i="3"/>
  <c r="M48" i="3" s="1"/>
  <c r="N17" i="3"/>
  <c r="P37" i="3"/>
  <c r="P55" i="3"/>
  <c r="P56" i="3" s="1"/>
  <c r="L33" i="3"/>
  <c r="L34" i="3"/>
  <c r="AU110" i="468"/>
  <c r="G131" i="292"/>
  <c r="U1356" i="1"/>
  <c r="U1365" i="1" s="1"/>
  <c r="V1377" i="1"/>
  <c r="BP440" i="1" l="1"/>
  <c r="BP438" i="1"/>
  <c r="AD111" i="519"/>
  <c r="AD144" i="519" s="1"/>
  <c r="AE33" i="519" s="1"/>
  <c r="I75" i="3"/>
  <c r="I76" i="3"/>
  <c r="I78" i="3"/>
  <c r="I77" i="3"/>
  <c r="J71" i="3"/>
  <c r="J75" i="3" s="1"/>
  <c r="V1401" i="1"/>
  <c r="V1383" i="1" s="1"/>
  <c r="V1404" i="1"/>
  <c r="V1384" i="1" s="1"/>
  <c r="V1407" i="1"/>
  <c r="V1385" i="1" s="1"/>
  <c r="V1410" i="1"/>
  <c r="V1386" i="1" s="1"/>
  <c r="V1413" i="1"/>
  <c r="V1387" i="1" s="1"/>
  <c r="Q1398" i="1"/>
  <c r="Q1397" i="1" s="1"/>
  <c r="Q37" i="3"/>
  <c r="Q55" i="3"/>
  <c r="Q56" i="3" s="1"/>
  <c r="N19" i="3"/>
  <c r="N32" i="3"/>
  <c r="N44" i="3"/>
  <c r="N18" i="3"/>
  <c r="N51" i="3"/>
  <c r="N65" i="3"/>
  <c r="N48" i="3" s="1"/>
  <c r="O17" i="3"/>
  <c r="M33" i="3"/>
  <c r="M34" i="3"/>
  <c r="M9" i="292"/>
  <c r="L41" i="292"/>
  <c r="L82" i="292" s="1"/>
  <c r="L91" i="292"/>
  <c r="L59" i="292"/>
  <c r="L83" i="292" s="1"/>
  <c r="X1374" i="1"/>
  <c r="W1353" i="1"/>
  <c r="T1354" i="1"/>
  <c r="U1375" i="1"/>
  <c r="T1379" i="1"/>
  <c r="T1358" i="1" s="1"/>
  <c r="T1367" i="1" s="1"/>
  <c r="S1363" i="1"/>
  <c r="S1359" i="1"/>
  <c r="S1368" i="1" s="1"/>
  <c r="M45" i="3"/>
  <c r="M59" i="3"/>
  <c r="M46" i="3"/>
  <c r="U1357" i="1"/>
  <c r="U1366" i="1" s="1"/>
  <c r="V1378" i="1"/>
  <c r="K97" i="3"/>
  <c r="V1356" i="1"/>
  <c r="V1365" i="1" s="1"/>
  <c r="W1377" i="1"/>
  <c r="I70" i="292"/>
  <c r="I71" i="292"/>
  <c r="K51" i="292"/>
  <c r="K29" i="292"/>
  <c r="K24" i="292"/>
  <c r="L19" i="292"/>
  <c r="J53" i="292"/>
  <c r="J54" i="292"/>
  <c r="J52" i="292"/>
  <c r="J69" i="292"/>
  <c r="J97" i="292"/>
  <c r="J76" i="292"/>
  <c r="J79" i="292" s="1"/>
  <c r="I80" i="292"/>
  <c r="I84" i="292"/>
  <c r="AH108" i="298"/>
  <c r="AG109" i="298"/>
  <c r="L60" i="3"/>
  <c r="L63" i="3"/>
  <c r="L70" i="3" s="1"/>
  <c r="L97" i="3" s="1"/>
  <c r="K86" i="3"/>
  <c r="K88" i="3" s="1"/>
  <c r="D90" i="3" s="1"/>
  <c r="U1355" i="1"/>
  <c r="U1364" i="1" s="1"/>
  <c r="V1376" i="1"/>
  <c r="V1362" i="1"/>
  <c r="K71" i="3" l="1"/>
  <c r="K75" i="3" s="1"/>
  <c r="J78" i="3"/>
  <c r="J72" i="3"/>
  <c r="AE111" i="519"/>
  <c r="AE144" i="519" s="1"/>
  <c r="AF33" i="519" s="1"/>
  <c r="J77" i="3"/>
  <c r="J76" i="3"/>
  <c r="U1401" i="1"/>
  <c r="U1383" i="1" s="1"/>
  <c r="U1404" i="1"/>
  <c r="U1384" i="1" s="1"/>
  <c r="U1407" i="1"/>
  <c r="U1385" i="1" s="1"/>
  <c r="U1410" i="1"/>
  <c r="U1386" i="1" s="1"/>
  <c r="U1413" i="1"/>
  <c r="U1387" i="1" s="1"/>
  <c r="P1398" i="1"/>
  <c r="P1397" i="1" s="1"/>
  <c r="AL231" i="1"/>
  <c r="U1354" i="1"/>
  <c r="V1375" i="1"/>
  <c r="U1379" i="1"/>
  <c r="U1358" i="1" s="1"/>
  <c r="U1367" i="1" s="1"/>
  <c r="N9" i="292"/>
  <c r="M91" i="292"/>
  <c r="M41" i="292"/>
  <c r="M82" i="292" s="1"/>
  <c r="M59" i="292"/>
  <c r="M83" i="292" s="1"/>
  <c r="J80" i="292"/>
  <c r="J84" i="292"/>
  <c r="T1363" i="1"/>
  <c r="T1359" i="1"/>
  <c r="T1368" i="1" s="1"/>
  <c r="V1355" i="1"/>
  <c r="V1364" i="1" s="1"/>
  <c r="W1376" i="1"/>
  <c r="AK231" i="1"/>
  <c r="AK227" i="1"/>
  <c r="O19" i="3"/>
  <c r="O32" i="3"/>
  <c r="O44" i="3"/>
  <c r="O18" i="3"/>
  <c r="O51" i="3"/>
  <c r="O65" i="3"/>
  <c r="P17" i="3"/>
  <c r="W1362" i="1"/>
  <c r="J70" i="292"/>
  <c r="J71" i="292"/>
  <c r="X1377" i="1"/>
  <c r="AB1377" i="1" s="1"/>
  <c r="W1356" i="1"/>
  <c r="W1365" i="1" s="1"/>
  <c r="V1357" i="1"/>
  <c r="V1366" i="1" s="1"/>
  <c r="W1378" i="1"/>
  <c r="Y1374" i="1"/>
  <c r="X1353" i="1"/>
  <c r="M19" i="292"/>
  <c r="L29" i="292"/>
  <c r="L51" i="292"/>
  <c r="L24" i="292"/>
  <c r="N46" i="3"/>
  <c r="N59" i="3"/>
  <c r="N45" i="3"/>
  <c r="N34" i="3"/>
  <c r="N33" i="3"/>
  <c r="AI108" i="298"/>
  <c r="AH109" i="298"/>
  <c r="L88" i="3"/>
  <c r="L89" i="3" s="1"/>
  <c r="M63" i="3"/>
  <c r="M70" i="3" s="1"/>
  <c r="M97" i="3" s="1"/>
  <c r="M60" i="3"/>
  <c r="K52" i="292"/>
  <c r="K53" i="292"/>
  <c r="K76" i="292"/>
  <c r="K79" i="292" s="1"/>
  <c r="K69" i="292"/>
  <c r="K54" i="292"/>
  <c r="K97" i="292"/>
  <c r="I92" i="292"/>
  <c r="I100" i="292" s="1"/>
  <c r="I85" i="292"/>
  <c r="AF1377" i="1" l="1"/>
  <c r="AB1356" i="1"/>
  <c r="AK292" i="1"/>
  <c r="AK291" i="1" s="1"/>
  <c r="K78" i="3"/>
  <c r="L71" i="3"/>
  <c r="L77" i="3" s="1"/>
  <c r="K77" i="3"/>
  <c r="K72" i="3"/>
  <c r="K76" i="3"/>
  <c r="AF111" i="519"/>
  <c r="AF144" i="519" s="1"/>
  <c r="AG33" i="519" s="1"/>
  <c r="AG111" i="519" s="1"/>
  <c r="AG144" i="519" s="1"/>
  <c r="AK12" i="1"/>
  <c r="U1388" i="1"/>
  <c r="U1392" i="1" s="1"/>
  <c r="U1393" i="1" s="1"/>
  <c r="U1394" i="1" s="1"/>
  <c r="U1370" i="1" s="1"/>
  <c r="U1371" i="1" s="1"/>
  <c r="T1401" i="1"/>
  <c r="T1383" i="1" s="1"/>
  <c r="T1404" i="1"/>
  <c r="T1384" i="1" s="1"/>
  <c r="T1407" i="1"/>
  <c r="T1385" i="1" s="1"/>
  <c r="T1410" i="1"/>
  <c r="T1386" i="1" s="1"/>
  <c r="T1413" i="1"/>
  <c r="T1387" i="1" s="1"/>
  <c r="O1398" i="1"/>
  <c r="O1397" i="1" s="1"/>
  <c r="AL227" i="1"/>
  <c r="AL292" i="1" s="1"/>
  <c r="BO650" i="1"/>
  <c r="BO660" i="1" s="1"/>
  <c r="BO668" i="1" s="1"/>
  <c r="X1378" i="1"/>
  <c r="W1357" i="1"/>
  <c r="W1366" i="1" s="1"/>
  <c r="O46" i="3"/>
  <c r="O45" i="3"/>
  <c r="X1362" i="1"/>
  <c r="AB1362" i="1"/>
  <c r="K70" i="292"/>
  <c r="K71" i="292"/>
  <c r="O34" i="3"/>
  <c r="O33" i="3"/>
  <c r="Y1377" i="1"/>
  <c r="AC1377" i="1" s="1"/>
  <c r="X1356" i="1"/>
  <c r="J85" i="292"/>
  <c r="J92" i="292"/>
  <c r="J100" i="292" s="1"/>
  <c r="L53" i="292"/>
  <c r="L76" i="292"/>
  <c r="L79" i="292" s="1"/>
  <c r="L52" i="292"/>
  <c r="L69" i="292"/>
  <c r="L54" i="292"/>
  <c r="L97" i="292"/>
  <c r="K80" i="292"/>
  <c r="K84" i="292"/>
  <c r="X1376" i="1"/>
  <c r="AB1376" i="1" s="1"/>
  <c r="W1355" i="1"/>
  <c r="W1364" i="1" s="1"/>
  <c r="N63" i="3"/>
  <c r="N70" i="3" s="1"/>
  <c r="N97" i="3" s="1"/>
  <c r="N60" i="3"/>
  <c r="M29" i="292"/>
  <c r="N19" i="292"/>
  <c r="M51" i="292"/>
  <c r="M24" i="292"/>
  <c r="O48" i="3"/>
  <c r="O59" i="3" s="1"/>
  <c r="AK234" i="1"/>
  <c r="I117" i="292"/>
  <c r="I101" i="292"/>
  <c r="I103" i="292"/>
  <c r="O9" i="292"/>
  <c r="N91" i="292"/>
  <c r="N41" i="292"/>
  <c r="N82" i="292" s="1"/>
  <c r="N59" i="292"/>
  <c r="N83" i="292" s="1"/>
  <c r="Z1374" i="1"/>
  <c r="Y1353" i="1"/>
  <c r="V1354" i="1"/>
  <c r="W1375" i="1"/>
  <c r="V1379" i="1"/>
  <c r="V1358" i="1" s="1"/>
  <c r="V1367" i="1" s="1"/>
  <c r="P32" i="3"/>
  <c r="P19" i="3"/>
  <c r="P44" i="3"/>
  <c r="P51" i="3"/>
  <c r="P18" i="3"/>
  <c r="P65" i="3"/>
  <c r="Q17" i="3"/>
  <c r="U1363" i="1"/>
  <c r="U1359" i="1"/>
  <c r="U1368" i="1" s="1"/>
  <c r="BF108" i="298"/>
  <c r="BF109" i="298" s="1"/>
  <c r="AI109" i="298"/>
  <c r="AK164" i="1" l="1"/>
  <c r="AC54" i="523"/>
  <c r="AC55" i="523" s="1"/>
  <c r="AK963" i="1"/>
  <c r="AF1376" i="1"/>
  <c r="AB1379" i="1"/>
  <c r="AB1358" i="1" s="1"/>
  <c r="AB1355" i="1"/>
  <c r="AG1377" i="1"/>
  <c r="AC1356" i="1"/>
  <c r="AJ1377" i="1"/>
  <c r="AF1356" i="1"/>
  <c r="AF1365" i="1" s="1"/>
  <c r="AK299" i="1"/>
  <c r="AK298" i="1"/>
  <c r="AK102" i="1"/>
  <c r="BT12" i="1"/>
  <c r="BT13" i="1" s="1"/>
  <c r="L76" i="3"/>
  <c r="L78" i="3"/>
  <c r="L72" i="3"/>
  <c r="M71" i="3"/>
  <c r="M75" i="3" s="1"/>
  <c r="L75" i="3"/>
  <c r="AL299" i="1"/>
  <c r="AL291" i="1"/>
  <c r="AL298" i="1" s="1"/>
  <c r="AK1004" i="1"/>
  <c r="AK1022" i="1" s="1"/>
  <c r="AA7" i="267"/>
  <c r="AA8" i="267" s="1"/>
  <c r="AK44" i="1"/>
  <c r="AK47" i="1"/>
  <c r="AK46" i="1"/>
  <c r="AK45" i="1"/>
  <c r="AK1204" i="1"/>
  <c r="AK1203" i="1"/>
  <c r="AK1202" i="1"/>
  <c r="AL234" i="1"/>
  <c r="AL12" i="1"/>
  <c r="V1388" i="1"/>
  <c r="V1392" i="1" s="1"/>
  <c r="V1393" i="1" s="1"/>
  <c r="V1394" i="1" s="1"/>
  <c r="V1370" i="1" s="1"/>
  <c r="V1371" i="1" s="1"/>
  <c r="S1401" i="1"/>
  <c r="S1383" i="1" s="1"/>
  <c r="S1404" i="1"/>
  <c r="S1384" i="1" s="1"/>
  <c r="S1407" i="1"/>
  <c r="S1385" i="1" s="1"/>
  <c r="S1410" i="1"/>
  <c r="S1386" i="1" s="1"/>
  <c r="S1413" i="1"/>
  <c r="S1387" i="1" s="1"/>
  <c r="N1398" i="1"/>
  <c r="N1397" i="1" s="1"/>
  <c r="T1388" i="1"/>
  <c r="T1392" i="1" s="1"/>
  <c r="T1393" i="1" s="1"/>
  <c r="T1394" i="1" s="1"/>
  <c r="T1370" i="1" s="1"/>
  <c r="T1371" i="1" s="1"/>
  <c r="O60" i="3"/>
  <c r="O63" i="3"/>
  <c r="O70" i="3" s="1"/>
  <c r="O97" i="3" s="1"/>
  <c r="P34" i="3"/>
  <c r="P33" i="3"/>
  <c r="X1375" i="1"/>
  <c r="W1354" i="1"/>
  <c r="W1379" i="1"/>
  <c r="W1358" i="1" s="1"/>
  <c r="W1367" i="1" s="1"/>
  <c r="L80" i="292"/>
  <c r="L84" i="292"/>
  <c r="V1363" i="1"/>
  <c r="V1359" i="1"/>
  <c r="V1368" i="1" s="1"/>
  <c r="M53" i="292"/>
  <c r="M54" i="292"/>
  <c r="M76" i="292"/>
  <c r="M79" i="292" s="1"/>
  <c r="M52" i="292"/>
  <c r="M69" i="292"/>
  <c r="M97" i="292"/>
  <c r="L70" i="292"/>
  <c r="L71" i="292"/>
  <c r="P9" i="292"/>
  <c r="O91" i="292"/>
  <c r="O41" i="292"/>
  <c r="O82" i="292" s="1"/>
  <c r="O59" i="292"/>
  <c r="O83" i="292" s="1"/>
  <c r="N51" i="292"/>
  <c r="N29" i="292"/>
  <c r="O19" i="292"/>
  <c r="N24" i="292"/>
  <c r="Y1376" i="1"/>
  <c r="AC1376" i="1" s="1"/>
  <c r="X1355" i="1"/>
  <c r="I104" i="292"/>
  <c r="I108" i="292"/>
  <c r="I107" i="292"/>
  <c r="W12" i="292" s="1"/>
  <c r="I106" i="292"/>
  <c r="W11" i="292" s="1"/>
  <c r="K92" i="292"/>
  <c r="K100" i="292" s="1"/>
  <c r="K85" i="292"/>
  <c r="Q19" i="3"/>
  <c r="Q44" i="3"/>
  <c r="Q32" i="3"/>
  <c r="Q51" i="3"/>
  <c r="Q18" i="3"/>
  <c r="Q65" i="3"/>
  <c r="Q48" i="3" s="1"/>
  <c r="J117" i="292"/>
  <c r="J101" i="292"/>
  <c r="J103" i="292"/>
  <c r="X1357" i="1"/>
  <c r="Y1378" i="1"/>
  <c r="Y1362" i="1"/>
  <c r="AC1362" i="1"/>
  <c r="AB1365" i="1"/>
  <c r="X1365" i="1"/>
  <c r="Z1353" i="1"/>
  <c r="AA1374" i="1"/>
  <c r="E10" i="276"/>
  <c r="AK13" i="1"/>
  <c r="AK19" i="1"/>
  <c r="AK1391" i="1"/>
  <c r="AK1354" i="1"/>
  <c r="AK1363" i="1" s="1"/>
  <c r="AK1058" i="1"/>
  <c r="AK1357" i="1"/>
  <c r="AK1366" i="1" s="1"/>
  <c r="AK1353" i="1"/>
  <c r="BO1420" i="1"/>
  <c r="BO1421" i="1" s="1"/>
  <c r="AC53" i="198"/>
  <c r="AC54" i="198" s="1"/>
  <c r="Y1356" i="1"/>
  <c r="Z1377" i="1"/>
  <c r="AD1377" i="1" s="1"/>
  <c r="P46" i="3"/>
  <c r="P45" i="3"/>
  <c r="P48" i="3"/>
  <c r="P59" i="3" s="1"/>
  <c r="AL963" i="1" l="1"/>
  <c r="AL983" i="1" s="1"/>
  <c r="AL164" i="1"/>
  <c r="AK989" i="1"/>
  <c r="AK983" i="1"/>
  <c r="AK976" i="1"/>
  <c r="AK985" i="1"/>
  <c r="AK981" i="1"/>
  <c r="AB1388" i="1"/>
  <c r="AB1392" i="1" s="1"/>
  <c r="AB1393" i="1" s="1"/>
  <c r="AB1394" i="1" s="1"/>
  <c r="AB1370" i="1" s="1"/>
  <c r="AB1371" i="1" s="1"/>
  <c r="AB1359" i="1"/>
  <c r="AH1377" i="1"/>
  <c r="AD1356" i="1"/>
  <c r="AN1377" i="1"/>
  <c r="AJ1356" i="1"/>
  <c r="AJ1365" i="1" s="1"/>
  <c r="AG1376" i="1"/>
  <c r="AC1379" i="1"/>
  <c r="AC1358" i="1" s="1"/>
  <c r="AC1355" i="1"/>
  <c r="AK1377" i="1"/>
  <c r="AG1356" i="1"/>
  <c r="AG1365" i="1" s="1"/>
  <c r="AJ1376" i="1"/>
  <c r="AF1379" i="1"/>
  <c r="AF1358" i="1" s="1"/>
  <c r="AF1367" i="1" s="1"/>
  <c r="AF1355" i="1"/>
  <c r="M77" i="3"/>
  <c r="M78" i="3"/>
  <c r="M72" i="3"/>
  <c r="N71" i="3"/>
  <c r="N76" i="3" s="1"/>
  <c r="M76" i="3"/>
  <c r="AB7" i="267"/>
  <c r="AB8" i="267" s="1"/>
  <c r="E9" i="276"/>
  <c r="F9" i="276" s="1"/>
  <c r="AL45" i="1"/>
  <c r="AL46" i="1"/>
  <c r="AL1004" i="1"/>
  <c r="AL102" i="1"/>
  <c r="AL44" i="1"/>
  <c r="AL47" i="1"/>
  <c r="AL1058" i="1"/>
  <c r="AL1063" i="1" s="1"/>
  <c r="AL1204" i="1"/>
  <c r="AL1202" i="1"/>
  <c r="AL1203" i="1"/>
  <c r="AK1023" i="1"/>
  <c r="AK1024" i="1"/>
  <c r="AK1025" i="1"/>
  <c r="AK1019" i="1"/>
  <c r="AK1016" i="1"/>
  <c r="AK1020" i="1"/>
  <c r="AK1021" i="1"/>
  <c r="AK1003" i="1"/>
  <c r="AK1027" i="1" s="1"/>
  <c r="AK1026" i="1"/>
  <c r="AK1028" i="1"/>
  <c r="AL1357" i="1"/>
  <c r="AK1063" i="1"/>
  <c r="AK1072" i="1"/>
  <c r="R1401" i="1"/>
  <c r="R1383" i="1" s="1"/>
  <c r="R1404" i="1"/>
  <c r="R1384" i="1" s="1"/>
  <c r="R1407" i="1"/>
  <c r="R1385" i="1" s="1"/>
  <c r="R1410" i="1"/>
  <c r="R1386" i="1" s="1"/>
  <c r="R1413" i="1"/>
  <c r="R1387" i="1" s="1"/>
  <c r="W1388" i="1"/>
  <c r="W1392" i="1" s="1"/>
  <c r="W1393" i="1" s="1"/>
  <c r="W1394" i="1" s="1"/>
  <c r="W1370" i="1" s="1"/>
  <c r="W1371" i="1" s="1"/>
  <c r="M1398" i="1"/>
  <c r="M1397" i="1" s="1"/>
  <c r="S1388" i="1"/>
  <c r="S1392" i="1" s="1"/>
  <c r="S1393" i="1" s="1"/>
  <c r="S1394" i="1" s="1"/>
  <c r="S1370" i="1" s="1"/>
  <c r="S1371" i="1" s="1"/>
  <c r="AL1391" i="1"/>
  <c r="AL19" i="1"/>
  <c r="AL13" i="1"/>
  <c r="AL1353" i="1"/>
  <c r="AL1354" i="1"/>
  <c r="BO224" i="1"/>
  <c r="AM227" i="1"/>
  <c r="AM292" i="1" s="1"/>
  <c r="AM231" i="1"/>
  <c r="AA1353" i="1"/>
  <c r="AD1362" i="1"/>
  <c r="Z1362" i="1"/>
  <c r="O29" i="292"/>
  <c r="P19" i="292"/>
  <c r="O51" i="292"/>
  <c r="O24" i="292"/>
  <c r="AK20" i="1"/>
  <c r="J104" i="292"/>
  <c r="J108" i="292"/>
  <c r="J130" i="292" s="1"/>
  <c r="J107" i="292"/>
  <c r="J106" i="292"/>
  <c r="N52" i="292"/>
  <c r="N53" i="292"/>
  <c r="N69" i="292"/>
  <c r="N54" i="292"/>
  <c r="N76" i="292"/>
  <c r="N79" i="292" s="1"/>
  <c r="N97" i="292"/>
  <c r="AK1362" i="1"/>
  <c r="AA1377" i="1"/>
  <c r="Z1356" i="1"/>
  <c r="Q34" i="3"/>
  <c r="Q33" i="3"/>
  <c r="AB1364" i="1"/>
  <c r="X1364" i="1"/>
  <c r="Q59" i="3"/>
  <c r="Q46" i="3"/>
  <c r="Q45" i="3"/>
  <c r="Y1355" i="1"/>
  <c r="Z1376" i="1"/>
  <c r="AD1376" i="1" s="1"/>
  <c r="AK1098" i="1"/>
  <c r="Q9" i="292"/>
  <c r="P91" i="292"/>
  <c r="P41" i="292"/>
  <c r="P82" i="292" s="1"/>
  <c r="P59" i="292"/>
  <c r="P83" i="292" s="1"/>
  <c r="F10" i="276"/>
  <c r="G10" i="276"/>
  <c r="H10" i="276"/>
  <c r="I130" i="292"/>
  <c r="W13" i="292"/>
  <c r="AC1365" i="1"/>
  <c r="Y1365" i="1"/>
  <c r="P60" i="3"/>
  <c r="P63" i="3"/>
  <c r="P70" i="3" s="1"/>
  <c r="L85" i="292"/>
  <c r="L92" i="292"/>
  <c r="L100" i="292" s="1"/>
  <c r="K117" i="292"/>
  <c r="K101" i="292"/>
  <c r="K103" i="292"/>
  <c r="Z1378" i="1"/>
  <c r="Y1357" i="1"/>
  <c r="M70" i="292"/>
  <c r="M71" i="292"/>
  <c r="W1363" i="1"/>
  <c r="W1359" i="1"/>
  <c r="W1368" i="1" s="1"/>
  <c r="X1354" i="1"/>
  <c r="Y1375" i="1"/>
  <c r="X1379" i="1"/>
  <c r="X1358" i="1" s="1"/>
  <c r="M80" i="292"/>
  <c r="M84" i="292"/>
  <c r="AB1366" i="1"/>
  <c r="X1366" i="1"/>
  <c r="AL989" i="1" l="1"/>
  <c r="AL981" i="1"/>
  <c r="AL985" i="1"/>
  <c r="AL976" i="1"/>
  <c r="AF1388" i="1"/>
  <c r="AF1392" i="1" s="1"/>
  <c r="AF1393" i="1" s="1"/>
  <c r="AF1394" i="1" s="1"/>
  <c r="AF1370" i="1" s="1"/>
  <c r="AF1371" i="1" s="1"/>
  <c r="AC1359" i="1"/>
  <c r="AK1376" i="1"/>
  <c r="AG1379" i="1"/>
  <c r="AG1358" i="1" s="1"/>
  <c r="AG1367" i="1" s="1"/>
  <c r="AG1355" i="1"/>
  <c r="AN1376" i="1"/>
  <c r="AJ1355" i="1"/>
  <c r="AJ1379" i="1"/>
  <c r="AJ1358" i="1" s="1"/>
  <c r="AJ1367" i="1" s="1"/>
  <c r="AA1356" i="1"/>
  <c r="AA1365" i="1" s="1"/>
  <c r="AE1377" i="1"/>
  <c r="AO1377" i="1"/>
  <c r="AK1356" i="1"/>
  <c r="AK1365" i="1" s="1"/>
  <c r="AF1364" i="1"/>
  <c r="AF1359" i="1"/>
  <c r="AF1368" i="1" s="1"/>
  <c r="AH1376" i="1"/>
  <c r="AD1379" i="1"/>
  <c r="AD1358" i="1" s="1"/>
  <c r="AD1355" i="1"/>
  <c r="AC1388" i="1"/>
  <c r="AC1392" i="1" s="1"/>
  <c r="AC1393" i="1" s="1"/>
  <c r="AC1394" i="1" s="1"/>
  <c r="AC1370" i="1" s="1"/>
  <c r="AC1371" i="1" s="1"/>
  <c r="AL1377" i="1"/>
  <c r="AH1356" i="1"/>
  <c r="AH1365" i="1" s="1"/>
  <c r="AM291" i="1"/>
  <c r="AM299" i="1"/>
  <c r="BO292" i="1"/>
  <c r="BO299" i="1" s="1"/>
  <c r="BO231" i="1"/>
  <c r="BO1333" i="1"/>
  <c r="AK22" i="1"/>
  <c r="AM12" i="1"/>
  <c r="N75" i="3"/>
  <c r="N78" i="3"/>
  <c r="N77" i="3"/>
  <c r="N72" i="3"/>
  <c r="O71" i="3"/>
  <c r="P71" i="3" s="1"/>
  <c r="AL20" i="1"/>
  <c r="AL109" i="1"/>
  <c r="AL1003" i="1"/>
  <c r="AL1020" i="1"/>
  <c r="AL1025" i="1"/>
  <c r="AL1019" i="1"/>
  <c r="AL1026" i="1"/>
  <c r="AL1021" i="1"/>
  <c r="AL1016" i="1"/>
  <c r="AL1028" i="1"/>
  <c r="AL1024" i="1"/>
  <c r="AL1023" i="1"/>
  <c r="AL1022" i="1"/>
  <c r="AL1072" i="1"/>
  <c r="AL22" i="1" s="1"/>
  <c r="G9" i="276"/>
  <c r="H9" i="276"/>
  <c r="AL1366" i="1"/>
  <c r="AL1363" i="1"/>
  <c r="AL1362" i="1"/>
  <c r="AK1015" i="1"/>
  <c r="AK1083" i="1"/>
  <c r="AK310" i="1"/>
  <c r="AK1077" i="1"/>
  <c r="Q1401" i="1"/>
  <c r="Q1383" i="1" s="1"/>
  <c r="Q1404" i="1"/>
  <c r="Q1384" i="1" s="1"/>
  <c r="Q1407" i="1"/>
  <c r="Q1385" i="1" s="1"/>
  <c r="Q1410" i="1"/>
  <c r="Q1386" i="1" s="1"/>
  <c r="Q1413" i="1"/>
  <c r="Q1387" i="1" s="1"/>
  <c r="L1398" i="1"/>
  <c r="L1397" i="1" s="1"/>
  <c r="R1388" i="1"/>
  <c r="R1392" i="1" s="1"/>
  <c r="R1393" i="1" s="1"/>
  <c r="R1394" i="1" s="1"/>
  <c r="R1370" i="1" s="1"/>
  <c r="R1371" i="1" s="1"/>
  <c r="AL1098" i="1"/>
  <c r="AL1101" i="1" s="1"/>
  <c r="BO256" i="1"/>
  <c r="AM263" i="1"/>
  <c r="BO227" i="1"/>
  <c r="AM234" i="1"/>
  <c r="O53" i="292"/>
  <c r="O52" i="292"/>
  <c r="O76" i="292"/>
  <c r="O79" i="292" s="1"/>
  <c r="O69" i="292"/>
  <c r="O54" i="292"/>
  <c r="O97" i="292"/>
  <c r="AK238" i="1"/>
  <c r="Q19" i="292"/>
  <c r="P29" i="292"/>
  <c r="P51" i="292"/>
  <c r="P24" i="292"/>
  <c r="Q63" i="3"/>
  <c r="Q70" i="3" s="1"/>
  <c r="Q60" i="3"/>
  <c r="P95" i="3"/>
  <c r="P97" i="3" s="1"/>
  <c r="N80" i="292"/>
  <c r="N84" i="292"/>
  <c r="R9" i="292"/>
  <c r="Q91" i="292"/>
  <c r="Q41" i="292"/>
  <c r="Q82" i="292" s="1"/>
  <c r="Q59" i="292"/>
  <c r="Q83" i="292" s="1"/>
  <c r="AK239" i="1"/>
  <c r="AC1366" i="1"/>
  <c r="Y1366" i="1"/>
  <c r="AK1101" i="1"/>
  <c r="Z1357" i="1"/>
  <c r="AA1378" i="1"/>
  <c r="AA1357" i="1" s="1"/>
  <c r="N70" i="292"/>
  <c r="N71" i="292"/>
  <c r="X1363" i="1"/>
  <c r="AB1363" i="1"/>
  <c r="X1359" i="1"/>
  <c r="AA1376" i="1"/>
  <c r="Z1355" i="1"/>
  <c r="L103" i="292"/>
  <c r="L117" i="292"/>
  <c r="L101" i="292"/>
  <c r="Y1364" i="1"/>
  <c r="AC1364" i="1"/>
  <c r="M92" i="292"/>
  <c r="M100" i="292" s="1"/>
  <c r="M85" i="292"/>
  <c r="I131" i="292"/>
  <c r="H131" i="292"/>
  <c r="X1388" i="1"/>
  <c r="X1392" i="1" s="1"/>
  <c r="X1393" i="1" s="1"/>
  <c r="X1394" i="1" s="1"/>
  <c r="X1370" i="1" s="1"/>
  <c r="X1371" i="1" s="1"/>
  <c r="AD1365" i="1"/>
  <c r="Z1365" i="1"/>
  <c r="X1367" i="1"/>
  <c r="AB1367" i="1"/>
  <c r="Y1354" i="1"/>
  <c r="Z1375" i="1"/>
  <c r="Y1379" i="1"/>
  <c r="Y1358" i="1" s="1"/>
  <c r="K104" i="292"/>
  <c r="K108" i="292"/>
  <c r="K130" i="292" s="1"/>
  <c r="J131" i="292" s="1"/>
  <c r="K107" i="292"/>
  <c r="K106" i="292"/>
  <c r="AE1362" i="1"/>
  <c r="AA1362" i="1"/>
  <c r="AM963" i="1" l="1"/>
  <c r="BO963" i="1" s="1"/>
  <c r="BO989" i="1" s="1"/>
  <c r="AM164" i="1"/>
  <c r="AJ1388" i="1"/>
  <c r="AJ1392" i="1" s="1"/>
  <c r="AJ1393" i="1" s="1"/>
  <c r="AJ1394" i="1" s="1"/>
  <c r="AJ1370" i="1" s="1"/>
  <c r="AJ1371" i="1" s="1"/>
  <c r="AG1388" i="1"/>
  <c r="AG1392" i="1" s="1"/>
  <c r="AG1393" i="1" s="1"/>
  <c r="AG1394" i="1" s="1"/>
  <c r="AG1370" i="1" s="1"/>
  <c r="AG1371" i="1" s="1"/>
  <c r="AG1359" i="1"/>
  <c r="AG1368" i="1" s="1"/>
  <c r="AG1364" i="1"/>
  <c r="AP1377" i="1"/>
  <c r="AL1356" i="1"/>
  <c r="AL1365" i="1" s="1"/>
  <c r="AD1388" i="1"/>
  <c r="AD1392" i="1" s="1"/>
  <c r="AD1393" i="1" s="1"/>
  <c r="AD1394" i="1" s="1"/>
  <c r="AD1370" i="1" s="1"/>
  <c r="AD1371" i="1" s="1"/>
  <c r="AI1377" i="1"/>
  <c r="AE1356" i="1"/>
  <c r="AL1376" i="1"/>
  <c r="AH1379" i="1"/>
  <c r="AH1358" i="1" s="1"/>
  <c r="AH1367" i="1" s="1"/>
  <c r="AH1355" i="1"/>
  <c r="AJ1359" i="1"/>
  <c r="AJ1368" i="1" s="1"/>
  <c r="AJ1364" i="1"/>
  <c r="AA1355" i="1"/>
  <c r="AA1364" i="1" s="1"/>
  <c r="AE1376" i="1"/>
  <c r="AN1379" i="1"/>
  <c r="AN1388" i="1" s="1"/>
  <c r="AD1359" i="1"/>
  <c r="AO1376" i="1"/>
  <c r="AK1379" i="1"/>
  <c r="AK1358" i="1" s="1"/>
  <c r="AK1367" i="1" s="1"/>
  <c r="AK1355" i="1"/>
  <c r="AK806" i="1"/>
  <c r="E8" i="276"/>
  <c r="F8" i="276" s="1"/>
  <c r="AM46" i="1"/>
  <c r="AM45" i="1"/>
  <c r="AM44" i="1"/>
  <c r="AM47" i="1"/>
  <c r="BO1339" i="1"/>
  <c r="BO1345" i="1" s="1"/>
  <c r="BO1335" i="1"/>
  <c r="BO1341" i="1" s="1"/>
  <c r="BO1347" i="1" s="1"/>
  <c r="AM298" i="1"/>
  <c r="BO291" i="1"/>
  <c r="BO298" i="1" s="1"/>
  <c r="AM1204" i="1"/>
  <c r="AM1202" i="1"/>
  <c r="AM1203" i="1"/>
  <c r="AM1058" i="1"/>
  <c r="O76" i="3"/>
  <c r="O72" i="3"/>
  <c r="O75" i="3"/>
  <c r="O78" i="3"/>
  <c r="O77" i="3"/>
  <c r="AL1083" i="1"/>
  <c r="AC7" i="267"/>
  <c r="AC8" i="267" s="1"/>
  <c r="AL310" i="1"/>
  <c r="AL311" i="1" s="1"/>
  <c r="AL1077" i="1"/>
  <c r="AL26" i="1"/>
  <c r="AP26" i="1" s="1"/>
  <c r="AL23" i="1"/>
  <c r="AL24" i="1" s="1"/>
  <c r="AL25" i="1" s="1"/>
  <c r="AL1015" i="1"/>
  <c r="AL1027" i="1"/>
  <c r="BO234" i="1"/>
  <c r="AL1102" i="1"/>
  <c r="AK320" i="1"/>
  <c r="AK315" i="1"/>
  <c r="AK311" i="1"/>
  <c r="AK26" i="1"/>
  <c r="AO26" i="1" s="1"/>
  <c r="AK23" i="1"/>
  <c r="AK24" i="1" s="1"/>
  <c r="AK25" i="1" s="1"/>
  <c r="P1401" i="1"/>
  <c r="P1383" i="1" s="1"/>
  <c r="P1404" i="1"/>
  <c r="P1384" i="1" s="1"/>
  <c r="P1407" i="1"/>
  <c r="P1385" i="1" s="1"/>
  <c r="P1410" i="1"/>
  <c r="P1386" i="1" s="1"/>
  <c r="P1413" i="1"/>
  <c r="P1387" i="1" s="1"/>
  <c r="K1398" i="1"/>
  <c r="K1397" i="1" s="1"/>
  <c r="Q1388" i="1"/>
  <c r="Q1392" i="1" s="1"/>
  <c r="Q1393" i="1" s="1"/>
  <c r="Q1394" i="1" s="1"/>
  <c r="Q1370" i="1" s="1"/>
  <c r="Q1371" i="1" s="1"/>
  <c r="BO12" i="1"/>
  <c r="J8" i="523" s="1"/>
  <c r="AM13" i="1"/>
  <c r="AM19" i="1"/>
  <c r="AM1391" i="1"/>
  <c r="AM1357" i="1"/>
  <c r="AM1354" i="1"/>
  <c r="AM1353" i="1"/>
  <c r="BO617" i="1"/>
  <c r="BO612" i="1" s="1"/>
  <c r="BO280" i="1"/>
  <c r="BO263" i="1"/>
  <c r="D99" i="3"/>
  <c r="Q97" i="3"/>
  <c r="Q98" i="3" s="1"/>
  <c r="AD1366" i="1"/>
  <c r="Z1366" i="1"/>
  <c r="P54" i="292"/>
  <c r="P53" i="292"/>
  <c r="P52" i="292"/>
  <c r="P76" i="292"/>
  <c r="P79" i="292" s="1"/>
  <c r="P69" i="292"/>
  <c r="P97" i="292"/>
  <c r="M103" i="292"/>
  <c r="M117" i="292"/>
  <c r="M101" i="292"/>
  <c r="X1368" i="1"/>
  <c r="AB1368" i="1"/>
  <c r="S9" i="292"/>
  <c r="R91" i="292"/>
  <c r="R41" i="292"/>
  <c r="R82" i="292" s="1"/>
  <c r="R59" i="292"/>
  <c r="R83" i="292" s="1"/>
  <c r="L104" i="292"/>
  <c r="L107" i="292"/>
  <c r="L108" i="292"/>
  <c r="L106" i="292"/>
  <c r="Z1364" i="1"/>
  <c r="AD1364" i="1"/>
  <c r="N85" i="292"/>
  <c r="N92" i="292"/>
  <c r="N100" i="292" s="1"/>
  <c r="R19" i="292"/>
  <c r="Q24" i="292"/>
  <c r="Q29" i="292"/>
  <c r="Q51" i="292"/>
  <c r="P72" i="3"/>
  <c r="Q71" i="3"/>
  <c r="P77" i="3"/>
  <c r="P78" i="3"/>
  <c r="P75" i="3"/>
  <c r="P76" i="3"/>
  <c r="Y1388" i="1"/>
  <c r="Y1392" i="1" s="1"/>
  <c r="Y1393" i="1" s="1"/>
  <c r="Y1394" i="1" s="1"/>
  <c r="Y1370" i="1" s="1"/>
  <c r="Y1371" i="1" s="1"/>
  <c r="Y1367" i="1"/>
  <c r="AC1367" i="1"/>
  <c r="Z1354" i="1"/>
  <c r="AA1375" i="1"/>
  <c r="Z1379" i="1"/>
  <c r="Z1358" i="1" s="1"/>
  <c r="O70" i="292"/>
  <c r="O71" i="292"/>
  <c r="O80" i="292"/>
  <c r="O84" i="292"/>
  <c r="AK1102" i="1"/>
  <c r="Y1363" i="1"/>
  <c r="AC1363" i="1"/>
  <c r="Y1359" i="1"/>
  <c r="AA1366" i="1"/>
  <c r="AE1366" i="1"/>
  <c r="AM983" i="1" l="1"/>
  <c r="BO976" i="1"/>
  <c r="AM985" i="1"/>
  <c r="BO985" i="1"/>
  <c r="BO981" i="1"/>
  <c r="BO983" i="1"/>
  <c r="AM981" i="1"/>
  <c r="AM976" i="1"/>
  <c r="AM989" i="1"/>
  <c r="AH1388" i="1"/>
  <c r="AH1392" i="1" s="1"/>
  <c r="AH1393" i="1" s="1"/>
  <c r="AH1394" i="1" s="1"/>
  <c r="AH1370" i="1" s="1"/>
  <c r="AH1371" i="1" s="1"/>
  <c r="AK1388" i="1"/>
  <c r="AK1392" i="1" s="1"/>
  <c r="AK1393" i="1" s="1"/>
  <c r="AK1394" i="1" s="1"/>
  <c r="AK1370" i="1" s="1"/>
  <c r="AN1392" i="1"/>
  <c r="AV15" i="468"/>
  <c r="AE1365" i="1"/>
  <c r="AO1379" i="1"/>
  <c r="AO1388" i="1" s="1"/>
  <c r="AP1376" i="1"/>
  <c r="AL1379" i="1"/>
  <c r="AL1358" i="1" s="1"/>
  <c r="AL1367" i="1" s="1"/>
  <c r="AL1355" i="1"/>
  <c r="AI1376" i="1"/>
  <c r="AE1379" i="1"/>
  <c r="AE1358" i="1" s="1"/>
  <c r="AE1355" i="1"/>
  <c r="AK1364" i="1"/>
  <c r="AK1359" i="1"/>
  <c r="AK1368" i="1" s="1"/>
  <c r="AM1377" i="1"/>
  <c r="AI1356" i="1"/>
  <c r="AI1365" i="1" s="1"/>
  <c r="AH1364" i="1"/>
  <c r="AH1359" i="1"/>
  <c r="AH1368" i="1" s="1"/>
  <c r="L143" i="523"/>
  <c r="L147" i="523" s="1"/>
  <c r="J9" i="523"/>
  <c r="J121" i="523"/>
  <c r="K121" i="523" s="1"/>
  <c r="L121" i="523" s="1"/>
  <c r="M121" i="523" s="1"/>
  <c r="N121" i="523" s="1"/>
  <c r="O121" i="523" s="1"/>
  <c r="P121" i="523" s="1"/>
  <c r="Q121" i="523" s="1"/>
  <c r="R121" i="523" s="1"/>
  <c r="S121" i="523" s="1"/>
  <c r="T121" i="523" s="1"/>
  <c r="U121" i="523" s="1"/>
  <c r="V121" i="523" s="1"/>
  <c r="J110" i="523"/>
  <c r="K110" i="523" s="1"/>
  <c r="L110" i="523" s="1"/>
  <c r="M110" i="523" s="1"/>
  <c r="N110" i="523" s="1"/>
  <c r="O110" i="523" s="1"/>
  <c r="P110" i="523" s="1"/>
  <c r="Q110" i="523" s="1"/>
  <c r="R110" i="523" s="1"/>
  <c r="S110" i="523" s="1"/>
  <c r="T110" i="523" s="1"/>
  <c r="U110" i="523" s="1"/>
  <c r="V110" i="523" s="1"/>
  <c r="BO615" i="1"/>
  <c r="BO613" i="1"/>
  <c r="J8" i="503"/>
  <c r="BO1004" i="1"/>
  <c r="J8" i="504"/>
  <c r="BO1204" i="1"/>
  <c r="BO1203" i="1"/>
  <c r="BO1202" i="1"/>
  <c r="BO44" i="1"/>
  <c r="BO45" i="1"/>
  <c r="BO46" i="1"/>
  <c r="AM1063" i="1"/>
  <c r="AM1072" i="1"/>
  <c r="AL315" i="1"/>
  <c r="AL320" i="1"/>
  <c r="H8" i="276"/>
  <c r="G8" i="276"/>
  <c r="AL316" i="1"/>
  <c r="AL321" i="1"/>
  <c r="AL239" i="1"/>
  <c r="AL238" i="1"/>
  <c r="AL240" i="1"/>
  <c r="AM1363" i="1"/>
  <c r="AM1366" i="1"/>
  <c r="AK321" i="1"/>
  <c r="AK316" i="1"/>
  <c r="O1401" i="1"/>
  <c r="O1383" i="1" s="1"/>
  <c r="O1404" i="1"/>
  <c r="O1384" i="1" s="1"/>
  <c r="O1407" i="1"/>
  <c r="O1385" i="1" s="1"/>
  <c r="O1410" i="1"/>
  <c r="O1386" i="1" s="1"/>
  <c r="O1413" i="1"/>
  <c r="O1387" i="1" s="1"/>
  <c r="J1398" i="1"/>
  <c r="J1397" i="1" s="1"/>
  <c r="P1388" i="1"/>
  <c r="P1392" i="1" s="1"/>
  <c r="P1393" i="1" s="1"/>
  <c r="P1394" i="1" s="1"/>
  <c r="P1370" i="1" s="1"/>
  <c r="P1371" i="1" s="1"/>
  <c r="AM1362" i="1"/>
  <c r="BO1058" i="1"/>
  <c r="BO1063" i="1" s="1"/>
  <c r="AM1098" i="1"/>
  <c r="AM20" i="1"/>
  <c r="BO19" i="1"/>
  <c r="BO20" i="1" s="1"/>
  <c r="BO618" i="1"/>
  <c r="BO620" i="1"/>
  <c r="BO13" i="1"/>
  <c r="J8" i="198"/>
  <c r="N103" i="292"/>
  <c r="N117" i="292"/>
  <c r="N101" i="292"/>
  <c r="R24" i="292"/>
  <c r="R29" i="292"/>
  <c r="S19" i="292"/>
  <c r="R51" i="292"/>
  <c r="S91" i="292"/>
  <c r="S41" i="292"/>
  <c r="S82" i="292" s="1"/>
  <c r="S59" i="292"/>
  <c r="S83" i="292" s="1"/>
  <c r="Z1388" i="1"/>
  <c r="Z1392" i="1" s="1"/>
  <c r="Z1393" i="1" s="1"/>
  <c r="Z1394" i="1" s="1"/>
  <c r="Z1370" i="1" s="1"/>
  <c r="Z1371" i="1" s="1"/>
  <c r="AA1354" i="1"/>
  <c r="AA1379" i="1"/>
  <c r="AA1358" i="1" s="1"/>
  <c r="AD1363" i="1"/>
  <c r="Z1363" i="1"/>
  <c r="Z1359" i="1"/>
  <c r="Q72" i="3"/>
  <c r="Q77" i="3"/>
  <c r="Q78" i="3"/>
  <c r="Q75" i="3"/>
  <c r="Q76" i="3"/>
  <c r="M104" i="292"/>
  <c r="M107" i="292"/>
  <c r="M108" i="292"/>
  <c r="M106" i="292"/>
  <c r="Z1367" i="1"/>
  <c r="AD1367" i="1"/>
  <c r="O85" i="292"/>
  <c r="O92" i="292"/>
  <c r="O100" i="292" s="1"/>
  <c r="P70" i="292"/>
  <c r="P71" i="292"/>
  <c r="Y1368" i="1"/>
  <c r="AC1368" i="1"/>
  <c r="P80" i="292"/>
  <c r="P84" i="292"/>
  <c r="Q54" i="292"/>
  <c r="Q53" i="292"/>
  <c r="Q52" i="292"/>
  <c r="Q76" i="292"/>
  <c r="Q79" i="292" s="1"/>
  <c r="Q69" i="292"/>
  <c r="Q97" i="292"/>
  <c r="AE1388" i="1" l="1"/>
  <c r="AE1392" i="1" s="1"/>
  <c r="AE1393" i="1" s="1"/>
  <c r="AE1394" i="1" s="1"/>
  <c r="AE1370" i="1" s="1"/>
  <c r="AE1371" i="1" s="1"/>
  <c r="AM1376" i="1"/>
  <c r="AI1379" i="1"/>
  <c r="AI1358" i="1" s="1"/>
  <c r="AI1367" i="1" s="1"/>
  <c r="AI1355" i="1"/>
  <c r="AI1364" i="1" s="1"/>
  <c r="AL1359" i="1"/>
  <c r="AL1368" i="1" s="1"/>
  <c r="AL1364" i="1"/>
  <c r="AV10" i="468"/>
  <c r="AV20" i="468"/>
  <c r="AP1379" i="1"/>
  <c r="AP1388" i="1" s="1"/>
  <c r="AW15" i="468"/>
  <c r="AO1392" i="1"/>
  <c r="AE1359" i="1"/>
  <c r="AE1364" i="1"/>
  <c r="AQ1377" i="1"/>
  <c r="AM1356" i="1"/>
  <c r="AM1365" i="1" s="1"/>
  <c r="AL1388" i="1"/>
  <c r="AL1392" i="1" s="1"/>
  <c r="AL1393" i="1" s="1"/>
  <c r="AL1394" i="1" s="1"/>
  <c r="AL1370" i="1" s="1"/>
  <c r="J110" i="503"/>
  <c r="K110" i="503" s="1"/>
  <c r="L110" i="503" s="1"/>
  <c r="M110" i="503" s="1"/>
  <c r="N110" i="503" s="1"/>
  <c r="O110" i="503" s="1"/>
  <c r="P110" i="503" s="1"/>
  <c r="Q110" i="503" s="1"/>
  <c r="R110" i="503" s="1"/>
  <c r="S110" i="503" s="1"/>
  <c r="T110" i="503" s="1"/>
  <c r="U110" i="503" s="1"/>
  <c r="V110" i="503" s="1"/>
  <c r="J121" i="503"/>
  <c r="K121" i="503" s="1"/>
  <c r="L121" i="503" s="1"/>
  <c r="M121" i="503" s="1"/>
  <c r="N121" i="503" s="1"/>
  <c r="O121" i="503" s="1"/>
  <c r="P121" i="503" s="1"/>
  <c r="Q121" i="503" s="1"/>
  <c r="R121" i="503" s="1"/>
  <c r="S121" i="503" s="1"/>
  <c r="T121" i="503" s="1"/>
  <c r="U121" i="503" s="1"/>
  <c r="V121" i="503" s="1"/>
  <c r="J121" i="504"/>
  <c r="K121" i="504" s="1"/>
  <c r="L121" i="504" s="1"/>
  <c r="M121" i="504" s="1"/>
  <c r="N121" i="504" s="1"/>
  <c r="O121" i="504" s="1"/>
  <c r="P121" i="504" s="1"/>
  <c r="Q121" i="504" s="1"/>
  <c r="R121" i="504" s="1"/>
  <c r="S121" i="504" s="1"/>
  <c r="T121" i="504" s="1"/>
  <c r="U121" i="504" s="1"/>
  <c r="V121" i="504" s="1"/>
  <c r="J110" i="504"/>
  <c r="K110" i="504" s="1"/>
  <c r="L110" i="504" s="1"/>
  <c r="M110" i="504" s="1"/>
  <c r="N110" i="504" s="1"/>
  <c r="O110" i="504" s="1"/>
  <c r="P110" i="504" s="1"/>
  <c r="Q110" i="504" s="1"/>
  <c r="R110" i="504" s="1"/>
  <c r="S110" i="504" s="1"/>
  <c r="T110" i="504" s="1"/>
  <c r="U110" i="504" s="1"/>
  <c r="V110" i="504" s="1"/>
  <c r="J109" i="198"/>
  <c r="K109" i="198" s="1"/>
  <c r="L109" i="198" s="1"/>
  <c r="M109" i="198" s="1"/>
  <c r="N109" i="198" s="1"/>
  <c r="O109" i="198" s="1"/>
  <c r="P109" i="198" s="1"/>
  <c r="Q109" i="198" s="1"/>
  <c r="R109" i="198" s="1"/>
  <c r="S109" i="198" s="1"/>
  <c r="T109" i="198" s="1"/>
  <c r="U109" i="198" s="1"/>
  <c r="V109" i="198" s="1"/>
  <c r="J9" i="504"/>
  <c r="BO1003" i="1"/>
  <c r="BO1028" i="1"/>
  <c r="BO1022" i="1"/>
  <c r="BO1021" i="1"/>
  <c r="BO1019" i="1"/>
  <c r="BO1025" i="1"/>
  <c r="BO1020" i="1"/>
  <c r="BO1016" i="1"/>
  <c r="AM1004" i="1"/>
  <c r="BO1026" i="1"/>
  <c r="BO1023" i="1"/>
  <c r="BO1024" i="1"/>
  <c r="J9" i="503"/>
  <c r="AM22" i="1"/>
  <c r="AM310" i="1"/>
  <c r="BO1072" i="1"/>
  <c r="BO1077" i="1" s="1"/>
  <c r="AM271" i="1"/>
  <c r="AM1083" i="1"/>
  <c r="AM1085" i="1" s="1"/>
  <c r="AM1087" i="1" s="1"/>
  <c r="AM1077" i="1"/>
  <c r="AM276" i="1"/>
  <c r="L142" i="198"/>
  <c r="L146" i="198" s="1"/>
  <c r="AM239" i="1"/>
  <c r="AL806" i="1"/>
  <c r="AL242" i="1"/>
  <c r="BO88" i="1"/>
  <c r="J29" i="523" s="1"/>
  <c r="J42" i="523" s="1"/>
  <c r="AA1388" i="1"/>
  <c r="AA1392" i="1" s="1"/>
  <c r="AA1393" i="1" s="1"/>
  <c r="AA1394" i="1" s="1"/>
  <c r="AA1370" i="1" s="1"/>
  <c r="AA1371" i="1" s="1"/>
  <c r="N1401" i="1"/>
  <c r="N1383" i="1" s="1"/>
  <c r="N1404" i="1"/>
  <c r="N1384" i="1" s="1"/>
  <c r="N1407" i="1"/>
  <c r="N1385" i="1" s="1"/>
  <c r="N1410" i="1"/>
  <c r="N1386" i="1" s="1"/>
  <c r="N1413" i="1"/>
  <c r="N1387" i="1" s="1"/>
  <c r="I1398" i="1"/>
  <c r="I1397" i="1" s="1"/>
  <c r="O1388" i="1"/>
  <c r="O1392" i="1" s="1"/>
  <c r="O1393" i="1" s="1"/>
  <c r="O1394" i="1" s="1"/>
  <c r="O1370" i="1" s="1"/>
  <c r="O1371" i="1" s="1"/>
  <c r="AM1101" i="1"/>
  <c r="BO1098" i="1"/>
  <c r="J9" i="198"/>
  <c r="P92" i="292"/>
  <c r="P100" i="292" s="1"/>
  <c r="P85" i="292"/>
  <c r="R54" i="292"/>
  <c r="R53" i="292"/>
  <c r="R52" i="292"/>
  <c r="R69" i="292"/>
  <c r="R76" i="292"/>
  <c r="R79" i="292" s="1"/>
  <c r="R97" i="292"/>
  <c r="O101" i="292"/>
  <c r="O103" i="292"/>
  <c r="O117" i="292"/>
  <c r="S24" i="292"/>
  <c r="S29" i="292"/>
  <c r="S51" i="292"/>
  <c r="Q70" i="292"/>
  <c r="Q71" i="292"/>
  <c r="AA1367" i="1"/>
  <c r="AE1367" i="1"/>
  <c r="Z1368" i="1"/>
  <c r="AD1368" i="1"/>
  <c r="Q80" i="292"/>
  <c r="Q84" i="292"/>
  <c r="AA1363" i="1"/>
  <c r="AE1363" i="1"/>
  <c r="AA1359" i="1"/>
  <c r="N104" i="292"/>
  <c r="N108" i="292"/>
  <c r="N107" i="292"/>
  <c r="N106" i="292"/>
  <c r="AI1388" i="1" l="1"/>
  <c r="AI1392" i="1" s="1"/>
  <c r="AI1393" i="1" s="1"/>
  <c r="AI1394" i="1" s="1"/>
  <c r="AI1370" i="1" s="1"/>
  <c r="AI1371" i="1" s="1"/>
  <c r="AI1359" i="1"/>
  <c r="AI1368" i="1" s="1"/>
  <c r="AW20" i="468"/>
  <c r="AW10" i="468"/>
  <c r="BZ10" i="468" s="1"/>
  <c r="AP1392" i="1"/>
  <c r="AX15" i="468"/>
  <c r="AV98" i="468"/>
  <c r="AV45" i="468"/>
  <c r="AV58" i="468"/>
  <c r="AN645" i="1"/>
  <c r="AQ1376" i="1"/>
  <c r="AM1379" i="1"/>
  <c r="AM1358" i="1" s="1"/>
  <c r="AM1367" i="1" s="1"/>
  <c r="AM1355" i="1"/>
  <c r="J30" i="523"/>
  <c r="J43" i="523"/>
  <c r="L159" i="523"/>
  <c r="L163" i="523" s="1"/>
  <c r="J67" i="523"/>
  <c r="AM320" i="1"/>
  <c r="AM315" i="1"/>
  <c r="AM311" i="1"/>
  <c r="BO310" i="1"/>
  <c r="AM26" i="1"/>
  <c r="AQ26" i="1" s="1"/>
  <c r="AM23" i="1"/>
  <c r="AM24" i="1" s="1"/>
  <c r="AM25" i="1" s="1"/>
  <c r="AM806" i="1"/>
  <c r="AM1104" i="1"/>
  <c r="AM1111" i="1" s="1"/>
  <c r="AM49" i="1" s="1"/>
  <c r="AM1028" i="1"/>
  <c r="AM1025" i="1"/>
  <c r="AM1024" i="1"/>
  <c r="AM1026" i="1"/>
  <c r="AM1016" i="1"/>
  <c r="AM1019" i="1"/>
  <c r="AM1021" i="1"/>
  <c r="AM1022" i="1"/>
  <c r="AM1020" i="1"/>
  <c r="AM1023" i="1"/>
  <c r="BO1027" i="1"/>
  <c r="BO1015" i="1"/>
  <c r="AM1003" i="1"/>
  <c r="J29" i="504"/>
  <c r="J42" i="504" s="1"/>
  <c r="AB27" i="522"/>
  <c r="J29" i="503"/>
  <c r="J42" i="503" s="1"/>
  <c r="AM1095" i="1"/>
  <c r="AM1094" i="1"/>
  <c r="BO239" i="1"/>
  <c r="AL305" i="1"/>
  <c r="AL14" i="1"/>
  <c r="AL807" i="1"/>
  <c r="AL810" i="1"/>
  <c r="AL803" i="1"/>
  <c r="AL815" i="1"/>
  <c r="J28" i="198"/>
  <c r="J41" i="198" s="1"/>
  <c r="AM238" i="1"/>
  <c r="AM240" i="1"/>
  <c r="BO420" i="1"/>
  <c r="BO238" i="1" s="1"/>
  <c r="M1401" i="1"/>
  <c r="M1383" i="1" s="1"/>
  <c r="M1404" i="1"/>
  <c r="M1384" i="1" s="1"/>
  <c r="M1407" i="1"/>
  <c r="M1385" i="1" s="1"/>
  <c r="M1410" i="1"/>
  <c r="M1386" i="1" s="1"/>
  <c r="M1413" i="1"/>
  <c r="M1387" i="1" s="1"/>
  <c r="N1388" i="1"/>
  <c r="N1392" i="1" s="1"/>
  <c r="N1393" i="1" s="1"/>
  <c r="N1394" i="1" s="1"/>
  <c r="N1370" i="1" s="1"/>
  <c r="N1371" i="1" s="1"/>
  <c r="H1398" i="1"/>
  <c r="H1397" i="1" s="1"/>
  <c r="AM1102" i="1"/>
  <c r="BO1101" i="1"/>
  <c r="BO1102" i="1" s="1"/>
  <c r="O104" i="292"/>
  <c r="O108" i="292"/>
  <c r="O107" i="292"/>
  <c r="O106" i="292"/>
  <c r="P103" i="292"/>
  <c r="P101" i="292"/>
  <c r="P117" i="292"/>
  <c r="S69" i="292"/>
  <c r="S76" i="292"/>
  <c r="S79" i="292" s="1"/>
  <c r="S54" i="292"/>
  <c r="S53" i="292"/>
  <c r="S52" i="292"/>
  <c r="S97" i="292"/>
  <c r="Q92" i="292"/>
  <c r="Q100" i="292" s="1"/>
  <c r="Q85" i="292"/>
  <c r="R80" i="292"/>
  <c r="R84" i="292"/>
  <c r="AA1368" i="1"/>
  <c r="AE1368" i="1"/>
  <c r="R71" i="292"/>
  <c r="R70" i="292"/>
  <c r="AM1388" i="1" l="1"/>
  <c r="AM1392" i="1" s="1"/>
  <c r="AM1393" i="1" s="1"/>
  <c r="AM1394" i="1" s="1"/>
  <c r="AM1370" i="1" s="1"/>
  <c r="CA25" i="468"/>
  <c r="AV35" i="468"/>
  <c r="AV40" i="468" s="1"/>
  <c r="AV34" i="468"/>
  <c r="AV39" i="468" s="1"/>
  <c r="AV36" i="468"/>
  <c r="AV41" i="468" s="1"/>
  <c r="AV59" i="468"/>
  <c r="AZ59" i="468"/>
  <c r="AV101" i="468"/>
  <c r="AV109" i="468"/>
  <c r="AX20" i="468"/>
  <c r="AX10" i="468"/>
  <c r="AX45" i="468" s="1"/>
  <c r="AQ1379" i="1"/>
  <c r="AQ1388" i="1" s="1"/>
  <c r="AM1364" i="1"/>
  <c r="AM1359" i="1"/>
  <c r="AM1368" i="1" s="1"/>
  <c r="AV55" i="468"/>
  <c r="AV49" i="468"/>
  <c r="AV50" i="468"/>
  <c r="AV61" i="468"/>
  <c r="AV51" i="468"/>
  <c r="AO645" i="1"/>
  <c r="AO655" i="1" s="1"/>
  <c r="AO663" i="1" s="1"/>
  <c r="AW45" i="468"/>
  <c r="AW55" i="468" s="1"/>
  <c r="AW58" i="468"/>
  <c r="AW35" i="468" s="1"/>
  <c r="AW98" i="468"/>
  <c r="CA99" i="468" s="1"/>
  <c r="AN655" i="1"/>
  <c r="AN663" i="1" s="1"/>
  <c r="AN644" i="1"/>
  <c r="BZ45" i="468"/>
  <c r="BZ61" i="468" s="1"/>
  <c r="BZ58" i="468"/>
  <c r="BZ59" i="468" s="1"/>
  <c r="BZ60" i="468" s="1"/>
  <c r="AB9" i="267"/>
  <c r="AL171" i="1"/>
  <c r="AM81" i="1"/>
  <c r="AM89" i="1" s="1"/>
  <c r="AM1267" i="1"/>
  <c r="AM1269" i="1" s="1"/>
  <c r="AM1114" i="1"/>
  <c r="AM1112" i="1"/>
  <c r="AM1113" i="1" s="1"/>
  <c r="AM62" i="1" s="1"/>
  <c r="AM51" i="1" s="1"/>
  <c r="AM203" i="1" s="1"/>
  <c r="AC11" i="267"/>
  <c r="AC12" i="267" s="1"/>
  <c r="AM810" i="1"/>
  <c r="AM803" i="1"/>
  <c r="AM807" i="1"/>
  <c r="AM808" i="1" s="1"/>
  <c r="AM815" i="1"/>
  <c r="J67" i="503"/>
  <c r="J30" i="503"/>
  <c r="J43" i="503"/>
  <c r="J67" i="504"/>
  <c r="J30" i="504"/>
  <c r="J43" i="504"/>
  <c r="AM1027" i="1"/>
  <c r="AM1015" i="1"/>
  <c r="AM54" i="1"/>
  <c r="E36" i="276"/>
  <c r="H36" i="276" s="1"/>
  <c r="AM53" i="1"/>
  <c r="AM50" i="1"/>
  <c r="AM58" i="1" s="1"/>
  <c r="AM72" i="1"/>
  <c r="AM73" i="1" s="1"/>
  <c r="AM74" i="1" s="1"/>
  <c r="AM76" i="1" s="1"/>
  <c r="AM77" i="1" s="1"/>
  <c r="BO315" i="1"/>
  <c r="BO320" i="1"/>
  <c r="AM321" i="1"/>
  <c r="AM316" i="1"/>
  <c r="BO311" i="1"/>
  <c r="L158" i="198"/>
  <c r="L162" i="198" s="1"/>
  <c r="AB41" i="522"/>
  <c r="AL1369" i="1"/>
  <c r="AL1371" i="1" s="1"/>
  <c r="AL15" i="1"/>
  <c r="AL178" i="1" s="1"/>
  <c r="AL306" i="1"/>
  <c r="AL816" i="1"/>
  <c r="AL819" i="1"/>
  <c r="AL812" i="1"/>
  <c r="AL808" i="1"/>
  <c r="AL817" i="1" s="1"/>
  <c r="J66" i="198"/>
  <c r="J42" i="198"/>
  <c r="J29" i="198"/>
  <c r="BO22" i="1"/>
  <c r="AM242" i="1"/>
  <c r="L1401" i="1"/>
  <c r="L1383" i="1" s="1"/>
  <c r="L1404" i="1"/>
  <c r="L1384" i="1" s="1"/>
  <c r="L1407" i="1"/>
  <c r="L1385" i="1" s="1"/>
  <c r="L1410" i="1"/>
  <c r="L1386" i="1" s="1"/>
  <c r="L1413" i="1"/>
  <c r="L1387" i="1" s="1"/>
  <c r="G1398" i="1"/>
  <c r="G1397" i="1" s="1"/>
  <c r="M1388" i="1"/>
  <c r="M1392" i="1" s="1"/>
  <c r="M1393" i="1" s="1"/>
  <c r="M1394" i="1" s="1"/>
  <c r="M1370" i="1" s="1"/>
  <c r="M1371" i="1" s="1"/>
  <c r="R92" i="292"/>
  <c r="R100" i="292" s="1"/>
  <c r="R85" i="292"/>
  <c r="S70" i="292"/>
  <c r="S71" i="292"/>
  <c r="P104" i="292"/>
  <c r="P107" i="292"/>
  <c r="P108" i="292"/>
  <c r="P106" i="292"/>
  <c r="S80" i="292"/>
  <c r="S84" i="292"/>
  <c r="Q101" i="292"/>
  <c r="Q103" i="292"/>
  <c r="Q117" i="292"/>
  <c r="AW40" i="468" l="1"/>
  <c r="AX50" i="468"/>
  <c r="AX61" i="468"/>
  <c r="AX49" i="468"/>
  <c r="AX51" i="468"/>
  <c r="AX55" i="468"/>
  <c r="AQ1392" i="1"/>
  <c r="AY15" i="468"/>
  <c r="AW109" i="468"/>
  <c r="AW101" i="468"/>
  <c r="AP645" i="1"/>
  <c r="AX58" i="468"/>
  <c r="AX98" i="468"/>
  <c r="AW59" i="468"/>
  <c r="AW34" i="468"/>
  <c r="AW39" i="468" s="1"/>
  <c r="BA59" i="468"/>
  <c r="AW36" i="468"/>
  <c r="AW41" i="468" s="1"/>
  <c r="AV110" i="468"/>
  <c r="AZ110" i="468"/>
  <c r="AZ60" i="468"/>
  <c r="BD60" i="468"/>
  <c r="AW51" i="468"/>
  <c r="AW49" i="468"/>
  <c r="AW50" i="468"/>
  <c r="AW61" i="468"/>
  <c r="BZ98" i="468"/>
  <c r="BZ109" i="468" s="1"/>
  <c r="BZ110" i="468" s="1"/>
  <c r="AM305" i="1"/>
  <c r="AM14" i="1"/>
  <c r="AM82" i="1"/>
  <c r="AM83" i="1"/>
  <c r="AC13" i="267"/>
  <c r="AC16" i="267" s="1"/>
  <c r="AC15" i="267" s="1"/>
  <c r="AM116" i="1"/>
  <c r="F36" i="276"/>
  <c r="G36" i="276"/>
  <c r="AM52" i="1"/>
  <c r="AM273" i="1"/>
  <c r="BO316" i="1"/>
  <c r="BO321" i="1"/>
  <c r="AM819" i="1"/>
  <c r="AM816" i="1"/>
  <c r="AM812" i="1"/>
  <c r="AM809" i="1"/>
  <c r="AM817" i="1"/>
  <c r="AM40" i="1" s="1"/>
  <c r="AM113" i="1"/>
  <c r="AM90" i="1"/>
  <c r="AM91" i="1"/>
  <c r="AM93" i="1"/>
  <c r="AL818" i="1"/>
  <c r="AL40" i="1"/>
  <c r="AL41" i="1" s="1"/>
  <c r="AL249" i="1"/>
  <c r="AL235" i="1"/>
  <c r="AL809" i="1"/>
  <c r="BO24" i="1"/>
  <c r="BO25" i="1" s="1"/>
  <c r="BO23" i="1"/>
  <c r="BO26" i="1"/>
  <c r="K1401" i="1"/>
  <c r="K1383" i="1" s="1"/>
  <c r="K1404" i="1"/>
  <c r="K1384" i="1" s="1"/>
  <c r="K1407" i="1"/>
  <c r="K1385" i="1" s="1"/>
  <c r="K1410" i="1"/>
  <c r="K1386" i="1" s="1"/>
  <c r="K1413" i="1"/>
  <c r="K1387" i="1" s="1"/>
  <c r="F1398" i="1"/>
  <c r="F1397" i="1" s="1"/>
  <c r="L1388" i="1"/>
  <c r="L1392" i="1" s="1"/>
  <c r="L1393" i="1" s="1"/>
  <c r="L1394" i="1" s="1"/>
  <c r="L1370" i="1" s="1"/>
  <c r="L1371" i="1" s="1"/>
  <c r="Q104" i="292"/>
  <c r="Q107" i="292"/>
  <c r="Q108" i="292"/>
  <c r="Q106" i="292"/>
  <c r="S92" i="292"/>
  <c r="S100" i="292" s="1"/>
  <c r="R116" i="292"/>
  <c r="R117" i="292" s="1"/>
  <c r="H118" i="292" s="1"/>
  <c r="S85" i="292"/>
  <c r="R101" i="292"/>
  <c r="R103" i="292"/>
  <c r="AM204" i="1" l="1"/>
  <c r="AM196" i="1" s="1"/>
  <c r="AM171" i="1"/>
  <c r="AM15" i="1"/>
  <c r="AM178" i="1" s="1"/>
  <c r="AX101" i="468"/>
  <c r="AX109" i="468"/>
  <c r="AP655" i="1"/>
  <c r="AP663" i="1" s="1"/>
  <c r="AP647" i="1"/>
  <c r="AP657" i="1" s="1"/>
  <c r="AP665" i="1" s="1"/>
  <c r="AY20" i="468"/>
  <c r="AY10" i="468"/>
  <c r="AX35" i="468"/>
  <c r="AX40" i="468" s="1"/>
  <c r="AX34" i="468"/>
  <c r="AX39" i="468" s="1"/>
  <c r="AX36" i="468"/>
  <c r="AX41" i="468" s="1"/>
  <c r="BB59" i="468"/>
  <c r="AX59" i="468"/>
  <c r="BE60" i="468"/>
  <c r="BA60" i="468"/>
  <c r="BA110" i="468"/>
  <c r="AW110" i="468"/>
  <c r="AC9" i="267"/>
  <c r="AM1369" i="1"/>
  <c r="AM1371" i="1" s="1"/>
  <c r="AM306" i="1"/>
  <c r="AM41" i="1"/>
  <c r="AM818" i="1"/>
  <c r="AM95" i="1"/>
  <c r="AM96" i="1"/>
  <c r="J1401" i="1"/>
  <c r="J1383" i="1" s="1"/>
  <c r="J1404" i="1"/>
  <c r="J1384" i="1" s="1"/>
  <c r="J1407" i="1"/>
  <c r="J1385" i="1" s="1"/>
  <c r="J1410" i="1"/>
  <c r="J1386" i="1" s="1"/>
  <c r="J1413" i="1"/>
  <c r="J1387" i="1" s="1"/>
  <c r="E1398" i="1"/>
  <c r="E1397" i="1" s="1"/>
  <c r="K1388" i="1"/>
  <c r="K1392" i="1" s="1"/>
  <c r="K1393" i="1" s="1"/>
  <c r="K1394" i="1" s="1"/>
  <c r="K1370" i="1" s="1"/>
  <c r="S101" i="292"/>
  <c r="S103" i="292"/>
  <c r="R104" i="292"/>
  <c r="R107" i="292"/>
  <c r="R108" i="292"/>
  <c r="R106" i="292"/>
  <c r="H127" i="292"/>
  <c r="W15" i="292"/>
  <c r="BB60" i="468" l="1"/>
  <c r="BF60" i="468"/>
  <c r="BB110" i="468"/>
  <c r="AX110" i="468"/>
  <c r="AY45" i="468"/>
  <c r="AY98" i="468"/>
  <c r="AQ645" i="1"/>
  <c r="AY58" i="468"/>
  <c r="AY35" i="468" s="1"/>
  <c r="AY40" i="468" s="1"/>
  <c r="AZ45" i="468"/>
  <c r="AZ61" i="468" s="1"/>
  <c r="CA10" i="468"/>
  <c r="CB25" i="468"/>
  <c r="AM235" i="1"/>
  <c r="AM249" i="1"/>
  <c r="I1401" i="1"/>
  <c r="I1383" i="1" s="1"/>
  <c r="I1404" i="1"/>
  <c r="I1384" i="1" s="1"/>
  <c r="I1407" i="1"/>
  <c r="I1385" i="1" s="1"/>
  <c r="I1410" i="1"/>
  <c r="I1386" i="1" s="1"/>
  <c r="I1413" i="1"/>
  <c r="I1387" i="1" s="1"/>
  <c r="D1398" i="1"/>
  <c r="D1397" i="1" s="1"/>
  <c r="J1388" i="1"/>
  <c r="J1392" i="1" s="1"/>
  <c r="J1393" i="1" s="1"/>
  <c r="J1394" i="1" s="1"/>
  <c r="J1370" i="1" s="1"/>
  <c r="S104" i="292"/>
  <c r="S107" i="292"/>
  <c r="S108" i="292"/>
  <c r="S106" i="292"/>
  <c r="AY50" i="468" l="1"/>
  <c r="AY51" i="468"/>
  <c r="AY49" i="468"/>
  <c r="AY61" i="468"/>
  <c r="AY55" i="468"/>
  <c r="CA58" i="468"/>
  <c r="CB45" i="468"/>
  <c r="CB61" i="468" s="1"/>
  <c r="CA45" i="468"/>
  <c r="CA61" i="468" s="1"/>
  <c r="AQ647" i="1"/>
  <c r="AQ657" i="1" s="1"/>
  <c r="AQ665" i="1" s="1"/>
  <c r="AQ655" i="1"/>
  <c r="AQ663" i="1" s="1"/>
  <c r="BP645" i="1"/>
  <c r="BP655" i="1" s="1"/>
  <c r="BP663" i="1" s="1"/>
  <c r="AY34" i="468"/>
  <c r="AY39" i="468" s="1"/>
  <c r="AY36" i="468"/>
  <c r="AY41" i="468" s="1"/>
  <c r="AY59" i="468"/>
  <c r="BC59" i="468"/>
  <c r="AY101" i="468"/>
  <c r="AY109" i="468"/>
  <c r="CA98" i="468"/>
  <c r="CA109" i="468" s="1"/>
  <c r="CB99" i="468"/>
  <c r="H1401" i="1"/>
  <c r="H1383" i="1" s="1"/>
  <c r="H1404" i="1"/>
  <c r="H1384" i="1" s="1"/>
  <c r="H1407" i="1"/>
  <c r="H1385" i="1" s="1"/>
  <c r="H1410" i="1"/>
  <c r="H1386" i="1" s="1"/>
  <c r="H1413" i="1"/>
  <c r="H1387" i="1" s="1"/>
  <c r="I1388" i="1"/>
  <c r="I1392" i="1" s="1"/>
  <c r="I1393" i="1" s="1"/>
  <c r="I1394" i="1" s="1"/>
  <c r="I1370" i="1" s="1"/>
  <c r="CB59" i="468" l="1"/>
  <c r="CA59" i="468"/>
  <c r="CA60" i="468" s="1"/>
  <c r="BC60" i="468"/>
  <c r="BG60" i="468"/>
  <c r="CB110" i="468"/>
  <c r="CA110" i="468"/>
  <c r="BC110" i="468"/>
  <c r="AY110" i="468"/>
  <c r="H1388" i="1"/>
  <c r="H1392" i="1" s="1"/>
  <c r="H1393" i="1" s="1"/>
  <c r="H1394" i="1" s="1"/>
  <c r="H1370" i="1" s="1"/>
  <c r="CB60" i="468" l="1"/>
  <c r="AJ265" i="1"/>
  <c r="AJ282" i="1"/>
  <c r="AN282" i="1" s="1"/>
  <c r="AN258" i="1" s="1"/>
  <c r="AJ259" i="1"/>
  <c r="AJ266" i="1" s="1"/>
  <c r="AN265" i="1" l="1"/>
  <c r="AJ1104" i="1"/>
  <c r="AJ283" i="1"/>
  <c r="AJ1111" i="1" l="1"/>
  <c r="AJ49" i="1" l="1"/>
  <c r="AJ1114" i="1"/>
  <c r="AJ1112" i="1"/>
  <c r="AJ1267" i="1" l="1"/>
  <c r="Z11" i="267"/>
  <c r="AJ81" i="1"/>
  <c r="AJ53" i="1"/>
  <c r="AJ1083" i="1"/>
  <c r="BO1083" i="1" s="1"/>
  <c r="AJ54" i="1"/>
  <c r="AJ72" i="1"/>
  <c r="AJ50" i="1"/>
  <c r="AJ58" i="1" s="1"/>
  <c r="E39" i="276"/>
  <c r="AJ63" i="1" l="1"/>
  <c r="AJ66" i="1" s="1"/>
  <c r="AJ60" i="1"/>
  <c r="AJ1269" i="1"/>
  <c r="AJ1268" i="1"/>
  <c r="G39" i="276"/>
  <c r="F39" i="276"/>
  <c r="H39" i="276"/>
  <c r="AJ73" i="1"/>
  <c r="AJ74" i="1" s="1"/>
  <c r="AJ76" i="1" s="1"/>
  <c r="AJ1085" i="1"/>
  <c r="AJ89" i="1"/>
  <c r="AJ83" i="1"/>
  <c r="AJ82" i="1"/>
  <c r="Z12" i="267"/>
  <c r="Z13" i="267"/>
  <c r="Z15" i="267" s="1"/>
  <c r="AJ65" i="1" l="1"/>
  <c r="AJ55" i="1" s="1"/>
  <c r="AJ93" i="1"/>
  <c r="AJ104" i="1"/>
  <c r="AJ1087" i="1"/>
  <c r="AJ113" i="1"/>
  <c r="AJ90" i="1"/>
  <c r="AJ91" i="1"/>
  <c r="AJ110" i="1" s="1"/>
  <c r="AJ140" i="1"/>
  <c r="AJ77" i="1"/>
  <c r="AJ116" i="1"/>
  <c r="AJ94" i="1" l="1"/>
  <c r="AJ95" i="1"/>
  <c r="AJ96" i="1"/>
  <c r="AJ106" i="1"/>
  <c r="AJ117" i="1"/>
  <c r="AJ1095" i="1"/>
  <c r="BO1095" i="1" s="1"/>
  <c r="AJ1094" i="1"/>
  <c r="BO1094" i="1" s="1"/>
  <c r="AJ118" i="1" l="1"/>
  <c r="AJ1190" i="1"/>
  <c r="AJ1193" i="1" s="1"/>
  <c r="AJ124" i="1"/>
  <c r="AJ105" i="1" l="1"/>
  <c r="AJ119" i="1"/>
  <c r="AK265" i="1" l="1"/>
  <c r="AK282" i="1"/>
  <c r="AO282" i="1" s="1"/>
  <c r="AO258" i="1" s="1"/>
  <c r="AO265" i="1" s="1"/>
  <c r="AK259" i="1"/>
  <c r="AK283" i="1" l="1"/>
  <c r="AK266" i="1"/>
  <c r="BO1424" i="1" l="1"/>
  <c r="AC58" i="198"/>
  <c r="AK109" i="1"/>
  <c r="AK478" i="1" l="1"/>
  <c r="BO800" i="1" l="1"/>
  <c r="BO798" i="1"/>
  <c r="BO799" i="1" s="1"/>
  <c r="AK240" i="1"/>
  <c r="AK242" i="1" s="1"/>
  <c r="AK14" i="1" s="1"/>
  <c r="AK796" i="1"/>
  <c r="AK868" i="1"/>
  <c r="G39" i="525" s="1"/>
  <c r="AK15" i="1" l="1"/>
  <c r="AK178" i="1" s="1"/>
  <c r="AK171" i="1"/>
  <c r="G49" i="525"/>
  <c r="G43" i="525"/>
  <c r="G44" i="525" s="1"/>
  <c r="G40" i="525"/>
  <c r="L39" i="525"/>
  <c r="AK882" i="1"/>
  <c r="AK869" i="1"/>
  <c r="AK883" i="1"/>
  <c r="AK897" i="1" s="1"/>
  <c r="AK879" i="1"/>
  <c r="BO240" i="1"/>
  <c r="BO242" i="1" s="1"/>
  <c r="AA9" i="267"/>
  <c r="AK306" i="1"/>
  <c r="BO306" i="1" s="1"/>
  <c r="AK1369" i="1"/>
  <c r="AK1371" i="1" s="1"/>
  <c r="BO14" i="1"/>
  <c r="BO171" i="1" s="1"/>
  <c r="AK305" i="1"/>
  <c r="BO305" i="1" s="1"/>
  <c r="AK829" i="1"/>
  <c r="AK826" i="1"/>
  <c r="AK827" i="1" s="1"/>
  <c r="BO827" i="1" s="1"/>
  <c r="BO825" i="1"/>
  <c r="BO821" i="1"/>
  <c r="AK831" i="1"/>
  <c r="BO796" i="1"/>
  <c r="BO801" i="1" s="1"/>
  <c r="BO252" i="1" s="1"/>
  <c r="AK235" i="1" l="1"/>
  <c r="AK880" i="1"/>
  <c r="AK894" i="1" s="1"/>
  <c r="L49" i="525"/>
  <c r="L40" i="525"/>
  <c r="L43" i="525"/>
  <c r="L44" i="525" s="1"/>
  <c r="G56" i="525"/>
  <c r="G50" i="525"/>
  <c r="AK896" i="1"/>
  <c r="AK893" i="1"/>
  <c r="BO828" i="1"/>
  <c r="BO276" i="1" s="1"/>
  <c r="BO271" i="1"/>
  <c r="AK828" i="1"/>
  <c r="AK276" i="1" s="1"/>
  <c r="AK271" i="1"/>
  <c r="BO15" i="1"/>
  <c r="AK249" i="1"/>
  <c r="BO831" i="1"/>
  <c r="BO829" i="1"/>
  <c r="BO826" i="1"/>
  <c r="BO806" i="1"/>
  <c r="BO807" i="1" s="1"/>
  <c r="AK815" i="1"/>
  <c r="AK816" i="1" s="1"/>
  <c r="AK810" i="1"/>
  <c r="AK803" i="1"/>
  <c r="BO803" i="1" s="1"/>
  <c r="AK807" i="1"/>
  <c r="AK808" i="1" s="1"/>
  <c r="J10" i="523" l="1"/>
  <c r="BO178" i="1"/>
  <c r="G57" i="525"/>
  <c r="G52" i="525"/>
  <c r="G59" i="525" s="1"/>
  <c r="L56" i="525"/>
  <c r="L50" i="525"/>
  <c r="T49" i="525"/>
  <c r="T56" i="525" s="1"/>
  <c r="T40" i="525"/>
  <c r="Y39" i="525"/>
  <c r="J10" i="503"/>
  <c r="J10" i="504"/>
  <c r="BO235" i="1"/>
  <c r="BO164" i="1" s="1"/>
  <c r="J10" i="198"/>
  <c r="AK817" i="1"/>
  <c r="AK818" i="1" s="1"/>
  <c r="AK809" i="1"/>
  <c r="BO249" i="1"/>
  <c r="BO810" i="1"/>
  <c r="AK812" i="1"/>
  <c r="BO812" i="1" s="1"/>
  <c r="BO815" i="1"/>
  <c r="AK819" i="1"/>
  <c r="L57" i="525" l="1"/>
  <c r="L52" i="525"/>
  <c r="L59" i="525" s="1"/>
  <c r="Y49" i="525"/>
  <c r="Y56" i="525" s="1"/>
  <c r="AA56" i="525" s="1"/>
  <c r="Y40" i="525"/>
  <c r="AA40" i="525" s="1"/>
  <c r="AK40" i="1"/>
  <c r="AK41" i="1" s="1"/>
  <c r="BO816" i="1"/>
  <c r="BO819" i="1"/>
  <c r="AK1085" i="1"/>
  <c r="AK1104" i="1"/>
  <c r="AK1111" i="1" l="1"/>
  <c r="AK1112" i="1" s="1"/>
  <c r="AK1113" i="1" s="1"/>
  <c r="AK62" i="1" s="1"/>
  <c r="AK1087" i="1"/>
  <c r="AK51" i="1" l="1"/>
  <c r="AK1114" i="1"/>
  <c r="AK49" i="1"/>
  <c r="AK1095" i="1"/>
  <c r="AK1094" i="1"/>
  <c r="AK52" i="1" l="1"/>
  <c r="AK203" i="1"/>
  <c r="AK1267" i="1"/>
  <c r="AC63" i="523"/>
  <c r="AC64" i="523" s="1"/>
  <c r="AK273" i="1"/>
  <c r="AK72" i="1"/>
  <c r="AK73" i="1" s="1"/>
  <c r="AK74" i="1" s="1"/>
  <c r="AK76" i="1" s="1"/>
  <c r="AK77" i="1" s="1"/>
  <c r="BT49" i="1"/>
  <c r="BT50" i="1" s="1"/>
  <c r="AA11" i="267"/>
  <c r="AA13" i="267" s="1"/>
  <c r="AA16" i="267" s="1"/>
  <c r="AK54" i="1"/>
  <c r="AK53" i="1"/>
  <c r="AK50" i="1"/>
  <c r="AK58" i="1" s="1"/>
  <c r="AC62" i="198"/>
  <c r="AC63" i="198" s="1"/>
  <c r="AK81" i="1"/>
  <c r="E38" i="276"/>
  <c r="AK204" i="1" l="1"/>
  <c r="AK196" i="1" s="1"/>
  <c r="AK1269" i="1"/>
  <c r="AK1268" i="1"/>
  <c r="AA12" i="267"/>
  <c r="AK116" i="1"/>
  <c r="AK83" i="1"/>
  <c r="AK82" i="1"/>
  <c r="AK89" i="1"/>
  <c r="AC58" i="523" s="1"/>
  <c r="AC60" i="523" s="1"/>
  <c r="AC61" i="523" s="1"/>
  <c r="J38" i="276"/>
  <c r="H38" i="276"/>
  <c r="F38" i="276"/>
  <c r="G38" i="276"/>
  <c r="AA18" i="267"/>
  <c r="AA19" i="267" s="1"/>
  <c r="AK59" i="1" s="1"/>
  <c r="AK60" i="1" s="1"/>
  <c r="AA15" i="267"/>
  <c r="AK93" i="1" l="1"/>
  <c r="AK94" i="1" s="1"/>
  <c r="AK63" i="1"/>
  <c r="AK66" i="1" s="1"/>
  <c r="AK104" i="1"/>
  <c r="AK90" i="1"/>
  <c r="AK140" i="1"/>
  <c r="AK113" i="1"/>
  <c r="AC57" i="198"/>
  <c r="AC59" i="198" s="1"/>
  <c r="AC60" i="198" s="1"/>
  <c r="AK91" i="1"/>
  <c r="AK110" i="1" s="1"/>
  <c r="BO1423" i="1"/>
  <c r="BO1425" i="1" s="1"/>
  <c r="BO1426" i="1" s="1"/>
  <c r="AK96" i="1" l="1"/>
  <c r="AK95" i="1"/>
  <c r="AK106" i="1"/>
  <c r="BT104" i="1"/>
  <c r="BT106" i="1" s="1"/>
  <c r="AK65" i="1"/>
  <c r="AK55" i="1" s="1"/>
  <c r="AK117" i="1"/>
  <c r="AK105" i="1"/>
  <c r="AK1190" i="1" l="1"/>
  <c r="AK1193" i="1" s="1"/>
  <c r="AK124" i="1"/>
  <c r="AK118" i="1"/>
  <c r="AK119" i="1" l="1"/>
  <c r="R107" i="519" l="1"/>
  <c r="R140" i="519" s="1"/>
  <c r="R50" i="519"/>
  <c r="R52" i="519" s="1"/>
  <c r="R61" i="519" l="1"/>
  <c r="R54" i="519"/>
  <c r="S29" i="519"/>
  <c r="S50" i="519" s="1"/>
  <c r="R59" i="519"/>
  <c r="R58" i="519"/>
  <c r="S54" i="519" l="1"/>
  <c r="S52" i="519"/>
  <c r="S107" i="519"/>
  <c r="S140" i="519" s="1"/>
  <c r="T29" i="519" s="1"/>
  <c r="S61" i="519"/>
  <c r="S58" i="519"/>
  <c r="S59" i="519"/>
  <c r="T50" i="519" l="1"/>
  <c r="T61" i="519" s="1"/>
  <c r="T107" i="519"/>
  <c r="T140" i="519" s="1"/>
  <c r="U29" i="519" s="1"/>
  <c r="T59" i="519" l="1"/>
  <c r="T58" i="519"/>
  <c r="T52" i="519"/>
  <c r="T54" i="519"/>
  <c r="U107" i="519"/>
  <c r="U140" i="519" s="1"/>
  <c r="V29" i="519" s="1"/>
  <c r="V107" i="519" s="1"/>
  <c r="V140" i="519" s="1"/>
  <c r="W29" i="519" s="1"/>
  <c r="W107" i="519" s="1"/>
  <c r="W140" i="519" s="1"/>
  <c r="X29" i="519" s="1"/>
  <c r="X107" i="519" l="1"/>
  <c r="X140" i="519" s="1"/>
  <c r="Y29" i="519" s="1"/>
  <c r="Y107" i="519" l="1"/>
  <c r="Y140" i="519" s="1"/>
  <c r="Z29" i="519" s="1"/>
  <c r="Z107" i="519" s="1"/>
  <c r="Z140" i="519" s="1"/>
  <c r="AA29" i="519" s="1"/>
  <c r="AA107" i="519" l="1"/>
  <c r="AA140" i="519" s="1"/>
  <c r="AB29" i="519" s="1"/>
  <c r="AB107" i="519" l="1"/>
  <c r="AB140" i="519" s="1"/>
  <c r="AC29" i="519" s="1"/>
  <c r="AC107" i="519" l="1"/>
  <c r="AC140" i="519" s="1"/>
  <c r="AD29" i="519" s="1"/>
  <c r="AD107" i="519" l="1"/>
  <c r="AD140" i="519" s="1"/>
  <c r="AE29" i="519" s="1"/>
  <c r="AE107" i="519" l="1"/>
  <c r="AE140" i="519" s="1"/>
  <c r="AF29" i="519" s="1"/>
  <c r="AF107" i="519" l="1"/>
  <c r="AF140" i="519" s="1"/>
  <c r="AG29" i="519" s="1"/>
  <c r="AG107" i="519" l="1"/>
  <c r="AG140" i="519" s="1"/>
  <c r="AO101" i="1" l="1"/>
  <c r="M9" i="198" l="1"/>
  <c r="L10" i="198"/>
  <c r="N9" i="198" l="1"/>
  <c r="M10" i="198"/>
  <c r="N10" i="198" l="1"/>
  <c r="O9" i="198"/>
  <c r="O10" i="198" l="1"/>
  <c r="P9" i="198"/>
  <c r="P10" i="198" l="1"/>
  <c r="Q9" i="198"/>
  <c r="R9" i="198" l="1"/>
  <c r="Q10" i="198"/>
  <c r="R10" i="198" l="1"/>
  <c r="S9" i="198"/>
  <c r="S10" i="198" l="1"/>
  <c r="T9" i="198"/>
  <c r="U9" i="198" l="1"/>
  <c r="T10" i="198"/>
  <c r="U10" i="198" l="1"/>
  <c r="V9" i="198"/>
  <c r="V10" i="198" s="1"/>
  <c r="AL265" i="1"/>
  <c r="AL282" i="1"/>
  <c r="AP282" i="1" s="1"/>
  <c r="AP258" i="1" s="1"/>
  <c r="AP265" i="1" s="1"/>
  <c r="AL259" i="1"/>
  <c r="AL266" i="1" s="1"/>
  <c r="AL283" i="1" l="1"/>
  <c r="AL1085" i="1" l="1"/>
  <c r="BO1085" i="1" s="1"/>
  <c r="AL1104" i="1"/>
  <c r="BO32" i="1"/>
  <c r="BO39" i="1" s="1"/>
  <c r="BO40" i="1"/>
  <c r="BO47" i="1" l="1"/>
  <c r="BO41" i="1"/>
  <c r="BO1104" i="1"/>
  <c r="AL1111" i="1"/>
  <c r="AL49" i="1" s="1"/>
  <c r="AL1267" i="1" l="1"/>
  <c r="AM1268" i="1" s="1"/>
  <c r="AL53" i="1"/>
  <c r="E37" i="276"/>
  <c r="AL54" i="1"/>
  <c r="AB11" i="267"/>
  <c r="AL50" i="1"/>
  <c r="AL58" i="1" s="1"/>
  <c r="AL72" i="1"/>
  <c r="AL73" i="1" s="1"/>
  <c r="BO49" i="1"/>
  <c r="AL81" i="1"/>
  <c r="BO1111" i="1"/>
  <c r="AL1114" i="1"/>
  <c r="AL1112" i="1"/>
  <c r="AL1113" i="1" s="1"/>
  <c r="AL62" i="1" s="1"/>
  <c r="AL1087" i="1"/>
  <c r="BO1087" i="1" s="1"/>
  <c r="AL1269" i="1" l="1"/>
  <c r="AL1268" i="1"/>
  <c r="BO1267" i="1"/>
  <c r="J13" i="523"/>
  <c r="BO1090" i="1"/>
  <c r="BO1091" i="1"/>
  <c r="J13" i="504"/>
  <c r="J126" i="504" s="1"/>
  <c r="J127" i="504" s="1"/>
  <c r="J13" i="503"/>
  <c r="J126" i="503" s="1"/>
  <c r="J127" i="503" s="1"/>
  <c r="AL51" i="1"/>
  <c r="BO62" i="1"/>
  <c r="J25" i="523" s="1"/>
  <c r="AL74" i="1"/>
  <c r="AL76" i="1" s="1"/>
  <c r="AL116" i="1"/>
  <c r="BO116" i="1" s="1"/>
  <c r="BO73" i="1"/>
  <c r="H37" i="276"/>
  <c r="G37" i="276"/>
  <c r="F37" i="276"/>
  <c r="AL89" i="1"/>
  <c r="BO81" i="1"/>
  <c r="AL82" i="1"/>
  <c r="AL83" i="1"/>
  <c r="J13" i="198"/>
  <c r="J125" i="198" s="1"/>
  <c r="BO54" i="1"/>
  <c r="BO52" i="1"/>
  <c r="BO204" i="1" s="1"/>
  <c r="BO196" i="1" s="1"/>
  <c r="BO72" i="1"/>
  <c r="BO53" i="1"/>
  <c r="BO50" i="1"/>
  <c r="BO58" i="1" s="1"/>
  <c r="AB13" i="267"/>
  <c r="AB16" i="267" s="1"/>
  <c r="AB12" i="267"/>
  <c r="AL1095" i="1"/>
  <c r="AL1094" i="1"/>
  <c r="BO1114" i="1"/>
  <c r="BO1112" i="1"/>
  <c r="J61" i="503" l="1"/>
  <c r="J60" i="198"/>
  <c r="J61" i="523"/>
  <c r="BO122" i="1"/>
  <c r="BO1192" i="1" s="1"/>
  <c r="J61" i="504"/>
  <c r="AL273" i="1"/>
  <c r="AL203" i="1"/>
  <c r="BO51" i="1"/>
  <c r="BO203" i="1" s="1"/>
  <c r="AL52" i="1"/>
  <c r="J33" i="523"/>
  <c r="J14" i="523"/>
  <c r="J22" i="523" s="1"/>
  <c r="J126" i="523"/>
  <c r="J127" i="523" s="1"/>
  <c r="J18" i="523"/>
  <c r="J17" i="523"/>
  <c r="BO1268" i="1"/>
  <c r="BO1269" i="1"/>
  <c r="AL93" i="1"/>
  <c r="AM94" i="1" s="1"/>
  <c r="AM140" i="1"/>
  <c r="BO1113" i="1"/>
  <c r="J25" i="198"/>
  <c r="J18" i="503"/>
  <c r="J14" i="503"/>
  <c r="J17" i="503"/>
  <c r="J18" i="504"/>
  <c r="J17" i="504"/>
  <c r="J14" i="504"/>
  <c r="AB18" i="267"/>
  <c r="AB19" i="267" s="1"/>
  <c r="AL59" i="1" s="1"/>
  <c r="AB15" i="267"/>
  <c r="J14" i="198"/>
  <c r="J22" i="198" s="1"/>
  <c r="J32" i="198"/>
  <c r="J45" i="198" s="1"/>
  <c r="J17" i="198"/>
  <c r="J18" i="198"/>
  <c r="AL113" i="1"/>
  <c r="AL104" i="1"/>
  <c r="AL140" i="1"/>
  <c r="AL91" i="1"/>
  <c r="AL110" i="1" s="1"/>
  <c r="AL90" i="1"/>
  <c r="BO89" i="1"/>
  <c r="BO74" i="1"/>
  <c r="BO83" i="1"/>
  <c r="BO82" i="1"/>
  <c r="AL77" i="1"/>
  <c r="BO76" i="1"/>
  <c r="BO77" i="1" s="1"/>
  <c r="AL204" i="1" l="1"/>
  <c r="AL196" i="1" s="1"/>
  <c r="AL60" i="1"/>
  <c r="J62" i="523"/>
  <c r="BO273" i="1"/>
  <c r="J61" i="198"/>
  <c r="AL95" i="1"/>
  <c r="AL94" i="1"/>
  <c r="AL96" i="1"/>
  <c r="J64" i="523"/>
  <c r="J35" i="523"/>
  <c r="J34" i="523"/>
  <c r="J36" i="523"/>
  <c r="J46" i="523"/>
  <c r="BO93" i="1"/>
  <c r="BO94" i="1" s="1"/>
  <c r="J33" i="504"/>
  <c r="J62" i="504" s="1"/>
  <c r="J33" i="503"/>
  <c r="J62" i="503" s="1"/>
  <c r="J46" i="198"/>
  <c r="J47" i="198"/>
  <c r="AL63" i="1"/>
  <c r="AL66" i="1" s="1"/>
  <c r="AL106" i="1"/>
  <c r="AL105" i="1"/>
  <c r="J33" i="198"/>
  <c r="J34" i="198"/>
  <c r="J63" i="198"/>
  <c r="J35" i="198"/>
  <c r="BO91" i="1"/>
  <c r="BO90" i="1"/>
  <c r="AL117" i="1"/>
  <c r="BO113" i="1"/>
  <c r="BO75" i="1"/>
  <c r="J48" i="523" l="1"/>
  <c r="J47" i="523"/>
  <c r="J65" i="523"/>
  <c r="J89" i="523"/>
  <c r="BO95" i="1"/>
  <c r="BO96" i="1"/>
  <c r="J35" i="503"/>
  <c r="J36" i="503"/>
  <c r="J64" i="503"/>
  <c r="J34" i="503"/>
  <c r="J46" i="503"/>
  <c r="J34" i="504"/>
  <c r="J64" i="504"/>
  <c r="J36" i="504"/>
  <c r="J35" i="504"/>
  <c r="J46" i="504"/>
  <c r="AL65" i="1"/>
  <c r="AL55" i="1" s="1"/>
  <c r="AL118" i="1"/>
  <c r="AL124" i="1"/>
  <c r="AL1190" i="1"/>
  <c r="AL1193" i="1" s="1"/>
  <c r="J64" i="198"/>
  <c r="J88" i="198"/>
  <c r="J132" i="523" l="1"/>
  <c r="I133" i="523" s="1"/>
  <c r="I135" i="523"/>
  <c r="J48" i="504"/>
  <c r="J47" i="504"/>
  <c r="J89" i="504"/>
  <c r="J133" i="504" s="1"/>
  <c r="I134" i="504" s="1"/>
  <c r="J65" i="504"/>
  <c r="J48" i="503"/>
  <c r="J47" i="503"/>
  <c r="J89" i="503"/>
  <c r="J132" i="503" s="1"/>
  <c r="I133" i="503" s="1"/>
  <c r="J65" i="503"/>
  <c r="I134" i="198"/>
  <c r="J131" i="198"/>
  <c r="I132" i="198" s="1"/>
  <c r="AL119" i="1"/>
  <c r="AL879" i="1" l="1"/>
  <c r="AL896" i="1" l="1"/>
  <c r="AL893" i="1"/>
  <c r="AP101" i="1" l="1"/>
  <c r="M10" i="522" l="1"/>
  <c r="N10" i="522" s="1"/>
  <c r="N15" i="522" s="1"/>
  <c r="L15" i="522"/>
  <c r="L31" i="522" s="1"/>
  <c r="L36" i="522"/>
  <c r="L37" i="522" s="1"/>
  <c r="L47" i="522" l="1"/>
  <c r="L63" i="522" s="1"/>
  <c r="L21" i="522"/>
  <c r="L20" i="522" s="1"/>
  <c r="N21" i="522"/>
  <c r="O18" i="522" s="1"/>
  <c r="O20" i="522" s="1"/>
  <c r="N36" i="522"/>
  <c r="N37" i="522" s="1"/>
  <c r="N31" i="522"/>
  <c r="N47" i="522"/>
  <c r="N53" i="522" s="1"/>
  <c r="O50" i="522" s="1"/>
  <c r="O52" i="522" s="1"/>
  <c r="M15" i="522"/>
  <c r="L53" i="522" l="1"/>
  <c r="L66" i="522"/>
  <c r="L68" i="522" s="1"/>
  <c r="L69" i="522" s="1"/>
  <c r="M18" i="522"/>
  <c r="N63" i="522"/>
  <c r="N66" i="522"/>
  <c r="N68" i="522" s="1"/>
  <c r="N69" i="522" s="1"/>
  <c r="M36" i="522"/>
  <c r="M37" i="522" s="1"/>
  <c r="M21" i="522"/>
  <c r="N18" i="522" s="1"/>
  <c r="N20" i="522" s="1"/>
  <c r="M47" i="522"/>
  <c r="M31" i="522"/>
  <c r="L52" i="522"/>
  <c r="M50" i="522"/>
  <c r="M53" i="522" l="1"/>
  <c r="N50" i="522" s="1"/>
  <c r="N52" i="522" s="1"/>
  <c r="M63" i="522"/>
  <c r="M66" i="522"/>
  <c r="M68" i="522" s="1"/>
  <c r="M69" i="522" s="1"/>
  <c r="M20" i="522"/>
  <c r="M52" i="522" l="1"/>
  <c r="F10" i="522"/>
  <c r="F15" i="522" s="1"/>
  <c r="D15" i="522"/>
  <c r="D21" i="522" s="1"/>
  <c r="D20" i="522" s="1"/>
  <c r="E15" i="522"/>
  <c r="E21" i="522" s="1"/>
  <c r="D36" i="522"/>
  <c r="D37" i="522" s="1"/>
  <c r="E36" i="522"/>
  <c r="E37" i="522" s="1"/>
  <c r="D47" i="522" l="1"/>
  <c r="D66" i="522" s="1"/>
  <c r="D68" i="522" s="1"/>
  <c r="D69" i="522" s="1"/>
  <c r="E47" i="522"/>
  <c r="E53" i="522" s="1"/>
  <c r="F50" i="522" s="1"/>
  <c r="E31" i="522"/>
  <c r="D31" i="522"/>
  <c r="F47" i="522"/>
  <c r="F21" i="522"/>
  <c r="F31" i="522"/>
  <c r="F36" i="522"/>
  <c r="F37" i="522" s="1"/>
  <c r="F18" i="522"/>
  <c r="E18" i="522"/>
  <c r="E20" i="522" s="1"/>
  <c r="E63" i="522" l="1"/>
  <c r="E66" i="522"/>
  <c r="E68" i="522" s="1"/>
  <c r="E69" i="522" s="1"/>
  <c r="D53" i="522"/>
  <c r="D63" i="522"/>
  <c r="F20" i="522"/>
  <c r="G18" i="522"/>
  <c r="G20" i="522" s="1"/>
  <c r="D52" i="522"/>
  <c r="E50" i="522"/>
  <c r="E52" i="522" s="1"/>
  <c r="F66" i="522"/>
  <c r="F68" i="522" s="1"/>
  <c r="F69" i="522" s="1"/>
  <c r="F63" i="522"/>
  <c r="F53" i="522"/>
  <c r="G50" i="522" l="1"/>
  <c r="G52" i="522" s="1"/>
  <c r="F52" i="522"/>
  <c r="T186" i="519" l="1"/>
  <c r="BO868" i="1" l="1"/>
  <c r="BO883" i="1" l="1"/>
  <c r="BO897" i="1" s="1"/>
  <c r="BO882" i="1"/>
  <c r="BO896" i="1" s="1"/>
  <c r="BO869" i="1"/>
  <c r="BO880" i="1" s="1"/>
  <c r="BO894" i="1" s="1"/>
  <c r="BO879" i="1"/>
  <c r="BO893" i="1" s="1"/>
  <c r="AM100" i="1" l="1"/>
  <c r="AM104" i="1" s="1"/>
  <c r="AM105" i="1" s="1"/>
  <c r="AM109" i="1"/>
  <c r="AM110" i="1" s="1"/>
  <c r="BO114" i="1"/>
  <c r="J50" i="523" s="1"/>
  <c r="AM117" i="1"/>
  <c r="J51" i="523" l="1"/>
  <c r="J68" i="523"/>
  <c r="J69" i="523" s="1"/>
  <c r="L151" i="523"/>
  <c r="L155" i="523" s="1"/>
  <c r="J52" i="523"/>
  <c r="J54" i="523"/>
  <c r="J50" i="504"/>
  <c r="J50" i="503"/>
  <c r="AM118" i="1"/>
  <c r="BO118" i="1" s="1"/>
  <c r="BO119" i="1" s="1"/>
  <c r="AM124" i="1"/>
  <c r="BO117" i="1"/>
  <c r="BO1190" i="1" s="1"/>
  <c r="BO1193" i="1" s="1"/>
  <c r="J49" i="198"/>
  <c r="AM1190" i="1"/>
  <c r="AM1193" i="1" s="1"/>
  <c r="BO139" i="1"/>
  <c r="AQ101" i="1"/>
  <c r="AM101" i="1"/>
  <c r="BO100" i="1"/>
  <c r="BO109" i="1"/>
  <c r="BO110" i="1" s="1"/>
  <c r="AM106" i="1"/>
  <c r="AM102" i="1"/>
  <c r="J51" i="504" l="1"/>
  <c r="J51" i="503"/>
  <c r="J50" i="198"/>
  <c r="J77" i="523"/>
  <c r="J78" i="523" s="1"/>
  <c r="BO1271" i="1"/>
  <c r="J55" i="523"/>
  <c r="J56" i="523"/>
  <c r="J70" i="523"/>
  <c r="J88" i="523"/>
  <c r="J51" i="198"/>
  <c r="AM119" i="1"/>
  <c r="J77" i="503"/>
  <c r="J78" i="503" s="1"/>
  <c r="J77" i="504"/>
  <c r="J78" i="504" s="1"/>
  <c r="J68" i="503"/>
  <c r="J69" i="503" s="1"/>
  <c r="J52" i="503"/>
  <c r="J54" i="503"/>
  <c r="J68" i="504"/>
  <c r="J69" i="504" s="1"/>
  <c r="J52" i="504"/>
  <c r="J54" i="504"/>
  <c r="L150" i="198"/>
  <c r="L154" i="198" s="1"/>
  <c r="BO124" i="1"/>
  <c r="AB19" i="522"/>
  <c r="J53" i="198"/>
  <c r="J55" i="198" s="1"/>
  <c r="J67" i="198"/>
  <c r="J68" i="198" s="1"/>
  <c r="J69" i="198" s="1"/>
  <c r="BO125" i="1"/>
  <c r="BO140" i="1"/>
  <c r="J76" i="198"/>
  <c r="J77" i="198" s="1"/>
  <c r="BO102" i="1"/>
  <c r="BO104" i="1"/>
  <c r="BO101" i="1"/>
  <c r="J75" i="504" l="1"/>
  <c r="J74" i="504" s="1"/>
  <c r="J75" i="523"/>
  <c r="J74" i="523" s="1"/>
  <c r="J74" i="198"/>
  <c r="J73" i="198" s="1"/>
  <c r="J75" i="503"/>
  <c r="J74" i="503" s="1"/>
  <c r="AO124" i="1"/>
  <c r="J54" i="198"/>
  <c r="J56" i="503"/>
  <c r="J55" i="503"/>
  <c r="AP124" i="1"/>
  <c r="J56" i="504"/>
  <c r="J55" i="504"/>
  <c r="J70" i="504"/>
  <c r="J88" i="504"/>
  <c r="J88" i="503"/>
  <c r="J70" i="503"/>
  <c r="J87" i="198"/>
  <c r="BO106" i="1"/>
  <c r="BO105" i="1"/>
  <c r="M77" i="198" l="1"/>
  <c r="N77" i="198" s="1"/>
  <c r="O77" i="198" l="1"/>
  <c r="P77" i="198" l="1"/>
  <c r="Q77" i="198" l="1"/>
  <c r="R77" i="198" l="1"/>
  <c r="S77" i="198" l="1"/>
  <c r="T77" i="198" l="1"/>
  <c r="U77" i="198" l="1"/>
  <c r="V77" i="198" l="1"/>
  <c r="K95" i="198"/>
  <c r="AC18" i="267" l="1"/>
  <c r="AC19" i="267" s="1"/>
  <c r="AM59" i="1" s="1"/>
  <c r="AM60" i="1" s="1"/>
  <c r="BO59" i="1" l="1"/>
  <c r="AM63" i="1"/>
  <c r="AM66" i="1" s="1"/>
  <c r="J23" i="198" l="1"/>
  <c r="J23" i="523"/>
  <c r="BO63" i="1"/>
  <c r="J16" i="523" s="1"/>
  <c r="J27" i="523" s="1"/>
  <c r="AM65" i="1"/>
  <c r="AM55" i="1" s="1"/>
  <c r="J16" i="504" l="1"/>
  <c r="J16" i="503"/>
  <c r="J16" i="198"/>
  <c r="J27" i="198" s="1"/>
  <c r="BO65" i="1"/>
  <c r="BO55" i="1" s="1"/>
  <c r="J19" i="523" s="1"/>
  <c r="J19" i="504" l="1"/>
  <c r="J19" i="503"/>
  <c r="J19" i="198"/>
  <c r="AB21" i="522"/>
  <c r="AC18" i="522" s="1"/>
  <c r="AB31" i="522"/>
  <c r="AB34" i="522"/>
  <c r="S34" i="522" s="1"/>
  <c r="AB20" i="522" l="1"/>
  <c r="P10" i="522" l="1"/>
  <c r="Q10" i="522" s="1"/>
  <c r="R10" i="522" s="1"/>
  <c r="P11" i="522"/>
  <c r="Q11" i="522" s="1"/>
  <c r="R11" i="522" s="1"/>
  <c r="P12" i="522"/>
  <c r="Q12" i="522" s="1"/>
  <c r="R12" i="522" s="1"/>
  <c r="P13" i="522"/>
  <c r="Q13" i="522" s="1"/>
  <c r="R13" i="522" s="1"/>
  <c r="P14" i="522"/>
  <c r="Q14" i="522" s="1"/>
  <c r="R14" i="522" s="1"/>
  <c r="S31" i="522"/>
  <c r="R15" i="522" l="1"/>
  <c r="R31" i="522" s="1"/>
  <c r="Q15" i="522"/>
  <c r="P15" i="522"/>
  <c r="R47" i="522" l="1"/>
  <c r="R53" i="522" s="1"/>
  <c r="R21" i="522"/>
  <c r="S18" i="522" s="1"/>
  <c r="S20" i="522" s="1"/>
  <c r="Q31" i="522"/>
  <c r="Q21" i="522"/>
  <c r="Q47" i="522"/>
  <c r="R63" i="522"/>
  <c r="P21" i="522"/>
  <c r="P47" i="522"/>
  <c r="P31" i="522"/>
  <c r="R66" i="522" l="1"/>
  <c r="AB47" i="522"/>
  <c r="S53" i="522"/>
  <c r="S63" i="522"/>
  <c r="S66" i="522"/>
  <c r="Q66" i="522"/>
  <c r="Q63" i="522"/>
  <c r="Q53" i="522"/>
  <c r="R18" i="522"/>
  <c r="R20" i="522" s="1"/>
  <c r="P66" i="522"/>
  <c r="P63" i="522"/>
  <c r="P53" i="522"/>
  <c r="P20" i="522"/>
  <c r="Q18" i="522"/>
  <c r="Q20" i="522" s="1"/>
  <c r="S50" i="522"/>
  <c r="S52" i="522" l="1"/>
  <c r="R50" i="522"/>
  <c r="R52" i="522" s="1"/>
  <c r="P52" i="522"/>
  <c r="Q50" i="522"/>
  <c r="Q52" i="522" s="1"/>
  <c r="AB63" i="522"/>
  <c r="AB53" i="522"/>
  <c r="AB66" i="522"/>
  <c r="AB52" i="522" l="1"/>
  <c r="AC50" i="522"/>
  <c r="P34" i="522" l="1"/>
  <c r="Q34" i="522" s="1"/>
  <c r="R34" i="522" s="1"/>
  <c r="S35" i="522"/>
  <c r="AB36" i="522"/>
  <c r="AB37" i="522" s="1"/>
  <c r="AB43" i="522"/>
  <c r="AB42" i="522" s="1"/>
  <c r="S67" i="522" l="1"/>
  <c r="AB67" i="522" s="1"/>
  <c r="AB75" i="522" s="1"/>
  <c r="AC72" i="522" s="1"/>
  <c r="S43" i="522"/>
  <c r="P35" i="522"/>
  <c r="Q35" i="522" s="1"/>
  <c r="AC40" i="522"/>
  <c r="S36" i="522"/>
  <c r="S37" i="522" s="1"/>
  <c r="S75" i="522" l="1"/>
  <c r="AB68" i="522"/>
  <c r="AB69" i="522" s="1"/>
  <c r="S68" i="522"/>
  <c r="S69" i="522" s="1"/>
  <c r="P36" i="522"/>
  <c r="P37" i="522" s="1"/>
  <c r="P43" i="522"/>
  <c r="P42" i="522" s="1"/>
  <c r="P67" i="522"/>
  <c r="P68" i="522" s="1"/>
  <c r="P69" i="522" s="1"/>
  <c r="Q40" i="522"/>
  <c r="Q67" i="522"/>
  <c r="Q43" i="522"/>
  <c r="Q36" i="522"/>
  <c r="Q37" i="522" s="1"/>
  <c r="R35" i="522"/>
  <c r="AB74" i="522"/>
  <c r="P75" i="522" l="1"/>
  <c r="P74" i="522" s="1"/>
  <c r="Q42" i="522"/>
  <c r="R40" i="522"/>
  <c r="Q68" i="522"/>
  <c r="Q69" i="522" s="1"/>
  <c r="Q75" i="522"/>
  <c r="R67" i="522"/>
  <c r="R43" i="522"/>
  <c r="S40" i="522" s="1"/>
  <c r="S42" i="522" s="1"/>
  <c r="R36" i="522"/>
  <c r="R37" i="522" s="1"/>
  <c r="Q72" i="522" l="1"/>
  <c r="Q74" i="522" s="1"/>
  <c r="R72" i="522"/>
  <c r="R42" i="522"/>
  <c r="R68" i="522"/>
  <c r="R69" i="522" s="1"/>
  <c r="R75" i="522"/>
  <c r="S72" i="522" l="1"/>
  <c r="S74" i="522" s="1"/>
  <c r="R74" i="522"/>
  <c r="BO258" i="1" l="1"/>
  <c r="BO265" i="1" s="1"/>
  <c r="AM265" i="1"/>
  <c r="AM282" i="1"/>
  <c r="AQ282" i="1" s="1"/>
  <c r="AQ258" i="1" s="1"/>
  <c r="AQ265" i="1" s="1"/>
  <c r="AM259" i="1"/>
  <c r="AM283" i="1" s="1"/>
  <c r="BO259" i="1" l="1"/>
  <c r="BO282" i="1"/>
  <c r="AM266" i="1"/>
  <c r="BP258" i="1"/>
  <c r="BO283" i="1" l="1"/>
  <c r="BO266" i="1"/>
  <c r="BP265" i="1"/>
  <c r="M127" i="523" l="1"/>
  <c r="N127" i="523" s="1"/>
  <c r="O127" i="523" s="1"/>
  <c r="P127" i="523" s="1"/>
  <c r="Q127" i="523" l="1"/>
  <c r="R127" i="523" s="1"/>
  <c r="S127" i="523" s="1"/>
  <c r="T127" i="523" s="1"/>
  <c r="U127" i="523" s="1"/>
  <c r="V127" i="523" s="1"/>
  <c r="U16" i="519" l="1"/>
  <c r="U81" i="519" s="1"/>
  <c r="U198" i="519"/>
  <c r="U36" i="519" l="1"/>
  <c r="V81" i="519"/>
  <c r="W81" i="519" s="1"/>
  <c r="X81" i="519" s="1"/>
  <c r="Y81" i="519" s="1"/>
  <c r="Z81" i="519" s="1"/>
  <c r="AA81" i="519" s="1"/>
  <c r="AB81" i="519" s="1"/>
  <c r="U35" i="519"/>
  <c r="U64" i="519"/>
  <c r="U114" i="519" l="1"/>
  <c r="U147" i="519" s="1"/>
  <c r="V36" i="519" s="1"/>
  <c r="V114" i="519" s="1"/>
  <c r="V147" i="519" s="1"/>
  <c r="W36" i="519" s="1"/>
  <c r="AC81" i="519"/>
  <c r="V64" i="519"/>
  <c r="U130" i="519"/>
  <c r="V19" i="519" s="1"/>
  <c r="U113" i="519"/>
  <c r="U146" i="519" s="1"/>
  <c r="V35" i="519" s="1"/>
  <c r="V113" i="519" s="1"/>
  <c r="V146" i="519" s="1"/>
  <c r="W35" i="519" s="1"/>
  <c r="U50" i="519"/>
  <c r="W114" i="519" l="1"/>
  <c r="W147" i="519" s="1"/>
  <c r="X36" i="519" s="1"/>
  <c r="AD81" i="519"/>
  <c r="W113" i="519"/>
  <c r="W146" i="519" s="1"/>
  <c r="U58" i="519"/>
  <c r="U59" i="519"/>
  <c r="U61" i="519"/>
  <c r="U54" i="519"/>
  <c r="U52" i="519"/>
  <c r="V97" i="519"/>
  <c r="V130" i="519" s="1"/>
  <c r="W19" i="519" s="1"/>
  <c r="W64" i="519"/>
  <c r="X114" i="519" l="1"/>
  <c r="X147" i="519" s="1"/>
  <c r="Y36" i="519" s="1"/>
  <c r="Y114" i="519" s="1"/>
  <c r="Y147" i="519" s="1"/>
  <c r="Z36" i="519" s="1"/>
  <c r="AE81" i="519"/>
  <c r="W97" i="519"/>
  <c r="W130" i="519" s="1"/>
  <c r="X19" i="519" s="1"/>
  <c r="U204" i="519"/>
  <c r="X35" i="519"/>
  <c r="X64" i="519"/>
  <c r="Z114" i="519" l="1"/>
  <c r="Z147" i="519" s="1"/>
  <c r="AA36" i="519" s="1"/>
  <c r="AA114" i="519" s="1"/>
  <c r="AA147" i="519" s="1"/>
  <c r="AB36" i="519" s="1"/>
  <c r="AB114" i="519" s="1"/>
  <c r="AB147" i="519" s="1"/>
  <c r="AC36" i="519" s="1"/>
  <c r="AC114" i="519" s="1"/>
  <c r="AC147" i="519" s="1"/>
  <c r="AD36" i="519" s="1"/>
  <c r="AD114" i="519" s="1"/>
  <c r="AD147" i="519" s="1"/>
  <c r="AE36" i="519" s="1"/>
  <c r="AE114" i="519" s="1"/>
  <c r="AE147" i="519" s="1"/>
  <c r="AF36" i="519" s="1"/>
  <c r="AF114" i="519" s="1"/>
  <c r="U209" i="519"/>
  <c r="U210" i="519"/>
  <c r="AF81" i="519"/>
  <c r="X113" i="519"/>
  <c r="X146" i="519" s="1"/>
  <c r="Y35" i="519" s="1"/>
  <c r="Y64" i="519"/>
  <c r="X97" i="519"/>
  <c r="X130" i="519" s="1"/>
  <c r="U199" i="519"/>
  <c r="U200" i="519" s="1"/>
  <c r="V184" i="519"/>
  <c r="V186" i="519" s="1"/>
  <c r="AF147" i="519" l="1"/>
  <c r="AG36" i="519" s="1"/>
  <c r="AG114" i="519" s="1"/>
  <c r="AG81" i="519"/>
  <c r="Y113" i="519"/>
  <c r="Y146" i="519" s="1"/>
  <c r="Z35" i="519" s="1"/>
  <c r="Z113" i="519" s="1"/>
  <c r="Z146" i="519" s="1"/>
  <c r="AA35" i="519" s="1"/>
  <c r="AA113" i="519" s="1"/>
  <c r="Z64" i="519"/>
  <c r="V202" i="519"/>
  <c r="U206" i="519"/>
  <c r="Y19" i="519"/>
  <c r="AG147" i="519" l="1"/>
  <c r="Y97" i="519"/>
  <c r="Y130" i="519" s="1"/>
  <c r="Z19" i="519" s="1"/>
  <c r="AA64" i="519"/>
  <c r="U211" i="519"/>
  <c r="AA146" i="519"/>
  <c r="Z97" i="519" l="1"/>
  <c r="Z130" i="519" s="1"/>
  <c r="AA19" i="519" s="1"/>
  <c r="AB64" i="519"/>
  <c r="AB35" i="519"/>
  <c r="AA97" i="519" l="1"/>
  <c r="AA130" i="519" s="1"/>
  <c r="AB19" i="519" s="1"/>
  <c r="AB97" i="519" s="1"/>
  <c r="AB130" i="519" s="1"/>
  <c r="AC64" i="519"/>
  <c r="AB113" i="519"/>
  <c r="AB146" i="519" s="1"/>
  <c r="AC35" i="519" s="1"/>
  <c r="AC113" i="519" s="1"/>
  <c r="AC146" i="519" s="1"/>
  <c r="AD35" i="519" s="1"/>
  <c r="AD113" i="519" s="1"/>
  <c r="AC19" i="519" l="1"/>
  <c r="AD64" i="519"/>
  <c r="AD146" i="519"/>
  <c r="AC97" i="519" l="1"/>
  <c r="AC130" i="519" s="1"/>
  <c r="AD19" i="519" s="1"/>
  <c r="AE35" i="519"/>
  <c r="AE113" i="519" s="1"/>
  <c r="AE146" i="519" s="1"/>
  <c r="AF35" i="519" s="1"/>
  <c r="AF113" i="519" s="1"/>
  <c r="AE64" i="519"/>
  <c r="AD97" i="519" l="1"/>
  <c r="AD130" i="519" s="1"/>
  <c r="AE19" i="519" s="1"/>
  <c r="AF146" i="519"/>
  <c r="AG35" i="519" s="1"/>
  <c r="AG113" i="519" s="1"/>
  <c r="AF64" i="519"/>
  <c r="AE97" i="519" l="1"/>
  <c r="AE130" i="519" s="1"/>
  <c r="AF19" i="519" s="1"/>
  <c r="AF97" i="519" s="1"/>
  <c r="AF130" i="519" s="1"/>
  <c r="AG19" i="519" s="1"/>
  <c r="AG146" i="519"/>
  <c r="AG64" i="519"/>
  <c r="AG97" i="519" l="1"/>
  <c r="AG130" i="519" s="1"/>
  <c r="U14" i="519" l="1"/>
  <c r="U15" i="519" s="1"/>
  <c r="V15" i="519" s="1"/>
  <c r="V176" i="519"/>
  <c r="V178" i="519" s="1"/>
  <c r="U203" i="519"/>
  <c r="U205" i="519" s="1"/>
  <c r="C122" i="198" l="1"/>
  <c r="D122" i="198"/>
  <c r="C120" i="198"/>
  <c r="D120" i="198"/>
  <c r="I122" i="198"/>
  <c r="J122" i="198"/>
  <c r="E120" i="198"/>
  <c r="F120" i="198"/>
  <c r="G120" i="198"/>
  <c r="H120" i="198"/>
  <c r="I120" i="198"/>
  <c r="J120" i="198"/>
  <c r="K120" i="198" s="1"/>
  <c r="L120" i="198" s="1"/>
  <c r="E122" i="198"/>
  <c r="F122" i="198"/>
  <c r="G122" i="198"/>
  <c r="H122" i="198"/>
  <c r="M120" i="198" l="1"/>
  <c r="E123" i="198"/>
  <c r="E126" i="198" s="1"/>
  <c r="G123" i="198"/>
  <c r="G126" i="198" s="1"/>
  <c r="I123" i="198"/>
  <c r="I126" i="198" s="1"/>
  <c r="F123" i="198"/>
  <c r="F126" i="198" s="1"/>
  <c r="J123" i="198"/>
  <c r="J126" i="198" s="1"/>
  <c r="H123" i="198"/>
  <c r="H126" i="198" s="1"/>
  <c r="N120" i="198" l="1"/>
  <c r="O120" i="198" l="1"/>
  <c r="P120" i="198" l="1"/>
  <c r="Q120" i="198" l="1"/>
  <c r="R120" i="198" l="1"/>
  <c r="S120" i="198" l="1"/>
  <c r="T120" i="198" l="1"/>
  <c r="U120" i="198" l="1"/>
  <c r="V120" i="198" l="1"/>
  <c r="L52" i="519" l="1"/>
  <c r="L214" i="519"/>
  <c r="L185" i="519" s="1"/>
  <c r="L192" i="519" l="1"/>
  <c r="L188" i="519"/>
  <c r="L186" i="519"/>
  <c r="L204" i="519"/>
  <c r="L205" i="519" s="1"/>
  <c r="L57" i="519"/>
  <c r="L54" i="519"/>
  <c r="D52" i="519"/>
  <c r="E52" i="519"/>
  <c r="F52" i="519"/>
  <c r="G52" i="519"/>
  <c r="H52" i="519"/>
  <c r="I52" i="519"/>
  <c r="J52" i="519"/>
  <c r="K52" i="519"/>
  <c r="D54" i="519"/>
  <c r="E54" i="519"/>
  <c r="F54" i="519"/>
  <c r="G54" i="519"/>
  <c r="H54" i="519"/>
  <c r="I54" i="519"/>
  <c r="J54" i="519"/>
  <c r="K54" i="519"/>
  <c r="D214" i="519"/>
  <c r="D57" i="519" s="1"/>
  <c r="D59" i="519" s="1"/>
  <c r="E214" i="519"/>
  <c r="E57" i="519" s="1"/>
  <c r="E59" i="519" s="1"/>
  <c r="F214" i="519"/>
  <c r="F57" i="519" s="1"/>
  <c r="G214" i="519"/>
  <c r="G57" i="519" s="1"/>
  <c r="H214" i="519"/>
  <c r="H57" i="519" s="1"/>
  <c r="I214" i="519"/>
  <c r="I57" i="519" s="1"/>
  <c r="J214" i="519"/>
  <c r="J57" i="519" s="1"/>
  <c r="K214" i="519"/>
  <c r="K57" i="519" s="1"/>
  <c r="K185" i="519" l="1"/>
  <c r="K188" i="519" s="1"/>
  <c r="J185" i="519"/>
  <c r="J188" i="519" s="1"/>
  <c r="H185" i="519"/>
  <c r="H192" i="519" s="1"/>
  <c r="I185" i="519"/>
  <c r="I192" i="519" s="1"/>
  <c r="G185" i="519"/>
  <c r="G186" i="519" s="1"/>
  <c r="F185" i="519"/>
  <c r="F186" i="519" s="1"/>
  <c r="E185" i="519"/>
  <c r="E188" i="519" s="1"/>
  <c r="D185" i="519"/>
  <c r="D192" i="519" s="1"/>
  <c r="I58" i="519"/>
  <c r="I59" i="519"/>
  <c r="J59" i="519"/>
  <c r="J58" i="519"/>
  <c r="G59" i="519"/>
  <c r="G58" i="519"/>
  <c r="K59" i="519"/>
  <c r="K58" i="519"/>
  <c r="H58" i="519"/>
  <c r="H59" i="519"/>
  <c r="F59" i="519"/>
  <c r="F58" i="519"/>
  <c r="D58" i="519"/>
  <c r="E58" i="519"/>
  <c r="J186" i="519"/>
  <c r="L59" i="519"/>
  <c r="L58" i="519"/>
  <c r="H186" i="519" l="1"/>
  <c r="H188" i="519"/>
  <c r="K186" i="519"/>
  <c r="K192" i="519"/>
  <c r="K204" i="519"/>
  <c r="K205" i="519" s="1"/>
  <c r="J192" i="519"/>
  <c r="E192" i="519"/>
  <c r="G204" i="519"/>
  <c r="G205" i="519" s="1"/>
  <c r="G192" i="519"/>
  <c r="I204" i="519"/>
  <c r="I205" i="519" s="1"/>
  <c r="F192" i="519"/>
  <c r="J204" i="519"/>
  <c r="J205" i="519" s="1"/>
  <c r="F204" i="519"/>
  <c r="F205" i="519" s="1"/>
  <c r="E186" i="519"/>
  <c r="F188" i="519"/>
  <c r="E204" i="519"/>
  <c r="E205" i="519" s="1"/>
  <c r="I188" i="519"/>
  <c r="I186" i="519"/>
  <c r="H204" i="519"/>
  <c r="H205" i="519" s="1"/>
  <c r="G188" i="519"/>
  <c r="D188" i="519"/>
  <c r="D204" i="519"/>
  <c r="D205" i="519" s="1"/>
  <c r="D186" i="519"/>
  <c r="AG649" i="1"/>
  <c r="AF649" i="1"/>
  <c r="AG657" i="1"/>
  <c r="AG665" i="1" s="1"/>
  <c r="AF657" i="1"/>
  <c r="AF665" i="1" s="1"/>
  <c r="AG656" i="1"/>
  <c r="AG664" i="1" s="1"/>
  <c r="AK646" i="1"/>
  <c r="AK672" i="1" s="1"/>
  <c r="AO672" i="1" s="1"/>
  <c r="BN647" i="1"/>
  <c r="BN657" i="1" s="1"/>
  <c r="BN665" i="1" s="1"/>
  <c r="AJ646" i="1"/>
  <c r="AF675" i="1" l="1"/>
  <c r="AF671" i="1" s="1"/>
  <c r="AK682" i="1"/>
  <c r="AJ647" i="1"/>
  <c r="AJ672" i="1"/>
  <c r="AN672" i="1" s="1"/>
  <c r="BP672" i="1" s="1"/>
  <c r="AG659" i="1"/>
  <c r="AG667" i="1" s="1"/>
  <c r="AG675" i="1"/>
  <c r="AG671" i="1" s="1"/>
  <c r="BN649" i="1"/>
  <c r="BN659" i="1" s="1"/>
  <c r="BN667" i="1" s="1"/>
  <c r="AO646" i="1"/>
  <c r="AO647" i="1" s="1"/>
  <c r="AK647" i="1"/>
  <c r="AK657" i="1" s="1"/>
  <c r="AK665" i="1" s="1"/>
  <c r="AK664" i="1"/>
  <c r="AF659" i="1"/>
  <c r="AF667" i="1" s="1"/>
  <c r="BO646" i="1"/>
  <c r="AN646" i="1"/>
  <c r="BN646" i="1"/>
  <c r="BN656" i="1" s="1"/>
  <c r="BN664" i="1" s="1"/>
  <c r="AF656" i="1"/>
  <c r="AG577" i="1" l="1"/>
  <c r="AK678" i="1"/>
  <c r="AK652" i="1" s="1"/>
  <c r="AF643" i="1"/>
  <c r="AF577" i="1"/>
  <c r="AJ678" i="1"/>
  <c r="AF673" i="1"/>
  <c r="AF676" i="1" s="1"/>
  <c r="O31" i="525" s="1"/>
  <c r="AK690" i="1"/>
  <c r="AJ682" i="1"/>
  <c r="BO672" i="1"/>
  <c r="BO682" i="1" s="1"/>
  <c r="AK649" i="1"/>
  <c r="BN675" i="1"/>
  <c r="AO657" i="1"/>
  <c r="AO665" i="1" s="1"/>
  <c r="AF664" i="1"/>
  <c r="AJ664" i="1"/>
  <c r="AN647" i="1"/>
  <c r="BP646" i="1"/>
  <c r="BP656" i="1" s="1"/>
  <c r="BO656" i="1"/>
  <c r="BO664" i="1" s="1"/>
  <c r="BO647" i="1"/>
  <c r="BO657" i="1" s="1"/>
  <c r="BO665" i="1" s="1"/>
  <c r="AJ657" i="1"/>
  <c r="AJ665" i="1" s="1"/>
  <c r="AJ649" i="1"/>
  <c r="AJ675" i="1" s="1"/>
  <c r="AJ577" i="1" l="1"/>
  <c r="AJ288" i="1" s="1"/>
  <c r="AF288" i="1"/>
  <c r="AK577" i="1"/>
  <c r="AK288" i="1" s="1"/>
  <c r="AG288" i="1"/>
  <c r="O48" i="525"/>
  <c r="O50" i="525" s="1"/>
  <c r="S56" i="525" s="1"/>
  <c r="AN583" i="1"/>
  <c r="AJ587" i="1"/>
  <c r="AN577" i="1"/>
  <c r="AJ652" i="1"/>
  <c r="AJ583" i="1"/>
  <c r="B21" i="525"/>
  <c r="AF644" i="1"/>
  <c r="B22" i="525" s="1"/>
  <c r="O22" i="525" s="1"/>
  <c r="O23" i="525" s="1"/>
  <c r="AJ685" i="1"/>
  <c r="AJ693" i="1" s="1"/>
  <c r="AJ671" i="1"/>
  <c r="AN671" i="1" s="1"/>
  <c r="AO577" i="1"/>
  <c r="AK587" i="1"/>
  <c r="AO594" i="1" s="1"/>
  <c r="AJ690" i="1"/>
  <c r="BP682" i="1"/>
  <c r="BP690" i="1" s="1"/>
  <c r="AK675" i="1"/>
  <c r="AK671" i="1" s="1"/>
  <c r="AK659" i="1"/>
  <c r="AK667" i="1" s="1"/>
  <c r="AJ659" i="1"/>
  <c r="AJ667" i="1" s="1"/>
  <c r="BO649" i="1"/>
  <c r="BO659" i="1" s="1"/>
  <c r="BO667" i="1" s="1"/>
  <c r="BP664" i="1"/>
  <c r="AN649" i="1"/>
  <c r="AN657" i="1"/>
  <c r="AN665" i="1" s="1"/>
  <c r="BP647" i="1"/>
  <c r="BP657" i="1" s="1"/>
  <c r="BP665" i="1" s="1"/>
  <c r="AN587" i="1" l="1"/>
  <c r="AN288" i="1"/>
  <c r="AG289" i="1"/>
  <c r="AK303" i="1" s="1"/>
  <c r="AK289" i="1"/>
  <c r="AK296" i="1" s="1"/>
  <c r="AK295" i="1"/>
  <c r="AF289" i="1"/>
  <c r="AJ303" i="1"/>
  <c r="AJ289" i="1"/>
  <c r="AN303" i="1" s="1"/>
  <c r="AJ295" i="1"/>
  <c r="AN594" i="1"/>
  <c r="AN584" i="1"/>
  <c r="AK685" i="1"/>
  <c r="AK693" i="1" s="1"/>
  <c r="BO675" i="1"/>
  <c r="BO685" i="1" s="1"/>
  <c r="AO649" i="1"/>
  <c r="AN659" i="1"/>
  <c r="AN667" i="1" s="1"/>
  <c r="AN650" i="1"/>
  <c r="AN295" i="1" l="1"/>
  <c r="AN289" i="1"/>
  <c r="AN296" i="1" s="1"/>
  <c r="AJ296" i="1"/>
  <c r="AN603" i="1"/>
  <c r="AN224" i="1" s="1"/>
  <c r="AN660" i="1"/>
  <c r="AN668" i="1" s="1"/>
  <c r="AP649" i="1"/>
  <c r="AO659" i="1"/>
  <c r="AO667" i="1" s="1"/>
  <c r="AO650" i="1"/>
  <c r="AO603" i="1" l="1"/>
  <c r="AO224" i="1" s="1"/>
  <c r="AO660" i="1"/>
  <c r="AO668" i="1" s="1"/>
  <c r="AP650" i="1"/>
  <c r="AP659" i="1"/>
  <c r="AP667" i="1" s="1"/>
  <c r="AQ649" i="1"/>
  <c r="AN604" i="1"/>
  <c r="AO231" i="1" l="1"/>
  <c r="AO256" i="1"/>
  <c r="AP603" i="1"/>
  <c r="AP224" i="1" s="1"/>
  <c r="AP660" i="1"/>
  <c r="AP668" i="1" s="1"/>
  <c r="AN256" i="1"/>
  <c r="AN231" i="1"/>
  <c r="AQ659" i="1"/>
  <c r="AQ667" i="1" s="1"/>
  <c r="AQ650" i="1"/>
  <c r="BP650" i="1" s="1"/>
  <c r="BP660" i="1" s="1"/>
  <c r="BP668" i="1" s="1"/>
  <c r="BP649" i="1"/>
  <c r="BP659" i="1" s="1"/>
  <c r="BP667" i="1" s="1"/>
  <c r="AO604" i="1"/>
  <c r="AP256" i="1" l="1"/>
  <c r="AP231" i="1"/>
  <c r="AO263" i="1"/>
  <c r="AN263" i="1"/>
  <c r="AN617" i="1"/>
  <c r="AQ603" i="1"/>
  <c r="AQ660" i="1"/>
  <c r="AQ668" i="1" s="1"/>
  <c r="AP604" i="1"/>
  <c r="BP603" i="1" l="1"/>
  <c r="BP604" i="1" s="1"/>
  <c r="AQ224" i="1"/>
  <c r="AP263" i="1"/>
  <c r="AN620" i="1"/>
  <c r="AN618" i="1"/>
  <c r="AQ604" i="1"/>
  <c r="AO617" i="1"/>
  <c r="AQ231" i="1" l="1"/>
  <c r="AQ256" i="1"/>
  <c r="BP224" i="1"/>
  <c r="BP231" i="1" s="1"/>
  <c r="AO618" i="1"/>
  <c r="AO620" i="1"/>
  <c r="AP617" i="1"/>
  <c r="AQ263" i="1" l="1"/>
  <c r="AQ617" i="1"/>
  <c r="BP617" i="1" s="1"/>
  <c r="BP256" i="1"/>
  <c r="AP620" i="1"/>
  <c r="AP618" i="1"/>
  <c r="BP620" i="1" l="1"/>
  <c r="BP618" i="1"/>
  <c r="BP263" i="1"/>
  <c r="BP280" i="1"/>
  <c r="AQ620" i="1"/>
  <c r="AQ618" i="1"/>
  <c r="AN685" i="1" l="1"/>
  <c r="AN693" i="1" s="1"/>
  <c r="AH643" i="1" l="1"/>
  <c r="D21" i="525" s="1"/>
  <c r="AL583" i="1"/>
  <c r="AH673" i="1"/>
  <c r="AH676" i="1" s="1"/>
  <c r="Q31" i="525" s="1"/>
  <c r="AG673" i="1"/>
  <c r="AG676" i="1" s="1"/>
  <c r="P31" i="525" s="1"/>
  <c r="AG643" i="1"/>
  <c r="C21" i="525" s="1"/>
  <c r="AK583" i="1"/>
  <c r="AL643" i="1"/>
  <c r="H21" i="525" s="1"/>
  <c r="AK681" i="1"/>
  <c r="AK689" i="1" s="1"/>
  <c r="H26" i="525" l="1"/>
  <c r="P48" i="525"/>
  <c r="P50" i="525" s="1"/>
  <c r="Q48" i="525"/>
  <c r="Q50" i="525" s="1"/>
  <c r="AL644" i="1"/>
  <c r="H22" i="525" s="1"/>
  <c r="AG644" i="1"/>
  <c r="AH644" i="1"/>
  <c r="D22" i="525" s="1"/>
  <c r="Q22" i="525" s="1"/>
  <c r="Q23" i="525" s="1"/>
  <c r="AL681" i="1"/>
  <c r="AL689" i="1" s="1"/>
  <c r="AK643" i="1"/>
  <c r="AO671" i="1"/>
  <c r="AO673" i="1" s="1"/>
  <c r="AK673" i="1"/>
  <c r="AK676" i="1" s="1"/>
  <c r="AP671" i="1"/>
  <c r="AL673" i="1"/>
  <c r="C22" i="525" l="1"/>
  <c r="P22" i="525" s="1"/>
  <c r="AK683" i="1"/>
  <c r="AO689" i="1" s="1"/>
  <c r="AK686" i="1"/>
  <c r="AK694" i="1" s="1"/>
  <c r="T31" i="525"/>
  <c r="G21" i="525"/>
  <c r="U22" i="525"/>
  <c r="H27" i="525"/>
  <c r="AO683" i="1"/>
  <c r="AO691" i="1" s="1"/>
  <c r="AK644" i="1"/>
  <c r="G22" i="525" s="1"/>
  <c r="AL683" i="1"/>
  <c r="AL676" i="1"/>
  <c r="U31" i="525" s="1"/>
  <c r="AP673" i="1"/>
  <c r="AK691" i="1" l="1"/>
  <c r="G27" i="525"/>
  <c r="T22" i="525"/>
  <c r="T48" i="525"/>
  <c r="T32" i="525"/>
  <c r="G26" i="525"/>
  <c r="P23" i="525"/>
  <c r="AO692" i="1"/>
  <c r="U48" i="525"/>
  <c r="U32" i="525"/>
  <c r="U23" i="525"/>
  <c r="U28" i="525" s="1"/>
  <c r="U27" i="525"/>
  <c r="AP683" i="1"/>
  <c r="AP691" i="1" s="1"/>
  <c r="AL686" i="1"/>
  <c r="AL691" i="1"/>
  <c r="AP689" i="1"/>
  <c r="T55" i="525" l="1"/>
  <c r="T50" i="525"/>
  <c r="T57" i="525" s="1"/>
  <c r="P16" i="525"/>
  <c r="T23" i="525"/>
  <c r="T27" i="525"/>
  <c r="AL404" i="1"/>
  <c r="U16" i="525"/>
  <c r="U55" i="525"/>
  <c r="U50" i="525"/>
  <c r="U57" i="525" s="1"/>
  <c r="AK404" i="1"/>
  <c r="AL694" i="1"/>
  <c r="AP692" i="1"/>
  <c r="U62" i="525" l="1"/>
  <c r="U51" i="525"/>
  <c r="U43" i="525"/>
  <c r="T28" i="525"/>
  <c r="P51" i="525"/>
  <c r="P52" i="525" s="1"/>
  <c r="P62" i="525"/>
  <c r="P43" i="525"/>
  <c r="U52" i="525" l="1"/>
  <c r="AK862" i="1"/>
  <c r="AK863" i="1" s="1"/>
  <c r="AK887" i="1"/>
  <c r="AJ862" i="1"/>
  <c r="AK36" i="359" s="1"/>
  <c r="AJ887" i="1"/>
  <c r="AI887" i="1"/>
  <c r="AL887" i="1"/>
  <c r="AM887" i="1"/>
  <c r="AI862" i="1"/>
  <c r="AI863" i="1" s="1"/>
  <c r="AI874" i="1" s="1"/>
  <c r="AI888" i="1" s="1"/>
  <c r="AH887" i="1"/>
  <c r="AH862" i="1"/>
  <c r="BN862" i="1" l="1"/>
  <c r="BN873" i="1" s="1"/>
  <c r="BN887" i="1" s="1"/>
  <c r="AM862" i="1"/>
  <c r="AM863" i="1" s="1"/>
  <c r="AK40" i="359"/>
  <c r="AK41" i="359" s="1"/>
  <c r="AO36" i="359"/>
  <c r="AH863" i="1"/>
  <c r="AI36" i="359"/>
  <c r="AL36" i="359"/>
  <c r="AL862" i="1"/>
  <c r="AK45" i="359"/>
  <c r="AI866" i="1"/>
  <c r="AI877" i="1" s="1"/>
  <c r="AI891" i="1" s="1"/>
  <c r="AK874" i="1"/>
  <c r="AK888" i="1" s="1"/>
  <c r="AK866" i="1"/>
  <c r="AJ36" i="359"/>
  <c r="AJ863" i="1"/>
  <c r="AN36" i="359" l="1"/>
  <c r="AN45" i="359" s="1"/>
  <c r="BO862" i="1"/>
  <c r="BO873" i="1" s="1"/>
  <c r="BO887" i="1" s="1"/>
  <c r="AJ45" i="359"/>
  <c r="AJ52" i="359"/>
  <c r="AJ53" i="359" s="1"/>
  <c r="AJ40" i="359"/>
  <c r="AJ41" i="359" s="1"/>
  <c r="AJ874" i="1"/>
  <c r="AJ888" i="1" s="1"/>
  <c r="AJ866" i="1"/>
  <c r="AP36" i="359"/>
  <c r="AL45" i="359"/>
  <c r="AL52" i="359"/>
  <c r="AL53" i="359" s="1"/>
  <c r="AL40" i="359"/>
  <c r="AL41" i="359" s="1"/>
  <c r="AK52" i="359"/>
  <c r="AK53" i="359" s="1"/>
  <c r="AK877" i="1"/>
  <c r="AO866" i="1"/>
  <c r="AM866" i="1"/>
  <c r="AM874" i="1"/>
  <c r="AM888" i="1" s="1"/>
  <c r="AN40" i="359"/>
  <c r="AN41" i="359" s="1"/>
  <c r="AM36" i="359"/>
  <c r="AL863" i="1"/>
  <c r="BO863" i="1" s="1"/>
  <c r="AI57" i="359"/>
  <c r="AL57" i="359"/>
  <c r="AJ57" i="359"/>
  <c r="AI52" i="359"/>
  <c r="AI53" i="359" s="1"/>
  <c r="AI40" i="359"/>
  <c r="AI41" i="359" s="1"/>
  <c r="AI45" i="359"/>
  <c r="AK57" i="359"/>
  <c r="AH866" i="1"/>
  <c r="BN863" i="1"/>
  <c r="BN874" i="1" s="1"/>
  <c r="BN888" i="1" s="1"/>
  <c r="AH874" i="1"/>
  <c r="AH888" i="1" s="1"/>
  <c r="AN862" i="1"/>
  <c r="AN863" i="1" s="1"/>
  <c r="AO45" i="359"/>
  <c r="AN52" i="359" l="1"/>
  <c r="AN53" i="359" s="1"/>
  <c r="AR36" i="359"/>
  <c r="AO52" i="359"/>
  <c r="AO53" i="359" s="1"/>
  <c r="BO874" i="1"/>
  <c r="BO888" i="1" s="1"/>
  <c r="AH877" i="1"/>
  <c r="AH891" i="1" s="1"/>
  <c r="BN866" i="1"/>
  <c r="BN877" i="1" s="1"/>
  <c r="BN891" i="1" s="1"/>
  <c r="AJ138" i="359"/>
  <c r="AJ73" i="359"/>
  <c r="AJ74" i="359" s="1"/>
  <c r="AJ66" i="359"/>
  <c r="AJ61" i="359"/>
  <c r="AI61" i="359"/>
  <c r="AI73" i="359"/>
  <c r="AI74" i="359" s="1"/>
  <c r="AI138" i="359"/>
  <c r="AI66" i="359"/>
  <c r="AQ862" i="1"/>
  <c r="AR45" i="359"/>
  <c r="AM877" i="1"/>
  <c r="AQ866" i="1"/>
  <c r="AK66" i="359"/>
  <c r="AK61" i="359"/>
  <c r="AK73" i="359"/>
  <c r="AK74" i="359" s="1"/>
  <c r="AK138" i="359"/>
  <c r="AL66" i="359"/>
  <c r="AL73" i="359"/>
  <c r="AL74" i="359" s="1"/>
  <c r="AL138" i="359"/>
  <c r="AL61" i="359"/>
  <c r="AL874" i="1"/>
  <c r="AL888" i="1" s="1"/>
  <c r="AL866" i="1"/>
  <c r="AQ36" i="359"/>
  <c r="AM45" i="359"/>
  <c r="AM40" i="359"/>
  <c r="AM41" i="359" s="1"/>
  <c r="AM52" i="359"/>
  <c r="AM53" i="359" s="1"/>
  <c r="AP57" i="359"/>
  <c r="AK891" i="1"/>
  <c r="AO891" i="1"/>
  <c r="AP52" i="359"/>
  <c r="AP53" i="359" s="1"/>
  <c r="AP45" i="359"/>
  <c r="AO862" i="1"/>
  <c r="AN873" i="1"/>
  <c r="AN887" i="1" s="1"/>
  <c r="AO57" i="359"/>
  <c r="AN57" i="359"/>
  <c r="AJ877" i="1"/>
  <c r="AN866" i="1"/>
  <c r="AM57" i="359"/>
  <c r="AP138" i="359" l="1"/>
  <c r="AP61" i="359"/>
  <c r="AP66" i="359"/>
  <c r="AP73" i="359"/>
  <c r="AP74" i="359" s="1"/>
  <c r="AQ52" i="359"/>
  <c r="AQ53" i="359" s="1"/>
  <c r="AQ45" i="359"/>
  <c r="AP862" i="1"/>
  <c r="AQ57" i="359"/>
  <c r="AK62" i="359"/>
  <c r="AK143" i="359"/>
  <c r="AK144" i="359" s="1"/>
  <c r="AL877" i="1"/>
  <c r="AP866" i="1"/>
  <c r="BP866" i="1" s="1"/>
  <c r="AM891" i="1"/>
  <c r="AQ891" i="1"/>
  <c r="BO866" i="1"/>
  <c r="BO877" i="1" s="1"/>
  <c r="BO891" i="1" s="1"/>
  <c r="AL143" i="359"/>
  <c r="AL144" i="359" s="1"/>
  <c r="AL62" i="359"/>
  <c r="AM138" i="359"/>
  <c r="AM73" i="359"/>
  <c r="AM74" i="359" s="1"/>
  <c r="AM66" i="359"/>
  <c r="AM61" i="359"/>
  <c r="AJ62" i="359"/>
  <c r="AJ143" i="359"/>
  <c r="AJ144" i="359" s="1"/>
  <c r="AQ873" i="1"/>
  <c r="AQ887" i="1" s="1"/>
  <c r="AQ863" i="1"/>
  <c r="AN868" i="1"/>
  <c r="AN874" i="1"/>
  <c r="AN888" i="1" s="1"/>
  <c r="AR57" i="359"/>
  <c r="AR52" i="359"/>
  <c r="AR53" i="359" s="1"/>
  <c r="AN891" i="1"/>
  <c r="AJ891" i="1"/>
  <c r="AN138" i="359"/>
  <c r="AN73" i="359"/>
  <c r="AN74" i="359" s="1"/>
  <c r="AN66" i="359"/>
  <c r="AN61" i="359"/>
  <c r="AO61" i="359"/>
  <c r="AO73" i="359"/>
  <c r="AO74" i="359" s="1"/>
  <c r="AO138" i="359"/>
  <c r="AO66" i="359"/>
  <c r="AI143" i="359"/>
  <c r="AI144" i="359" s="1"/>
  <c r="AI62" i="359"/>
  <c r="AO873" i="1"/>
  <c r="AO887" i="1" s="1"/>
  <c r="AO863" i="1"/>
  <c r="BP877" i="1" l="1"/>
  <c r="BP891" i="1" s="1"/>
  <c r="AN882" i="1"/>
  <c r="AN896" i="1" s="1"/>
  <c r="AN869" i="1"/>
  <c r="AN880" i="1" s="1"/>
  <c r="AN894" i="1" s="1"/>
  <c r="AN883" i="1"/>
  <c r="AN897" i="1" s="1"/>
  <c r="AN879" i="1"/>
  <c r="AN893" i="1" s="1"/>
  <c r="AN798" i="1"/>
  <c r="AN225" i="1" s="1"/>
  <c r="AQ874" i="1"/>
  <c r="AQ888" i="1" s="1"/>
  <c r="AQ868" i="1"/>
  <c r="AQ869" i="1" s="1"/>
  <c r="AQ880" i="1" s="1"/>
  <c r="AQ894" i="1" s="1"/>
  <c r="AM62" i="359"/>
  <c r="AM143" i="359"/>
  <c r="AM144" i="359" s="1"/>
  <c r="AL891" i="1"/>
  <c r="AP891" i="1"/>
  <c r="AN143" i="359"/>
  <c r="AN144" i="359" s="1"/>
  <c r="AN62" i="359"/>
  <c r="AR66" i="359"/>
  <c r="AR138" i="359"/>
  <c r="AR73" i="359"/>
  <c r="AR74" i="359" s="1"/>
  <c r="AR61" i="359"/>
  <c r="AO874" i="1"/>
  <c r="AO888" i="1" s="1"/>
  <c r="AO868" i="1"/>
  <c r="AO869" i="1" s="1"/>
  <c r="AO880" i="1" s="1"/>
  <c r="AO894" i="1" s="1"/>
  <c r="AQ73" i="359"/>
  <c r="AQ74" i="359" s="1"/>
  <c r="AQ66" i="359"/>
  <c r="AQ138" i="359"/>
  <c r="AQ61" i="359"/>
  <c r="AP863" i="1"/>
  <c r="AP873" i="1"/>
  <c r="AP887" i="1" s="1"/>
  <c r="BP862" i="1"/>
  <c r="BP873" i="1" s="1"/>
  <c r="BP887" i="1" s="1"/>
  <c r="AO143" i="359"/>
  <c r="AO144" i="359" s="1"/>
  <c r="AO62" i="359"/>
  <c r="AP62" i="359"/>
  <c r="AP143" i="359"/>
  <c r="AP144" i="359" s="1"/>
  <c r="AO883" i="1" l="1"/>
  <c r="AO897" i="1" s="1"/>
  <c r="AQ883" i="1"/>
  <c r="AQ897" i="1" s="1"/>
  <c r="AP874" i="1"/>
  <c r="AP888" i="1" s="1"/>
  <c r="AP868" i="1"/>
  <c r="AP869" i="1" s="1"/>
  <c r="AP880" i="1" s="1"/>
  <c r="AP894" i="1" s="1"/>
  <c r="BP863" i="1"/>
  <c r="BP874" i="1" s="1"/>
  <c r="BP888" i="1" s="1"/>
  <c r="AQ143" i="359"/>
  <c r="AQ144" i="359" s="1"/>
  <c r="AQ62" i="359"/>
  <c r="AO882" i="1"/>
  <c r="AO896" i="1" s="1"/>
  <c r="AO879" i="1"/>
  <c r="AO893" i="1" s="1"/>
  <c r="AO798" i="1"/>
  <c r="AO225" i="1" s="1"/>
  <c r="AR62" i="359"/>
  <c r="AR143" i="359"/>
  <c r="AR144" i="359" s="1"/>
  <c r="AQ798" i="1"/>
  <c r="AQ225" i="1" s="1"/>
  <c r="AQ882" i="1"/>
  <c r="AQ896" i="1" s="1"/>
  <c r="AQ879" i="1"/>
  <c r="AQ893" i="1" s="1"/>
  <c r="AN796" i="1"/>
  <c r="AN821" i="1" s="1"/>
  <c r="AN799" i="1"/>
  <c r="AQ232" i="1" l="1"/>
  <c r="AQ227" i="1"/>
  <c r="AQ234" i="1" s="1"/>
  <c r="AO232" i="1"/>
  <c r="AO227" i="1"/>
  <c r="BP868" i="1"/>
  <c r="BP869" i="1" s="1"/>
  <c r="BP880" i="1" s="1"/>
  <c r="BP894" i="1" s="1"/>
  <c r="AP883" i="1"/>
  <c r="AP897" i="1" s="1"/>
  <c r="AN803" i="1"/>
  <c r="AN801" i="1"/>
  <c r="AN252" i="1" s="1"/>
  <c r="AN227" i="1"/>
  <c r="AN292" i="1" s="1"/>
  <c r="AN232" i="1"/>
  <c r="AQ796" i="1"/>
  <c r="AQ821" i="1" s="1"/>
  <c r="AQ799" i="1"/>
  <c r="AO796" i="1"/>
  <c r="AO821" i="1" s="1"/>
  <c r="AO799" i="1"/>
  <c r="AP879" i="1"/>
  <c r="AP893" i="1" s="1"/>
  <c r="AP798" i="1"/>
  <c r="AP225" i="1" s="1"/>
  <c r="AP882" i="1"/>
  <c r="AP896" i="1" s="1"/>
  <c r="AO234" i="1" l="1"/>
  <c r="BP879" i="1"/>
  <c r="BP893" i="1" s="1"/>
  <c r="AP232" i="1"/>
  <c r="AP227" i="1"/>
  <c r="AP234" i="1" s="1"/>
  <c r="BP882" i="1"/>
  <c r="BP896" i="1" s="1"/>
  <c r="AN299" i="1"/>
  <c r="AN291" i="1"/>
  <c r="AN298" i="1" s="1"/>
  <c r="BP883" i="1"/>
  <c r="BP897" i="1" s="1"/>
  <c r="AN234" i="1"/>
  <c r="BP225" i="1"/>
  <c r="BP232" i="1" s="1"/>
  <c r="AP796" i="1"/>
  <c r="AP799" i="1"/>
  <c r="BP798" i="1"/>
  <c r="BP799" i="1" s="1"/>
  <c r="AO803" i="1"/>
  <c r="AO806" i="1" s="1"/>
  <c r="AO801" i="1"/>
  <c r="AO252" i="1" s="1"/>
  <c r="AQ801" i="1"/>
  <c r="AQ252" i="1" s="1"/>
  <c r="AQ803" i="1"/>
  <c r="AQ806" i="1" s="1"/>
  <c r="AN831" i="1"/>
  <c r="AN825" i="1"/>
  <c r="AN806" i="1"/>
  <c r="BP796" i="1" l="1"/>
  <c r="AP821" i="1"/>
  <c r="AO831" i="1"/>
  <c r="AO825" i="1"/>
  <c r="AN807" i="1"/>
  <c r="AN810" i="1"/>
  <c r="AN815" i="1"/>
  <c r="AN826" i="1"/>
  <c r="AN829" i="1"/>
  <c r="AN257" i="1"/>
  <c r="AN281" i="1" s="1"/>
  <c r="AQ810" i="1"/>
  <c r="AQ807" i="1"/>
  <c r="AQ825" i="1"/>
  <c r="AQ831" i="1"/>
  <c r="AO810" i="1"/>
  <c r="AO807" i="1"/>
  <c r="AP801" i="1"/>
  <c r="AP252" i="1" s="1"/>
  <c r="AP803" i="1"/>
  <c r="BP227" i="1"/>
  <c r="AQ815" i="1" l="1"/>
  <c r="AQ812" i="1" s="1"/>
  <c r="AQ257" i="1"/>
  <c r="AO815" i="1"/>
  <c r="AO816" i="1" s="1"/>
  <c r="AO257" i="1"/>
  <c r="AQ816" i="1"/>
  <c r="BP282" i="1"/>
  <c r="BP234" i="1"/>
  <c r="AP806" i="1"/>
  <c r="BP803" i="1"/>
  <c r="AN819" i="1"/>
  <c r="AN812" i="1"/>
  <c r="AN816" i="1"/>
  <c r="AP831" i="1"/>
  <c r="AP825" i="1"/>
  <c r="AP257" i="1" s="1"/>
  <c r="BP821" i="1"/>
  <c r="AN259" i="1"/>
  <c r="AN264" i="1"/>
  <c r="AQ829" i="1"/>
  <c r="AQ826" i="1"/>
  <c r="AO826" i="1"/>
  <c r="AO829" i="1"/>
  <c r="AO819" i="1" l="1"/>
  <c r="AO812" i="1"/>
  <c r="AQ819" i="1"/>
  <c r="AP281" i="1"/>
  <c r="AP264" i="1"/>
  <c r="AP259" i="1"/>
  <c r="AO264" i="1"/>
  <c r="AO281" i="1"/>
  <c r="AO259" i="1"/>
  <c r="AQ264" i="1"/>
  <c r="AQ281" i="1"/>
  <c r="AQ259" i="1"/>
  <c r="BP831" i="1"/>
  <c r="AP826" i="1"/>
  <c r="AP829" i="1"/>
  <c r="BP825" i="1"/>
  <c r="AP810" i="1"/>
  <c r="AP807" i="1"/>
  <c r="AP815" i="1"/>
  <c r="BP806" i="1"/>
  <c r="AN283" i="1"/>
  <c r="AN266" i="1"/>
  <c r="AO283" i="1" l="1"/>
  <c r="AO266" i="1"/>
  <c r="AP266" i="1"/>
  <c r="AP283" i="1"/>
  <c r="AQ283" i="1"/>
  <c r="AQ266" i="1"/>
  <c r="BP810" i="1"/>
  <c r="BP807" i="1"/>
  <c r="BP829" i="1"/>
  <c r="BP826" i="1"/>
  <c r="AP812" i="1"/>
  <c r="BP812" i="1" s="1"/>
  <c r="AP819" i="1"/>
  <c r="AP816" i="1"/>
  <c r="BP815" i="1"/>
  <c r="BP257" i="1"/>
  <c r="BP259" i="1" l="1"/>
  <c r="BP819" i="1"/>
  <c r="BP816" i="1"/>
  <c r="BP264" i="1"/>
  <c r="BP281" i="1"/>
  <c r="L52" i="503" l="1"/>
  <c r="L52" i="504" s="1"/>
  <c r="BP283" i="1"/>
  <c r="BP266" i="1"/>
  <c r="M52" i="503" l="1"/>
  <c r="M52" i="504" s="1"/>
  <c r="N52" i="503" l="1"/>
  <c r="N52" i="504" s="1"/>
  <c r="O52" i="503" l="1"/>
  <c r="O52" i="504" s="1"/>
  <c r="P52" i="503" l="1"/>
  <c r="P52" i="504" s="1"/>
  <c r="Q52" i="503" l="1"/>
  <c r="Q52" i="504" s="1"/>
  <c r="R52" i="503" l="1"/>
  <c r="R52" i="504" s="1"/>
  <c r="S52" i="503" l="1"/>
  <c r="S52" i="504" s="1"/>
  <c r="T52" i="503" l="1"/>
  <c r="T52" i="504" s="1"/>
  <c r="V52" i="503" l="1"/>
  <c r="V52" i="504" s="1"/>
  <c r="U52" i="503"/>
  <c r="U52" i="504" s="1"/>
  <c r="L53" i="520" l="1"/>
  <c r="L54" i="520" s="1"/>
  <c r="K53" i="520"/>
  <c r="K54" i="520" s="1"/>
  <c r="J53" i="520"/>
  <c r="J54" i="520" s="1"/>
  <c r="I53" i="520"/>
  <c r="I54" i="520" s="1"/>
  <c r="H53" i="520"/>
  <c r="H54" i="520" s="1"/>
  <c r="F53" i="520"/>
  <c r="F54" i="520" s="1"/>
  <c r="G53" i="520"/>
  <c r="G54" i="520" s="1"/>
  <c r="D53" i="520"/>
  <c r="D54" i="520" s="1"/>
  <c r="E53" i="520"/>
  <c r="E54" i="520" s="1"/>
  <c r="D214" i="520"/>
  <c r="D185" i="520" s="1"/>
  <c r="L214" i="520"/>
  <c r="L185" i="520" s="1"/>
  <c r="G214" i="520"/>
  <c r="G57" i="520" s="1"/>
  <c r="I214" i="520"/>
  <c r="I57" i="520" s="1"/>
  <c r="J214" i="520"/>
  <c r="J185" i="520" s="1"/>
  <c r="F214" i="520"/>
  <c r="F57" i="520" s="1"/>
  <c r="K214" i="520"/>
  <c r="K57" i="520" s="1"/>
  <c r="H214" i="520"/>
  <c r="H57" i="520" s="1"/>
  <c r="E214" i="520"/>
  <c r="E57" i="520" s="1"/>
  <c r="H185" i="520" l="1"/>
  <c r="H186" i="520" s="1"/>
  <c r="G185" i="520"/>
  <c r="G204" i="520" s="1"/>
  <c r="G205" i="520" s="1"/>
  <c r="F185" i="520"/>
  <c r="F204" i="520" s="1"/>
  <c r="F205" i="520" s="1"/>
  <c r="I185" i="520"/>
  <c r="I188" i="520" s="1"/>
  <c r="K185" i="520"/>
  <c r="K192" i="520" s="1"/>
  <c r="I59" i="520"/>
  <c r="I58" i="520"/>
  <c r="L57" i="520"/>
  <c r="D57" i="520"/>
  <c r="D58" i="520" s="1"/>
  <c r="L186" i="520"/>
  <c r="L204" i="520"/>
  <c r="L205" i="520" s="1"/>
  <c r="L188" i="520"/>
  <c r="L192" i="520"/>
  <c r="H59" i="520"/>
  <c r="H58" i="520"/>
  <c r="E59" i="520"/>
  <c r="E58" i="520"/>
  <c r="F58" i="520"/>
  <c r="F59" i="520"/>
  <c r="J186" i="520"/>
  <c r="J204" i="520"/>
  <c r="J205" i="520" s="1"/>
  <c r="J192" i="520"/>
  <c r="J188" i="520"/>
  <c r="D188" i="520"/>
  <c r="D192" i="520"/>
  <c r="D204" i="520"/>
  <c r="D205" i="520" s="1"/>
  <c r="D186" i="520"/>
  <c r="K58" i="520"/>
  <c r="K59" i="520"/>
  <c r="G59" i="520"/>
  <c r="G58" i="520"/>
  <c r="J57" i="520"/>
  <c r="E185" i="520"/>
  <c r="G192" i="520"/>
  <c r="F192" i="520"/>
  <c r="G188" i="520"/>
  <c r="G186" i="520" l="1"/>
  <c r="I186" i="520"/>
  <c r="H188" i="520"/>
  <c r="H204" i="520"/>
  <c r="H205" i="520" s="1"/>
  <c r="H192" i="520"/>
  <c r="I192" i="520"/>
  <c r="I204" i="520"/>
  <c r="I205" i="520" s="1"/>
  <c r="K188" i="520"/>
  <c r="K186" i="520"/>
  <c r="K204" i="520"/>
  <c r="K205" i="520" s="1"/>
  <c r="F188" i="520"/>
  <c r="F186" i="520"/>
  <c r="D59" i="520"/>
  <c r="L59" i="520"/>
  <c r="L58" i="520"/>
  <c r="E188" i="520"/>
  <c r="E192" i="520"/>
  <c r="E186" i="520"/>
  <c r="E204" i="520"/>
  <c r="E205" i="520" s="1"/>
  <c r="J59" i="520"/>
  <c r="J58" i="520"/>
  <c r="AJ673" i="1" l="1"/>
  <c r="AJ676" i="1" s="1"/>
  <c r="AN673" i="1"/>
  <c r="AJ683" i="1" l="1"/>
  <c r="AJ691" i="1" s="1"/>
  <c r="AJ681" i="1"/>
  <c r="AJ689" i="1" s="1"/>
  <c r="AJ643" i="1"/>
  <c r="AN676" i="1"/>
  <c r="AN683" i="1"/>
  <c r="AN691" i="1" s="1"/>
  <c r="AO675" i="1"/>
  <c r="AJ686" i="1"/>
  <c r="S31" i="525"/>
  <c r="AN689" i="1" l="1"/>
  <c r="AJ644" i="1"/>
  <c r="F21" i="525"/>
  <c r="AN686" i="1"/>
  <c r="AN694" i="1" s="1"/>
  <c r="S48" i="525"/>
  <c r="S32" i="525"/>
  <c r="AJ694" i="1"/>
  <c r="AN692" i="1"/>
  <c r="AP675" i="1"/>
  <c r="AO685" i="1"/>
  <c r="AO693" i="1" s="1"/>
  <c r="AO676" i="1"/>
  <c r="AO686" i="1" s="1"/>
  <c r="AO694" i="1" s="1"/>
  <c r="F22" i="525" l="1"/>
  <c r="F27" i="525" s="1"/>
  <c r="F26" i="525"/>
  <c r="S22" i="525"/>
  <c r="S50" i="525"/>
  <c r="S55" i="525"/>
  <c r="AP676" i="1"/>
  <c r="AP686" i="1" s="1"/>
  <c r="AP694" i="1" s="1"/>
  <c r="AP685" i="1"/>
  <c r="AP693" i="1" s="1"/>
  <c r="S23" i="525" l="1"/>
  <c r="S27" i="525"/>
  <c r="S16" i="525"/>
  <c r="AJ404" i="1"/>
  <c r="S28" i="525" l="1"/>
  <c r="S62" i="525"/>
  <c r="S51" i="525"/>
  <c r="S43" i="525"/>
  <c r="S52" i="525" l="1"/>
  <c r="BP114" i="1" l="1"/>
  <c r="BP100" i="1" s="1"/>
  <c r="AN100" i="1"/>
  <c r="AN101" i="1" s="1"/>
  <c r="K50" i="503" l="1"/>
  <c r="K68" i="503" s="1"/>
  <c r="K50" i="523"/>
  <c r="K51" i="523" s="1"/>
  <c r="BP101" i="1"/>
  <c r="K50" i="504"/>
  <c r="K49" i="198"/>
  <c r="K68" i="523" l="1"/>
  <c r="K51" i="503"/>
  <c r="M151" i="523"/>
  <c r="V14" i="521"/>
  <c r="K68" i="504"/>
  <c r="V14" i="520"/>
  <c r="K51" i="504"/>
  <c r="K67" i="198"/>
  <c r="AC25" i="522"/>
  <c r="M150" i="198"/>
  <c r="V14" i="519"/>
  <c r="K50" i="198"/>
  <c r="V177" i="521" l="1"/>
  <c r="V16" i="520"/>
  <c r="V82" i="520" s="1"/>
  <c r="V177" i="520"/>
  <c r="V177" i="519"/>
  <c r="AC19" i="522"/>
  <c r="AC21" i="522" s="1"/>
  <c r="AC57" i="522"/>
  <c r="AC51" i="522" s="1"/>
  <c r="AC53" i="522" s="1"/>
  <c r="V16" i="521" l="1"/>
  <c r="V82" i="521" s="1"/>
  <c r="V203" i="521"/>
  <c r="V179" i="521"/>
  <c r="V179" i="519"/>
  <c r="V203" i="519"/>
  <c r="V203" i="520"/>
  <c r="V179" i="520"/>
  <c r="AD50" i="522"/>
  <c r="AC47" i="522"/>
  <c r="W82" i="520"/>
  <c r="V37" i="520"/>
  <c r="V16" i="519"/>
  <c r="V82" i="519" s="1"/>
  <c r="AD18" i="522"/>
  <c r="AC15" i="522"/>
  <c r="V37" i="521" l="1"/>
  <c r="W82" i="521"/>
  <c r="X82" i="521" s="1"/>
  <c r="Y82" i="521" s="1"/>
  <c r="V170" i="521"/>
  <c r="V198" i="521" s="1"/>
  <c r="K119" i="503" s="1"/>
  <c r="W176" i="521"/>
  <c r="W82" i="519"/>
  <c r="V37" i="519"/>
  <c r="AC34" i="522"/>
  <c r="X82" i="520"/>
  <c r="AC66" i="522"/>
  <c r="V170" i="520"/>
  <c r="W176" i="520"/>
  <c r="W176" i="519"/>
  <c r="V170" i="519"/>
  <c r="V50" i="520"/>
  <c r="V115" i="520"/>
  <c r="V148" i="520" s="1"/>
  <c r="W37" i="520" s="1"/>
  <c r="W178" i="521" l="1"/>
  <c r="V50" i="521"/>
  <c r="V115" i="521"/>
  <c r="V148" i="521" s="1"/>
  <c r="W37" i="521" s="1"/>
  <c r="W115" i="521" s="1"/>
  <c r="W148" i="521" s="1"/>
  <c r="X37" i="521" s="1"/>
  <c r="V115" i="519"/>
  <c r="V148" i="519" s="1"/>
  <c r="W37" i="519" s="1"/>
  <c r="V50" i="519"/>
  <c r="X82" i="519"/>
  <c r="V198" i="520"/>
  <c r="Z82" i="521"/>
  <c r="W115" i="520"/>
  <c r="W148" i="520" s="1"/>
  <c r="X37" i="520" s="1"/>
  <c r="X115" i="520" s="1"/>
  <c r="X148" i="520" s="1"/>
  <c r="V198" i="519"/>
  <c r="Y82" i="520"/>
  <c r="V185" i="520"/>
  <c r="V52" i="520"/>
  <c r="K29" i="504" s="1"/>
  <c r="V54" i="520"/>
  <c r="V61" i="520"/>
  <c r="W178" i="519"/>
  <c r="W178" i="520"/>
  <c r="Y37" i="520" l="1"/>
  <c r="Y115" i="520" s="1"/>
  <c r="Y148" i="520" s="1"/>
  <c r="V52" i="521"/>
  <c r="K29" i="503" s="1"/>
  <c r="V185" i="521"/>
  <c r="V54" i="521"/>
  <c r="V61" i="521"/>
  <c r="X115" i="521"/>
  <c r="X148" i="521" s="1"/>
  <c r="Y37" i="521" s="1"/>
  <c r="Y115" i="521" s="1"/>
  <c r="Y148" i="521" s="1"/>
  <c r="Z37" i="521" s="1"/>
  <c r="Z115" i="521" s="1"/>
  <c r="Z148" i="521" s="1"/>
  <c r="W115" i="519"/>
  <c r="W148" i="519" s="1"/>
  <c r="X37" i="519" s="1"/>
  <c r="X115" i="519" s="1"/>
  <c r="X148" i="519" s="1"/>
  <c r="Y82" i="519"/>
  <c r="K119" i="504"/>
  <c r="V187" i="520"/>
  <c r="V204" i="520"/>
  <c r="V210" i="520" s="1"/>
  <c r="V188" i="520"/>
  <c r="Z82" i="520"/>
  <c r="AA82" i="521"/>
  <c r="K42" i="504"/>
  <c r="K67" i="504"/>
  <c r="V185" i="519"/>
  <c r="V61" i="519"/>
  <c r="V52" i="519"/>
  <c r="V54" i="519"/>
  <c r="Y37" i="519" l="1"/>
  <c r="Y115" i="519" s="1"/>
  <c r="Y148" i="519" s="1"/>
  <c r="Z37" i="520"/>
  <c r="Z115" i="520" s="1"/>
  <c r="Z148" i="520" s="1"/>
  <c r="V187" i="521"/>
  <c r="V188" i="521"/>
  <c r="V204" i="521"/>
  <c r="K67" i="503"/>
  <c r="K42" i="503"/>
  <c r="Z82" i="519"/>
  <c r="AB82" i="521"/>
  <c r="AA37" i="521"/>
  <c r="AA82" i="520"/>
  <c r="W184" i="520"/>
  <c r="V182" i="520"/>
  <c r="V199" i="520" s="1"/>
  <c r="V200" i="520" s="1"/>
  <c r="V209" i="520"/>
  <c r="V188" i="519"/>
  <c r="V187" i="519"/>
  <c r="V204" i="519"/>
  <c r="K28" i="198"/>
  <c r="K29" i="523"/>
  <c r="Z37" i="519" l="1"/>
  <c r="Z115" i="519" s="1"/>
  <c r="Z148" i="519" s="1"/>
  <c r="AA37" i="520"/>
  <c r="AA115" i="520" s="1"/>
  <c r="W184" i="521"/>
  <c r="W186" i="521" s="1"/>
  <c r="V182" i="521"/>
  <c r="V199" i="521" s="1"/>
  <c r="V200" i="521" s="1"/>
  <c r="V210" i="521"/>
  <c r="V209" i="521"/>
  <c r="W184" i="519"/>
  <c r="V182" i="519"/>
  <c r="V199" i="519" s="1"/>
  <c r="V200" i="519" s="1"/>
  <c r="K67" i="523"/>
  <c r="M159" i="523"/>
  <c r="K42" i="523"/>
  <c r="AC82" i="521"/>
  <c r="AA82" i="519"/>
  <c r="AA148" i="520"/>
  <c r="AB82" i="520"/>
  <c r="AA115" i="521"/>
  <c r="AA148" i="521" s="1"/>
  <c r="AB37" i="521" s="1"/>
  <c r="W186" i="520"/>
  <c r="BP88" i="1"/>
  <c r="M158" i="198"/>
  <c r="K66" i="198"/>
  <c r="AC60" i="522"/>
  <c r="AC59" i="522" s="1"/>
  <c r="AE32" i="198"/>
  <c r="K41" i="198"/>
  <c r="AC27" i="522"/>
  <c r="V210" i="519"/>
  <c r="V209" i="519"/>
  <c r="W202" i="520"/>
  <c r="V206" i="520"/>
  <c r="AQ88" i="1" l="1"/>
  <c r="AP88" i="1" s="1"/>
  <c r="W202" i="521"/>
  <c r="V206" i="521"/>
  <c r="AC41" i="522"/>
  <c r="AC43" i="522" s="1"/>
  <c r="AC31" i="522"/>
  <c r="AB37" i="520"/>
  <c r="AB115" i="521"/>
  <c r="AB148" i="521" s="1"/>
  <c r="AC37" i="521" s="1"/>
  <c r="AC82" i="520"/>
  <c r="AB82" i="519"/>
  <c r="AC73" i="522"/>
  <c r="AC75" i="522" s="1"/>
  <c r="AC63" i="522"/>
  <c r="AA37" i="519"/>
  <c r="K118" i="198"/>
  <c r="K119" i="523"/>
  <c r="V206" i="519"/>
  <c r="W202" i="519"/>
  <c r="V205" i="520"/>
  <c r="V211" i="520"/>
  <c r="AD82" i="521"/>
  <c r="W186" i="519"/>
  <c r="V211" i="521" l="1"/>
  <c r="V205" i="521"/>
  <c r="AC82" i="519"/>
  <c r="AC115" i="521"/>
  <c r="AC148" i="521" s="1"/>
  <c r="AD37" i="521" s="1"/>
  <c r="AA115" i="519"/>
  <c r="AA148" i="519" s="1"/>
  <c r="AB37" i="519" s="1"/>
  <c r="AQ86" i="1"/>
  <c r="V205" i="519"/>
  <c r="V211" i="519"/>
  <c r="AD40" i="522"/>
  <c r="AC35" i="522"/>
  <c r="AC36" i="522" s="1"/>
  <c r="AC37" i="522" s="1"/>
  <c r="AN86" i="1"/>
  <c r="AE82" i="521"/>
  <c r="AC67" i="522"/>
  <c r="AC68" i="522" s="1"/>
  <c r="AC69" i="522" s="1"/>
  <c r="AD72" i="522"/>
  <c r="AP86" i="1"/>
  <c r="AB115" i="520"/>
  <c r="AB148" i="520" s="1"/>
  <c r="AC37" i="520" s="1"/>
  <c r="AO86" i="1"/>
  <c r="AD82" i="520"/>
  <c r="BP86" i="1" l="1"/>
  <c r="AB115" i="519"/>
  <c r="AB148" i="519" s="1"/>
  <c r="AC37" i="519" s="1"/>
  <c r="AC115" i="519" s="1"/>
  <c r="AC148" i="519" s="1"/>
  <c r="AC115" i="520"/>
  <c r="AC148" i="520" s="1"/>
  <c r="AD37" i="520" s="1"/>
  <c r="AD115" i="521"/>
  <c r="AD148" i="521" s="1"/>
  <c r="AE37" i="521" s="1"/>
  <c r="AD82" i="519"/>
  <c r="AE82" i="520"/>
  <c r="AF82" i="521"/>
  <c r="AG82" i="521" l="1"/>
  <c r="AD115" i="520"/>
  <c r="AD148" i="520" s="1"/>
  <c r="AE37" i="520" s="1"/>
  <c r="AF82" i="520"/>
  <c r="AE115" i="521"/>
  <c r="AE148" i="521" s="1"/>
  <c r="AF37" i="521" s="1"/>
  <c r="AE82" i="519"/>
  <c r="AD37" i="519"/>
  <c r="AD115" i="519" s="1"/>
  <c r="AD148" i="519" s="1"/>
  <c r="AF82" i="519" l="1"/>
  <c r="AG82" i="520"/>
  <c r="AF115" i="521"/>
  <c r="AF148" i="521" s="1"/>
  <c r="AG37" i="521" s="1"/>
  <c r="AE115" i="520"/>
  <c r="AE148" i="520" s="1"/>
  <c r="AF37" i="520" s="1"/>
  <c r="AE37" i="519"/>
  <c r="AG115" i="521" l="1"/>
  <c r="AG148" i="521" s="1"/>
  <c r="K86" i="523"/>
  <c r="K85" i="198"/>
  <c r="AE115" i="519"/>
  <c r="AE148" i="519" s="1"/>
  <c r="AF37" i="519" s="1"/>
  <c r="AF115" i="520"/>
  <c r="AF148" i="520" s="1"/>
  <c r="AG37" i="520" s="1"/>
  <c r="AG82" i="519"/>
  <c r="K86" i="504" l="1"/>
  <c r="K86" i="503"/>
  <c r="AN1271" i="1"/>
  <c r="AF115" i="519"/>
  <c r="AF148" i="519" s="1"/>
  <c r="AG37" i="519" s="1"/>
  <c r="AG115" i="520"/>
  <c r="AG148" i="520" s="1"/>
  <c r="AG115" i="519" l="1"/>
  <c r="AG148" i="519" s="1"/>
  <c r="AN1063" i="1" l="1"/>
  <c r="AN1098" i="1"/>
  <c r="H7" i="276"/>
  <c r="G7" i="276"/>
  <c r="F7" i="276"/>
  <c r="AN1072" i="1"/>
  <c r="AN12" i="1"/>
  <c r="AN164" i="1" s="1"/>
  <c r="AN1083" i="1" l="1"/>
  <c r="AN1085" i="1" s="1"/>
  <c r="G30" i="276"/>
  <c r="G31" i="276"/>
  <c r="H30" i="276"/>
  <c r="H31" i="276"/>
  <c r="F30" i="276"/>
  <c r="F31" i="276"/>
  <c r="AN1101" i="1"/>
  <c r="AN1204" i="1"/>
  <c r="AN1354" i="1"/>
  <c r="AN1363" i="1" s="1"/>
  <c r="AN102" i="1"/>
  <c r="AN1355" i="1"/>
  <c r="AN1364" i="1" s="1"/>
  <c r="AN1358" i="1"/>
  <c r="AN1367" i="1" s="1"/>
  <c r="AN1356" i="1"/>
  <c r="AN1365" i="1" s="1"/>
  <c r="AN1357" i="1"/>
  <c r="AN1366" i="1" s="1"/>
  <c r="AN13" i="1"/>
  <c r="AN15" i="1" s="1"/>
  <c r="AN1202" i="1"/>
  <c r="AN44" i="1"/>
  <c r="AN46" i="1"/>
  <c r="AN1391" i="1"/>
  <c r="AN1393" i="1" s="1"/>
  <c r="AN1394" i="1" s="1"/>
  <c r="AN1370" i="1" s="1"/>
  <c r="AN47" i="1"/>
  <c r="AN19" i="1"/>
  <c r="AN45" i="1"/>
  <c r="AN1353" i="1"/>
  <c r="AN1203" i="1"/>
  <c r="AN1077" i="1"/>
  <c r="AN310" i="1"/>
  <c r="AN22" i="1"/>
  <c r="AN708" i="1" s="1"/>
  <c r="AN715" i="1" s="1"/>
  <c r="AN711" i="1" l="1"/>
  <c r="AN706" i="1"/>
  <c r="AN1104" i="1"/>
  <c r="AN1102" i="1"/>
  <c r="AN109" i="1"/>
  <c r="AN20" i="1"/>
  <c r="AN23" i="1"/>
  <c r="AN24" i="1" s="1"/>
  <c r="AN26" i="1"/>
  <c r="AN1359" i="1"/>
  <c r="AN1368" i="1" s="1"/>
  <c r="AN1362" i="1"/>
  <c r="AN1087" i="1"/>
  <c r="AN320" i="1"/>
  <c r="AN311" i="1"/>
  <c r="AN315" i="1"/>
  <c r="AN1111" i="1" l="1"/>
  <c r="BU150" i="1"/>
  <c r="AN1095" i="1"/>
  <c r="AN1094" i="1"/>
  <c r="AN316" i="1"/>
  <c r="AN321" i="1"/>
  <c r="AN25" i="1"/>
  <c r="AN49" i="1" l="1"/>
  <c r="AN1112" i="1"/>
  <c r="AN1113" i="1" s="1"/>
  <c r="AN62" i="1" s="1"/>
  <c r="AN63" i="1" s="1"/>
  <c r="AN1114" i="1"/>
  <c r="B6" i="276"/>
  <c r="C6" i="276" s="1"/>
  <c r="BU158" i="1"/>
  <c r="BU153" i="1"/>
  <c r="BX150" i="1"/>
  <c r="AN65" i="1" l="1"/>
  <c r="BP62" i="1"/>
  <c r="AN81" i="1"/>
  <c r="AN1267" i="1"/>
  <c r="E35" i="276"/>
  <c r="AN72" i="1"/>
  <c r="AN50" i="1"/>
  <c r="AN58" i="1" s="1"/>
  <c r="AN59" i="1" s="1"/>
  <c r="AN54" i="1"/>
  <c r="AN53" i="1"/>
  <c r="B34" i="276"/>
  <c r="BU159" i="1"/>
  <c r="BX153" i="1"/>
  <c r="BX158" i="1"/>
  <c r="AO11" i="1"/>
  <c r="BY150" i="1"/>
  <c r="CA150" i="1" s="1"/>
  <c r="AN1269" i="1" l="1"/>
  <c r="AN1268" i="1"/>
  <c r="AN82" i="1"/>
  <c r="AN89" i="1"/>
  <c r="AN83" i="1"/>
  <c r="H35" i="276"/>
  <c r="G35" i="276"/>
  <c r="F35" i="276"/>
  <c r="AN73" i="1"/>
  <c r="AN74" i="1" s="1"/>
  <c r="AN76" i="1" s="1"/>
  <c r="CC150" i="1"/>
  <c r="CA153" i="1"/>
  <c r="AO16" i="1"/>
  <c r="BY153" i="1"/>
  <c r="C34" i="276"/>
  <c r="AO48" i="1"/>
  <c r="BX159" i="1"/>
  <c r="BY158" i="1"/>
  <c r="G58" i="276" l="1"/>
  <c r="G59" i="276"/>
  <c r="H59" i="276"/>
  <c r="H58" i="276"/>
  <c r="AN140" i="1"/>
  <c r="AN90" i="1"/>
  <c r="AN113" i="1"/>
  <c r="AN104" i="1"/>
  <c r="AN93" i="1"/>
  <c r="AN91" i="1"/>
  <c r="AN110" i="1" s="1"/>
  <c r="AN77" i="1"/>
  <c r="AN116" i="1"/>
  <c r="F59" i="276"/>
  <c r="F58" i="276"/>
  <c r="CA158" i="1"/>
  <c r="CC158" i="1" s="1"/>
  <c r="CB158" i="1" s="1"/>
  <c r="CC153" i="1"/>
  <c r="CB153" i="1" s="1"/>
  <c r="AN105" i="1" l="1"/>
  <c r="AN106" i="1"/>
  <c r="AN117" i="1"/>
  <c r="AN94" i="1"/>
  <c r="AN96" i="1"/>
  <c r="AN95" i="1"/>
  <c r="AN124" i="1" l="1"/>
  <c r="AQ124" i="1" s="1"/>
  <c r="AN118" i="1"/>
  <c r="AN1190" i="1"/>
  <c r="AN1193" i="1" s="1"/>
  <c r="AN119" i="1" l="1"/>
  <c r="BP187" i="1" l="1"/>
  <c r="AN194" i="1"/>
  <c r="AN202" i="1" s="1"/>
  <c r="AN213" i="1"/>
  <c r="AN188" i="1"/>
  <c r="BP194" i="1" l="1"/>
  <c r="AN195" i="1"/>
  <c r="AN214" i="1"/>
  <c r="AN1371" i="1"/>
  <c r="AN827" i="1"/>
  <c r="AN828" i="1" s="1"/>
  <c r="AN420" i="1"/>
  <c r="AN605" i="1"/>
  <c r="AN239" i="1" s="1"/>
  <c r="AN306" i="1"/>
  <c r="AN51" i="1"/>
  <c r="AN800" i="1"/>
  <c r="AN240" i="1" s="1"/>
  <c r="AN718" i="1" l="1"/>
  <c r="AN723" i="1"/>
  <c r="AN720" i="1"/>
  <c r="AN52" i="1"/>
  <c r="AN235" i="1"/>
  <c r="AN178" i="1"/>
  <c r="AN249" i="1"/>
  <c r="AN238" i="1"/>
  <c r="AN242" i="1" s="1"/>
  <c r="AN305" i="1" s="1"/>
  <c r="AN204" i="1" l="1"/>
  <c r="AN196" i="1" s="1"/>
  <c r="AN60" i="1"/>
  <c r="AN66" i="1"/>
  <c r="BP720" i="1"/>
  <c r="BP729" i="1" s="1"/>
  <c r="BP218" i="1" s="1"/>
  <c r="AN215" i="1"/>
  <c r="AN729" i="1"/>
  <c r="AN218" i="1" s="1"/>
  <c r="AN724" i="1"/>
  <c r="AN713" i="1"/>
  <c r="BP724" i="1" l="1"/>
  <c r="AJ545" i="1"/>
  <c r="AJ548" i="1" l="1"/>
  <c r="AJ708" i="1"/>
  <c r="AJ715" i="1" s="1"/>
  <c r="AJ718" i="1" s="1"/>
  <c r="AJ550" i="1"/>
  <c r="AJ711" i="1" l="1"/>
  <c r="AJ706" i="1"/>
  <c r="AN709" i="1"/>
  <c r="AN710" i="1" s="1"/>
  <c r="AN551" i="1"/>
  <c r="AJ553" i="1"/>
  <c r="AJ713" i="1" l="1"/>
  <c r="AN716" i="1"/>
  <c r="AN717" i="1" s="1"/>
  <c r="AN40" i="1" s="1"/>
  <c r="AN41" i="1" s="1"/>
  <c r="AM678" i="1"/>
  <c r="AM652" i="1" s="1"/>
  <c r="BO652" i="1" s="1"/>
  <c r="BO626" i="1" s="1"/>
  <c r="AI673" i="1"/>
  <c r="AI643" i="1"/>
  <c r="E21" i="525" s="1"/>
  <c r="K21" i="525" s="1"/>
  <c r="BN577" i="1"/>
  <c r="BN288" i="1" s="1"/>
  <c r="BN671" i="1"/>
  <c r="BN289" i="1" l="1"/>
  <c r="BO303" i="1" s="1"/>
  <c r="BO635" i="1"/>
  <c r="BN673" i="1"/>
  <c r="AI676" i="1"/>
  <c r="BO671" i="1"/>
  <c r="BO681" i="1" s="1"/>
  <c r="AM643" i="1"/>
  <c r="AQ671" i="1"/>
  <c r="AM681" i="1"/>
  <c r="AM689" i="1" s="1"/>
  <c r="AM673" i="1"/>
  <c r="AI644" i="1"/>
  <c r="BN643" i="1"/>
  <c r="BO678" i="1"/>
  <c r="AM583" i="1"/>
  <c r="BO583" i="1" s="1"/>
  <c r="AQ577" i="1"/>
  <c r="AM587" i="1"/>
  <c r="AQ594" i="1" s="1"/>
  <c r="BO577" i="1"/>
  <c r="BO587" i="1" l="1"/>
  <c r="BO288" i="1"/>
  <c r="I21" i="525"/>
  <c r="BO643" i="1"/>
  <c r="AM644" i="1"/>
  <c r="BP671" i="1"/>
  <c r="BP681" i="1" s="1"/>
  <c r="BP689" i="1" s="1"/>
  <c r="AQ673" i="1"/>
  <c r="E22" i="525"/>
  <c r="BN644" i="1"/>
  <c r="AM676" i="1"/>
  <c r="BO673" i="1"/>
  <c r="BO683" i="1" s="1"/>
  <c r="AM683" i="1"/>
  <c r="BN676" i="1"/>
  <c r="R31" i="525"/>
  <c r="BP577" i="1"/>
  <c r="BP587" i="1" s="1"/>
  <c r="BP594" i="1" s="1"/>
  <c r="BO289" i="1" l="1"/>
  <c r="BO296" i="1" s="1"/>
  <c r="BO295" i="1"/>
  <c r="AM691" i="1"/>
  <c r="AQ689" i="1"/>
  <c r="V31" i="525"/>
  <c r="AM686" i="1"/>
  <c r="BO676" i="1"/>
  <c r="BO686" i="1" s="1"/>
  <c r="X31" i="525"/>
  <c r="R48" i="525"/>
  <c r="R50" i="525" s="1"/>
  <c r="AQ675" i="1"/>
  <c r="BP673" i="1"/>
  <c r="BP683" i="1" s="1"/>
  <c r="BP691" i="1" s="1"/>
  <c r="AQ683" i="1"/>
  <c r="AQ691" i="1" s="1"/>
  <c r="K22" i="525"/>
  <c r="R22" i="525"/>
  <c r="V8" i="525"/>
  <c r="AQ391" i="1"/>
  <c r="BO644" i="1"/>
  <c r="I22" i="525"/>
  <c r="L21" i="525"/>
  <c r="L26" i="525" s="1"/>
  <c r="I26" i="525"/>
  <c r="AQ393" i="1" l="1"/>
  <c r="AQ396" i="1" s="1"/>
  <c r="AQ332" i="1" s="1"/>
  <c r="AQ685" i="1"/>
  <c r="AQ693" i="1" s="1"/>
  <c r="BP675" i="1"/>
  <c r="BP685" i="1" s="1"/>
  <c r="BP693" i="1" s="1"/>
  <c r="X48" i="525"/>
  <c r="X50" i="525" s="1"/>
  <c r="I27" i="525"/>
  <c r="L22" i="525"/>
  <c r="L27" i="525" s="1"/>
  <c r="V22" i="525"/>
  <c r="R16" i="525"/>
  <c r="BN396" i="1"/>
  <c r="R23" i="525"/>
  <c r="X23" i="525" s="1"/>
  <c r="X22" i="525"/>
  <c r="AQ676" i="1"/>
  <c r="AM694" i="1"/>
  <c r="AQ692" i="1"/>
  <c r="V48" i="525"/>
  <c r="Y31" i="525"/>
  <c r="V32" i="525"/>
  <c r="AQ333" i="1" l="1"/>
  <c r="AQ152" i="1"/>
  <c r="Y48" i="525"/>
  <c r="Y32" i="525"/>
  <c r="AA32" i="525" s="1"/>
  <c r="Y22" i="525"/>
  <c r="Y27" i="525" s="1"/>
  <c r="AA27" i="525" s="1"/>
  <c r="V27" i="525"/>
  <c r="V23" i="525"/>
  <c r="V55" i="525"/>
  <c r="V50" i="525"/>
  <c r="V57" i="525" s="1"/>
  <c r="BP676" i="1"/>
  <c r="BP686" i="1" s="1"/>
  <c r="BP694" i="1" s="1"/>
  <c r="AQ686" i="1"/>
  <c r="AQ694" i="1" s="1"/>
  <c r="R51" i="525"/>
  <c r="R52" i="525" s="1"/>
  <c r="R62" i="525"/>
  <c r="R43" i="525"/>
  <c r="BO396" i="1"/>
  <c r="BO404" i="1" s="1"/>
  <c r="AM404" i="1"/>
  <c r="V16" i="525"/>
  <c r="AQ401" i="1"/>
  <c r="AQ159" i="1" l="1"/>
  <c r="AQ184" i="1"/>
  <c r="AQ404" i="1"/>
  <c r="AQ412" i="1" s="1"/>
  <c r="V43" i="525"/>
  <c r="V44" i="525" s="1"/>
  <c r="V62" i="525"/>
  <c r="V51" i="525"/>
  <c r="V17" i="525"/>
  <c r="Y23" i="525"/>
  <c r="Y28" i="525" s="1"/>
  <c r="AA28" i="525" s="1"/>
  <c r="V28" i="525"/>
  <c r="Y50" i="525"/>
  <c r="Y57" i="525" s="1"/>
  <c r="AA57" i="525" s="1"/>
  <c r="Y55" i="525"/>
  <c r="AA55" i="525" s="1"/>
  <c r="AQ191" i="1" l="1"/>
  <c r="AQ351" i="1"/>
  <c r="V52" i="525"/>
  <c r="V59" i="525" s="1"/>
  <c r="V58" i="525"/>
  <c r="V63" i="525"/>
  <c r="AQ354" i="1" l="1"/>
  <c r="AQ352" i="1"/>
  <c r="BN580" i="1"/>
  <c r="AJ578" i="1"/>
  <c r="AF578" i="1"/>
  <c r="AJ588" i="1" l="1"/>
  <c r="AN579" i="1"/>
  <c r="AJ589" i="1"/>
  <c r="AJ590" i="1" l="1"/>
  <c r="AN580" i="1"/>
  <c r="AN578" i="1"/>
  <c r="AN589" i="1"/>
  <c r="AN596" i="1" s="1"/>
  <c r="AN588" i="1" l="1"/>
  <c r="AN595" i="1" s="1"/>
  <c r="AN590" i="1"/>
  <c r="AN597" i="1" s="1"/>
  <c r="AO580" i="1"/>
  <c r="AK590" i="1"/>
  <c r="AO597" i="1" s="1"/>
  <c r="AH578" i="1"/>
  <c r="AL589" i="1"/>
  <c r="BN579" i="1"/>
  <c r="AI578" i="1"/>
  <c r="AM578" i="1"/>
  <c r="AG578" i="1"/>
  <c r="AK589" i="1"/>
  <c r="BN578" i="1" l="1"/>
  <c r="AQ578" i="1"/>
  <c r="AQ579" i="1" s="1"/>
  <c r="AM588" i="1"/>
  <c r="AQ595" i="1" s="1"/>
  <c r="AL578" i="1"/>
  <c r="AM589" i="1"/>
  <c r="AK578" i="1"/>
  <c r="BO579" i="1"/>
  <c r="BO589" i="1" s="1"/>
  <c r="AO578" i="1" l="1"/>
  <c r="BO578" i="1"/>
  <c r="BO588" i="1" s="1"/>
  <c r="AK588" i="1"/>
  <c r="AO595" i="1" s="1"/>
  <c r="AL590" i="1"/>
  <c r="AP597" i="1" s="1"/>
  <c r="BO580" i="1"/>
  <c r="BO590" i="1" s="1"/>
  <c r="AP580" i="1"/>
  <c r="AL588" i="1"/>
  <c r="AP595" i="1" s="1"/>
  <c r="AP578" i="1"/>
  <c r="AP579" i="1" s="1"/>
  <c r="AM590" i="1"/>
  <c r="AQ597" i="1" s="1"/>
  <c r="AQ580" i="1"/>
  <c r="AQ581" i="1" s="1"/>
  <c r="AQ541" i="1" s="1"/>
  <c r="AQ542" i="1" s="1"/>
  <c r="AQ589" i="1"/>
  <c r="AQ596" i="1" s="1"/>
  <c r="AQ591" i="1" l="1"/>
  <c r="AQ598" i="1" s="1"/>
  <c r="AQ153" i="1"/>
  <c r="AP581" i="1"/>
  <c r="AP541" i="1" s="1"/>
  <c r="AP542" i="1" s="1"/>
  <c r="AP589" i="1"/>
  <c r="AP596" i="1" s="1"/>
  <c r="BP580" i="1"/>
  <c r="BP590" i="1" s="1"/>
  <c r="BP597" i="1" s="1"/>
  <c r="AO579" i="1"/>
  <c r="BP578" i="1"/>
  <c r="BP588" i="1" s="1"/>
  <c r="BP595" i="1" s="1"/>
  <c r="AP591" i="1" l="1"/>
  <c r="AP598" i="1" s="1"/>
  <c r="AP153" i="1"/>
  <c r="AQ160" i="1"/>
  <c r="AQ185" i="1"/>
  <c r="AQ555" i="1" s="1"/>
  <c r="AQ156" i="1"/>
  <c r="AO581" i="1"/>
  <c r="AO589" i="1"/>
  <c r="AO596" i="1" s="1"/>
  <c r="BP579" i="1"/>
  <c r="BP589" i="1" s="1"/>
  <c r="BP596" i="1" s="1"/>
  <c r="AO153" i="1" l="1"/>
  <c r="AO160" i="1" s="1"/>
  <c r="AO541" i="1"/>
  <c r="AQ556" i="1"/>
  <c r="AQ558" i="1"/>
  <c r="AQ12" i="1"/>
  <c r="AQ164" i="1" s="1"/>
  <c r="AQ163" i="1"/>
  <c r="AO185" i="1"/>
  <c r="AO555" i="1" s="1"/>
  <c r="AQ192" i="1"/>
  <c r="AQ188" i="1"/>
  <c r="AP160" i="1"/>
  <c r="AP185" i="1"/>
  <c r="AP555" i="1" s="1"/>
  <c r="AO591" i="1"/>
  <c r="AO598" i="1" s="1"/>
  <c r="BP581" i="1"/>
  <c r="BP591" i="1" s="1"/>
  <c r="BP598" i="1" s="1"/>
  <c r="BP153" i="1" l="1"/>
  <c r="BP160" i="1" s="1"/>
  <c r="AP556" i="1"/>
  <c r="AP558" i="1"/>
  <c r="AO542" i="1"/>
  <c r="BP541" i="1"/>
  <c r="BP542" i="1" s="1"/>
  <c r="AO556" i="1"/>
  <c r="AO558" i="1"/>
  <c r="BP555" i="1"/>
  <c r="AP192" i="1"/>
  <c r="AQ49" i="1"/>
  <c r="AQ195" i="1"/>
  <c r="AQ214" i="1"/>
  <c r="AO192" i="1"/>
  <c r="BP185" i="1"/>
  <c r="AQ1058" i="1"/>
  <c r="AQ1357" i="1"/>
  <c r="AQ1366" i="1" s="1"/>
  <c r="AQ1358" i="1"/>
  <c r="AQ1367" i="1" s="1"/>
  <c r="AQ1355" i="1"/>
  <c r="AQ1364" i="1" s="1"/>
  <c r="AQ1391" i="1"/>
  <c r="AQ1393" i="1" s="1"/>
  <c r="AQ1394" i="1" s="1"/>
  <c r="AQ1370" i="1" s="1"/>
  <c r="AQ14" i="1" s="1"/>
  <c r="AQ1353" i="1"/>
  <c r="AQ13" i="1"/>
  <c r="AQ1354" i="1"/>
  <c r="AQ1363" i="1" s="1"/>
  <c r="AQ102" i="1"/>
  <c r="AQ22" i="1"/>
  <c r="AQ19" i="1"/>
  <c r="AQ1356" i="1"/>
  <c r="AQ1365" i="1" s="1"/>
  <c r="AQ557" i="1" l="1"/>
  <c r="BP558" i="1"/>
  <c r="BP556" i="1"/>
  <c r="AQ334" i="1"/>
  <c r="AQ543" i="1"/>
  <c r="AQ15" i="1"/>
  <c r="AQ178" i="1" s="1"/>
  <c r="AQ1072" i="1"/>
  <c r="AQ1077" i="1" s="1"/>
  <c r="AQ23" i="1"/>
  <c r="AQ24" i="1" s="1"/>
  <c r="AQ25" i="1" s="1"/>
  <c r="AQ32" i="1"/>
  <c r="AQ905" i="1" s="1"/>
  <c r="AQ914" i="1" s="1"/>
  <c r="AQ109" i="1"/>
  <c r="AQ20" i="1"/>
  <c r="AQ1359" i="1"/>
  <c r="AQ1368" i="1" s="1"/>
  <c r="AQ1362" i="1"/>
  <c r="AQ420" i="1"/>
  <c r="AQ238" i="1" s="1"/>
  <c r="AQ171" i="1"/>
  <c r="AQ800" i="1"/>
  <c r="AQ240" i="1" s="1"/>
  <c r="AQ605" i="1"/>
  <c r="AQ239" i="1" s="1"/>
  <c r="AQ827" i="1"/>
  <c r="AQ828" i="1" s="1"/>
  <c r="AQ1098" i="1"/>
  <c r="AQ1101" i="1" s="1"/>
  <c r="AQ1102" i="1" s="1"/>
  <c r="AQ1063" i="1"/>
  <c r="BP192" i="1"/>
  <c r="BP211" i="1"/>
  <c r="AQ1083" i="1"/>
  <c r="AQ72" i="1"/>
  <c r="AQ50" i="1"/>
  <c r="AQ81" i="1"/>
  <c r="AQ53" i="1"/>
  <c r="AQ54" i="1"/>
  <c r="AQ235" i="1" l="1"/>
  <c r="AQ249" i="1"/>
  <c r="AQ916" i="1"/>
  <c r="AQ912" i="1"/>
  <c r="AQ242" i="1"/>
  <c r="AQ83" i="1"/>
  <c r="AQ82" i="1"/>
  <c r="AQ89" i="1"/>
  <c r="AQ73" i="1"/>
  <c r="AQ74" i="1" s="1"/>
  <c r="AQ76" i="1" s="1"/>
  <c r="AQ77" i="1" s="1"/>
  <c r="AQ58" i="1"/>
  <c r="AQ59" i="1" s="1"/>
  <c r="AQ51" i="1"/>
  <c r="AQ1085" i="1"/>
  <c r="AQ1104" i="1"/>
  <c r="AQ1111" i="1" s="1"/>
  <c r="AQ39" i="1"/>
  <c r="AQ40" i="1" s="1"/>
  <c r="AQ41" i="1" s="1"/>
  <c r="AQ47" i="1"/>
  <c r="AQ52" i="1" l="1"/>
  <c r="AQ353" i="1"/>
  <c r="AQ1114" i="1"/>
  <c r="AQ1112" i="1"/>
  <c r="AQ1113" i="1" s="1"/>
  <c r="AQ62" i="1" s="1"/>
  <c r="AQ63" i="1" s="1"/>
  <c r="AQ1086" i="1"/>
  <c r="AQ1087" i="1" s="1"/>
  <c r="AQ116" i="1"/>
  <c r="AQ113" i="1"/>
  <c r="AQ104" i="1"/>
  <c r="AQ91" i="1"/>
  <c r="AQ110" i="1" s="1"/>
  <c r="AQ90" i="1"/>
  <c r="AQ93" i="1"/>
  <c r="AQ66" i="1" l="1"/>
  <c r="AQ60" i="1"/>
  <c r="AQ117" i="1"/>
  <c r="AQ96" i="1"/>
  <c r="AQ95" i="1"/>
  <c r="AQ105" i="1"/>
  <c r="AQ106" i="1"/>
  <c r="AQ118" i="1" l="1"/>
  <c r="AQ119" i="1" s="1"/>
  <c r="AQ125" i="1"/>
  <c r="O16" i="525" l="1"/>
  <c r="Q16" i="525"/>
  <c r="T16" i="525"/>
  <c r="AM401" i="1"/>
  <c r="AQ409" i="1" s="1"/>
  <c r="R8" i="525"/>
  <c r="V12" i="525" s="1"/>
  <c r="O8" i="525"/>
  <c r="AM399" i="1"/>
  <c r="AQ407" i="1" s="1"/>
  <c r="AN393" i="1"/>
  <c r="AN401" i="1" s="1"/>
  <c r="S8" i="525"/>
  <c r="BO391" i="1"/>
  <c r="AJ399" i="1"/>
  <c r="AN407" i="1" s="1"/>
  <c r="AO391" i="1"/>
  <c r="AO393" i="1" s="1"/>
  <c r="AO396" i="1" s="1"/>
  <c r="AO332" i="1" s="1"/>
  <c r="AP391" i="1"/>
  <c r="AP393" i="1" s="1"/>
  <c r="AP396" i="1" s="1"/>
  <c r="AP332" i="1" s="1"/>
  <c r="T8" i="525"/>
  <c r="U8" i="525"/>
  <c r="AK399" i="1"/>
  <c r="AO407" i="1" s="1"/>
  <c r="Q8" i="525"/>
  <c r="P8" i="525"/>
  <c r="AL399" i="1"/>
  <c r="AP407" i="1" s="1"/>
  <c r="BN391" i="1"/>
  <c r="BN393" i="1"/>
  <c r="AL401" i="1"/>
  <c r="BO393" i="1"/>
  <c r="AJ401" i="1"/>
  <c r="AK401" i="1"/>
  <c r="U12" i="525" l="1"/>
  <c r="X8" i="525"/>
  <c r="Y8" i="525"/>
  <c r="S12" i="525"/>
  <c r="BP332" i="1"/>
  <c r="BP333" i="1" s="1"/>
  <c r="AO333" i="1"/>
  <c r="AO152" i="1"/>
  <c r="AP333" i="1"/>
  <c r="AP152" i="1"/>
  <c r="T12" i="525"/>
  <c r="BO399" i="1"/>
  <c r="BO401" i="1"/>
  <c r="AP404" i="1"/>
  <c r="AP412" i="1" s="1"/>
  <c r="AP401" i="1"/>
  <c r="AP409" i="1" s="1"/>
  <c r="AN409" i="1"/>
  <c r="BP393" i="1"/>
  <c r="BP401" i="1" s="1"/>
  <c r="BP409" i="1" s="1"/>
  <c r="AO401" i="1"/>
  <c r="AO409" i="1" s="1"/>
  <c r="AO404" i="1"/>
  <c r="AO412" i="1" s="1"/>
  <c r="T62" i="525"/>
  <c r="T51" i="525"/>
  <c r="T43" i="525"/>
  <c r="T44" i="525" s="1"/>
  <c r="T17" i="525"/>
  <c r="Y16" i="525"/>
  <c r="Q62" i="525"/>
  <c r="U63" i="525" s="1"/>
  <c r="Q43" i="525"/>
  <c r="U44" i="525" s="1"/>
  <c r="Q51" i="525"/>
  <c r="U17" i="525"/>
  <c r="BP391" i="1"/>
  <c r="BP399" i="1" s="1"/>
  <c r="BP407" i="1" s="1"/>
  <c r="O62" i="525"/>
  <c r="O51" i="525"/>
  <c r="O43" i="525"/>
  <c r="S44" i="525" s="1"/>
  <c r="S17" i="525"/>
  <c r="X16" i="525"/>
  <c r="Y12" i="525" l="1"/>
  <c r="AA12" i="525" s="1"/>
  <c r="AO159" i="1"/>
  <c r="AO184" i="1"/>
  <c r="BP152" i="1"/>
  <c r="BP159" i="1" s="1"/>
  <c r="AO156" i="1"/>
  <c r="AP159" i="1"/>
  <c r="AP184" i="1"/>
  <c r="AP156" i="1"/>
  <c r="Q52" i="525"/>
  <c r="U59" i="525" s="1"/>
  <c r="U58" i="525"/>
  <c r="Y51" i="525"/>
  <c r="Y43" i="525"/>
  <c r="Y17" i="525"/>
  <c r="AA17" i="525" s="1"/>
  <c r="T63" i="525"/>
  <c r="Y62" i="525"/>
  <c r="X43" i="525"/>
  <c r="X51" i="525"/>
  <c r="X52" i="525" s="1"/>
  <c r="O52" i="525"/>
  <c r="S57" i="525"/>
  <c r="S63" i="525"/>
  <c r="X62" i="525"/>
  <c r="T52" i="525"/>
  <c r="T59" i="525" s="1"/>
  <c r="T58" i="525"/>
  <c r="AP351" i="1" l="1"/>
  <c r="AP191" i="1"/>
  <c r="AP188" i="1"/>
  <c r="AP12" i="1"/>
  <c r="AP163" i="1"/>
  <c r="AO12" i="1"/>
  <c r="AO163" i="1"/>
  <c r="BP156" i="1"/>
  <c r="AO191" i="1"/>
  <c r="AO351" i="1"/>
  <c r="BP184" i="1"/>
  <c r="AO188" i="1"/>
  <c r="Y44" i="525"/>
  <c r="AA44" i="525" s="1"/>
  <c r="Y63" i="525"/>
  <c r="S58" i="525"/>
  <c r="S59" i="525"/>
  <c r="Y58" i="525"/>
  <c r="AA58" i="525" s="1"/>
  <c r="Y52" i="525"/>
  <c r="Y59" i="525" s="1"/>
  <c r="AA59" i="525" s="1"/>
  <c r="BP396" i="1"/>
  <c r="BP404" i="1" s="1"/>
  <c r="BP412" i="1" s="1"/>
  <c r="AN395" i="1"/>
  <c r="AN412" i="1"/>
  <c r="AP164" i="1" l="1"/>
  <c r="AP1353" i="1"/>
  <c r="AP1357" i="1"/>
  <c r="AP1366" i="1" s="1"/>
  <c r="AP1358" i="1"/>
  <c r="AP1367" i="1" s="1"/>
  <c r="AP1058" i="1"/>
  <c r="AP1356" i="1"/>
  <c r="AP1365" i="1" s="1"/>
  <c r="AP1391" i="1"/>
  <c r="AP1393" i="1" s="1"/>
  <c r="AP1394" i="1" s="1"/>
  <c r="AP1370" i="1" s="1"/>
  <c r="AP14" i="1" s="1"/>
  <c r="AP1354" i="1"/>
  <c r="AP1363" i="1" s="1"/>
  <c r="AP102" i="1"/>
  <c r="AP13" i="1"/>
  <c r="AP1355" i="1"/>
  <c r="AP1364" i="1" s="1"/>
  <c r="AP19" i="1"/>
  <c r="AP22" i="1"/>
  <c r="BP210" i="1"/>
  <c r="BP191" i="1"/>
  <c r="BP215" i="1"/>
  <c r="AO352" i="1"/>
  <c r="BP351" i="1"/>
  <c r="AO354" i="1"/>
  <c r="BP163" i="1"/>
  <c r="BP213" i="1"/>
  <c r="AO164" i="1"/>
  <c r="AO102" i="1"/>
  <c r="BU12" i="1"/>
  <c r="BU13" i="1" s="1"/>
  <c r="AO22" i="1"/>
  <c r="AO1353" i="1"/>
  <c r="AO1365" i="1"/>
  <c r="AO1358" i="1"/>
  <c r="AO1367" i="1" s="1"/>
  <c r="BP12" i="1"/>
  <c r="AO13" i="1"/>
  <c r="AO1354" i="1"/>
  <c r="AO1363" i="1" s="1"/>
  <c r="AO1391" i="1"/>
  <c r="AO1393" i="1" s="1"/>
  <c r="AO1394" i="1" s="1"/>
  <c r="AO1370" i="1" s="1"/>
  <c r="AO14" i="1" s="1"/>
  <c r="AO557" i="1" s="1"/>
  <c r="AO1058" i="1"/>
  <c r="AO1357" i="1"/>
  <c r="AO1366" i="1" s="1"/>
  <c r="AO19" i="1"/>
  <c r="AO1355" i="1"/>
  <c r="AO1364" i="1" s="1"/>
  <c r="AO49" i="1"/>
  <c r="BP188" i="1"/>
  <c r="AO195" i="1"/>
  <c r="AO214" i="1"/>
  <c r="AP214" i="1"/>
  <c r="AP195" i="1"/>
  <c r="AP49" i="1"/>
  <c r="AP352" i="1"/>
  <c r="AP354" i="1"/>
  <c r="BP395" i="1"/>
  <c r="BP403" i="1" s="1"/>
  <c r="BP411" i="1" s="1"/>
  <c r="AN403" i="1"/>
  <c r="AN411" i="1" s="1"/>
  <c r="AP543" i="1" l="1"/>
  <c r="AP557" i="1"/>
  <c r="BP557" i="1" s="1"/>
  <c r="AO543" i="1"/>
  <c r="AO15" i="1"/>
  <c r="AO235" i="1" s="1"/>
  <c r="AP334" i="1"/>
  <c r="AP827" i="1"/>
  <c r="AP828" i="1" s="1"/>
  <c r="AP420" i="1"/>
  <c r="AP238" i="1" s="1"/>
  <c r="AP605" i="1"/>
  <c r="AP239" i="1" s="1"/>
  <c r="AP800" i="1"/>
  <c r="AP240" i="1" s="1"/>
  <c r="AP171" i="1"/>
  <c r="AO20" i="1"/>
  <c r="BP19" i="1"/>
  <c r="AO109" i="1"/>
  <c r="AP1072" i="1"/>
  <c r="AP1077" i="1" s="1"/>
  <c r="AP23" i="1"/>
  <c r="AP24" i="1" s="1"/>
  <c r="AP25" i="1" s="1"/>
  <c r="AP32" i="1"/>
  <c r="AP1063" i="1"/>
  <c r="AP1098" i="1"/>
  <c r="AP1101" i="1" s="1"/>
  <c r="AP1102" i="1" s="1"/>
  <c r="BP164" i="1"/>
  <c r="BP13" i="1"/>
  <c r="K8" i="523"/>
  <c r="K8" i="504"/>
  <c r="K8" i="503"/>
  <c r="K8" i="198"/>
  <c r="BP102" i="1"/>
  <c r="AO1359" i="1"/>
  <c r="AO1368" i="1" s="1"/>
  <c r="AO1362" i="1"/>
  <c r="BP352" i="1"/>
  <c r="BP354" i="1"/>
  <c r="AP20" i="1"/>
  <c r="AP109" i="1"/>
  <c r="AP53" i="1"/>
  <c r="AP81" i="1"/>
  <c r="AP54" i="1"/>
  <c r="AP72" i="1"/>
  <c r="AP73" i="1" s="1"/>
  <c r="AP50" i="1"/>
  <c r="AP1083" i="1"/>
  <c r="AO1072" i="1"/>
  <c r="AO23" i="1"/>
  <c r="AO24" i="1" s="1"/>
  <c r="AO32" i="1"/>
  <c r="BP22" i="1"/>
  <c r="AO334" i="1"/>
  <c r="BP14" i="1"/>
  <c r="BP171" i="1" s="1"/>
  <c r="AO171" i="1"/>
  <c r="AO605" i="1"/>
  <c r="AO800" i="1"/>
  <c r="AO827" i="1"/>
  <c r="AO420" i="1"/>
  <c r="AP1359" i="1"/>
  <c r="AP1368" i="1" s="1"/>
  <c r="AP1362" i="1"/>
  <c r="AP15" i="1"/>
  <c r="AO1098" i="1"/>
  <c r="AO1063" i="1"/>
  <c r="BP1058" i="1"/>
  <c r="BP1063" i="1" s="1"/>
  <c r="E6" i="276"/>
  <c r="BP195" i="1"/>
  <c r="BP214" i="1"/>
  <c r="BP49" i="1"/>
  <c r="E34" i="276"/>
  <c r="BU49" i="1"/>
  <c r="BU50" i="1" s="1"/>
  <c r="AO53" i="1"/>
  <c r="AO50" i="1"/>
  <c r="AO81" i="1"/>
  <c r="AO54" i="1"/>
  <c r="AO1083" i="1"/>
  <c r="AO72" i="1"/>
  <c r="BP543" i="1" l="1"/>
  <c r="AO249" i="1"/>
  <c r="AO178" i="1"/>
  <c r="BP334" i="1"/>
  <c r="BP15" i="1"/>
  <c r="BP235" i="1" s="1"/>
  <c r="AO25" i="1"/>
  <c r="G34" i="276"/>
  <c r="H34" i="276"/>
  <c r="F34" i="276"/>
  <c r="AP249" i="1"/>
  <c r="AP178" i="1"/>
  <c r="AP235" i="1"/>
  <c r="AP1104" i="1"/>
  <c r="AP1111" i="1" s="1"/>
  <c r="AP1085" i="1"/>
  <c r="K9" i="503"/>
  <c r="K43" i="503"/>
  <c r="K109" i="503"/>
  <c r="K87" i="503"/>
  <c r="K116" i="503"/>
  <c r="K120" i="503" s="1"/>
  <c r="K52" i="503"/>
  <c r="L8" i="503"/>
  <c r="K30" i="503"/>
  <c r="AP905" i="1"/>
  <c r="AP33" i="1"/>
  <c r="AQ33" i="1"/>
  <c r="AP47" i="1"/>
  <c r="AP39" i="1"/>
  <c r="AP40" i="1" s="1"/>
  <c r="AP41" i="1" s="1"/>
  <c r="K116" i="504"/>
  <c r="K120" i="504" s="1"/>
  <c r="K30" i="504"/>
  <c r="K43" i="504"/>
  <c r="L8" i="504"/>
  <c r="K9" i="504"/>
  <c r="K109" i="504"/>
  <c r="K87" i="504"/>
  <c r="K52" i="504"/>
  <c r="AP242" i="1"/>
  <c r="M142" i="198"/>
  <c r="AE33" i="198"/>
  <c r="K9" i="198"/>
  <c r="K108" i="198"/>
  <c r="K86" i="198"/>
  <c r="K42" i="198"/>
  <c r="K51" i="198"/>
  <c r="L8" i="198"/>
  <c r="K115" i="198"/>
  <c r="K119" i="198" s="1"/>
  <c r="K29" i="198"/>
  <c r="AP58" i="1"/>
  <c r="AP59" i="1" s="1"/>
  <c r="AP51" i="1"/>
  <c r="AO1085" i="1"/>
  <c r="AO1104" i="1"/>
  <c r="BP1083" i="1"/>
  <c r="AP74" i="1"/>
  <c r="AP76" i="1" s="1"/>
  <c r="AP77" i="1" s="1"/>
  <c r="AP1086" i="1"/>
  <c r="AP116" i="1"/>
  <c r="K87" i="523"/>
  <c r="K52" i="523"/>
  <c r="K30" i="523"/>
  <c r="K9" i="523"/>
  <c r="K43" i="523"/>
  <c r="M143" i="523"/>
  <c r="K109" i="523"/>
  <c r="K116" i="523"/>
  <c r="K120" i="523" s="1"/>
  <c r="AO238" i="1"/>
  <c r="BP420" i="1"/>
  <c r="BP238" i="1" s="1"/>
  <c r="BP23" i="1"/>
  <c r="BP26" i="1"/>
  <c r="AO83" i="1"/>
  <c r="AO82" i="1"/>
  <c r="AO89" i="1"/>
  <c r="BP81" i="1"/>
  <c r="F6" i="276"/>
  <c r="G6" i="276"/>
  <c r="H6" i="276"/>
  <c r="AO828" i="1"/>
  <c r="BP827" i="1"/>
  <c r="BP828" i="1" s="1"/>
  <c r="AO905" i="1"/>
  <c r="AO33" i="1"/>
  <c r="AO47" i="1"/>
  <c r="AO39" i="1"/>
  <c r="AO40" i="1" s="1"/>
  <c r="BP32" i="1"/>
  <c r="AP83" i="1"/>
  <c r="AP82" i="1"/>
  <c r="AP89" i="1"/>
  <c r="BP109" i="1"/>
  <c r="BP20" i="1"/>
  <c r="AO1101" i="1"/>
  <c r="BP1098" i="1"/>
  <c r="AO73" i="1"/>
  <c r="AO74" i="1" s="1"/>
  <c r="AO76" i="1" s="1"/>
  <c r="AO51" i="1"/>
  <c r="AO58" i="1"/>
  <c r="AO59" i="1" s="1"/>
  <c r="AO240" i="1"/>
  <c r="BP800" i="1"/>
  <c r="BP24" i="1"/>
  <c r="K13" i="198"/>
  <c r="BP54" i="1"/>
  <c r="BP72" i="1"/>
  <c r="K13" i="503"/>
  <c r="BP53" i="1"/>
  <c r="BP50" i="1"/>
  <c r="BP58" i="1" s="1"/>
  <c r="K13" i="504"/>
  <c r="K13" i="523"/>
  <c r="AO239" i="1"/>
  <c r="BP605" i="1"/>
  <c r="BP239" i="1" s="1"/>
  <c r="AO1077" i="1"/>
  <c r="BP1072" i="1"/>
  <c r="BP1077" i="1" s="1"/>
  <c r="BP25" i="1" l="1"/>
  <c r="K10" i="504"/>
  <c r="K122" i="198"/>
  <c r="K123" i="198" s="1"/>
  <c r="BP249" i="1"/>
  <c r="BP178" i="1"/>
  <c r="K123" i="504"/>
  <c r="K124" i="504" s="1"/>
  <c r="K123" i="503"/>
  <c r="K124" i="503" s="1"/>
  <c r="AP1087" i="1"/>
  <c r="K10" i="198"/>
  <c r="K10" i="523"/>
  <c r="K10" i="503"/>
  <c r="K123" i="523"/>
  <c r="K124" i="523" s="1"/>
  <c r="AO77" i="1"/>
  <c r="BP76" i="1"/>
  <c r="BP77" i="1" s="1"/>
  <c r="N142" i="198"/>
  <c r="N146" i="198" s="1"/>
  <c r="M8" i="198"/>
  <c r="L8" i="523"/>
  <c r="L49" i="198"/>
  <c r="L115" i="198"/>
  <c r="L108" i="198"/>
  <c r="M162" i="198"/>
  <c r="M146" i="198"/>
  <c r="M154" i="198"/>
  <c r="AO1111" i="1"/>
  <c r="BP1104" i="1"/>
  <c r="L109" i="503"/>
  <c r="L116" i="503"/>
  <c r="L50" i="503"/>
  <c r="M8" i="503"/>
  <c r="AP1114" i="1"/>
  <c r="AP1112" i="1"/>
  <c r="AP1113" i="1" s="1"/>
  <c r="AP62" i="1" s="1"/>
  <c r="AP63" i="1" s="1"/>
  <c r="K17" i="503"/>
  <c r="K18" i="503"/>
  <c r="K14" i="503"/>
  <c r="L13" i="503"/>
  <c r="K126" i="503"/>
  <c r="BP905" i="1"/>
  <c r="BP39" i="1"/>
  <c r="BP47" i="1"/>
  <c r="BP1085" i="1"/>
  <c r="AO353" i="1"/>
  <c r="BP51" i="1"/>
  <c r="AO52" i="1"/>
  <c r="AO60" i="1" s="1"/>
  <c r="K18" i="523"/>
  <c r="K33" i="523"/>
  <c r="K17" i="523"/>
  <c r="K14" i="523"/>
  <c r="K126" i="523"/>
  <c r="AO242" i="1"/>
  <c r="AP353" i="1"/>
  <c r="AP52" i="1"/>
  <c r="AO41" i="1"/>
  <c r="BP40" i="1"/>
  <c r="BP82" i="1"/>
  <c r="BP83" i="1"/>
  <c r="BP240" i="1"/>
  <c r="BP242" i="1" s="1"/>
  <c r="BP801" i="1"/>
  <c r="BP252" i="1" s="1"/>
  <c r="AO91" i="1"/>
  <c r="AO110" i="1" s="1"/>
  <c r="AO113" i="1"/>
  <c r="BP89" i="1"/>
  <c r="AO90" i="1"/>
  <c r="AO104" i="1"/>
  <c r="AO93" i="1"/>
  <c r="M147" i="523"/>
  <c r="M163" i="523"/>
  <c r="M155" i="523"/>
  <c r="K32" i="198"/>
  <c r="L13" i="198"/>
  <c r="K125" i="198"/>
  <c r="K18" i="198"/>
  <c r="K14" i="198"/>
  <c r="K17" i="198"/>
  <c r="BP1101" i="1"/>
  <c r="BP1102" i="1" s="1"/>
  <c r="AO1102" i="1"/>
  <c r="K17" i="504"/>
  <c r="K126" i="504"/>
  <c r="K14" i="504"/>
  <c r="K18" i="504"/>
  <c r="AO914" i="1"/>
  <c r="AO912" i="1"/>
  <c r="AO906" i="1"/>
  <c r="AO116" i="1"/>
  <c r="BP116" i="1" s="1"/>
  <c r="AO1086" i="1"/>
  <c r="BP1086" i="1" s="1"/>
  <c r="BP73" i="1"/>
  <c r="BP74" i="1" s="1"/>
  <c r="AP113" i="1"/>
  <c r="AP117" i="1" s="1"/>
  <c r="AP91" i="1"/>
  <c r="AP110" i="1" s="1"/>
  <c r="AP104" i="1"/>
  <c r="AP90" i="1"/>
  <c r="AP93" i="1"/>
  <c r="M8" i="504"/>
  <c r="L109" i="504"/>
  <c r="L116" i="504"/>
  <c r="L50" i="504"/>
  <c r="AP914" i="1"/>
  <c r="AP912" i="1"/>
  <c r="AP906" i="1"/>
  <c r="AQ906" i="1"/>
  <c r="AP66" i="1" l="1"/>
  <c r="AP60" i="1"/>
  <c r="K127" i="523"/>
  <c r="BP75" i="1"/>
  <c r="K126" i="198"/>
  <c r="BP353" i="1"/>
  <c r="BP41" i="1"/>
  <c r="AO916" i="1"/>
  <c r="AO915" i="1"/>
  <c r="K127" i="504"/>
  <c r="M50" i="504"/>
  <c r="M109" i="504"/>
  <c r="N8" i="504"/>
  <c r="M116" i="504"/>
  <c r="K61" i="523"/>
  <c r="K61" i="504"/>
  <c r="K60" i="198"/>
  <c r="K61" i="503"/>
  <c r="BP912" i="1"/>
  <c r="BP906" i="1"/>
  <c r="BP914" i="1"/>
  <c r="BP916" i="1" s="1"/>
  <c r="BP915" i="1" s="1"/>
  <c r="N150" i="198"/>
  <c r="N154" i="198" s="1"/>
  <c r="L50" i="198"/>
  <c r="L67" i="198"/>
  <c r="W14" i="519"/>
  <c r="AD25" i="522"/>
  <c r="AP94" i="1"/>
  <c r="AP95" i="1"/>
  <c r="AQ94" i="1"/>
  <c r="AP96" i="1"/>
  <c r="AO94" i="1"/>
  <c r="AO96" i="1"/>
  <c r="AO95" i="1"/>
  <c r="BP203" i="1"/>
  <c r="BP52" i="1"/>
  <c r="BP204" i="1" s="1"/>
  <c r="BP196" i="1" s="1"/>
  <c r="AO1114" i="1"/>
  <c r="AO1112" i="1"/>
  <c r="AO1113" i="1" s="1"/>
  <c r="AO62" i="1" s="1"/>
  <c r="AO63" i="1" s="1"/>
  <c r="AO66" i="1" s="1"/>
  <c r="BR52" i="1" s="1"/>
  <c r="BP1111" i="1"/>
  <c r="L9" i="523"/>
  <c r="L10" i="523" s="1"/>
  <c r="N143" i="523"/>
  <c r="N147" i="523" s="1"/>
  <c r="L116" i="523"/>
  <c r="L50" i="523"/>
  <c r="L109" i="523"/>
  <c r="AP916" i="1"/>
  <c r="AP915" i="1"/>
  <c r="AQ915" i="1"/>
  <c r="BU104" i="1"/>
  <c r="BU106" i="1" s="1"/>
  <c r="AO106" i="1"/>
  <c r="AO105" i="1"/>
  <c r="K127" i="503"/>
  <c r="M116" i="503"/>
  <c r="N8" i="503"/>
  <c r="M50" i="503"/>
  <c r="M109" i="503"/>
  <c r="M49" i="198"/>
  <c r="M108" i="198"/>
  <c r="M115" i="198"/>
  <c r="O142" i="198"/>
  <c r="O146" i="198" s="1"/>
  <c r="M8" i="523"/>
  <c r="N8" i="198"/>
  <c r="AP105" i="1"/>
  <c r="AP106" i="1"/>
  <c r="AO1087" i="1"/>
  <c r="BP1087" i="1" s="1"/>
  <c r="L126" i="503"/>
  <c r="L17" i="503"/>
  <c r="M13" i="503"/>
  <c r="L14" i="503"/>
  <c r="L15" i="503" s="1"/>
  <c r="W14" i="521"/>
  <c r="L51" i="503"/>
  <c r="L68" i="503"/>
  <c r="K36" i="523"/>
  <c r="K35" i="523"/>
  <c r="K54" i="523"/>
  <c r="K34" i="523"/>
  <c r="K46" i="523"/>
  <c r="L14" i="198"/>
  <c r="L15" i="198" s="1"/>
  <c r="L125" i="198"/>
  <c r="M13" i="198"/>
  <c r="L17" i="198"/>
  <c r="BP90" i="1"/>
  <c r="BP104" i="1"/>
  <c r="BP91" i="1"/>
  <c r="BP110" i="1" s="1"/>
  <c r="K33" i="504"/>
  <c r="K33" i="503"/>
  <c r="BP93" i="1"/>
  <c r="L51" i="504"/>
  <c r="L68" i="504"/>
  <c r="W14" i="520"/>
  <c r="AP125" i="1"/>
  <c r="AP118" i="1"/>
  <c r="AP119" i="1" s="1"/>
  <c r="K53" i="198"/>
  <c r="K33" i="198"/>
  <c r="K34" i="198"/>
  <c r="K35" i="198"/>
  <c r="K45" i="198"/>
  <c r="AO117" i="1"/>
  <c r="BP113" i="1"/>
  <c r="W15" i="521" l="1"/>
  <c r="W177" i="521"/>
  <c r="K36" i="504"/>
  <c r="K35" i="504"/>
  <c r="K34" i="504"/>
  <c r="K54" i="504"/>
  <c r="K46" i="504"/>
  <c r="BP105" i="1"/>
  <c r="BP106" i="1"/>
  <c r="K48" i="523"/>
  <c r="K47" i="523"/>
  <c r="N109" i="504"/>
  <c r="N116" i="504"/>
  <c r="O8" i="504"/>
  <c r="N50" i="504"/>
  <c r="M50" i="198"/>
  <c r="M67" i="198"/>
  <c r="O150" i="198"/>
  <c r="O154" i="198" s="1"/>
  <c r="X14" i="519"/>
  <c r="AO118" i="1"/>
  <c r="AO125" i="1"/>
  <c r="BP117" i="1"/>
  <c r="W15" i="520"/>
  <c r="W16" i="520" s="1"/>
  <c r="W83" i="520" s="1"/>
  <c r="W177" i="520"/>
  <c r="N8" i="523"/>
  <c r="N108" i="198"/>
  <c r="O8" i="198"/>
  <c r="N49" i="198"/>
  <c r="P142" i="198"/>
  <c r="P146" i="198" s="1"/>
  <c r="N115" i="198"/>
  <c r="X14" i="521"/>
  <c r="M68" i="503"/>
  <c r="M51" i="503"/>
  <c r="BP1112" i="1"/>
  <c r="BP1114" i="1"/>
  <c r="AD57" i="522"/>
  <c r="AD51" i="522" s="1"/>
  <c r="AD53" i="522" s="1"/>
  <c r="AD47" i="522" s="1"/>
  <c r="AD19" i="522"/>
  <c r="AD21" i="522" s="1"/>
  <c r="AD15" i="522" s="1"/>
  <c r="K62" i="503"/>
  <c r="L62" i="503" s="1"/>
  <c r="M62" i="503" s="1"/>
  <c r="N62" i="503" s="1"/>
  <c r="O62" i="503" s="1"/>
  <c r="P62" i="503" s="1"/>
  <c r="Q62" i="503" s="1"/>
  <c r="R62" i="503" s="1"/>
  <c r="S62" i="503" s="1"/>
  <c r="T62" i="503" s="1"/>
  <c r="U62" i="503" s="1"/>
  <c r="V62" i="503" s="1"/>
  <c r="K64" i="503"/>
  <c r="K47" i="198"/>
  <c r="K46" i="198"/>
  <c r="K56" i="523"/>
  <c r="K55" i="523"/>
  <c r="M17" i="503"/>
  <c r="N13" i="503"/>
  <c r="M126" i="503"/>
  <c r="M14" i="503"/>
  <c r="M15" i="503" s="1"/>
  <c r="M50" i="523"/>
  <c r="M9" i="523"/>
  <c r="M10" i="523" s="1"/>
  <c r="M109" i="523"/>
  <c r="M116" i="523"/>
  <c r="O143" i="523"/>
  <c r="O147" i="523" s="1"/>
  <c r="N116" i="503"/>
  <c r="O8" i="503"/>
  <c r="N50" i="503"/>
  <c r="N109" i="503"/>
  <c r="W15" i="519"/>
  <c r="W177" i="519"/>
  <c r="K61" i="198"/>
  <c r="L61" i="198" s="1"/>
  <c r="M61" i="198" s="1"/>
  <c r="N61" i="198" s="1"/>
  <c r="O61" i="198" s="1"/>
  <c r="P61" i="198" s="1"/>
  <c r="Q61" i="198" s="1"/>
  <c r="R61" i="198" s="1"/>
  <c r="S61" i="198" s="1"/>
  <c r="T61" i="198" s="1"/>
  <c r="U61" i="198" s="1"/>
  <c r="V61" i="198" s="1"/>
  <c r="K63" i="198"/>
  <c r="M51" i="504"/>
  <c r="X14" i="520"/>
  <c r="M68" i="504"/>
  <c r="K55" i="198"/>
  <c r="K54" i="198"/>
  <c r="K62" i="504"/>
  <c r="L62" i="504" s="1"/>
  <c r="M62" i="504" s="1"/>
  <c r="N62" i="504" s="1"/>
  <c r="O62" i="504" s="1"/>
  <c r="P62" i="504" s="1"/>
  <c r="Q62" i="504" s="1"/>
  <c r="R62" i="504" s="1"/>
  <c r="S62" i="504" s="1"/>
  <c r="T62" i="504" s="1"/>
  <c r="U62" i="504" s="1"/>
  <c r="V62" i="504" s="1"/>
  <c r="K64" i="504"/>
  <c r="BP96" i="1"/>
  <c r="BP95" i="1"/>
  <c r="BP94" i="1"/>
  <c r="M125" i="198"/>
  <c r="N13" i="198"/>
  <c r="M17" i="198"/>
  <c r="M14" i="198"/>
  <c r="M15" i="198" s="1"/>
  <c r="K62" i="523"/>
  <c r="L62" i="523" s="1"/>
  <c r="M62" i="523" s="1"/>
  <c r="N62" i="523" s="1"/>
  <c r="O62" i="523" s="1"/>
  <c r="P62" i="523" s="1"/>
  <c r="Q62" i="523" s="1"/>
  <c r="R62" i="523" s="1"/>
  <c r="S62" i="523" s="1"/>
  <c r="T62" i="523" s="1"/>
  <c r="U62" i="523" s="1"/>
  <c r="V62" i="523" s="1"/>
  <c r="K64" i="523"/>
  <c r="K36" i="503"/>
  <c r="K54" i="503"/>
  <c r="K35" i="503"/>
  <c r="K34" i="503"/>
  <c r="K46" i="503"/>
  <c r="N151" i="523"/>
  <c r="N155" i="523" s="1"/>
  <c r="L68" i="523"/>
  <c r="L51" i="523"/>
  <c r="K56" i="503" l="1"/>
  <c r="K55" i="503"/>
  <c r="Y14" i="519"/>
  <c r="P150" i="198"/>
  <c r="P154" i="198" s="1"/>
  <c r="N67" i="198"/>
  <c r="N50" i="198"/>
  <c r="BP125" i="1"/>
  <c r="AO139" i="1"/>
  <c r="N51" i="504"/>
  <c r="N68" i="504"/>
  <c r="Y14" i="520"/>
  <c r="K47" i="504"/>
  <c r="K48" i="504"/>
  <c r="K65" i="523"/>
  <c r="K69" i="523"/>
  <c r="K89" i="523"/>
  <c r="X177" i="520"/>
  <c r="X203" i="520" s="1"/>
  <c r="N51" i="503"/>
  <c r="Y14" i="521"/>
  <c r="N68" i="503"/>
  <c r="O151" i="523"/>
  <c r="O155" i="523" s="1"/>
  <c r="M68" i="523"/>
  <c r="M51" i="523"/>
  <c r="O108" i="198"/>
  <c r="O115" i="198"/>
  <c r="P8" i="198"/>
  <c r="O8" i="523"/>
  <c r="O49" i="198"/>
  <c r="AO119" i="1"/>
  <c r="BP118" i="1"/>
  <c r="BP119" i="1" s="1"/>
  <c r="O116" i="504"/>
  <c r="P8" i="504"/>
  <c r="O50" i="504"/>
  <c r="O109" i="504"/>
  <c r="K56" i="504"/>
  <c r="K55" i="504"/>
  <c r="O116" i="503"/>
  <c r="O109" i="503"/>
  <c r="P8" i="503"/>
  <c r="O50" i="503"/>
  <c r="X177" i="519"/>
  <c r="X203" i="519" s="1"/>
  <c r="K69" i="504"/>
  <c r="K65" i="504"/>
  <c r="K89" i="504"/>
  <c r="K133" i="504" s="1"/>
  <c r="J134" i="504" s="1"/>
  <c r="K64" i="198"/>
  <c r="K88" i="198"/>
  <c r="K68" i="198"/>
  <c r="N109" i="523"/>
  <c r="N9" i="523"/>
  <c r="N10" i="523" s="1"/>
  <c r="N50" i="523"/>
  <c r="N116" i="523"/>
  <c r="P143" i="523"/>
  <c r="P147" i="523" s="1"/>
  <c r="AD66" i="522"/>
  <c r="K47" i="503"/>
  <c r="K48" i="503"/>
  <c r="K89" i="503"/>
  <c r="K132" i="503" s="1"/>
  <c r="K69" i="503"/>
  <c r="K65" i="503"/>
  <c r="X177" i="521"/>
  <c r="X203" i="521" s="1"/>
  <c r="W38" i="520"/>
  <c r="X83" i="520"/>
  <c r="Y83" i="520" s="1"/>
  <c r="Z83" i="520" s="1"/>
  <c r="AA83" i="520" s="1"/>
  <c r="AB83" i="520" s="1"/>
  <c r="AC83" i="520" s="1"/>
  <c r="AD83" i="520" s="1"/>
  <c r="AE83" i="520" s="1"/>
  <c r="AF83" i="520" s="1"/>
  <c r="AG83" i="520" s="1"/>
  <c r="W203" i="519"/>
  <c r="W179" i="519"/>
  <c r="O13" i="503"/>
  <c r="N126" i="503"/>
  <c r="N17" i="503"/>
  <c r="N14" i="503"/>
  <c r="N15" i="503" s="1"/>
  <c r="W203" i="520"/>
  <c r="W179" i="520"/>
  <c r="W179" i="521"/>
  <c r="W203" i="521"/>
  <c r="N14" i="198"/>
  <c r="N15" i="198" s="1"/>
  <c r="N17" i="198"/>
  <c r="N125" i="198"/>
  <c r="O13" i="198"/>
  <c r="W16" i="519"/>
  <c r="W83" i="519" s="1"/>
  <c r="X15" i="519"/>
  <c r="AD34" i="522"/>
  <c r="X15" i="520"/>
  <c r="Y15" i="520" s="1"/>
  <c r="W16" i="521"/>
  <c r="W83" i="521" s="1"/>
  <c r="X15" i="521"/>
  <c r="X16" i="521" s="1"/>
  <c r="X84" i="521" s="1"/>
  <c r="Y15" i="519" l="1"/>
  <c r="O67" i="198"/>
  <c r="Z14" i="519"/>
  <c r="O50" i="198"/>
  <c r="O116" i="523"/>
  <c r="O109" i="523"/>
  <c r="O50" i="523"/>
  <c r="O9" i="523"/>
  <c r="O10" i="523" s="1"/>
  <c r="K88" i="503"/>
  <c r="K75" i="503"/>
  <c r="K70" i="503"/>
  <c r="Q8" i="504"/>
  <c r="P109" i="504"/>
  <c r="P50" i="504"/>
  <c r="P116" i="504"/>
  <c r="X16" i="520"/>
  <c r="X84" i="520" s="1"/>
  <c r="Y177" i="520"/>
  <c r="Y203" i="520" s="1"/>
  <c r="Y16" i="520"/>
  <c r="Y85" i="520" s="1"/>
  <c r="Y177" i="519"/>
  <c r="Y203" i="519" s="1"/>
  <c r="Y16" i="519"/>
  <c r="Y85" i="519" s="1"/>
  <c r="W116" i="520"/>
  <c r="W149" i="520" s="1"/>
  <c r="X38" i="520" s="1"/>
  <c r="W50" i="520"/>
  <c r="X39" i="521"/>
  <c r="Y84" i="521"/>
  <c r="Z84" i="521" s="1"/>
  <c r="AA84" i="521" s="1"/>
  <c r="AB84" i="521" s="1"/>
  <c r="AC84" i="521" s="1"/>
  <c r="AD84" i="521" s="1"/>
  <c r="AE84" i="521" s="1"/>
  <c r="AF84" i="521" s="1"/>
  <c r="AG84" i="521" s="1"/>
  <c r="K131" i="198"/>
  <c r="J134" i="198"/>
  <c r="Y177" i="521"/>
  <c r="Y203" i="521" s="1"/>
  <c r="P109" i="503"/>
  <c r="P116" i="503"/>
  <c r="Q8" i="503"/>
  <c r="P50" i="503"/>
  <c r="P115" i="198"/>
  <c r="P108" i="198"/>
  <c r="P8" i="523"/>
  <c r="Q8" i="198"/>
  <c r="P49" i="198"/>
  <c r="X176" i="521"/>
  <c r="W170" i="521"/>
  <c r="X83" i="519"/>
  <c r="Y83" i="519" s="1"/>
  <c r="Z83" i="519" s="1"/>
  <c r="AA83" i="519" s="1"/>
  <c r="AB83" i="519" s="1"/>
  <c r="AC83" i="519" s="1"/>
  <c r="AD83" i="519" s="1"/>
  <c r="AE83" i="519" s="1"/>
  <c r="AF83" i="519" s="1"/>
  <c r="AG83" i="519" s="1"/>
  <c r="W38" i="519"/>
  <c r="X176" i="520"/>
  <c r="W170" i="520"/>
  <c r="J133" i="503"/>
  <c r="N68" i="523"/>
  <c r="N51" i="523"/>
  <c r="P151" i="523"/>
  <c r="P155" i="523" s="1"/>
  <c r="W38" i="521"/>
  <c r="X83" i="521"/>
  <c r="Y83" i="521" s="1"/>
  <c r="Z83" i="521" s="1"/>
  <c r="AA83" i="521" s="1"/>
  <c r="AB83" i="521" s="1"/>
  <c r="AC83" i="521" s="1"/>
  <c r="AD83" i="521" s="1"/>
  <c r="AE83" i="521" s="1"/>
  <c r="AF83" i="521" s="1"/>
  <c r="AG83" i="521" s="1"/>
  <c r="Z14" i="520"/>
  <c r="O68" i="504"/>
  <c r="O51" i="504"/>
  <c r="W170" i="519"/>
  <c r="W198" i="519" s="1"/>
  <c r="X176" i="519"/>
  <c r="K75" i="504"/>
  <c r="K70" i="504"/>
  <c r="K88" i="504"/>
  <c r="K132" i="523"/>
  <c r="J135" i="523"/>
  <c r="K74" i="198"/>
  <c r="K87" i="198"/>
  <c r="K69" i="198"/>
  <c r="O68" i="503"/>
  <c r="Z14" i="521"/>
  <c r="O51" i="503"/>
  <c r="P13" i="503"/>
  <c r="O17" i="503"/>
  <c r="O126" i="503"/>
  <c r="O14" i="503"/>
  <c r="O15" i="503" s="1"/>
  <c r="Z15" i="519"/>
  <c r="Y15" i="521"/>
  <c r="P13" i="198"/>
  <c r="O14" i="198"/>
  <c r="O15" i="198" s="1"/>
  <c r="O125" i="198"/>
  <c r="O17" i="198"/>
  <c r="X16" i="519"/>
  <c r="X84" i="519" s="1"/>
  <c r="K88" i="523"/>
  <c r="K75" i="523"/>
  <c r="K70" i="523"/>
  <c r="AO140" i="1"/>
  <c r="AP139" i="1"/>
  <c r="Z15" i="521" l="1"/>
  <c r="P17" i="198"/>
  <c r="P125" i="198"/>
  <c r="Q13" i="198"/>
  <c r="P14" i="198"/>
  <c r="P15" i="198" s="1"/>
  <c r="J133" i="523"/>
  <c r="Z177" i="520"/>
  <c r="Z203" i="520" s="1"/>
  <c r="R8" i="503"/>
  <c r="Q116" i="503"/>
  <c r="Q109" i="503"/>
  <c r="Q50" i="503"/>
  <c r="Y40" i="519"/>
  <c r="Y118" i="519" s="1"/>
  <c r="Y151" i="519" s="1"/>
  <c r="Z85" i="519"/>
  <c r="AA85" i="519" s="1"/>
  <c r="AB85" i="519" s="1"/>
  <c r="AC85" i="519" s="1"/>
  <c r="AD85" i="519" s="1"/>
  <c r="AE85" i="519" s="1"/>
  <c r="AF85" i="519" s="1"/>
  <c r="AG85" i="519" s="1"/>
  <c r="AA14" i="520"/>
  <c r="P68" i="504"/>
  <c r="P51" i="504"/>
  <c r="O51" i="523"/>
  <c r="O68" i="523"/>
  <c r="P51" i="503"/>
  <c r="AA14" i="521"/>
  <c r="AA177" i="521" s="1"/>
  <c r="AA203" i="521" s="1"/>
  <c r="P68" i="503"/>
  <c r="Z15" i="520"/>
  <c r="W198" i="520"/>
  <c r="Q108" i="198"/>
  <c r="Q115" i="198"/>
  <c r="Q8" i="523"/>
  <c r="R8" i="198"/>
  <c r="Q49" i="198"/>
  <c r="Z85" i="520"/>
  <c r="AA85" i="520" s="1"/>
  <c r="AB85" i="520" s="1"/>
  <c r="AC85" i="520" s="1"/>
  <c r="AD85" i="520" s="1"/>
  <c r="AE85" i="520" s="1"/>
  <c r="AF85" i="520" s="1"/>
  <c r="AG85" i="520" s="1"/>
  <c r="Y40" i="520"/>
  <c r="R8" i="504"/>
  <c r="Q50" i="504"/>
  <c r="Q109" i="504"/>
  <c r="Q116" i="504"/>
  <c r="W198" i="521"/>
  <c r="X116" i="520"/>
  <c r="X149" i="520" s="1"/>
  <c r="Y38" i="520" s="1"/>
  <c r="Z177" i="521"/>
  <c r="Z203" i="521" s="1"/>
  <c r="Z16" i="521"/>
  <c r="Z86" i="521" s="1"/>
  <c r="P67" i="198"/>
  <c r="P50" i="198"/>
  <c r="AA14" i="519"/>
  <c r="AP140" i="1"/>
  <c r="AQ139" i="1"/>
  <c r="W50" i="521"/>
  <c r="W116" i="521"/>
  <c r="W149" i="521" s="1"/>
  <c r="X38" i="521" s="1"/>
  <c r="X116" i="521" s="1"/>
  <c r="X149" i="521" s="1"/>
  <c r="Y38" i="521" s="1"/>
  <c r="Y116" i="521" s="1"/>
  <c r="Y149" i="521" s="1"/>
  <c r="Z38" i="521" s="1"/>
  <c r="X178" i="520"/>
  <c r="P50" i="523"/>
  <c r="P9" i="523"/>
  <c r="P10" i="523" s="1"/>
  <c r="P109" i="523"/>
  <c r="P116" i="523"/>
  <c r="Y16" i="521"/>
  <c r="Y85" i="521" s="1"/>
  <c r="W185" i="520"/>
  <c r="W52" i="520"/>
  <c r="L29" i="504" s="1"/>
  <c r="W54" i="520"/>
  <c r="W61" i="520"/>
  <c r="J132" i="198"/>
  <c r="X117" i="521"/>
  <c r="X150" i="521" s="1"/>
  <c r="Y39" i="521" s="1"/>
  <c r="Y117" i="521" s="1"/>
  <c r="Y150" i="521" s="1"/>
  <c r="Z39" i="521" s="1"/>
  <c r="Z117" i="521" s="1"/>
  <c r="Z150" i="521" s="1"/>
  <c r="AA39" i="521" s="1"/>
  <c r="AA117" i="521" s="1"/>
  <c r="AA150" i="521" s="1"/>
  <c r="AB39" i="521" s="1"/>
  <c r="X178" i="519"/>
  <c r="X179" i="519" s="1"/>
  <c r="W116" i="519"/>
  <c r="W149" i="519" s="1"/>
  <c r="X38" i="519" s="1"/>
  <c r="X116" i="519" s="1"/>
  <c r="X149" i="519" s="1"/>
  <c r="Y38" i="519" s="1"/>
  <c r="W50" i="519"/>
  <c r="Y84" i="520"/>
  <c r="Z84" i="520" s="1"/>
  <c r="AA84" i="520" s="1"/>
  <c r="AB84" i="520" s="1"/>
  <c r="AC84" i="520" s="1"/>
  <c r="AD84" i="520" s="1"/>
  <c r="AE84" i="520" s="1"/>
  <c r="AF84" i="520" s="1"/>
  <c r="AG84" i="520" s="1"/>
  <c r="X39" i="520"/>
  <c r="Z177" i="519"/>
  <c r="Z203" i="519" s="1"/>
  <c r="Z16" i="519"/>
  <c r="Z86" i="519" s="1"/>
  <c r="X178" i="521"/>
  <c r="X179" i="521" s="1"/>
  <c r="X39" i="519"/>
  <c r="Y84" i="519"/>
  <c r="Z84" i="519" s="1"/>
  <c r="AA84" i="519" s="1"/>
  <c r="AB84" i="519" s="1"/>
  <c r="AC84" i="519" s="1"/>
  <c r="AD84" i="519" s="1"/>
  <c r="AE84" i="519" s="1"/>
  <c r="AF84" i="519" s="1"/>
  <c r="AG84" i="519" s="1"/>
  <c r="P126" i="503"/>
  <c r="Q13" i="503"/>
  <c r="P14" i="503"/>
  <c r="P15" i="503" s="1"/>
  <c r="P17" i="503"/>
  <c r="AA15" i="520" l="1"/>
  <c r="AA16" i="520" s="1"/>
  <c r="AA87" i="520" s="1"/>
  <c r="Z40" i="519"/>
  <c r="Z118" i="519" s="1"/>
  <c r="Z151" i="519" s="1"/>
  <c r="AA40" i="519" s="1"/>
  <c r="AA118" i="519" s="1"/>
  <c r="AA151" i="519" s="1"/>
  <c r="AB40" i="519" s="1"/>
  <c r="AB118" i="519" s="1"/>
  <c r="AB151" i="519" s="1"/>
  <c r="AC40" i="519" s="1"/>
  <c r="AC118" i="519" s="1"/>
  <c r="AC151" i="519" s="1"/>
  <c r="AD40" i="519" s="1"/>
  <c r="AD118" i="519" s="1"/>
  <c r="AD151" i="519" s="1"/>
  <c r="AE40" i="519" s="1"/>
  <c r="AE118" i="519" s="1"/>
  <c r="AE151" i="519" s="1"/>
  <c r="AF40" i="519" s="1"/>
  <c r="AF118" i="519" s="1"/>
  <c r="AF151" i="519" s="1"/>
  <c r="AG40" i="519" s="1"/>
  <c r="AG118" i="519" s="1"/>
  <c r="AG151" i="519" s="1"/>
  <c r="X50" i="521"/>
  <c r="X61" i="521" s="1"/>
  <c r="AB117" i="521"/>
  <c r="AB150" i="521" s="1"/>
  <c r="AC39" i="521" s="1"/>
  <c r="AC117" i="521" s="1"/>
  <c r="AC150" i="521" s="1"/>
  <c r="AD39" i="521" s="1"/>
  <c r="AD117" i="521" s="1"/>
  <c r="AD150" i="521" s="1"/>
  <c r="AE39" i="521" s="1"/>
  <c r="AE117" i="521" s="1"/>
  <c r="AE150" i="521" s="1"/>
  <c r="AF39" i="521" s="1"/>
  <c r="AF117" i="521" s="1"/>
  <c r="AF150" i="521" s="1"/>
  <c r="AG39" i="521" s="1"/>
  <c r="AG117" i="521" s="1"/>
  <c r="AG150" i="521" s="1"/>
  <c r="AA15" i="521"/>
  <c r="Y116" i="520"/>
  <c r="Y149" i="520" s="1"/>
  <c r="Z38" i="520" s="1"/>
  <c r="Z116" i="520" s="1"/>
  <c r="Z149" i="520" s="1"/>
  <c r="AA38" i="520" s="1"/>
  <c r="X117" i="520"/>
  <c r="X150" i="520" s="1"/>
  <c r="Y39" i="520" s="1"/>
  <c r="Y50" i="520" s="1"/>
  <c r="X50" i="519"/>
  <c r="X117" i="519"/>
  <c r="X150" i="519" s="1"/>
  <c r="Y39" i="519" s="1"/>
  <c r="Y117" i="519" s="1"/>
  <c r="Y150" i="519" s="1"/>
  <c r="Z39" i="519" s="1"/>
  <c r="L119" i="504"/>
  <c r="L120" i="504" s="1"/>
  <c r="L123" i="504" s="1"/>
  <c r="Z116" i="521"/>
  <c r="Z149" i="521" s="1"/>
  <c r="AA38" i="521" s="1"/>
  <c r="AA116" i="521" s="1"/>
  <c r="AA149" i="521" s="1"/>
  <c r="AB38" i="521" s="1"/>
  <c r="AB116" i="521" s="1"/>
  <c r="AB149" i="521" s="1"/>
  <c r="AC38" i="521" s="1"/>
  <c r="Q50" i="198"/>
  <c r="AB14" i="519"/>
  <c r="Q67" i="198"/>
  <c r="R13" i="198"/>
  <c r="Q125" i="198"/>
  <c r="Q14" i="198"/>
  <c r="Q15" i="198" s="1"/>
  <c r="Q17" i="198"/>
  <c r="Y116" i="519"/>
  <c r="Y149" i="519" s="1"/>
  <c r="Z38" i="519" s="1"/>
  <c r="BP139" i="1"/>
  <c r="AQ140" i="1"/>
  <c r="AA16" i="521"/>
  <c r="AA87" i="521" s="1"/>
  <c r="Y176" i="519"/>
  <c r="Y178" i="519" s="1"/>
  <c r="X170" i="519"/>
  <c r="X198" i="519" s="1"/>
  <c r="L119" i="503"/>
  <c r="L120" i="503" s="1"/>
  <c r="L123" i="503" s="1"/>
  <c r="Q51" i="503"/>
  <c r="AB14" i="521"/>
  <c r="AB177" i="521" s="1"/>
  <c r="AB203" i="521" s="1"/>
  <c r="Q68" i="503"/>
  <c r="X170" i="521"/>
  <c r="Y176" i="521"/>
  <c r="Y178" i="521" s="1"/>
  <c r="L67" i="504"/>
  <c r="L30" i="504"/>
  <c r="L43" i="504"/>
  <c r="L42" i="504"/>
  <c r="P68" i="523"/>
  <c r="P51" i="523"/>
  <c r="AA86" i="521"/>
  <c r="AB86" i="521" s="1"/>
  <c r="AC86" i="521" s="1"/>
  <c r="AD86" i="521" s="1"/>
  <c r="AE86" i="521" s="1"/>
  <c r="AF86" i="521" s="1"/>
  <c r="AG86" i="521" s="1"/>
  <c r="Z41" i="521"/>
  <c r="R115" i="198"/>
  <c r="R49" i="198"/>
  <c r="R108" i="198"/>
  <c r="S8" i="198"/>
  <c r="R8" i="523"/>
  <c r="R116" i="503"/>
  <c r="S8" i="503"/>
  <c r="R50" i="503"/>
  <c r="R109" i="503"/>
  <c r="Y40" i="521"/>
  <c r="Z85" i="521"/>
  <c r="AA85" i="521" s="1"/>
  <c r="AB85" i="521" s="1"/>
  <c r="AC85" i="521" s="1"/>
  <c r="AD85" i="521" s="1"/>
  <c r="AE85" i="521" s="1"/>
  <c r="AF85" i="521" s="1"/>
  <c r="AG85" i="521" s="1"/>
  <c r="Y118" i="520"/>
  <c r="Y151" i="520" s="1"/>
  <c r="Z40" i="520" s="1"/>
  <c r="Z118" i="520" s="1"/>
  <c r="Z151" i="520" s="1"/>
  <c r="AA40" i="520" s="1"/>
  <c r="AA118" i="520" s="1"/>
  <c r="AA151" i="520" s="1"/>
  <c r="AB40" i="520" s="1"/>
  <c r="AB118" i="520" s="1"/>
  <c r="AB151" i="520" s="1"/>
  <c r="AC40" i="520" s="1"/>
  <c r="AA177" i="519"/>
  <c r="AA203" i="519" s="1"/>
  <c r="AA86" i="519"/>
  <c r="AB86" i="519" s="1"/>
  <c r="AC86" i="519" s="1"/>
  <c r="AD86" i="519" s="1"/>
  <c r="AE86" i="519" s="1"/>
  <c r="AF86" i="519" s="1"/>
  <c r="AG86" i="519" s="1"/>
  <c r="Z41" i="519"/>
  <c r="Z116" i="519"/>
  <c r="Z149" i="519" s="1"/>
  <c r="AA38" i="519" s="1"/>
  <c r="W204" i="520"/>
  <c r="W210" i="520" s="1"/>
  <c r="W188" i="520"/>
  <c r="W187" i="520"/>
  <c r="Q50" i="523"/>
  <c r="Q9" i="523"/>
  <c r="Q10" i="523" s="1"/>
  <c r="Q116" i="523"/>
  <c r="Q109" i="523"/>
  <c r="AA177" i="520"/>
  <c r="AA203" i="520" s="1"/>
  <c r="Z16" i="520"/>
  <c r="Z86" i="520" s="1"/>
  <c r="R116" i="504"/>
  <c r="R50" i="504"/>
  <c r="R109" i="504"/>
  <c r="S8" i="504"/>
  <c r="Q126" i="503"/>
  <c r="R13" i="503"/>
  <c r="Q17" i="503"/>
  <c r="Q14" i="503"/>
  <c r="Q15" i="503" s="1"/>
  <c r="W54" i="519"/>
  <c r="W185" i="519"/>
  <c r="W61" i="519"/>
  <c r="W52" i="519"/>
  <c r="AA15" i="519"/>
  <c r="AA16" i="519" s="1"/>
  <c r="AA87" i="519" s="1"/>
  <c r="X179" i="520"/>
  <c r="W54" i="521"/>
  <c r="W61" i="521"/>
  <c r="W185" i="521"/>
  <c r="W52" i="521"/>
  <c r="L29" i="503" s="1"/>
  <c r="X50" i="520"/>
  <c r="AB14" i="520"/>
  <c r="Q51" i="504"/>
  <c r="Q68" i="504"/>
  <c r="AB15" i="521" l="1"/>
  <c r="Y117" i="520"/>
  <c r="Y150" i="520" s="1"/>
  <c r="Z39" i="520" s="1"/>
  <c r="Z117" i="520" s="1"/>
  <c r="Z150" i="520" s="1"/>
  <c r="AA39" i="520" s="1"/>
  <c r="AA117" i="520" s="1"/>
  <c r="AA150" i="520" s="1"/>
  <c r="AB39" i="520" s="1"/>
  <c r="AB117" i="520" s="1"/>
  <c r="AB150" i="520" s="1"/>
  <c r="AC39" i="520" s="1"/>
  <c r="AC117" i="520" s="1"/>
  <c r="AC150" i="520" s="1"/>
  <c r="AD39" i="520" s="1"/>
  <c r="AD117" i="520" s="1"/>
  <c r="AD150" i="520" s="1"/>
  <c r="AE39" i="520" s="1"/>
  <c r="AE117" i="520" s="1"/>
  <c r="AE150" i="520" s="1"/>
  <c r="AF39" i="520" s="1"/>
  <c r="X54" i="521"/>
  <c r="AB15" i="520"/>
  <c r="AB16" i="520" s="1"/>
  <c r="AB88" i="520" s="1"/>
  <c r="X52" i="521"/>
  <c r="M29" i="503" s="1"/>
  <c r="M33" i="503" s="1"/>
  <c r="X185" i="521"/>
  <c r="X204" i="521" s="1"/>
  <c r="X210" i="521" s="1"/>
  <c r="Z117" i="519"/>
  <c r="Z150" i="519" s="1"/>
  <c r="AA39" i="519" s="1"/>
  <c r="AA117" i="519" s="1"/>
  <c r="AA150" i="519" s="1"/>
  <c r="AB39" i="519" s="1"/>
  <c r="AC118" i="520"/>
  <c r="AC151" i="520" s="1"/>
  <c r="AD40" i="520" s="1"/>
  <c r="AD118" i="520" s="1"/>
  <c r="AD151" i="520" s="1"/>
  <c r="AE40" i="520" s="1"/>
  <c r="AE118" i="520" s="1"/>
  <c r="AE151" i="520" s="1"/>
  <c r="AF40" i="520" s="1"/>
  <c r="AF118" i="520" s="1"/>
  <c r="AF151" i="520" s="1"/>
  <c r="AG40" i="520" s="1"/>
  <c r="AG118" i="520" s="1"/>
  <c r="AG151" i="520" s="1"/>
  <c r="Y179" i="521"/>
  <c r="X198" i="521"/>
  <c r="AC116" i="521"/>
  <c r="AC149" i="521" s="1"/>
  <c r="AD38" i="521" s="1"/>
  <c r="AD116" i="521" s="1"/>
  <c r="AD149" i="521" s="1"/>
  <c r="AE38" i="521" s="1"/>
  <c r="S116" i="504"/>
  <c r="S50" i="504"/>
  <c r="S109" i="504"/>
  <c r="T8" i="504"/>
  <c r="AA42" i="519"/>
  <c r="AB87" i="519"/>
  <c r="AC87" i="519" s="1"/>
  <c r="AD87" i="519" s="1"/>
  <c r="AE87" i="519" s="1"/>
  <c r="AF87" i="519" s="1"/>
  <c r="AG87" i="519" s="1"/>
  <c r="R17" i="198"/>
  <c r="S13" i="198"/>
  <c r="R14" i="198"/>
  <c r="R15" i="198" s="1"/>
  <c r="R125" i="198"/>
  <c r="R17" i="503"/>
  <c r="R14" i="503"/>
  <c r="R15" i="503" s="1"/>
  <c r="S13" i="503"/>
  <c r="R126" i="503"/>
  <c r="Q68" i="523"/>
  <c r="Q51" i="523"/>
  <c r="L124" i="503"/>
  <c r="L127" i="503" s="1"/>
  <c r="Z50" i="519"/>
  <c r="X54" i="519"/>
  <c r="X61" i="519"/>
  <c r="X185" i="519"/>
  <c r="X52" i="519"/>
  <c r="AB16" i="521"/>
  <c r="AB88" i="521" s="1"/>
  <c r="AA42" i="521"/>
  <c r="AB87" i="521"/>
  <c r="AC87" i="521" s="1"/>
  <c r="AD87" i="521" s="1"/>
  <c r="AE87" i="521" s="1"/>
  <c r="AF87" i="521" s="1"/>
  <c r="AG87" i="521" s="1"/>
  <c r="M30" i="503"/>
  <c r="M67" i="503"/>
  <c r="L124" i="504"/>
  <c r="X170" i="520"/>
  <c r="X198" i="520" s="1"/>
  <c r="Y176" i="520"/>
  <c r="R67" i="198"/>
  <c r="AC14" i="519"/>
  <c r="R50" i="198"/>
  <c r="AB177" i="520"/>
  <c r="AB203" i="520" s="1"/>
  <c r="R51" i="504"/>
  <c r="AC14" i="520"/>
  <c r="R68" i="504"/>
  <c r="Y50" i="519"/>
  <c r="AB177" i="519"/>
  <c r="AB203" i="519" s="1"/>
  <c r="Y179" i="519"/>
  <c r="AB15" i="519"/>
  <c r="AB16" i="519" s="1"/>
  <c r="AB88" i="519" s="1"/>
  <c r="AA116" i="519"/>
  <c r="AA149" i="519" s="1"/>
  <c r="AB38" i="519" s="1"/>
  <c r="AB116" i="519" s="1"/>
  <c r="AB149" i="519" s="1"/>
  <c r="AC38" i="519" s="1"/>
  <c r="Z119" i="521"/>
  <c r="Z152" i="521" s="1"/>
  <c r="AA41" i="521" s="1"/>
  <c r="AA119" i="521" s="1"/>
  <c r="AA152" i="521" s="1"/>
  <c r="AB41" i="521" s="1"/>
  <c r="L67" i="503"/>
  <c r="L30" i="503"/>
  <c r="L43" i="503"/>
  <c r="L42" i="503"/>
  <c r="L33" i="503"/>
  <c r="L28" i="198"/>
  <c r="L29" i="523"/>
  <c r="AA86" i="520"/>
  <c r="AB86" i="520" s="1"/>
  <c r="AC86" i="520" s="1"/>
  <c r="AD86" i="520" s="1"/>
  <c r="AE86" i="520" s="1"/>
  <c r="AF86" i="520" s="1"/>
  <c r="AG86" i="520" s="1"/>
  <c r="Z41" i="520"/>
  <c r="W182" i="520"/>
  <c r="W199" i="520" s="1"/>
  <c r="W200" i="520" s="1"/>
  <c r="X184" i="520"/>
  <c r="X186" i="520" s="1"/>
  <c r="Z119" i="519"/>
  <c r="Z152" i="519" s="1"/>
  <c r="AA41" i="519" s="1"/>
  <c r="AA119" i="519" s="1"/>
  <c r="AA152" i="519" s="1"/>
  <c r="AB41" i="519" s="1"/>
  <c r="AB119" i="519" s="1"/>
  <c r="AB152" i="519" s="1"/>
  <c r="AC41" i="519" s="1"/>
  <c r="AC119" i="519" s="1"/>
  <c r="AC152" i="519" s="1"/>
  <c r="AD41" i="519" s="1"/>
  <c r="W188" i="519"/>
  <c r="W204" i="519"/>
  <c r="W187" i="519"/>
  <c r="R116" i="523"/>
  <c r="R9" i="523"/>
  <c r="R10" i="523" s="1"/>
  <c r="R109" i="523"/>
  <c r="R50" i="523"/>
  <c r="S108" i="198"/>
  <c r="S8" i="523"/>
  <c r="S49" i="198"/>
  <c r="T8" i="198"/>
  <c r="S115" i="198"/>
  <c r="W209" i="520"/>
  <c r="AC14" i="521"/>
  <c r="AC177" i="521" s="1"/>
  <c r="AC203" i="521" s="1"/>
  <c r="R51" i="503"/>
  <c r="R68" i="503"/>
  <c r="Y185" i="520"/>
  <c r="Y204" i="520" s="1"/>
  <c r="Y61" i="520"/>
  <c r="Y52" i="520"/>
  <c r="N29" i="504" s="1"/>
  <c r="Y54" i="520"/>
  <c r="S50" i="503"/>
  <c r="T8" i="503"/>
  <c r="S116" i="503"/>
  <c r="S109" i="503"/>
  <c r="K76" i="198"/>
  <c r="K77" i="198" s="1"/>
  <c r="K77" i="504"/>
  <c r="K78" i="504" s="1"/>
  <c r="BP140" i="1"/>
  <c r="K77" i="523"/>
  <c r="K78" i="523" s="1"/>
  <c r="K77" i="503"/>
  <c r="K78" i="503" s="1"/>
  <c r="X61" i="520"/>
  <c r="X54" i="520"/>
  <c r="X185" i="520"/>
  <c r="X52" i="520"/>
  <c r="M29" i="504" s="1"/>
  <c r="W204" i="521"/>
  <c r="W187" i="521"/>
  <c r="W188" i="521"/>
  <c r="AA42" i="520"/>
  <c r="AA120" i="520" s="1"/>
  <c r="AA153" i="520" s="1"/>
  <c r="AB87" i="520"/>
  <c r="AC87" i="520" s="1"/>
  <c r="AD87" i="520" s="1"/>
  <c r="AE87" i="520" s="1"/>
  <c r="AF87" i="520" s="1"/>
  <c r="AG87" i="520" s="1"/>
  <c r="Y118" i="521"/>
  <c r="Y151" i="521" s="1"/>
  <c r="Z40" i="521" s="1"/>
  <c r="Z50" i="521" s="1"/>
  <c r="Y50" i="521"/>
  <c r="AA116" i="520"/>
  <c r="AA149" i="520" s="1"/>
  <c r="AB38" i="520" s="1"/>
  <c r="M43" i="503" l="1"/>
  <c r="M42" i="503"/>
  <c r="AC15" i="520"/>
  <c r="AC16" i="520" s="1"/>
  <c r="AC89" i="520" s="1"/>
  <c r="X188" i="521"/>
  <c r="AB119" i="521"/>
  <c r="AB152" i="521" s="1"/>
  <c r="AC41" i="521" s="1"/>
  <c r="AC119" i="521" s="1"/>
  <c r="AC152" i="521" s="1"/>
  <c r="AD41" i="521" s="1"/>
  <c r="AD119" i="521" s="1"/>
  <c r="AD152" i="521" s="1"/>
  <c r="AE41" i="521" s="1"/>
  <c r="AE119" i="521" s="1"/>
  <c r="AE152" i="521" s="1"/>
  <c r="AF41" i="521" s="1"/>
  <c r="AF119" i="521" s="1"/>
  <c r="AF152" i="521" s="1"/>
  <c r="AG41" i="521" s="1"/>
  <c r="AG119" i="521" s="1"/>
  <c r="AG152" i="521" s="1"/>
  <c r="AC15" i="521"/>
  <c r="AB117" i="519"/>
  <c r="AB150" i="519" s="1"/>
  <c r="AC39" i="519" s="1"/>
  <c r="AB42" i="520"/>
  <c r="AB120" i="520" s="1"/>
  <c r="AB153" i="520" s="1"/>
  <c r="AC42" i="520" s="1"/>
  <c r="AC120" i="520" s="1"/>
  <c r="AC153" i="520" s="1"/>
  <c r="AD42" i="520" s="1"/>
  <c r="AD120" i="520" s="1"/>
  <c r="AD153" i="520" s="1"/>
  <c r="AE42" i="520" s="1"/>
  <c r="AE120" i="520" s="1"/>
  <c r="AE153" i="520" s="1"/>
  <c r="AF42" i="520" s="1"/>
  <c r="AF120" i="520" s="1"/>
  <c r="AF153" i="520" s="1"/>
  <c r="AG42" i="520" s="1"/>
  <c r="AG120" i="520" s="1"/>
  <c r="AG153" i="520" s="1"/>
  <c r="W206" i="520"/>
  <c r="X202" i="520"/>
  <c r="AB43" i="519"/>
  <c r="AC88" i="519"/>
  <c r="AD88" i="519" s="1"/>
  <c r="AE88" i="519" s="1"/>
  <c r="AF88" i="519" s="1"/>
  <c r="AG88" i="519" s="1"/>
  <c r="AB43" i="521"/>
  <c r="AB121" i="521" s="1"/>
  <c r="AB154" i="521" s="1"/>
  <c r="AC88" i="521"/>
  <c r="AD88" i="521" s="1"/>
  <c r="AE88" i="521" s="1"/>
  <c r="AF88" i="521" s="1"/>
  <c r="AG88" i="521" s="1"/>
  <c r="R68" i="523"/>
  <c r="R51" i="523"/>
  <c r="N159" i="523"/>
  <c r="N163" i="523" s="1"/>
  <c r="L67" i="523"/>
  <c r="L43" i="523"/>
  <c r="L30" i="523"/>
  <c r="L42" i="523"/>
  <c r="Y185" i="519"/>
  <c r="Y52" i="519"/>
  <c r="Y61" i="519"/>
  <c r="Y54" i="519"/>
  <c r="M29" i="523"/>
  <c r="M28" i="198"/>
  <c r="U8" i="504"/>
  <c r="T109" i="504"/>
  <c r="T50" i="504"/>
  <c r="T116" i="504"/>
  <c r="AC16" i="521"/>
  <c r="AC89" i="521" s="1"/>
  <c r="AF117" i="520"/>
  <c r="AF150" i="520" s="1"/>
  <c r="AG39" i="520" s="1"/>
  <c r="AG117" i="520" s="1"/>
  <c r="AG150" i="520" s="1"/>
  <c r="W210" i="521"/>
  <c r="W209" i="521"/>
  <c r="L29" i="198"/>
  <c r="L66" i="198"/>
  <c r="AF32" i="198"/>
  <c r="AF33" i="198" s="1"/>
  <c r="L42" i="198"/>
  <c r="N158" i="198"/>
  <c r="N162" i="198" s="1"/>
  <c r="L41" i="198"/>
  <c r="AD60" i="522"/>
  <c r="AD59" i="522" s="1"/>
  <c r="AD27" i="522"/>
  <c r="L32" i="198"/>
  <c r="AA50" i="519"/>
  <c r="Y188" i="520"/>
  <c r="Y178" i="520"/>
  <c r="Y179" i="520" s="1"/>
  <c r="X204" i="519"/>
  <c r="X188" i="519"/>
  <c r="X209" i="521"/>
  <c r="M119" i="503"/>
  <c r="M120" i="503" s="1"/>
  <c r="M123" i="503" s="1"/>
  <c r="Z176" i="519"/>
  <c r="Y170" i="519"/>
  <c r="AA120" i="519"/>
  <c r="AA153" i="519" s="1"/>
  <c r="AB42" i="519" s="1"/>
  <c r="AB120" i="519" s="1"/>
  <c r="AB153" i="519" s="1"/>
  <c r="AC42" i="519" s="1"/>
  <c r="AC120" i="519" s="1"/>
  <c r="AC153" i="519" s="1"/>
  <c r="AD42" i="519" s="1"/>
  <c r="AD120" i="519" s="1"/>
  <c r="AD153" i="519" s="1"/>
  <c r="AE42" i="519" s="1"/>
  <c r="AE120" i="519" s="1"/>
  <c r="AE153" i="519" s="1"/>
  <c r="AF42" i="519" s="1"/>
  <c r="Z50" i="520"/>
  <c r="Z119" i="520"/>
  <c r="Z152" i="520" s="1"/>
  <c r="AA41" i="520" s="1"/>
  <c r="AA50" i="520" s="1"/>
  <c r="Y54" i="521"/>
  <c r="Y61" i="521"/>
  <c r="Y52" i="521"/>
  <c r="N29" i="503" s="1"/>
  <c r="Y185" i="521"/>
  <c r="Z118" i="521"/>
  <c r="Z151" i="521" s="1"/>
  <c r="AA40" i="521" s="1"/>
  <c r="T116" i="503"/>
  <c r="U8" i="503"/>
  <c r="T50" i="503"/>
  <c r="T109" i="503"/>
  <c r="U8" i="198"/>
  <c r="T49" i="198"/>
  <c r="T115" i="198"/>
  <c r="T108" i="198"/>
  <c r="T8" i="523"/>
  <c r="AD119" i="519"/>
  <c r="AD152" i="519" s="1"/>
  <c r="AE41" i="519" s="1"/>
  <c r="AE119" i="519" s="1"/>
  <c r="AE152" i="519" s="1"/>
  <c r="AF41" i="519" s="1"/>
  <c r="AF119" i="519" s="1"/>
  <c r="AF152" i="519" s="1"/>
  <c r="AG41" i="519" s="1"/>
  <c r="AG119" i="519" s="1"/>
  <c r="AG152" i="519" s="1"/>
  <c r="L54" i="503"/>
  <c r="L35" i="503"/>
  <c r="L61" i="503"/>
  <c r="L64" i="503" s="1"/>
  <c r="L65" i="503" s="1"/>
  <c r="L77" i="503"/>
  <c r="L36" i="503"/>
  <c r="L34" i="503"/>
  <c r="L46" i="503"/>
  <c r="AC116" i="519"/>
  <c r="AC149" i="519" s="1"/>
  <c r="AD38" i="519" s="1"/>
  <c r="AC177" i="520"/>
  <c r="AC203" i="520" s="1"/>
  <c r="M119" i="504"/>
  <c r="M120" i="504" s="1"/>
  <c r="M123" i="504" s="1"/>
  <c r="S14" i="198"/>
  <c r="S15" i="198" s="1"/>
  <c r="S125" i="198"/>
  <c r="T13" i="198"/>
  <c r="S17" i="198"/>
  <c r="S68" i="504"/>
  <c r="S51" i="504"/>
  <c r="AD14" i="520"/>
  <c r="M77" i="503"/>
  <c r="M34" i="503"/>
  <c r="M54" i="503"/>
  <c r="M36" i="503"/>
  <c r="M61" i="503"/>
  <c r="M64" i="503" s="1"/>
  <c r="M69" i="503" s="1"/>
  <c r="M35" i="503"/>
  <c r="M46" i="503"/>
  <c r="AE116" i="521"/>
  <c r="AE149" i="521" s="1"/>
  <c r="AF38" i="521" s="1"/>
  <c r="Z54" i="521"/>
  <c r="Z185" i="521"/>
  <c r="Z204" i="521" s="1"/>
  <c r="Z61" i="521"/>
  <c r="Z52" i="521"/>
  <c r="O29" i="503" s="1"/>
  <c r="M30" i="504"/>
  <c r="M67" i="504"/>
  <c r="M42" i="504"/>
  <c r="M43" i="504"/>
  <c r="AD14" i="521"/>
  <c r="S68" i="503"/>
  <c r="S51" i="503"/>
  <c r="S67" i="198"/>
  <c r="AD14" i="519"/>
  <c r="S50" i="198"/>
  <c r="W182" i="519"/>
  <c r="W199" i="519" s="1"/>
  <c r="W200" i="519" s="1"/>
  <c r="X184" i="519"/>
  <c r="X186" i="519" s="1"/>
  <c r="AC15" i="519"/>
  <c r="AC16" i="519" s="1"/>
  <c r="AC89" i="519" s="1"/>
  <c r="AA120" i="521"/>
  <c r="AA153" i="521" s="1"/>
  <c r="AB42" i="521" s="1"/>
  <c r="AB120" i="521" s="1"/>
  <c r="AB153" i="521" s="1"/>
  <c r="AC42" i="521" s="1"/>
  <c r="AC120" i="521" s="1"/>
  <c r="AC153" i="521" s="1"/>
  <c r="AD42" i="521" s="1"/>
  <c r="Z176" i="521"/>
  <c r="Y170" i="521"/>
  <c r="Z61" i="519"/>
  <c r="Z52" i="519"/>
  <c r="Z185" i="519"/>
  <c r="Z204" i="519" s="1"/>
  <c r="Z54" i="519"/>
  <c r="AB116" i="520"/>
  <c r="AB149" i="520" s="1"/>
  <c r="AC38" i="520" s="1"/>
  <c r="N67" i="504"/>
  <c r="N30" i="504"/>
  <c r="N42" i="504"/>
  <c r="N43" i="504"/>
  <c r="AC177" i="519"/>
  <c r="AC203" i="519" s="1"/>
  <c r="W182" i="521"/>
  <c r="W199" i="521" s="1"/>
  <c r="W200" i="521" s="1"/>
  <c r="X184" i="521"/>
  <c r="X186" i="521" s="1"/>
  <c r="X204" i="520"/>
  <c r="X210" i="520" s="1"/>
  <c r="X188" i="520"/>
  <c r="S50" i="523"/>
  <c r="S9" i="523"/>
  <c r="S10" i="523" s="1"/>
  <c r="S109" i="523"/>
  <c r="S116" i="523"/>
  <c r="W210" i="519"/>
  <c r="W209" i="519"/>
  <c r="X187" i="520"/>
  <c r="AB43" i="520"/>
  <c r="AC88" i="520"/>
  <c r="AD88" i="520" s="1"/>
  <c r="AE88" i="520" s="1"/>
  <c r="AF88" i="520" s="1"/>
  <c r="AG88" i="520" s="1"/>
  <c r="S14" i="503"/>
  <c r="S15" i="503" s="1"/>
  <c r="T13" i="503"/>
  <c r="S17" i="503"/>
  <c r="S126" i="503"/>
  <c r="AD15" i="521" l="1"/>
  <c r="X209" i="520"/>
  <c r="AD120" i="521"/>
  <c r="AD153" i="521" s="1"/>
  <c r="AE42" i="521" s="1"/>
  <c r="AE120" i="521" s="1"/>
  <c r="AE153" i="521" s="1"/>
  <c r="AF42" i="521" s="1"/>
  <c r="AC117" i="519"/>
  <c r="AC150" i="519" s="1"/>
  <c r="AD39" i="519" s="1"/>
  <c r="AA119" i="520"/>
  <c r="AA152" i="520" s="1"/>
  <c r="AB41" i="520" s="1"/>
  <c r="AB50" i="520" s="1"/>
  <c r="AB185" i="520" s="1"/>
  <c r="AB204" i="520" s="1"/>
  <c r="M124" i="504"/>
  <c r="S68" i="523"/>
  <c r="S51" i="523"/>
  <c r="AC44" i="520"/>
  <c r="AC122" i="520" s="1"/>
  <c r="AC155" i="520" s="1"/>
  <c r="AD89" i="520"/>
  <c r="AE89" i="520" s="1"/>
  <c r="AF89" i="520" s="1"/>
  <c r="AG89" i="520" s="1"/>
  <c r="Z188" i="519"/>
  <c r="Z178" i="519"/>
  <c r="Z179" i="519" s="1"/>
  <c r="AC43" i="521"/>
  <c r="AC121" i="521" s="1"/>
  <c r="AC154" i="521" s="1"/>
  <c r="AD43" i="521" s="1"/>
  <c r="AD121" i="521" s="1"/>
  <c r="AD154" i="521" s="1"/>
  <c r="AE43" i="521" s="1"/>
  <c r="AE121" i="521" s="1"/>
  <c r="AE154" i="521" s="1"/>
  <c r="AF43" i="521" s="1"/>
  <c r="AF121" i="521" s="1"/>
  <c r="AF154" i="521" s="1"/>
  <c r="AG43" i="521" s="1"/>
  <c r="AG121" i="521" s="1"/>
  <c r="AG154" i="521" s="1"/>
  <c r="X182" i="520"/>
  <c r="X199" i="520" s="1"/>
  <c r="X200" i="520" s="1"/>
  <c r="Y184" i="520"/>
  <c r="Y186" i="520" s="1"/>
  <c r="M124" i="503"/>
  <c r="M127" i="503" s="1"/>
  <c r="O159" i="523"/>
  <c r="O163" i="523" s="1"/>
  <c r="M67" i="523"/>
  <c r="M43" i="523"/>
  <c r="M30" i="523"/>
  <c r="M42" i="523"/>
  <c r="AD116" i="519"/>
  <c r="AD149" i="519" s="1"/>
  <c r="AE38" i="519" s="1"/>
  <c r="AE116" i="519" s="1"/>
  <c r="AE149" i="519" s="1"/>
  <c r="AF38" i="519" s="1"/>
  <c r="L55" i="503"/>
  <c r="L56" i="503"/>
  <c r="N67" i="503"/>
  <c r="N30" i="503"/>
  <c r="N42" i="503"/>
  <c r="N43" i="503"/>
  <c r="N33" i="503"/>
  <c r="L35" i="198"/>
  <c r="L53" i="198"/>
  <c r="L76" i="198"/>
  <c r="L60" i="198"/>
  <c r="L63" i="198" s="1"/>
  <c r="L64" i="198" s="1"/>
  <c r="L33" i="198"/>
  <c r="L34" i="198"/>
  <c r="L45" i="198"/>
  <c r="AD89" i="521"/>
  <c r="AE89" i="521" s="1"/>
  <c r="AF89" i="521" s="1"/>
  <c r="AG89" i="521" s="1"/>
  <c r="AC44" i="521"/>
  <c r="AC122" i="521" s="1"/>
  <c r="AC155" i="521" s="1"/>
  <c r="AB121" i="519"/>
  <c r="AB154" i="519" s="1"/>
  <c r="AC43" i="519" s="1"/>
  <c r="AC121" i="519" s="1"/>
  <c r="AC154" i="519" s="1"/>
  <c r="AD43" i="519" s="1"/>
  <c r="AD121" i="519" s="1"/>
  <c r="AD154" i="519" s="1"/>
  <c r="AE43" i="519" s="1"/>
  <c r="AE121" i="519" s="1"/>
  <c r="AE154" i="519" s="1"/>
  <c r="AF43" i="519" s="1"/>
  <c r="W206" i="521"/>
  <c r="X202" i="521"/>
  <c r="Z188" i="521"/>
  <c r="Z178" i="521"/>
  <c r="Z179" i="521" s="1"/>
  <c r="AD177" i="520"/>
  <c r="AD203" i="520" s="1"/>
  <c r="M75" i="503"/>
  <c r="M80" i="503" s="1"/>
  <c r="Y204" i="519"/>
  <c r="Y210" i="519" s="1"/>
  <c r="Y188" i="519"/>
  <c r="AC44" i="519"/>
  <c r="AC122" i="519" s="1"/>
  <c r="AC155" i="519" s="1"/>
  <c r="AD89" i="519"/>
  <c r="AE89" i="519" s="1"/>
  <c r="AF89" i="519" s="1"/>
  <c r="AG89" i="519" s="1"/>
  <c r="AE14" i="519"/>
  <c r="T67" i="198"/>
  <c r="T50" i="198"/>
  <c r="X187" i="519"/>
  <c r="M56" i="503"/>
  <c r="M55" i="503"/>
  <c r="U13" i="198"/>
  <c r="T14" i="198"/>
  <c r="T15" i="198" s="1"/>
  <c r="T125" i="198"/>
  <c r="T17" i="198"/>
  <c r="AB50" i="519"/>
  <c r="AA54" i="520"/>
  <c r="AA61" i="520"/>
  <c r="AA185" i="520"/>
  <c r="AA204" i="520" s="1"/>
  <c r="AA52" i="520"/>
  <c r="P29" i="504" s="1"/>
  <c r="AD41" i="522"/>
  <c r="AD43" i="522" s="1"/>
  <c r="AD35" i="522" s="1"/>
  <c r="AD36" i="522" s="1"/>
  <c r="AD37" i="522" s="1"/>
  <c r="AD31" i="522"/>
  <c r="AF116" i="521"/>
  <c r="AF149" i="521" s="1"/>
  <c r="AG38" i="521" s="1"/>
  <c r="AG116" i="521" s="1"/>
  <c r="AG149" i="521" s="1"/>
  <c r="Z176" i="520"/>
  <c r="Y170" i="520"/>
  <c r="M48" i="503"/>
  <c r="M47" i="503"/>
  <c r="U50" i="504"/>
  <c r="V8" i="504"/>
  <c r="U109" i="504"/>
  <c r="U116" i="504"/>
  <c r="AB121" i="520"/>
  <c r="AB154" i="520" s="1"/>
  <c r="AC43" i="520" s="1"/>
  <c r="AC121" i="520" s="1"/>
  <c r="AC154" i="520" s="1"/>
  <c r="AD43" i="520" s="1"/>
  <c r="AD121" i="520" s="1"/>
  <c r="AD154" i="520" s="1"/>
  <c r="AE43" i="520" s="1"/>
  <c r="AA50" i="521"/>
  <c r="M65" i="503"/>
  <c r="U115" i="198"/>
  <c r="U108" i="198"/>
  <c r="U8" i="523"/>
  <c r="U49" i="198"/>
  <c r="V8" i="198"/>
  <c r="Y204" i="521"/>
  <c r="Y210" i="521" s="1"/>
  <c r="Y188" i="521"/>
  <c r="AA54" i="519"/>
  <c r="AA185" i="519"/>
  <c r="AA204" i="519" s="1"/>
  <c r="AA52" i="519"/>
  <c r="AA61" i="519"/>
  <c r="AD177" i="521"/>
  <c r="AD203" i="521" s="1"/>
  <c r="AD16" i="521"/>
  <c r="AD90" i="521" s="1"/>
  <c r="O28" i="198"/>
  <c r="O29" i="523"/>
  <c r="T17" i="503"/>
  <c r="T126" i="503"/>
  <c r="U13" i="503"/>
  <c r="T14" i="503"/>
  <c r="T15" i="503" s="1"/>
  <c r="W206" i="519"/>
  <c r="X202" i="519"/>
  <c r="L119" i="523"/>
  <c r="L120" i="523" s="1"/>
  <c r="L123" i="523" s="1"/>
  <c r="L118" i="198"/>
  <c r="L119" i="198" s="1"/>
  <c r="L122" i="198" s="1"/>
  <c r="L69" i="503"/>
  <c r="M70" i="503" s="1"/>
  <c r="L47" i="503"/>
  <c r="L48" i="503"/>
  <c r="Z61" i="520"/>
  <c r="Z52" i="520"/>
  <c r="O29" i="504" s="1"/>
  <c r="Z185" i="520"/>
  <c r="Z204" i="520" s="1"/>
  <c r="Z54" i="520"/>
  <c r="AD73" i="522"/>
  <c r="AD75" i="522" s="1"/>
  <c r="AD67" i="522" s="1"/>
  <c r="AD68" i="522" s="1"/>
  <c r="AD69" i="522" s="1"/>
  <c r="AD63" i="522"/>
  <c r="AD15" i="520"/>
  <c r="W211" i="520"/>
  <c r="W205" i="520"/>
  <c r="O43" i="503"/>
  <c r="O42" i="503"/>
  <c r="O30" i="503"/>
  <c r="O67" i="503"/>
  <c r="O33" i="503"/>
  <c r="Y198" i="519"/>
  <c r="M66" i="198"/>
  <c r="M41" i="198"/>
  <c r="AG32" i="198"/>
  <c r="AG33" i="198" s="1"/>
  <c r="M42" i="198"/>
  <c r="O158" i="198"/>
  <c r="O162" i="198" s="1"/>
  <c r="M29" i="198"/>
  <c r="M32" i="198"/>
  <c r="AD15" i="519"/>
  <c r="AE15" i="519" s="1"/>
  <c r="X187" i="521"/>
  <c r="AC116" i="520"/>
  <c r="AC149" i="520" s="1"/>
  <c r="AD38" i="520" s="1"/>
  <c r="Y198" i="521"/>
  <c r="T116" i="523"/>
  <c r="T9" i="523"/>
  <c r="T10" i="523" s="1"/>
  <c r="T109" i="523"/>
  <c r="T50" i="523"/>
  <c r="T51" i="503"/>
  <c r="AE14" i="521"/>
  <c r="AE177" i="521" s="1"/>
  <c r="AE203" i="521" s="1"/>
  <c r="T68" i="503"/>
  <c r="AF120" i="519"/>
  <c r="AF153" i="519" s="1"/>
  <c r="AG42" i="519" s="1"/>
  <c r="AG120" i="519" s="1"/>
  <c r="AG153" i="519" s="1"/>
  <c r="X210" i="519"/>
  <c r="X209" i="519"/>
  <c r="AA118" i="521"/>
  <c r="AA151" i="521" s="1"/>
  <c r="AB40" i="521" s="1"/>
  <c r="AB50" i="521" s="1"/>
  <c r="AE14" i="520"/>
  <c r="T68" i="504"/>
  <c r="T51" i="504"/>
  <c r="N29" i="523"/>
  <c r="N28" i="198"/>
  <c r="AD177" i="519"/>
  <c r="AD203" i="519" s="1"/>
  <c r="U116" i="503"/>
  <c r="U109" i="503"/>
  <c r="V8" i="503"/>
  <c r="U50" i="503"/>
  <c r="Y209" i="519" l="1"/>
  <c r="AF120" i="521"/>
  <c r="AF153" i="521" s="1"/>
  <c r="AG42" i="521" s="1"/>
  <c r="AG120" i="521" s="1"/>
  <c r="AG153" i="521" s="1"/>
  <c r="AC50" i="519"/>
  <c r="AE15" i="520"/>
  <c r="AB119" i="520"/>
  <c r="AB152" i="520" s="1"/>
  <c r="AC41" i="520" s="1"/>
  <c r="AC119" i="520" s="1"/>
  <c r="AC152" i="520" s="1"/>
  <c r="AD41" i="520" s="1"/>
  <c r="AE15" i="521"/>
  <c r="AE16" i="521" s="1"/>
  <c r="AE91" i="521" s="1"/>
  <c r="AB52" i="520"/>
  <c r="Q29" i="504" s="1"/>
  <c r="Q43" i="504" s="1"/>
  <c r="AB54" i="520"/>
  <c r="AF121" i="519"/>
  <c r="AF154" i="519" s="1"/>
  <c r="AG43" i="519" s="1"/>
  <c r="AG121" i="519" s="1"/>
  <c r="AG154" i="519" s="1"/>
  <c r="AB61" i="520"/>
  <c r="AD44" i="521"/>
  <c r="AD122" i="521" s="1"/>
  <c r="AD155" i="521" s="1"/>
  <c r="AE44" i="521" s="1"/>
  <c r="AE122" i="521" s="1"/>
  <c r="AE155" i="521" s="1"/>
  <c r="AF44" i="521" s="1"/>
  <c r="AF122" i="521" s="1"/>
  <c r="AF155" i="521" s="1"/>
  <c r="AG44" i="521" s="1"/>
  <c r="AG122" i="521" s="1"/>
  <c r="AG155" i="521" s="1"/>
  <c r="AD117" i="519"/>
  <c r="AD150" i="519" s="1"/>
  <c r="AE39" i="519" s="1"/>
  <c r="AE117" i="519" s="1"/>
  <c r="AE150" i="519" s="1"/>
  <c r="AF39" i="519" s="1"/>
  <c r="AF117" i="519" s="1"/>
  <c r="AF150" i="519" s="1"/>
  <c r="AG39" i="519" s="1"/>
  <c r="AG117" i="519" s="1"/>
  <c r="AG150" i="519" s="1"/>
  <c r="X182" i="521"/>
  <c r="X199" i="521" s="1"/>
  <c r="X200" i="521" s="1"/>
  <c r="Y184" i="521"/>
  <c r="Y186" i="521" s="1"/>
  <c r="Y187" i="521" s="1"/>
  <c r="AD45" i="521"/>
  <c r="AD123" i="521" s="1"/>
  <c r="AD156" i="521" s="1"/>
  <c r="AE90" i="521"/>
  <c r="AF90" i="521" s="1"/>
  <c r="AG90" i="521" s="1"/>
  <c r="AD16" i="520"/>
  <c r="AD90" i="520" s="1"/>
  <c r="L123" i="198"/>
  <c r="L126" i="198" s="1"/>
  <c r="V13" i="503"/>
  <c r="U14" i="503"/>
  <c r="U15" i="503" s="1"/>
  <c r="U126" i="503"/>
  <c r="U17" i="503"/>
  <c r="U50" i="198"/>
  <c r="AF14" i="519"/>
  <c r="U67" i="198"/>
  <c r="AB118" i="521"/>
  <c r="AB151" i="521" s="1"/>
  <c r="AC40" i="521" s="1"/>
  <c r="AC118" i="521" s="1"/>
  <c r="AC151" i="521" s="1"/>
  <c r="AD40" i="521" s="1"/>
  <c r="Z178" i="520"/>
  <c r="Z179" i="520" s="1"/>
  <c r="Z188" i="520"/>
  <c r="AD44" i="520"/>
  <c r="AD122" i="520" s="1"/>
  <c r="AD155" i="520" s="1"/>
  <c r="AE44" i="520" s="1"/>
  <c r="AE122" i="520" s="1"/>
  <c r="AE155" i="520" s="1"/>
  <c r="AF44" i="520" s="1"/>
  <c r="AF122" i="520" s="1"/>
  <c r="AF155" i="520" s="1"/>
  <c r="AG44" i="520" s="1"/>
  <c r="AG122" i="520" s="1"/>
  <c r="AG155" i="520" s="1"/>
  <c r="P42" i="504"/>
  <c r="P30" i="504"/>
  <c r="P67" i="504"/>
  <c r="P43" i="504"/>
  <c r="AA176" i="519"/>
  <c r="Z170" i="519"/>
  <c r="L75" i="503"/>
  <c r="L80" i="503" s="1"/>
  <c r="L70" i="503"/>
  <c r="V49" i="198"/>
  <c r="V108" i="198"/>
  <c r="V115" i="198"/>
  <c r="V8" i="523"/>
  <c r="Y210" i="520"/>
  <c r="Y198" i="520"/>
  <c r="AE177" i="519"/>
  <c r="AE203" i="519" s="1"/>
  <c r="AE16" i="519"/>
  <c r="AE91" i="519" s="1"/>
  <c r="M34" i="198"/>
  <c r="M53" i="198"/>
  <c r="M60" i="198"/>
  <c r="M63" i="198" s="1"/>
  <c r="M64" i="198" s="1"/>
  <c r="M76" i="198"/>
  <c r="M35" i="198"/>
  <c r="M33" i="198"/>
  <c r="M45" i="198"/>
  <c r="L124" i="523"/>
  <c r="L126" i="523" s="1"/>
  <c r="L13" i="523" s="1"/>
  <c r="P29" i="523"/>
  <c r="P28" i="198"/>
  <c r="U116" i="523"/>
  <c r="U50" i="523"/>
  <c r="U109" i="523"/>
  <c r="U9" i="523"/>
  <c r="U10" i="523" s="1"/>
  <c r="V50" i="504"/>
  <c r="V109" i="504"/>
  <c r="V116" i="504"/>
  <c r="AB61" i="519"/>
  <c r="AB52" i="519"/>
  <c r="AB185" i="519"/>
  <c r="AB204" i="519" s="1"/>
  <c r="AB54" i="519"/>
  <c r="AF116" i="519"/>
  <c r="AF149" i="519" s="1"/>
  <c r="AG38" i="519" s="1"/>
  <c r="AA176" i="521"/>
  <c r="Z170" i="521"/>
  <c r="N61" i="503"/>
  <c r="N64" i="503" s="1"/>
  <c r="N65" i="503" s="1"/>
  <c r="N34" i="503"/>
  <c r="N36" i="503"/>
  <c r="N77" i="503"/>
  <c r="N35" i="503"/>
  <c r="N54" i="503"/>
  <c r="N46" i="503"/>
  <c r="AC185" i="519"/>
  <c r="AC204" i="519" s="1"/>
  <c r="AC61" i="519"/>
  <c r="AC52" i="519"/>
  <c r="AC54" i="519"/>
  <c r="N43" i="523"/>
  <c r="P159" i="523"/>
  <c r="P163" i="523" s="1"/>
  <c r="N42" i="523"/>
  <c r="N67" i="523"/>
  <c r="N30" i="523"/>
  <c r="Y209" i="521"/>
  <c r="N119" i="503"/>
  <c r="N120" i="503" s="1"/>
  <c r="N123" i="503" s="1"/>
  <c r="U51" i="504"/>
  <c r="AF14" i="520"/>
  <c r="AF177" i="520" s="1"/>
  <c r="AF203" i="520" s="1"/>
  <c r="U68" i="504"/>
  <c r="AD44" i="519"/>
  <c r="AD122" i="519" s="1"/>
  <c r="AD155" i="519" s="1"/>
  <c r="AE44" i="519" s="1"/>
  <c r="AE122" i="519" s="1"/>
  <c r="AE155" i="519" s="1"/>
  <c r="AF44" i="519" s="1"/>
  <c r="AF122" i="519" s="1"/>
  <c r="AF155" i="519" s="1"/>
  <c r="AG44" i="519" s="1"/>
  <c r="AG122" i="519" s="1"/>
  <c r="AG155" i="519" s="1"/>
  <c r="L47" i="198"/>
  <c r="L46" i="198"/>
  <c r="Y187" i="520"/>
  <c r="T68" i="523"/>
  <c r="T51" i="523"/>
  <c r="M81" i="503"/>
  <c r="M96" i="503"/>
  <c r="N66" i="198"/>
  <c r="N42" i="198"/>
  <c r="N29" i="198"/>
  <c r="N41" i="198"/>
  <c r="AH32" i="198"/>
  <c r="AH33" i="198" s="1"/>
  <c r="P158" i="198"/>
  <c r="P162" i="198" s="1"/>
  <c r="N32" i="198"/>
  <c r="AA52" i="521"/>
  <c r="P29" i="503" s="1"/>
  <c r="AA61" i="521"/>
  <c r="AA54" i="521"/>
  <c r="AA185" i="521"/>
  <c r="AA204" i="521" s="1"/>
  <c r="L55" i="198"/>
  <c r="L54" i="198"/>
  <c r="AF14" i="521"/>
  <c r="U68" i="503"/>
  <c r="U51" i="503"/>
  <c r="V50" i="503"/>
  <c r="V116" i="503"/>
  <c r="V109" i="503"/>
  <c r="AE177" i="520"/>
  <c r="AE203" i="520" s="1"/>
  <c r="AE16" i="520"/>
  <c r="AE91" i="520" s="1"/>
  <c r="O34" i="503"/>
  <c r="O36" i="503"/>
  <c r="O35" i="503"/>
  <c r="O54" i="503"/>
  <c r="O61" i="503"/>
  <c r="O64" i="503" s="1"/>
  <c r="O77" i="503"/>
  <c r="O46" i="503"/>
  <c r="O30" i="504"/>
  <c r="O67" i="504"/>
  <c r="O42" i="504"/>
  <c r="O43" i="504"/>
  <c r="W211" i="519"/>
  <c r="W205" i="519"/>
  <c r="O30" i="523"/>
  <c r="O67" i="523"/>
  <c r="O42" i="523"/>
  <c r="O43" i="523"/>
  <c r="AE121" i="520"/>
  <c r="AE154" i="520" s="1"/>
  <c r="AF43" i="520" s="1"/>
  <c r="AF121" i="520" s="1"/>
  <c r="AF154" i="520" s="1"/>
  <c r="AG43" i="520" s="1"/>
  <c r="AG121" i="520" s="1"/>
  <c r="AG154" i="520" s="1"/>
  <c r="Y184" i="519"/>
  <c r="Y186" i="519" s="1"/>
  <c r="X182" i="519"/>
  <c r="X199" i="519" s="1"/>
  <c r="X200" i="519" s="1"/>
  <c r="Y202" i="520"/>
  <c r="X206" i="520"/>
  <c r="V13" i="198"/>
  <c r="U125" i="198"/>
  <c r="U17" i="198"/>
  <c r="U14" i="198"/>
  <c r="U15" i="198" s="1"/>
  <c r="AD16" i="519"/>
  <c r="AD90" i="519" s="1"/>
  <c r="AB185" i="521"/>
  <c r="AB204" i="521" s="1"/>
  <c r="AB52" i="521"/>
  <c r="Q29" i="503" s="1"/>
  <c r="AB54" i="521"/>
  <c r="AB61" i="521"/>
  <c r="AD116" i="520"/>
  <c r="AD149" i="520" s="1"/>
  <c r="AE38" i="520" s="1"/>
  <c r="O42" i="198"/>
  <c r="O29" i="198"/>
  <c r="AI32" i="198"/>
  <c r="AI33" i="198" s="1"/>
  <c r="O41" i="198"/>
  <c r="O66" i="198"/>
  <c r="O32" i="198"/>
  <c r="L68" i="198"/>
  <c r="W211" i="521"/>
  <c r="W205" i="521"/>
  <c r="N69" i="503" l="1"/>
  <c r="Q67" i="504"/>
  <c r="Q30" i="504"/>
  <c r="Q42" i="504"/>
  <c r="AF15" i="521"/>
  <c r="AF16" i="521" s="1"/>
  <c r="AF92" i="521" s="1"/>
  <c r="O65" i="503"/>
  <c r="AD50" i="521"/>
  <c r="AD61" i="521" s="1"/>
  <c r="AC50" i="520"/>
  <c r="AD119" i="520"/>
  <c r="AD152" i="520" s="1"/>
  <c r="AE41" i="520" s="1"/>
  <c r="AE119" i="520" s="1"/>
  <c r="AE152" i="520" s="1"/>
  <c r="AF41" i="520" s="1"/>
  <c r="AA176" i="520"/>
  <c r="AA188" i="520" s="1"/>
  <c r="Z170" i="520"/>
  <c r="AG14" i="521"/>
  <c r="AG177" i="521" s="1"/>
  <c r="AG203" i="521" s="1"/>
  <c r="V51" i="503"/>
  <c r="V68" i="503"/>
  <c r="N47" i="503"/>
  <c r="N48" i="503"/>
  <c r="AF91" i="519"/>
  <c r="AG91" i="519" s="1"/>
  <c r="AE46" i="519"/>
  <c r="AE124" i="519" s="1"/>
  <c r="AE157" i="519" s="1"/>
  <c r="AF177" i="519"/>
  <c r="AF203" i="519" s="1"/>
  <c r="N55" i="503"/>
  <c r="N56" i="503"/>
  <c r="AG116" i="519"/>
  <c r="AG149" i="519" s="1"/>
  <c r="P43" i="523"/>
  <c r="P42" i="523"/>
  <c r="P67" i="523"/>
  <c r="P30" i="523"/>
  <c r="Q67" i="503"/>
  <c r="Q43" i="503"/>
  <c r="Q30" i="503"/>
  <c r="Q42" i="503"/>
  <c r="Q33" i="503"/>
  <c r="AE46" i="520"/>
  <c r="AE124" i="520" s="1"/>
  <c r="AE157" i="520" s="1"/>
  <c r="AF91" i="520"/>
  <c r="AG91" i="520" s="1"/>
  <c r="P43" i="503"/>
  <c r="P67" i="503"/>
  <c r="P30" i="503"/>
  <c r="P42" i="503"/>
  <c r="P33" i="503"/>
  <c r="N75" i="503"/>
  <c r="N80" i="503" s="1"/>
  <c r="N70" i="503"/>
  <c r="Z184" i="520"/>
  <c r="Z186" i="520" s="1"/>
  <c r="Z187" i="520" s="1"/>
  <c r="Y182" i="520"/>
  <c r="Y199" i="520" s="1"/>
  <c r="Y200" i="520" s="1"/>
  <c r="L33" i="523"/>
  <c r="L17" i="523"/>
  <c r="L18" i="523"/>
  <c r="L14" i="523"/>
  <c r="L15" i="523" s="1"/>
  <c r="Z210" i="519"/>
  <c r="Z198" i="519"/>
  <c r="Z209" i="519" s="1"/>
  <c r="V51" i="504"/>
  <c r="AG14" i="520"/>
  <c r="AG177" i="520" s="1"/>
  <c r="AG203" i="520" s="1"/>
  <c r="V68" i="504"/>
  <c r="M55" i="198"/>
  <c r="M54" i="198"/>
  <c r="AF15" i="520"/>
  <c r="O48" i="503"/>
  <c r="O47" i="503"/>
  <c r="N53" i="198"/>
  <c r="N34" i="198"/>
  <c r="N76" i="198"/>
  <c r="N33" i="198"/>
  <c r="N60" i="198"/>
  <c r="N63" i="198" s="1"/>
  <c r="N64" i="198" s="1"/>
  <c r="N35" i="198"/>
  <c r="N45" i="198"/>
  <c r="N124" i="503"/>
  <c r="N127" i="503" s="1"/>
  <c r="R28" i="198"/>
  <c r="R29" i="523"/>
  <c r="AA178" i="519"/>
  <c r="AA188" i="519"/>
  <c r="P42" i="198"/>
  <c r="AJ32" i="198"/>
  <c r="AJ33" i="198" s="1"/>
  <c r="P41" i="198"/>
  <c r="P29" i="198"/>
  <c r="P66" i="198"/>
  <c r="P32" i="198"/>
  <c r="V17" i="198"/>
  <c r="V125" i="198"/>
  <c r="V14" i="198"/>
  <c r="V15" i="198" s="1"/>
  <c r="Y209" i="520"/>
  <c r="N119" i="504"/>
  <c r="N120" i="504" s="1"/>
  <c r="N123" i="504" s="1"/>
  <c r="AF15" i="519"/>
  <c r="O69" i="503"/>
  <c r="AD45" i="519"/>
  <c r="AE90" i="519"/>
  <c r="AF90" i="519" s="1"/>
  <c r="AG90" i="519" s="1"/>
  <c r="X211" i="520"/>
  <c r="X205" i="520"/>
  <c r="AF177" i="521"/>
  <c r="AF203" i="521" s="1"/>
  <c r="Q28" i="198"/>
  <c r="Q29" i="523"/>
  <c r="M47" i="198"/>
  <c r="M46" i="198"/>
  <c r="V116" i="523"/>
  <c r="V9" i="523"/>
  <c r="V10" i="523" s="1"/>
  <c r="V109" i="523"/>
  <c r="V50" i="523"/>
  <c r="AE45" i="521"/>
  <c r="AE123" i="521" s="1"/>
  <c r="AE156" i="521" s="1"/>
  <c r="AF45" i="521" s="1"/>
  <c r="AF123" i="521" s="1"/>
  <c r="AF156" i="521" s="1"/>
  <c r="AG45" i="521" s="1"/>
  <c r="AG123" i="521" s="1"/>
  <c r="AG156" i="521" s="1"/>
  <c r="AE116" i="520"/>
  <c r="AE149" i="520" s="1"/>
  <c r="AF38" i="520" s="1"/>
  <c r="AC50" i="521"/>
  <c r="AD118" i="521"/>
  <c r="AD151" i="521" s="1"/>
  <c r="AE40" i="521" s="1"/>
  <c r="V17" i="503"/>
  <c r="V14" i="503"/>
  <c r="V15" i="503" s="1"/>
  <c r="V126" i="503"/>
  <c r="Z184" i="521"/>
  <c r="Z186" i="521" s="1"/>
  <c r="Y182" i="521"/>
  <c r="Y199" i="521" s="1"/>
  <c r="Y200" i="521" s="1"/>
  <c r="Y187" i="519"/>
  <c r="AA178" i="521"/>
  <c r="AA179" i="521" s="1"/>
  <c r="AA188" i="521"/>
  <c r="V50" i="198"/>
  <c r="AG14" i="519"/>
  <c r="AG177" i="519" s="1"/>
  <c r="AG203" i="519" s="1"/>
  <c r="V67" i="198"/>
  <c r="AD45" i="520"/>
  <c r="AD123" i="520" s="1"/>
  <c r="AD156" i="520" s="1"/>
  <c r="AE90" i="520"/>
  <c r="AF90" i="520" s="1"/>
  <c r="AG90" i="520" s="1"/>
  <c r="AF91" i="521"/>
  <c r="AG91" i="521" s="1"/>
  <c r="AE46" i="521"/>
  <c r="AE124" i="521" s="1"/>
  <c r="AE157" i="521" s="1"/>
  <c r="M68" i="198"/>
  <c r="L81" i="503"/>
  <c r="L83" i="503"/>
  <c r="L96" i="503"/>
  <c r="L69" i="198"/>
  <c r="L74" i="198"/>
  <c r="L79" i="198" s="1"/>
  <c r="O33" i="198"/>
  <c r="O34" i="198"/>
  <c r="O60" i="198"/>
  <c r="O63" i="198" s="1"/>
  <c r="O68" i="198" s="1"/>
  <c r="O53" i="198"/>
  <c r="O35" i="198"/>
  <c r="O76" i="198"/>
  <c r="O45" i="198"/>
  <c r="M118" i="198"/>
  <c r="M119" i="198" s="1"/>
  <c r="M122" i="198" s="1"/>
  <c r="X206" i="519"/>
  <c r="Y202" i="519"/>
  <c r="M119" i="523"/>
  <c r="M120" i="523" s="1"/>
  <c r="M123" i="523" s="1"/>
  <c r="O55" i="503"/>
  <c r="O56" i="503"/>
  <c r="Z210" i="521"/>
  <c r="Z198" i="521"/>
  <c r="U51" i="523"/>
  <c r="U68" i="523"/>
  <c r="Y202" i="521"/>
  <c r="X206" i="521"/>
  <c r="AD50" i="520" l="1"/>
  <c r="AF46" i="519"/>
  <c r="AF124" i="519" s="1"/>
  <c r="AF157" i="519" s="1"/>
  <c r="AG46" i="519" s="1"/>
  <c r="AG124" i="519" s="1"/>
  <c r="AG157" i="519" s="1"/>
  <c r="AD185" i="521"/>
  <c r="AD204" i="521" s="1"/>
  <c r="AD54" i="521"/>
  <c r="AD52" i="521"/>
  <c r="S29" i="503" s="1"/>
  <c r="S33" i="503" s="1"/>
  <c r="AG15" i="521"/>
  <c r="AG16" i="521" s="1"/>
  <c r="AG93" i="521" s="1"/>
  <c r="AG48" i="521" s="1"/>
  <c r="AG126" i="521" s="1"/>
  <c r="AG159" i="521" s="1"/>
  <c r="AA178" i="520"/>
  <c r="AA179" i="520" s="1"/>
  <c r="AG15" i="519"/>
  <c r="AG16" i="519" s="1"/>
  <c r="AG93" i="519" s="1"/>
  <c r="AG48" i="519" s="1"/>
  <c r="AG126" i="519" s="1"/>
  <c r="AG159" i="519" s="1"/>
  <c r="AF46" i="521"/>
  <c r="AF124" i="521" s="1"/>
  <c r="AF157" i="521" s="1"/>
  <c r="AG46" i="521" s="1"/>
  <c r="AG124" i="521" s="1"/>
  <c r="AG157" i="521" s="1"/>
  <c r="AF46" i="520"/>
  <c r="AF124" i="520" s="1"/>
  <c r="AF157" i="520" s="1"/>
  <c r="AG46" i="520" s="1"/>
  <c r="AG124" i="520" s="1"/>
  <c r="AG157" i="520" s="1"/>
  <c r="AC52" i="520"/>
  <c r="R29" i="504" s="1"/>
  <c r="AC54" i="520"/>
  <c r="AC185" i="520"/>
  <c r="AC204" i="520" s="1"/>
  <c r="AC61" i="520"/>
  <c r="AF119" i="520"/>
  <c r="AF152" i="520" s="1"/>
  <c r="AG41" i="520" s="1"/>
  <c r="AG119" i="520" s="1"/>
  <c r="AG152" i="520" s="1"/>
  <c r="O74" i="198"/>
  <c r="O79" i="198" s="1"/>
  <c r="AF116" i="520"/>
  <c r="AF149" i="520" s="1"/>
  <c r="AG38" i="520" s="1"/>
  <c r="AE45" i="520"/>
  <c r="R29" i="198"/>
  <c r="R42" i="198"/>
  <c r="R41" i="198"/>
  <c r="R66" i="198"/>
  <c r="AL32" i="198"/>
  <c r="AL33" i="198" s="1"/>
  <c r="R32" i="198"/>
  <c r="Y206" i="520"/>
  <c r="Z202" i="520"/>
  <c r="M123" i="198"/>
  <c r="M126" i="198" s="1"/>
  <c r="N124" i="504"/>
  <c r="L87" i="503"/>
  <c r="L89" i="503"/>
  <c r="L132" i="503" s="1"/>
  <c r="K133" i="503" s="1"/>
  <c r="L88" i="503"/>
  <c r="L84" i="503"/>
  <c r="M83" i="503"/>
  <c r="N83" i="503" s="1"/>
  <c r="Y182" i="519"/>
  <c r="Y199" i="519" s="1"/>
  <c r="Y200" i="519" s="1"/>
  <c r="Z184" i="519"/>
  <c r="Z186" i="519" s="1"/>
  <c r="N54" i="198"/>
  <c r="N55" i="198"/>
  <c r="Z182" i="520"/>
  <c r="Z199" i="520" s="1"/>
  <c r="AA184" i="520"/>
  <c r="AA186" i="520" s="1"/>
  <c r="AF16" i="519"/>
  <c r="AF92" i="519" s="1"/>
  <c r="L80" i="198"/>
  <c r="L82" i="198"/>
  <c r="L95" i="198"/>
  <c r="AF47" i="521"/>
  <c r="AF125" i="521" s="1"/>
  <c r="AF158" i="521" s="1"/>
  <c r="AG92" i="521"/>
  <c r="AF16" i="520"/>
  <c r="AF92" i="520" s="1"/>
  <c r="AG15" i="520"/>
  <c r="AG16" i="520" s="1"/>
  <c r="AG93" i="520" s="1"/>
  <c r="AG48" i="520" s="1"/>
  <c r="AG126" i="520" s="1"/>
  <c r="AG159" i="520" s="1"/>
  <c r="M124" i="523"/>
  <c r="O54" i="198"/>
  <c r="O55" i="198"/>
  <c r="Y206" i="521"/>
  <c r="Z202" i="521"/>
  <c r="AE50" i="521"/>
  <c r="AE118" i="521"/>
  <c r="AE151" i="521" s="1"/>
  <c r="AF40" i="521" s="1"/>
  <c r="V68" i="523"/>
  <c r="V51" i="523"/>
  <c r="O119" i="503"/>
  <c r="O120" i="503" s="1"/>
  <c r="O123" i="503" s="1"/>
  <c r="Z209" i="521"/>
  <c r="AB176" i="521"/>
  <c r="AB188" i="521" s="1"/>
  <c r="AA170" i="521"/>
  <c r="O47" i="198"/>
  <c r="O46" i="198"/>
  <c r="R67" i="523"/>
  <c r="R42" i="523"/>
  <c r="R43" i="523"/>
  <c r="R30" i="523"/>
  <c r="AC52" i="521"/>
  <c r="R29" i="503" s="1"/>
  <c r="AC61" i="521"/>
  <c r="AC185" i="521"/>
  <c r="AC204" i="521" s="1"/>
  <c r="AC54" i="521"/>
  <c r="AD123" i="519"/>
  <c r="AD156" i="519" s="1"/>
  <c r="AE45" i="519" s="1"/>
  <c r="AD50" i="519"/>
  <c r="N47" i="198"/>
  <c r="N46" i="198"/>
  <c r="L36" i="523"/>
  <c r="L35" i="523"/>
  <c r="L34" i="523"/>
  <c r="L54" i="523"/>
  <c r="L77" i="523"/>
  <c r="L61" i="523"/>
  <c r="L64" i="523" s="1"/>
  <c r="L46" i="523"/>
  <c r="N81" i="503"/>
  <c r="N96" i="503"/>
  <c r="Q34" i="503"/>
  <c r="Q61" i="503"/>
  <c r="Q64" i="503" s="1"/>
  <c r="Q69" i="503" s="1"/>
  <c r="Q36" i="503"/>
  <c r="Q54" i="503"/>
  <c r="Q77" i="503"/>
  <c r="Q35" i="503"/>
  <c r="Q46" i="503"/>
  <c r="Z198" i="520"/>
  <c r="Z210" i="520"/>
  <c r="Q42" i="198"/>
  <c r="Q29" i="198"/>
  <c r="Q66" i="198"/>
  <c r="Q41" i="198"/>
  <c r="AK32" i="198"/>
  <c r="AK33" i="198" s="1"/>
  <c r="Q32" i="198"/>
  <c r="AD54" i="520"/>
  <c r="AD61" i="520"/>
  <c r="AD52" i="520"/>
  <c r="S29" i="504" s="1"/>
  <c r="AD185" i="520"/>
  <c r="AD204" i="520" s="1"/>
  <c r="X211" i="521"/>
  <c r="X205" i="521"/>
  <c r="O64" i="198"/>
  <c r="M69" i="198"/>
  <c r="M74" i="198"/>
  <c r="M79" i="198" s="1"/>
  <c r="Z187" i="521"/>
  <c r="X205" i="519"/>
  <c r="X211" i="519"/>
  <c r="N68" i="198"/>
  <c r="O69" i="198" s="1"/>
  <c r="Q43" i="523"/>
  <c r="Q67" i="523"/>
  <c r="Q30" i="523"/>
  <c r="Q42" i="523"/>
  <c r="O70" i="503"/>
  <c r="O75" i="503"/>
  <c r="O80" i="503" s="1"/>
  <c r="P76" i="198"/>
  <c r="P33" i="198"/>
  <c r="P35" i="198"/>
  <c r="P34" i="198"/>
  <c r="P60" i="198"/>
  <c r="P63" i="198" s="1"/>
  <c r="P64" i="198" s="1"/>
  <c r="P53" i="198"/>
  <c r="P45" i="198"/>
  <c r="AA179" i="519"/>
  <c r="S30" i="503"/>
  <c r="S43" i="503"/>
  <c r="S67" i="503"/>
  <c r="P61" i="503"/>
  <c r="P64" i="503" s="1"/>
  <c r="P65" i="503" s="1"/>
  <c r="P77" i="503"/>
  <c r="P36" i="503"/>
  <c r="P34" i="503"/>
  <c r="P54" i="503"/>
  <c r="P35" i="503"/>
  <c r="P46" i="503"/>
  <c r="S42" i="503" l="1"/>
  <c r="AF50" i="521"/>
  <c r="AF185" i="521" s="1"/>
  <c r="AF204" i="521" s="1"/>
  <c r="R42" i="504"/>
  <c r="R43" i="504"/>
  <c r="R30" i="504"/>
  <c r="R67" i="504"/>
  <c r="P69" i="503"/>
  <c r="Q70" i="503" s="1"/>
  <c r="AF52" i="521"/>
  <c r="U29" i="503" s="1"/>
  <c r="AF47" i="519"/>
  <c r="AF125" i="519" s="1"/>
  <c r="AF158" i="519" s="1"/>
  <c r="AG92" i="519"/>
  <c r="AA198" i="521"/>
  <c r="AA210" i="521"/>
  <c r="M87" i="503"/>
  <c r="M84" i="503"/>
  <c r="M88" i="503"/>
  <c r="M89" i="503"/>
  <c r="M132" i="503" s="1"/>
  <c r="L133" i="503" s="1"/>
  <c r="AG92" i="520"/>
  <c r="AF47" i="520"/>
  <c r="AF125" i="520" s="1"/>
  <c r="AF158" i="520" s="1"/>
  <c r="AA187" i="520"/>
  <c r="AG116" i="520"/>
  <c r="AG149" i="520" s="1"/>
  <c r="Q34" i="198"/>
  <c r="Q53" i="198"/>
  <c r="Q35" i="198"/>
  <c r="Q33" i="198"/>
  <c r="Q76" i="198"/>
  <c r="Q60" i="198"/>
  <c r="Q63" i="198" s="1"/>
  <c r="Q64" i="198" s="1"/>
  <c r="Q45" i="198"/>
  <c r="Q47" i="503"/>
  <c r="Q48" i="503"/>
  <c r="AA170" i="519"/>
  <c r="AB176" i="519"/>
  <c r="Y211" i="521"/>
  <c r="Y205" i="521"/>
  <c r="Z200" i="520"/>
  <c r="Z209" i="520"/>
  <c r="O119" i="504"/>
  <c r="O120" i="504" s="1"/>
  <c r="O123" i="504" s="1"/>
  <c r="P56" i="503"/>
  <c r="P55" i="503"/>
  <c r="Q75" i="503"/>
  <c r="Q80" i="503" s="1"/>
  <c r="Q55" i="503"/>
  <c r="Q56" i="503"/>
  <c r="O124" i="503"/>
  <c r="O127" i="503" s="1"/>
  <c r="AG47" i="521"/>
  <c r="AG125" i="521" s="1"/>
  <c r="AG158" i="521" s="1"/>
  <c r="P68" i="198"/>
  <c r="N87" i="503"/>
  <c r="N84" i="503"/>
  <c r="N89" i="503"/>
  <c r="N88" i="503"/>
  <c r="L65" i="523"/>
  <c r="L69" i="523"/>
  <c r="AA184" i="521"/>
  <c r="AA186" i="521" s="1"/>
  <c r="Z182" i="521"/>
  <c r="Z199" i="521" s="1"/>
  <c r="Z200" i="521" s="1"/>
  <c r="AE123" i="519"/>
  <c r="AE156" i="519" s="1"/>
  <c r="AF45" i="519" s="1"/>
  <c r="AE50" i="519"/>
  <c r="AF118" i="521"/>
  <c r="AF151" i="521" s="1"/>
  <c r="AG40" i="521" s="1"/>
  <c r="AE123" i="520"/>
  <c r="AE156" i="520" s="1"/>
  <c r="AF45" i="520" s="1"/>
  <c r="AE50" i="520"/>
  <c r="AE52" i="521"/>
  <c r="T29" i="503" s="1"/>
  <c r="AE61" i="521"/>
  <c r="AE54" i="521"/>
  <c r="AE185" i="521"/>
  <c r="AE204" i="521" s="1"/>
  <c r="L47" i="523"/>
  <c r="L48" i="523"/>
  <c r="P46" i="198"/>
  <c r="P47" i="198"/>
  <c r="AD185" i="519"/>
  <c r="AD204" i="519" s="1"/>
  <c r="AD54" i="519"/>
  <c r="AD52" i="519"/>
  <c r="AD61" i="519"/>
  <c r="S61" i="503"/>
  <c r="S64" i="503" s="1"/>
  <c r="S69" i="503" s="1"/>
  <c r="S35" i="503"/>
  <c r="S77" i="503"/>
  <c r="S54" i="503"/>
  <c r="S46" i="503"/>
  <c r="Q65" i="503"/>
  <c r="L55" i="523"/>
  <c r="L56" i="523"/>
  <c r="L88" i="198"/>
  <c r="L87" i="198"/>
  <c r="L83" i="198"/>
  <c r="L86" i="198"/>
  <c r="Y205" i="520"/>
  <c r="Y211" i="520"/>
  <c r="AB176" i="520"/>
  <c r="AA170" i="520"/>
  <c r="Y206" i="519"/>
  <c r="Z202" i="519"/>
  <c r="N118" i="198"/>
  <c r="N119" i="198" s="1"/>
  <c r="N122" i="198" s="1"/>
  <c r="N119" i="523"/>
  <c r="N120" i="523" s="1"/>
  <c r="N123" i="523" s="1"/>
  <c r="N74" i="198"/>
  <c r="N79" i="198" s="1"/>
  <c r="N69" i="198"/>
  <c r="R42" i="503"/>
  <c r="R30" i="503"/>
  <c r="R67" i="503"/>
  <c r="R43" i="503"/>
  <c r="R33" i="503"/>
  <c r="O96" i="503"/>
  <c r="O81" i="503"/>
  <c r="O83" i="503"/>
  <c r="P55" i="198"/>
  <c r="P54" i="198"/>
  <c r="M82" i="198"/>
  <c r="M95" i="198"/>
  <c r="M80" i="198"/>
  <c r="S42" i="504"/>
  <c r="S30" i="504"/>
  <c r="S67" i="504"/>
  <c r="S43" i="504"/>
  <c r="P47" i="503"/>
  <c r="P48" i="503"/>
  <c r="M13" i="523"/>
  <c r="M126" i="523"/>
  <c r="Z187" i="519"/>
  <c r="AB178" i="521"/>
  <c r="R76" i="198"/>
  <c r="R33" i="198"/>
  <c r="R53" i="198"/>
  <c r="R60" i="198"/>
  <c r="R63" i="198" s="1"/>
  <c r="R68" i="198" s="1"/>
  <c r="R35" i="198"/>
  <c r="R34" i="198"/>
  <c r="R45" i="198"/>
  <c r="O80" i="198"/>
  <c r="O95" i="198"/>
  <c r="AF61" i="521" l="1"/>
  <c r="AF54" i="521"/>
  <c r="P70" i="503"/>
  <c r="AG47" i="520"/>
  <c r="AG125" i="520" s="1"/>
  <c r="AG158" i="520" s="1"/>
  <c r="P75" i="503"/>
  <c r="P80" i="503" s="1"/>
  <c r="P96" i="503" s="1"/>
  <c r="R74" i="198"/>
  <c r="R79" i="198" s="1"/>
  <c r="S75" i="503"/>
  <c r="AE61" i="519"/>
  <c r="AE52" i="519"/>
  <c r="AE185" i="519"/>
  <c r="AE204" i="519" s="1"/>
  <c r="AE54" i="519"/>
  <c r="N124" i="523"/>
  <c r="S48" i="503"/>
  <c r="S28" i="198"/>
  <c r="S29" i="523"/>
  <c r="Z206" i="521"/>
  <c r="AA202" i="521"/>
  <c r="R54" i="198"/>
  <c r="R55" i="198"/>
  <c r="P119" i="503"/>
  <c r="P120" i="503" s="1"/>
  <c r="P123" i="503" s="1"/>
  <c r="AA209" i="521"/>
  <c r="AB179" i="521"/>
  <c r="M83" i="198"/>
  <c r="M86" i="198"/>
  <c r="M87" i="198"/>
  <c r="M88" i="198"/>
  <c r="M131" i="198" s="1"/>
  <c r="R34" i="503"/>
  <c r="R61" i="503"/>
  <c r="R64" i="503" s="1"/>
  <c r="R65" i="503" s="1"/>
  <c r="R77" i="503"/>
  <c r="R35" i="503"/>
  <c r="R36" i="503"/>
  <c r="R54" i="503"/>
  <c r="S55" i="503" s="1"/>
  <c r="R46" i="503"/>
  <c r="S47" i="503" s="1"/>
  <c r="N123" i="198"/>
  <c r="N126" i="198" s="1"/>
  <c r="S36" i="503"/>
  <c r="AA187" i="521"/>
  <c r="Q96" i="503"/>
  <c r="Q81" i="503"/>
  <c r="AB188" i="519"/>
  <c r="AB178" i="519"/>
  <c r="AG47" i="519"/>
  <c r="AG125" i="519" s="1"/>
  <c r="AG158" i="519" s="1"/>
  <c r="R46" i="198"/>
  <c r="R47" i="198"/>
  <c r="S34" i="503"/>
  <c r="T43" i="503"/>
  <c r="T67" i="503"/>
  <c r="T30" i="503"/>
  <c r="T42" i="503"/>
  <c r="T33" i="503"/>
  <c r="L70" i="523"/>
  <c r="L75" i="523"/>
  <c r="L80" i="523" s="1"/>
  <c r="P74" i="198"/>
  <c r="P79" i="198" s="1"/>
  <c r="P69" i="198"/>
  <c r="AA210" i="519"/>
  <c r="AA198" i="519"/>
  <c r="AA209" i="519" s="1"/>
  <c r="Q54" i="198"/>
  <c r="Q55" i="198"/>
  <c r="Z206" i="520"/>
  <c r="AA202" i="520"/>
  <c r="Z182" i="519"/>
  <c r="Z199" i="519" s="1"/>
  <c r="Z200" i="519" s="1"/>
  <c r="AA184" i="519"/>
  <c r="AA186" i="519" s="1"/>
  <c r="AA187" i="519" s="1"/>
  <c r="Y205" i="519"/>
  <c r="Y211" i="519"/>
  <c r="L131" i="198"/>
  <c r="K132" i="198" s="1"/>
  <c r="K134" i="198"/>
  <c r="S56" i="503"/>
  <c r="AE54" i="520"/>
  <c r="AE61" i="520"/>
  <c r="AE185" i="520"/>
  <c r="AE204" i="520" s="1"/>
  <c r="AE52" i="520"/>
  <c r="T29" i="504" s="1"/>
  <c r="AF123" i="519"/>
  <c r="AF156" i="519" s="1"/>
  <c r="AG45" i="519" s="1"/>
  <c r="AF50" i="519"/>
  <c r="AA182" i="520"/>
  <c r="AA199" i="520" s="1"/>
  <c r="AB184" i="520"/>
  <c r="AB186" i="520" s="1"/>
  <c r="AB187" i="520" s="1"/>
  <c r="Q68" i="198"/>
  <c r="AA210" i="520"/>
  <c r="AA198" i="520"/>
  <c r="AF123" i="520"/>
  <c r="AF156" i="520" s="1"/>
  <c r="AG45" i="520" s="1"/>
  <c r="AF50" i="520"/>
  <c r="O124" i="504"/>
  <c r="N95" i="198"/>
  <c r="N80" i="198"/>
  <c r="N82" i="198"/>
  <c r="R64" i="198"/>
  <c r="M33" i="523"/>
  <c r="M14" i="523"/>
  <c r="M15" i="523" s="1"/>
  <c r="M17" i="523"/>
  <c r="M18" i="523"/>
  <c r="O84" i="503"/>
  <c r="O88" i="503"/>
  <c r="O87" i="503"/>
  <c r="O89" i="503"/>
  <c r="AB188" i="520"/>
  <c r="AB178" i="520"/>
  <c r="AG50" i="521"/>
  <c r="AG118" i="521"/>
  <c r="AG151" i="521" s="1"/>
  <c r="Q47" i="198"/>
  <c r="Q46" i="198"/>
  <c r="U43" i="503"/>
  <c r="U67" i="503"/>
  <c r="U42" i="503"/>
  <c r="U30" i="503"/>
  <c r="U33" i="503"/>
  <c r="P81" i="503" l="1"/>
  <c r="AA200" i="520"/>
  <c r="AA206" i="520" s="1"/>
  <c r="P83" i="503"/>
  <c r="P84" i="503" s="1"/>
  <c r="L134" i="198"/>
  <c r="S65" i="503"/>
  <c r="AG52" i="521"/>
  <c r="V29" i="503" s="1"/>
  <c r="AG61" i="521"/>
  <c r="AG54" i="521"/>
  <c r="AG185" i="521"/>
  <c r="AG204" i="521" s="1"/>
  <c r="AG123" i="519"/>
  <c r="AG156" i="519" s="1"/>
  <c r="AG50" i="519"/>
  <c r="L96" i="523"/>
  <c r="L83" i="523"/>
  <c r="L81" i="523"/>
  <c r="AB184" i="521"/>
  <c r="AA182" i="521"/>
  <c r="AA199" i="521" s="1"/>
  <c r="AA200" i="521" s="1"/>
  <c r="AC176" i="521"/>
  <c r="AB170" i="521"/>
  <c r="S30" i="523"/>
  <c r="S67" i="523"/>
  <c r="S43" i="523"/>
  <c r="S42" i="523"/>
  <c r="T28" i="198"/>
  <c r="T29" i="523"/>
  <c r="AF54" i="519"/>
  <c r="AF61" i="519"/>
  <c r="AF185" i="519"/>
  <c r="AF204" i="519" s="1"/>
  <c r="AF52" i="519"/>
  <c r="AG123" i="520"/>
  <c r="AG156" i="520" s="1"/>
  <c r="AG50" i="520"/>
  <c r="P119" i="504"/>
  <c r="P120" i="504" s="1"/>
  <c r="P123" i="504" s="1"/>
  <c r="AA209" i="520"/>
  <c r="Z211" i="520"/>
  <c r="Z205" i="520"/>
  <c r="S41" i="198"/>
  <c r="S42" i="198"/>
  <c r="S29" i="198"/>
  <c r="AM32" i="198"/>
  <c r="AM33" i="198" s="1"/>
  <c r="S66" i="198"/>
  <c r="S32" i="198"/>
  <c r="T54" i="503"/>
  <c r="T35" i="503"/>
  <c r="T36" i="503"/>
  <c r="T61" i="503"/>
  <c r="T64" i="503" s="1"/>
  <c r="T65" i="503" s="1"/>
  <c r="T77" i="503"/>
  <c r="T34" i="503"/>
  <c r="T46" i="503"/>
  <c r="P124" i="503"/>
  <c r="P127" i="503" s="1"/>
  <c r="P95" i="198"/>
  <c r="P80" i="198"/>
  <c r="Z211" i="521"/>
  <c r="Z205" i="521"/>
  <c r="P89" i="503"/>
  <c r="P87" i="503"/>
  <c r="N88" i="198"/>
  <c r="N131" i="198" s="1"/>
  <c r="M132" i="198" s="1"/>
  <c r="N83" i="198"/>
  <c r="N87" i="198"/>
  <c r="N86" i="198"/>
  <c r="O82" i="198"/>
  <c r="P82" i="198" s="1"/>
  <c r="Q74" i="198"/>
  <c r="Q79" i="198" s="1"/>
  <c r="Q69" i="198"/>
  <c r="AB179" i="519"/>
  <c r="L132" i="198"/>
  <c r="S80" i="503"/>
  <c r="AB184" i="519"/>
  <c r="AA182" i="519"/>
  <c r="AA199" i="519" s="1"/>
  <c r="AA200" i="519" s="1"/>
  <c r="AF185" i="520"/>
  <c r="AF204" i="520" s="1"/>
  <c r="AF61" i="520"/>
  <c r="AF52" i="520"/>
  <c r="U29" i="504" s="1"/>
  <c r="AF54" i="520"/>
  <c r="U36" i="503"/>
  <c r="U61" i="503"/>
  <c r="U64" i="503" s="1"/>
  <c r="U54" i="503"/>
  <c r="U34" i="503"/>
  <c r="U35" i="503"/>
  <c r="U77" i="503"/>
  <c r="U46" i="503"/>
  <c r="R48" i="503"/>
  <c r="R47" i="503"/>
  <c r="N13" i="523"/>
  <c r="N126" i="523"/>
  <c r="R95" i="198"/>
  <c r="R80" i="198"/>
  <c r="AB179" i="520"/>
  <c r="AA202" i="519"/>
  <c r="O118" i="198"/>
  <c r="O119" i="198" s="1"/>
  <c r="O122" i="198" s="1"/>
  <c r="O119" i="523"/>
  <c r="O120" i="523" s="1"/>
  <c r="O123" i="523" s="1"/>
  <c r="Z206" i="519"/>
  <c r="M35" i="523"/>
  <c r="M36" i="523"/>
  <c r="M77" i="523"/>
  <c r="M61" i="523"/>
  <c r="M64" i="523" s="1"/>
  <c r="M34" i="523"/>
  <c r="M54" i="523"/>
  <c r="M46" i="523"/>
  <c r="T43" i="504"/>
  <c r="T30" i="504"/>
  <c r="T42" i="504"/>
  <c r="T67" i="504"/>
  <c r="AC184" i="520"/>
  <c r="AB182" i="520"/>
  <c r="AB199" i="520" s="1"/>
  <c r="R69" i="503"/>
  <c r="R55" i="503"/>
  <c r="R56" i="503"/>
  <c r="R69" i="198"/>
  <c r="Q83" i="503" l="1"/>
  <c r="P88" i="503"/>
  <c r="AB202" i="520"/>
  <c r="U65" i="503"/>
  <c r="T69" i="503"/>
  <c r="T70" i="503" s="1"/>
  <c r="AA206" i="519"/>
  <c r="AB202" i="519"/>
  <c r="P119" i="523"/>
  <c r="P120" i="523" s="1"/>
  <c r="P123" i="523" s="1"/>
  <c r="P124" i="523" s="1"/>
  <c r="P118" i="198"/>
  <c r="P119" i="198" s="1"/>
  <c r="P122" i="198" s="1"/>
  <c r="P123" i="198" s="1"/>
  <c r="P126" i="198" s="1"/>
  <c r="O86" i="198"/>
  <c r="O83" i="198"/>
  <c r="O88" i="198"/>
  <c r="O87" i="198"/>
  <c r="S60" i="198"/>
  <c r="S63" i="198" s="1"/>
  <c r="S64" i="198" s="1"/>
  <c r="S35" i="198"/>
  <c r="S33" i="198"/>
  <c r="S76" i="198"/>
  <c r="S34" i="198"/>
  <c r="S53" i="198"/>
  <c r="S45" i="198"/>
  <c r="AG52" i="519"/>
  <c r="AG61" i="519"/>
  <c r="AG54" i="519"/>
  <c r="AG185" i="519"/>
  <c r="AG204" i="519" s="1"/>
  <c r="Z211" i="519"/>
  <c r="Z205" i="519"/>
  <c r="U55" i="503"/>
  <c r="U56" i="503"/>
  <c r="AB186" i="519"/>
  <c r="Q87" i="503"/>
  <c r="Q89" i="503"/>
  <c r="Q84" i="503"/>
  <c r="Q88" i="503"/>
  <c r="T48" i="503"/>
  <c r="T47" i="503"/>
  <c r="P124" i="504"/>
  <c r="AA211" i="520"/>
  <c r="AA205" i="520"/>
  <c r="AB198" i="521"/>
  <c r="AB210" i="521"/>
  <c r="L84" i="523"/>
  <c r="L89" i="523"/>
  <c r="L87" i="523"/>
  <c r="L88" i="523"/>
  <c r="Q80" i="198"/>
  <c r="Q95" i="198"/>
  <c r="Q82" i="198"/>
  <c r="T55" i="503"/>
  <c r="T56" i="503"/>
  <c r="O124" i="523"/>
  <c r="S81" i="503"/>
  <c r="S96" i="503"/>
  <c r="AG52" i="520"/>
  <c r="V29" i="504" s="1"/>
  <c r="AG61" i="520"/>
  <c r="AG54" i="520"/>
  <c r="AG185" i="520"/>
  <c r="AG204" i="520" s="1"/>
  <c r="U69" i="503"/>
  <c r="AC188" i="521"/>
  <c r="AC178" i="521"/>
  <c r="AC179" i="521" s="1"/>
  <c r="M47" i="523"/>
  <c r="M48" i="523"/>
  <c r="R75" i="503"/>
  <c r="R80" i="503" s="1"/>
  <c r="R70" i="503"/>
  <c r="S70" i="503"/>
  <c r="M55" i="523"/>
  <c r="M56" i="523"/>
  <c r="O123" i="198"/>
  <c r="O126" i="198" s="1"/>
  <c r="T30" i="523"/>
  <c r="T67" i="523"/>
  <c r="T42" i="523"/>
  <c r="T43" i="523"/>
  <c r="AA206" i="521"/>
  <c r="AB202" i="521"/>
  <c r="AC176" i="520"/>
  <c r="AB170" i="520"/>
  <c r="U29" i="523"/>
  <c r="U28" i="198"/>
  <c r="T66" i="198"/>
  <c r="AN32" i="198"/>
  <c r="AN33" i="198" s="1"/>
  <c r="T42" i="198"/>
  <c r="T41" i="198"/>
  <c r="T29" i="198"/>
  <c r="T32" i="198"/>
  <c r="AB186" i="521"/>
  <c r="AB187" i="521" s="1"/>
  <c r="P87" i="198"/>
  <c r="P88" i="198"/>
  <c r="P83" i="198"/>
  <c r="P86" i="198"/>
  <c r="N33" i="523"/>
  <c r="N14" i="523"/>
  <c r="N15" i="523" s="1"/>
  <c r="N18" i="523"/>
  <c r="N17" i="523"/>
  <c r="AC186" i="520"/>
  <c r="AC187" i="520" s="1"/>
  <c r="M65" i="523"/>
  <c r="M69" i="523"/>
  <c r="U48" i="503"/>
  <c r="U47" i="503"/>
  <c r="U43" i="504"/>
  <c r="U30" i="504"/>
  <c r="U17" i="504" s="1"/>
  <c r="U42" i="504"/>
  <c r="U67" i="504"/>
  <c r="AC176" i="519"/>
  <c r="AB170" i="519"/>
  <c r="V42" i="503"/>
  <c r="V43" i="503"/>
  <c r="V30" i="503"/>
  <c r="V67" i="503"/>
  <c r="V33" i="503"/>
  <c r="T75" i="503" l="1"/>
  <c r="T80" i="503" s="1"/>
  <c r="S68" i="198"/>
  <c r="AD184" i="520"/>
  <c r="AC182" i="520"/>
  <c r="AC199" i="520" s="1"/>
  <c r="AB198" i="519"/>
  <c r="AB209" i="519" s="1"/>
  <c r="AB210" i="519"/>
  <c r="V28" i="198"/>
  <c r="V29" i="523"/>
  <c r="T60" i="198"/>
  <c r="T63" i="198" s="1"/>
  <c r="T64" i="198" s="1"/>
  <c r="T33" i="198"/>
  <c r="T35" i="198"/>
  <c r="T76" i="198"/>
  <c r="T53" i="198"/>
  <c r="T34" i="198"/>
  <c r="T45" i="198"/>
  <c r="S47" i="198"/>
  <c r="S46" i="198"/>
  <c r="AB210" i="520"/>
  <c r="AB198" i="520"/>
  <c r="S55" i="198"/>
  <c r="S54" i="198"/>
  <c r="V42" i="504"/>
  <c r="V43" i="504"/>
  <c r="V30" i="504"/>
  <c r="V17" i="504" s="1"/>
  <c r="V13" i="504" s="1"/>
  <c r="V67" i="504"/>
  <c r="R82" i="198"/>
  <c r="Q87" i="198"/>
  <c r="Q86" i="198"/>
  <c r="Q88" i="198"/>
  <c r="Q83" i="198"/>
  <c r="Q119" i="503"/>
  <c r="Q120" i="503" s="1"/>
  <c r="Q123" i="503" s="1"/>
  <c r="AB209" i="521"/>
  <c r="M70" i="523"/>
  <c r="M75" i="523"/>
  <c r="M80" i="523" s="1"/>
  <c r="P126" i="523"/>
  <c r="P13" i="523"/>
  <c r="AD186" i="520"/>
  <c r="AD187" i="520" s="1"/>
  <c r="L17" i="504"/>
  <c r="U13" i="504"/>
  <c r="R96" i="503"/>
  <c r="R81" i="503"/>
  <c r="R83" i="503"/>
  <c r="S69" i="198"/>
  <c r="S74" i="198"/>
  <c r="S79" i="198" s="1"/>
  <c r="AC188" i="519"/>
  <c r="AC178" i="519"/>
  <c r="V61" i="503"/>
  <c r="V64" i="503" s="1"/>
  <c r="V65" i="503" s="1"/>
  <c r="V77" i="503"/>
  <c r="V54" i="503"/>
  <c r="V35" i="503"/>
  <c r="V34" i="503"/>
  <c r="V36" i="503"/>
  <c r="V46" i="503"/>
  <c r="AA211" i="521"/>
  <c r="AA205" i="521"/>
  <c r="AD176" i="521"/>
  <c r="AD188" i="521" s="1"/>
  <c r="AC170" i="521"/>
  <c r="AC184" i="521"/>
  <c r="AC186" i="521" s="1"/>
  <c r="AB182" i="521"/>
  <c r="AB199" i="521" s="1"/>
  <c r="AB200" i="521" s="1"/>
  <c r="AC188" i="520"/>
  <c r="AC178" i="520"/>
  <c r="T96" i="503"/>
  <c r="T81" i="503"/>
  <c r="U67" i="523"/>
  <c r="U43" i="523"/>
  <c r="U42" i="523"/>
  <c r="U30" i="523"/>
  <c r="L132" i="523"/>
  <c r="K133" i="523" s="1"/>
  <c r="K135" i="523"/>
  <c r="N61" i="523"/>
  <c r="N64" i="523" s="1"/>
  <c r="N36" i="523"/>
  <c r="N77" i="523"/>
  <c r="N34" i="523"/>
  <c r="N54" i="523"/>
  <c r="N35" i="523"/>
  <c r="N46" i="523"/>
  <c r="U29" i="198"/>
  <c r="U41" i="198"/>
  <c r="U42" i="198"/>
  <c r="U66" i="198"/>
  <c r="AO32" i="198"/>
  <c r="AO33" i="198" s="1"/>
  <c r="U32" i="198"/>
  <c r="U70" i="503"/>
  <c r="U75" i="503"/>
  <c r="U80" i="503" s="1"/>
  <c r="O126" i="523"/>
  <c r="O13" i="523"/>
  <c r="AB187" i="519"/>
  <c r="AA205" i="519"/>
  <c r="AA211" i="519"/>
  <c r="V69" i="503" l="1"/>
  <c r="AC202" i="521"/>
  <c r="AB206" i="521"/>
  <c r="O17" i="523"/>
  <c r="O33" i="523"/>
  <c r="O18" i="523"/>
  <c r="O14" i="523"/>
  <c r="O15" i="523" s="1"/>
  <c r="V33" i="504"/>
  <c r="V126" i="504"/>
  <c r="V14" i="504"/>
  <c r="V15" i="504" s="1"/>
  <c r="N47" i="523"/>
  <c r="N48" i="523"/>
  <c r="AC187" i="521"/>
  <c r="AD182" i="520"/>
  <c r="AD199" i="520" s="1"/>
  <c r="AE184" i="520"/>
  <c r="AE186" i="520" s="1"/>
  <c r="T46" i="198"/>
  <c r="T47" i="198"/>
  <c r="V66" i="198"/>
  <c r="AP32" i="198"/>
  <c r="AP33" i="198" s="1"/>
  <c r="V42" i="198"/>
  <c r="V29" i="198"/>
  <c r="V41" i="198"/>
  <c r="V32" i="198"/>
  <c r="N65" i="523"/>
  <c r="N69" i="523"/>
  <c r="V48" i="503"/>
  <c r="V47" i="503"/>
  <c r="R89" i="503"/>
  <c r="R88" i="503"/>
  <c r="R87" i="503"/>
  <c r="R84" i="503"/>
  <c r="S83" i="503"/>
  <c r="P33" i="523"/>
  <c r="P17" i="523"/>
  <c r="P18" i="523"/>
  <c r="P14" i="523"/>
  <c r="P15" i="523" s="1"/>
  <c r="S82" i="198"/>
  <c r="S80" i="198"/>
  <c r="S95" i="198"/>
  <c r="AC198" i="521"/>
  <c r="AC210" i="521"/>
  <c r="V55" i="503"/>
  <c r="V56" i="503"/>
  <c r="T54" i="198"/>
  <c r="T55" i="198"/>
  <c r="V18" i="504"/>
  <c r="U33" i="504"/>
  <c r="U126" i="504"/>
  <c r="M17" i="504"/>
  <c r="L13" i="504"/>
  <c r="U81" i="503"/>
  <c r="N55" i="523"/>
  <c r="N56" i="523"/>
  <c r="U95" i="503"/>
  <c r="U96" i="503" s="1"/>
  <c r="K97" i="503" s="1"/>
  <c r="K129" i="503" s="1"/>
  <c r="V75" i="503"/>
  <c r="V80" i="503" s="1"/>
  <c r="V70" i="503"/>
  <c r="M83" i="523"/>
  <c r="M81" i="523"/>
  <c r="M96" i="523"/>
  <c r="Q119" i="504"/>
  <c r="Q120" i="504" s="1"/>
  <c r="Q123" i="504" s="1"/>
  <c r="AB209" i="520"/>
  <c r="AB200" i="520"/>
  <c r="V30" i="523"/>
  <c r="V42" i="523"/>
  <c r="V67" i="523"/>
  <c r="V43" i="523"/>
  <c r="U60" i="198"/>
  <c r="U63" i="198" s="1"/>
  <c r="U64" i="198" s="1"/>
  <c r="U53" i="198"/>
  <c r="U76" i="198"/>
  <c r="U35" i="198"/>
  <c r="U34" i="198"/>
  <c r="U33" i="198"/>
  <c r="U45" i="198"/>
  <c r="T68" i="198"/>
  <c r="R88" i="198"/>
  <c r="R86" i="198"/>
  <c r="R83" i="198"/>
  <c r="R87" i="198"/>
  <c r="Q124" i="503"/>
  <c r="Q127" i="503" s="1"/>
  <c r="AB182" i="519"/>
  <c r="AB199" i="519" s="1"/>
  <c r="AB200" i="519" s="1"/>
  <c r="AC184" i="519"/>
  <c r="AC186" i="519" s="1"/>
  <c r="AC187" i="519" s="1"/>
  <c r="AC179" i="520"/>
  <c r="AC179" i="519"/>
  <c r="AD178" i="521"/>
  <c r="Q124" i="504" l="1"/>
  <c r="S89" i="503"/>
  <c r="S88" i="503"/>
  <c r="S84" i="503"/>
  <c r="S87" i="503"/>
  <c r="T83" i="503"/>
  <c r="U68" i="198"/>
  <c r="AE187" i="520"/>
  <c r="T74" i="198"/>
  <c r="T79" i="198" s="1"/>
  <c r="T69" i="198"/>
  <c r="U54" i="504"/>
  <c r="U61" i="504"/>
  <c r="U64" i="504" s="1"/>
  <c r="U35" i="504"/>
  <c r="U77" i="504"/>
  <c r="U46" i="504"/>
  <c r="AD179" i="521"/>
  <c r="U47" i="198"/>
  <c r="U46" i="198"/>
  <c r="M88" i="523"/>
  <c r="M84" i="523"/>
  <c r="M89" i="523"/>
  <c r="M87" i="523"/>
  <c r="L126" i="504"/>
  <c r="L127" i="504" s="1"/>
  <c r="L14" i="504"/>
  <c r="L15" i="504" s="1"/>
  <c r="L33" i="504"/>
  <c r="L18" i="504"/>
  <c r="S87" i="198"/>
  <c r="S88" i="198"/>
  <c r="S83" i="198"/>
  <c r="S86" i="198"/>
  <c r="Q118" i="198"/>
  <c r="Q119" i="198" s="1"/>
  <c r="Q122" i="198" s="1"/>
  <c r="AC202" i="519"/>
  <c r="Q119" i="523"/>
  <c r="Q120" i="523" s="1"/>
  <c r="Q123" i="523" s="1"/>
  <c r="AB206" i="519"/>
  <c r="U54" i="198"/>
  <c r="U55" i="198"/>
  <c r="V35" i="504"/>
  <c r="V61" i="504"/>
  <c r="V64" i="504" s="1"/>
  <c r="V69" i="504" s="1"/>
  <c r="V77" i="504"/>
  <c r="V54" i="504"/>
  <c r="V36" i="504"/>
  <c r="V34" i="504"/>
  <c r="V46" i="504"/>
  <c r="N17" i="504"/>
  <c r="M13" i="504"/>
  <c r="AD184" i="521"/>
  <c r="AD186" i="521" s="1"/>
  <c r="AD187" i="521" s="1"/>
  <c r="AC182" i="521"/>
  <c r="AC199" i="521" s="1"/>
  <c r="AC200" i="521" s="1"/>
  <c r="O35" i="523"/>
  <c r="O36" i="523"/>
  <c r="O77" i="523"/>
  <c r="O61" i="523"/>
  <c r="O64" i="523" s="1"/>
  <c r="O34" i="523"/>
  <c r="O54" i="523"/>
  <c r="O46" i="523"/>
  <c r="AC209" i="521"/>
  <c r="R119" i="503"/>
  <c r="R120" i="503" s="1"/>
  <c r="R123" i="503" s="1"/>
  <c r="V60" i="198"/>
  <c r="V63" i="198" s="1"/>
  <c r="V64" i="198" s="1"/>
  <c r="V35" i="198"/>
  <c r="V33" i="198"/>
  <c r="V53" i="198"/>
  <c r="V34" i="198"/>
  <c r="V76" i="198"/>
  <c r="V45" i="198"/>
  <c r="AC170" i="519"/>
  <c r="AD176" i="519"/>
  <c r="V81" i="503"/>
  <c r="AB205" i="521"/>
  <c r="AB211" i="521"/>
  <c r="AD176" i="520"/>
  <c r="AC170" i="520"/>
  <c r="AB206" i="520"/>
  <c r="AC202" i="520"/>
  <c r="AC182" i="519"/>
  <c r="AC199" i="519" s="1"/>
  <c r="AD184" i="519"/>
  <c r="P54" i="523"/>
  <c r="P36" i="523"/>
  <c r="P34" i="523"/>
  <c r="P77" i="523"/>
  <c r="P35" i="523"/>
  <c r="P61" i="523"/>
  <c r="P64" i="523" s="1"/>
  <c r="P46" i="523"/>
  <c r="N70" i="523"/>
  <c r="N75" i="523"/>
  <c r="N80" i="523" s="1"/>
  <c r="V68" i="198" l="1"/>
  <c r="U94" i="198" s="1"/>
  <c r="L54" i="504"/>
  <c r="L36" i="504"/>
  <c r="L61" i="504"/>
  <c r="L64" i="504" s="1"/>
  <c r="L35" i="504"/>
  <c r="L34" i="504"/>
  <c r="L77" i="504"/>
  <c r="L46" i="504"/>
  <c r="Q123" i="198"/>
  <c r="Q126" i="198" s="1"/>
  <c r="U56" i="504"/>
  <c r="AC210" i="519"/>
  <c r="AC198" i="519"/>
  <c r="AC209" i="519" s="1"/>
  <c r="R124" i="503"/>
  <c r="R127" i="503" s="1"/>
  <c r="V65" i="504"/>
  <c r="U69" i="504"/>
  <c r="V70" i="504" s="1"/>
  <c r="AD182" i="521"/>
  <c r="AD199" i="521" s="1"/>
  <c r="AE184" i="521"/>
  <c r="V75" i="504"/>
  <c r="V80" i="504" s="1"/>
  <c r="U95" i="504"/>
  <c r="AD170" i="521"/>
  <c r="AE176" i="521"/>
  <c r="Q124" i="523"/>
  <c r="AD188" i="520"/>
  <c r="AD178" i="520"/>
  <c r="P55" i="523"/>
  <c r="P56" i="523"/>
  <c r="AD186" i="519"/>
  <c r="O55" i="523"/>
  <c r="O56" i="523"/>
  <c r="M126" i="504"/>
  <c r="M127" i="504" s="1"/>
  <c r="M14" i="504"/>
  <c r="M15" i="504" s="1"/>
  <c r="M18" i="504"/>
  <c r="M33" i="504"/>
  <c r="M132" i="523"/>
  <c r="L133" i="523" s="1"/>
  <c r="L135" i="523"/>
  <c r="U48" i="504"/>
  <c r="AC198" i="520"/>
  <c r="AC210" i="520"/>
  <c r="O17" i="504"/>
  <c r="N13" i="504"/>
  <c r="T95" i="198"/>
  <c r="T80" i="198"/>
  <c r="T82" i="198"/>
  <c r="AD202" i="521"/>
  <c r="AC206" i="521"/>
  <c r="V47" i="198"/>
  <c r="V46" i="198"/>
  <c r="T84" i="503"/>
  <c r="T87" i="503"/>
  <c r="T88" i="503"/>
  <c r="T89" i="503"/>
  <c r="U83" i="503"/>
  <c r="N83" i="523"/>
  <c r="N96" i="523"/>
  <c r="N81" i="523"/>
  <c r="O47" i="523"/>
  <c r="O48" i="523"/>
  <c r="P47" i="523"/>
  <c r="P48" i="523"/>
  <c r="P65" i="523"/>
  <c r="P69" i="523"/>
  <c r="O65" i="523"/>
  <c r="O69" i="523"/>
  <c r="V48" i="504"/>
  <c r="V47" i="504"/>
  <c r="U74" i="198"/>
  <c r="U79" i="198" s="1"/>
  <c r="U80" i="198" s="1"/>
  <c r="U69" i="198"/>
  <c r="V56" i="504"/>
  <c r="V55" i="504"/>
  <c r="V55" i="198"/>
  <c r="V54" i="198"/>
  <c r="AB205" i="520"/>
  <c r="AB211" i="520"/>
  <c r="AD188" i="519"/>
  <c r="AD178" i="519"/>
  <c r="AD179" i="519" s="1"/>
  <c r="AB205" i="519"/>
  <c r="AB211" i="519"/>
  <c r="AE182" i="520"/>
  <c r="AE199" i="520" s="1"/>
  <c r="AF184" i="520"/>
  <c r="AF186" i="520" s="1"/>
  <c r="AF187" i="520" s="1"/>
  <c r="V69" i="198" l="1"/>
  <c r="V74" i="198"/>
  <c r="V79" i="198" s="1"/>
  <c r="AC200" i="519"/>
  <c r="AC206" i="519" s="1"/>
  <c r="AD170" i="519"/>
  <c r="AE176" i="519"/>
  <c r="AE188" i="519" s="1"/>
  <c r="AD210" i="521"/>
  <c r="AD198" i="521"/>
  <c r="P75" i="523"/>
  <c r="P80" i="523" s="1"/>
  <c r="P70" i="523"/>
  <c r="N33" i="504"/>
  <c r="N18" i="504"/>
  <c r="N126" i="504"/>
  <c r="N127" i="504" s="1"/>
  <c r="N14" i="504"/>
  <c r="N15" i="504" s="1"/>
  <c r="M77" i="504"/>
  <c r="M35" i="504"/>
  <c r="M36" i="504"/>
  <c r="M54" i="504"/>
  <c r="M34" i="504"/>
  <c r="M61" i="504"/>
  <c r="M64" i="504" s="1"/>
  <c r="M46" i="504"/>
  <c r="P17" i="504"/>
  <c r="O13" i="504"/>
  <c r="AD179" i="520"/>
  <c r="V81" i="504"/>
  <c r="N84" i="523"/>
  <c r="N89" i="523"/>
  <c r="N132" i="523" s="1"/>
  <c r="M133" i="523" s="1"/>
  <c r="N88" i="523"/>
  <c r="N87" i="523"/>
  <c r="AC211" i="521"/>
  <c r="AC205" i="521"/>
  <c r="R119" i="504"/>
  <c r="R120" i="504" s="1"/>
  <c r="R123" i="504" s="1"/>
  <c r="AC209" i="520"/>
  <c r="AC200" i="520"/>
  <c r="AE186" i="521"/>
  <c r="AE187" i="521" s="1"/>
  <c r="AG184" i="520"/>
  <c r="AG186" i="520" s="1"/>
  <c r="AG187" i="520" s="1"/>
  <c r="AG182" i="520" s="1"/>
  <c r="AG199" i="520" s="1"/>
  <c r="AF182" i="520"/>
  <c r="AF199" i="520" s="1"/>
  <c r="U89" i="503"/>
  <c r="U84" i="503"/>
  <c r="U88" i="503"/>
  <c r="U87" i="503"/>
  <c r="V83" i="503"/>
  <c r="Q126" i="523"/>
  <c r="Q13" i="523"/>
  <c r="L65" i="504"/>
  <c r="L69" i="504"/>
  <c r="V80" i="198"/>
  <c r="U82" i="198"/>
  <c r="V82" i="198" s="1"/>
  <c r="T88" i="198"/>
  <c r="T87" i="198"/>
  <c r="T83" i="198"/>
  <c r="T86" i="198"/>
  <c r="U75" i="504"/>
  <c r="AE178" i="519"/>
  <c r="L47" i="504"/>
  <c r="L48" i="504"/>
  <c r="R118" i="198"/>
  <c r="R119" i="198" s="1"/>
  <c r="R122" i="198" s="1"/>
  <c r="O70" i="523"/>
  <c r="O75" i="523"/>
  <c r="O80" i="523" s="1"/>
  <c r="U95" i="198"/>
  <c r="K96" i="198" s="1"/>
  <c r="K128" i="198" s="1"/>
  <c r="AD187" i="519"/>
  <c r="AE188" i="521"/>
  <c r="AE178" i="521"/>
  <c r="L55" i="504"/>
  <c r="L56" i="504"/>
  <c r="R119" i="523" l="1"/>
  <c r="R120" i="523" s="1"/>
  <c r="R123" i="523" s="1"/>
  <c r="AD202" i="519"/>
  <c r="AE182" i="521"/>
  <c r="AE199" i="521" s="1"/>
  <c r="AF184" i="521"/>
  <c r="AE179" i="519"/>
  <c r="R124" i="504"/>
  <c r="M56" i="504"/>
  <c r="M55" i="504"/>
  <c r="L70" i="504"/>
  <c r="L75" i="504"/>
  <c r="L80" i="504" s="1"/>
  <c r="P81" i="523"/>
  <c r="P96" i="523"/>
  <c r="M65" i="504"/>
  <c r="M69" i="504"/>
  <c r="N77" i="504"/>
  <c r="N35" i="504"/>
  <c r="N54" i="504"/>
  <c r="N36" i="504"/>
  <c r="N61" i="504"/>
  <c r="N64" i="504" s="1"/>
  <c r="N34" i="504"/>
  <c r="N46" i="504"/>
  <c r="AC205" i="519"/>
  <c r="AC211" i="519"/>
  <c r="AD170" i="520"/>
  <c r="AE176" i="520"/>
  <c r="AD200" i="521"/>
  <c r="S119" i="503"/>
  <c r="S120" i="503" s="1"/>
  <c r="S123" i="503" s="1"/>
  <c r="AD209" i="521"/>
  <c r="R124" i="523"/>
  <c r="Q33" i="523"/>
  <c r="Q17" i="523"/>
  <c r="Q14" i="523"/>
  <c r="Q15" i="523" s="1"/>
  <c r="Q18" i="523"/>
  <c r="O18" i="504"/>
  <c r="O14" i="504"/>
  <c r="O15" i="504" s="1"/>
  <c r="O33" i="504"/>
  <c r="O126" i="504"/>
  <c r="O127" i="504" s="1"/>
  <c r="O83" i="523"/>
  <c r="P83" i="523" s="1"/>
  <c r="O96" i="523"/>
  <c r="O81" i="523"/>
  <c r="V86" i="198"/>
  <c r="V88" i="198"/>
  <c r="V87" i="198"/>
  <c r="V83" i="198"/>
  <c r="AC206" i="520"/>
  <c r="AD202" i="520"/>
  <c r="AE179" i="521"/>
  <c r="R123" i="198"/>
  <c r="R126" i="198" s="1"/>
  <c r="AE184" i="519"/>
  <c r="AD182" i="519"/>
  <c r="AD199" i="519" s="1"/>
  <c r="Q17" i="504"/>
  <c r="P13" i="504"/>
  <c r="U88" i="198"/>
  <c r="U87" i="198"/>
  <c r="U86" i="198"/>
  <c r="U83" i="198"/>
  <c r="V88" i="503"/>
  <c r="V84" i="503"/>
  <c r="V89" i="503"/>
  <c r="V87" i="503"/>
  <c r="AF186" i="521"/>
  <c r="AF187" i="521" s="1"/>
  <c r="M48" i="504"/>
  <c r="M47" i="504"/>
  <c r="AD210" i="519"/>
  <c r="AD198" i="519"/>
  <c r="N48" i="504" l="1"/>
  <c r="N47" i="504"/>
  <c r="AD209" i="519"/>
  <c r="AD200" i="519"/>
  <c r="S124" i="503"/>
  <c r="S127" i="503" s="1"/>
  <c r="AC205" i="520"/>
  <c r="AC211" i="520"/>
  <c r="M70" i="504"/>
  <c r="M75" i="504"/>
  <c r="M80" i="504" s="1"/>
  <c r="N65" i="504"/>
  <c r="N69" i="504"/>
  <c r="P84" i="523"/>
  <c r="P88" i="523"/>
  <c r="P87" i="523"/>
  <c r="P89" i="523"/>
  <c r="AE188" i="520"/>
  <c r="AE178" i="520"/>
  <c r="AF176" i="519"/>
  <c r="AE170" i="519"/>
  <c r="R17" i="504"/>
  <c r="Q13" i="504"/>
  <c r="R126" i="523"/>
  <c r="R13" i="523"/>
  <c r="O35" i="504"/>
  <c r="O54" i="504"/>
  <c r="O34" i="504"/>
  <c r="O61" i="504"/>
  <c r="O64" i="504" s="1"/>
  <c r="O36" i="504"/>
  <c r="O77" i="504"/>
  <c r="O46" i="504"/>
  <c r="AE186" i="519"/>
  <c r="AE187" i="519" s="1"/>
  <c r="AD198" i="520"/>
  <c r="AD210" i="520"/>
  <c r="N55" i="504"/>
  <c r="N56" i="504"/>
  <c r="L96" i="504"/>
  <c r="L83" i="504"/>
  <c r="L81" i="504"/>
  <c r="AE202" i="521"/>
  <c r="AD206" i="521"/>
  <c r="AG184" i="521"/>
  <c r="AG186" i="521" s="1"/>
  <c r="AG187" i="521" s="1"/>
  <c r="AG182" i="521" s="1"/>
  <c r="AG199" i="521" s="1"/>
  <c r="AF182" i="521"/>
  <c r="AF199" i="521" s="1"/>
  <c r="AE170" i="521"/>
  <c r="AF176" i="521"/>
  <c r="P14" i="504"/>
  <c r="P15" i="504" s="1"/>
  <c r="P33" i="504"/>
  <c r="P18" i="504"/>
  <c r="P126" i="504"/>
  <c r="P127" i="504" s="1"/>
  <c r="O87" i="523"/>
  <c r="O88" i="523"/>
  <c r="O89" i="523"/>
  <c r="O84" i="523"/>
  <c r="Q35" i="523"/>
  <c r="Q61" i="523"/>
  <c r="Q64" i="523" s="1"/>
  <c r="Q54" i="523"/>
  <c r="Q77" i="523"/>
  <c r="Q34" i="523"/>
  <c r="Q36" i="523"/>
  <c r="Q46" i="523"/>
  <c r="P77" i="504" l="1"/>
  <c r="P35" i="504"/>
  <c r="P61" i="504"/>
  <c r="P64" i="504" s="1"/>
  <c r="P54" i="504"/>
  <c r="P34" i="504"/>
  <c r="P36" i="504"/>
  <c r="P46" i="504"/>
  <c r="AF188" i="521"/>
  <c r="AF178" i="521"/>
  <c r="Q65" i="523"/>
  <c r="Q69" i="523"/>
  <c r="R14" i="523"/>
  <c r="R15" i="523" s="1"/>
  <c r="R18" i="523"/>
  <c r="R17" i="523"/>
  <c r="R33" i="523"/>
  <c r="AE198" i="521"/>
  <c r="AE210" i="521"/>
  <c r="S17" i="504"/>
  <c r="R13" i="504"/>
  <c r="O65" i="504"/>
  <c r="O69" i="504"/>
  <c r="AE210" i="519"/>
  <c r="AE198" i="519"/>
  <c r="AE209" i="519" s="1"/>
  <c r="N70" i="504"/>
  <c r="N75" i="504"/>
  <c r="N80" i="504" s="1"/>
  <c r="S118" i="198"/>
  <c r="S119" i="198" s="1"/>
  <c r="S122" i="198" s="1"/>
  <c r="AD206" i="519"/>
  <c r="S119" i="523"/>
  <c r="S120" i="523" s="1"/>
  <c r="S123" i="523" s="1"/>
  <c r="AE202" i="519"/>
  <c r="AE182" i="519"/>
  <c r="AE199" i="519" s="1"/>
  <c r="AF184" i="519"/>
  <c r="Q14" i="504"/>
  <c r="Q15" i="504" s="1"/>
  <c r="Q18" i="504"/>
  <c r="Q126" i="504"/>
  <c r="Q127" i="504" s="1"/>
  <c r="Q33" i="504"/>
  <c r="AF188" i="519"/>
  <c r="AF178" i="519"/>
  <c r="O48" i="504"/>
  <c r="O47" i="504"/>
  <c r="Q48" i="523"/>
  <c r="Q47" i="523"/>
  <c r="AD205" i="521"/>
  <c r="AD211" i="521"/>
  <c r="AD209" i="520"/>
  <c r="S119" i="504"/>
  <c r="S120" i="504" s="1"/>
  <c r="S123" i="504" s="1"/>
  <c r="AD200" i="520"/>
  <c r="O55" i="504"/>
  <c r="O56" i="504"/>
  <c r="AE179" i="520"/>
  <c r="M83" i="504"/>
  <c r="M96" i="504"/>
  <c r="M81" i="504"/>
  <c r="L89" i="504"/>
  <c r="L133" i="504" s="1"/>
  <c r="K134" i="504" s="1"/>
  <c r="L87" i="504"/>
  <c r="L84" i="504"/>
  <c r="L88" i="504"/>
  <c r="Q55" i="523"/>
  <c r="Q56" i="523"/>
  <c r="AF186" i="519" l="1"/>
  <c r="AF187" i="519" s="1"/>
  <c r="AD206" i="520"/>
  <c r="AE202" i="520"/>
  <c r="S124" i="504"/>
  <c r="AF179" i="519"/>
  <c r="O70" i="504"/>
  <c r="O75" i="504"/>
  <c r="O80" i="504" s="1"/>
  <c r="S124" i="523"/>
  <c r="P55" i="504"/>
  <c r="P56" i="504"/>
  <c r="R54" i="523"/>
  <c r="R61" i="523"/>
  <c r="R64" i="523" s="1"/>
  <c r="R77" i="523"/>
  <c r="R34" i="523"/>
  <c r="R36" i="523"/>
  <c r="R35" i="523"/>
  <c r="R46" i="523"/>
  <c r="M84" i="504"/>
  <c r="M88" i="504"/>
  <c r="M89" i="504"/>
  <c r="M133" i="504" s="1"/>
  <c r="L134" i="504" s="1"/>
  <c r="M87" i="504"/>
  <c r="Q77" i="504"/>
  <c r="Q36" i="504"/>
  <c r="Q34" i="504"/>
  <c r="Q54" i="504"/>
  <c r="Q35" i="504"/>
  <c r="Q61" i="504"/>
  <c r="Q64" i="504" s="1"/>
  <c r="Q46" i="504"/>
  <c r="AD211" i="519"/>
  <c r="AD205" i="519"/>
  <c r="R126" i="504"/>
  <c r="R127" i="504" s="1"/>
  <c r="R18" i="504"/>
  <c r="R33" i="504"/>
  <c r="R14" i="504"/>
  <c r="R15" i="504" s="1"/>
  <c r="Q70" i="523"/>
  <c r="Q75" i="523"/>
  <c r="Q80" i="523" s="1"/>
  <c r="P65" i="504"/>
  <c r="P69" i="504"/>
  <c r="AE200" i="521"/>
  <c r="T119" i="503"/>
  <c r="T120" i="503" s="1"/>
  <c r="T123" i="503" s="1"/>
  <c r="T124" i="503" s="1"/>
  <c r="T127" i="503" s="1"/>
  <c r="AE209" i="521"/>
  <c r="P47" i="504"/>
  <c r="P48" i="504"/>
  <c r="S123" i="198"/>
  <c r="S126" i="198" s="1"/>
  <c r="T17" i="504"/>
  <c r="T13" i="504" s="1"/>
  <c r="S13" i="504"/>
  <c r="AE200" i="519"/>
  <c r="AE170" i="520"/>
  <c r="AF176" i="520"/>
  <c r="N96" i="504"/>
  <c r="N83" i="504"/>
  <c r="N81" i="504"/>
  <c r="AF179" i="521"/>
  <c r="N84" i="504" l="1"/>
  <c r="N87" i="504"/>
  <c r="N88" i="504"/>
  <c r="N89" i="504"/>
  <c r="Q48" i="504"/>
  <c r="Q47" i="504"/>
  <c r="AF188" i="520"/>
  <c r="AF178" i="520"/>
  <c r="R55" i="523"/>
  <c r="R56" i="523"/>
  <c r="R61" i="504"/>
  <c r="R64" i="504" s="1"/>
  <c r="R35" i="504"/>
  <c r="R34" i="504"/>
  <c r="R77" i="504"/>
  <c r="R54" i="504"/>
  <c r="R36" i="504"/>
  <c r="R46" i="504"/>
  <c r="Q55" i="504"/>
  <c r="Q56" i="504"/>
  <c r="R47" i="523"/>
  <c r="R48" i="523"/>
  <c r="Q96" i="523"/>
  <c r="Q83" i="523"/>
  <c r="Q81" i="523"/>
  <c r="Q65" i="504"/>
  <c r="Q69" i="504"/>
  <c r="S126" i="523"/>
  <c r="S13" i="523"/>
  <c r="S126" i="504"/>
  <c r="S127" i="504" s="1"/>
  <c r="S14" i="504"/>
  <c r="S15" i="504" s="1"/>
  <c r="S33" i="504"/>
  <c r="S18" i="504"/>
  <c r="AF202" i="521"/>
  <c r="AE206" i="521"/>
  <c r="AD211" i="520"/>
  <c r="AD205" i="520"/>
  <c r="R65" i="523"/>
  <c r="R69" i="523"/>
  <c r="AE198" i="520"/>
  <c r="AE210" i="520"/>
  <c r="AF170" i="521"/>
  <c r="AG176" i="521"/>
  <c r="T14" i="504"/>
  <c r="T15" i="504" s="1"/>
  <c r="T126" i="504"/>
  <c r="T18" i="504"/>
  <c r="T33" i="504"/>
  <c r="U14" i="504"/>
  <c r="U15" i="504" s="1"/>
  <c r="U18" i="504"/>
  <c r="P75" i="504"/>
  <c r="P80" i="504" s="1"/>
  <c r="P70" i="504"/>
  <c r="O83" i="504"/>
  <c r="O81" i="504"/>
  <c r="O96" i="504"/>
  <c r="AG184" i="519"/>
  <c r="AG186" i="519" s="1"/>
  <c r="AG187" i="519" s="1"/>
  <c r="AG182" i="519" s="1"/>
  <c r="AG199" i="519" s="1"/>
  <c r="AF182" i="519"/>
  <c r="AF199" i="519" s="1"/>
  <c r="AF170" i="519"/>
  <c r="AG176" i="519"/>
  <c r="T119" i="523"/>
  <c r="T120" i="523" s="1"/>
  <c r="T123" i="523" s="1"/>
  <c r="T124" i="523" s="1"/>
  <c r="AF202" i="519"/>
  <c r="AE206" i="519"/>
  <c r="T118" i="198"/>
  <c r="T119" i="198" s="1"/>
  <c r="T122" i="198" s="1"/>
  <c r="T123" i="198" s="1"/>
  <c r="T126" i="198" s="1"/>
  <c r="S61" i="504" l="1"/>
  <c r="S64" i="504" s="1"/>
  <c r="S54" i="504"/>
  <c r="S77" i="504"/>
  <c r="S35" i="504"/>
  <c r="S34" i="504"/>
  <c r="S36" i="504"/>
  <c r="S46" i="504"/>
  <c r="R75" i="523"/>
  <c r="R80" i="523" s="1"/>
  <c r="R70" i="523"/>
  <c r="Q84" i="523"/>
  <c r="Q88" i="523"/>
  <c r="Q87" i="523"/>
  <c r="Q89" i="523"/>
  <c r="AF210" i="519"/>
  <c r="AF198" i="519"/>
  <c r="AF209" i="519" s="1"/>
  <c r="T61" i="504"/>
  <c r="T64" i="504" s="1"/>
  <c r="T35" i="504"/>
  <c r="T54" i="504"/>
  <c r="T77" i="504"/>
  <c r="U80" i="504" s="1"/>
  <c r="T34" i="504"/>
  <c r="T36" i="504"/>
  <c r="T46" i="504"/>
  <c r="U36" i="504"/>
  <c r="U34" i="504"/>
  <c r="AE205" i="519"/>
  <c r="AE211" i="519"/>
  <c r="S17" i="523"/>
  <c r="S14" i="523"/>
  <c r="S15" i="523" s="1"/>
  <c r="S18" i="523"/>
  <c r="S33" i="523"/>
  <c r="AE200" i="520"/>
  <c r="T119" i="504"/>
  <c r="T120" i="504" s="1"/>
  <c r="T123" i="504" s="1"/>
  <c r="T124" i="504" s="1"/>
  <c r="T127" i="504" s="1"/>
  <c r="AE209" i="520"/>
  <c r="O89" i="504"/>
  <c r="O88" i="504"/>
  <c r="O84" i="504"/>
  <c r="O87" i="504"/>
  <c r="R65" i="504"/>
  <c r="R69" i="504"/>
  <c r="AF179" i="520"/>
  <c r="R55" i="504"/>
  <c r="R56" i="504"/>
  <c r="T126" i="523"/>
  <c r="T13" i="523"/>
  <c r="AG188" i="521"/>
  <c r="AG178" i="521"/>
  <c r="AG179" i="521" s="1"/>
  <c r="AG170" i="521" s="1"/>
  <c r="AE205" i="521"/>
  <c r="AE211" i="521"/>
  <c r="Q70" i="504"/>
  <c r="Q75" i="504"/>
  <c r="Q80" i="504" s="1"/>
  <c r="AG188" i="519"/>
  <c r="AG178" i="519"/>
  <c r="AG179" i="519" s="1"/>
  <c r="AG170" i="519" s="1"/>
  <c r="P81" i="504"/>
  <c r="P83" i="504"/>
  <c r="P96" i="504"/>
  <c r="AF210" i="521"/>
  <c r="AF198" i="521"/>
  <c r="R48" i="504"/>
  <c r="R47" i="504"/>
  <c r="R81" i="523" l="1"/>
  <c r="R96" i="523"/>
  <c r="R83" i="523"/>
  <c r="S48" i="504"/>
  <c r="S47" i="504"/>
  <c r="T14" i="523"/>
  <c r="T15" i="523" s="1"/>
  <c r="T33" i="523"/>
  <c r="T17" i="523"/>
  <c r="T18" i="523"/>
  <c r="T47" i="504"/>
  <c r="T48" i="504"/>
  <c r="U47" i="504"/>
  <c r="Q83" i="504"/>
  <c r="Q81" i="504"/>
  <c r="Q96" i="504"/>
  <c r="U81" i="504"/>
  <c r="U96" i="504"/>
  <c r="T56" i="504"/>
  <c r="T55" i="504"/>
  <c r="U55" i="504"/>
  <c r="AG210" i="519"/>
  <c r="AG198" i="519"/>
  <c r="S54" i="523"/>
  <c r="S35" i="523"/>
  <c r="S77" i="523"/>
  <c r="S36" i="523"/>
  <c r="S61" i="523"/>
  <c r="S64" i="523" s="1"/>
  <c r="S34" i="523"/>
  <c r="S46" i="523"/>
  <c r="P89" i="504"/>
  <c r="P88" i="504"/>
  <c r="P87" i="504"/>
  <c r="P84" i="504"/>
  <c r="AG210" i="521"/>
  <c r="AG198" i="521"/>
  <c r="R75" i="504"/>
  <c r="R80" i="504" s="1"/>
  <c r="R70" i="504"/>
  <c r="AE206" i="520"/>
  <c r="AF202" i="520"/>
  <c r="S55" i="504"/>
  <c r="S56" i="504"/>
  <c r="U119" i="503"/>
  <c r="U120" i="503" s="1"/>
  <c r="U123" i="503" s="1"/>
  <c r="U124" i="503" s="1"/>
  <c r="U127" i="503" s="1"/>
  <c r="AF209" i="521"/>
  <c r="AF200" i="521"/>
  <c r="AF170" i="520"/>
  <c r="AG176" i="520"/>
  <c r="AF200" i="519"/>
  <c r="T65" i="504"/>
  <c r="T69" i="504"/>
  <c r="U65" i="504"/>
  <c r="S65" i="504"/>
  <c r="S69" i="504"/>
  <c r="T54" i="523" l="1"/>
  <c r="T35" i="523"/>
  <c r="T36" i="523"/>
  <c r="T61" i="523"/>
  <c r="T64" i="523" s="1"/>
  <c r="T77" i="523"/>
  <c r="T34" i="523"/>
  <c r="T46" i="523"/>
  <c r="S48" i="523"/>
  <c r="S47" i="523"/>
  <c r="S65" i="523"/>
  <c r="S69" i="523"/>
  <c r="S56" i="523"/>
  <c r="S55" i="523"/>
  <c r="AG209" i="519"/>
  <c r="AG200" i="519"/>
  <c r="R87" i="523"/>
  <c r="R89" i="523"/>
  <c r="R88" i="523"/>
  <c r="R84" i="523"/>
  <c r="AG202" i="519"/>
  <c r="U118" i="198"/>
  <c r="U119" i="198" s="1"/>
  <c r="U122" i="198" s="1"/>
  <c r="U123" i="198" s="1"/>
  <c r="U126" i="198" s="1"/>
  <c r="AF206" i="519"/>
  <c r="U119" i="523"/>
  <c r="U120" i="523" s="1"/>
  <c r="U123" i="523" s="1"/>
  <c r="U124" i="523" s="1"/>
  <c r="AG188" i="520"/>
  <c r="AG178" i="520"/>
  <c r="AG179" i="520" s="1"/>
  <c r="AG170" i="520" s="1"/>
  <c r="S75" i="504"/>
  <c r="S80" i="504" s="1"/>
  <c r="S70" i="504"/>
  <c r="R83" i="504"/>
  <c r="R96" i="504"/>
  <c r="R81" i="504"/>
  <c r="Q87" i="504"/>
  <c r="Q88" i="504"/>
  <c r="Q89" i="504"/>
  <c r="Q84" i="504"/>
  <c r="AG209" i="521"/>
  <c r="AG200" i="521"/>
  <c r="AG206" i="521" s="1"/>
  <c r="AG211" i="521" s="1"/>
  <c r="V119" i="503"/>
  <c r="V120" i="503" s="1"/>
  <c r="V123" i="503" s="1"/>
  <c r="V124" i="503" s="1"/>
  <c r="V127" i="503" s="1"/>
  <c r="AE205" i="520"/>
  <c r="AE211" i="520"/>
  <c r="AF198" i="520"/>
  <c r="AF210" i="520"/>
  <c r="AG202" i="521"/>
  <c r="AF206" i="521"/>
  <c r="T75" i="504"/>
  <c r="T80" i="504" s="1"/>
  <c r="T70" i="504"/>
  <c r="U70" i="504"/>
  <c r="AF209" i="520" l="1"/>
  <c r="U119" i="504"/>
  <c r="U120" i="504" s="1"/>
  <c r="U123" i="504" s="1"/>
  <c r="U124" i="504" s="1"/>
  <c r="U127" i="504" s="1"/>
  <c r="AF200" i="520"/>
  <c r="AF211" i="519"/>
  <c r="AF205" i="519"/>
  <c r="U13" i="523"/>
  <c r="U126" i="523"/>
  <c r="T65" i="523"/>
  <c r="T69" i="523"/>
  <c r="S75" i="523"/>
  <c r="S80" i="523" s="1"/>
  <c r="S70" i="523"/>
  <c r="V118" i="198"/>
  <c r="V119" i="198" s="1"/>
  <c r="V122" i="198" s="1"/>
  <c r="V123" i="198" s="1"/>
  <c r="V126" i="198" s="1"/>
  <c r="V119" i="523"/>
  <c r="V120" i="523" s="1"/>
  <c r="V123" i="523" s="1"/>
  <c r="V124" i="523" s="1"/>
  <c r="AG206" i="519"/>
  <c r="S83" i="504"/>
  <c r="T83" i="504" s="1"/>
  <c r="S96" i="504"/>
  <c r="S81" i="504"/>
  <c r="T48" i="523"/>
  <c r="T47" i="523"/>
  <c r="T81" i="504"/>
  <c r="T96" i="504"/>
  <c r="R89" i="504"/>
  <c r="R88" i="504"/>
  <c r="R87" i="504"/>
  <c r="R84" i="504"/>
  <c r="AF205" i="521"/>
  <c r="AF211" i="521"/>
  <c r="AG205" i="521"/>
  <c r="AG210" i="520"/>
  <c r="AG198" i="520"/>
  <c r="T56" i="523"/>
  <c r="T55" i="523"/>
  <c r="K97" i="504" l="1"/>
  <c r="K130" i="504" s="1"/>
  <c r="T84" i="504"/>
  <c r="T88" i="504"/>
  <c r="T89" i="504"/>
  <c r="T87" i="504"/>
  <c r="U83" i="504"/>
  <c r="U18" i="523"/>
  <c r="U33" i="523"/>
  <c r="U17" i="523"/>
  <c r="U14" i="523"/>
  <c r="U15" i="523" s="1"/>
  <c r="AF206" i="520"/>
  <c r="AG202" i="520"/>
  <c r="S89" i="504"/>
  <c r="S88" i="504"/>
  <c r="S87" i="504"/>
  <c r="S84" i="504"/>
  <c r="V13" i="523"/>
  <c r="V126" i="523"/>
  <c r="AG200" i="520"/>
  <c r="AG206" i="520" s="1"/>
  <c r="AG211" i="520" s="1"/>
  <c r="V119" i="504"/>
  <c r="V120" i="504" s="1"/>
  <c r="V123" i="504" s="1"/>
  <c r="V124" i="504" s="1"/>
  <c r="V127" i="504" s="1"/>
  <c r="AG209" i="520"/>
  <c r="AG205" i="519"/>
  <c r="AG211" i="519"/>
  <c r="S81" i="523"/>
  <c r="S96" i="523"/>
  <c r="S83" i="523"/>
  <c r="T75" i="523"/>
  <c r="T80" i="523" s="1"/>
  <c r="T70" i="523"/>
  <c r="AG205" i="520" l="1"/>
  <c r="U77" i="523"/>
  <c r="U35" i="523"/>
  <c r="U54" i="523"/>
  <c r="U36" i="523"/>
  <c r="U61" i="523"/>
  <c r="U64" i="523" s="1"/>
  <c r="U34" i="523"/>
  <c r="U46" i="523"/>
  <c r="U87" i="504"/>
  <c r="U84" i="504"/>
  <c r="U89" i="504"/>
  <c r="U88" i="504"/>
  <c r="V83" i="504"/>
  <c r="T83" i="523"/>
  <c r="T81" i="523"/>
  <c r="T96" i="523"/>
  <c r="AF211" i="520"/>
  <c r="AF205" i="520"/>
  <c r="V17" i="523"/>
  <c r="V14" i="523"/>
  <c r="V15" i="523" s="1"/>
  <c r="V18" i="523"/>
  <c r="V33" i="523"/>
  <c r="S87" i="523"/>
  <c r="S84" i="523"/>
  <c r="S88" i="523"/>
  <c r="S89" i="523"/>
  <c r="V34" i="523" l="1"/>
  <c r="V36" i="523"/>
  <c r="V77" i="523"/>
  <c r="V54" i="523"/>
  <c r="V61" i="523"/>
  <c r="V64" i="523" s="1"/>
  <c r="V35" i="523"/>
  <c r="V46" i="523"/>
  <c r="U55" i="523"/>
  <c r="U56" i="523"/>
  <c r="U48" i="523"/>
  <c r="U47" i="523"/>
  <c r="T84" i="523"/>
  <c r="T87" i="523"/>
  <c r="T88" i="523"/>
  <c r="T89" i="523"/>
  <c r="U65" i="523"/>
  <c r="U69" i="523"/>
  <c r="V88" i="504"/>
  <c r="V87" i="504"/>
  <c r="V89" i="504"/>
  <c r="V84" i="504"/>
  <c r="V48" i="523" l="1"/>
  <c r="V47" i="523"/>
  <c r="V65" i="523"/>
  <c r="V69" i="523"/>
  <c r="V55" i="523"/>
  <c r="V56" i="523"/>
  <c r="U70" i="523"/>
  <c r="U75" i="523"/>
  <c r="U80" i="523" s="1"/>
  <c r="U81" i="523" l="1"/>
  <c r="U83" i="523"/>
  <c r="U95" i="523"/>
  <c r="U96" i="523" s="1"/>
  <c r="K97" i="523" s="1"/>
  <c r="K129" i="523" s="1"/>
  <c r="V75" i="523"/>
  <c r="V80" i="523" s="1"/>
  <c r="V70" i="523"/>
  <c r="V83" i="523" l="1"/>
  <c r="V81" i="523"/>
  <c r="U88" i="523"/>
  <c r="U87" i="523"/>
  <c r="U84" i="523"/>
  <c r="U89" i="523"/>
  <c r="V84" i="523" l="1"/>
  <c r="V87" i="523"/>
  <c r="V88" i="523"/>
  <c r="V89" i="52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tc={1B51892E-A1B3-4157-BFEB-B0EF403C8A0F}</author>
  </authors>
  <commentList>
    <comment ref="I16" authorId="0" shapeId="0" xr:uid="{1B51892E-A1B3-4157-BFEB-B0EF403C8A0F}">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tc={48D3445A-EC74-4C55-899B-80FC96F2B798}</author>
  </authors>
  <commentList>
    <comment ref="I16" authorId="0" shapeId="0" xr:uid="{48D3445A-EC74-4C55-899B-80FC96F2B798}">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tc={C78BC37E-5CCB-474E-9329-7F687E402888}</author>
  </authors>
  <commentList>
    <comment ref="I16" authorId="0" shapeId="0" xr:uid="{C78BC37E-5CCB-474E-9329-7F687E402888}">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tc={12E105FC-7EE4-4533-A399-47FD0BE4F005}</author>
  </authors>
  <commentList>
    <comment ref="I16" authorId="0" shapeId="0" xr:uid="{12E105FC-7EE4-4533-A399-47FD0BE4F005}">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tc={D8F42EAC-573E-4580-BF63-D83C0F647240}</author>
    <author>tc={F596A33E-D6AF-4DC5-95CA-A37E863DBB31}</author>
    <author>tc={E437CC59-0D1C-4CAF-B772-87FCE632ACC4}</author>
    <author>tc={C47B6BEA-B231-4054-88F5-13DC121F54A3}</author>
    <author>tc={48564B6D-BCA8-4B88-AB41-F7734C8CA6A3}</author>
    <author>tc={F8F0B695-20FD-440C-965F-A912F0369B0E}</author>
    <author>tc={DC2B7D1F-83AA-4E9B-8AE2-3A0A148A0952}</author>
    <author>tc={B93B932F-2189-48B7-9689-56CA0DCE3900}</author>
    <author>tc={B63D6ADF-8551-492B-B6C6-BCCD35519D4E}</author>
    <author>tc={EC6670D8-4441-4E53-A34D-F99A21160B29}</author>
    <author>tc={025DDB88-E0C2-4A96-AE89-A8A2687A5960}</author>
    <author>tc={8A07C5F8-54F9-4134-B7E8-3BB604EE9324}</author>
    <author>tc={0E7A72A8-4157-478C-A6FA-07D35FB6BA43}</author>
    <author>tc={5C0A8AE5-2930-460C-9266-63AA266F641B}</author>
    <author>tc={5B255260-65BC-4F65-8D6D-D30729DCE61B}</author>
    <author>tc={07C3E7B5-5EF3-4822-9A00-82E19BA6084F}</author>
    <author>tc={3E93EA3B-FD4C-4038-8D1B-91CDF9DCAEEF}</author>
    <author>tc={896E3A96-78A0-45E6-B06D-1CEB860F3BB7}</author>
    <author>tc={10834FB4-F158-4FCD-BB7A-D4413C4D89DE}</author>
    <author>tc={6F62FA5F-654E-4BEB-A420-E0342F1E6258}</author>
    <author>tc={12C32A32-AA93-401A-A48D-6FBA6A5DD6B3}</author>
    <author>tc={97D0B22F-0137-4524-A03C-72FC19E83F3A}</author>
    <author>tc={9A6F7DBD-06F6-47D0-9349-4E465C09090E}</author>
    <author>tc={C483DB4D-9C4B-4739-A87A-285DFA2EB5BC}</author>
    <author>tc={C3D9752B-44FF-4E67-BB6C-0D9A75137CC8}</author>
    <author>tc={6809C394-527A-4D13-99B6-6644CF333E09}</author>
    <author>tc={C63893AF-80C2-495A-AC7F-F1DECCF6328A}</author>
    <author>tc={AC52CA9D-B09A-41DF-B9F2-40A16CA0E496}</author>
    <author>tc={21A9C06B-6014-4F2F-962A-409C6C0D809C}</author>
    <author>tc={7DAA0DF8-66F3-41CA-8029-77910CBF5BEF}</author>
    <author>tc={F41BBB2E-CF7E-4CD1-85C8-747CD3ECB950}</author>
    <author>tc={119432E9-17B4-42B0-BED9-A2D59C7B0738}</author>
    <author>tc={7BDDF774-BE0D-4AC9-8F5E-CE20875283A6}</author>
    <author>tc={649592A7-F42C-4A2C-9491-D5A88268BF3A}</author>
    <author>tc={ADE922F7-3D6B-4968-B687-08625096A464}</author>
    <author>tc={B9DA14C8-AE97-4D5E-A0C3-636B4DF979BA}</author>
    <author>tc={BE797D14-A9F0-4BB5-B456-E3B8CCFCB4D3}</author>
    <author>tc={F2CECCAB-ACF5-4202-A5BF-FD0AF958D66B}</author>
    <author>tc={A197E2F0-EC52-46B8-99BE-F952D5FF21ED}</author>
    <author>tc={60D051EE-5BD9-42F2-AFFF-74345913620F}</author>
    <author>tc={DD073FED-4631-412F-BB32-BE12DF260871}</author>
    <author>tc={A98F01C4-16DE-4A04-8485-F0048262A296}</author>
    <author>tc={F1C44B2D-A037-4998-959F-D186FC9F5930}</author>
    <author>tc={EC7F1674-E69A-4306-AD93-2825A8B797C8}</author>
    <author>tc={3549B366-A8EE-4F9A-BFCA-85289DAE846F}</author>
    <author>tc={AE475268-E05B-4DCE-AE09-95A63DCBAEC1}</author>
    <author>tc={FDED9A05-1939-4634-898F-89D6B8DFF2B9}</author>
    <author>tc={4FE7B39A-A01C-4108-AD60-3FB3D22185A1}</author>
    <author>tc={4BC7CE88-8F78-442E-A233-E5DBAAE5CB6A}</author>
    <author>tc={925C8706-9C4D-4599-86BD-7BFB20B1BA29}</author>
    <author>tc={2D84EC84-7715-479A-84F2-6DC0BF1410E3}</author>
    <author>tc={56396E21-6F37-46DF-A883-6C193FA1B1D6}</author>
    <author>tc={AF65A772-09C4-4CBB-B3D3-E1ADF9C9B2DD}</author>
    <author>tc={3FD48382-6D22-4DA8-83F3-8D30A8D373B9}</author>
    <author>tc={17C67246-C2FF-4E39-A15D-DB819C50912A}</author>
    <author>tc={159149FB-FDDE-479C-AAA6-3C8663D8398F}</author>
    <author>tc={F1FB888E-B62D-403D-BDDB-5119CF80C0A0}</author>
    <author>tc={39921FC8-9610-4A9F-8C95-EDC125651A6A}</author>
    <author>tc={0199869F-0275-4255-AC81-765B6B87EDEB}</author>
    <author>tc={5BA45022-B214-42AA-9968-537DA625E0BD}</author>
    <author>tc={3A3213AD-E6BF-4E5F-8A06-FF607E9ED65E}</author>
    <author>tc={6CE095D5-DB2E-42A1-A44F-A2B7A71A9520}</author>
    <author>tc={9549F028-C06A-4BE2-B67F-BCDE172C29BC}</author>
    <author>tc={851725EB-A30A-4D48-81A2-C3292345C0E3}</author>
    <author>tc={5339DCA6-9F42-4AB3-86A7-C91790E0D35B}</author>
    <author>tc={554736C5-5995-4666-8CAE-56492CDB40AD}</author>
    <author>tc={3B48BC2B-37F8-4CA5-8EC5-4F71F00B4C3D}</author>
    <author>tc={8634CFF2-2EBF-4B37-9B15-AF5C9A2092B5}</author>
    <author>tc={63ECFAA4-F9BF-45C6-8AFE-2974ADEA102E}</author>
    <author>tc={3025E75C-475B-40F8-805D-92CBDAAC8518}</author>
    <author>tc={1A040C9B-22A0-4521-AAE3-98284A459A6C}</author>
    <author>tc={5AC0A2F0-B9B2-478A-B882-D5E27C800655}</author>
    <author>tc={EB1E5059-A7ED-4001-BF49-0BB918E4D177}</author>
    <author>tc={2C5D6C16-77CB-4A9F-AFAE-DEE2B09D290E}</author>
    <author>tc={3C311589-3136-4371-ADD8-1BE1D5D44D4D}</author>
    <author>tc={169CF63E-77F1-465F-AFFE-117355FC5801}</author>
    <author>tc={2FA29D50-945C-45B1-94A5-DC273577AB6D}</author>
    <author>tc={4FE9C3E6-5703-4A8B-82B6-F0ED706435B4}</author>
    <author>tc={F96F8D84-B644-4767-84BA-D51B88FB26DB}</author>
    <author>tc={5970214F-E8ED-4821-97D0-D0ED5E895F8B}</author>
    <author>tc={D3419850-CB8E-49C4-B5F5-075B34D6D5D7}</author>
    <author>tc={62EAF508-B7E4-4608-8337-CCB83D3408C0}</author>
    <author>tc={8CD57D4E-44E1-4AAA-BF7D-8421E58459E2}</author>
    <author>tc={82365E60-DEF0-4509-BCEE-41C43E6FB73A}</author>
    <author>tc={FB0B37B1-379C-4079-93BB-802CDE06935B}</author>
    <author>tc={2F7AE5C4-D7E4-440D-875A-BF53E9059A30}</author>
    <author>tc={B84FFBB7-8420-475F-AF59-6771F9EAC7B3}</author>
    <author>tc={B9E90561-FEFF-4F8E-BBA8-8D720C0D0500}</author>
    <author>tc={9C7115EF-65D9-4F41-834C-3B5AF01A0F70}</author>
    <author>tc={A93FF644-D47B-4F82-9E5D-60DB2E610972}</author>
    <author>tc={2B180CE2-CD14-4C52-9FBD-582848BCDDEE}</author>
    <author>tc={423C43BF-0BB5-4E3E-9704-DF661089F256}</author>
    <author>tc={B3351666-2D5F-4B01-908C-6C8CA539E530}</author>
    <author>tc={B72E91DE-0D22-48BC-A4B8-97CD50869B10}</author>
    <author>tc={7EC46D6E-7BFB-412D-B24C-81FA00271491}</author>
    <author>tc={119823E9-53F0-4172-8123-8C3C9CFB592C}</author>
    <author>tc={C1CEFE63-AF9B-4099-8C84-3796882DA414}</author>
    <author>tc={82F9CDC3-1E33-47CD-8A3B-2F578149F380}</author>
    <author>tc={23DA28FB-F44E-45BA-B7BA-A0A057E9DC03}</author>
    <author>tc={FCC995E8-575B-4CEA-9570-F119CD0D4660}</author>
    <author>tc={3F38A7FF-B11B-4128-9FAE-295C4389DFF6}</author>
    <author>tc={E11D095A-4274-4723-B87F-2AD6EB53B324}</author>
    <author>tc={91F508C9-E291-433D-AD38-287E09F7019F}</author>
    <author>tc={126E8A4B-3827-4D60-A568-79C78AE1B50E}</author>
    <author>tc={7CD7C127-E8C9-4FE3-887D-6D7D120EC35B}</author>
    <author>tc={38D5A870-1C3F-47C7-BE0F-A9EC3D639967}</author>
    <author>tc={2BC05321-107C-4431-8643-4BC6E9EC8E59}</author>
    <author>tc={A294FDA8-0005-4ACB-A747-233FBEE1352D}</author>
    <author>tc={AB64590A-8181-4A1E-8E22-736ED5ADA5D2}</author>
    <author>tc={C7B0B29E-F0BD-49C3-81A0-E5F134A7C946}</author>
    <author>tc={B0F3BAD2-E896-46E7-B808-929778ECB3E5}</author>
    <author>tc={5E0EE1F7-2B46-487C-BFF4-059C7B993F7F}</author>
    <author>tc={4E40657B-E3B4-4207-8EC7-35231709C283}</author>
    <author>tc={ECD5094A-81E9-416A-9708-80AC57073844}</author>
    <author>tc={DC160D33-A66A-4BA0-8705-8DD610FFFA43}</author>
    <author>tc={F92F7468-363B-44B2-ABEE-E8CAB3DB1ADD}</author>
    <author>tc={AA241C3D-FEB9-4CC7-BC17-2C80C3B99ED2}</author>
    <author>tc={204B2B01-04DB-4797-9E8F-BFF5006BBE22}</author>
    <author>tc={1C447D6F-42C3-4977-B91F-A90A05D86931}</author>
    <author>tc={DA6B8991-559E-44FD-9FFF-37B049F61568}</author>
    <author>tc={D578B69B-BBA0-4E9F-BB17-F7E4C7B88D85}</author>
    <author>tc={81F9AE90-997E-4DC6-9DB7-DAE812E82D9C}</author>
    <author>tc={A0B89729-102D-47C0-8D04-6B92A188E61E}</author>
    <author>tc={F4153E28-B3C6-448F-A70E-EA9366166916}</author>
    <author>tc={F0AF7BB2-325A-478A-9E09-348B697F3943}</author>
    <author>tc={C5C93D43-584D-4233-9F0F-79B713E3D78C}</author>
    <author>tc={3995CA94-1B51-49C2-BCD2-18E87CBF1BA8}</author>
    <author>tc={606C3099-A90B-42B2-B244-BFA3BD87C016}</author>
    <author>tc={A4463A9A-EE03-4B06-8653-E9483B5425F8}</author>
    <author>tc={562B30C3-B8B1-4335-94A8-EF085A6120AD}</author>
    <author>tc={65E53EBD-A2FD-4500-B4BC-DEB9C5A39AD3}</author>
    <author>tc={1EBF5000-E6B8-4BD3-AC7E-C5AD5AD87478}</author>
    <author>tc={3CB1448C-8DCF-468A-85B8-6EFB40BBCC75}</author>
    <author>tc={B955D955-2B35-4660-AA4A-62C35BC8E359}</author>
    <author>tc={DEB41D76-D985-418E-8259-D1A568402546}</author>
    <author>tc={C2EF436D-27EA-428B-BF7A-F2F9920E23F8}</author>
    <author>tc={38B046E4-7D16-459F-8707-AFBCDBFA8D3C}</author>
    <author>tc={134A20E5-D4B1-4C49-8D3E-8F069C0DFE18}</author>
    <author>tc={487D3926-A418-494C-BD8F-B013685323C5}</author>
    <author>tc={0478858E-126E-47B4-931D-FFEBCF537E06}</author>
    <author>tc={F479B80A-04A1-44F9-BDB2-5F3CAE1FC3AB}</author>
    <author>tc={8395CFD7-3503-41AF-B0AB-F590E62A3559}</author>
    <author>tc={8DD40CD5-1FAA-4AEA-B2BE-514142561DEB}</author>
    <author>tc={13F09FCD-E5CF-4B1C-9CBD-C36A0208FF93}</author>
    <author>tc={4977E416-5E33-4C8B-A7C8-658ACCAC9316}</author>
    <author>tc={8954FBA8-D9DB-4364-9101-BCFD72C2CCFD}</author>
    <author>tc={E31D2AE9-B35B-4C88-ACF9-0BFFE8DA4952}</author>
    <author>tc={BD37BF62-661F-4D80-A5E1-165BD4F48DEE}</author>
    <author>tc={14AC0011-C561-4503-BEF9-96B519C84647}</author>
    <author>tc={92FF4FD7-51F5-46D5-90A9-8181A09BA2B2}</author>
    <author>tc={25788F53-E9AE-4F2E-9E7A-CD64E5476313}</author>
    <author>tc={E75DA4F4-20CD-4CCA-BDEB-02DC5774FE05}</author>
    <author>tc={6FD9E7E9-0A80-4CD9-BE92-1B704D35BC39}</author>
    <author>tc={51C1F3E9-2C6B-41C0-A3DE-F885CC164152}</author>
    <author>tc={427A1348-C469-4873-A362-1EA22DCC1800}</author>
    <author>tc={0F3D4D4E-CE9D-4FE4-A662-BC624CA9624A}</author>
    <author>tc={A9C368BA-29BA-43C3-917D-AA4F26B6B5F4}</author>
    <author>tc={AC6D0CC0-177E-4233-8361-5BE476D74B5A}</author>
    <author>tc={94FF27F9-B31B-4CE3-B1AE-C0DEBF25B13B}</author>
    <author>tc={B94F0CE3-3A28-4889-9F20-D53F0061CA10}</author>
    <author>tc={7DDE7E06-85CF-4679-B103-A78E0AE07B30}</author>
    <author>tc={30F80D6A-ED2E-49E1-A26C-91B54BF133D4}</author>
    <author>tc={6B19A769-02FE-4956-8577-5E079922BFA5}</author>
    <author>tc={6CCA5FB0-E321-4DA2-A2F7-52B66AA954F5}</author>
    <author>tc={6AC7D8F2-1619-4667-A778-1521B64D1F9D}</author>
    <author>tc={E57F3BC7-2785-4253-A2F6-AD20612D199D}</author>
    <author>tc={86A2A3EB-BF20-485A-A2AB-8FCEF5F2E03A}</author>
    <author>tc={E888A63D-98E1-41DF-8486-5C3E6025E8CB}</author>
    <author>tc={316F6916-2FC8-4F14-BEE2-00FE6A03C550}</author>
    <author>tc={C3585ACF-921F-4F27-B7B0-D986E1478671}</author>
    <author>tc={E1417AD0-A45D-40BE-87BB-5FC7A3E5F65A}</author>
    <author>tc={883F696D-5629-41B9-BD91-13F496D48BD4}</author>
    <author>tc={DB99AAC7-932C-4753-ACC0-73BB790DD287}</author>
    <author>tc={C5F4CE0D-705A-4584-A290-108564FC54B3}</author>
    <author>tc={B2EBB012-641D-4208-8B53-D21BABD2F1F5}</author>
    <author>tc={C005B130-A559-45C3-ABCD-04F49BA23201}</author>
    <author>tc={62EC320A-38ED-4906-9941-0D2C98E591DC}</author>
    <author>tc={7BEB556E-2E15-4606-8F93-C4773FD49236}</author>
    <author>tc={6B991CDA-943D-4F8E-A722-A860A8AE1563}</author>
    <author>tc={5BD67FEC-EE0D-4ED4-89DA-6DAED9278509}</author>
    <author>tc={04D5F9D7-02E6-4D3B-8882-312758732C16}</author>
    <author>tc={45801B4D-0426-4F09-AD4E-75E9E1FC92CE}</author>
    <author>tc={20B568C9-4DFC-41FA-A157-A447ADD952D2}</author>
    <author>tc={0D588F50-24DC-4274-84EA-D21923770750}</author>
    <author>tc={91DAFE70-5E7C-48B8-884D-EE451D393C32}</author>
    <author>tc={88CEAB99-648E-46F6-B7F0-A70A3DE3DA04}</author>
    <author>tc={A8292145-08FA-4975-8C4C-8F97EF8F0BE1}</author>
    <author>tc={96F22923-95B5-49FD-A8D0-AF1B1859E1F1}</author>
    <author>tc={3E2DE43E-5A53-490D-B8CD-79339B87C49E}</author>
    <author>tc={71AADB76-C982-4789-A8E9-E48863D7BDE8}</author>
    <author>tc={4CEA7E78-AAD9-4F7A-B967-0B7B1D17021F}</author>
    <author>tc={9A51D814-3896-4D3F-8FE2-14FB7A5FC1A5}</author>
    <author>tc={E96C3756-9FD4-4357-8135-A2DB47306BFB}</author>
    <author>tc={A3B48793-19D3-4E10-BA79-94D9A1B30003}</author>
    <author>tc={A084B67C-10CD-4F0C-98FD-14CB0B6BC806}</author>
    <author>tc={436A7C3A-6CB1-4C88-8D02-D0D4758C06AE}</author>
    <author>tc={6599CFE0-641E-4DD9-A865-BC2DED8AE64C}</author>
    <author>tc={8A8AE4C5-16B5-4C8F-A523-923010E3975D}</author>
    <author>tc={BB70CABD-64F3-4F58-9A26-88D383E5547A}</author>
    <author>tc={9019D5D0-17E9-4033-9647-A73C89F2AB02}</author>
    <author>tc={AFAD4310-D6B9-49B4-B0F3-677FCF888181}</author>
    <author>tc={84F3A8D7-8BAF-4506-B348-9896962DD6E2}</author>
    <author>tc={F23A66A4-BE57-43AB-A154-B372B000CE7E}</author>
  </authors>
  <commentList>
    <comment ref="BG9" authorId="0" shapeId="0" xr:uid="{D8F42EAC-573E-4580-BF63-D83C0F647240}">
      <text>
        <t>[Threaded comment]
Your version of Excel allows you to read this threaded comment; however, any edits to it will get removed if the file is opened in a newer version of Excel. Learn more: https://go.microsoft.com/fwlink/?linkid=870924
Comment:
    Growth rates reflect previous policy period; margins reflect current period</t>
      </text>
    </comment>
    <comment ref="X12" authorId="1" shapeId="0" xr:uid="{F596A33E-D6AF-4DC5-95CA-A37E863DBB31}">
      <text>
        <t>[Threaded comment]
Your version of Excel allows you to read this threaded comment; however, any edits to it will get removed if the file is opened in a newer version of Excel. Learn more: https://go.microsoft.com/fwlink/?linkid=870924
Comment:
    35.150-36.050 Q4 guide</t>
      </text>
    </comment>
    <comment ref="AF14" authorId="2" shapeId="0" xr:uid="{E437CC59-0D1C-4CAF-B772-87FCE632ACC4}">
      <text>
        <t>[Threaded comment]
Your version of Excel allows you to read this threaded comment; however, any edits to it will get removed if the file is opened in a newer version of Excel. Learn more: https://go.microsoft.com/fwlink/?linkid=870924
Comment:
    Q4 22 call: "Second, on FX. Assuming current rates remain stable, we expect a roughly 4-point impact to full-year revenue growth, with headwinds in H1 greater than in H2."
"With the stronger US dollar and based on current rates, we expect FX to decrease total revenue growth by approximately 5 points and to decrease total COGS and operating expense growth by approximately 3 points. Within the segments, we anticipate roughly 6 points of negative FX impact on revenue growth in Productivity and Business Processes and Intelligent Cloud and 3 points in More Personal Computing."</t>
      </text>
    </comment>
    <comment ref="AG14" authorId="3" shapeId="0" xr:uid="{C47B6BEA-B231-4054-88F5-13DC121F54A3}">
      <text>
        <t>[Threaded comment]
Your version of Excel allows you to read this threaded comment; however, any edits to it will get removed if the file is opened in a newer version of Excel. Learn more: https://go.microsoft.com/fwlink/?linkid=870924
Comment:
    Q1 Guidance: 5ppt headwind</t>
      </text>
    </comment>
    <comment ref="AO16" authorId="4" shapeId="0" xr:uid="{48564B6D-BCA8-4B88-AB41-F7734C8CA6A3}">
      <text>
        <t>[Threaded comment]
Your version of Excel allows you to read this threaded comment; however, any edits to it will get removed if the file is opened in a newer version of Excel. Learn more: https://go.microsoft.com/fwlink/?linkid=870924
Comment:
    Includes $700m of ATVI amort.</t>
      </text>
    </comment>
    <comment ref="W22" authorId="5" shapeId="0" xr:uid="{F8F0B695-20FD-440C-965F-A912F0369B0E}">
      <text>
        <t>[Threaded comment]
Your version of Excel allows you to read this threaded comment; however, any edits to it will get removed if the file is opened in a newer version of Excel. Learn more: https://go.microsoft.com/fwlink/?linkid=870924
Comment:
    11.55-11.75 COGS guide</t>
      </text>
    </comment>
    <comment ref="X22" authorId="6" shapeId="0" xr:uid="{DC2B7D1F-83AA-4E9B-8AE2-3A0A148A0952}">
      <text>
        <t>[Threaded comment]
Your version of Excel allows you to read this threaded comment; however, any edits to it will get removed if the file is opened in a newer version of Excel. Learn more: https://go.microsoft.com/fwlink/?linkid=870924
Comment:
    10.75-10.95 COGS guide</t>
      </text>
    </comment>
    <comment ref="AK22" authorId="7" shapeId="0" xr:uid="{B93B932F-2189-48B7-9689-56CA0DCE3900}">
      <text>
        <t>[Threaded comment]
Your version of Excel allows you to read this threaded comment; however, any edits to it will get removed if the file is opened in a newer version of Excel. Learn more: https://go.microsoft.com/fwlink/?linkid=870924
Comment:
    Includes 580M PPA from ATVI</t>
      </text>
    </comment>
    <comment ref="AL22" authorId="8" shapeId="0" xr:uid="{B63D6ADF-8551-492B-B6C6-BCCD35519D4E}">
      <text>
        <t>[Threaded comment]
Your version of Excel allows you to read this threaded comment; however, any edits to it will get removed if the file is opened in a newer version of Excel. Learn more: https://go.microsoft.com/fwlink/?linkid=870924
Comment:
    Includes 670M PPA from ATVI</t>
      </text>
    </comment>
    <comment ref="AM22" authorId="9" shapeId="0" xr:uid="{EC6670D8-4441-4E53-A34D-F99A21160B29}">
      <text>
        <t>[Threaded comment]
Your version of Excel allows you to read this threaded comment; however, any edits to it will get removed if the file is opened in a newer version of Excel. Learn more: https://go.microsoft.com/fwlink/?linkid=870924
Comment:
    Includes 690M PPA from ATVI</t>
      </text>
    </comment>
    <comment ref="AN22" authorId="10" shapeId="0" xr:uid="{025DDB88-E0C2-4A96-AE89-A8A2687A5960}">
      <text>
        <t>[Threaded comment]
Your version of Excel allows you to read this threaded comment; however, any edits to it will get removed if the file is opened in a newer version of Excel. Learn more: https://go.microsoft.com/fwlink/?linkid=870924
Comment:
    Includes 680M PPA from ATVI</t>
      </text>
    </comment>
    <comment ref="AI24" authorId="11" shapeId="0" xr:uid="{8A07C5F8-54F9-4134-B7E8-3BB604EE9324}">
      <text>
        <t>[Threaded comment]
Your version of Excel allows you to read this threaded comment; however, any edits to it will get removed if the file is opened in a newer version of Excel. Learn more: https://go.microsoft.com/fwlink/?linkid=870924
Comment:
    Q3 guide of no FX impact on COGS growth</t>
      </text>
    </comment>
    <comment ref="AO28" authorId="12" shapeId="0" xr:uid="{0E7A72A8-4157-478C-A6FA-07D35FB6BA43}">
      <text>
        <t>[Threaded comment]
Your version of Excel allows you to read this threaded comment; however, any edits to it will get removed if the file is opened in a newer version of Excel. Learn more: https://go.microsoft.com/fwlink/?linkid=870924
Comment:
    Includes $300m of ATVI costs</t>
      </text>
    </comment>
    <comment ref="AK31" authorId="13" shapeId="0" xr:uid="{5C0A8AE5-2930-460C-9266-63AA266F641B}">
      <text>
        <t>[Threaded comment]
Your version of Excel allows you to read this threaded comment; however, any edits to it will get removed if the file is opened in a newer version of Excel. Learn more: https://go.microsoft.com/fwlink/?linkid=870924
Comment:
    Includes 400M deal costs</t>
      </text>
    </comment>
    <comment ref="AL31" authorId="14" shapeId="0" xr:uid="{5B255260-65BC-4F65-8D6D-D30729DCE61B}">
      <text>
        <t>[Threaded comment]
Your version of Excel allows you to read this threaded comment; however, any edits to it will get removed if the file is opened in a newer version of Excel. Learn more: https://go.microsoft.com/fwlink/?linkid=870924
Comment:
    Includes 270M deal costs</t>
      </text>
    </comment>
    <comment ref="AM31" authorId="15" shapeId="0" xr:uid="{07C3E7B5-5EF3-4822-9A00-82E19BA6084F}">
      <text>
        <t>[Threaded comment]
Your version of Excel allows you to read this threaded comment; however, any edits to it will get removed if the file is opened in a newer version of Excel. Learn more: https://go.microsoft.com/fwlink/?linkid=870924
Comment:
    Includes 250M deal costs</t>
      </text>
    </comment>
    <comment ref="AN31" authorId="16" shapeId="0" xr:uid="{3E93EA3B-FD4C-4038-8D1B-91CDF9DCAEEF}">
      <text>
        <t>[Threaded comment]
Your version of Excel allows you to read this threaded comment; however, any edits to it will get removed if the file is opened in a newer version of Excel. Learn more: https://go.microsoft.com/fwlink/?linkid=870924
Comment:
    Includes 230M deal costs</t>
      </text>
    </comment>
    <comment ref="BA31" authorId="17" shapeId="0" xr:uid="{896E3A96-78A0-45E6-B06D-1CEB860F3BB7}">
      <text>
        <t>[Threaded comment]
Your version of Excel allows you to read this threaded comment; however, any edits to it will get removed if the file is opened in a newer version of Excel. Learn more: https://go.microsoft.com/fwlink/?linkid=870924
Comment:
    Excl. EU fine</t>
      </text>
    </comment>
    <comment ref="W32" authorId="18" shapeId="0" xr:uid="{10834FB4-F158-4FCD-BB7A-D4413C4D89DE}">
      <text>
        <t>[Threaded comment]
Your version of Excel allows you to read this threaded comment; however, any edits to it will get removed if the file is opened in a newer version of Excel. Learn more: https://go.microsoft.com/fwlink/?linkid=870924
Comment:
    11.8-11.9 guide</t>
      </text>
    </comment>
    <comment ref="AI39" authorId="19" shapeId="0" xr:uid="{6F62FA5F-654E-4BEB-A420-E0342F1E6258}">
      <text>
        <t>[Threaded comment]
Your version of Excel allows you to read this threaded comment; however, any edits to it will get removed if the file is opened in a newer version of Excel. Learn more: https://go.microsoft.com/fwlink/?linkid=870924
Comment:
    Q2 guide - LSD growth in CC
Q1 guide - opex growth to moderate materially through the year</t>
      </text>
    </comment>
    <comment ref="AI40" authorId="20" shapeId="0" xr:uid="{12C32A32-AA93-401A-A48D-6FBA6A5DD6B3}">
      <text>
        <t>[Threaded comment]
Your version of Excel allows you to read this threaded comment; however, any edits to it will get removed if the file is opened in a newer version of Excel. Learn more: https://go.microsoft.com/fwlink/?linkid=870924
Comment:
    Q3 guide of no FX impact on opex growth</t>
      </text>
    </comment>
    <comment ref="AO48" authorId="21" shapeId="0" xr:uid="{97D0B22F-0137-4524-A03C-72FC19E83F3A}">
      <text>
        <t>[Threaded comment]
Your version of Excel allows you to read this threaded comment; however, any edits to it will get removed if the file is opened in a newer version of Excel. Learn more: https://go.microsoft.com/fwlink/?linkid=870924
Comment:
    Includes 1B of ATVI deal costs</t>
      </text>
    </comment>
    <comment ref="BN53" authorId="22" shapeId="0" xr:uid="{9A6F7DBD-06F6-47D0-9349-4E465C09090E}">
      <text>
        <t>[Threaded comment]
Your version of Excel allows you to read this threaded comment; however, any edits to it will get removed if the file is opened in a newer version of Excel. Learn more: https://go.microsoft.com/fwlink/?linkid=870924
Comment:
    Q1 guide - EBIT margins to decline ~1ppt</t>
      </text>
    </comment>
    <comment ref="B59" authorId="23" shapeId="0" xr:uid="{C483DB4D-9C4B-4739-A87A-285DFA2EB5BC}">
      <text>
        <t>[Threaded comment]
Your version of Excel allows you to read this threaded comment; however, any edits to it will get removed if the file is opened in a newer version of Excel. Learn more: https://go.microsoft.com/fwlink/?linkid=870924
Comment:
    Q4 FY20 earnings call: Now before we turn to our outlook, I'd like to update you on a change in accounting estimate to the useful life of server and networking equipment assets in our cloud infrastructure. Effective at the start of fiscal year '21, we are extending the depreciable life for these assets to 4 years, which will apply to the asset balances on our balance sheet as of June 30, 2020, as well as future asset purchases. This change will not impact historical depreciation expense, the total depreciation expense over the life of the asset or cash flow, but it will impact the timing of depreciation expense in the future for these assets.
 As a result, based on the outstanding balances as of June 30, we expect fiscal year '21 operating income to be favorably impacted by approximately $900 million in the first quarter and approximately $2.7 billion for the full fiscal year. This has been included in the guidance we'll provide on today's call, and you will find additional details on the mechanics of the change in our earnings material</t>
      </text>
    </comment>
    <comment ref="X59" authorId="24" shapeId="0" xr:uid="{C3D9752B-44FF-4E67-BB6C-0D9A75137CC8}">
      <text>
        <t>[Threaded comment]
Your version of Excel allows you to read this threaded comment; however, any edits to it will get removed if the file is opened in a newer version of Excel. Learn more: https://go.microsoft.com/fwlink/?linkid=870924
Comment:
    "And operating margins expanded 4 points yearover-year to 43%, including roughly 2 points of favorable impact from the change in accounting estimate."</t>
      </text>
    </comment>
    <comment ref="Y59" authorId="25" shapeId="0" xr:uid="{6809C394-527A-4D13-99B6-6644CF333E09}">
      <text>
        <t>[Threaded comment]
Your version of Excel allows you to read this threaded comment; however, any edits to it will get removed if the file is opened in a newer version of Excel. Learn more: https://go.microsoft.com/fwlink/?linkid=870924
Comment:
    "Operating income increased 29% and 26% in constant currency, and operating margins expanded 4 points
year-over-year to 42%, including roughly 2 points of favorable impact from the change in accounting
estimate"</t>
      </text>
    </comment>
    <comment ref="Z59" authorId="26" shapeId="0" xr:uid="{C63893AF-80C2-495A-AC7F-F1DECCF6328A}">
      <text>
        <t>[Threaded comment]
Your version of Excel allows you to read this threaded comment; however, any edits to it will get removed if the file is opened in a newer version of Excel. Learn more: https://go.microsoft.com/fwlink/?linkid=870924
Comment:
    "Year-over-year growth in operating expense includes roughly 2 points of impact from continued COVIDrelated savings. Operating income increased 31% and 27% in constant currency, and operating margins
expanded 4 points year-over-year to 41%, including nearly 2 points of favorable impact from the change
in accounting estimate"</t>
      </text>
    </comment>
    <comment ref="AA59" authorId="27" shapeId="0" xr:uid="{AC52CA9D-B09A-41DF-B9F2-40A16CA0E496}">
      <text>
        <t>[Threaded comment]
Your version of Excel allows you to read this threaded comment; however, any edits to it will get removed if the file is opened in a newer version of Excel. Learn more: https://go.microsoft.com/fwlink/?linkid=870924
Comment:
    "Operating income increased 42% and 35% in constant currency, and operating margins expanded 6 points year-over-year to 41%, including roughly 2 points of impact from the retail stores charge and increase in bad debt expense in the prior year and nearly 1 point of favorable impact from the change in accounting estimate"</t>
      </text>
    </comment>
    <comment ref="AB59" authorId="28" shapeId="0" xr:uid="{21A9C06B-6014-4F2F-962A-409C6C0D809C}">
      <text>
        <t>[Threaded comment]
Your version of Excel allows you to read this threaded comment; however, any edits to it will get removed if the file is opened in a newer version of Excel. Learn more: https://go.microsoft.com/fwlink/?linkid=870924
Comment:
    "Operating income increased 27% and 24% in constant currency, and operating margins expanded 2 points year-over-year to 45%. Excluding the impact of the change in accounting estimate, operating margins expanded roughly 4 points year-over-year."</t>
      </text>
    </comment>
    <comment ref="AC59" authorId="29" shapeId="0" xr:uid="{7DAA0DF8-66F3-41CA-8029-77910CBF5BEF}">
      <text>
        <t>[Threaded comment]
Your version of Excel allows you to read this threaded comment; however, any edits to it will get removed if the file is opened in a newer version of Excel. Learn more: https://go.microsoft.com/fwlink/?linkid=870924
Comment:
    "Operating income increased 24% and operating margins expanded 1 point year-over-year to 43%. Excluding the impact of the change in accounting estimate, operating margins expanded roughly 3 points year-over-year."</t>
      </text>
    </comment>
    <comment ref="AH59" authorId="30" shapeId="0" xr:uid="{F41BBB2E-CF7E-4CD1-85C8-747CD3ECB950}">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I59" authorId="31" shapeId="0" xr:uid="{119432E9-17B4-42B0-BED9-A2D59C7B0738}">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H62" authorId="32" shapeId="0" xr:uid="{7BDDF774-BE0D-4AC9-8F5E-CE20875283A6}">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
      </text>
    </comment>
    <comment ref="AI62" authorId="33" shapeId="0" xr:uid="{649592A7-F42C-4A2C-9491-D5A88268BF3A}">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
      </text>
    </comment>
    <comment ref="AH63" authorId="34" shapeId="0" xr:uid="{ADE922F7-3D6B-4968-B687-08625096A464}">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 ref="AI63" authorId="35" shapeId="0" xr:uid="{B9DA14C8-AE97-4D5E-A0C3-636B4DF979BA}">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 ref="BN63" authorId="36" shapeId="0" xr:uid="{BE797D14-A9F0-4BB5-B456-E3B8CCFCB4D3}">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 ref="Z88" authorId="37" shapeId="0" xr:uid="{F2CECCAB-ACF5-4202-A5BF-FD0AF958D66B}">
      <text>
        <t>[Threaded comment]
Your version of Excel allows you to read this threaded comment; however, any edits to it will get removed if the file is opened in a newer version of Excel. Learn more: https://go.microsoft.com/fwlink/?linkid=870924
Comment:
    D&amp;A change means 900M less Q1 and 2.7B less in FY21</t>
      </text>
    </comment>
    <comment ref="AA88" authorId="38" shapeId="0" xr:uid="{A197E2F0-EC52-46B8-99BE-F952D5FF21ED}">
      <text>
        <t>[Threaded comment]
Your version of Excel allows you to read this threaded comment; however, any edits to it will get removed if the file is opened in a newer version of Excel. Learn more: https://go.microsoft.com/fwlink/?linkid=870924
Comment:
    D&amp;A change means 900M less Q1 and 2.7B less in FY21</t>
      </text>
    </comment>
    <comment ref="AF88" authorId="39" shapeId="0" xr:uid="{60D051EE-5BD9-42F2-AFFF-74345913620F}">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G88" authorId="40" shapeId="0" xr:uid="{DD073FED-4631-412F-BB32-BE12DF260871}">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H88" authorId="41" shapeId="0" xr:uid="{A98F01C4-16DE-4A04-8485-F0048262A296}">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I88" authorId="42" shapeId="0" xr:uid="{F1C44B2D-A037-4998-959F-D186FC9F5930}">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BL88" authorId="43" shapeId="0" xr:uid="{EC7F1674-E69A-4306-AD93-2825A8B797C8}">
      <text>
        <t>[Threaded comment]
Your version of Excel allows you to read this threaded comment; however, any edits to it will get removed if the file is opened in a newer version of Excel. Learn more: https://go.microsoft.com/fwlink/?linkid=870924
Comment:
    D&amp;A change means 900M less Q1 and 2.7B less in FY21</t>
      </text>
    </comment>
    <comment ref="AD109" authorId="44" shapeId="0" xr:uid="{3549B366-A8EE-4F9A-BFCA-85289DAE846F}">
      <text>
        <t>[Threaded comment]
Your version of Excel allows you to read this threaded comment; however, any edits to it will get removed if the file is opened in a newer version of Excel. Learn more: https://go.microsoft.com/fwlink/?linkid=870924
Comment:
    "And, on a dollar basis, we expect capital expenditures to be slightly down sequentially with normal quarterly variability in the timing of cloud infrastructure buildout." Q2 Call</t>
      </text>
    </comment>
    <comment ref="AE109" authorId="45" shapeId="0" xr:uid="{AE475268-E05B-4DCE-AE09-95A63DCBAEC1}">
      <text>
        <t>[Threaded comment]
Your version of Excel allows you to read this threaded comment; however, any edits to it will get removed if the file is opened in a newer version of Excel. Learn more: https://go.microsoft.com/fwlink/?linkid=870924
Comment:
    "Capital expenditures, we expect a sequential increase on a dollar basis as we continue to invest to meet growing global demand for our cloud services"</t>
      </text>
    </comment>
    <comment ref="AF109" authorId="46" shapeId="0" xr:uid="{FDED9A05-1939-4634-898F-89D6B8DFF2B9}">
      <text>
        <t>[Threaded comment]
Your version of Excel allows you to read this threaded comment; however, any edits to it will get removed if the file is opened in a newer version of Excel. Learn more: https://go.microsoft.com/fwlink/?linkid=870924
Comment:
    4Q22 call: "In capital expenditures, we expect a sequential decrease on a dollar basis with normal quarterly spend variability in the timing of our cloud infrastructure buildout."</t>
      </text>
    </comment>
    <comment ref="AG109" authorId="47" shapeId="0" xr:uid="{4FE7B39A-A01C-4108-AD60-3FB3D22185A1}">
      <text>
        <t>[Threaded comment]
Your version of Excel allows you to read this threaded comment; however, any edits to it will get removed if the file is opened in a newer version of Excel. Learn more: https://go.microsoft.com/fwlink/?linkid=870924
Comment:
    Q1 guide of sequential decrease</t>
      </text>
    </comment>
    <comment ref="AH114" authorId="48" shapeId="0" xr:uid="{4BC7CE88-8F78-442E-A233-E5DBAAE5CB6A}">
      <text>
        <t xml:space="preserve">[Threaded comment]
Your version of Excel allows you to read this threaded comment; however, any edits to it will get removed if the file is opened in a newer version of Excel. Learn more: https://go.microsoft.com/fwlink/?linkid=870924
Comment:
    In capital expenditures, we expect a sequential increase on a dollar basis with normal quarterly spend variability in the timing of our cloud infrastructure buildout </t>
      </text>
    </comment>
    <comment ref="AI114" authorId="49" shapeId="0" xr:uid="{925C8706-9C4D-4599-86BD-7BFB20B1BA29}">
      <text>
        <t xml:space="preserve">[Threaded comment]
Your version of Excel allows you to read this threaded comment; however, any edits to it will get removed if the file is opened in a newer version of Excel. Learn more: https://go.microsoft.com/fwlink/?linkid=870924
Comment:
    Q3 call: We expect capital expenditures to have a material sequential increase on a dollar basis </t>
      </text>
    </comment>
    <comment ref="AL114" authorId="50" shapeId="0" xr:uid="{2D84EC84-7715-479A-84F2-6DC0BF1410E3}">
      <text>
        <t xml:space="preserve">[Threaded comment]
Your version of Excel allows you to read this threaded comment; however, any edits to it will get removed if the file is opened in a newer version of Excel. Learn more: https://go.microsoft.com/fwlink/?linkid=870924
Comment:
    Q2 call: We expect capital expenditures to increase materially on a sequential basis, driven by investments in our cloud and AI infrastructure and the slip of a delivery date from Q2 to Q3 from a third-party provider noted earlier. As a reminder, there can be normal quarterly spend variability in the timing of our cloud infrastructure build-out </t>
      </text>
    </comment>
    <comment ref="AO152" authorId="51" shapeId="0" xr:uid="{56396E21-6F37-46DF-A883-6C193FA1B1D6}">
      <text>
        <t>[Threaded comment]
Your version of Excel allows you to read this threaded comment; however, any edits to it will get removed if the file is opened in a newer version of Excel. Learn more: https://go.microsoft.com/fwlink/?linkid=870924
Comment:
    28.7-29.0</t>
      </text>
    </comment>
    <comment ref="AO153" authorId="52" shapeId="0" xr:uid="{AF65A772-09C4-4CBB-B3D3-E1ADF9C9B2DD}">
      <text>
        <t>[Threaded comment]
Your version of Excel allows you to read this threaded comment; however, any edits to it will get removed if the file is opened in a newer version of Excel. Learn more: https://go.microsoft.com/fwlink/?linkid=870924
Comment:
    25.5-25.85</t>
      </text>
    </comment>
    <comment ref="AO154" authorId="53" shapeId="0" xr:uid="{3FD48382-6D22-4DA8-83F3-8D30A8D373B9}">
      <text>
        <t>[Threaded comment]
Your version of Excel allows you to read this threaded comment; however, any edits to it will get removed if the file is opened in a newer version of Excel. Learn more: https://go.microsoft.com/fwlink/?linkid=870924
Comment:
    13.85-14.25</t>
      </text>
    </comment>
    <comment ref="W223" authorId="54" shapeId="0" xr:uid="{17C67246-C2FF-4E39-A15D-DB819C50912A}">
      <text>
        <t>[Threaded comment]
Your version of Excel allows you to read this threaded comment; however, any edits to it will get removed if the file is opened in a newer version of Excel. Learn more: https://go.microsoft.com/fwlink/?linkid=870924
Comment:
    11.65-11.95 guide</t>
      </text>
    </comment>
    <comment ref="X223" authorId="55" shapeId="0" xr:uid="{159149FB-FDDE-479C-AAA6-3C8663D8398F}">
      <text>
        <t>[Threaded comment]
Your version of Excel allows you to read this threaded comment; however, any edits to it will get removed if the file is opened in a newer version of Excel. Learn more: https://go.microsoft.com/fwlink/?linkid=870924
Comment:
    11.65-11.90 Q4 guide</t>
      </text>
    </comment>
    <comment ref="Y223" authorId="56" shapeId="0" xr:uid="{F1FB888E-B62D-403D-BDDB-5119CF80C0A0}">
      <text>
        <t>[Threaded comment]
Your version of Excel allows you to read this threaded comment; however, any edits to it will get removed if the file is opened in a newer version of Excel. Learn more: https://go.microsoft.com/fwlink/?linkid=870924
Comment:
    $12.75-13 Q1 guide</t>
      </text>
    </comment>
    <comment ref="Z223" authorId="57" shapeId="0" xr:uid="{39921FC8-9610-4A9F-8C95-EDC125651A6A}">
      <text>
        <t>[Threaded comment]
Your version of Excel allows you to read this threaded comment; however, any edits to it will get removed if the file is opened in a newer version of Excel. Learn more: https://go.microsoft.com/fwlink/?linkid=870924
Comment:
    Q1 guide of 13.35-13.6</t>
      </text>
    </comment>
    <comment ref="AA223" authorId="58" shapeId="0" xr:uid="{0199869F-0275-4255-AC81-765B6B87EDEB}">
      <text>
        <t>[Threaded comment]
Your version of Excel allows you to read this threaded comment; however, any edits to it will get removed if the file is opened in a newer version of Excel. Learn more: https://go.microsoft.com/fwlink/?linkid=870924
Comment:
    Q3 guide of 13.8-14.05</t>
      </text>
    </comment>
    <comment ref="AB223" authorId="59" shapeId="0" xr:uid="{5BA45022-B214-42AA-9968-537DA625E0BD}">
      <text>
        <t>[Threaded comment]
Your version of Excel allows you to read this threaded comment; however, any edits to it will get removed if the file is opened in a newer version of Excel. Learn more: https://go.microsoft.com/fwlink/?linkid=870924
Comment:
    Q4 guide of 14.5-14.75</t>
      </text>
    </comment>
    <comment ref="AC223" authorId="60" shapeId="0" xr:uid="{3A3213AD-E6BF-4E5F-8A06-FF607E9ED65E}">
      <text>
        <t>[Threaded comment]
Your version of Excel allows you to read this threaded comment; however, any edits to it will get removed if the file is opened in a newer version of Excel. Learn more: https://go.microsoft.com/fwlink/?linkid=870924
Comment:
    Q1 guide of 15.7-15.95</t>
      </text>
    </comment>
    <comment ref="AD223" authorId="61" shapeId="0" xr:uid="{6CE095D5-DB2E-42A1-A44F-A2B7A71A9520}">
      <text>
        <t>[Threaded comment]
Your version of Excel allows you to read this threaded comment; however, any edits to it will get removed if the file is opened in a newer version of Excel. Learn more: https://go.microsoft.com/fwlink/?linkid=870924
Comment:
    Q2 Guide of 15.6-15.85</t>
      </text>
    </comment>
    <comment ref="AE223" authorId="62" shapeId="0" xr:uid="{9549F028-C06A-4BE2-B67F-BCDE172C29BC}">
      <text>
        <t>[Threaded comment]
Your version of Excel allows you to read this threaded comment; however, any edits to it will get removed if the file is opened in a newer version of Excel. Learn more: https://go.microsoft.com/fwlink/?linkid=870924
Comment:
    Q3 Guide of 16.65-16.90;
Updated 6.2.22 guide of 16.48-16.73</t>
      </text>
    </comment>
    <comment ref="AF223" authorId="63" shapeId="0" xr:uid="{851725EB-A30A-4D48-81A2-C3292345C0E3}">
      <text>
        <t>[Threaded comment]
Your version of Excel allows you to read this threaded comment; however, any edits to it will get removed if the file is opened in a newer version of Excel. Learn more: https://go.microsoft.com/fwlink/?linkid=870924
Comment:
    Q4 Guide of 15.96-16.25</t>
      </text>
    </comment>
    <comment ref="AG223" authorId="64" shapeId="0" xr:uid="{5339DCA6-9F42-4AB3-86A7-C91790E0D35B}">
      <text>
        <t>[Threaded comment]
Your version of Excel allows you to read this threaded comment; however, any edits to it will get removed if the file is opened in a newer version of Excel. Learn more: https://go.microsoft.com/fwlink/?linkid=870924
Comment:
    Q1 guide 16.6-16.9</t>
      </text>
    </comment>
    <comment ref="AH223" authorId="65" shapeId="0" xr:uid="{554736C5-5995-4666-8CAE-56492CDB40AD}">
      <text>
        <t>[Threaded comment]
Your version of Excel allows you to read this threaded comment; however, any edits to it will get removed if the file is opened in a newer version of Excel. Learn more: https://go.microsoft.com/fwlink/?linkid=870924
Comment:
    Q2 guide 16.9-17.2</t>
      </text>
    </comment>
    <comment ref="AI223" authorId="66" shapeId="0" xr:uid="{3B48BC2B-37F8-4CA5-8EC5-4F71F00B4C3D}">
      <text>
        <t>[Threaded comment]
Your version of Excel allows you to read this threaded comment; however, any edits to it will get removed if the file is opened in a newer version of Excel. Learn more: https://go.microsoft.com/fwlink/?linkid=870924
Comment:
    Q3 guide 17.9-18.2</t>
      </text>
    </comment>
    <comment ref="AJ223" authorId="67" shapeId="0" xr:uid="{8634CFF2-2EBF-4B37-9B15-AF5C9A2092B5}">
      <text>
        <t>[Threaded comment]
Your version of Excel allows you to read this threaded comment; however, any edits to it will get removed if the file is opened in a newer version of Excel. Learn more: https://go.microsoft.com/fwlink/?linkid=870924
Comment:
    Q4 guide 18.0-18.3</t>
      </text>
    </comment>
    <comment ref="AK223" authorId="68" shapeId="0" xr:uid="{63ECFAA4-F9BF-45C6-8AFE-2974ADEA102E}">
      <text>
        <t>[Threaded comment]
Your version of Excel allows you to read this threaded comment; however, any edits to it will get removed if the file is opened in a newer version of Excel. Learn more: https://go.microsoft.com/fwlink/?linkid=870924
Comment:
    Q1 guide 18.8-19.1</t>
      </text>
    </comment>
    <comment ref="AL223" authorId="69" shapeId="0" xr:uid="{3025E75C-475B-40F8-805D-92CBDAAC8518}">
      <text>
        <t>[Threaded comment]
Your version of Excel allows you to read this threaded comment; however, any edits to it will get removed if the file is opened in a newer version of Excel. Learn more: https://go.microsoft.com/fwlink/?linkid=870924
Comment:
    Q2 guide 19.3-19.6</t>
      </text>
    </comment>
    <comment ref="AM223" authorId="70" shapeId="0" xr:uid="{1A040C9B-22A0-4521-AAE3-98284A459A6C}">
      <text>
        <t>[Threaded comment]
Your version of Excel allows you to read this threaded comment; however, any edits to it will get removed if the file is opened in a newer version of Excel. Learn more: https://go.microsoft.com/fwlink/?linkid=870924
Comment:
    Q3 guide 19.9-20.2</t>
      </text>
    </comment>
    <comment ref="AN223" authorId="71" shapeId="0" xr:uid="{5AC0A2F0-B9B2-478A-B882-D5E27C800655}">
      <text>
        <t>[Threaded comment]
Your version of Excel allows you to read this threaded comment; however, any edits to it will get removed if the file is opened in a newer version of Excel. Learn more: https://go.microsoft.com/fwlink/?linkid=870924
Comment:
    Q4 guide 20.3-20.6</t>
      </text>
    </comment>
    <comment ref="W224" authorId="72" shapeId="0" xr:uid="{EB1E5059-A7ED-4001-BF49-0BB918E4D177}">
      <text>
        <t>[Threaded comment]
Your version of Excel allows you to read this threaded comment; however, any edits to it will get removed if the file is opened in a newer version of Excel. Learn more: https://go.microsoft.com/fwlink/?linkid=870924
Comment:
    12.9-13.15 guide</t>
      </text>
    </comment>
    <comment ref="X224" authorId="73" shapeId="0" xr:uid="{2C5D6C16-77CB-4A9F-AFAE-DEE2B09D290E}">
      <text>
        <t>[Threaded comment]
Your version of Excel allows you to read this threaded comment; however, any edits to it will get removed if the file is opened in a newer version of Excel. Learn more: https://go.microsoft.com/fwlink/?linkid=870924
Comment:
    12.55-12.80 Q4 guide</t>
      </text>
    </comment>
    <comment ref="Y224" authorId="74" shapeId="0" xr:uid="{3C311589-3136-4371-ADD8-1BE1D5D44D4D}">
      <text>
        <t>[Threaded comment]
Your version of Excel allows you to read this threaded comment; however, any edits to it will get removed if the file is opened in a newer version of Excel. Learn more: https://go.microsoft.com/fwlink/?linkid=870924
Comment:
    $13.55-13.8 Q1 guide</t>
      </text>
    </comment>
    <comment ref="Z224" authorId="75" shapeId="0" xr:uid="{169CF63E-77F1-465F-AFFE-117355FC5801}">
      <text>
        <t>[Threaded comment]
Your version of Excel allows you to read this threaded comment; however, any edits to it will get removed if the file is opened in a newer version of Excel. Learn more: https://go.microsoft.com/fwlink/?linkid=870924
Comment:
    Q1 guide of 14.7-14.95</t>
      </text>
    </comment>
    <comment ref="AA224" authorId="76" shapeId="0" xr:uid="{2FA29D50-945C-45B1-94A5-DC273577AB6D}">
      <text>
        <t>[Threaded comment]
Your version of Excel allows you to read this threaded comment; however, any edits to it will get removed if the file is opened in a newer version of Excel. Learn more: https://go.microsoft.com/fwlink/?linkid=870924
Comment:
    Q3 guide of 16.2-16.45</t>
      </text>
    </comment>
    <comment ref="AB224" authorId="77" shapeId="0" xr:uid="{4FE9C3E6-5703-4A8B-82B6-F0ED706435B4}">
      <text>
        <t>[Threaded comment]
Your version of Excel allows you to read this threaded comment; however, any edits to it will get removed if the file is opened in a newer version of Excel. Learn more: https://go.microsoft.com/fwlink/?linkid=870924
Comment:
    Q4 guide of 16.4-16.65</t>
      </text>
    </comment>
    <comment ref="AC224" authorId="78" shapeId="0" xr:uid="{F96F8D84-B644-4767-84BA-D51B88FB26DB}">
      <text>
        <t>[Threaded comment]
Your version of Excel allows you to read this threaded comment; however, any edits to it will get removed if the file is opened in a newer version of Excel. Learn more: https://go.microsoft.com/fwlink/?linkid=870924
Comment:
    Q1 guide of 18.1-18.35</t>
      </text>
    </comment>
    <comment ref="AD224" authorId="79" shapeId="0" xr:uid="{5970214F-E8ED-4821-97D0-D0ED5E895F8B}">
      <text>
        <t>[Threaded comment]
Your version of Excel allows you to read this threaded comment; however, any edits to it will get removed if the file is opened in a newer version of Excel. Learn more: https://go.microsoft.com/fwlink/?linkid=870924
Comment:
    Q2 Guide of 18.75-19.0</t>
      </text>
    </comment>
    <comment ref="AE224" authorId="80" shapeId="0" xr:uid="{D3419850-CB8E-49C4-B5F5-075B34D6D5D7}">
      <text>
        <t>[Threaded comment]
Your version of Excel allows you to read this threaded comment; however, any edits to it will get removed if the file is opened in a newer version of Excel. Learn more: https://go.microsoft.com/fwlink/?linkid=870924
Comment:
    Q3 Guide of 21.10-21.35;
updated 6.2.22 guide of 20.92-21.17</t>
      </text>
    </comment>
    <comment ref="AF224" authorId="81" shapeId="0" xr:uid="{62EAF508-B7E4-4608-8337-CCB83D3408C0}">
      <text>
        <t>[Threaded comment]
Your version of Excel allows you to read this threaded comment; however, any edits to it will get removed if the file is opened in a newer version of Excel. Learn more: https://go.microsoft.com/fwlink/?linkid=870924
Comment:
    Q4 Guide of 20.3-20.6; revised 20.2-20.5 after FY23e investor metrics reallocate HoloLens</t>
      </text>
    </comment>
    <comment ref="AG224" authorId="82" shapeId="0" xr:uid="{8CD57D4E-44E1-4AAA-BF7D-8421E58459E2}">
      <text>
        <t>[Threaded comment]
Your version of Excel allows you to read this threaded comment; however, any edits to it will get removed if the file is opened in a newer version of Excel. Learn more: https://go.microsoft.com/fwlink/?linkid=870924
Comment:
    Q1 guide 21.25-21.55</t>
      </text>
    </comment>
    <comment ref="AH224" authorId="83" shapeId="0" xr:uid="{82365E60-DEF0-4509-BCEE-41C43E6FB73A}">
      <text>
        <t>[Threaded comment]
Your version of Excel allows you to read this threaded comment; however, any edits to it will get removed if the file is opened in a newer version of Excel. Learn more: https://go.microsoft.com/fwlink/?linkid=870924
Comment:
    Q2 guide 21.7-22.0</t>
      </text>
    </comment>
    <comment ref="AI224" authorId="84" shapeId="0" xr:uid="{FB0B37B1-379C-4079-93BB-802CDE06935B}">
      <text>
        <t>[Threaded comment]
Your version of Excel allows you to read this threaded comment; however, any edits to it will get removed if the file is opened in a newer version of Excel. Learn more: https://go.microsoft.com/fwlink/?linkid=870924
Comment:
    Q3 guide 23.6-23.9</t>
      </text>
    </comment>
    <comment ref="AJ224" authorId="85" shapeId="0" xr:uid="{2F7AE5C4-D7E4-440D-875A-BF53E9059A30}">
      <text>
        <t>[Threaded comment]
Your version of Excel allows you to read this threaded comment; however, any edits to it will get removed if the file is opened in a newer version of Excel. Learn more: https://go.microsoft.com/fwlink/?linkid=870924
Comment:
    Q4 guide 23.3-23.6</t>
      </text>
    </comment>
    <comment ref="AK224" authorId="86" shapeId="0" xr:uid="{B84FFBB7-8420-475F-AF59-6771F9EAC7B3}">
      <text>
        <t>[Threaded comment]
Your version of Excel allows you to read this threaded comment; however, any edits to it will get removed if the file is opened in a newer version of Excel. Learn more: https://go.microsoft.com/fwlink/?linkid=870924
Comment:
    Q1 guide 25.1-25.4</t>
      </text>
    </comment>
    <comment ref="AL224" authorId="87" shapeId="0" xr:uid="{B9E90561-FEFF-4F8E-BBA8-8D720C0D0500}">
      <text>
        <t>[Threaded comment]
Your version of Excel allows you to read this threaded comment; however, any edits to it will get removed if the file is opened in a newer version of Excel. Learn more: https://go.microsoft.com/fwlink/?linkid=870924
Comment:
    Q2 guide 26.0-26.3</t>
      </text>
    </comment>
    <comment ref="AM224" authorId="88" shapeId="0" xr:uid="{9C7115EF-65D9-4F41-834C-3B5AF01A0F70}">
      <text>
        <t>[Threaded comment]
Your version of Excel allows you to read this threaded comment; however, any edits to it will get removed if the file is opened in a newer version of Excel. Learn more: https://go.microsoft.com/fwlink/?linkid=870924
Comment:
    Q3 guide 28.4-28.7</t>
      </text>
    </comment>
    <comment ref="AN224" authorId="89" shapeId="0" xr:uid="{A93FF644-D47B-4F82-9E5D-60DB2E610972}">
      <text>
        <t>[Threaded comment]
Your version of Excel allows you to read this threaded comment; however, any edits to it will get removed if the file is opened in a newer version of Excel. Learn more: https://go.microsoft.com/fwlink/?linkid=870924
Comment:
    Q4 guide 28.6-28.9</t>
      </text>
    </comment>
    <comment ref="W225" authorId="90" shapeId="0" xr:uid="{2B180CE2-CD14-4C52-9FBD-582848BCDDEE}">
      <text>
        <t>[Threaded comment]
Your version of Excel allows you to read this threaded comment; however, any edits to it will get removed if the file is opened in a newer version of Excel. Learn more: https://go.microsoft.com/fwlink/?linkid=870924
Comment:
    11.3-11.7 guide</t>
      </text>
    </comment>
    <comment ref="X225" authorId="91" shapeId="0" xr:uid="{423C43BF-0BB5-4E3E-9704-DF661089F256}">
      <text>
        <t>[Threaded comment]
Your version of Excel allows you to read this threaded comment; however, any edits to it will get removed if the file is opened in a newer version of Excel. Learn more: https://go.microsoft.com/fwlink/?linkid=870924
Comment:
    10.95-11.35 Q4 guide</t>
      </text>
    </comment>
    <comment ref="Y225" authorId="92" shapeId="0" xr:uid="{B3351666-2D5F-4B01-908C-6C8CA539E530}">
      <text>
        <t>[Threaded comment]
Your version of Excel allows you to read this threaded comment; however, any edits to it will get removed if the file is opened in a newer version of Excel. Learn more: https://go.microsoft.com/fwlink/?linkid=870924
Comment:
    $13.2-13.6 Q1 guide</t>
      </text>
    </comment>
    <comment ref="Z225" authorId="93" shapeId="0" xr:uid="{B72E91DE-0D22-48BC-A4B8-97CD50869B10}">
      <text>
        <t>[Threaded comment]
Your version of Excel allows you to read this threaded comment; however, any edits to it will get removed if the file is opened in a newer version of Excel. Learn more: https://go.microsoft.com/fwlink/?linkid=870924
Comment:
    Q1 guide of 12.3-12.7</t>
      </text>
    </comment>
    <comment ref="AA225" authorId="94" shapeId="0" xr:uid="{7EC46D6E-7BFB-412D-B24C-81FA00271491}">
      <text>
        <t>[Threaded comment]
Your version of Excel allows you to read this threaded comment; however, any edits to it will get removed if the file is opened in a newer version of Excel. Learn more: https://go.microsoft.com/fwlink/?linkid=870924
Comment:
    Q3 guide of 13.6-14.0</t>
      </text>
    </comment>
    <comment ref="AB225" authorId="95" shapeId="0" xr:uid="{119823E9-53F0-4172-8123-8C3C9CFB592C}">
      <text>
        <t>[Threaded comment]
Your version of Excel allows you to read this threaded comment; however, any edits to it will get removed if the file is opened in a newer version of Excel. Learn more: https://go.microsoft.com/fwlink/?linkid=870924
Comment:
    Q4 guide of 12.4-12.8</t>
      </text>
    </comment>
    <comment ref="AC225" authorId="96" shapeId="0" xr:uid="{C1CEFE63-AF9B-4099-8C84-3796882DA414}">
      <text>
        <t>[Threaded comment]
Your version of Excel allows you to read this threaded comment; however, any edits to it will get removed if the file is opened in a newer version of Excel. Learn more: https://go.microsoft.com/fwlink/?linkid=870924
Comment:
    Q1 guide of 16.35-16.75</t>
      </text>
    </comment>
    <comment ref="AD225" authorId="97" shapeId="0" xr:uid="{82F9CDC3-1E33-47CD-8A3B-2F578149F380}">
      <text>
        <t>[Threaded comment]
Your version of Excel allows you to read this threaded comment; however, any edits to it will get removed if the file is opened in a newer version of Excel. Learn more: https://go.microsoft.com/fwlink/?linkid=870924
Comment:
    Q2 Guide of 14.15-14.45</t>
      </text>
    </comment>
    <comment ref="AE225" authorId="98" shapeId="0" xr:uid="{23DA28FB-F44E-45BA-B7BA-A0A057E9DC03}">
      <text>
        <t>[Threaded comment]
Your version of Excel allows you to read this threaded comment; however, any edits to it will get removed if the file is opened in a newer version of Excel. Learn more: https://go.microsoft.com/fwlink/?linkid=870924
Comment:
    Q3 Guide of 14.65-14.95; 
updated 6.2.22 guide of 14.54-14.84</t>
      </text>
    </comment>
    <comment ref="AF225" authorId="99" shapeId="0" xr:uid="{FCC995E8-575B-4CEA-9570-F119CD0D4660}">
      <text>
        <t>[Threaded comment]
Your version of Excel allows you to read this threaded comment; however, any edits to it will get removed if the file is opened in a newer version of Excel. Learn more: https://go.microsoft.com/fwlink/?linkid=870924
Comment:
    Q4 Guide of 13.0-13.4; revised 13.1-13.5 after FY23e investor metrics reallocate HoloLens</t>
      </text>
    </comment>
    <comment ref="AG225" authorId="100" shapeId="0" xr:uid="{3F38A7FF-B11B-4128-9FAE-295C4389DFF6}">
      <text>
        <t>[Threaded comment]
Your version of Excel allows you to read this threaded comment; however, any edits to it will get removed if the file is opened in a newer version of Excel. Learn more: https://go.microsoft.com/fwlink/?linkid=870924
Comment:
    Q1 guide 14.5-14.9</t>
      </text>
    </comment>
    <comment ref="AH225" authorId="101" shapeId="0" xr:uid="{E11D095A-4274-4723-B87F-2AD6EB53B324}">
      <text>
        <t>[Threaded comment]
Your version of Excel allows you to read this threaded comment; however, any edits to it will get removed if the file is opened in a newer version of Excel. Learn more: https://go.microsoft.com/fwlink/?linkid=870924
Comment:
    Q2 guide 11.9-12.3</t>
      </text>
    </comment>
    <comment ref="AI225" authorId="102" shapeId="0" xr:uid="{91F508C9-E291-433D-AD38-287E09F7019F}">
      <text>
        <t>[Threaded comment]
Your version of Excel allows you to read this threaded comment; however, any edits to it will get removed if the file is opened in a newer version of Excel. Learn more: https://go.microsoft.com/fwlink/?linkid=870924
Comment:
    Q3 guide 13.35-13.75</t>
      </text>
    </comment>
    <comment ref="AJ225" authorId="103" shapeId="0" xr:uid="{126E8A4B-3827-4D60-A568-79C78AE1B50E}">
      <text>
        <t>[Threaded comment]
Your version of Excel allows you to read this threaded comment; however, any edits to it will get removed if the file is opened in a newer version of Excel. Learn more: https://go.microsoft.com/fwlink/?linkid=870924
Comment:
    Q4 guide 12.5-12.9</t>
      </text>
    </comment>
    <comment ref="AK225" authorId="104" shapeId="0" xr:uid="{7CD7C127-E8C9-4FE3-887D-6D7D120EC35B}">
      <text>
        <t>[Threaded comment]
Your version of Excel allows you to read this threaded comment; however, any edits to it will get removed if the file is opened in a newer version of Excel. Learn more: https://go.microsoft.com/fwlink/?linkid=870924
Comment:
    Q1 guide 16.5-16.9</t>
      </text>
    </comment>
    <comment ref="AL225" authorId="105" shapeId="0" xr:uid="{38D5A870-1C3F-47C7-BE0F-A9EC3D639967}">
      <text>
        <t>[Threaded comment]
Your version of Excel allows you to read this threaded comment; however, any edits to it will get removed if the file is opened in a newer version of Excel. Learn more: https://go.microsoft.com/fwlink/?linkid=870924
Comment:
    Q2 guide 14.7-15.1</t>
      </text>
    </comment>
    <comment ref="AM225" authorId="106" shapeId="0" xr:uid="{2BC05321-107C-4431-8643-4BC6E9EC8E59}">
      <text>
        <t>[Threaded comment]
Your version of Excel allows you to read this threaded comment; however, any edits to it will get removed if the file is opened in a newer version of Excel. Learn more: https://go.microsoft.com/fwlink/?linkid=870924
Comment:
    Q3 guide 15.2-15.6</t>
      </text>
    </comment>
    <comment ref="AN225" authorId="107" shapeId="0" xr:uid="{A294FDA8-0005-4ACB-A747-233FBEE1352D}">
      <text>
        <t>[Threaded comment]
Your version of Excel allows you to read this threaded comment; however, any edits to it will get removed if the file is opened in a newer version of Excel. Learn more: https://go.microsoft.com/fwlink/?linkid=870924
Comment:
    Q4 guide 14.9-15.3</t>
      </text>
    </comment>
    <comment ref="AE230" authorId="108" shapeId="0" xr:uid="{AB64590A-8181-4A1E-8E22-736ED5ADA5D2}">
      <text>
        <t>[Threaded comment]
Your version of Excel allows you to read this threaded comment; however, any edits to it will get removed if the file is opened in a newer version of Excel. Learn more: https://go.microsoft.com/fwlink/?linkid=870924
Comment:
    10.27.21 - gradually reduce off Q3 three year stack level</t>
      </text>
    </comment>
    <comment ref="AF230" authorId="109" shapeId="0" xr:uid="{C7B0B29E-F0BD-49C3-81A0-E5F134A7C946}">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G230" authorId="110" shapeId="0" xr:uid="{B0F3BAD2-E896-46E7-B808-929778ECB3E5}">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D231" authorId="111" shapeId="0" xr:uid="{5E0EE1F7-2B46-487C-BFF4-059C7B993F7F}">
      <text>
        <t>[Threaded comment]
Your version of Excel allows you to read this threaded comment; however, any edits to it will get removed if the file is opened in a newer version of Excel. Learn more: https://go.microsoft.com/fwlink/?linkid=870924
Comment:
    Adding 350 per quarter for NUAN (only March in FQ3)</t>
      </text>
    </comment>
    <comment ref="AE231" authorId="112" shapeId="0" xr:uid="{4E40657B-E3B4-4207-8EC7-35231709C283}">
      <text>
        <t>[Threaded comment]
Your version of Excel allows you to read this threaded comment; however, any edits to it will get removed if the file is opened in a newer version of Excel. Learn more: https://go.microsoft.com/fwlink/?linkid=870924
Comment:
    10.27.21 - gradually reduce off Q3 three year stack level</t>
      </text>
    </comment>
    <comment ref="AF231" authorId="113" shapeId="0" xr:uid="{ECD5094A-81E9-416A-9708-80AC57073844}">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G231" authorId="114" shapeId="0" xr:uid="{DC160D33-A66A-4BA0-8705-8DD610FFFA43}">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E232" authorId="115" shapeId="0" xr:uid="{F92F7468-363B-44B2-ABEE-E8CAB3DB1ADD}">
      <text>
        <t>[Threaded comment]
Your version of Excel allows you to read this threaded comment; however, any edits to it will get removed if the file is opened in a newer version of Excel. Learn more: https://go.microsoft.com/fwlink/?linkid=870924
Comment:
    10.27.21 - gradually reduce off Q3 three year stack level</t>
      </text>
    </comment>
    <comment ref="AF232" authorId="116" shapeId="0" xr:uid="{AA241C3D-FEB9-4CC7-BC17-2C80C3B99ED2}">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G232" authorId="117" shapeId="0" xr:uid="{204B2B01-04DB-4797-9E8F-BFF5006BBE22}">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G255" authorId="118" shapeId="0" xr:uid="{1C447D6F-42C3-4977-B91F-A90A05D86931}">
      <text>
        <t>[Threaded comment]
Your version of Excel allows you to read this threaded comment; however, any edits to it will get removed if the file is opened in a newer version of Excel. Learn more: https://go.microsoft.com/fwlink/?linkid=870924
Comment:
    Op Income grew +6% (+17% cc) including 3 points of negative impact from Q2 charge</t>
      </text>
    </comment>
    <comment ref="AG256" authorId="119" shapeId="0" xr:uid="{DA6B8991-559E-44FD-9FFF-37B049F61568}">
      <text>
        <t>[Threaded comment]
Your version of Excel allows you to read this threaded comment; however, any edits to it will get removed if the file is opened in a newer version of Excel. Learn more: https://go.microsoft.com/fwlink/?linkid=870924
Comment:
    Op Income grew +7% (+15% cc) including 7 points of negative impact from Q2 charge</t>
      </text>
    </comment>
    <comment ref="AG257" authorId="120" shapeId="0" xr:uid="{D578B69B-BBA0-4E9F-BB17-F7E4C7B88D85}">
      <text>
        <t>[Threaded comment]
Your version of Excel allows you to read this threaded comment; however, any edits to it will get removed if the file is opened in a newer version of Excel. Learn more: https://go.microsoft.com/fwlink/?linkid=870924
Comment:
    Op Income decreased -47% (-40% cc) including 6 points of negative impact from Q2 charge</t>
      </text>
    </comment>
    <comment ref="X259" authorId="121" shapeId="0" xr:uid="{81F9AE90-997E-4DC6-9DB7-DAE812E82D9C}">
      <text>
        <t>[Threaded comment]
Your version of Excel allows you to read this threaded comment; however, any edits to it will get removed if the file is opened in a newer version of Excel. Learn more: https://go.microsoft.com/fwlink/?linkid=870924
Comment:
    13.7 - 14.3 Q4 implied guide</t>
      </text>
    </comment>
    <comment ref="Z259" authorId="122" shapeId="0" xr:uid="{A0B89729-102D-47C0-8D04-6B92A188E61E}">
      <text>
        <t>[Threaded comment]
Your version of Excel allows you to read this threaded comment; however, any edits to it will get removed if the file is opened in a newer version of Excel. Learn more: https://go.microsoft.com/fwlink/?linkid=870924
Comment:
    Q1 midpoint guide of 15.65</t>
      </text>
    </comment>
    <comment ref="AJ378" authorId="123" shapeId="0" xr:uid="{F4153E28-B3C6-448F-A70E-EA9366166916}">
      <text>
        <t>[Threaded comment]
Your version of Excel allows you to read this threaded comment; however, any edits to it will get removed if the file is opened in a newer version of Excel. Learn more: https://go.microsoft.com/fwlink/?linkid=870924
Comment:
    Disclosed as 76.7 in presentation and 18% growth</t>
      </text>
    </comment>
    <comment ref="AN396" authorId="124" shapeId="0" xr:uid="{F0AF7BB2-325A-478A-9E09-348B697F3943}">
      <text>
        <t>[Threaded comment]
Your version of Excel allows you to read this threaded comment; however, any edits to it will get removed if the file is opened in a newer version of Excel. Learn more: https://go.microsoft.com/fwlink/?linkid=870924
Comment:
    27.75-28.05</t>
      </text>
    </comment>
    <comment ref="AJ478" authorId="125" shapeId="0" xr:uid="{C5C93D43-584D-4233-9F0F-79B713E3D78C}">
      <text>
        <t>[Threaded comment]
Your version of Excel allows you to read this threaded comment; however, any edits to it will get removed if the file is opened in a newer version of Excel. Learn more: https://go.microsoft.com/fwlink/?linkid=870924
Comment:
    Disclosed as 76.7 in presentation and 18% growth</t>
      </text>
    </comment>
    <comment ref="R483" authorId="126" shapeId="0" xr:uid="{3995CA94-1B51-49C2-BCD2-18E87CBF1BA8}">
      <text>
        <t>[Threaded comment]
Your version of Excel allows you to read this threaded comment; however, any edits to it will get removed if the file is opened in a newer version of Excel. Learn more: https://go.microsoft.com/fwlink/?linkid=870924
Comment:
    MAUs surpassed 180M</t>
      </text>
    </comment>
    <comment ref="AH514" authorId="127" shapeId="0" xr:uid="{606C3099-A90B-42B2-B244-BFA3BD87C016}">
      <text>
        <t xml:space="preserve">[Threaded comment]
Your version of Excel allows you to read this threaded comment; however, any edits to it will get removed if the file is opened in a newer version of Excel. Learn more: https://go.microsoft.com/fwlink/?linkid=870924
Comment:
    In Office Commercial, revenue growth will again be driven by Office 365 with seat growth across customer segments and ARPU growth thru E5. We expect Office 365 revenue growth to be sequentially lower by roughly one point on a constant currency basis. In our on-premises business, we expect revenue to decline in the mid 20s </t>
      </text>
    </comment>
    <comment ref="AH515" authorId="128" shapeId="0" xr:uid="{A4463A9A-EE03-4B06-8653-E9483B5425F8}">
      <text>
        <t xml:space="preserve">[Threaded comment]
Your version of Excel allows you to read this threaded comment; however, any edits to it will get removed if the file is opened in a newer version of Excel. Learn more: https://go.microsoft.com/fwlink/?linkid=870924
Comment:
    In Office consumer, we expect revenue growth in the low-single digits, driven by Microsoft 365 subscriptions. </t>
      </text>
    </comment>
    <comment ref="AH518" authorId="129" shapeId="0" xr:uid="{562B30C3-B8B1-4335-94A8-EF085A6120AD}">
      <text>
        <t xml:space="preserve">[Threaded comment]
Your version of Excel allows you to read this threaded comment; however, any edits to it will get removed if the file is opened in a newer version of Excel. Learn more: https://go.microsoft.com/fwlink/?linkid=870924
Comment:
    LinkedIn and Search will be impacted as ad market spending remains a bit cautious. 
For LinkedIn, we expect mid-single digits revenue growth with continued strong engagement on the platform, although impacted by the advertising trends noted earlier and a slowdown in hiring, particularly in the technology industry where we have significant exposure. </t>
      </text>
    </comment>
    <comment ref="AH519" authorId="130" shapeId="0" xr:uid="{65E53EBD-A2FD-4500-B4BC-DEB9C5A39AD3}">
      <text>
        <t xml:space="preserve">[Threaded comment]
Your version of Excel allows you to read this threaded comment; however, any edits to it will get removed if the file is opened in a newer version of Excel. Learn more: https://go.microsoft.com/fwlink/?linkid=870924
Comment:
    And in Dynamics, we expect revenue growth in the low to mid-teens driven by continued growth in Dynamics 365 which is now over 80 percent of total Dynamics revenue </t>
      </text>
    </comment>
    <comment ref="AN520" authorId="131" shapeId="0" xr:uid="{1EBF5000-E6B8-4BD3-AC7E-C5AD5AD87478}">
      <text>
        <t>[Threaded comment]
Your version of Excel allows you to read this threaded comment; however, any edits to it will get removed if the file is opened in a newer version of Excel. Learn more: https://go.microsoft.com/fwlink/?linkid=870924
Comment:
    20.3-20.6</t>
      </text>
    </comment>
    <comment ref="AI523" authorId="132" shapeId="0" xr:uid="{3CB1448C-8DCF-468A-85B8-6EFB40BBCC75}">
      <text>
        <t>[Threaded comment]
Your version of Excel allows you to read this threaded comment; however, any edits to it will get removed if the file is opened in a newer version of Excel. Learn more: https://go.microsoft.com/fwlink/?linkid=870924
Comment:
    Q3 call: +16% YoY cc</t>
      </text>
    </comment>
    <comment ref="AI524" authorId="133" shapeId="0" xr:uid="{B955D955-2B35-4660-AA4A-62C35BC8E359}">
      <text>
        <t>[Threaded comment]
Your version of Excel allows you to read this threaded comment; however, any edits to it will get removed if the file is opened in a newer version of Excel. Learn more: https://go.microsoft.com/fwlink/?linkid=870924
Comment:
    Q3 call: +MSD% YoY</t>
      </text>
    </comment>
    <comment ref="AI526" authorId="134" shapeId="0" xr:uid="{DEB41D76-D985-418E-8259-D1A568402546}">
      <text>
        <t>[Threaded comment]
Your version of Excel allows you to read this threaded comment; however, any edits to it will get removed if the file is opened in a newer version of Excel. Learn more: https://go.microsoft.com/fwlink/?linkid=870924
Comment:
    Q3 call: +MSD% YoY</t>
      </text>
    </comment>
    <comment ref="AI527" authorId="135" shapeId="0" xr:uid="{C2EF436D-27EA-428B-BF7A-F2F9920E23F8}">
      <text>
        <t>[Threaded comment]
Your version of Excel allows you to read this threaded comment; however, any edits to it will get removed if the file is opened in a newer version of Excel. Learn more: https://go.microsoft.com/fwlink/?linkid=870924
Comment:
    Q3 call: +High Teens% YoY</t>
      </text>
    </comment>
    <comment ref="AH645" authorId="136" shapeId="0" xr:uid="{38B046E4-7D16-459F-8707-AFBCDBFA8D3C}">
      <text>
        <t xml:space="preserve">[Threaded comment]
Your version of Excel allows you to read this threaded comment; however, any edits to it will get removed if the file is opened in a newer version of Excel. Learn more: https://go.microsoft.com/fwlink/?linkid=870924
Comment:
    we exited Q2 with Azure growth in the mid 30s in constant currency and from that, we expect Q3 growth to decelerate roughly 4 to 5 points in constant currency. FX impact in Azure is about a point more than at the segment level. </t>
      </text>
    </comment>
    <comment ref="AH646" authorId="137" shapeId="0" xr:uid="{134A20E5-D4B1-4C49-8D3E-8F069C0DFE18}">
      <text>
        <t>[Threaded comment]
Your version of Excel allows you to read this threaded comment; however, any edits to it will get removed if the file is opened in a newer version of Excel. Learn more: https://go.microsoft.com/fwlink/?linkid=870924
Comment:
    In our on-premises server business, we expect revenue to decline low-single digits as demand for our hybrid solutions will be more than offset by unfavorable FX impact</t>
      </text>
    </comment>
    <comment ref="AH648" authorId="138" shapeId="0" xr:uid="{487D3926-A418-494C-BD8F-B013685323C5}">
      <text>
        <t xml:space="preserve">[Threaded comment]
Your version of Excel allows you to read this threaded comment; however, any edits to it will get removed if the file is opened in a newer version of Excel. Learn more: https://go.microsoft.com/fwlink/?linkid=870924
Comment:
    And in Enterprise Services, revenue should decline low to mid-single digits, driven by Microsoft Consulting Services. </t>
      </text>
    </comment>
    <comment ref="AN650" authorId="139" shapeId="0" xr:uid="{0478858E-126E-47B4-931D-FFEBCF537E06}">
      <text>
        <t>[Threaded comment]
Your version of Excel allows you to read this threaded comment; however, any edits to it will get removed if the file is opened in a newer version of Excel. Learn more: https://go.microsoft.com/fwlink/?linkid=870924
Comment:
    28.6-28.9</t>
      </text>
    </comment>
    <comment ref="AI655" authorId="140" shapeId="0" xr:uid="{F479B80A-04A1-44F9-BDB2-5F3CAE1FC3AB}">
      <text>
        <t>[Threaded comment]
Your version of Excel allows you to read this threaded comment; however, any edits to it will get removed if the file is opened in a newer version of Excel. Learn more: https://go.microsoft.com/fwlink/?linkid=870924
Comment:
    Q3 call: +25-26% YoY cc</t>
      </text>
    </comment>
    <comment ref="AI656" authorId="141" shapeId="0" xr:uid="{8395CFD7-3503-41AF-B0AB-F590E62A3559}">
      <text>
        <t>[Threaded comment]
Your version of Excel allows you to read this threaded comment; however, any edits to it will get removed if the file is opened in a newer version of Excel. Learn more: https://go.microsoft.com/fwlink/?linkid=870924
Comment:
    Q3 call: decline LSD%</t>
      </text>
    </comment>
    <comment ref="AI658" authorId="142" shapeId="0" xr:uid="{8DD40CD5-1FAA-4AEA-B2BE-514142561DEB}">
      <text>
        <t>[Threaded comment]
Your version of Excel allows you to read this threaded comment; however, any edits to it will get removed if the file is opened in a newer version of Excel. Learn more: https://go.microsoft.com/fwlink/?linkid=870924
Comment:
    Q3: Relatively unchanged YoY</t>
      </text>
    </comment>
    <comment ref="AH672" authorId="143" shapeId="0" xr:uid="{13F09FCD-E5CF-4B1C-9CBD-C36A0208FF93}">
      <text>
        <t>[Threaded comment]
Your version of Excel allows you to read this threaded comment; however, any edits to it will get removed if the file is opened in a newer version of Excel. Learn more: https://go.microsoft.com/fwlink/?linkid=870924
Comment:
    In our on-premises server business, we expect revenue to decline low-single digits as demand for our hybrid solutions will be more than offset by unfavorable FX impact</t>
      </text>
    </comment>
    <comment ref="AH674" authorId="144" shapeId="0" xr:uid="{4977E416-5E33-4C8B-A7C8-658ACCAC9316}">
      <text>
        <t xml:space="preserve">[Threaded comment]
Your version of Excel allows you to read this threaded comment; however, any edits to it will get removed if the file is opened in a newer version of Excel. Learn more: https://go.microsoft.com/fwlink/?linkid=870924
Comment:
    And in Enterprise Services, revenue should decline low to mid-single digits, driven by Microsoft Consulting Services. </t>
      </text>
    </comment>
    <comment ref="AN676" authorId="145" shapeId="0" xr:uid="{8954FBA8-D9DB-4364-9101-BCFD72C2CCFD}">
      <text>
        <t>[Threaded comment]
Your version of Excel allows you to read this threaded comment; however, any edits to it will get removed if the file is opened in a newer version of Excel. Learn more: https://go.microsoft.com/fwlink/?linkid=870924
Comment:
    23.8-24.1</t>
      </text>
    </comment>
    <comment ref="AM699" authorId="146" shapeId="0" xr:uid="{E31D2AE9-B35B-4C88-ACF9-0BFFE8DA4952}">
      <text>
        <t>[Threaded comment]
Your version of Excel allows you to read this threaded comment; however, any edits to it will get removed if the file is opened in a newer version of Excel. Learn more: https://go.microsoft.com/fwlink/?linkid=870924
Comment:
    45% contribution to growth per call</t>
      </text>
    </comment>
    <comment ref="AK707" authorId="147" shapeId="0" xr:uid="{BD37BF62-661F-4D80-A5E1-165BD4F48DEE}">
      <text>
        <t xml:space="preserve">[Threaded comment]
Your version of Excel allows you to read this threaded comment; however, any edits to it will get removed if the file is opened in a newer version of Excel. Learn more: https://go.microsoft.com/fwlink/?linkid=870924
Comment:
    Add back 580 of ATVI deal costs </t>
      </text>
    </comment>
    <comment ref="AL707" authorId="148" shapeId="0" xr:uid="{14AC0011-C561-4503-BEF9-96B519C84647}">
      <text>
        <t>[Threaded comment]
Your version of Excel allows you to read this threaded comment; however, any edits to it will get removed if the file is opened in a newer version of Excel. Learn more: https://go.microsoft.com/fwlink/?linkid=870924
Comment:
    Add back 670 of ATVI deal costs (PPA)</t>
      </text>
    </comment>
    <comment ref="AM707" authorId="149" shapeId="0" xr:uid="{92FF4FD7-51F5-46D5-90A9-8181A09BA2B2}">
      <text>
        <t>[Threaded comment]
Your version of Excel allows you to read this threaded comment; however, any edits to it will get removed if the file is opened in a newer version of Excel. Learn more: https://go.microsoft.com/fwlink/?linkid=870924
Comment:
    Add back 690 of ATVI deal costs (PPA)</t>
      </text>
    </comment>
    <comment ref="AN707" authorId="150" shapeId="0" xr:uid="{25788F53-E9AE-4F2E-9E7A-CD64E5476313}">
      <text>
        <t>[Threaded comment]
Your version of Excel allows you to read this threaded comment; however, any edits to it will get removed if the file is opened in a newer version of Excel. Learn more: https://go.microsoft.com/fwlink/?linkid=870924
Comment:
    Add back 680 of ATVI deal costs (PPA)</t>
      </text>
    </comment>
    <comment ref="AK714" authorId="151" shapeId="0" xr:uid="{E75DA4F4-20CD-4CCA-BDEB-02DC5774FE05}">
      <text>
        <t xml:space="preserve">[Threaded comment]
Your version of Excel allows you to read this threaded comment; however, any edits to it will get removed if the file is opened in a newer version of Excel. Learn more: https://go.microsoft.com/fwlink/?linkid=870924
Comment:
    Add back 550 of ATVI deal costs </t>
      </text>
    </comment>
    <comment ref="AL714" authorId="152" shapeId="0" xr:uid="{6FD9E7E9-0A80-4CD9-BE92-1B704D35BC39}">
      <text>
        <t xml:space="preserve">[Threaded comment]
Your version of Excel allows you to read this threaded comment; however, any edits to it will get removed if the file is opened in a newer version of Excel. Learn more: https://go.microsoft.com/fwlink/?linkid=870924
Comment:
    Add back 270 of ATVI deal costs </t>
      </text>
    </comment>
    <comment ref="AM714" authorId="153" shapeId="0" xr:uid="{51C1F3E9-2C6B-41C0-A3DE-F885CC164152}">
      <text>
        <t xml:space="preserve">[Threaded comment]
Your version of Excel allows you to read this threaded comment; however, any edits to it will get removed if the file is opened in a newer version of Excel. Learn more: https://go.microsoft.com/fwlink/?linkid=870924
Comment:
    Add back 250 of ATVI deal costs </t>
      </text>
    </comment>
    <comment ref="AN714" authorId="154" shapeId="0" xr:uid="{427A1348-C469-4873-A362-1EA22DCC1800}">
      <text>
        <t xml:space="preserve">[Threaded comment]
Your version of Excel allows you to read this threaded comment; however, any edits to it will get removed if the file is opened in a newer version of Excel. Learn more: https://go.microsoft.com/fwlink/?linkid=870924
Comment:
    Add back 230 of ATVI deal costs </t>
      </text>
    </comment>
    <comment ref="B770" authorId="155" shapeId="0" xr:uid="{0F3D4D4E-CE9D-4FE4-A662-BC624CA9624A}">
      <text>
        <t>[Threaded comment]
Your version of Excel allows you to read this threaded comment; however, any edits to it will get removed if the file is opened in a newer version of Excel. Learn more: https://go.microsoft.com/fwlink/?linkid=870924
Comment:
    GS history and estimates</t>
      </text>
    </comment>
    <comment ref="B777" authorId="156" shapeId="0" xr:uid="{A9C368BA-29BA-43C3-917D-AA4F26B6B5F4}">
      <text>
        <t>[Threaded comment]
Your version of Excel allows you to read this threaded comment; however, any edits to it will get removed if the file is opened in a newer version of Excel. Learn more: https://go.microsoft.com/fwlink/?linkid=870924
Comment:
    GS history and estimates</t>
      </text>
    </comment>
    <comment ref="B780" authorId="157" shapeId="0" xr:uid="{AC6D0CC0-177E-4233-8361-5BE476D74B5A}">
      <text>
        <t>[Threaded comment]
Your version of Excel allows you to read this threaded comment; however, any edits to it will get removed if the file is opened in a newer version of Excel. Learn more: https://go.microsoft.com/fwlink/?linkid=870924
Comment:
    GS history and estimates</t>
      </text>
    </comment>
    <comment ref="B788" authorId="158" shapeId="0" xr:uid="{94FF27F9-B31B-4CE3-B1AE-C0DEBF25B13B}">
      <text>
        <t>[Threaded comment]
Your version of Excel allows you to read this threaded comment; however, any edits to it will get removed if the file is opened in a newer version of Excel. Learn more: https://go.microsoft.com/fwlink/?linkid=870924
Comment:
    GS history and estimates</t>
      </text>
    </comment>
    <comment ref="AK805" authorId="159" shapeId="0" xr:uid="{B94F0CE3-3A28-4889-9F20-D53F0061CA10}">
      <text>
        <t xml:space="preserve">[Threaded comment]
Your version of Excel allows you to read this threaded comment; however, any edits to it will get removed if the file is opened in a newer version of Excel. Learn more: https://go.microsoft.com/fwlink/?linkid=870924
Comment:
    Add back 580 of ATVI deal costs </t>
      </text>
    </comment>
    <comment ref="AL805" authorId="160" shapeId="0" xr:uid="{7DDE7E06-85CF-4679-B103-A78E0AE07B30}">
      <text>
        <t>[Threaded comment]
Your version of Excel allows you to read this threaded comment; however, any edits to it will get removed if the file is opened in a newer version of Excel. Learn more: https://go.microsoft.com/fwlink/?linkid=870924
Comment:
    Add back 670 of ATVI deal costs (PPA)</t>
      </text>
    </comment>
    <comment ref="AM805" authorId="161" shapeId="0" xr:uid="{30F80D6A-ED2E-49E1-A26C-91B54BF133D4}">
      <text>
        <t>[Threaded comment]
Your version of Excel allows you to read this threaded comment; however, any edits to it will get removed if the file is opened in a newer version of Excel. Learn more: https://go.microsoft.com/fwlink/?linkid=870924
Comment:
    Add back 690 of ATVI deal costs (PPA)</t>
      </text>
    </comment>
    <comment ref="AN805" authorId="162" shapeId="0" xr:uid="{6B19A769-02FE-4956-8577-5E079922BFA5}">
      <text>
        <t>[Threaded comment]
Your version of Excel allows you to read this threaded comment; however, any edits to it will get removed if the file is opened in a newer version of Excel. Learn more: https://go.microsoft.com/fwlink/?linkid=870924
Comment:
    Add back 680 of ATVI deal costs (PPA)</t>
      </text>
    </comment>
    <comment ref="AK813" authorId="163" shapeId="0" xr:uid="{6CCA5FB0-E321-4DA2-A2F7-52B66AA954F5}">
      <text>
        <t xml:space="preserve">[Threaded comment]
Your version of Excel allows you to read this threaded comment; however, any edits to it will get removed if the file is opened in a newer version of Excel. Learn more: https://go.microsoft.com/fwlink/?linkid=870924
Comment:
    $400 million from purchase accounting adjustments, integration and transaction-related costs from the Activision acquisition </t>
      </text>
    </comment>
    <comment ref="BR813" authorId="164" shapeId="0" xr:uid="{6AC7D8F2-1619-4667-A778-1521B64D1F9D}">
      <text>
        <t xml:space="preserve">[Threaded comment]
Your version of Excel allows you to read this threaded comment; however, any edits to it will get removed if the file is opened in a newer version of Excel. Learn more: https://go.microsoft.com/fwlink/?linkid=870924
Comment:
    $400 million from purchase accounting adjustments, integration and transaction-related costs from the Activision acquisition </t>
      </text>
    </comment>
    <comment ref="AK814" authorId="165" shapeId="0" xr:uid="{E57F3BC7-2785-4253-A2F6-AD20612D199D}">
      <text>
        <t xml:space="preserve">[Threaded comment]
Your version of Excel allows you to read this threaded comment; however, any edits to it will get removed if the file is opened in a newer version of Excel. Learn more: https://go.microsoft.com/fwlink/?linkid=870924
Comment:
    Add back 550 of ATVI deal costs </t>
      </text>
    </comment>
    <comment ref="AL814" authorId="166" shapeId="0" xr:uid="{86A2A3EB-BF20-485A-A2AB-8FCEF5F2E03A}">
      <text>
        <t xml:space="preserve">[Threaded comment]
Your version of Excel allows you to read this threaded comment; however, any edits to it will get removed if the file is opened in a newer version of Excel. Learn more: https://go.microsoft.com/fwlink/?linkid=870924
Comment:
    Add back 270 of ATVI deal costs </t>
      </text>
    </comment>
    <comment ref="AM814" authorId="167" shapeId="0" xr:uid="{E888A63D-98E1-41DF-8486-5C3E6025E8CB}">
      <text>
        <t xml:space="preserve">[Threaded comment]
Your version of Excel allows you to read this threaded comment; however, any edits to it will get removed if the file is opened in a newer version of Excel. Learn more: https://go.microsoft.com/fwlink/?linkid=870924
Comment:
    Add back 250 of ATVI deal costs </t>
      </text>
    </comment>
    <comment ref="AN814" authorId="168" shapeId="0" xr:uid="{316F6916-2FC8-4F14-BEE2-00FE6A03C550}">
      <text>
        <t xml:space="preserve">[Threaded comment]
Your version of Excel allows you to read this threaded comment; however, any edits to it will get removed if the file is opened in a newer version of Excel. Learn more: https://go.microsoft.com/fwlink/?linkid=870924
Comment:
    Add back 230 of ATVI deal costs </t>
      </text>
    </comment>
    <comment ref="AK823" authorId="169" shapeId="0" xr:uid="{C3585ACF-921F-4F27-B7B0-D986E1478671}">
      <text>
        <t xml:space="preserve">[Threaded comment]
Your version of Excel allows you to read this threaded comment; however, any edits to it will get removed if the file is opened in a newer version of Excel. Learn more: https://go.microsoft.com/fwlink/?linkid=870924
Comment:
    $400 million from purchase accounting adjustments, integration and transaction-related costs from the Activision acquisition </t>
      </text>
    </comment>
    <comment ref="AL823" authorId="170" shapeId="0" xr:uid="{E1417AD0-A45D-40BE-87BB-5FC7A3E5F65A}">
      <text>
        <t xml:space="preserve">[Threaded comment]
Your version of Excel allows you to read this threaded comment; however, any edits to it will get removed if the file is opened in a newer version of Excel. Learn more: https://go.microsoft.com/fwlink/?linkid=870924
Comment:
    $400 million from purchase accounting adjustments, integration and transaction-related costs from the Activision acquisition </t>
      </text>
    </comment>
    <comment ref="AM823" authorId="171" shapeId="0" xr:uid="{883F696D-5629-41B9-BD91-13F496D48BD4}">
      <text>
        <t xml:space="preserve">[Threaded comment]
Your version of Excel allows you to read this threaded comment; however, any edits to it will get removed if the file is opened in a newer version of Excel. Learn more: https://go.microsoft.com/fwlink/?linkid=870924
Comment:
    $400 million from purchase accounting adjustments, integration and transaction-related costs from the Activision acquisition </t>
      </text>
    </comment>
    <comment ref="AH861" authorId="172" shapeId="0" xr:uid="{DB99AAC7-932C-4753-ACC0-73BB790DD287}">
      <text>
        <t xml:space="preserve">[Threaded comment]
Your version of Excel allows you to read this threaded comment; however, any edits to it will get removed if the file is opened in a newer version of Excel. Learn more: https://go.microsoft.com/fwlink/?linkid=870924
Comment:
    In our consumer business, Windows OEM and Devices will see continued declines as the PC market returns to pre-pandemic levels. </t>
      </text>
    </comment>
    <comment ref="AH862" authorId="173" shapeId="0" xr:uid="{C5F4CE0D-705A-4584-A290-108564FC54B3}">
      <text>
        <t xml:space="preserve">[Threaded comment]
Your version of Excel allows you to read this threaded comment; however, any edits to it will get removed if the file is opened in a newer version of Excel. Learn more: https://go.microsoft.com/fwlink/?linkid=870924
Comment:
    Windows OEM revenue should decline in the mid-to-high 30s in line with the PC market. We expect Q3 PC units to be similar to pre-pandemic levels. </t>
      </text>
    </comment>
    <comment ref="AH864" authorId="174" shapeId="0" xr:uid="{B2EBB012-641D-4208-8B53-D21BABD2F1F5}">
      <text>
        <t xml:space="preserve">[Threaded comment]
Your version of Excel allows you to read this threaded comment; however, any edits to it will get removed if the file is opened in a newer version of Excel. Learn more: https://go.microsoft.com/fwlink/?linkid=870924
Comment:
    And in Gaming, on a prior year comparable that benefited from increased console supply, we expect revenue to decline in the high-single digits </t>
      </text>
    </comment>
    <comment ref="AH865" authorId="175" shapeId="0" xr:uid="{C005B130-A559-45C3-ABCD-04F49BA23201}">
      <text>
        <t xml:space="preserve">[Threaded comment]
Your version of Excel allows you to read this threaded comment; however, any edits to it will get removed if the file is opened in a newer version of Excel. Learn more: https://go.microsoft.com/fwlink/?linkid=870924
Comment:
    LinkedIn and Search will be impacted as ad market spending remains a bit cautious. 
Search and news advertising ex-TAC should grow high-single digits, roughly 7 points faster than overall Search and news advertising revenue, driven by continued volume strength supported by Edge browser share gains and the inclusion of Xandr. </t>
      </text>
    </comment>
    <comment ref="AH866" authorId="176" shapeId="0" xr:uid="{62EC320A-38ED-4906-9941-0D2C98E591DC}">
      <text>
        <t xml:space="preserve">[Threaded comment]
Your version of Excel allows you to read this threaded comment; however, any edits to it will get removed if the file is opened in a newer version of Excel. Learn more: https://go.microsoft.com/fwlink/?linkid=870924
Comment:
    In Devices, revenue should decline in the mid 40s, as we work through the execution challenges noted earlier. </t>
      </text>
    </comment>
    <comment ref="AI866" authorId="177" shapeId="0" xr:uid="{7BEB556E-2E15-4606-8F93-C4773FD49236}">
      <text>
        <t xml:space="preserve">[Threaded comment]
Your version of Excel allows you to read this threaded comment; however, any edits to it will get removed if the file is opened in a newer version of Excel. Learn more: https://go.microsoft.com/fwlink/?linkid=870924
Comment:
    In Devices, revenue should decline in the mid 40s, as we work through the execution challenges noted earlier. </t>
      </text>
    </comment>
    <comment ref="AM867" authorId="178" shapeId="0" xr:uid="{6B991CDA-943D-4F8E-A722-A860A8AE1563}">
      <text>
        <t>[Threaded comment]
Your version of Excel allows you to read this threaded comment; however, any edits to it will get removed if the file is opened in a newer version of Excel. Learn more: https://go.microsoft.com/fwlink/?linkid=870924
Comment:
    45% contribution to growth per call</t>
      </text>
    </comment>
    <comment ref="AN868" authorId="179" shapeId="0" xr:uid="{5BD67FEC-EE0D-4ED4-89DA-6DAED9278509}">
      <text>
        <t>[Threaded comment]
Your version of Excel allows you to read this threaded comment; however, any edits to it will get removed if the file is opened in a newer version of Excel. Learn more: https://go.microsoft.com/fwlink/?linkid=870924
Comment:
    14.9-15.3</t>
      </text>
    </comment>
    <comment ref="AN869" authorId="180" shapeId="0" xr:uid="{04D5F9D7-02E6-4D3B-8882-312758732C16}">
      <text>
        <t>[Threaded comment]
Your version of Excel allows you to read this threaded comment; however, any edits to it will get removed if the file is opened in a newer version of Excel. Learn more: https://go.microsoft.com/fwlink/?linkid=870924
Comment:
    12.25-12.65</t>
      </text>
    </comment>
    <comment ref="AI873" authorId="181" shapeId="0" xr:uid="{45801B4D-0426-4F09-AD4E-75E9E1FC92CE}">
      <text>
        <t>[Threaded comment]
Your version of Excel allows you to read this threaded comment; however, any edits to it will get removed if the file is opened in a newer version of Excel. Learn more: https://go.microsoft.com/fwlink/?linkid=870924
Comment:
    Q3 Call: Decline Low to Mid 20s</t>
      </text>
    </comment>
    <comment ref="AI875" authorId="182" shapeId="0" xr:uid="{20B568C9-4DFC-41FA-A157-A447ADD952D2}">
      <text>
        <t xml:space="preserve">[Threaded comment]
Your version of Excel allows you to read this threaded comment; however, any edits to it will get removed if the file is opened in a newer version of Excel. Learn more: https://go.microsoft.com/fwlink/?linkid=870924
Comment:
    Q3 Call: Mid-to-High SD growth </t>
      </text>
    </comment>
    <comment ref="AI876" authorId="183" shapeId="0" xr:uid="{0D588F50-24DC-4274-84EA-D21923770750}">
      <text>
        <t>[Threaded comment]
Your version of Excel allows you to read this threaded comment; however, any edits to it will get removed if the file is opened in a newer version of Excel. Learn more: https://go.microsoft.com/fwlink/?linkid=870924
Comment:
    Q3: ~10% YoY</t>
      </text>
    </comment>
    <comment ref="AI877" authorId="184" shapeId="0" xr:uid="{91DAFE70-5E7C-48B8-884D-EE451D393C32}">
      <text>
        <t>[Threaded comment]
Your version of Excel allows you to read this threaded comment; however, any edits to it will get removed if the file is opened in a newer version of Excel. Learn more: https://go.microsoft.com/fwlink/?linkid=870924
Comment:
    Q3: Decline Low to Mid 20s</t>
      </text>
    </comment>
    <comment ref="W905" authorId="185" shapeId="0" xr:uid="{88CEAB99-648E-46F6-B7F0-A70A3DE3DA04}">
      <text>
        <t>[Threaded comment]
Your version of Excel allows you to read this threaded comment; however, any edits to it will get removed if the file is opened in a newer version of Excel. Learn more: https://go.microsoft.com/fwlink/?linkid=870924
Comment:
    11.8-11.9 guide</t>
      </text>
    </comment>
    <comment ref="AG924" authorId="186" shapeId="0" xr:uid="{A8292145-08FA-4975-8C4C-8F97EF8F0BE1}">
      <text>
        <t>[Threaded comment]
Your version of Excel allows you to read this threaded comment; however, any edits to it will get removed if the file is opened in a newer version of Excel. Learn more: https://go.microsoft.com/fwlink/?linkid=870924
Comment:
    “Sequentially &lt;1%”</t>
      </text>
    </comment>
    <comment ref="H1166" authorId="187" shapeId="0" xr:uid="{96F22923-95B5-49FD-A8D0-AF1B1859E1F1}">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I1166" authorId="188" shapeId="0" xr:uid="{3E2DE43E-5A53-490D-B8CD-79339B87C49E}">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J1166" authorId="189" shapeId="0" xr:uid="{71AADB76-C982-4789-A8E9-E48863D7BDE8}">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K1166" authorId="190" shapeId="0" xr:uid="{4CEA7E78-AAD9-4F7A-B967-0B7B1D17021F}">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L1166" authorId="191" shapeId="0" xr:uid="{9A51D814-3896-4D3F-8FE2-14FB7A5FC1A5}">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M1166" authorId="192" shapeId="0" xr:uid="{E96C3756-9FD4-4357-8135-A2DB47306BFB}">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N1166" authorId="193" shapeId="0" xr:uid="{A3B48793-19D3-4E10-BA79-94D9A1B30003}">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O1166" authorId="194" shapeId="0" xr:uid="{A084B67C-10CD-4F0C-98FD-14CB0B6BC806}">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P1166" authorId="195" shapeId="0" xr:uid="{436A7C3A-6CB1-4C88-8D02-D0D4758C06AE}">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Q1166" authorId="196" shapeId="0" xr:uid="{6599CFE0-641E-4DD9-A865-BC2DED8AE64C}">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R1166" authorId="197" shapeId="0" xr:uid="{8A8AE4C5-16B5-4C8F-A523-923010E3975D}">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S1166" authorId="198" shapeId="0" xr:uid="{BB70CABD-64F3-4F58-9A26-88D383E5547A}">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T1166" authorId="199" shapeId="0" xr:uid="{9019D5D0-17E9-4033-9647-A73C89F2AB02}">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U1166" authorId="200" shapeId="0" xr:uid="{AFAD4310-D6B9-49B4-B0F3-677FCF888181}">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V1166" authorId="201" shapeId="0" xr:uid="{84F3A8D7-8BAF-4506-B348-9896962DD6E2}">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W1166" authorId="202" shapeId="0" xr:uid="{F23A66A4-BE57-43AB-A154-B372B000CE7E}">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tc={24849539-4734-4ACE-9FF2-6A0BDAA128E6}</author>
    <author>tc={7B42998B-14DB-4217-A393-7C0D9ADE7EBA}</author>
    <author>tc={2ABCE714-69CC-4C2F-B1A5-4C5177CD1BEB}</author>
    <author>tc={65B46C8F-3FED-4EC2-81E8-10824251AFEA}</author>
    <author>tc={6B182B20-BAC8-409D-B183-F520EC807C90}</author>
    <author>tc={502B9DDF-06A7-427F-A05F-0A596703B96F}</author>
    <author>tc={12F4006B-79DA-47C4-AAE4-61E18CC12D4D}</author>
  </authors>
  <commentList>
    <comment ref="N15" authorId="0" shapeId="0" xr:uid="{24849539-4734-4ACE-9FF2-6A0BDAA128E6}">
      <text>
        <t>[Threaded comment]
Your version of Excel allows you to read this threaded comment; however, any edits to it will get removed if the file is opened in a newer version of Excel. Learn more: https://go.microsoft.com/fwlink/?linkid=870924
Comment:
    "And operating margins expanded 4 points yearover-year to 43%, including roughly 2 points of favorable impact from the change in accounting estimate."</t>
      </text>
    </comment>
    <comment ref="O15" authorId="1" shapeId="0" xr:uid="{7B42998B-14DB-4217-A393-7C0D9ADE7EBA}">
      <text>
        <t>[Threaded comment]
Your version of Excel allows you to read this threaded comment; however, any edits to it will get removed if the file is opened in a newer version of Excel. Learn more: https://go.microsoft.com/fwlink/?linkid=870924
Comment:
    "Operating income increased 29% and 26% in constant currency, and operating margins expanded 4 points
year-over-year to 42%, including roughly 2 points of favorable impact from the change in accounting
estimate"</t>
      </text>
    </comment>
    <comment ref="P15" authorId="2" shapeId="0" xr:uid="{2ABCE714-69CC-4C2F-B1A5-4C5177CD1BEB}">
      <text>
        <t>[Threaded comment]
Your version of Excel allows you to read this threaded comment; however, any edits to it will get removed if the file is opened in a newer version of Excel. Learn more: https://go.microsoft.com/fwlink/?linkid=870924
Comment:
    "Year-over-year growth in operating expense includes roughly 2 points of impact from continued COVIDrelated savings. Operating income increased 31% and 27% in constant currency, and operating margins
expanded 4 points year-over-year to 41%, including nearly 2 points of favorable impact from the change
in accounting estimate"</t>
      </text>
    </comment>
    <comment ref="Q15" authorId="3" shapeId="0" xr:uid="{65B46C8F-3FED-4EC2-81E8-10824251AFEA}">
      <text>
        <t>[Threaded comment]
Your version of Excel allows you to read this threaded comment; however, any edits to it will get removed if the file is opened in a newer version of Excel. Learn more: https://go.microsoft.com/fwlink/?linkid=870924
Comment:
    "Operating income increased 42% and 35% in constant currency, and operating margins expanded 6 points year-over-year to 41%, including roughly 2 points of impact from the retail stores charge and increase in bad debt expense in the prior year and nearly 1 point of favorable impact from the change in accounting estimate"</t>
      </text>
    </comment>
    <comment ref="R15" authorId="4" shapeId="0" xr:uid="{6B182B20-BAC8-409D-B183-F520EC807C90}">
      <text>
        <t>[Threaded comment]
Your version of Excel allows you to read this threaded comment; however, any edits to it will get removed if the file is opened in a newer version of Excel. Learn more: https://go.microsoft.com/fwlink/?linkid=870924
Comment:
    "Operating income increased 27% and 24% in constant currency, and operating margins expanded 2 points year-over-year to 45%. Excluding the impact of the change in accounting estimate, operating margins expanded roughly 4 points year-over-year."</t>
      </text>
    </comment>
    <comment ref="S15" authorId="5" shapeId="0" xr:uid="{502B9DDF-06A7-427F-A05F-0A596703B96F}">
      <text>
        <t>[Threaded comment]
Your version of Excel allows you to read this threaded comment; however, any edits to it will get removed if the file is opened in a newer version of Excel. Learn more: https://go.microsoft.com/fwlink/?linkid=870924
Comment:
    "Operating income increased 24% and operating margins expanded 1 point year-over-year to 43%. Excluding the impact of the change in accounting estimate, operating margins expanded roughly 3 points year-over-year."</t>
      </text>
    </comment>
    <comment ref="T15" authorId="6" shapeId="0" xr:uid="{12F4006B-79DA-47C4-AAE4-61E18CC12D4D}">
      <text>
        <t>[Threaded comment]
Your version of Excel allows you to read this threaded comment; however, any edits to it will get removed if the file is opened in a newer version of Excel. Learn more: https://go.microsoft.com/fwlink/?linkid=870924
Comment:
    "Operating income increased 19% and 23% in constant currency, and operating margins increased slightly year-over-year to 41%. Excluding the impact of the change in accounting estimate, operating margins expanded roughly 2 points year-over-year."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Gilbert, Seth</author>
    <author>tc={58B786EC-52DE-4720-A5F8-12D5C3EBC1A0}</author>
    <author>tc={0FF52E78-1BC6-4008-B6FE-F6047F901120}</author>
  </authors>
  <commentList>
    <comment ref="B9" authorId="0" shapeId="0" xr:uid="{CA7CC39B-E0EE-4347-85CC-B8048A51DFF0}">
      <text>
        <r>
          <rPr>
            <b/>
            <sz val="9"/>
            <color indexed="81"/>
            <rFont val="Tahoma"/>
            <family val="2"/>
          </rPr>
          <t>Gilbert, Seth:</t>
        </r>
        <r>
          <rPr>
            <sz val="9"/>
            <color indexed="81"/>
            <rFont val="Tahoma"/>
            <family val="2"/>
          </rPr>
          <t xml:space="preserve">
Start reporting</t>
        </r>
      </text>
    </comment>
    <comment ref="BP10" authorId="0" shapeId="0" xr:uid="{05966D5B-31FE-4DFA-AB0B-9414329E42F1}">
      <text>
        <r>
          <rPr>
            <b/>
            <sz val="9"/>
            <color indexed="81"/>
            <rFont val="Tahoma"/>
            <family val="2"/>
          </rPr>
          <t>Gilbert, Seth:</t>
        </r>
        <r>
          <rPr>
            <sz val="9"/>
            <color indexed="81"/>
            <rFont val="Tahoma"/>
            <family val="2"/>
          </rPr>
          <t xml:space="preserve">
only 2Qs</t>
        </r>
      </text>
    </comment>
    <comment ref="Y11" authorId="0" shapeId="0" xr:uid="{1A544BF7-BE60-49A5-9FBB-6CC75FA48CD5}">
      <text>
        <r>
          <rPr>
            <b/>
            <sz val="9"/>
            <color indexed="81"/>
            <rFont val="Tahoma"/>
            <family val="2"/>
          </rPr>
          <t>Gilbert, Seth:</t>
        </r>
        <r>
          <rPr>
            <sz val="9"/>
            <color indexed="81"/>
            <rFont val="Tahoma"/>
            <family val="2"/>
          </rPr>
          <t xml:space="preserve">
Start reporting</t>
        </r>
      </text>
    </comment>
    <comment ref="BT11" authorId="0" shapeId="0" xr:uid="{6E943104-6A1C-4810-A07C-678B3185ACFC}">
      <text>
        <r>
          <rPr>
            <b/>
            <sz val="9"/>
            <color indexed="81"/>
            <rFont val="Tahoma"/>
            <family val="2"/>
          </rPr>
          <t>Gilbert, Seth:</t>
        </r>
        <r>
          <rPr>
            <sz val="9"/>
            <color indexed="81"/>
            <rFont val="Tahoma"/>
            <family val="2"/>
          </rPr>
          <t xml:space="preserve">
only have 2Qs of data</t>
        </r>
      </text>
    </comment>
    <comment ref="AP14" authorId="1" shapeId="0" xr:uid="{58B786EC-52DE-4720-A5F8-12D5C3EBC1A0}">
      <text>
        <t>[Threaded comment]
Your version of Excel allows you to read this threaded comment; however, any edits to it will get removed if the file is opened in a newer version of Excel. Learn more: https://go.microsoft.com/fwlink/?linkid=870924
Comment:
    Mid-teens in Jan</t>
      </text>
    </comment>
    <comment ref="AV25" authorId="2" shapeId="0" xr:uid="{0FF52E78-1BC6-4008-B6FE-F6047F901120}">
      <text>
        <t>[Threaded comment]
Your version of Excel allows you to read this threaded comment; however, any edits to it will get removed if the file is opened in a newer version of Excel. Learn more: https://go.microsoft.com/fwlink/?linkid=870924
Comment:
    28-29%cc guide</t>
      </text>
    </comment>
    <comment ref="B92" authorId="0" shapeId="0" xr:uid="{69ECDBFF-B50B-4716-AA48-3F95809B8A0D}">
      <text>
        <r>
          <rPr>
            <b/>
            <sz val="9"/>
            <color indexed="81"/>
            <rFont val="Tahoma"/>
            <family val="2"/>
          </rPr>
          <t>Gilbert, Seth:</t>
        </r>
        <r>
          <rPr>
            <sz val="9"/>
            <color indexed="81"/>
            <rFont val="Tahoma"/>
            <family val="2"/>
          </rPr>
          <t xml:space="preserve">
Start reporting</t>
        </r>
      </text>
    </comment>
    <comment ref="BP98" authorId="0" shapeId="0" xr:uid="{1211F37A-6841-48E1-BD67-1996656622BF}">
      <text>
        <r>
          <rPr>
            <b/>
            <sz val="9"/>
            <color indexed="81"/>
            <rFont val="Tahoma"/>
            <family val="2"/>
          </rPr>
          <t>Gilbert, Seth:</t>
        </r>
        <r>
          <rPr>
            <sz val="9"/>
            <color indexed="81"/>
            <rFont val="Tahoma"/>
            <family val="2"/>
          </rPr>
          <t xml:space="preserve">
only 2Qs</t>
        </r>
      </text>
    </comment>
    <comment ref="Y104" authorId="0" shapeId="0" xr:uid="{F7FE2F2F-7098-4879-879C-A09D3E23FD68}">
      <text>
        <r>
          <rPr>
            <b/>
            <sz val="9"/>
            <color indexed="81"/>
            <rFont val="Tahoma"/>
            <family val="2"/>
          </rPr>
          <t>Gilbert, Seth:</t>
        </r>
        <r>
          <rPr>
            <sz val="9"/>
            <color indexed="81"/>
            <rFont val="Tahoma"/>
            <family val="2"/>
          </rPr>
          <t xml:space="preserve">
Start reporting</t>
        </r>
      </text>
    </comment>
    <comment ref="BT104" authorId="0" shapeId="0" xr:uid="{9EAB32B6-0575-478D-9F45-9A6D7C32A3C9}">
      <text>
        <r>
          <rPr>
            <b/>
            <sz val="9"/>
            <color indexed="81"/>
            <rFont val="Tahoma"/>
            <family val="2"/>
          </rPr>
          <t>Gilbert, Seth:</t>
        </r>
        <r>
          <rPr>
            <sz val="9"/>
            <color indexed="81"/>
            <rFont val="Tahoma"/>
            <family val="2"/>
          </rPr>
          <t xml:space="preserve">
only have 2Qs of data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tc={0EEE35B2-B6D7-435E-8F71-1B3B3E8C471C}</author>
    <author>tc={E0DA8FD9-FA0A-4DA8-852D-9985FBA422EF}</author>
  </authors>
  <commentList>
    <comment ref="AK39" authorId="0" shapeId="0" xr:uid="{0EEE35B2-B6D7-435E-8F71-1B3B3E8C471C}">
      <text>
        <t>[Threaded comment]
Your version of Excel allows you to read this threaded comment; however, any edits to it will get removed if the file is opened in a newer version of Excel. Learn more: https://go.microsoft.com/fwlink/?linkid=870924
Comment:
    https://www.gartner.com/en/newsroom/press-releases/2023-10-09-gartner-says-worldwide-pc-shipments-declined-9-percent-in-third-quarter-of-2023</t>
      </text>
    </comment>
    <comment ref="AL39" authorId="1" shapeId="0" xr:uid="{E0DA8FD9-FA0A-4DA8-852D-9985FBA422EF}">
      <text>
        <t>[Threaded comment]
Your version of Excel allows you to read this threaded comment; however, any edits to it will get removed if the file is opened in a newer version of Excel. Learn more: https://go.microsoft.com/fwlink/?linkid=870924
Comment:
    https://www.gartner.com/en/newsroom/press-releases/01-10-2024-gartner-says-worldwide-pc-shipments-increased-zero-point-three-percent-in-fourth-quarter-of-2023-but-declined-fourteen-point-eight-percent-for-the-year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tc={AAD717D9-F634-49BE-BE9A-06509A4CDD6B}</author>
    <author>tc={64ABB4BB-F02E-42EA-9190-9877401F8392}</author>
    <author>tc={2AEACFC6-DBFE-409C-92CD-020F2CB46F29}</author>
    <author>tc={009E5C14-0911-4B0E-BF7F-C9EBDD211216}</author>
    <author>tc={B92D370F-1211-4291-AC8A-09B6E6CC1CCD}</author>
    <author>tc={76966A13-D0BC-4B80-9D54-454D6732C4FC}</author>
    <author>tc={DC9E0CB3-03B7-49F0-A575-27015768E07A}</author>
    <author>tc={982DBD27-F589-4D06-9B3A-717D6296557C}</author>
    <author>tc={625F7680-EA30-4663-9834-9E9A4F86AAAB}</author>
    <author>tc={4EC26EAA-1A02-483E-BF03-B09EDBAB1147}</author>
    <author>tc={E072D60C-234B-4F4E-BE29-9BA26CFE8C7D}</author>
    <author>tc={D59D2238-E1CE-462E-A48B-EB0950591A54}</author>
    <author>tc={15544C64-16BE-447C-B5B9-F27A93C7C2E9}</author>
    <author>tc={234D39A8-5A5E-4EA0-8942-2110BDC44390}</author>
    <author>tc={1105B808-920E-42ED-8C8C-05D9BB685135}</author>
    <author>tc={8309A102-7C11-4263-8B0D-FDEE23D76EB0}</author>
    <author>tc={A18CC879-1D07-43CF-98EB-3B59EEA71E01}</author>
    <author>tc={ACBD8EEE-94F7-4951-9954-EE6ED8D8F762}</author>
    <author>tc={25C467B2-E7DE-499E-A5E5-A611232A7F1E}</author>
    <author>tc={7A5E2854-E694-4474-88AB-829840852CCB}</author>
    <author>tc={8D915AD3-8130-493C-9F44-5DE1E6719BC3}</author>
    <author>tc={C8D8ECD7-B41C-40D2-A180-7F4B93C5CE59}</author>
    <author>tc={6F821223-A261-4C46-9EFA-EBF617D220EA}</author>
    <author>tc={88C1C917-D856-490C-8A1D-EDB9386C4622}</author>
    <author>tc={64DF6A0A-0505-45D0-AA2E-9E24B3E40ACF}</author>
    <author>tc={EF07325D-FB13-42EA-81A0-6DF758900F8D}</author>
    <author>tc={E64E492C-390F-49CE-BD31-A0105B8D131D}</author>
    <author>tc={7EBFA325-F554-492E-9D28-D2C441B45685}</author>
    <author>tc={AC57B851-5476-49BC-8711-24ABBD02C7B8}</author>
    <author>tc={D4FA7C14-6E0B-4E95-9D15-CBBB9E858B5F}</author>
    <author>tc={103CBC3E-EC99-4C4E-9571-998797F85A77}</author>
    <author>tc={54B62CC3-D4F5-4B05-8D5C-913470225264}</author>
    <author>tc={1C044D2A-374E-4120-937F-207C1B97A41E}</author>
    <author>tc={85970624-4471-455C-8ABD-F1067DF27242}</author>
    <author>tc={A275D6EF-D7C4-4047-8068-E8C491B7F562}</author>
    <author>tc={8871302A-9BD9-46B1-A8CB-C76A90D51258}</author>
    <author>tc={46813019-3E59-4FC8-A16F-E809F8F67B21}</author>
    <author>tc={382BB08A-3755-43A1-88FE-D9A9F668C8DB}</author>
    <author>tc={B6B17B0E-2767-4EF5-AE1F-FBDEADE7D2BB}</author>
    <author>tc={EB1AC7BC-78B8-44E6-92A3-10F327188AC6}</author>
    <author>tc={1C05113E-0CDB-414F-AB3F-94257FFD7F54}</author>
    <author>tc={3EDDCF45-6C30-4F64-91A6-73F09704FA61}</author>
    <author>tc={9685F24A-A7E1-4318-A2E5-76872B9436AE}</author>
    <author>tc={B5B6ED67-311D-4228-B457-EAFB72ACD482}</author>
    <author>tc={3BED3A54-4B15-42E6-A174-90B327372562}</author>
    <author>tc={0822F084-60B1-4CCA-BC53-41CDB6111521}</author>
    <author>tc={8A00680B-A0A9-45CC-9EC2-24C87AAF0BDD}</author>
    <author>tc={F8C7EC10-DDCF-4A27-ACF4-A6D2F47EA426}</author>
    <author>tc={0F552A18-48C7-45BE-B971-AE210B086F65}</author>
    <author>tc={87581234-D30B-4C4D-8625-20A2E2B3B9FF}</author>
    <author>tc={78307713-C009-447D-A550-657247252C5A}</author>
    <author>tc={388D9D9F-C72E-48F5-B650-65CDAF52C435}</author>
    <author>tc={BB61DBB3-9E45-4B0E-9203-757B1881CB20}</author>
    <author>tc={86CC0559-E496-4208-A144-A86438E836A2}</author>
    <author>tc={B284F14B-0FD6-445D-B72E-CF8ADE3D8FE1}</author>
    <author>tc={BC5100C3-DD1E-4368-8814-1ECA46E52C7B}</author>
    <author>tc={C575EC67-1546-4673-AD6C-7A60BAEF1BB4}</author>
    <author>tc={92DB0D52-F784-49B5-95F3-1B927F6C0509}</author>
    <author>tc={217682A9-5151-4F80-932C-CE012E445FFF}</author>
    <author>tc={0AD1B5A8-10EA-4843-9EF8-9995F6AABD92}</author>
    <author>tc={401D3B40-7386-41D9-8C25-6C7B958002A6}</author>
    <author>tc={57E0618D-2E4A-4BC7-9085-EDE04E83A0B7}</author>
    <author>tc={44E70D50-E1B7-4B55-9B38-1C77836230B3}</author>
    <author>tc={404711FE-CCC0-425F-BDB5-D6DEB5057807}</author>
    <author>tc={F82FCC36-5A32-4A93-A37C-56ACC034A559}</author>
    <author>tc={F11619A2-F0CA-4A4A-8A32-DB755F79A655}</author>
    <author>tc={1951A8DC-F8D8-4106-A3EE-49E37DAEFD9A}</author>
    <author>tc={47434661-85AC-4C03-BB83-A99F51E068F4}</author>
    <author>tc={EE534BE6-5768-4AFF-BA2D-F00074D9A327}</author>
    <author>tc={FC3936FA-CA78-4154-BE21-D44ABD1852C7}</author>
    <author>tc={B071974C-15B6-4476-9266-EF51FFA6657D}</author>
    <author>tc={D8F30B00-1ACC-4D56-A734-0F4A8B62E026}</author>
    <author>tc={81D68EF1-81A3-4F2E-B666-941A01174A6A}</author>
    <author>tc={0A16107F-1817-4E56-9463-64E5164EAD34}</author>
    <author>tc={965C1C82-392C-4E10-BA02-8BF86CAD6E0D}</author>
    <author>tc={47116650-66AB-4A09-9E66-CCAB046D733C}</author>
    <author>tc={E27DCDD0-3965-4F3E-A447-9A051A1002C1}</author>
    <author>tc={E4C0CB98-7DE9-4E33-AB36-D323BBDFE885}</author>
    <author>tc={2C3AFD7E-4719-46FB-95C2-293B6D7A5D55}</author>
    <author>tc={BBB3AC65-C3FF-495F-82E7-9D36F3170DCF}</author>
    <author>tc={E1199233-F2FF-4F72-A507-0D18383B6AF0}</author>
    <author>tc={7F86B462-B734-4BDD-A4E0-2DC62DD05BFE}</author>
    <author>tc={9F46957A-1FA5-4D88-AD86-E9186BDFBA9A}</author>
    <author>tc={907C19CC-94A4-422F-9F06-46E2E4C499B4}</author>
    <author>tc={9424C4A2-86DD-4E6E-B894-CAEC5AED2194}</author>
    <author>tc={0200313A-FD1E-43B2-B5B4-69EADE9184E3}</author>
    <author>tc={27C4EFAE-7097-45BF-859A-A6F75B16D9EF}</author>
    <author>tc={A5CD2D45-10CE-4C7D-A264-DADFBE914460}</author>
    <author>tc={BB394418-A0CA-49B8-B7C1-DF291A8180EC}</author>
    <author>tc={9B3DD0F8-F562-421E-A309-E2CB5EDE879E}</author>
    <author>tc={4E839CAB-C105-4244-8A65-A7C0ED7950E8}</author>
    <author>tc={EEF9F497-1053-4AD3-9E9D-A5E4E10B2D1B}</author>
    <author>tc={FCECF491-71A0-4A28-AF1F-57565C41E8CC}</author>
    <author>tc={BA0A2F9F-CA88-4631-A733-B13DA2ECD08E}</author>
    <author>tc={43633FCA-010D-4657-A13D-6316CB52BD04}</author>
    <author>tc={1427D541-53FD-4364-B771-E592614EE75E}</author>
    <author>tc={27A7C0A2-0DF0-4480-8818-002085F60FCC}</author>
    <author>tc={185106EB-5963-4F46-B3DD-4724237B3C8C}</author>
    <author>tc={ABDA891E-46BF-448E-9EA7-E3B567DFD1E7}</author>
    <author>tc={5BD7F01D-F2BF-4C61-8A44-8D04F4E32B04}</author>
    <author>tc={4E621AA6-7E1E-49F9-96E2-31C33A12C9BA}</author>
    <author>tc={864C0A20-3FE9-4C12-9896-C047E5F122E4}</author>
    <author>tc={6C7A4426-3C56-47B9-B7E3-44A1133AB703}</author>
    <author>tc={E7C8205D-08A0-44BA-B48E-DC7AC6BF478E}</author>
    <author>tc={0BFBB10D-8866-42C4-9185-5FD039DCBD6C}</author>
    <author>tc={654B31CF-C79D-4CDA-9CA2-A0C1A5FD8B35}</author>
    <author>tc={1F1E6E3B-7117-4710-A5EB-732D5F6B8D78}</author>
    <author>tc={12CE43EC-608C-437C-9C89-8E5405D318BB}</author>
    <author>tc={3EA4CBD1-A107-4F72-BC74-25A44EEF8CC7}</author>
    <author>tc={DF1B3E96-BF0D-4E4C-A74A-2D4F71F6A834}</author>
    <author>tc={A7ABF591-F9DA-4DDA-8BAF-559AD5F1C52C}</author>
    <author>tc={A8037976-1A27-4F9D-B91E-77B810E85FAE}</author>
    <author>tc={689A739D-9F65-4CF4-8BC3-06F1203053BF}</author>
    <author>tc={5940FD42-415A-40D6-909D-C7B4860983BC}</author>
    <author>tc={BAB0F768-8C2E-4E44-97D4-5E3B01AD0AD9}</author>
    <author>tc={E57BD4D9-9095-4536-8497-19948AA65431}</author>
  </authors>
  <commentList>
    <comment ref="X12" authorId="0" shapeId="0" xr:uid="{AAD717D9-F634-49BE-BE9A-06509A4CDD6B}">
      <text>
        <t>[Threaded comment]
Your version of Excel allows you to read this threaded comment; however, any edits to it will get removed if the file is opened in a newer version of Excel. Learn more: https://go.microsoft.com/fwlink/?linkid=870924
Comment:
    35.150-36.050 Q4 guide</t>
      </text>
    </comment>
    <comment ref="AF14" authorId="1" shapeId="0" xr:uid="{64ABB4BB-F02E-42EA-9190-9877401F8392}">
      <text>
        <t>[Threaded comment]
Your version of Excel allows you to read this threaded comment; however, any edits to it will get removed if the file is opened in a newer version of Excel. Learn more: https://go.microsoft.com/fwlink/?linkid=870924
Comment:
    Q4 22 call: "Second, on FX. Assuming current rates remain stable, we expect a roughly 4-point impact to full-year revenue growth, with headwinds in H1 greater than in H2."
"With the stronger US dollar and based on current rates, we expect FX to decrease total revenue growth by approximately 5 points and to decrease total COGS and operating expense growth by approximately 3 points. Within the segments, we anticipate roughly 6 points of negative FX impact on revenue growth in Productivity and Business Processes and Intelligent Cloud and 3 points in More Personal Computing."</t>
      </text>
    </comment>
    <comment ref="AG14" authorId="2" shapeId="0" xr:uid="{2AEACFC6-DBFE-409C-92CD-020F2CB46F29}">
      <text>
        <t>[Threaded comment]
Your version of Excel allows you to read this threaded comment; however, any edits to it will get removed if the file is opened in a newer version of Excel. Learn more: https://go.microsoft.com/fwlink/?linkid=870924
Comment:
    Q1 Guidance: 5ppt headwind</t>
      </text>
    </comment>
    <comment ref="AH14" authorId="3" shapeId="0" xr:uid="{009E5C14-0911-4B0E-BF7F-C9EBDD211216}">
      <text>
        <t>[Threaded comment]
Your version of Excel allows you to read this threaded comment; however, any edits to it will get removed if the file is opened in a newer version of Excel. Learn more: https://go.microsoft.com/fwlink/?linkid=870924
Comment:
    Q4 22 call: "Second, on FX. Assuming current rates remain stable, we expect a roughly 4-point impact to full-year revenue growth, with headwinds in H1 greater than in H2."</t>
      </text>
    </comment>
    <comment ref="AI14" authorId="4" shapeId="0" xr:uid="{B92D370F-1211-4291-AC8A-09B6E6CC1CCD}">
      <text>
        <t>[Threaded comment]
Your version of Excel allows you to read this threaded comment; however, any edits to it will get removed if the file is opened in a newer version of Excel. Learn more: https://go.microsoft.com/fwlink/?linkid=870924
Comment:
    Q4 22 call: "Second, on FX. Assuming current rates remain stable, we expect a roughly 4-point impact to full-year revenue growth, with headwinds in H1 greater than in H2."</t>
      </text>
    </comment>
    <comment ref="W21" authorId="5" shapeId="0" xr:uid="{76966A13-D0BC-4B80-9D54-454D6732C4FC}">
      <text>
        <t>[Threaded comment]
Your version of Excel allows you to read this threaded comment; however, any edits to it will get removed if the file is opened in a newer version of Excel. Learn more: https://go.microsoft.com/fwlink/?linkid=870924
Comment:
    11.55-11.75 COGS guide</t>
      </text>
    </comment>
    <comment ref="X21" authorId="6" shapeId="0" xr:uid="{DC9E0CB3-03B7-49F0-A575-27015768E07A}">
      <text>
        <t>[Threaded comment]
Your version of Excel allows you to read this threaded comment; however, any edits to it will get removed if the file is opened in a newer version of Excel. Learn more: https://go.microsoft.com/fwlink/?linkid=870924
Comment:
    10.75-10.95 COGS guide</t>
      </text>
    </comment>
    <comment ref="AS29" authorId="7" shapeId="0" xr:uid="{982DBD27-F589-4D06-9B3A-717D6296557C}">
      <text>
        <t>[Threaded comment]
Your version of Excel allows you to read this threaded comment; however, any edits to it will get removed if the file is opened in a newer version of Excel. Learn more: https://go.microsoft.com/fwlink/?linkid=870924
Comment:
    Excl. EU fine</t>
      </text>
    </comment>
    <comment ref="W30" authorId="8" shapeId="0" xr:uid="{625F7680-EA30-4663-9834-9E9A4F86AAAB}">
      <text>
        <t>[Threaded comment]
Your version of Excel allows you to read this threaded comment; however, any edits to it will get removed if the file is opened in a newer version of Excel. Learn more: https://go.microsoft.com/fwlink/?linkid=870924
Comment:
    11.8-11.9 guide</t>
      </text>
    </comment>
    <comment ref="AI36" authorId="9" shapeId="0" xr:uid="{4EC26EAA-1A02-483E-BF03-B09EDBAB1147}">
      <text>
        <t>[Threaded comment]
Your version of Excel allows you to read this threaded comment; however, any edits to it will get removed if the file is opened in a newer version of Excel. Learn more: https://go.microsoft.com/fwlink/?linkid=870924
Comment:
    Q1 guide - opex growth to moderate materially through the year</t>
      </text>
    </comment>
    <comment ref="BF46" authorId="10" shapeId="0" xr:uid="{E072D60C-234B-4F4E-BE29-9BA26CFE8C7D}">
      <text>
        <t>[Threaded comment]
Your version of Excel allows you to read this threaded comment; however, any edits to it will get removed if the file is opened in a newer version of Excel. Learn more: https://go.microsoft.com/fwlink/?linkid=870924
Comment:
    Q1 guide - EBIT margins to decline ~1ppt</t>
      </text>
    </comment>
    <comment ref="B52" authorId="11" shapeId="0" xr:uid="{D59D2238-E1CE-462E-A48B-EB0950591A54}">
      <text>
        <t>[Threaded comment]
Your version of Excel allows you to read this threaded comment; however, any edits to it will get removed if the file is opened in a newer version of Excel. Learn more: https://go.microsoft.com/fwlink/?linkid=870924
Comment:
    Q4 FY20 earnings call: Now before we turn to our outlook, I'd like to update you on a change in accounting estimate to the useful life of server and networking equipment assets in our cloud infrastructure. Effective at the start of fiscal year '21, we are extending the depreciable life for these assets to 4 years, which will apply to the asset balances on our balance sheet as of June 30, 2020, as well as future asset purchases. This change will not impact historical depreciation expense, the total depreciation expense over the life of the asset or cash flow, but it will impact the timing of depreciation expense in the future for these assets.
 As a result, based on the outstanding balances as of June 30, we expect fiscal year '21 operating income to be favorably impacted by approximately $900 million in the first quarter and approximately $2.7 billion for the full fiscal year. This has been included in the guidance we'll provide on today's call, and you will find additional details on the mechanics of the change in our earnings material</t>
      </text>
    </comment>
    <comment ref="X52" authorId="12" shapeId="0" xr:uid="{15544C64-16BE-447C-B5B9-F27A93C7C2E9}">
      <text>
        <t>[Threaded comment]
Your version of Excel allows you to read this threaded comment; however, any edits to it will get removed if the file is opened in a newer version of Excel. Learn more: https://go.microsoft.com/fwlink/?linkid=870924
Comment:
    "And operating margins expanded 4 points yearover-year to 43%, including roughly 2 points of favorable impact from the change in accounting estimate."</t>
      </text>
    </comment>
    <comment ref="Y52" authorId="13" shapeId="0" xr:uid="{234D39A8-5A5E-4EA0-8942-2110BDC44390}">
      <text>
        <t>[Threaded comment]
Your version of Excel allows you to read this threaded comment; however, any edits to it will get removed if the file is opened in a newer version of Excel. Learn more: https://go.microsoft.com/fwlink/?linkid=870924
Comment:
    "Operating income increased 29% and 26% in constant currency, and operating margins expanded 4 points
year-over-year to 42%, including roughly 2 points of favorable impact from the change in accounting
estimate"</t>
      </text>
    </comment>
    <comment ref="Z52" authorId="14" shapeId="0" xr:uid="{1105B808-920E-42ED-8C8C-05D9BB685135}">
      <text>
        <t>[Threaded comment]
Your version of Excel allows you to read this threaded comment; however, any edits to it will get removed if the file is opened in a newer version of Excel. Learn more: https://go.microsoft.com/fwlink/?linkid=870924
Comment:
    "Year-over-year growth in operating expense includes roughly 2 points of impact from continued COVIDrelated savings. Operating income increased 31% and 27% in constant currency, and operating margins
expanded 4 points year-over-year to 41%, including nearly 2 points of favorable impact from the change
in accounting estimate"</t>
      </text>
    </comment>
    <comment ref="AA52" authorId="15" shapeId="0" xr:uid="{8309A102-7C11-4263-8B0D-FDEE23D76EB0}">
      <text>
        <t>[Threaded comment]
Your version of Excel allows you to read this threaded comment; however, any edits to it will get removed if the file is opened in a newer version of Excel. Learn more: https://go.microsoft.com/fwlink/?linkid=870924
Comment:
    "Operating income increased 42% and 35% in constant currency, and operating margins expanded 6 points year-over-year to 41%, including roughly 2 points of impact from the retail stores charge and increase in bad debt expense in the prior year and nearly 1 point of favorable impact from the change in accounting estimate"</t>
      </text>
    </comment>
    <comment ref="AB52" authorId="16" shapeId="0" xr:uid="{A18CC879-1D07-43CF-98EB-3B59EEA71E01}">
      <text>
        <t>[Threaded comment]
Your version of Excel allows you to read this threaded comment; however, any edits to it will get removed if the file is opened in a newer version of Excel. Learn more: https://go.microsoft.com/fwlink/?linkid=870924
Comment:
    "Operating income increased 27% and 24% in constant currency, and operating margins expanded 2 points year-over-year to 45%. Excluding the impact of the change in accounting estimate, operating margins expanded roughly 4 points year-over-year."</t>
      </text>
    </comment>
    <comment ref="AC52" authorId="17" shapeId="0" xr:uid="{ACBD8EEE-94F7-4951-9954-EE6ED8D8F762}">
      <text>
        <t>[Threaded comment]
Your version of Excel allows you to read this threaded comment; however, any edits to it will get removed if the file is opened in a newer version of Excel. Learn more: https://go.microsoft.com/fwlink/?linkid=870924
Comment:
    "Operating income increased 24% and operating margins expanded 1 point year-over-year to 43%. Excluding the impact of the change in accounting estimate, operating margins expanded roughly 3 points year-over-year."</t>
      </text>
    </comment>
    <comment ref="AG52" authorId="18" shapeId="0" xr:uid="{25C467B2-E7DE-499E-A5E5-A611232A7F1E}">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H52" authorId="19" shapeId="0" xr:uid="{7A5E2854-E694-4474-88AB-829840852CCB}">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I52" authorId="20" shapeId="0" xr:uid="{8D915AD3-8130-493C-9F44-5DE1E6719BC3}">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G54" authorId="21" shapeId="0" xr:uid="{C8D8ECD7-B41C-40D2-A180-7F4B93C5CE59}">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
      </text>
    </comment>
    <comment ref="AH54" authorId="22" shapeId="0" xr:uid="{6F821223-A261-4C46-9EFA-EBF617D220EA}">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
      </text>
    </comment>
    <comment ref="AI54" authorId="23" shapeId="0" xr:uid="{88C1C917-D856-490C-8A1D-EDB9386C4622}">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
      </text>
    </comment>
    <comment ref="AG55" authorId="24" shapeId="0" xr:uid="{64DF6A0A-0505-45D0-AA2E-9E24B3E40ACF}">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 ref="AH55" authorId="25" shapeId="0" xr:uid="{EF07325D-FB13-42EA-81A0-6DF758900F8D}">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 ref="AI55" authorId="26" shapeId="0" xr:uid="{E64E492C-390F-49CE-BD31-A0105B8D131D}">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 ref="BF55" authorId="27" shapeId="0" xr:uid="{7EBFA325-F554-492E-9D28-D2C441B45685}">
      <text>
        <t>[Threaded comment]
Your version of Excel allows you to read this threaded comment; however, any edits to it will get removed if the file is opened in a newer version of Excel. Learn more: https://go.microsoft.com/fwlink/?linkid=870924
Comment:
    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
      </text>
    </comment>
    <comment ref="Z73" authorId="28" shapeId="0" xr:uid="{AC57B851-5476-49BC-8711-24ABBD02C7B8}">
      <text>
        <t>[Threaded comment]
Your version of Excel allows you to read this threaded comment; however, any edits to it will get removed if the file is opened in a newer version of Excel. Learn more: https://go.microsoft.com/fwlink/?linkid=870924
Comment:
    D&amp;A change means 900M less Q1 and 2.7B less in FY21</t>
      </text>
    </comment>
    <comment ref="AA73" authorId="29" shapeId="0" xr:uid="{D4FA7C14-6E0B-4E95-9D15-CBBB9E858B5F}">
      <text>
        <t>[Threaded comment]
Your version of Excel allows you to read this threaded comment; however, any edits to it will get removed if the file is opened in a newer version of Excel. Learn more: https://go.microsoft.com/fwlink/?linkid=870924
Comment:
    D&amp;A change means 900M less Q1 and 2.7B less in FY21</t>
      </text>
    </comment>
    <comment ref="AF73" authorId="30" shapeId="0" xr:uid="{103CBC3E-EC99-4C4E-9571-998797F85A77}">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G73" authorId="31" shapeId="0" xr:uid="{54B62CC3-D4F5-4B05-8D5C-913470225264}">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H73" authorId="32" shapeId="0" xr:uid="{1C044D2A-374E-4120-937F-207C1B97A41E}">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AI73" authorId="33" shapeId="0" xr:uid="{85970624-4471-455C-8ABD-F1067DF27242}">
      <text>
        <t>[Threaded comment]
Your version of Excel allows you to read this threaded comment; however, any edits to it will get removed if the file is opened in a newer version of Excel. Learn more: https://go.microsoft.com/fwlink/?linkid=870924
Comment:
    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text>
    </comment>
    <comment ref="BD73" authorId="34" shapeId="0" xr:uid="{A275D6EF-D7C4-4047-8068-E8C491B7F562}">
      <text>
        <t>[Threaded comment]
Your version of Excel allows you to read this threaded comment; however, any edits to it will get removed if the file is opened in a newer version of Excel. Learn more: https://go.microsoft.com/fwlink/?linkid=870924
Comment:
    D&amp;A change means 900M less Q1 and 2.7B less in FY21</t>
      </text>
    </comment>
    <comment ref="AD79" authorId="35" shapeId="0" xr:uid="{8871302A-9BD9-46B1-A8CB-C76A90D51258}">
      <text>
        <t>[Threaded comment]
Your version of Excel allows you to read this threaded comment; however, any edits to it will get removed if the file is opened in a newer version of Excel. Learn more: https://go.microsoft.com/fwlink/?linkid=870924
Comment:
    "And, on a dollar basis, we expect capital expenditures to be slightly down sequentially with normal quarterly variability in the timing of cloud infrastructure buildout." Q2 Call</t>
      </text>
    </comment>
    <comment ref="AE79" authorId="36" shapeId="0" xr:uid="{46813019-3E59-4FC8-A16F-E809F8F67B21}">
      <text>
        <t>[Threaded comment]
Your version of Excel allows you to read this threaded comment; however, any edits to it will get removed if the file is opened in a newer version of Excel. Learn more: https://go.microsoft.com/fwlink/?linkid=870924
Comment:
    "Capital expenditures, we expect a sequential increase on a dollar basis as we continue to invest to meet growing global demand for our cloud services"</t>
      </text>
    </comment>
    <comment ref="AF79" authorId="37" shapeId="0" xr:uid="{382BB08A-3755-43A1-88FE-D9A9F668C8DB}">
      <text>
        <t>[Threaded comment]
Your version of Excel allows you to read this threaded comment; however, any edits to it will get removed if the file is opened in a newer version of Excel. Learn more: https://go.microsoft.com/fwlink/?linkid=870924
Comment:
    4Q22 call: "In capital expenditures, we expect a sequential decrease on a dollar basis with normal quarterly spend variability in the timing of our cloud infrastructure buildout."</t>
      </text>
    </comment>
    <comment ref="AG79" authorId="38" shapeId="0" xr:uid="{B6B17B0E-2767-4EF5-AE1F-FBDEADE7D2BB}">
      <text>
        <t>[Threaded comment]
Your version of Excel allows you to read this threaded comment; however, any edits to it will get removed if the file is opened in a newer version of Excel. Learn more: https://go.microsoft.com/fwlink/?linkid=870924
Comment:
    Q1 guide of sequential decrease</t>
      </text>
    </comment>
    <comment ref="W114" authorId="39" shapeId="0" xr:uid="{EB1AC7BC-78B8-44E6-92A3-10F327188AC6}">
      <text>
        <t>[Threaded comment]
Your version of Excel allows you to read this threaded comment; however, any edits to it will get removed if the file is opened in a newer version of Excel. Learn more: https://go.microsoft.com/fwlink/?linkid=870924
Comment:
    11.65-11.95 guide</t>
      </text>
    </comment>
    <comment ref="X114" authorId="40" shapeId="0" xr:uid="{1C05113E-0CDB-414F-AB3F-94257FFD7F54}">
      <text>
        <t>[Threaded comment]
Your version of Excel allows you to read this threaded comment; however, any edits to it will get removed if the file is opened in a newer version of Excel. Learn more: https://go.microsoft.com/fwlink/?linkid=870924
Comment:
    11.65-11.90 Q4 guide</t>
      </text>
    </comment>
    <comment ref="Y114" authorId="41" shapeId="0" xr:uid="{3EDDCF45-6C30-4F64-91A6-73F09704FA61}">
      <text>
        <t>[Threaded comment]
Your version of Excel allows you to read this threaded comment; however, any edits to it will get removed if the file is opened in a newer version of Excel. Learn more: https://go.microsoft.com/fwlink/?linkid=870924
Comment:
    $12.75-13 Q1 guide</t>
      </text>
    </comment>
    <comment ref="Z114" authorId="42" shapeId="0" xr:uid="{9685F24A-A7E1-4318-A2E5-76872B9436AE}">
      <text>
        <t>[Threaded comment]
Your version of Excel allows you to read this threaded comment; however, any edits to it will get removed if the file is opened in a newer version of Excel. Learn more: https://go.microsoft.com/fwlink/?linkid=870924
Comment:
    Q1 guide of 13.35-13.6</t>
      </text>
    </comment>
    <comment ref="AA114" authorId="43" shapeId="0" xr:uid="{B5B6ED67-311D-4228-B457-EAFB72ACD482}">
      <text>
        <t>[Threaded comment]
Your version of Excel allows you to read this threaded comment; however, any edits to it will get removed if the file is opened in a newer version of Excel. Learn more: https://go.microsoft.com/fwlink/?linkid=870924
Comment:
    Q3 guide of 13.8-14.05</t>
      </text>
    </comment>
    <comment ref="AB114" authorId="44" shapeId="0" xr:uid="{3BED3A54-4B15-42E6-A174-90B327372562}">
      <text>
        <t>[Threaded comment]
Your version of Excel allows you to read this threaded comment; however, any edits to it will get removed if the file is opened in a newer version of Excel. Learn more: https://go.microsoft.com/fwlink/?linkid=870924
Comment:
    Q4 guide of 14.5-14.75</t>
      </text>
    </comment>
    <comment ref="AC114" authorId="45" shapeId="0" xr:uid="{0822F084-60B1-4CCA-BC53-41CDB6111521}">
      <text>
        <t>[Threaded comment]
Your version of Excel allows you to read this threaded comment; however, any edits to it will get removed if the file is opened in a newer version of Excel. Learn more: https://go.microsoft.com/fwlink/?linkid=870924
Comment:
    Q1 guide of 15.7-15.95</t>
      </text>
    </comment>
    <comment ref="AD114" authorId="46" shapeId="0" xr:uid="{8A00680B-A0A9-45CC-9EC2-24C87AAF0BDD}">
      <text>
        <t>[Threaded comment]
Your version of Excel allows you to read this threaded comment; however, any edits to it will get removed if the file is opened in a newer version of Excel. Learn more: https://go.microsoft.com/fwlink/?linkid=870924
Comment:
    Q2 Guide of 15.6-15.85</t>
      </text>
    </comment>
    <comment ref="AE114" authorId="47" shapeId="0" xr:uid="{F8C7EC10-DDCF-4A27-ACF4-A6D2F47EA426}">
      <text>
        <t>[Threaded comment]
Your version of Excel allows you to read this threaded comment; however, any edits to it will get removed if the file is opened in a newer version of Excel. Learn more: https://go.microsoft.com/fwlink/?linkid=870924
Comment:
    Q3 Guide of 16.65-16.90;
Updated 6.2.22 guide of 16.48-16.73</t>
      </text>
    </comment>
    <comment ref="AF114" authorId="48" shapeId="0" xr:uid="{0F552A18-48C7-45BE-B971-AE210B086F65}">
      <text>
        <t>[Threaded comment]
Your version of Excel allows you to read this threaded comment; however, any edits to it will get removed if the file is opened in a newer version of Excel. Learn more: https://go.microsoft.com/fwlink/?linkid=870924
Comment:
    Q4 Guide of 15.96-16.25</t>
      </text>
    </comment>
    <comment ref="AG114" authorId="49" shapeId="0" xr:uid="{87581234-D30B-4C4D-8625-20A2E2B3B9FF}">
      <text>
        <t>[Threaded comment]
Your version of Excel allows you to read this threaded comment; however, any edits to it will get removed if the file is opened in a newer version of Excel. Learn more: https://go.microsoft.com/fwlink/?linkid=870924
Comment:
    Q1 guide 16.6-16.9</t>
      </text>
    </comment>
    <comment ref="W115" authorId="50" shapeId="0" xr:uid="{78307713-C009-447D-A550-657247252C5A}">
      <text>
        <t>[Threaded comment]
Your version of Excel allows you to read this threaded comment; however, any edits to it will get removed if the file is opened in a newer version of Excel. Learn more: https://go.microsoft.com/fwlink/?linkid=870924
Comment:
    12.9-13.15 guide</t>
      </text>
    </comment>
    <comment ref="X115" authorId="51" shapeId="0" xr:uid="{388D9D9F-C72E-48F5-B650-65CDAF52C435}">
      <text>
        <t>[Threaded comment]
Your version of Excel allows you to read this threaded comment; however, any edits to it will get removed if the file is opened in a newer version of Excel. Learn more: https://go.microsoft.com/fwlink/?linkid=870924
Comment:
    12.55-12.80 Q4 guide</t>
      </text>
    </comment>
    <comment ref="Y115" authorId="52" shapeId="0" xr:uid="{BB61DBB3-9E45-4B0E-9203-757B1881CB20}">
      <text>
        <t>[Threaded comment]
Your version of Excel allows you to read this threaded comment; however, any edits to it will get removed if the file is opened in a newer version of Excel. Learn more: https://go.microsoft.com/fwlink/?linkid=870924
Comment:
    $13.55-13.8 Q1 guide</t>
      </text>
    </comment>
    <comment ref="Z115" authorId="53" shapeId="0" xr:uid="{86CC0559-E496-4208-A144-A86438E836A2}">
      <text>
        <t>[Threaded comment]
Your version of Excel allows you to read this threaded comment; however, any edits to it will get removed if the file is opened in a newer version of Excel. Learn more: https://go.microsoft.com/fwlink/?linkid=870924
Comment:
    Q1 guide of 14.7-14.95</t>
      </text>
    </comment>
    <comment ref="AA115" authorId="54" shapeId="0" xr:uid="{B284F14B-0FD6-445D-B72E-CF8ADE3D8FE1}">
      <text>
        <t>[Threaded comment]
Your version of Excel allows you to read this threaded comment; however, any edits to it will get removed if the file is opened in a newer version of Excel. Learn more: https://go.microsoft.com/fwlink/?linkid=870924
Comment:
    Q3 guide of 16.2-16.45</t>
      </text>
    </comment>
    <comment ref="AB115" authorId="55" shapeId="0" xr:uid="{BC5100C3-DD1E-4368-8814-1ECA46E52C7B}">
      <text>
        <t>[Threaded comment]
Your version of Excel allows you to read this threaded comment; however, any edits to it will get removed if the file is opened in a newer version of Excel. Learn more: https://go.microsoft.com/fwlink/?linkid=870924
Comment:
    Q4 guide of 16.4-16.65</t>
      </text>
    </comment>
    <comment ref="AC115" authorId="56" shapeId="0" xr:uid="{C575EC67-1546-4673-AD6C-7A60BAEF1BB4}">
      <text>
        <t>[Threaded comment]
Your version of Excel allows you to read this threaded comment; however, any edits to it will get removed if the file is opened in a newer version of Excel. Learn more: https://go.microsoft.com/fwlink/?linkid=870924
Comment:
    Q1 guide of 18.1-18.35</t>
      </text>
    </comment>
    <comment ref="AD115" authorId="57" shapeId="0" xr:uid="{92DB0D52-F784-49B5-95F3-1B927F6C0509}">
      <text>
        <t>[Threaded comment]
Your version of Excel allows you to read this threaded comment; however, any edits to it will get removed if the file is opened in a newer version of Excel. Learn more: https://go.microsoft.com/fwlink/?linkid=870924
Comment:
    Q2 Guide of 18.75-19.0</t>
      </text>
    </comment>
    <comment ref="AE115" authorId="58" shapeId="0" xr:uid="{217682A9-5151-4F80-932C-CE012E445FFF}">
      <text>
        <t>[Threaded comment]
Your version of Excel allows you to read this threaded comment; however, any edits to it will get removed if the file is opened in a newer version of Excel. Learn more: https://go.microsoft.com/fwlink/?linkid=870924
Comment:
    Q3 Guide of 21.10-21.35;
updated 6.2.22 guide of 20.92-21.17</t>
      </text>
    </comment>
    <comment ref="AF115" authorId="59" shapeId="0" xr:uid="{0AD1B5A8-10EA-4843-9EF8-9995F6AABD92}">
      <text>
        <t>[Threaded comment]
Your version of Excel allows you to read this threaded comment; however, any edits to it will get removed if the file is opened in a newer version of Excel. Learn more: https://go.microsoft.com/fwlink/?linkid=870924
Comment:
    Q4 Guide of 20.3-20.6; revised 20.2-20.5 after FY23e investor metrics reallocate HoloLens</t>
      </text>
    </comment>
    <comment ref="AG115" authorId="60" shapeId="0" xr:uid="{401D3B40-7386-41D9-8C25-6C7B958002A6}">
      <text>
        <t>[Threaded comment]
Your version of Excel allows you to read this threaded comment; however, any edits to it will get removed if the file is opened in a newer version of Excel. Learn more: https://go.microsoft.com/fwlink/?linkid=870924
Comment:
    Q1 guide 21.25-21.55</t>
      </text>
    </comment>
    <comment ref="BI115" authorId="61" shapeId="0" xr:uid="{57E0618D-2E4A-4BC7-9085-EDE04E83A0B7}">
      <text>
        <t>[Threaded comment]
Your version of Excel allows you to read this threaded comment; however, any edits to it will get removed if the file is opened in a newer version of Excel. Learn more: https://go.microsoft.com/fwlink/?linkid=870924
Comment:
    7.28.21 - maintain Q1 three year stack</t>
      </text>
    </comment>
    <comment ref="BJ115" authorId="62" shapeId="0" xr:uid="{44E70D50-E1B7-4B55-9B38-1C77836230B3}">
      <text>
        <t>[Threaded comment]
Your version of Excel allows you to read this threaded comment; however, any edits to it will get removed if the file is opened in a newer version of Excel. Learn more: https://go.microsoft.com/fwlink/?linkid=870924
Comment:
    7.28.21 - maintain Q1 three year stack</t>
      </text>
    </comment>
    <comment ref="BK115" authorId="63" shapeId="0" xr:uid="{404711FE-CCC0-425F-BDB5-D6DEB5057807}">
      <text>
        <t>[Threaded comment]
Your version of Excel allows you to read this threaded comment; however, any edits to it will get removed if the file is opened in a newer version of Excel. Learn more: https://go.microsoft.com/fwlink/?linkid=870924
Comment:
    7.28.21 - maintain Q1 three year stack</t>
      </text>
    </comment>
    <comment ref="W116" authorId="64" shapeId="0" xr:uid="{F82FCC36-5A32-4A93-A37C-56ACC034A559}">
      <text>
        <t>[Threaded comment]
Your version of Excel allows you to read this threaded comment; however, any edits to it will get removed if the file is opened in a newer version of Excel. Learn more: https://go.microsoft.com/fwlink/?linkid=870924
Comment:
    11.3-11.7 guide</t>
      </text>
    </comment>
    <comment ref="X116" authorId="65" shapeId="0" xr:uid="{F11619A2-F0CA-4A4A-8A32-DB755F79A655}">
      <text>
        <t>[Threaded comment]
Your version of Excel allows you to read this threaded comment; however, any edits to it will get removed if the file is opened in a newer version of Excel. Learn more: https://go.microsoft.com/fwlink/?linkid=870924
Comment:
    10.95-11.35 Q4 guide</t>
      </text>
    </comment>
    <comment ref="Y116" authorId="66" shapeId="0" xr:uid="{1951A8DC-F8D8-4106-A3EE-49E37DAEFD9A}">
      <text>
        <t>[Threaded comment]
Your version of Excel allows you to read this threaded comment; however, any edits to it will get removed if the file is opened in a newer version of Excel. Learn more: https://go.microsoft.com/fwlink/?linkid=870924
Comment:
    $13.2-13.6 Q1 guide</t>
      </text>
    </comment>
    <comment ref="Z116" authorId="67" shapeId="0" xr:uid="{47434661-85AC-4C03-BB83-A99F51E068F4}">
      <text>
        <t>[Threaded comment]
Your version of Excel allows you to read this threaded comment; however, any edits to it will get removed if the file is opened in a newer version of Excel. Learn more: https://go.microsoft.com/fwlink/?linkid=870924
Comment:
    Q1 guide of 12.3-12.7</t>
      </text>
    </comment>
    <comment ref="AA116" authorId="68" shapeId="0" xr:uid="{EE534BE6-5768-4AFF-BA2D-F00074D9A327}">
      <text>
        <t>[Threaded comment]
Your version of Excel allows you to read this threaded comment; however, any edits to it will get removed if the file is opened in a newer version of Excel. Learn more: https://go.microsoft.com/fwlink/?linkid=870924
Comment:
    Q3 guide of 13.6-14.0</t>
      </text>
    </comment>
    <comment ref="AB116" authorId="69" shapeId="0" xr:uid="{FC3936FA-CA78-4154-BE21-D44ABD1852C7}">
      <text>
        <t>[Threaded comment]
Your version of Excel allows you to read this threaded comment; however, any edits to it will get removed if the file is opened in a newer version of Excel. Learn more: https://go.microsoft.com/fwlink/?linkid=870924
Comment:
    Q4 guide of 12.4-12.8</t>
      </text>
    </comment>
    <comment ref="AC116" authorId="70" shapeId="0" xr:uid="{B071974C-15B6-4476-9266-EF51FFA6657D}">
      <text>
        <t>[Threaded comment]
Your version of Excel allows you to read this threaded comment; however, any edits to it will get removed if the file is opened in a newer version of Excel. Learn more: https://go.microsoft.com/fwlink/?linkid=870924
Comment:
    Q1 guide of 16.35-16.75</t>
      </text>
    </comment>
    <comment ref="AD116" authorId="71" shapeId="0" xr:uid="{D8F30B00-1ACC-4D56-A734-0F4A8B62E026}">
      <text>
        <t>[Threaded comment]
Your version of Excel allows you to read this threaded comment; however, any edits to it will get removed if the file is opened in a newer version of Excel. Learn more: https://go.microsoft.com/fwlink/?linkid=870924
Comment:
    Q2 Guide of 14.15-14.45</t>
      </text>
    </comment>
    <comment ref="AE116" authorId="72" shapeId="0" xr:uid="{81D68EF1-81A3-4F2E-B666-941A01174A6A}">
      <text>
        <t>[Threaded comment]
Your version of Excel allows you to read this threaded comment; however, any edits to it will get removed if the file is opened in a newer version of Excel. Learn more: https://go.microsoft.com/fwlink/?linkid=870924
Comment:
    Q3 Guide of 14.65-14.95; 
updated 6.2.22 guide of 14.54-14.84</t>
      </text>
    </comment>
    <comment ref="AF116" authorId="73" shapeId="0" xr:uid="{0A16107F-1817-4E56-9463-64E5164EAD34}">
      <text>
        <t>[Threaded comment]
Your version of Excel allows you to read this threaded comment; however, any edits to it will get removed if the file is opened in a newer version of Excel. Learn more: https://go.microsoft.com/fwlink/?linkid=870924
Comment:
    Q4 Guide of 13.0-13.4; revised 13.1-13.5 after FY23e investor metrics reallocate HoloLens</t>
      </text>
    </comment>
    <comment ref="AG116" authorId="74" shapeId="0" xr:uid="{965C1C82-392C-4E10-BA02-8BF86CAD6E0D}">
      <text>
        <t>[Threaded comment]
Your version of Excel allows you to read this threaded comment; however, any edits to it will get removed if the file is opened in a newer version of Excel. Learn more: https://go.microsoft.com/fwlink/?linkid=870924
Comment:
    Q1 guide 14.5-14.9</t>
      </text>
    </comment>
    <comment ref="BI116" authorId="75" shapeId="0" xr:uid="{47116650-66AB-4A09-9E66-CCAB046D733C}">
      <text>
        <t>[Threaded comment]
Your version of Excel allows you to read this threaded comment; however, any edits to it will get removed if the file is opened in a newer version of Excel. Learn more: https://go.microsoft.com/fwlink/?linkid=870924
Comment:
    7.28.21 - maintain Q1 three year stack</t>
      </text>
    </comment>
    <comment ref="BJ116" authorId="76" shapeId="0" xr:uid="{E27DCDD0-3965-4F3E-A447-9A051A1002C1}">
      <text>
        <t>[Threaded comment]
Your version of Excel allows you to read this threaded comment; however, any edits to it will get removed if the file is opened in a newer version of Excel. Learn more: https://go.microsoft.com/fwlink/?linkid=870924
Comment:
    7.28.21 - maintain Q1 three year stack</t>
      </text>
    </comment>
    <comment ref="BK116" authorId="77" shapeId="0" xr:uid="{E4C0CB98-7DE9-4E33-AB36-D323BBDFE885}">
      <text>
        <t>[Threaded comment]
Your version of Excel allows you to read this threaded comment; however, any edits to it will get removed if the file is opened in a newer version of Excel. Learn more: https://go.microsoft.com/fwlink/?linkid=870924
Comment:
    7.28.21 - maintain Q1 three year stack</t>
      </text>
    </comment>
    <comment ref="BI117" authorId="78" shapeId="0" xr:uid="{2C3AFD7E-4719-46FB-95C2-293B6D7A5D55}">
      <text>
        <t>[Threaded comment]
Your version of Excel allows you to read this threaded comment; however, any edits to it will get removed if the file is opened in a newer version of Excel. Learn more: https://go.microsoft.com/fwlink/?linkid=870924
Comment:
    7.28.21 - maintain Q1 three year stack</t>
      </text>
    </comment>
    <comment ref="BJ117" authorId="79" shapeId="0" xr:uid="{BBB3AC65-C3FF-495F-82E7-9D36F3170DCF}">
      <text>
        <t>[Threaded comment]
Your version of Excel allows you to read this threaded comment; however, any edits to it will get removed if the file is opened in a newer version of Excel. Learn more: https://go.microsoft.com/fwlink/?linkid=870924
Comment:
    7.28.21 - maintain Q1 three year stack</t>
      </text>
    </comment>
    <comment ref="BK117" authorId="80" shapeId="0" xr:uid="{E1199233-F2FF-4F72-A507-0D18383B6AF0}">
      <text>
        <t>[Threaded comment]
Your version of Excel allows you to read this threaded comment; however, any edits to it will get removed if the file is opened in a newer version of Excel. Learn more: https://go.microsoft.com/fwlink/?linkid=870924
Comment:
    7.28.21 - maintain Q1 three year stack</t>
      </text>
    </comment>
    <comment ref="AE121" authorId="81" shapeId="0" xr:uid="{7F86B462-B734-4BDD-A4E0-2DC62DD05BFE}">
      <text>
        <t>[Threaded comment]
Your version of Excel allows you to read this threaded comment; however, any edits to it will get removed if the file is opened in a newer version of Excel. Learn more: https://go.microsoft.com/fwlink/?linkid=870924
Comment:
    10.27.21 - gradually reduce off Q3 three year stack level</t>
      </text>
    </comment>
    <comment ref="AF121" authorId="82" shapeId="0" xr:uid="{9F46957A-1FA5-4D88-AD86-E9186BDFBA9A}">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G121" authorId="83" shapeId="0" xr:uid="{907C19CC-94A4-422F-9F06-46E2E4C499B4}">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H121" authorId="84" shapeId="0" xr:uid="{9424C4A2-86DD-4E6E-B894-CAEC5AED2194}">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I121" authorId="85" shapeId="0" xr:uid="{0200313A-FD1E-43B2-B5B4-69EADE9184E3}">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D122" authorId="86" shapeId="0" xr:uid="{27C4EFAE-7097-45BF-859A-A6F75B16D9EF}">
      <text>
        <t>[Threaded comment]
Your version of Excel allows you to read this threaded comment; however, any edits to it will get removed if the file is opened in a newer version of Excel. Learn more: https://go.microsoft.com/fwlink/?linkid=870924
Comment:
    Adding 350 per quarter for NUAN (only March in FQ3)</t>
      </text>
    </comment>
    <comment ref="AE122" authorId="87" shapeId="0" xr:uid="{A5CD2D45-10CE-4C7D-A264-DADFBE914460}">
      <text>
        <t>[Threaded comment]
Your version of Excel allows you to read this threaded comment; however, any edits to it will get removed if the file is opened in a newer version of Excel. Learn more: https://go.microsoft.com/fwlink/?linkid=870924
Comment:
    10.27.21 - gradually reduce off Q3 three year stack level</t>
      </text>
    </comment>
    <comment ref="AF122" authorId="88" shapeId="0" xr:uid="{BB394418-A0CA-49B8-B7C1-DF291A8180EC}">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G122" authorId="89" shapeId="0" xr:uid="{9B3DD0F8-F562-421E-A309-E2CB5EDE879E}">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H122" authorId="90" shapeId="0" xr:uid="{4E839CAB-C105-4244-8A65-A7C0ED7950E8}">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I122" authorId="91" shapeId="0" xr:uid="{EEF9F497-1053-4AD3-9E9D-A5E4E10B2D1B}">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E123" authorId="92" shapeId="0" xr:uid="{FCECF491-71A0-4A28-AF1F-57565C41E8CC}">
      <text>
        <t>[Threaded comment]
Your version of Excel allows you to read this threaded comment; however, any edits to it will get removed if the file is opened in a newer version of Excel. Learn more: https://go.microsoft.com/fwlink/?linkid=870924
Comment:
    10.27.21 - gradually reduce off Q3 three year stack level</t>
      </text>
    </comment>
    <comment ref="AF123" authorId="93" shapeId="0" xr:uid="{BA0A2F9F-CA88-4631-A733-B13DA2ECD08E}">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G123" authorId="94" shapeId="0" xr:uid="{43633FCA-010D-4657-A13D-6316CB52BD04}">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H123" authorId="95" shapeId="0" xr:uid="{1427D541-53FD-4364-B771-E592614EE75E}">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AI123" authorId="96" shapeId="0" xr:uid="{27A7C0A2-0DF0-4480-8818-002085F60FCC}">
      <text>
        <t>[Threaded comment]
Your version of Excel allows you to read this threaded comment; however, any edits to it will get removed if the file is opened in a newer version of Excel. Learn more: https://go.microsoft.com/fwlink/?linkid=870924
Comment:
    4.22.22 - gradually reduce off Q4 three year stack level</t>
      </text>
    </comment>
    <comment ref="X146" authorId="97" shapeId="0" xr:uid="{185106EB-5963-4F46-B3DD-4724237B3C8C}">
      <text>
        <t>[Threaded comment]
Your version of Excel allows you to read this threaded comment; however, any edits to it will get removed if the file is opened in a newer version of Excel. Learn more: https://go.microsoft.com/fwlink/?linkid=870924
Comment:
    13.7 - 14.3 Q4 implied guide</t>
      </text>
    </comment>
    <comment ref="Z146" authorId="98" shapeId="0" xr:uid="{ABDA891E-46BF-448E-9EA7-E3B567DFD1E7}">
      <text>
        <t>[Threaded comment]
Your version of Excel allows you to read this threaded comment; however, any edits to it will get removed if the file is opened in a newer version of Excel. Learn more: https://go.microsoft.com/fwlink/?linkid=870924
Comment:
    Q1 midpoint guide of 15.65</t>
      </text>
    </comment>
    <comment ref="R386" authorId="99" shapeId="0" xr:uid="{5BD7F01D-F2BF-4C61-8A44-8D04F4E32B04}">
      <text>
        <t>[Threaded comment]
Your version of Excel allows you to read this threaded comment; however, any edits to it will get removed if the file is opened in a newer version of Excel. Learn more: https://go.microsoft.com/fwlink/?linkid=870924
Comment:
    MAUs surpassed 180M</t>
      </text>
    </comment>
    <comment ref="H603" authorId="100" shapeId="0" xr:uid="{4E621AA6-7E1E-49F9-96E2-31C33A12C9BA}">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I603" authorId="101" shapeId="0" xr:uid="{864C0A20-3FE9-4C12-9896-C047E5F122E4}">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J603" authorId="102" shapeId="0" xr:uid="{6C7A4426-3C56-47B9-B7E3-44A1133AB703}">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K603" authorId="103" shapeId="0" xr:uid="{E7C8205D-08A0-44BA-B48E-DC7AC6BF478E}">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L603" authorId="104" shapeId="0" xr:uid="{0BFBB10D-8866-42C4-9185-5FD039DCBD6C}">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M603" authorId="105" shapeId="0" xr:uid="{654B31CF-C79D-4CDA-9CA2-A0C1A5FD8B35}">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N603" authorId="106" shapeId="0" xr:uid="{1F1E6E3B-7117-4710-A5EB-732D5F6B8D78}">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O603" authorId="107" shapeId="0" xr:uid="{12CE43EC-608C-437C-9C89-8E5405D318BB}">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P603" authorId="108" shapeId="0" xr:uid="{3EA4CBD1-A107-4F72-BC74-25A44EEF8CC7}">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Q603" authorId="109" shapeId="0" xr:uid="{DF1B3E96-BF0D-4E4C-A74A-2D4F71F6A834}">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R603" authorId="110" shapeId="0" xr:uid="{A7ABF591-F9DA-4DDA-8BAF-559AD5F1C52C}">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S603" authorId="111" shapeId="0" xr:uid="{A8037976-1A27-4F9D-B91E-77B810E85FAE}">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T603" authorId="112" shapeId="0" xr:uid="{689A739D-9F65-4CF4-8BC3-06F1203053BF}">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U603" authorId="113" shapeId="0" xr:uid="{5940FD42-415A-40D6-909D-C7B4860983BC}">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V603" authorId="114" shapeId="0" xr:uid="{BAB0F768-8C2E-4E44-97D4-5E3B01AD0AD9}">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 ref="W603" authorId="115" shapeId="0" xr:uid="{E57BD4D9-9095-4536-8497-19948AA65431}">
      <text>
        <t>[Threaded comment]
Your version of Excel allows you to read this threaded comment; however, any edits to it will get removed if the file is opened in a newer version of Excel. Learn more: https://go.microsoft.com/fwlink/?linkid=870924
Comment:
    Securities lending payable</t>
      </text>
    </comment>
  </commentList>
</comments>
</file>

<file path=xl/sharedStrings.xml><?xml version="1.0" encoding="utf-8"?>
<sst xmlns="http://schemas.openxmlformats.org/spreadsheetml/2006/main" count="12414" uniqueCount="2578">
  <si>
    <t>允䅁䝁䄸䅁䍁䅁䅁䅁歂䅁䅁杄䅁䍁䅍兒卂䙁䅉睔卂䅁䅁李䅁䅁䅷䅁橁䙁䅁兒佂䕁䅑䅁㍁䅁䅁䅅䅁䍁䅑兖呂䕁䅑兑噂䕁䅑䅁䙁䅁䅁䅅䅁䍁䅑兖呂䕁䅑睑䉂䕁䅑䅁剁䅁䅁䅅䅁䍁䅑兖呂䕁䅑兒噂䙁䅉䅁䅁䅁䅁䅅䅁䍁䅑兖呂䕁䅑睒䍂䙁䅁䅁䝁䅁䅁䅅䅁䍁䅑兖呂䕁䅑杓兂䙁䅫䅁敁䅁䅁䅅䅁䍁䅑兖呂䕁䅑兖呂䕁䅑䅁䙂䅁䅁䅋䅁䍁䅧睑桂䡁䅁兙楂䝁䅫䅢灂䡁䅑入杁䕁䄴党求䝁䅑党歂䍁䅫䅁ぁ䅁䅁杅䅁䑁䅅睌硁䍁䄸杍睁䑁䅉睍䅁䉁䅙䅁坁䅁䅁免硁䍁䄸睍睁䍁䄸杍睁䑁䅁兏䅁䝁䅷䅁坁䅁䅁免祁䍁䄸睍硁䍁䄸杍睁䑁䅅䅍䅁䝁䄴䅁坁䅁䅁免祁䍁䄸睍硁䍁䄸杍睁䑁䅅免䅁䝁䄰䅁十䅁䅁李癁䑁䅍睌硁䑁䅫兏㑁䅁䅁睐䅁䉁䅑䅁㉁䍁䄸睍睁䍁䄸免㕁䑁䅫䅍䅁䅁䅑䅁啁䅁䅁李癁䑁䅍䅍癁䑁䅅兏㕁䑁䅅䅁楁䅁䅁䅆䅁䑁䅙睌穁䑁䅁睌硁䑁䅫兏祁䅁䅁兌䅁䉁䅑䅁㉁䍁䄸睍睁䍁䄸免㕁䑁䅫睍䅁䉁䅯䅁啁䅁䅁李癁䑁䅍䅍癁䑁䅅兏㕁䑁䅑䅁桁䅁䅁䅆䅁䑁䅙睌穁䑁䅁睌硁䑁䅫兏ㅁ䅁䅁杌䅁䉁䅑䅁㉁䍁䄸睍睁䍁䄸免㕁䑁䅫李䅁䅁䅯䅁啁䅁䅁李癁䑁䅍䅍癁䑁䅅兏㕁䑁䅣䅁癁䅁䅁䅆䅁䑁䅙睌穁䑁䅁睌硁䑁䅫兏㑁䅁䅁睆䅁䉁䅑䅁㉁䍁䄸睍睁䍁䄸免㕁䑁䅫兏䅁䅁䄰䅁啁䅁䅁李癁䑁䅍䅍癁䑁䅉䅍睁䑁䅁䅁湁䅁䅁䅆䅁䑁䅙睌穁䑁䅁睌祁䑁䅁䅍硁䅁䅁元䅁䉁䅑䅁㉁䍁䄸睍睁䍁䄸杍睁䑁䅁杍䅁䑁䅁䅁啁䅁䅁李癁䑁䅍䅍癁䑁䅉䅍睁䑁䅍䅁奁䅁䅁䅆䅁䑁䅙睌穁䑁䅁睌祁䑁䅁䅍ぁ䅁䅁䅃䅁䉁䅑䅁㉁䍁䄸睍睁䍁䄸杍睁䑁䅁兎䅁䉁䅷䅁啁䅁䅁李癁䑁䅍䅍癁䑁䅉䅍睁䑁䅙䅁摁䅁䅁䅆䅁䑁䅙睌穁䑁䅁睌祁䑁䅁䅍㍁䅁䅁睉䅁䉁䅑䅁㉁䍁䄸睍睁䍁䄸杍睁䑁䅁䅏䅁䉁䅑䅁啁䅁䅁李癁䑁䅍䅍癁䑁䅉䅍睁䑁䅫䅁允䅁䅁䅆䅁䑁䅙睌穁䑁䅁睌祁䑁䅁免睁䅁䅁兇䅁䉁䅑䅁㉁䍁䄸睍睁䍁䄸杍睁䑁䅅免䅁䑁䅅䅁啁䅁䅁李癁䑁䅍䅍癁䑁䅉䅍硁䑁䅉䅁祁䅁䅁䅆䅁䑁䅙睌穁䑁䅁睌祁䑁䅁免穁䅁䅁䅄䅁䉁䅑䅁㉁䍁䄸睍睁䍁䄸杍睁䑁䅅䅎䅁䍁䅙䅁啁䅁䅁李癁䑁䅍䅍癁䑁䅉䅍硁䑁䅕䅁佁䅁䅁䅆䅁䑁䅙睌穁䑁䅁睌祁䑁䅁免㉁䅁䅁睇䅁䉁䅑䅁㉁䍁䄸睍睁䍁䄸杍睁䑁䅅睎䅁䅁䄸䅁啁䅁䅁李癁䑁䅍䅍癁䑁䅉䅍硁䑁䅧䅁穁䅁䅁䅆䅁䑁䅙睌穁䑁䅁睌祁䑁䅁免㕁䅁䅁兊䅁䉁䅑䅁㉁䍁䄸睍睁䍁䄸杍睁䑁䅉䅍䅁䉁䅕䅁啁䅁䅁李癁䑁䅍䅍癁䑁䅉䅍祁䑁䅅䅁㝁䅁䅁䅆䅁䑁䅙睌穁䑁䅁睌祁䑁䅁杍祁䅁䅁䅐䅁䉁䅑䅁㉁䍁䄸睍睁䍁䄸杍睁䑁䅉睍䅁䑁䄰䅁啁䅁䅁李癁䑁䅍䅍癁䑁䅉䅍祁䑁䅑䅁⭁䅁䅁杄䅁䕁䅙兗祁䑁䅁免㕁䅁䅁䅉䅁䅁䄴䅁䝂䙁䅫杍睁䑁䅉䅍䅁䍁䅧䅁慁䅁䅁兓剂䑁䅅李㍁䑁䅉兎㕁䑁䅍䅏ㅁ䑁䅣䅁䭂䅁䅁杇䅁䕁䅫兕硁䑁䅙睎祁䑁䅕兏穁䑁䅧李㕁䅁䅁村䅁䉁䅯䅁䩂䙁䅅免㉁䑁䅧䅎㑁䑁䅅兎ぁ䑁䅁兏䅁䕁䅳䅁慁䅁䅁兓剂䑁䅅李㑁䑁䅑䅏硁䑁䅕䅎硁䑁䅉䅁䕂䅁䅁杇䅁䕁䅫兕硁䑁䅣兏穁䑁䅙李祁䑁䅁兏睁䅁䅁睑䅁䉁䅙䅁䩂䙁䅅李㉁䑁䅅䅎ㅁ䑁䅅免㉁䅁䅁兔䅁䉁䅧䅁䩂䙁䅅睎硁䑁䅑䅏ぁ䑁䅅兎㑁䑁䅙䅁䝂䅁䅁䅇䅁䕁䅫兕啂䑁䅑李硁䑁䅕李ㅁ䑁䅅睎䅁䅁䅣䅁十䅁䅁兓剂䙁䄸睑䉂䙁䅁兒奂䅁䅁兙䅁䉁䅯䅁䩂䙁䅅睘䑂䕁䅅䅕䙂䙁䅧睘䙂䙁䅍䅖䅁䉁䄸䅁流䅁䅁兓剂䙁䄸睑䉂䙁䅍䅓時䕁䅅睑剂䙁䅕兓卂䕁䅕睘䑂䕁䅙䅁卂䅁䅁杉䅁䕁䅫兕時䕁䅍兑呂䕁䅧睘䩂䕁䄴䅖䙂䙁䅉兒呂䙁䅑䅁偂䅁䅁杌䅁䕁䅫兕時䕁䅍兑呂䕁䅧睘䩂䕁䄴䅖䙂䙁䅉兒呂䙁䅑睘䝂䕁䅫杔䉂䕁䄴䅁啂䅁䅁䅎䅁䕁䅫兕時䕁䅍兑呂䕁䅧睘䩂䕁䄴䅖䙂䙁䅉兒呂䙁䅑睘卂䕁䅕睑䙂䕁䅫杖䙂䕁䅑䅁呂䅁䅁杇䅁䕁䅫兕時䕁䅍兑呂䕁䅧睘偂䙁䅁兒卂䅁䅁兗䅁䍁䅑䅁䩂䙁䅅睘䑂䕁䅅睕䥂䙁䄸睕啂䙁䄸兓佂䙁䅙兒呂䙁䅑䅁時䅁䅁䅈䅁䕁䅫兕時䕁䅍兑呂䕁䅧睘啂䕁䅅䅗䙂䙁䅍䅁噂䅁䅁杈䅁䕁䅫兕時䕁䅍兑呂䕁䅧睘穂䝁䅕睚祂䝁䅕睚䅁䙁䅙䅁歁䅁䅁兓剂䙁䄸睑䵂䕁䄸睕䙂䙁䅁杕䩂䕁䅍兒時䕁䅅䅒䭂䅁䅁睃䅁䍁䅉䅁䩂䙁䅅睘䑂䕁䄸兔乂䕁䄸杔時䕁䅑兓坂䙁䄸睑䝂䅁䅁䅕䅁䉁䅷䅁䩂䙁䅅睘䑂䕁䄸兔乂䕁䄸杔時䙁䅉兒兂䅁䅁兕䅁䉁䅉䅁䩂䙁䅅睘䕂䕁䅅睘䑂䕁䅙䅁塂䅁䅁䅉䅁䕁䅫兕時䕁䅑兓䵂䙁䅕䅖時䙁䅣兒䩂䕁䅣䅓啂䅁䅁兓䅁䉁䅑䅁䩂䙁䅅睘䙂䕁䅉兓啂䕁䅑兑䅁䝁䅁䅁捁䅁䅁兓剂䙁䄸兒䍂䕁䅫䅖䕂䕁䅅睘䙂䙁䅍䅖䅁䍁䅑䅁煁䅁䅁兓剂䙁䄸兒䝂䕁䅙兒䑂䙁䅑兓坂䕁䅕睘啂䕁䅅䅗時䕁䅕睕啂䅁䅁睡䅁䍁䅙䅁䩂䙁䅅睘䙂䕁䅙杒䙂䕁䅍䅖時䙁䅑兑奂䙁䄸杕䉂䙁䅑兒䅁䙁䅯䅁潁䅁䅁兓剂䙁䄸睒卂䕁䄸睕呂䙁䄸兔䉂䙁䅉睒䩂䕁䄴睘䙂䙁䅍䅖䅁䍁䅷䅁煁䅁䅁兓剂䙁䄸睒塂䙁䄸兓佂䙁䅑兑佂䙁䄸兑乂䕁䄸杕啂䙁䄸睑䝂䅁䅁䅗䅁䍁䅉䅁䩂䙁䅅睘䥂䕁䄸䅔䕂䕁䅕杕時䙁䅍䅓䉂䙁䅉兒呂䅁䅁兑䅁䍁䅉䅁䩂䙁䅅睘䵂䕁䅅睕啂䙁䅍兑䵂䕁䅕䅕卂䕁䅫睑䙂䅁䅁睁䅁䍁䅧䅁䩂䙁䅅睘佂䕁䅕䅖時䕁䅫杔啂䕁䅕杕䙂䙁䅍䅖時䕁䅕䅗兂䅁䅁睒䅁䉁䄴䅁䩂䙁䅅睘兂䕁䅕睘䙂䙁䅧睑䵂䙁䄸杒塂䕁䅑䅁呁䅁䅁杈䅁䕁䅫兕時䙁䅉兒坂䕁䅕杔噂䕁䅕睘䙂䙁䅍䅖䅁䍁䅫䅁楁䅁䅁兓剂䙁䄸睕䉂䕁䅷兒時䕁䅫杔啂䕁䅅杔時䕁䅍杒䅁䝁䅙䅁歁䅁䅁兓剂䙁䄸睕兂䕁䅕睑䩂䕁䅅䅔時䕁䅑兓坂䙁䄸睑䝂䅁䅁杔䅁䍁䅑䅁䩂䙁䅅睘呂䙁䅑睔䑂䕁䅳睘䍂䕁䅅睕䙂䕁䅑睘䑂䕁䅙䅁湂䅁䅁䅊䅁䕁䅫兕時䙁䅑兒坂䙁䄸兒䍂䕁䅫䅖䕂䕁䅅睘䝂䙁䅣䅒䅁䑁䅯䅁捁䅁䅁兓剂䙁䄸䅖偂䙁䅑兑䵂䙁䄸䅒䙂䕁䅉䅖䅁䝁䅉䅁慁䅁䅁兓剂䙁䄸䅖偂䙁䅑兑䵂䙁䄸杕䙂䙁䅙䅁灂䅁䅁䅊䅁䕁䅫兕時䝁䅍兙睂䝁䅫䅤桂䝁䅷睘獂䝁䅕兙穂䝁䅕督䅁䝁䅕䅁奁䅁䅁兓剂䙁䄸睙療䡁䅍䅤時䡁䅉党㉂䅁䅁条䅁䍁䄴䅁䩂䙁䅅睘橂䡁䅕杣祂䝁䅕杢あ䙁䄸䅣療䡁䅉䅤時䝁䅷党桂䡁䅍党穂䅁䅁睙䅁䍁䅁䅁䩂䙁䅅睘湂䡁䅉睢穂䡁䅍睘瑂䝁䅅杣湂䝁䅫杢䅁䝁䅧䅁流䅁䅁兓剂䙁䄸督求䝁䅍兤祂䝁䅫䅤㕂䙁䄸杙療䡁䅉杣療䡁䅣䅁摂䅁䅁䅉䅁䕁䅫兕時䡁䅍党橂䡁䅕杣灂䡁䅑入時䝁䄸睤畂䅁䅁杘䅁䍁䅙䅁䩂䙁䅅睘穂䝁䅕睙ㅂ䡁䅉兡あ䡁䅫睘祂䝁䅕督求䝁䅷䅢䅁䙁䅷䅁潁䅁䅁兓剂䙁䄸督あ䝁䄸睙牂䙁䄸杙桂䡁䅍党歂䙁䄸睙療䝁䅣督䅁䕁䅷䅁䭁䅁䅁兔䩂䕁䅑䅒䅁䍁䅳䅁䭁䅁䅁兔呂䕁䅙䅖䅁䅁䅉䅁䝁䅁䅁杔䉂䅁䅁杋䅁䅁䅙䅁佂䕁䄰䅁扂䅁䅁杅䅁䕁䄴兗呂䕁䅕杏䝂䕁䅫䅗䅁䑁䅫䅁十䅁䅁杕求䡁䅁睢祂䡁䅑党歂䅁䅁䅓䅁䉁䄴䅁呂䙁䅁睘兂䙁䅉兓䑂䕁䅕睘䑂䕁䅷睔呂䕁䅕䅁㑁䅁䅁权䅁䙁䄴睕兂䙁䅧䅁十䅁䅁杉䅁䝁䅫兣時䝁䅷兙穂䡁䅑督桂䝁䅷党睂䡁䅉兡橂䝁䅕䅁䉁䅁䅁䅃䅁䝁䄴睌桂䅁䅁兎䅁䅁䅯䅁畂䡁䅫兙㑂䅁䅁䅑䅁䅁䅅䅁䵁䅉䅅䅁䕁䅁䅁睁䵁䅁䅁权䍁䅁䅁权㑁䅁䅁兂䅁䅁䅁䕉浶䅑䅅䅁䉁䅁䅁兂䅁䅁䅁䙁㙨䅑㴽</t>
  </si>
  <si>
    <t>BAABTAVMT0NBTAFI/////wFQtgEAADJDSVFBVkcuJFVTREVVUi5JUV9MQVNUU0FMRVBSSUNFLjEvMS8yMDIzLjMvMjYvMjAyMwEAAAAC7VoAAgAAABAxLjA3MTczODY1MzI1ODgyANyfqVeqLtsIk1Omvaou2wgyQ0lRQVZHLiRVU0RHQlAuSVFfTEFTVFNBTEVQUklDRS4xLzEvMjAyMy4zLzI2LzIwMjMBAAAAAu1aAAIAAAAMMS4yMTMyNTE3NjIyANyfqVeqLtsIk1Omvaou2wgyQ0lRQVZHLiRVU0RKUFkuSVFfTEFTVFNBTEVQUklDRS4xLzEvMjAyMy4zLzI2LzIwMjMBAAAAAu1aAAIAAAATMC4wMDc1NTg1MzAyMjM1Mjk0MQDcn6lXqi7bCJNTpr2qLtsIMkNJUUFWRy4kVVNEQVVELklRX0xBU1RTQUxFUFJJQ0UuMS8xLzIwMjMuMy8yNi8yMDIzAQAAAALtWgACAAAAETAuNjg0NDA0MTg0MzA1ODgyANyfqVeqLtsIk1Omvaou2wgyQ0lRQVZHLiRVU0RDQUQuSVFfTEFTVFNBTEVQUklDRS4xLzEvMjAyMy4zLzI2LzIwMjMBAAAAAu1aAAIAAAARMC43Mzk1NTA1NTg3ODgyMzUA3J+pV6ou2wiTU6a9qi7bCDNDSVFBVkcuJFVTREVVUi5JUV9MQVNUU0FMRVBSSUNFLjMvMjUvMjAyMy4zLzI2LzIwMjMBAAAAAu1aAAIAAAALMS4wNzU3MzE0OTcA3J+pV6ou2wiTU6a9qi7bCCZDSVEuXlNQWC5JUV9QRV9FWENMX0ZXRC42MDAwLjYvMzAvMjAxOQEAAACbuCgAAgAAAAkxNy40NjQxNTMA3J+pV6ou2wghAMJXqi7bCCZD</t>
  </si>
  <si>
    <t>SVEuXlNQWC5JUV9QRV9FWENMX0ZXRC42MDAwLjYvMzAvMjAwMwEAAACbuCgAAgAAAAkxNy41MDUyNTYA3J+pV6ou2wg3m8JXqi7bCCZDSVEuXlNQWC5JUV9QRV9FWENMX0ZXRC42MDAwLjYvMzAvMjAyMAEAAACbuCgAAgAAAAkyNC4wODAwNTUA3J+pV6ou2wghAMJXqi7bCCZDSVEuXlNQWC5JUV9QRV9FWENMX0ZXRC42MDAwLjYvMzAvMjAwNAEAAACbuCgAAgAAAAgxNy4wNDY5OQDcn6lXqi7bCDebwleqLtsIJkNJUS5eU1BYLklRX1BFX0VYQ0xfRldELjYwMDAuNi8zMC8yMDEzAQAAAJu4KAACAAAACTE0LjI1MTU5NwDcn6lXqi7bCCEAwleqLtsIJkNJUS5eU1BYLklRX1BFX0VYQ0xfRldELjYwMDAuNi8zMC8yMDE0AQAAAJu4KAACAAAACTE2LjE0NDAxMwDcn6lXqi7bCCEAwleqLtsIJkNJUS5eU1BYLklRX1BFX0VYQ0xfRldELjYwMDAuNi8zMC8yMDE1AQAAAJu4KAACAAAACTE3LjE0MTYzNgDcn6lXqi7bCCEAwleqLtsIJkNJUS5eU1BYLklRX1BFX0VYQ0xfRldELjYwMDAuNi8zMC8yMDE2AQAAAJu4KAACAAAACTE3LjMzMDY0OQDcn6lXqi7bCCEAwleqLtsIJkNJUS5eU1BYLklRX1BFX0VYQ0xfRldELjYwMDAuNi8zMC8yMDA5AQAAAJu4KAACAAAACTE0Ljc1Mzk3NwDcn6lXqi7bCCEAwleqLtsIJkNJUS5eU1BYLklRX1BFX0VYQ0xfRldELjYwMDAuNi8zMC8yMDEwAQAAAJu4KAACAAAACTEyLjE4MjMy</t>
  </si>
  <si>
    <t>NQDcn6lXqi7bCCEAwleqLtsIJkNJUS5eU1BYLklRX1BFX0VYQ0xfRldELjYwMDAuNi8zMC8yMDE4AQAAAJu4KAACAAAACTE2Ljc2NjA5NwDcn6lXqi7bCCEAwleqLtsIJkNJUS5eU1BYLklRX1BFX0VYQ0xfRldELjYwMDAuNi8zMC8yMDExAQAAAJu4KAACAAAACTEyLjg2ODIzOQDcn6lXqi7bCCEAwleqLtsIJkNJUS5eU1BYLklRX1BFX0VYQ0xfRldELjYwMDAuNi8zMC8yMDEyAQAAAJu4KAACAAAACTEyLjczMjA1MgDcn6lXqi7bCCInwleqLtsIJkNJUS5eU1BYLklRX1BFX0VYQ0xfRldELjYwMDAuNi8zMC8yMDAyBQAAAAAAAAAIAAAAEyhDYXBhYmlsaXR5IE5lZWRlZCncn6lXqi7bCDebwleqLtsIJkNJUS5eU1BYLklRX1BFX0VYQ0xfRldELjYwMDAuNi8zMC8yMDA1AQAAAJu4KAACAAAACTE1LjQ4MjEwOADcn6lXqi7bCCInwleqLtsIJkNJUS5eU1BYLklRX1BFX0VYQ0xfRldELjYwMDAuNi8zMC8yMDA2AQAAAJu4KAACAAAACTE0LjMxNTMyNADcn6lXqi7bCCInwleqLtsIJkNJUS5eU1BYLklRX1BFX0VYQ0xfRldELjYwMDAuNi8zMC8yMDA3AQAAAJu4KAACAAAACTE1LjMyNjI4MwDcn6lXqi7bCCInwleqLtsIJkNJUS5eU1BYLklRX1BFX0VYQ0xfRldELjYwMDAuNi8zMC8yMDA4AQAAAJu4KAACAAAACTEyLjczMjQyNwDcn6lXqi7bCCInwleqLtsIJkNJUS5eU1BYLklRX1BFX0VYQ0xfRldELjYwMDAu</t>
  </si>
  <si>
    <t>Ni8zMC8yMDE3AQAAAJu4KAACAAAACTE4LjE4NzM4NADcn6lXqi7bCCEAwleqLtsIJkNJUS5eU1BYLklRX1BFX0VYQ0xfRldELjYwMDAuNi8zMC8yMDAxBQAAAAAAAAAIAAAAEyhDYXBhYmlsaXR5IE5lZWRlZCncn6lXqi7bCCInwleqLtsIIUNJUUFWRy4kVVNERVVSLklRX0xBU1RTQUxFUFJJQ0UuLgEAAAAC7VoAAgAAAAsxLjA3NTczMTQ5NwAqbcVWqi7bCPObyVeqLtsIKUNJUUFWRy4kVVNERVVSLklRX0xBU1RTQUxFUFJJQ0UuMS8xLzIwMjMuAQAAAALtWgACAAAAEDEuMDcxNzg1MDgxNjc0NDIAKm3FVqou2wgrIchXqi7bCClDSVFBVkcuJFVTREdCUC5JUV9MQVNUU0FMRVBSSUNFLjEvMS8yMDIzLgEAAAAC7VoAAgAAABAxLjIxMzM1OTQwMjU1ODE0ACptxVaqLtsIvq/DV6ou2wgpQ0lRQVZHLiRVU0RKUFkuSVFfTEFTVFNBTEVQUklDRS4xLzEvMjAyMy4BAAAAAu1aAAIAAAATMC4wMDc1NTk1OTg1NTgxMzk1NAAqbcVWqi7bCL6vw1eqLtsIKUNJUUFWRy4kVVNEQVVELklRX0xBU1RTQUxFUFJJQ0UuMS8xLzIwMjMuAQAAAALtWgACAAAAETAuNjg0MTY2NTM3MjMyNTU4ACptxVaqLtsIGV7DV6ou2wgpQ0lRQVZHLiRVU0RDQUQuSVFfTEFTVFNBTEVQUklDRS4xLzEvMjAyMy4BAAAAAu1aAAIAAAARMC43Mzk0MDY4NzA4NjA0NjUAKm3FVqou2wgCEMNXqi7bCB5DSVEuTVNGVC5JUV9QRV9FWENMX0ZXRC5G</t>
  </si>
  <si>
    <t>WTIwMTkBAAAAS1UAAAMAAAAAANyfqVeqLtsIFMLCV6ou2wgeQ0lRLk1TRlQuSVFfUEVfRVhDTF9GV0QuRlkyMDIwAQAAAEtVAAADAAAAAADcn6lXqi7bCAzpwleqLtsII0NJUS5NU0ZULklRX0xBU1RTQUxFUFJJQ0UuNi8zMC8xOTkwAQAAAEtVAAACAAAACDEuMDU1NTU2ANyfqVeqLtsIDOnCV6ou2wgjQ0lRLk1TRlQuSVFfTEFTVFNBTEVQUklDRS42LzMwLzE5OTEBAAAAS1UAAAIAAAAIMS40MTkyNzEA3J+pV6ou2wgM6cJXqi7bCCNDSVEuTVNGVC5JUV9MQVNUU0FMRVBSSUNFLjYvMzAvMTk5MgEAAABLVQAAAgAAAAYyLjE4NzUA3J+pV6ou2wgM6cJXqi7bCCNDSVEuTVNGVC5JUV9MQVNUU0FMRVBSSUNFLjYvMzAvMTk5MwEAAABLVQAAAgAAAAQyLjc1ANyfqVeqLtsIDOnCV6ou2wgjQ0lRLk1TRlQuSVFfTEFTVFNBTEVQUklDRS42LzMwLzE5OTQBAAAAS1UAAAIAAAAHMy4yMjY1NgDcn6lXqi7bCAzpwleqLtsII0NJUS5NU0ZULklRX0xBU1RTQUxFUFJJQ0UuNi8zMC8xOTk1AQAAAEtVAAACAAAABzUuNjQ4NDQA3J+pV6ou2wgUwsJXqi7bCCNDSVEuTVNGVC5JUV9MQVNUU0FMRVBSSUNFLjYvMzAvMTk5NgEAAABLVQAAAgAAAAc3LjUwNzgxANyfqVeqLtsIDOnCV6ou2wgjQ0lRLk1TRlQuSVFfTEFTVFNBTEVQUklDRS42LzMwLzE5OTcBAAAAS1UAAAIAAAAIMTUuNzk2ODgA3J+pV6ou2wgUwsJXqi7bCCND</t>
  </si>
  <si>
    <t>SVEuTVNGVC5JUV9MQVNUU0FMRVBSSUNFLjYvMzAvMTk5OAEAAABLVQAAAgAAAAgyNy4wOTM3NQDcn6lXqi7bCBTCwleqLtsII0NJUS5NU0ZULklRX0xBU1RTQUxFUFJJQ0UuNi8zMC8xOTk5AQAAAEtVAAACAAAACDQ1LjA5Mzc1ANyfqVeqLtsIDOnCV6ou2wgjQ0lRLk1TRlQuSVFfTEFTVFNBTEVQUklDRS42LzMwLzIwMDABAAAAS1UAAAIAAAACNDAA3J+pV6ou2wgUwsJXqi7bCCNDSVEuTVNGVC5JUV9MQVNUU0FMRVBSSUNFLjYvMzAvMjAwMQEAAABLVQAAAgAAAAQzNi41ANyfqVeqLtsIFMLCV6ou2wgjQ0lRLk1TRlQuSVFfTEFTVFNBTEVQUklDRS42LzMwLzIwMDIBAAAAS1UAAAIAAAAFMjcuMzUA3J+pV6ou2wgM6cJXqi7bCCNDSVEuTVNGVC5JUV9MQVNUU0FMRVBSSUNFLjYvMzAvMjAwMwEAAABLVQAAAgAAAAUyNS42NADcn6lXqi7bCBTCwleqLtsII0NJUS5NU0ZULklRX0xBU1RTQUxFUFJJQ0UuNi8zMC8yMDA0AQAAAEtVAAACAAAABTI4LjU2ANyfqVeqLtsIFMLCV6ou2wgjQ0lRLk1TRlQuSVFfTEFTVFNBTEVQUklDRS42LzMwLzIwMDUBAAAAS1UAAAIAAAAFMjQuODQA3J+pV6ou2wgUwsJXqi7bCCNDSVEuTVNGVC5JUV9MQVNUU0FMRVBSSUNFLjYvMzAvMjAwNgEAAABLVQAAAgAAAAQyMy4zANyfqVeqLtsIDOnCV6ou2wgjQ0lRLk1TRlQuSVFfTEFTVFNBTEVQUklDRS42LzMwLzIwMDcBAAAAS1UA</t>
  </si>
  <si>
    <t>AAIAAAAFMjkuNDcA3J+pV6ou2wgUwsJXqi7bCCNDSVEuTVNGVC5JUV9MQVNUU0FMRVBSSUNFLjYvMzAvMjAwOAEAAABLVQAAAgAAAAUyNy41MQDcn6lXqi7bCAzpwleqLtsII0NJUS5NU0ZULklRX0xBU1RTQUxFUFJJQ0UuNi8zMC8yMDA5AQAAAEtVAAACAAAABTIzLjc3ANyfqVeqLtsIFMLCV6ou2wgjQ0lRLk1TRlQuSVFfTEFTVFNBTEVQUklDRS42LzMwLzIwMTABAAAAS1UAAAIAAAAFMjMuMDEA3J+pV6ou2wgM6cJXqi7bCCNDSVEuTVNGVC5JUV9MQVNUU0FMRVBSSUNFLjYvMzAvMjAxMQEAAABLVQAAAgAAAAIyNgDcn6lXqi7bCBTCwleqLtsII0NJUS5NU0ZULklRX0xBU1RTQUxFUFJJQ0UuNi8zMC8yMDEyAQAAAEtVAAACAAAABTMwLjU5ANyfqVeqLtsIDOnCV6ou2wgjQ0lRLk1TRlQuSVFfTEFTVFNBTEVQUklDRS42LzMwLzIwMTMBAAAAS1UAAAIAAAAGMzQuNTQ1ANyfqVeqLtsIFMLCV6ou2wgjQ0lRLk1TRlQuSVFfTEFTVFNBTEVQUklDRS42LzMwLzIwMTQBAAAAS1UAAAIAAAAENDEuNwDcn6lXqi7bCAzpwleqLtsII0NJUS5NU0ZULklRX0xBU1RTQUxFUFJJQ0UuNi8zMC8yMDE1AQAAAEtVAAACAAAABTQ0LjE1ANyfqVeqLtsIDOnCV6ou2wgjQ0lRLk1TRlQuSVFfTEFTVFNBTEVQUklDRS42LzMwLzIwMTYBAAAAS1UAAAIAAAAFNTEuMTcA3J+pV6ou2wgM6cJXqi7bCCNDSVEuTVNGVC5JUV9MQVNU</t>
  </si>
  <si>
    <t>U0FMRVBSSUNFLjYvMzAvMjAxNwEAAABLVQAAAgAAAAU2OC45MwDcn6lXqi7bCAzpwleqLtsII0NJUS5NU0ZULklRX0xBU1RTQUxFUFJJQ0UuNi8zMC8yMDE4AQAAAEtVAAACAAAABTk4LjYxANyfqVeqLtsIDOnCV6ou2wgjQ0lRLk1TRlQuSVFfTEFTVFNBTEVQUklDRS42LzMwLzIwMTkBAAAAS1UAAAIAAAAGMTMzLjk2ANyfqVeqLtsIN5vCV6ou2wgjQ0lRLk1TRlQuSVFfTEFTVFNBTEVQUklDRS42LzMwLzIwMjABAAAAS1UAAAIAAAAGMjAzLjUxANyfqVeqLtsIFMLCV6ou2wgkQ0lRLk1TRlQuSVFfQ0xPU0VQUklDRV9BREouNi8zMC8xOTkwAQAAAEtVAAACAAAACDAuNjU4NTU4ANyfqVeqLtsIUNjBV6ou2wgkQ0lRLk1TRlQuSVFfQ0xPU0VQUklDRV9BREouNi8zMC8xOTkxAQAAAEtVAAACAAAACDAuODg1NDc4ANyfqVeqLtsIUNjBV6ou2wgkQ0lRLk1TRlQuSVFfQ0xPU0VQUklDRV9BREouNi8zMC8xOTkyAQAAAEtVAAACAAAACDEuMzY0NzczANyfqVeqLtsIIQDCV6ou2wgkQ0lRLk1TRlQuSVFfQ0xPU0VQUklDRV9BREouNi8zMC8xOTkzAQAAAEtVAAACAAAACDEuNzE1NzE1ANyfqVeqLtsIUNjBV6ou2wgkQ0lRLk1TRlQuSVFfQ0xPU0VQUklDRV9BREouNi8zMC8xOTk0AQAAAEtVAAACAAAACDIuMDEzMDM5ANyfqVeqLtsIUNjBV6ou2wgkQ0lRLk1TRlQuSVFfQ0xPU0VQUklDRV9BREouNi8zMC8xOTk1</t>
  </si>
  <si>
    <t>AQAAAEtVAAACAAAACDMuNTI0MDQyANyfqVeqLtsIUNjBV6ou2wgkQ0lRLk1TRlQuSVFfQ0xPU0VQUklDRV9BREouNi8zMC8xOTk2AQAAAEtVAAACAAAACDQuNjg0MDk2ANyfqVeqLtsIUNjBV6ou2wgkQ0lRLk1TRlQuSVFfQ0xPU0VQUklDRV9BREouNi8zMC8xOTk3AQAAAEtVAAACAAAACDkuODU1NjE3ANyfqVeqLtsIIQDCV6ou2wgkQ0lRLk1TRlQuSVFfQ0xPU0VQUklDRV9BREouNi8zMC8xOTk4AQAAAEtVAAACAAAACTE2LjkwMzY5NADcn6lXqi7bCFDYwVeqLtsIJENJUS5NU0ZULklRX0NMT1NFUFJJQ0VfQURKLjYvMzAvMTk5OQEAAABLVQAAAgAAAAgyOC4xMzM4MwDcn6lXqi7bCKuxwVeqLtsIJENJUS5NU0ZULklRX0NMT1NFUFJJQ0VfQURKLjYvMzAvMjAwMAEAAABLVQAAAgAAAAkyNC45NTU4NTgA3J+pV6ou2whQ2MFXqi7bCCRDSVEuTVNGVC5JUV9DTE9TRVBSSUNFX0FESi42LzMwLzIwMDEBAAAAS1UAAAIAAAAIMjIuNzcyMjIA3J+pV6ou2whQ2MFXqi7bCCRDSVEuTVNGVC5JUV9DTE9TRVBSSUNFX0FESi42LzMwLzIwMDIBAAAAS1UAAAIAAAAJMTcuMDYzNTY4ANyfqVeqLtsIIQDCV6ou2wgkQ0lRLk1TRlQuSVFfQ0xPU0VQUklDRV9BREouNi8zMC8yMDAzAQAAAEtVAAACAAAACTE2LjA0ODE0MQDcn6lXqi7bCCEAwleqLtsIJENJUS5NU0ZULklRX0NMT1NFUFJJQ0VfQURKLjYvMzAvMjAwNAEA</t>
  </si>
  <si>
    <t>AABLVQAAAgAAAAkxNy45NzYwNjEA3J+pV6ou2wirscFXqi7bCCRDSVEuTVNGVC5JUV9DTE9TRVBSSUNFX0FESi42LzMwLzIwMDUBAAAAS1UAAAIAAAAJMTcuNTg2Mzc2ANyfqVeqLtsIq7HBV6ou2wgkQ0lRLk1TRlQuSVFfQ0xPU0VQUklDRV9BREouNi8zMC8yMDA2AQAAAEtVAAACAAAABzE2LjcxNDcA3J+pV6ou2whQ2MFXqi7bCCRDSVEuTVNGVC5JUV9DTE9TRVBSSUNFX0FESi42LzMwLzIwMDcBAAAAS1UAAAIAAAAJMjEuNDM0Mjk2ANyfqVeqLtsIUNjBV6ou2wgkQ0lRLk1TRlQuSVFfQ0xPU0VQUklDRV9BREouNi8zMC8yMDA4AQAAAEtVAAACAAAACTIwLjI5Nzk4MgDcn6lXqi7bCFDYwVeqLtsIJENJUS5NU0ZULklRX0NMT1NFUFJJQ0VfQURKLjYvMzAvMjAwOQEAAABLVQAAAgAAAAkxNy45NjI2MDMA3J+pV6ou2wghAMJXqi7bCCRDSVEuTVNGVC5JUV9DTE9TRVBSSUNFX0FESi42LzMwLzIwMTABAAAAS1UAAAIAAAAJMTcuNzI1MTAxANyfqVeqLtsIUNjBV6ou2wgkQ0lRLk1TRlQuSVFfQ0xPU0VQUklDRV9BREouNi8zMC8yMDExAQAAAEtVAAACAAAACTIwLjUxMjIzOQDcn6lXqi7bCFDYwVeqLtsIJENJUS5NU0ZULklRX0NMT1NFUFJJQ0VfQURKLjYvMzAvMjAxMgEAAABLVQAAAgAAAAkyNC43OTEzMzEA3J+pV6ou2whQ2MFXqi7bCCRDSVEuTVNGVC5JUV9DTE9TRVBSSUNFX0FESi42LzMwLzIwMTMB</t>
  </si>
  <si>
    <t>AAAAS1UAAAIAAAAJMjguODQ5ODAzANyfqVeqLtsIUNjBV6ou2wgkQ0lRLk1TRlQuSVFfQ0xPU0VQUklDRV9BREouNi8zMC8yMDE0AQAAAEtVAAACAAAACTM1Ljg1MjcxNADcn6lXqi7bCFDYwVeqLtsIJENJUS5NU0ZULklRX0NMT1NFUFJJQ0VfQURKLjYvMzAvMjAxNQEAAABLVQAAAgAAAAkzOC45NjIyODkA3J+pV6ou2whQ2MFXqi7bCCRDSVEuTVNGVC5JUV9DTE9TRVBSSUNFX0FESi42LzMwLzIwMTYBAAAAS1UAAAIAAAAJNDYuNDEyNTU1ANyfqVeqLtsIUNjBV6ou2wgkQ0lRLk1TRlQuSVFfQ0xPU0VQUklDRV9BREouNi8zMC8yMDE3AQAAAEtVAAACAAAACTY0LjA4NTIzNwDcn6lXqi7bCFDYwVeqLtsIJENJUS5NU0ZULklRX0NMT1NFUFJJQ0VfQURKLjYvMzAvMjAxOAEAAABLVQAAAgAAAAk5My40NjkwMTEA3J+pV6ou2wghAMJXqi7bCCRDSVEuTVNGVC5JUV9DTE9TRVBSSUNFX0FESi42LzMwLzIwMTkBAAAAS1UAAAIAAAAKMTI5LjAzNzk1MwDcn6lXqi7bCFDYwVeqLtsIJENJUS5NU0ZULklRX0NMT1NFUFJJQ0VfQURKLjYvMzAvMjAyMAEAAABLVQAAAgAAAAoxOTguNDQ0NzM4ANyfqVeqLtsIq7HBV6ou2wgqQ0lRLklRVDQ2MTU2NTE3LklRX0xBU1RTQUxFUFJJQ0UuNi8zMC8xOTkwAQAAAJu4KAACAAAAEDM5MS4xNDQzMjAxNDAyMDYA3J+pV6ou2wirscFXqi7bCCpDSVEuSVFUNDYxNTY1MTcuSVFf</t>
  </si>
  <si>
    <t>TEFTVFNBTEVQUklDRS42LzMwLzE5OTEBAAAAm7goAAIAAAAQNDIwLjA2NjU4ODQ3NzQ3NgDcn6lXqi7bCFDYwVeqLtsIKkNJUS5JUVQ0NjE1NjUxNy5JUV9MQVNUU0FMRVBSSUNFLjYvMzAvMTk5MgEAAACbuCgAAgAAABA0NzYuNDA5Mzk5Njk0NjE3ANyfqVeqLtsIIQDCV6ou2wgqQ0lRLklRVDQ2MTU2NTE3LklRX0xBU1RTQUxFUFJJQ0UuNi8zMC8xOTkzAQAAAJu4KAACAAAAEDU0MS4zNDEzMDkwMjgxNDEA3J+pV6ou2wghAMJXqi7bCCpDSVEuSVFUNDYxNTY1MTcuSVFfTEFTVFNBTEVQUklDRS42LzMwLzE5OTQBAAAAm7goAAIAAAAPNTQ4Ljk1NjEyOTA1NDM1ANyfqVeqLtsIUNjBV6ou2wgqQ0lRLklRVDQ2MTU2NTE3LklRX0xBU1RTQUxFUFJJQ0UuNi8zMC8xOTk1AQAAAJu4KAACAAAAEDY5Mi4wNjY4MTcyMTgyMDkA3J+pV6ou2whQ2MFXqi7bCCpDSVEuSVFUNDYxNTY1MTcuSVFfTEFTVFNBTEVQUklDRS42LzMwLzE5OTYBAAAAm7goAAIAAAAQODcyLjAwNzgyNDQ4NzAwNQDcn6lXqi7bCFDYwVeqLtsIKkNJUS5JUVQ0NjE1NjUxNy5JUV9MQVNUU0FMRVBSSUNFLjYvMzAvMTk5NwEAAACbuCgAAgAAABAxMTc0LjU4NjI3NzExNzE5ANyfqVeqLtsIIQDCV6ou2wgqQ0lRLklRVDQ2MTU2NTE3LklRX0xBU1RTQUxFUFJJQ0UuNi8zMC8xOTk4AQAAAJu4KAACAAAADzE1MjguODcwMzk5MzU0MQDcn6lXqi7b</t>
  </si>
  <si>
    <t>CFDYwVeqLtsIKkNJUS5JUVQ0NjE1NjUxNy5JUV9MQVNUU0FMRVBSSUNFLjYvMzAvMTk5OQEAAACbuCgAAgAAABAxODc2Ljc4MzQ5Nzk4NzU5ANyfqVeqLtsIUNjBV6ou2wgqQ0lRLklRVDQ2MTU2NTE3LklRX0xBU1RTQUxFUFJJQ0UuNi8zMC8yMDAwAQAAAJu4KAACAAAAEDIwMTIuODI5NzY5MjYwMDYA3J+pV6ou2whQ2MFXqi7bCCpDSVEuSVFUNDYxNTY1MTcuSVFfTEFTVFNBTEVQUklDRS42LzMwLzIwMDEBAAAAm7goAAIAAAAQMTcxNC4zMjA3OTYyMTc0NQDcn6lXqi7bCFDYwVeqLtsIKkNJUS5JUVQ0NjE1NjUxNy5JUV9MQVNUU0FMRVBSSUNFLjYvMzAvMjAwMgEAAACbuCgAAgAAABAxNDA1Ljk0MzUzNDg1ODE0ANyfqVeqLtsIUNjBV6ou2wgqQ0lRLklRVDQ2MTU2NTE3LklRX0xBU1RTQUxFUFJJQ0UuNi8zMC8yMDAzAQAAAJu4KAACAAAAEDE0MDkuNDc3NzcyMjg1NDUA3J+pV6ou2wghAMJXqi7bCCpDSVEuSVFUNDYxNTY1MTcuSVFfTEFTVFNBTEVQUklDRS42LzMwLzIwMDQBAAAAm7goAAIAAAAQMTY3OC44MjU1Nzg2NDI3MwDcn6lXqi7bCCEAwleqLtsIKkNJUS5JUVQ0NjE1NjUxNy5JUV9MQVNUU0FMRVBSSUNFLjYvMzAvMjAwNQEAAACbuCgAAgAAABAxNzg0Ljk4NzI1MTA5MTk5ANyfqVeqLtsIq7HBV6ou2wgqQ0lRLklRVDQ2MTU2NTE3LklRX0xBU1RTQUxFUFJJQ0UuNi8zMC8yMDA2AQAAAJu4</t>
  </si>
  <si>
    <t>KAACAAAAEDE5MzkuMDM0MDUzMzQxNzcA3J+pV6ou2wirscFXqi7bCCpDSVEuSVFUNDYxNTY1MTcuSVFfTEFTVFNBTEVQUklDRS42LzMwLzIwMDcBAAAAm7goAAIAAAAQMjMzOC4yNDY3MTQ2OTY0MQDcn6lXqi7bCCEAwleqLtsIKkNJUS5JUVQ0NjE1NjUxNy5JUV9MQVNUU0FMRVBSSUNFLjYvMzAvMjAwOAEAAACbuCgAAgAAABAyMDMxLjQ3MTI2NTIwMzM0ANyfqVeqLtsIUNjBV6ou2wgqQ0lRLklRVDQ2MTU2NTE3LklRX0xBU1RTQUxFUFJJQ0UuNi8zMC8yMDA5AQAAAJu4KAACAAAAEDE0OTguOTM2NDc3NTA2OTMA3J+pV6ou2wghAMJXqi7bCCpDSVEuSVFUNDYxNTY1MTcuSVFfTEFTVFNBTEVQUklDRS42LzMwLzIwMTABAAAAm7goAAIAAAAQMTcxNS4yMjk1Mzg2MjE2NADcn6lXqi7bCFDYwVeqLtsIKkNJUS5JUVQ0NjE1NjUxNy5JUV9MQVNUU0FMRVBSSUNFLjYvMzAvMjAxMQEAAACbuCgAAgAAABAyMjQxLjY2Mjg2NDgxNTE3ANyfqVeqLtsIIQDCV6ou2wgqQ0lRLklRVDQ2MTU2NTE3LklRX0xBU1RTQUxFUFJJQ0UuNi8zMC8yMDEyAQAAAJu4KAACAAAAEDIzNjMuNzg4ODM0ODAxODcA3J+pV6ou2whQ2MFXqi7bCCpDSVEuSVFUNDYxNTY1MTcuSVFfTEFTVFNBTEVQUklDRS42LzMwLzIwMTMBAAAAm7goAAIAAAAQMjg1MC42NjIyOTk1ODE1NQDcn6lXqi7bCCEAwleqLtsIKkNJUS5JUVQ0NjE1NjUxNy5J</t>
  </si>
  <si>
    <t>UV9MQVNUU0FMRVBSSUNFLjYvMzAvMjAxNAEAAACbuCgAAgAAAA8zNTUyLjE4MTc0ODU3NTYA3J+pV6ou2wghAMJXqi7bCCpDSVEuSVFUNDYxNTY1MTcuSVFfTEFTVFNBTEVQUklDRS42LzMwLzIwMTUBAAAAm7goAAIAAAAQMzgxNS44NTI4ODgzNjY2MwDcn6lXqi7bCKuxwVeqLtsIKkNJUS5JUVQ0NjE1NjUxNy5JUV9MQVNUU0FMRVBSSUNFLjYvMzAvMjAxNgEAAACbuCgAAgAAAA8zOTY4LjIwNTcwMDQ2MDkA3J+pV6ou2whQ2MFXqi7bCCpDSVEuSVFUNDYxNTY1MTcuSVFfTEFTVFNBTEVQUklDRS42LzMwLzIwMTcBAAAAm7goAAIAAAAQNDY3OC4zNjAxMTA3OTM0OADcn6lXqi7bCFDYwVeqLtsIKkNJUS5JUVQ0NjE1NjUxNy5JUV9MQVNUU0FMRVBSSUNFLjYvMzAvMjAxOAEAAACbuCgAAgAAABA1MzUwLjgzMTk4OTEzMDg3ANyfqVeqLtsIUNjBV6ou2wgqQ0lRLklRVDQ2MTU2NTE3LklRX0xBU1RTQUxFUFJJQ0UuNi8zMC8yMDE5AQAAAJu4KAACAAAAEDU5MDguMjUxNDgyODIwNTUA3J+pV6ou2wirscFXqi7bCCpDSVEuSVFUNDYxNTY1MTcuSVFfTEFTVFNBTEVQUklDRS42LzMwLzIwMjABAAAAm7goAAIAAAAQNjM1MS42NjY4NzI0OTQzNgDcn6lXqi7bCKuxwVeqLtsIHkNJUS5NU0ZULklRX1JFVkVOVUVfRVNULkZZMjAxOQEAAABLVQAAAgAAAAwxMjQ5MDguMzMxMzYBDgAAAAUAAAABMwEAAAABMAIAAAAK</t>
  </si>
  <si>
    <t>MTAwMDA5NDQ4MQMAAAAGMTAwMTgwBAAAAAEyBgAAAAEwBwAAAAMxNjAIAAAAATAJAAAAATEKAAAAATALAAAACzExNTIzNDMxMDA4DAAAAAExDQAAAAkzLzI4LzIwMjMQAAAACTYvMzAvMjAxOdyfqVeqLtsIFMLCV6ou2wgeQ0lRLk1TRlQuSVFfUkVWRU5VRV9FU1QuRlkyMDIwAQAAAEtVAAACAAAADDE0MTUzOS4wNzE1NgEOAAAABQAAAAEzAQAAAAEwAgAAAAoxMDAwOTc3NjI5AwAAAAYxMDAxODAEAAAAATIGAAAAATAHAAAAAzE2MAgAAAABMAkAAAABMQoAAAABMAsAAAALMTE5OTE4NzI0MzgMAAAAATENAAAACTMvMjgvMjAyMxAAAAAJNi8zMC8yMDIw3J+pV6ou2wgUwsJXqi7bCB1DSVEuTVNGVC5JUV9FQklUREFfRVNULkZZMjAxOQEAAABLVQAAAgAAAAs1MzQ4OC41ODQ1NAEOAAAABQAAAAEzAQAAAAEwAgAAAAoxMDAwMDk0NDgxAwAAAAYxMDAxODcEAAAAATIGAAAAATAHAAAAAzE2MAgAAAABMAkAAAABMQoAAAABMAsAAAALMTE1MTc0MTg2MDQMAAAAATENAAAACTMvMjgvMjAyMxAAAAAJNi8zMC8yMDE53J+pV6ou2wgUwsJXqi7bCB1DSVEuTVNGVC5JUV9FQklUREFfRVNULkZZMjAyMAEAAABLVQAAAgAAAAs2NTA1My44MjQ3NwEOAAAABQAAAAEzAQAAAAEwAgAAAAoxMDAwOTc3NjI5AwAAAAYxMDAxODcEAAAAATIGAAAAATAHAAAAAzE2MAgAAAABMAkAAAABMQoAAAABMAsAAAALMTE5OTM0ODQ2ODIM</t>
  </si>
  <si>
    <t>AAAAATENAAAACTMvMjgvMjAyMxAAAAAJNi8zMC8yMDIw3J+pV6ou2wgM6cJXqi7bCBxDSVEuTVNGVC5JUV9DQVBFWF9FU1QuRlkyMDE5AQAAAEtVAAACAAAADC0xNDA5Mi44NTAzOQEOAAAABQAAAAEzAQAAAAEwAgAAAAoxMDAwMDk0NDgxAwAAAAYxMDQwOTAEAAAAATIGAAAAATAHAAAAAzE2MAgAAAABMAkAAAABMQoAAAABMAsAAAALMTE0Nzc5NTkyMTgMAAAAATENAAAACTMvMjgvMjAyMxAAAAAJNi8zMC8yMDE53J+pV6ou2wgM6cJXqi7bCBxDSVEuTVNGVC5JUV9DQVBFWF9FU1QuRlkyMDIwAQAAAEtVAAACAAAADC0xNTYzNi41MzUyMwEOAAAABQAAAAEzAQAAAAEwAgAAAAoxMDAwOTc3NjI5AwAAAAYxMDQwOTAEAAAAATIGAAAAATAHAAAAAzE2MAgAAAABMAkAAAABMQoAAAABMAsAAAALMTI0Nzk5NjA2MzQMAAAAATENAAAACTMvMjgvMjAyMxAAAAAJNi8zMC8yMDIw3J+pV6ou2wgUwsJXqi7bCCNDSVEuTUlERC5JUV9HUk9TU19NQVJHSU5fRVNULkZZMjAxOQEAAAAmaQQAAgAAAAgzNy4xNDI4NgEOAAAABQAAAAEzAQAAAAEwAgAAAAoxMDAzNDk1MzgzAwAAAAYxMDUyOTMEAAAAATIGAAAAATAHAAAAATAIAAAAATAJAAAAATEKAAAAATALAAAACzExNzcyMjUwNDA2DAAAAAExDQAAAAkzLzI4LzIwMjMQAAAACjEyLzMxLzIwMTncn6lXqi7bCAIQw1eqLtsIMkNJUUFWRy4kVVNERVVSLklRX0xBU1RTQUxF</t>
  </si>
  <si>
    <t>UFJJQ0UuNy8xLzIwMTUuOS8zMC8yMDE1AQAAAALtWgACAAAAEDEuMTEyNDc2MzYwNDEzMDQA3J+pV6ou2whg2yZYqi7bCDRDSVFBVkcuJFVTREVVUi5JUV9MQVNUU0FMRVBSSUNFLjEwLzEvMjAxNS4xMi8zMS8yMDE1AQAAAALtWgACAAAAEDEuMDk1MzE5NTc5ODM2OTYA3J+pV6ou2whg2yZYqi7bCDJDSVFBVkcuJFVTREVVUi5JUV9MQVNUU0FMRVBSSUNFLjEvMS8yMDE2LjMvMzEvMjAxNgEAAAAC7VoAAgAAABAxLjEwMjk1OTc2MzQwNjU5ANyfqVeqLtsIYNsmWKou2wgyQ0lRQVZHLiRVU0RFVVIuSVFfTEFTVFNBTEVQUklDRS40LzEvMjAxNi42LzMwLzIwMTYBAAAAAu1aAAIAAAAQMS4xMjkzMjYzNDE0NjE1NADcn6lXqi7bCGDbJliqLtsIMkNJUUFWRy4kVVNERVVSLklRX0xBU1RTQUxFUFJJQ0UuNy8xLzIwMTYuOS8zMC8yMDE2AQAAAALtWgACAAAAEDEuMTE2MDEwODg3OTAyMTcA3J+pV6ou2whg2yZYqi7bCDRDSVFBVkcuJFVTREVVUi5JUV9MQVNUU0FMRVBSSUNFLjEwLzEvMjAxNi4xMi8zMC8yMDE2AQAAAALtWgACAAAAEDEuMDc4NTU0MzA0NzY5MjMA3J+pV6ou2whg2yZYqi7bCDRDSVFBVkcuJFVTREVVUi5JUV9MQVNUU0FMRVBSSUNFLjEyLzMxLzIwMTYuMy8zMS8yMDE3AQAAAALtWgACAAAAEDEuMDY1NDcxNTczMDQzOTYA3J+pV6ou2whg2yZYqi7bCDJDSVFBVkcuJFVTREVVUi5JUV9MQVNU</t>
  </si>
  <si>
    <t>U0FMRVBSSUNFLjQvMS8yMDE3LjYvMzAvMjAxNwEAAAAC7VoAAgAAABAxLjEwMDE0Mzc5NDE3NTgyANyfqVeqLtsIYNsmWKou2wgyQ0lRQVZHLiRVU0RFVVIuSVFfTEFTVFNBTEVQUklDRS43LzEvMjAxNy45LzMwLzIwMTcBAAAAAu1aAAIAAAAQMS4xNzQ4NjU0Mzk0MzQ3OADcn6lXqi7bCGDbJliqLtsINENJUUFWRy4kVVNERVVSLklRX0xBU1RTQUxFUFJJQ0UuMTAvMS8yMDE3LjEyLzMxLzIwMTcBAAAAAu1aAAIAAAAQMS4xNzgwOTI4NTQyMTczOQDcn6lXqi7bCGDbJliqLtsIMkNJUUFWRy4kVVNERVVSLklRX0xBU1RTQUxFUFJJQ0UuMS8xLzIwMTguMy8zMS8yMDE4AQAAAALtWgACAAAAEDEuMjI4OTIwNzcwOTQ0NDQA3J+pV6ou2whg2yZYqi7bCDJDSVFBVkcuJFVTREVVUi5JUV9MQVNUU0FMRVBSSUNFLjQvMS8yMDE4LjYvMzAvMjAxOAEAAAAC7VoAAgAAABAxLjE5MTcwNzIxODUzODQ2ANyfqVeqLtsIYNsmWKou2wgyQ0lRQVZHLiRVU0RFVVIuSVFfTEFTVFNBTEVQUklDRS43LzEvMjAxOC45LzMwLzIwMTgBAAAAAu1aAAIAAAAQMS4xNjI3NzQwMTI1OTc4MwDcn6lXqi7bCGDbJliqLtsINENJUUFWRy4kVVNERVVSLklRX0xBU1RTQUxFUFJJQ0UuMTAvMS8yMDE4LjEyLzMxLzIwMTgBAAAAAu1aAAIAAAAQMS4xNDA5ODMzMDE1MTA4NwDcn6lXqi7bCGDbJliqLtsIMkNJUUFWRy4kVVNERVVSLklRX0xB</t>
  </si>
  <si>
    <t>U1RTQUxFUFJJQ0UuMS8xLzIwMTkuMy8zMS8yMDE5AQAAAALtWgACAAAAEDEuMTM1NTI1NTY2MDMzMzMA3J+pV6ou2whg2yZYqi7bCDJDSVFBVkcuJFVTREVVUi5JUV9MQVNUU0FMRVBSSUNFLjQvMS8yMDE5LjYvMzAvMjAxOQEAAAAC7VoAAgAAABAxLjEyMzgzNDIzMDc2OTIzANyfqVeqLtsIYNsmWKou2wgyQ0lRQVZHLiRVU0RFVVIuSVFfTEFTVFNBTEVQUklDRS43LzEvMjAxOS45LzMwLzIwMTkBAAAAAu1aAAIAAAAQMS4xMTE3NzE5MTQ1OTc4MwDcn6lXqi7bCGDbJliqLtsINENJUUFWRy4kVVNERVVSLklRX0xBU1RTQUxFUFJJQ0UuMTAvMS8yMDE5LjEyLzMwLzIwMTkBAAAAAu1aAAIAAAAQMS4xMDcxNDAzNzE3OTEyMQDcn6lXqi7bCGDbJliqLtsINENJUUFWRy4kVVNERVVSLklRX0xBU1RTQUxFUFJJQ0UuMTIvMzEvMjAxOS4zLzMwLzIwMjABAAAAAu1aAAIAAAAQMS4xMDI1ODIyNzc4NDYxNQDcn6lXqi7bCGDbJliqLtsIM0NJUUFWRy4kVVNERVVSLklRX0xBU1RTQUxFUFJJQ0UuMy8zMS8yMDIwLjYvMzAvMjAyMAEAAAAC7VoAAgAAABAxLjEwMTIyMzkxNTY2MzA0ANyfqVeqLtsIYNsmWKou2wgyQ0lRQVZHLiRVU0RFVVIuSVFfTEFTVFNBTEVQUklDRS43LzEvMjAyMC45LzMwLzIwMjABAAAAAu1aAAIAAAAQMS4xNjg5MzA5NDM1MjE3NADcn6lXqi7bCGDbJliqLtsINENJUUFWRy4kVVNERVVSLklR</t>
  </si>
  <si>
    <t>X0xBU1RTQUxFUFJJQ0UuMTAvMS8yMDIwLjEyLzMxLzIwMjABAAAAAu1aAAIAAAAQMS4xOTI2Mjc0NDQ4MDQzNQDcn6lXqi7bCGDbJliqLtsIMkNJUUFWRy4kVVNERVVSLklRX0xBU1RTQUxFUFJJQ0UuMS8xLzIwMjEuMy8zMS8yMDIxAQAAAALtWgACAAAADDEuMjA1MjU4MzYwOADcn6lXqi7bCGDbJliqLtsIMkNJUUFWRy4kVVNERVVSLklRX0xBU1RTQUxFUFJJQ0UuNC8xLzIwMjEuNi8zMC8yMDIxAQAAAALtWgACAAAAEDEuMjA0NzE1NjU5NTA1NDkA3J+pV6ou2whg2yZYqi7bCDJDSVFBVkcuJFVTREVVUi5JUV9MQVNUU0FMRVBSSUNFLjcvMS8yMDIxLjkvMzAvMjAyMQEAAAAC7VoAAgAAABAxLjE3ODkzMDk1NjY5NTY1ANyfqVeqLtsIYNsmWKou2wg0Q0lRQVZHLiRVU0RFVVIuSVFfTEFTVFNBTEVQUklDRS4xMC8xLzIwMjEuMTIvMzEvMjAyMQEAAAAC7VoAAgAAABAxLjE0MzYzMDY5NjMwNDM1ANyfqVeqLtsIYNsmWKou2wgyQ0lRQVZHLiRVU0RFVVIuSVFfTEFTVFNBTEVQUklDRS4xLzEvMjAyMi4zLzMxLzIwMjIBAAAAAu1aAAIAAAAQMS4xMjIzNjgyMjg2MTExMQDcn6lXqi7bCGDbJliqLtsIMkNJUUFWRy4kVVNERVVSLklRX0xBU1RTQUxFUFJJQ0UuNC8xLzIwMjIuNi8zMC8yMDIyAQAAAALtWgACAAAAEDEuMDY1MDgzNzQ3Mzg0NjIA3J+pV6ou2whg2yZYqi7bCDJDSVFBVkcuJFVTREVVUi5JUV9M</t>
  </si>
  <si>
    <t>QVNUU0FMRVBSSUNFLjcvMS8yMDIyLjEwLzEvMjAyMgEAAAAC7VoAAgAAABAxLjAwNzY4MDAwMjEzOTc4ANyfqVeqLtsIYNsmWKou2wg0Q0lRQVZHLiRVU0RFVVIuSVFfTEFTVFNBTEVQUklDRS4xMC8yLzIwMjIuMTIvMzEvMjAyMgEAAAAC7VoAAgAAABAxLjAyMTc1NDYwODU5MzQxANyfqVeqLtsIYNsmWKou2wgyQ0lRQVZHLiRVU0RHQlAuSVFfTEFTVFNBTEVQUklDRS43LzEvMjAxNS45LzMwLzIwMTUBAAAAAu1aAAIAAAAQMS41NDg4NzA1MjkzMDQzNQDcn6lXqi7bCGDbJliqLtsINENJUUFWRy4kVVNER0JQLklRX0xBU1RTQUxFUFJJQ0UuMTAvMS8yMDE1LjEyLzMxLzIwMTUBAAAAAu1aAAIAAAAQMS41MTczNTg1MTQ5MTMwNADcn6lXqi7bCGDbJliqLtsIMkNJUUFWRy4kVVNER0JQLklRX0xBU1RTQUxFUFJJQ0UuMS8xLzIwMTYuMy8zMS8yMDE2AQAAAALtWgACAAAAEDEuNDMyMDg0MjQzMzA3NjkA3J+pV6ou2whg2yZYqi7bCDJDSVFBVkcuJFVTREdCUC5JUV9MQVNUU0FMRVBSSUNFLjQvMS8yMDE2LjYvMzAvMjAxNgEAAAAC7VoAAgAAABAxLjQzNDM0ODQ4ODA3NjkyANyfqVeqLtsIYNsmWKou2wgyQ0lRQVZHLiRVU0RHQlAuSVFfTEFTVFNBTEVQUklDRS43LzEvMjAxNi45LzMwLzIwMTYBAAAAAu1aAAIAAAAQMS4zMTMxMTM2NTYwMzI2MQDcn6lXqi7bCGDbJliqLtsINENJUUFWRy4kVVNER0JQLklR</t>
  </si>
  <si>
    <t>X0xBU1RTQUxFUFJJQ0UuMTAvMS8yMDE2LjEyLzMwLzIwMTYBAAAAAu1aAAIAAAAQMS4yNDIzNDgwMTYxMjA4OADcn6lXqi7bCGDbJliqLtsINENJUUFWRy4kVVNER0JQLklRX0xBU1RTQUxFUFJJQ0UuMTIvMzEvMjAxNi4zLzMxLzIwMTcBAAAAAu1aAAIAAAAQMS4yMzg2MTA2MjQ4MzUxNgDcn6lXqi7bCGDbJliqLtsIMkNJUUFWRy4kVVNER0JQLklRX0xBU1RTQUxFUFJJQ0UuNC8xLzIwMTcuNi8zMC8yMDE3AQAAAALtWgACAAAAEDEuMjc5MDA1MjM3OTIzMDgA3J+pV6ou2whg2yZYqi7bCDJDSVFBVkcuJFVTREdCUC5JUV9MQVNUU0FMRVBSSUNFLjcvMS8yMDE3LjkvMzAvMjAxNwEAAAAC7VoAAgAAABAxLjMwODY2NzExMzc3MTc0ANyfqVeqLtsIYNsmWKou2wg0Q0lRQVZHLiRVU0RHQlAuSVFfTEFTVFNBTEVQUklDRS4xMC8xLzIwMTcuMTIvMzEvMjAxNwEAAAAC7VoAAgAAABAxLjMyNzM5NDA3MzAxMDg3ANyfqVeqLtsIYNsmWKou2wgyQ0lRQVZHLiRVU0RHQlAuSVFfTEFTVFNBTEVQUklDRS4xLzEvMjAxOC4zLzMxLzIwMTgBAAAAAu1aAAIAAAAQMS4zOTEzNDgyNDY5ODg4OQDcn6lXqi7bCGDbJliqLtsIMkNJUUFWRy4kVVNER0JQLklRX0xBU1RTQUxFUFJJQ0UuNC8xLzIwMTguNi8zMC8yMDE4AQAAAALtWgACAAAAEDEuMzYwNzU3MjE1MzUxNjUA3J+pV6ou2whg2yZYqi7bCDJDSVFBVkcuJFVTREdC</t>
  </si>
  <si>
    <t>UC5JUV9MQVNUU0FMRVBSSUNFLjcvMS8yMDE4LjkvMzAvMjAxOAEAAAAC7VoAAgAAABAxLjMwMjkyNjcwMDY2MzA0ANyfqVeqLtsIYNsmWKou2wg0Q0lRQVZHLiRVU0RHQlAuSVFfTEFTVFNBTEVQUklDRS4xMC8xLzIwMTguMTIvMzEvMjAxOAEAAAAC7VoAAgAAABAxLjI4NjMwMjMwMzc3MTc0ANyfqVeqLtsIYNsmWKou2wgyQ0lRQVZHLiRVU0RHQlAuSVFfTEFTVFNBTEVQUklDRS4xLzEvMjAxOS4zLzMxLzIwMTkBAAAAAu1aAAIAAAALMS4zMDIwMTgzOTYA3J+pV6ou2whg2yZYqi7bCDJDSVFBVkcuJFVTREdCUC5JUV9MQVNUU0FMRVBSSUNFLjQvMS8yMDE5LjYvMzAvMjAxOQEAAAAC7VoAAgAAABAxLjI4NTI0OTEyODg3OTEyANyfqVeqLtsIYNsmWKou2wgyQ0lRQVZHLiRVU0RHQlAuSVFfTEFTVFNBTEVQUklDRS43LzEvMjAxOS45LzMwLzIwMTkBAAAAAu1aAAIAAAAQMS4yMzI4OTI2ODQ4Njk1NwDcn6lXqi7bCGDbJliqLtsINENJUUFWRy4kVVNER0JQLklRX0xBU1RTQUxFUFJJQ0UuMTAvMS8yMDE5LjEyLzMwLzIwMTkBAAAAAu1aAAIAAAAQMS4yODc2NTM5NjMxMzE4NwDcn6lXqi7bCGDbJliqLtsINENJUUFWRy4kVVNER0JQLklRX0xBU1RTQUxFUFJJQ0UuMTIvMzEvMjAxOS4zLzMwLzIwMjABAAAAAu1aAAIAAAAQMS4yODE0OTk1ODExNTM4NQDcn6lXqi7bCGDbJliqLtsIM0NJUUFWRy4kVVNER0JQ</t>
  </si>
  <si>
    <t>LklRX0xBU1RTQUxFUFJJQ0UuMy8zMS8yMDIwLjYvMzAvMjAyMAEAAAAC7VoAAgAAAA8xLjI0MTAwOTY5OTEwODcA3J+pV6ou2whg2yZYqi7bCDJDSVFBVkcuJFVTREdCUC5JUV9MQVNUU0FMRVBSSUNFLjcvMS8yMDIwLjkvMzAvMjAyMAEAAAAC7VoAAgAAABAxLjI5MTcxMzY0NjQxMzA0ANyfqVeqLtsIYNsmWKou2wg0Q0lRQVZHLiRVU0RHQlAuSVFfTEFTVFNBTEVQUklDRS4xMC8xLzIwMjAuMTIvMzEvMjAyMAEAAAAC7VoAAgAAABAxLjMyMTA2NTU5NDEzMDQzANyfqVeqLtsIYNsmWKou2wgyQ0lRQVZHLiRVU0RHQlAuSVFfTEFTVFNBTEVQUklDRS4xLzEvMjAyMS4zLzMxLzIwMjEBAAAAAu1aAAIAAAAQMS4zNzg1NjAzNjU3NDQ0NADcn6lXqi7bCGDbJliqLtsIMkNJUUFWRy4kVVNER0JQLklRX0xBU1RTQUxFUFJJQ0UuNC8xLzIwMjEuNi8zMC8yMDIxAQAAAALtWgACAAAAEDEuMzk3NTk3NzkyMDc2OTIA3J+pV6ou2whg2yZYqi7bCDJDSVFBVkcuJFVTREdCUC5JUV9MQVNUU0FMRVBSSUNFLjcvMS8yMDIxLjkvMzAvMjAyMQEAAAAC7VoAAgAAABAxLjM3ODMyMDY4NjIwNjUyANyfqVeqLtsIYNsmWKou2wg0Q0lRQVZHLiRVU0RHQlAuSVFfTEFTVFNBTEVQUklDRS4xMC8xLzIwMjEuMTIvMzEvMjAyMQEAAAAC7VoAAgAAABAxLjM0ODA1Mzk1NjUzMjYxANyfqVeqLtsIYNsmWKou2wgyQ0lRQVZHLiRVU0RH</t>
  </si>
  <si>
    <t>QlAuSVFfTEFTVFNBTEVQUklDRS4xLzEvMjAyMi4zLzMxLzIwMjIBAAAAAu1aAAIAAAAQMS4zNDE4MzI1MDU5NTU1NgDcn6lXqi7bCGDbJliqLtsIMkNJUUFWRy4kVVNER0JQLklRX0xBU1RTQUxFUFJJQ0UuNC8xLzIwMjIuNi8zMC8yMDIyAQAAAALtWgACAAAAEDEuMjU2NjM2Nzk4MzA3NjkA3J+pV6ou2whg2yZYqi7bCDJDSVFBVkcuJFVTREdCUC5JUV9MQVNUU0FMRVBSSUNFLjcvMS8yMDIyLjEwLzEvMjAyMgEAAAAC7VoAAgAAABAxLjE3NjkzMzc4MjQ2MjM3ANyfqVeqLtsIYNsmWKou2wg0Q0lRQVZHLiRVU0RHQlAuSVFfTEFTVFNBTEVQUklDRS4xMC8yLzIwMjIuMTIvMzEvMjAyMgEAAAAC7VoAAgAAAA8xLjE3NDUwMjE5OTI5NjcA3J+pV6ou2whg2yZYqi7bCDJDSVFBVkcuJFVTREpQWS5JUV9MQVNUU0FMRVBSSUNFLjcvMS8yMDE1LjkvMzAvMjAxNQEAAAAC7VoAAgAAABMwLjAwODE4NzkwNjU2NTIxNzM5ANyfqVeqLtsIYNsmWKou2wg0Q0lRQVZHLiRVU0RKUFkuSVFfTEFTVFNBTEVQUklDRS4xMC8xLzIwMTUuMTIvMzEvMjAxNQEAAAAC7VoAAgAAAAswLjAwODIzNzI0OADcn6lXqi7bCGDbJliqLtsIMkNJUUFWRy4kVVNESlBZLklRX0xBU1RTQUxFUFJJQ0UuMS8xLzIwMTYuMy8zMS8yMDE2AQAAAALtWgACAAAAEjAuMDA4Njc1MjU2MTk3ODAyMgDcn6lXqi7bCGDbJliqLtsIMkNJUUFWRy4kVVNE</t>
  </si>
  <si>
    <t>SlBZLklRX0xBU1RTQUxFUFJJQ0UuNC8xLzIwMTYuNi8zMC8yMDE2AQAAAALtWgACAAAAEzAuMDA5MjY3MzU5MTg2ODEzMTkA3J+pV6ou2whg2yZYqi7bCDJDSVFBVkcuJFVTREpQWS5JUV9MQVNUU0FMRVBSSUNFLjcvMS8yMDE2LjkvMzAvMjAxNgEAAAAC7VoAAgAAABMwLjAwOTc2OTkzMTQ4OTEzMDQzANyfqVeqLtsIYNsmWKou2wg0Q0lRQVZHLiRVU0RKUFkuSVFfTEFTVFNBTEVQUklDRS4xMC8xLzIwMTYuMTIvMzAvMjAxNgEAAAAC7VoAAgAAABMwLjAwOTE2NDM3OTY1OTM0MDY2ANyfqVeqLtsIYNsmWKou2wg0Q0lRQVZHLiRVU0RKUFkuSVFfTEFTVFNBTEVQUklDRS4xMi8zMS8yMDE2LjMvMzEvMjAxNwEAAAAC7VoAAgAAABMwLjAwODc5MzE0MjgxMzE4NjgxANyfqVeqLtsIYNsmWKou2wgyQ0lRQVZHLiRVU0RKUFkuSVFfTEFTVFNBTEVQUklDRS40LzEvMjAxNy42LzMwLzIwMTcBAAAAAu1aAAIAAAATMC4wMDkwMDM4MDI3MzYyNjM3NADcn6lXqi7bCGDbJliqLtsIMkNJUUFWRy4kVVNESlBZLklRX0xBU1RTQUxFUFJJQ0UuNy8xLzIwMTcuOS8zMC8yMDE3AQAAAALtWgACAAAAEzAuMDA5MDE2NTgzMzkxMzA0MzUA3J+pV6ou2whg2yZYqi7bCDRDSVFBVkcuJFVTREpQWS5JUV9MQVNUU0FMRVBSSUNFLjEwLzEvMjAxNy4xMi8zMS8yMDE3AQAAAALtWgACAAAAEzAuMDA4ODYwMTc1OTAyMTczOTEA3J+p</t>
  </si>
  <si>
    <t>V6ou2whg2yZYqi7bCDJDSVFBVkcuJFVTREpQWS5JUV9MQVNUU0FMRVBSSUNFLjEvMS8yMDE4LjMvMzEvMjAxOAEAAAAC7VoAAgAAABMwLjAwOTIzODkyOTQ4ODg4ODg5ANyfqVeqLtsIYNsmWKou2wgyQ0lRQVZHLiRVU0RKUFkuSVFfTEFTVFNBTEVQUklDRS40LzEvMjAxOC42LzMwLzIwMTgBAAAAAu1aAAIAAAASMC4wMDkxNjQxODMyOTY3MDMzANyfqVeqLtsIYNsmWKou2wgyQ0lRQVZHLiRVU0RKUFkuSVFfTEFTVFNBTEVQUklDRS43LzEvMjAxOC45LzMwLzIwMTgBAAAAAu1aAAIAAAATMC4wMDg5NzA3NTA2MDg2OTU2NQDcn6lXqi7bCGDbJliqLtsINENJUUFWRy4kVVNESlBZLklRX0xBU1RTQUxFUFJJQ0UuMTAvMS8yMDE4LjEyLzMxLzIwMTgBAAAAAu1aAAIAAAASMC4wMDg4NzUxNTgwMzI2MDg3ANyfqVeqLtsIYNsmWKou2wgyQ0lRQVZHLiRVU0RKUFkuSVFfTEFTVFNBTEVQUklDRS4xLzEvMjAxOS4zLzMxLzIwMTkBAAAAAu1aAAIAAAATMC4wMDkwODA0NTg0NDQ0NDQ0NADcn6lXqi7bCGDbJliqLtsIMkNJUUFWRy4kVVNESlBZLklRX0xBU1RTQUxFUFJJQ0UuNC8xLzIwMTkuNi8zMC8yMDE5AQAAAALtWgACAAAAEzAuMDA5MDk5NTEyOTU2MDQzOTYA3J+pV6ou2whg2yZYqi7bCDJDSVFBVkcuJFVTREpQWS5JUV9MQVNUU0FMRVBSSUNFLjcvMS8yMDE5LjkvMzAvMjAxOQEAAAAC7VoAAgAAABMwLjAw</t>
  </si>
  <si>
    <t>OTMyMDI3MTkyMzkxMzA0ANyfqVeqLtsIYNsmWKou2wg0Q0lRQVZHLiRVU0RKUFkuSVFfTEFTVFNBTEVQUklDRS4xMC8xLzIwMTkuMTIvMzAvMjAxOQEAAAAC7VoAAgAAABMwLjAwOTE5Nzk3MDM1MTY0ODM1ANyfqVeqLtsIYNsmWKou2wg0Q0lRQVZHLiRVU0RKUFkuSVFfTEFTVFNBTEVQUklDRS4xMi8zMS8yMDE5LjMvMzAvMjAyMAEAAAAC7VoAAgAAABIwLjAwOTE3NzE3OTI5NjcwMzMA3J+pV6ou2whg2yZYqi7bCDNDSVFBVkcuJFVTREpQWS5JUV9MQVNUU0FMRVBSSUNFLjMvMzEvMjAyMC42LzMwLzIwMjABAAAAAu1aAAIAAAATMC4wMDkyOTgyNTQ2MzA0MzQ3OADcn6lXqi7bCGDbJliqLtsIMkNJUUFWRy4kVVNESlBZLklRX0xBU1RTQUxFUFJJQ0UuNy8xLzIwMjAuOS8zMC8yMDIwAQAAAALtWgACAAAAEzAuMDA5NDIzOTE3MjcxNzM5MTMA3J+pV6ou2whg2yZYqi7bCDRDSVFBVkcuJFVTREpQWS5JUV9MQVNUU0FMRVBSSUNFLjEwLzEvMjAyMC4xMi8zMS8yMDIwAQAAAALtWgACAAAAEzAuMDA5NTc1NDg3MjE3MzkxMzEA3J+pV6ou2whg2yZYqi7bCDJDSVFBVkcuJFVTREpQWS5JUV9MQVNUU0FMRVBSSUNFLjEvMS8yMDIxLjMvMzEvMjAyMQEAAAAC7VoAAgAAABMwLjAwOTQzNTgwNjI2NjY2NjY3ANyfqVeqLtsIYNsmWKou2wgyQ0lRQVZHLiRVU0RKUFkuSVFfTEFTVFNBTEVQUklDRS40LzEvMjAyMS42</t>
  </si>
  <si>
    <t>LzMwLzIwMjEBAAAAAu1aAAIAAAATMC4wMDkxMzY2Mzk5NDUwNTQ5NADcn6lXqi7bCGDbJliqLtsIMkNJUUFWRy4kVVNESlBZLklRX0xBU1RTQUxFUFJJQ0UuNy8xLzIwMjEuOS8zMC8yMDIxAQAAAALtWgACAAAAEzAuMDA5MDgyNjM4MjI4MjYwODcA3J+pV6ou2whg2yZYqi7bCDRDSVFBVkcuJFVTREpQWS5JUV9MQVNUU0FMRVBSSUNFLjEwLzEvMjAyMS4xMi8zMS8yMDIxAQAAAALtWgACAAAAEzAuMDA4ODAxODI2NjE5NTY1MjIA3J+pV6ou2whg2yZYqi7bCDJDSVFBVkcuJFVTREpQWS5JUV9MQVNUU0FMRVBSSUNFLjEvMS8yMDIyLjMvMzEvMjAyMgEAAAAC7VoAAgAAABMwLjAwODYwNjg3NzE4ODg4ODg5ANyfqVeqLtsIYNsmWKou2wgyQ0lRQVZHLiRVU0RKUFkuSVFfTEFTVFNBTEVQUklDRS40LzEvMjAyMi42LzMwLzIwMjIBAAAAAu1aAAIAAAASMC4wMDc3MTkxNDk2MDQzOTU2ANyfqVeqLtsIYNsmWKou2wgyQ0lRQVZHLiRVU0RKUFkuSVFfTEFTVFNBTEVQUklDRS43LzEvMjAyMi4xMC8xLzIwMjIBAAAAAu1aAAIAAAATMC4wMDcyMzgzNjMxMzk3ODQ5NQDcn6lXqi7bCGDbJliqLtsINENJUUFWRy4kVVNESlBZLklRX0xBU1RTQUxFUFJJQ0UuMTAvMi8yMDIyLjEyLzMxLzIwMjIBAAAAAu1aAAIAAAATMC4wMDcwOTI4NTU4NzkxMjA4OADcn6lXqi7bCGDbJliqLtsIMkNJUUFWRy4kVVNEQVVELklRX0xB</t>
  </si>
  <si>
    <t>U1RTQUxFUFJJQ0UuNy8xLzIwMTUuOS8zMC8yMDE1AQAAAALtWgACAAAAETAuNzI1NzM1NzQ4OTIzOTEzANyfqVeqLtsIYNsmWKou2wg0Q0lRQVZHLiRVU0RBVUQuSVFfTEFTVFNBTEVQUklDRS4xMC8xLzIwMTUuMTIvMzEvMjAxNQEAAAAC7VoAAgAAABEwLjcyMDA5Njg5ODQwMjE3NADcn6lXqi7bCGDbJliqLtsIMkNJUUFWRy4kVVNEQVVELklRX0xBU1RTQUxFUFJJQ0UuMS8xLzIwMTYuMy8zMS8yMDE2AQAAAALtWgACAAAAETAuNzIyMTcxNDc1Mjk2NzAzANyfqVeqLtsIYNsmWKou2wgyQ0lRQVZHLiRVU0RBVUQuSVFfTEFTVFNBTEVQUklDRS40LzEvMjAxNi42LzMwLzIwMTYBAAAAAu1aAAIAAAARMC43NDU1MjYwMjU5MzQwNjYA3J+pV6ou2whg2yZYqi7bCDJDSVFBVkcuJFVTREFVRC5JUV9MQVNUU0FMRVBSSUNFLjcvMS8yMDE2LjkvMzAvMjAxNgEAAAAC7VoAAgAAABEwLjc1ODE4MjMxNjQxMzA0MwDcn6lXqi7bCGDbJliqLtsINENJUUFWRy4kVVNEQVVELklRX0xBU1RTQUxFUFJJQ0UuMTAvMS8yMDE2LjEyLzMwLzIwMTYBAAAAAu1aAAIAAAARMC43NDg5OTYwMjU1ODI0MTgA3J+pV6ou2whg2yZYqi7bCDRDSVFBVkcuJFVTREFVRC5JUV9MQVNUU0FMRVBSSUNFLjEyLzMxLzIwMTYuMy8zMS8yMDE3AQAAAALtWgACAAAAETAuNzU3MjQyNjUwMTg2ODEzANyfqVeqLtsIYNsmWKou2wgyQ0lRQVZHLiRV</t>
  </si>
  <si>
    <t>U0RBVUQuSVFfTEFTVFNBTEVQUklDRS40LzEvMjAxNy42LzMwLzIwMTcBAAAAAu1aAAIAAAARMC43NTA4OTA4NTUzODQ2MTUA3J+pV6ou2whg2yZYqi7bCDJDSVFBVkcuJFVTREFVRC5JUV9MQVNUU0FMRVBSSUNFLjcvMS8yMDE3LjkvMzAvMjAxNwEAAAAC7VoAAgAAABEwLjc4OTQwMjQ2NzA2NTIxNwDcn6lXqi7bCGDbJliqLtsINENJUUFWRy4kVVNEQVVELklRX0xBU1RTQUxFUFJJQ0UuMTAvMS8yMDE3LjEyLzMxLzIwMTcBAAAAAu1aAAIAAAARMC43Njg4Mzk3NDc5MzQ3ODMA3J+pV6ou2whg2yZYqi7bCDJDSVFBVkcuJFVTREFVRC5JUV9MQVNUU0FMRVBSSUNFLjEvMS8yMDE4LjMvMzEvMjAxOAEAAAAC7VoAAgAAABEwLjc4NTk1ODUyNDAzMzMzMwDcn6lXqi7bCGDbJliqLtsIMkNJUUFWRy4kVVNEQVVELklRX0xBU1RTQUxFUFJJQ0UuNC8xLzIwMTguNi8zMC8yMDE4AQAAAALtWgACAAAAETAuNzU2NzMzMDgyOTg5MDExANyfqVeqLtsIYNsmWKou2wgyQ0lRQVZHLiRVU0RBVUQuSVFfTEFTVFNBTEVQUklDRS43LzEvMjAxOC45LzMwLzIwMTgBAAAAAu1aAAIAAAARMC43MzE0NTM3NjIzNDc4MjYA3J+pV6ou2whg2yZYqi7bCDRDSVFBVkcuJFVTREFVRC5JUV9MQVNUU0FMRVBSSUNFLjEwLzEvMjAxOC4xMi8zMS8yMDE4AQAAAALtWgACAAAAETAuNzE3MDU0NjIwNzE3MzkxANyfqVeqLtsIYNsmWKou2wgy</t>
  </si>
  <si>
    <t>Q0lRQVZHLiRVU0RBVUQuSVFfTEFTVFNBTEVQUklDRS4xLzEvMjAxOS4zLzMxLzIwMTkBAAAAAu1aAAIAAAARMC43MTIzOTU3MzQ1MTExMTEA3J+pV6ou2whg2yZYqi7bCDJDSVFBVkcuJFVTREFVRC5JUV9MQVNUU0FMRVBSSUNFLjQvMS8yMDE5LjYvMzAvMjAxOQEAAAAC7VoAAgAAABEwLjcwMDE1Nzk2NTM3MzYyNgDcn6lXqi7bCGDbJliqLtsIMkNJUUFWRy4kVVNEQVVELklRX0xBU1RTQUxFUFJJQ0UuNy8xLzIwMTkuOS8zMC8yMDE5AQAAAALtWgACAAAAETAuNjg1NjM0ODM5OTM0NzgzANyfqVeqLtsIYNsmWKou2wg0Q0lRQVZHLiRVU0RBVUQuSVFfTEFTVFNBTEVQUklDRS4xMC8xLzIwMTkuMTIvMzAvMjAxOQEAAAAC7VoAAgAAABEwLjY4MzU5MTc3MDY5MjMwOADcn6lXqi7bCGDbJliqLtsINENJUUFWRy4kVVNEQVVELklRX0xBU1RTQUxFUFJJQ0UuMTIvMzEvMjAxOS4zLzMwLzIwMjABAAAAAu1aAAIAAAARMC42NTkyNTQxMjM0NzI1MjcA3J+pV6ou2whg2yZYqi7bCDNDSVFBVkcuJFVTREFVRC5JUV9MQVNUU0FMRVBSSUNFLjMvMzEvMjAyMC42LzMwLzIwMjABAAAAAu1aAAIAAAARMC42NTY0NzM2OTY0MTMwNDMA3J+pV6ou2whg2yZYqi7bCDJDSVFBVkcuJFVTREFVRC5JUV9MQVNUU0FMRVBSSUNFLjcvMS8yMDIwLjkvMzAvMjAyMAEAAAAC7VoAAgAAABEwLjcxNDg2Nzg2MzkxMzA0MwDcn6lXqi7b</t>
  </si>
  <si>
    <t>CGDbJliqLtsINENJUUFWRy4kVVNEQVVELklRX0xBU1RTQUxFUFJJQ0UuMTAvMS8yMDIwLjEyLzMxLzIwMjABAAAAAu1aAAIAAAARMC43MzE2MTk2MjAyOTM0NzgA3J+pV6ou2whg2yZYqi7bCDJDSVFBVkcuJFVTREFVRC5JUV9MQVNUU0FMRVBSSUNFLjEvMS8yMDIxLjMvMzEvMjAyMQEAAAAC7VoAAgAAABEwLjc3MjQ2ODQ1NzY4ODg4OQDcn6lXqi7bCGDbJliqLtsIMkNJUUFWRy4kVVNEQVVELklRX0xBU1RTQUxFUFJJQ0UuNC8xLzIwMjEuNi8zMC8yMDIxAQAAAALtWgACAAAAETAuNzY5Nzc0NDAwNDcyNTI3ANyfqVeqLtsIYNsmWKou2wgyQ0lRQVZHLiRVU0RBVUQuSVFfTEFTVFNBTEVQUklDRS43LzEvMjAyMS45LzMwLzIwMjEBAAAAAu1aAAIAAAARMC43MzQ4NDYwMzgxNDEzMDQA3J+pV6ou2whg2yZYqi7bCDRDSVFBVkcuJFVTREFVRC5JUV9MQVNUU0FMRVBSSUNFLjEwLzEvMjAyMS4xMi8zMS8yMDIxAQAAAALtWgACAAAAETAuNzI4NTQxODcxOTM0NzgzANyfqVeqLtsIYNsmWKou2wgyQ0lRQVZHLiRVU0RBVUQuSVFfTEFTVFNBTEVQUklDRS4xLzEvMjAyMi4zLzMxLzIwMjIBAAAAAu1aAAIAAAARMC43MjQzNTcxMjIwNTU1NTYA3J+pV6ou2whg2yZYqi7bCDJDSVFBVkcuJFVTREFVRC5JUV9MQVNUU0FMRVBSSUNFLjQvMS8yMDIyLjYvMzAvMjAyMgEAAAAC7VoAAgAAABEwLjcxNDY5MDAxODU4MjQx</t>
  </si>
  <si>
    <t>OADcn6lXqi7bCGDbJliqLtsIMkNJUUFWRy4kVVNEQVVELklRX0xBU1RTQUxFUFJJQ0UuNy8xLzIwMjIuMTAvMS8yMDIyAQAAAALtWgACAAAAETAuNjgzMzg2NzQwMDEwNzUzANyfqVeqLtsIYNsmWKou2wg0Q0lRQVZHLiRVU0RBVUQuSVFfTEFTVFNBTEVQUklDRS4xMC8yLzIwMjIuMTIvMzEvMjAyMgEAAAAC7VoAAgAAABEwLjY1NzY3MTE1NDcxNDI4NgDcn6lXqi7bCGDbJliqLtsIMkNJUUFWRy4kVVNEQ0FELklRX0xBU1RTQUxFUFJJQ0UuNy8xLzIwMTUuOS8zMC8yMDE1AQAAAALtWgACAAAAETAuNzY0NzUxOTM2MzE1MjE3ANyfqVeqLtsIYNsmWKou2wg0Q0lRQVZHLiRVU0RDQUQuSVFfTEFTVFNBTEVQUklDRS4xMC8xLzIwMTUuMTIvMzEvMjAxNQEAAAAC7VoAAgAAABEwLjc0OTE1MDIzOTYzMDQzNQDcn6lXqi7bCGDbJliqLtsIMkNJUUFWRy4kVVNEQ0FELklRX0xBU1RTQUxFUFJJQ0UuMS8xLzIwMTYuMy8zMS8yMDE2AQAAAALtWgACAAAAETAuNzI4OTU4NTQ5NjQ4MzUyANyfqVeqLtsIYNsmWKou2wgyQ0lRQVZHLiRVU0RDQUQuSVFfTEFTVFNBTEVQUklDRS40LzEvMjAxNi42LzMwLzIwMTYBAAAAAu1aAAIAAAARMC43NzU5NDMzODg5MzQwNjYA3J+pV6ou2whg2yZYqi7bCDJDSVFBVkcuJFVTRENBRC5JUV9MQVNUU0FMRVBSSUNFLjcvMS8yMDE2LjkvMzAvMjAxNgEAAAAC7VoAAgAAABEwLjc2Njgy</t>
  </si>
  <si>
    <t>Njk1NDE3MzkxMwDcn6lXqi7bCGDbJliqLtsINENJUUFWRy4kVVNEQ0FELklRX0xBU1RTQUxFUFJJQ0UuMTAvMS8yMDE2LjEyLzMwLzIwMTYBAAAAAu1aAAIAAAARMC43NDkxNzM1ODcyOTY3MDMA3J+pV6ou2whg2yZYqi7bCDRDSVFBVkcuJFVTRENBRC5JUV9MQVNUU0FMRVBSSUNFLjEyLzMxLzIwMTYuMy8zMS8yMDE3AQAAAALtWgACAAAAETAuNzU1Mzc3OTYwOTAxMDk5ANyfqVeqLtsIYNsmWKou2wgyQ0lRQVZHLiRVU0RDQUQuSVFfTEFTVFNBTEVQUklDRS40LzEvMjAxNy42LzMwLzIwMTcBAAAAAu1aAAIAAAARMC43NDM0OTY5NzE3MTQyODYA3J+pV6ou2whg2yZYqi7bCDJDSVFBVkcuJFVTRENBRC5JUV9MQVNUU0FMRVBSSUNFLjcvMS8yMDE3LjkvMzAvMjAxNwEAAAAC7VoAAgAAABEwLjc5ODEyOTA5NjQ3ODI2MQDcn6lXqi7bCGDbJliqLtsINENJUUFWRy4kVVNEQ0FELklRX0xBU1RTQUxFUFJJQ0UuMTAvMS8yMDE3LjEyLzMxLzIwMTcBAAAAAu1aAAIAAAARMC43ODY5NjEzNjQyMTczOTEA3J+pV6ou2whg2yZYqi7bCDJDSVFBVkcuJFVTRENBRC5JUV9MQVNUU0FMRVBSSUNFLjEvMS8yMDE4LjMvMzEvMjAxOAEAAAAC7VoAAgAAABEwLjc5MDg4NjU0ODI0NDQ0NADcn6lXqi7bCGDbJliqLtsIMkNJUUFWRy4kVVNEQ0FELklRX0xBU1RTQUxFUFJJQ0UuNC8xLzIwMTguNi8zMC8yMDE4AQAAAALtWgAC</t>
  </si>
  <si>
    <t>AAAAETAuNzc0NTY3ODcxMDc2OTIzANyfqVeqLtsIYNsmWKou2wgyQ0lRQVZHLiRVU0RDQUQuSVFfTEFTVFNBTEVQUklDRS43LzEvMjAxOC45LzMwLzIwMTgBAAAAAu1aAAIAAAARMC43NjUxNjQxMzQ4MzY5NTcA3J+pV6ou2whg2yZYqi7bCDRDSVFBVkcuJFVTRENBRC5JUV9MQVNUU0FMRVBSSUNFLjEwLzEvMjAxOC4xMi8zMS8yMDE4AQAAAALtWgACAAAAETAuNzU2NjA1NzIzNzcxNzM5ANyfqVeqLtsIYNsmWKou2wgyQ0lRQVZHLiRVU0RDQUQuSVFfTEFTVFNBTEVQUklDRS4xLzEvMjAxOS4zLzMxLzIwMTkBAAAAAu1aAAIAAAARMC43NTE5NzU1NjkzODg4ODkA3J+pV6ou2whg2yZYqi7bCDJDSVFBVkcuJFVTRENBRC5JUV9MQVNUU0FMRVBSSUNFLjQvMS8yMDE5LjYvMzAvMjAxOQEAAAAC7VoAAgAAABEwLjc0NzU4OTEyODczNjI2NADcn6lXqi7bCGDbJliqLtsIMkNJUUFWRy4kVVNEQ0FELklRX0xBU1RTQUxFUFJJQ0UuNy8xLzIwMTkuOS8zMC8yMDE5AQAAAALtWgACAAAAETAuNzU3MjgzNzk4ODM2OTU3ANyfqVeqLtsIYNsmWKou2wg0Q0lRQVZHLiRVU0RDQUQuSVFfTEFTVFNBTEVQUklDRS4xMC8xLzIwMTkuMTIvMzAvMjAxOQEAAAAC7VoAAgAAABEwLjc1NzUxMDU2OTgwMjE5OADcn6lXqi7bCGDbJliqLtsINENJUUFWRy4kVVNEQ0FELklRX0xBU1RTQUxFUFJJQ0UuMTIvMzEvMjAxOS4zLzMwLzIw</t>
  </si>
  <si>
    <t>MjABAAAAAu1aAAIAAAARMC43NDU2MzIwMzQ5MjMwNzcA3J+pV6ou2whg2yZYqi7bCDNDSVFBVkcuJFVTRENBRC5JUV9MQVNUU0FMRVBSSUNFLjMvMzEvMjAyMC42LzMwLzIwMjABAAAAAu1aAAIAAAANMC43MjEyNzg2NDQ3NQDcn6lXqi7bCGDbJliqLtsIMkNJUUFWRy4kVVNEQ0FELklRX0xBU1RTQUxFUFJJQ0UuNy8xLzIwMjAuOS8zMC8yMDIwAQAAAALtWgACAAAAETAuNzUwNDcwMTQ5ODkxMzA0ANyfqVeqLtsIYNsmWKou2wg0Q0lRQVZHLiRVU0RDQUQuSVFfTEFTVFNBTEVQUklDRS4xMC8xLzIwMjAuMTIvMzEvMjAyMAEAAAAC7VoAAgAAABEwLjc2NzU3MDA1NjgyNjA4NwDcn6lXqi7bCGDbJliqLtsIMkNJUUFWRy4kVVNEQ0FELklRX0xBU1RTQUxFUFJJQ0UuMS8xLzIwMjEuMy8zMS8yMDIxAQAAAALtWgACAAAAETAuNzg5NjEyMjUxNDg4ODg5ANyfqVeqLtsIYNsmWKou2wgyQ0lRQVZHLiRVU0RDQUQuSVFfTEFTVFNBTEVQUklDRS40LzEvMjAyMS42LzMwLzIwMjEBAAAAAu1aAAIAAAARMC44MTQwNjA1MzkxMzE4NjgA3J+pV6ou2whg2yZYqi7bCDJDSVFBVkcuJFVTRENBRC5JUV9MQVNUU0FMRVBSSUNFLjcvMS8yMDIxLjkvMzAvMjAyMQEAAAAC7VoAAgAAABEwLjc5NDA0MDYwMDY5NTY1MgDcn6lXqi7bCGDbJliqLtsINENJUUFWRy4kVVNEQ0FELklRX0xBU1RTQUxFUFJJQ0UuMTAvMS8yMDIxLjEy</t>
  </si>
  <si>
    <t>LzMxLzIwMjEBAAAAAu1aAAIAAAARMC43OTM0NTU3NTU1MzI2MDkA3J+pV6ou2whg2yZYqi7bCDJDSVFBVkcuJFVTRENBRC5JUV9MQVNUU0FMRVBSSUNFLjEvMS8yMDIyLjMvMzEvMjAyMgEAAAAC7VoAAgAAABEwLjc4OTU4NTU3OTk0NDQ0NADcn6lXqi7bCGDbJliqLtsIMkNJUUFWRy4kVVNEQ0FELklRX0xBU1RTQUxFUFJJQ0UuNC8xLzIwMjIuNi8zMC8yMDIyAQAAAALtWgACAAAAETAuNzgzMzkxMTYzNTE2NDg0ANyfqVeqLtsIYNsmWKou2wgyQ0lRQVZHLiRVU0RDQUQuSVFfTEFTVFNBTEVQUklDRS43LzEvMjAyMi4xMC8xLzIwMjIBAAAAAu1aAAIAAAARMC43NjYxMTgxNTg2NDUxNjEA3J+pV6ou2whg2yZYqi7bCDRDSVFBVkcuJFVTRENBRC5JUV9MQVNUU0FMRVBSSUNFLjEwLzIvMjAyMi4xMi8zMS8yMDIyAQAAAALtWgACAAAAETAuNzM2NzI0ODkzMTg2ODEzANyfqVeqLtsIYNsmWKou2wgrQ0lRQVZHLiRVU0RFVVIuSVFfTEFTVFNBTEVQUklDRS4uMTIvMzEvMjAyMgUAAAABAAAACAAAABIoSW52YWxpZCBFbmQgRGF0ZSk65RJYqi7bCDrlEliqLtsIK0NJUUFWRy4kVVNER0JQLklRX0xBU1RTQUxFUFJJQ0UuLjEyLzMxLzIwMjIFAAAAAQAAAAgAAAASKEludmFsaWQgRW5kIERhdGUpOuUSWKou2wg65RJYqi7bCCtDSVFBVkcuJFVTREpQWS5JUV9MQVNUU0FMRVBSSUNFLi4xMi8zMS8yMDIyBQAAAAEA</t>
  </si>
  <si>
    <t>AAAIAAAAEihJbnZhbGlkIEVuZCBEYXRlKTrlEliqLtsIOuUSWKou2wgrQ0lRQVZHLiRVU0RBVUQuSVFfTEFTVFNBTEVQUklDRS4uMTIvMzEvMjAyMgUAAAABAAAACAAAABIoSW52YWxpZCBFbmQgRGF0ZSk65RJYqi7bCDrlEliqLtsIK0NJUUFWRy4kVVNEQ0FELklRX0xBU1RTQUxFUFJJQ0UuLjEyLzMxLzIwMjIFAAAAAQAAAAgAAAASKEludmFsaWQgRW5kIERhdGUpOuUSWKou2wg65RJYqi7bCCpDSVFBVkcuJFVTREVVUi5JUV9MQVNUU0FMRVBSSUNFLi4xMC8xLzIwMjIFAAAAAQAAAAgAAAASKEludmFsaWQgRW5kIERhdGUpOuUSWKou2wg65RJYqi7bCCpDSVFBVkcuJFVTREdCUC5JUV9MQVNUU0FMRVBSSUNFLi4xMC8xLzIwMjIFAAAAAQAAAAgAAAASKEludmFsaWQgRW5kIERhdGUpOuUSWKou2wg65RJYqi7bCCpDSVFBVkcuJFVTREpQWS5JUV9MQVNUU0FMRVBSSUNFLi4xMC8xLzIwMjIFAAAAAQAAAAgAAAASKEludmFsaWQgRW5kIERhdGUpOuUSWKou2wg65RJYqi7bCCpDSVFBVkcuJFVTRENBRC5JUV9MQVNUU0FMRVBSSUNFLi4xMC8xLzIwMjIFAAAAAQAAAAgAAAASKEludmFsaWQgRW5kIERhdGUpOuUSWKou2wg65RJYqi7bCCpDSVFBVkcuJFVTREFVRC5JUV9MQVNUU0FMRVBSSUNFLi4xMC8xLzIwMjIFAAAAAQAAAAgAAAASKEludmFsaWQgRW5kIERhdGUpOuUSWKou2wg65RJYqi7bCCpDSVFBVkcu</t>
  </si>
  <si>
    <t>JFVTREVVUi5JUV9MQVNUU0FMRVBSSUNFLi42LzMwLzIwMjIFAAAAAQAAAAgAAAASKEludmFsaWQgRW5kIERhdGUpOuUSWKou2wg65RJYqi7bCCpDSVFBVkcuJFVTREdCUC5JUV9MQVNUU0FMRVBSSUNFLi42LzMwLzIwMjIFAAAAAQAAAAgAAAASKEludmFsaWQgRW5kIERhdGUpOuUSWKou2wg65RJYqi7bCCpDSVFBVkcuJFVTREpQWS5JUV9MQVNUU0FMRVBSSUNFLi42LzMwLzIwMjIFAAAAAQAAAAgAAAASKEludmFsaWQgRW5kIERhdGUpOuUSWKou2wg65RJYqi7bCCpDSVFBVkcuJFVTREFVRC5JUV9MQVNUU0FMRVBSSUNFLi42LzMwLzIwMjIFAAAAAQAAAAgAAAASKEludmFsaWQgRW5kIERhdGUpOuUSWKou2wg65RJYqi7bCCpDSVFBVkcuJFVTRENBRC5JUV9MQVNUU0FMRVBSSUNFLi42LzMwLzIwMjIFAAAAAQAAAAgAAAASKEludmFsaWQgRW5kIERhdGUpOuUSWKou2wg65RJYqi7bCCpDSVFBVkcuJFVTREVVUi5JUV9MQVNUU0FMRVBSSUNFLi4zLzMxLzIwMjIFAAAAAQAAAAgAAAASKEludmFsaWQgRW5kIERhdGUpOuUSWKou2wg65RJYqi7bCCpDSVFBVkcuJFVTREdCUC5JUV9MQVNUU0FMRVBSSUNFLi4zLzMxLzIwMjIFAAAAAQAAAAgAAAASKEludmFsaWQgRW5kIERhdGUpOuUSWKou2wg65RJYqi7bCCpDSVFBVkcuJFVTREpQWS5JUV9MQVNUU0FMRVBSSUNFLi4zLzMxLzIwMjIFAAAAAQAAAAgAAAASKElu</t>
  </si>
  <si>
    <t>dmFsaWQgRW5kIERhdGUpOuUSWKou2wg65RJYqi7bCCpDSVFBVkcuJFVTRENBRC5JUV9MQVNUU0FMRVBSSUNFLi4zLzMxLzIwMjIFAAAAAQAAAAgAAAASKEludmFsaWQgRW5kIERhdGUpOuUSWKou2wg65RJYqi7bCCpDSVFBVkcuJFVTREFVRC5JUV9MQVNUU0FMRVBSSUNFLi4zLzMxLzIwMjIFAAAAAQAAAAgAAAASKEludmFsaWQgRW5kIERhdGUpOuUSWKou2wg65RJYqi7bCCtDSVFBVkcuJFVTREVVUi5JUV9MQVNUU0FMRVBSSUNFLi4xMi8zMS8yMDIxBQAAAAEAAAAIAAAAEihJbnZhbGlkIEVuZCBEYXRlKTrlEliqLtsIOuUSWKou2wgrQ0lRQVZHLiRVU0RHQlAuSVFfTEFTVFNBTEVQUklDRS4uMTIvMzEvMjAyMQUAAAABAAAACAAAABIoSW52YWxpZCBFbmQgRGF0ZSk65RJYqi7bCDrlEliqLtsIK0NJUUFWRy4kVVNESlBZLklRX0xBU1RTQUxFUFJJQ0UuLjEyLzMxLzIwMjEFAAAAAQAAAAgAAAASKEludmFsaWQgRW5kIERhdGUpOuUSWKou2wg65RJYqi7bCCtDSVFBVkcuJFVTREFVRC5JUV9MQVNUU0FMRVBSSUNFLi4xMi8zMS8yMDIxBQAAAAEAAAAIAAAAEihJbnZhbGlkIEVuZCBEYXRlKTrlEliqLtsIOuUSWKou2wgrQ0lRQVZHLiRVU0RDQUQuSVFfTEFTVFNBTEVQUklDRS4uMTIvMzEvMjAyMQUAAAABAAAACAAAABIoSW52YWxpZCBFbmQgRGF0ZSk65RJYqi7bCDrlEliqLtsIKkNJUUFWRy4kVVNERVVS</t>
  </si>
  <si>
    <t>LklRX0xBU1RTQUxFUFJJQ0UuLjkvMzAvMjAyMQUAAAABAAAACAAAABIoSW52YWxpZCBFbmQgRGF0ZSk65RJYqi7bCDrlEliqLtsIKkNJUUFWRy4kVVNER0JQLklRX0xBU1RTQUxFUFJJQ0UuLjkvMzAvMjAyMQUAAAABAAAACAAAABIoSW52YWxpZCBFbmQgRGF0ZSk65RJYqi7bCDrlEliqLtsIKkNJUUFWRy4kVVNESlBZLklRX0xBU1RTQUxFUFJJQ0UuLjkvMzAvMjAyMQUAAAABAAAACAAAABIoSW52YWxpZCBFbmQgRGF0ZSk65RJYqi7bCDrlEliqLtsIKkNJUUFWRy4kVVNEQVVELklRX0xBU1RTQUxFUFJJQ0UuLjkvMzAvMjAyMQUAAAABAAAACAAAABIoSW52YWxpZCBFbmQgRGF0ZSk65RJYqi7bCDrlEliqLtsIKkNJUUFWRy4kVVNEQ0FELklRX0xBU1RTQUxFUFJJQ0UuLjkvMzAvMjAyMQUAAAABAAAACAAAABIoSW52YWxpZCBFbmQgRGF0ZSk65RJYqi7bCDrlEliqLtsIKkNJUUFWRy4kVVNERVVSLklRX0xBU1RTQUxFUFJJQ0UuLjYvMzAvMjAyMQUAAAABAAAACAAAABIoSW52YWxpZCBFbmQgRGF0ZSk65RJYqi7bCDrlEliqLtsIKkNJUUFWRy4kVVNER0JQLklRX0xBU1RTQUxFUFJJQ0UuLjYvMzAvMjAyMQUAAAABAAAACAAAABIoSW52YWxpZCBFbmQgRGF0ZSk65RJYqi7bCDrlEliqLtsIKkNJUUFWRy4kVVNESlBZLklRX0xBU1RTQUxFUFJJQ0UuLjYvMzAvMjAyMQUAAAABAAAACAAAABIoSW52YWxpZCBF</t>
  </si>
  <si>
    <t>bmQgRGF0ZSk65RJYqi7bCDrlEliqLtsIKkNJUUFWRy4kVVNEQVVELklRX0xBU1RTQUxFUFJJQ0UuLjYvMzAvMjAyMQUAAAABAAAACAAAABIoSW52YWxpZCBFbmQgRGF0ZSk65RJYqi7bCDrlEliqLtsIKkNJUUFWRy4kVVNEQ0FELklRX0xBU1RTQUxFUFJJQ0UuLjYvMzAvMjAyMQUAAAABAAAACAAAABIoSW52YWxpZCBFbmQgRGF0ZSk65RJYqi7bCDrlEliqLtsIKkNJUUFWRy4kVVNERVVSLklRX0xBU1RTQUxFUFJJQ0UuLjMvMzEvMjAyMQUAAAABAAAACAAAABIoSW52YWxpZCBFbmQgRGF0ZSk65RJYqi7bCDrlEliqLtsIKkNJUUFWRy4kVVNER0JQLklRX0xBU1RTQUxFUFJJQ0UuLjMvMzEvMjAyMQUAAAABAAAACAAAABIoSW52YWxpZCBFbmQgRGF0ZSk65RJYqi7bCDrlEliqLtsIKkNJUUFWRy4kVVNESlBZLklRX0xBU1RTQUxFUFJJQ0UuLjMvMzEvMjAyMQUAAAABAAAACAAAABIoSW52YWxpZCBFbmQgRGF0ZSk65RJYqi7bCDrlEliqLtsIKkNJUUFWRy4kVVNEQVVELklRX0xBU1RTQUxFUFJJQ0UuLjMvMzEvMjAyMQUAAAABAAAACAAAABIoSW52YWxpZCBFbmQgRGF0ZSk65RJYqi7bCDrlEliqLtsIKkNJUUFWRy4kVVNEQ0FELklRX0xBU1RTQUxFUFJJQ0UuLjMvMzEvMjAyMQUAAAABAAAACAAAABIoSW52YWxpZCBFbmQgRGF0ZSk65RJYqi7bCDrlEliqLtsIK0NJUUFWRy4kVVNERVVSLklRX0xBU1RTQUxF</t>
  </si>
  <si>
    <t>UFJJQ0UuLjEyLzMxLzIwMjAFAAAAAQAAAAgAAAASKEludmFsaWQgRW5kIERhdGUpOuUSWKou2wg65RJYqi7bCCtDSVFBVkcuJFVTREdCUC5JUV9MQVNUU0FMRVBSSUNFLi4xMi8zMS8yMDIwBQAAAAEAAAAIAAAAEihJbnZhbGlkIEVuZCBEYXRlKTrlEliqLtsIOuUSWKou2wgrQ0lRQVZHLiRVU0RKUFkuSVFfTEFTVFNBTEVQUklDRS4uMTIvMzEvMjAyMAUAAAABAAAACAAAABIoSW52YWxpZCBFbmQgRGF0ZSk65RJYqi7bCDrlEliqLtsIK0NJUUFWRy4kVVNEQVVELklRX0xBU1RTQUxFUFJJQ0UuLjEyLzMxLzIwMjAFAAAAAQAAAAgAAAASKEludmFsaWQgRW5kIERhdGUpOuUSWKou2wg65RJYqi7bCCtDSVFBVkcuJFVTRENBRC5JUV9MQVNUU0FMRVBSSUNFLi4xMi8zMS8yMDIwBQAAAAEAAAAIAAAAEihJbnZhbGlkIEVuZCBEYXRlKTrlEliqLtsIOuUSWKou2wgqQ0lRQVZHLiRVU0RFVVIuSVFfTEFTVFNBTEVQUklDRS4uOS8zMC8yMDIwBQAAAAEAAAAIAAAAEihJbnZhbGlkIEVuZCBEYXRlKTrlEliqLtsIOuUSWKou2wgqQ0lRQVZHLiRVU0RHQlAuSVFfTEFTVFNBTEVQUklDRS4uOS8zMC8yMDIwBQAAAAEAAAAIAAAAEihJbnZhbGlkIEVuZCBEYXRlKTrlEliqLtsIOuUSWKou2wgqQ0lRQVZHLiRVU0RKUFkuSVFfTEFTVFNBTEVQUklDRS4uOS8zMC8yMDIwBQAAAAEAAAAIAAAAEihJbnZhbGlkIEVuZCBEYXRl</t>
  </si>
  <si>
    <t>KTrlEliqLtsIOuUSWKou2wgqQ0lRQVZHLiRVU0RBVUQuSVFfTEFTVFNBTEVQUklDRS4uOS8zMC8yMDIwBQAAAAEAAAAIAAAAEihJbnZhbGlkIEVuZCBEYXRlKTrlEliqLtsIOuUSWKou2wgqQ0lRQVZHLiRVU0RDQUQuSVFfTEFTVFNBTEVQUklDRS4uOS8zMC8yMDIwBQAAAAEAAAAIAAAAEihJbnZhbGlkIEVuZCBEYXRlKTrlEliqLtsIOuUSWKou2wgqQ0lRQVZHLiRVU0RFVVIuSVFfTEFTVFNBTEVQUklDRS4uNi8zMC8yMDIwBQAAAAEAAAAIAAAAEihJbnZhbGlkIEVuZCBEYXRlKTrlEliqLtsIOuUSWKou2wgqQ0lRQVZHLiRVU0RHQlAuSVFfTEFTVFNBTEVQUklDRS4uNi8zMC8yMDIwBQAAAAEAAAAIAAAAEihJbnZhbGlkIEVuZCBEYXRlKTrlEliqLtsIOuUSWKou2wgqQ0lRQVZHLiRVU0RKUFkuSVFfTEFTVFNBTEVQUklDRS4uNi8zMC8yMDIwBQAAAAEAAAAIAAAAEihJbnZhbGlkIEVuZCBEYXRlKTrlEliqLtsIOuUSWKou2wgqQ0lRQVZHLiRVU0RBVUQuSVFfTEFTVFNBTEVQUklDRS4uNi8zMC8yMDIwBQAAAAEAAAAIAAAAEihJbnZhbGlkIEVuZCBEYXRlKTrlEliqLtsIOuUSWKou2wgqQ0lRQVZHLiRVU0RDQUQuSVFfTEFTVFNBTEVQUklDRS4uNi8zMC8yMDIwBQAAAAEAAAAIAAAAEihJbnZhbGlkIEVuZCBEYXRlKTrlEliqLtsIOuUSWKou2wgqQ0lRQVZHLiRVU0RFVVIuSVFfTEFTVFNBTEVQUklDRS4u</t>
  </si>
  <si>
    <t>My8zMC8yMDIwBQAAAAEAAAAIAAAAEihJbnZhbGlkIEVuZCBEYXRlKTrlEliqLtsIOuUSWKou2wgqQ0lRQVZHLiRVU0RHQlAuSVFfTEFTVFNBTEVQUklDRS4uMy8zMC8yMDIwBQAAAAEAAAAIAAAAEihJbnZhbGlkIEVuZCBEYXRlKTrlEliqLtsIOuUSWKou2wgqQ0lRQVZHLiRVU0RKUFkuSVFfTEFTVFNBTEVQUklDRS4uMy8zMC8yMDIwBQAAAAEAAAAIAAAAEihJbnZhbGlkIEVuZCBEYXRlKTrlEliqLtsIOuUSWKou2wgqQ0lRQVZHLiRVU0RBVUQuSVFfTEFTVFNBTEVQUklDRS4uMy8zMC8yMDIwBQAAAAEAAAAIAAAAEihJbnZhbGlkIEVuZCBEYXRlKTrlEliqLtsIOuUSWKou2wgqQ0lRQVZHLiRVU0RDQUQuSVFfTEFTVFNBTEVQUklDRS4uMy8zMC8yMDIwBQAAAAEAAAAIAAAAEihJbnZhbGlkIEVuZCBEYXRlKTrlEliqLtsIOuUSWKou2wgrQ0lRQVZHLiRVU0RFVVIuSVFfTEFTVFNBTEVQUklDRS4uMTIvMzAvMjAxOQUAAAABAAAACAAAABIoSW52YWxpZCBFbmQgRGF0ZSk65RJYqi7bCDrlEliqLtsIK0NJUUFWRy4kVVNER0JQLklRX0xBU1RTQUxFUFJJQ0UuLjEyLzMwLzIwMTkFAAAAAQAAAAgAAAASKEludmFsaWQgRW5kIERhdGUpOuUSWKou2wg65RJYqi7bCCtDSVFBVkcuJFVTREpQWS5JUV9MQVNUU0FMRVBSSUNFLi4xMi8zMC8yMDE5BQAAAAEAAAAIAAAAEihJbnZhbGlkIEVuZCBEYXRlKTrlEliqLtsI</t>
  </si>
  <si>
    <t>OuUSWKou2wgrQ0lRQVZHLiRVU0RBVUQuSVFfTEFTVFNBTEVQUklDRS4uMTIvMzAvMjAxOQUAAAABAAAACAAAABIoSW52YWxpZCBFbmQgRGF0ZSk65RJYqi7bCDrlEliqLtsIK0NJUUFWRy4kVVNEQ0FELklRX0xBU1RTQUxFUFJJQ0UuLjEyLzMwLzIwMTkFAAAAAQAAAAgAAAASKEludmFsaWQgRW5kIERhdGUpOuUSWKou2wg65RJYqi7bCCpDSVFBVkcuJFVTREVVUi5JUV9MQVNUU0FMRVBSSUNFLi45LzMwLzIwMTkFAAAAAQAAAAgAAAASKEludmFsaWQgRW5kIERhdGUpOuUSWKou2wg65RJYqi7bCCpDSVFBVkcuJFVTREdCUC5JUV9MQVNUU0FMRVBSSUNFLi45LzMwLzIwMTkFAAAAAQAAAAgAAAASKEludmFsaWQgRW5kIERhdGUpOuUSWKou2wg65RJYqi7bCCpDSVFBVkcuJFVTREpQWS5JUV9MQVNUU0FMRVBSSUNFLi45LzMwLzIwMTkFAAAAAQAAAAgAAAASKEludmFsaWQgRW5kIERhdGUpOuUSWKou2wg65RJYqi7bCCpDSVFBVkcuJFVTREFVRC5JUV9MQVNUU0FMRVBSSUNFLi45LzMwLzIwMTkFAAAAAQAAAAgAAAASKEludmFsaWQgRW5kIERhdGUpOuUSWKou2wg65RJYqi7bCCpDSVFBVkcuJFVTRENBRC5JUV9MQVNUU0FMRVBSSUNFLi45LzMwLzIwMTkFAAAAAQAAAAgAAAASKEludmFsaWQgRW5kIERhdGUpOuUSWKou2wg65RJYqi7bCCpDSVFBVkcuJFVTREVVUi5JUV9MQVNUU0FMRVBSSUNFLi42LzMwLzIw</t>
  </si>
  <si>
    <t>MTkFAAAAAQAAAAgAAAASKEludmFsaWQgRW5kIERhdGUpOuUSWKou2wg65RJYqi7bCCpDSVFBVkcuJFVTREdCUC5JUV9MQVNUU0FMRVBSSUNFLi42LzMwLzIwMTkFAAAAAQAAAAgAAAASKEludmFsaWQgRW5kIERhdGUpOuUSWKou2wg65RJYqi7bCCpDSVFBVkcuJFVTREpQWS5JUV9MQVNUU0FMRVBSSUNFLi42LzMwLzIwMTkFAAAAAQAAAAgAAAASKEludmFsaWQgRW5kIERhdGUpOuUSWKou2wg65RJYqi7bCCpDSVFBVkcuJFVTREFVRC5JUV9MQVNUU0FMRVBSSUNFLi42LzMwLzIwMTkFAAAAAQAAAAgAAAASKEludmFsaWQgRW5kIERhdGUpOuUSWKou2wg65RJYqi7bCCpDSVFBVkcuJFVTRENBRC5JUV9MQVNUU0FMRVBSSUNFLi42LzMwLzIwMTkFAAAAAQAAAAgAAAASKEludmFsaWQgRW5kIERhdGUpOuUSWKou2wg65RJYqi7bCCpDSVFBVkcuJFVTREVVUi5JUV9MQVNUU0FMRVBSSUNFLi4zLzMxLzIwMTkFAAAAAQAAAAgAAAASKEludmFsaWQgRW5kIERhdGUpOuUSWKou2wg65RJYqi7bCCpDSVFBVkcuJFVTREdCUC5JUV9MQVNUU0FMRVBSSUNFLi4zLzMxLzIwMTkFAAAAAQAAAAgAAAASKEludmFsaWQgRW5kIERhdGUpOuUSWKou2wg65RJYqi7bCCpDSVFBVkcuJFVTREpQWS5JUV9MQVNUU0FMRVBSSUNFLi4zLzMxLzIwMTkFAAAAAQAAAAgAAAASKEludmFsaWQgRW5kIERhdGUpOuUSWKou2wg65RJYqi7bCCpD</t>
  </si>
  <si>
    <t>SVFBVkcuJFVTREFVRC5JUV9MQVNUU0FMRVBSSUNFLi4zLzMxLzIwMTkFAAAAAQAAAAgAAAASKEludmFsaWQgRW5kIERhdGUpOuUSWKou2wg65RJYqi7bCCpDSVFBVkcuJFVTRENBRC5JUV9MQVNUU0FMRVBSSUNFLi4zLzMxLzIwMTkFAAAAAQAAAAgAAAASKEludmFsaWQgRW5kIERhdGUpOuUSWKou2wg65RJYqi7bCCtDSVFBVkcuJFVTREVVUi5JUV9MQVNUU0FMRVBSSUNFLi4xMi8zMS8yMDE4BQAAAAEAAAAIAAAAEihJbnZhbGlkIEVuZCBEYXRlKTrlEliqLtsIOuUSWKou2wgrQ0lRQVZHLiRVU0RHQlAuSVFfTEFTVFNBTEVQUklDRS4uMTIvMzEvMjAxOAUAAAABAAAACAAAABIoSW52YWxpZCBFbmQgRGF0ZSk65RJYqi7bCDrlEliqLtsIK0NJUUFWRy4kVVNESlBZLklRX0xBU1RTQUxFUFJJQ0UuLjEyLzMxLzIwMTgFAAAAAQAAAAgAAAASKEludmFsaWQgRW5kIERhdGUpOuUSWKou2wg65RJYqi7bCCtDSVFBVkcuJFVTREFVRC5JUV9MQVNUU0FMRVBSSUNFLi4xMi8zMS8yMDE4BQAAAAEAAAAIAAAAEihJbnZhbGlkIEVuZCBEYXRlKTrlEliqLtsIOuUSWKou2wgrQ0lRQVZHLiRVU0RDQUQuSVFfTEFTVFNBTEVQUklDRS4uMTIvMzEvMjAxOAUAAAABAAAACAAAABIoSW52YWxpZCBFbmQgRGF0ZSk65RJYqi7bCDrlEliqLtsIKkNJUUFWRy4kVVNERVVSLklRX0xBU1RTQUxFUFJJQ0UuLjkvMzAvMjAxOAUAAAAB</t>
  </si>
  <si>
    <t>AAAACAAAABIoSW52YWxpZCBFbmQgRGF0ZSk65RJYqi7bCDrlEliqLtsIKkNJUUFWRy4kVVNER0JQLklRX0xBU1RTQUxFUFJJQ0UuLjkvMzAvMjAxOAUAAAABAAAACAAAABIoSW52YWxpZCBFbmQgRGF0ZSk65RJYqi7bCDrlEliqLtsIKkNJUUFWRy4kVVNESlBZLklRX0xBU1RTQUxFUFJJQ0UuLjkvMzAvMjAxOAUAAAABAAAACAAAABIoSW52YWxpZCBFbmQgRGF0ZSk65RJYqi7bCDrlEliqLtsIKkNJUUFWRy4kVVNEQVVELklRX0xBU1RTQUxFUFJJQ0UuLjkvMzAvMjAxOAUAAAABAAAACAAAABIoSW52YWxpZCBFbmQgRGF0ZSk65RJYqi7bCDrlEliqLtsIKkNJUUFWRy4kVVNEQ0FELklRX0xBU1RTQUxFUFJJQ0UuLjkvMzAvMjAxOAUAAAABAAAACAAAABIoSW52YWxpZCBFbmQgRGF0ZSk65RJYqi7bCDrlEliqLtsIKkNJUUFWRy4kVVNERVVSLklRX0xBU1RTQUxFUFJJQ0UuLjYvMzAvMjAxOAUAAAABAAAACAAAABIoSW52YWxpZCBFbmQgRGF0ZSk65RJYqi7bCDrlEliqLtsIKkNJUUFWRy4kVVNER0JQLklRX0xBU1RTQUxFUFJJQ0UuLjYvMzAvMjAxOAUAAAABAAAACAAAABIoSW52YWxpZCBFbmQgRGF0ZSk65RJYqi7bCDrlEliqLtsIKkNJUUFWRy4kVVNESlBZLklRX0xBU1RTQUxFUFJJQ0UuLjYvMzAvMjAxOAUAAAABAAAACAAAABIoSW52YWxpZCBFbmQgRGF0ZSk65RJYqi7bCDrlEliqLtsIKkNJUUFWRy4k</t>
  </si>
  <si>
    <t>VVNEQVVELklRX0xBU1RTQUxFUFJJQ0UuLjYvMzAvMjAxOAUAAAABAAAACAAAABIoSW52YWxpZCBFbmQgRGF0ZSk65RJYqi7bCDrlEliqLtsIKkNJUUFWRy4kVVNEQ0FELklRX0xBU1RTQUxFUFJJQ0UuLjYvMzAvMjAxOAUAAAABAAAACAAAABIoSW52YWxpZCBFbmQgRGF0ZSk65RJYqi7bCDrlEliqLtsIKkNJUUFWRy4kVVNERVVSLklRX0xBU1RTQUxFUFJJQ0UuLjMvMzEvMjAxOAUAAAABAAAACAAAABIoSW52YWxpZCBFbmQgRGF0ZSk65RJYqi7bCDrlEliqLtsIKkNJUUFWRy4kVVNER0JQLklRX0xBU1RTQUxFUFJJQ0UuLjMvMzEvMjAxOAUAAAABAAAACAAAABIoSW52YWxpZCBFbmQgRGF0ZSk65RJYqi7bCDrlEliqLtsIKkNJUUFWRy4kVVNESlBZLklRX0xBU1RTQUxFUFJJQ0UuLjMvMzEvMjAxOAUAAAABAAAACAAAABIoSW52YWxpZCBFbmQgRGF0ZSk65RJYqi7bCDrlEliqLtsIKkNJUUFWRy4kVVNEQVVELklRX0xBU1RTQUxFUFJJQ0UuLjMvMzEvMjAxOAUAAAABAAAACAAAABIoSW52YWxpZCBFbmQgRGF0ZSk65RJYqi7bCDrlEliqLtsIKkNJUUFWRy4kVVNEQ0FELklRX0xBU1RTQUxFUFJJQ0UuLjMvMzEvMjAxOAUAAAABAAAACAAAABIoSW52YWxpZCBFbmQgRGF0ZSk65RJYqi7bCDrlEliqLtsIK0NJUUFWRy4kVVNERVVSLklRX0xBU1RTQUxFUFJJQ0UuLjEyLzMxLzIwMTcFAAAAAQAAAAgAAAASKElu</t>
  </si>
  <si>
    <t>dmFsaWQgRW5kIERhdGUpOuUSWKou2wg65RJYqi7bCCtDSVFBVkcuJFVTREdCUC5JUV9MQVNUU0FMRVBSSUNFLi4xMi8zMS8yMDE3BQAAAAEAAAAIAAAAEihJbnZhbGlkIEVuZCBEYXRlKTrlEliqLtsIOuUSWKou2wgrQ0lRQVZHLiRVU0RKUFkuSVFfTEFTVFNBTEVQUklDRS4uMTIvMzEvMjAxNwUAAAABAAAACAAAABIoSW52YWxpZCBFbmQgRGF0ZSk65RJYqi7bCDrlEliqLtsIK0NJUUFWRy4kVVNEQVVELklRX0xBU1RTQUxFUFJJQ0UuLjEyLzMxLzIwMTcFAAAAAQAAAAgAAAASKEludmFsaWQgRW5kIERhdGUpOuUSWKou2wg65RJYqi7bCCtDSVFBVkcuJFVTRENBRC5JUV9MQVNUU0FMRVBSSUNFLi4xMi8zMS8yMDE3BQAAAAEAAAAIAAAAEihJbnZhbGlkIEVuZCBEYXRlKTrlEliqLtsIOuUSWKou2wgqQ0lRQVZHLiRVU0RFVVIuSVFfTEFTVFNBTEVQUklDRS4uOS8zMC8yMDE3BQAAAAEAAAAIAAAAEihJbnZhbGlkIEVuZCBEYXRlKTrlEliqLtsIOuUSWKou2wgqQ0lRQVZHLiRVU0RHQlAuSVFfTEFTVFNBTEVQUklDRS4uOS8zMC8yMDE3BQAAAAEAAAAIAAAAEihJbnZhbGlkIEVuZCBEYXRlKTrlEliqLtsIOuUSWKou2wgqQ0lRQVZHLiRVU0RKUFkuSVFfTEFTVFNBTEVQUklDRS4uOS8zMC8yMDE3BQAAAAEAAAAIAAAAEihJbnZhbGlkIEVuZCBEYXRlKTrlEliqLtsIOuUSWKou2wgqQ0lRQVZHLiRVU0RBVUQu</t>
  </si>
  <si>
    <t>SVFfTEFTVFNBTEVQUklDRS4uOS8zMC8yMDE3BQAAAAEAAAAIAAAAEihJbnZhbGlkIEVuZCBEYXRlKTrlEliqLtsIOuUSWKou2wgqQ0lRQVZHLiRVU0RDQUQuSVFfTEFTVFNBTEVQUklDRS4uOS8zMC8yMDE3BQAAAAEAAAAIAAAAEihJbnZhbGlkIEVuZCBEYXRlKTrlEliqLtsIOuUSWKou2wgqQ0lRQVZHLiRVU0RFVVIuSVFfTEFTVFNBTEVQUklDRS4uNi8zMC8yMDE3BQAAAAEAAAAIAAAAEihJbnZhbGlkIEVuZCBEYXRlKTrlEliqLtsIOuUSWKou2wgqQ0lRQVZHLiRVU0RHQlAuSVFfTEFTVFNBTEVQUklDRS4uNi8zMC8yMDE3BQAAAAEAAAAIAAAAEihJbnZhbGlkIEVuZCBEYXRlKTrlEliqLtsIOuUSWKou2wgqQ0lRQVZHLiRVU0RKUFkuSVFfTEFTVFNBTEVQUklDRS4uNi8zMC8yMDE3BQAAAAEAAAAIAAAAEihJbnZhbGlkIEVuZCBEYXRlKTrlEliqLtsIOuUSWKou2wgqQ0lRQVZHLiRVU0RBVUQuSVFfTEFTVFNBTEVQUklDRS4uNi8zMC8yMDE3BQAAAAEAAAAIAAAAEihJbnZhbGlkIEVuZCBEYXRlKTrlEliqLtsIOuUSWKou2wgqQ0lRQVZHLiRVU0RDQUQuSVFfTEFTVFNBTEVQUklDRS4uNi8zMC8yMDE3BQAAAAEAAAAIAAAAEihJbnZhbGlkIEVuZCBEYXRlKTrlEliqLtsIOuUSWKou2wgqQ0lRQVZHLiRVU0RFVVIuSVFfTEFTVFNBTEVQUklDRS4uMy8zMS8yMDE3BQAAAAEAAAAIAAAAEihJbnZhbGlkIEVu</t>
  </si>
  <si>
    <t>ZCBEYXRlKTrlEliqLtsIOuUSWKou2wgqQ0lRQVZHLiRVU0RHQlAuSVFfTEFTVFNBTEVQUklDRS4uMy8zMS8yMDE3BQAAAAEAAAAIAAAAEihJbnZhbGlkIEVuZCBEYXRlKTrlEliqLtsIOuUSWKou2wgqQ0lRQVZHLiRVU0RKUFkuSVFfTEFTVFNBTEVQUklDRS4uMy8zMS8yMDE3BQAAAAEAAAAIAAAAEihJbnZhbGlkIEVuZCBEYXRlKTrlEliqLtsIOuUSWKou2wgqQ0lRQVZHLiRVU0RBVUQuSVFfTEFTVFNBTEVQUklDRS4uMy8zMS8yMDE3BQAAAAEAAAAIAAAAEihJbnZhbGlkIEVuZCBEYXRlKTrlEliqLtsIOuUSWKou2wgqQ0lRQVZHLiRVU0RDQUQuSVFfTEFTVFNBTEVQUklDRS4uMy8zMS8yMDE3BQAAAAEAAAAIAAAAEihJbnZhbGlkIEVuZCBEYXRlKTrlEliqLtsIOuUSWKou2wgrQ0lRQVZHLiRVU0RFVVIuSVFfTEFTVFNBTEVQUklDRS4uMTIvMzAvMjAxNgUAAAABAAAACAAAABIoSW52YWxpZCBFbmQgRGF0ZSk65RJYqi7bCDrlEliqLtsIK0NJUUFWRy4kVVNER0JQLklRX0xBU1RTQUxFUFJJQ0UuLjEyLzMwLzIwMTYFAAAAAQAAAAgAAAASKEludmFsaWQgRW5kIERhdGUpOuUSWKou2wg65RJYqi7bCCtDSVFBVkcuJFVTREpQWS5JUV9MQVNUU0FMRVBSSUNFLi4xMi8zMC8yMDE2BQAAAAEAAAAIAAAAEihJbnZhbGlkIEVuZCBEYXRlKTrlEliqLtsIOuUSWKou2wgrQ0lRQVZHLiRVU0RBVUQuSVFfTEFTVFNB</t>
  </si>
  <si>
    <t>TEVQUklDRS4uMTIvMzAvMjAxNgUAAAABAAAACAAAABIoSW52YWxpZCBFbmQgRGF0ZSk65RJYqi7bCDrlEliqLtsIK0NJUUFWRy4kVVNEQ0FELklRX0xBU1RTQUxFUFJJQ0UuLjEyLzMwLzIwMTYFAAAAAQAAAAgAAAASKEludmFsaWQgRW5kIERhdGUpOuUSWKou2wg65RJYqi7bCCpDSVFBVkcuJFVTREVVUi5JUV9MQVNUU0FMRVBSSUNFLi45LzMwLzIwMTYFAAAAAQAAAAgAAAASKEludmFsaWQgRW5kIERhdGUpOuUSWKou2wg65RJYqi7bCCpDSVFBVkcuJFVTREdCUC5JUV9MQVNUU0FMRVBSSUNFLi45LzMwLzIwMTYFAAAAAQAAAAgAAAASKEludmFsaWQgRW5kIERhdGUpOuUSWKou2wg65RJYqi7bCCpDSVFBVkcuJFVTREpQWS5JUV9MQVNUU0FMRVBSSUNFLi45LzMwLzIwMTYFAAAAAQAAAAgAAAASKEludmFsaWQgRW5kIERhdGUpOuUSWKou2wg65RJYqi7bCCpDSVFBVkcuJFVTREFVRC5JUV9MQVNUU0FMRVBSSUNFLi45LzMwLzIwMTYFAAAAAQAAAAgAAAASKEludmFsaWQgRW5kIERhdGUpOuUSWKou2wg65RJYqi7bCCpDSVFBVkcuJFVTRENBRC5JUV9MQVNUU0FMRVBSSUNFLi45LzMwLzIwMTYFAAAAAQAAAAgAAAASKEludmFsaWQgRW5kIERhdGUpOuUSWKou2wg65RJYqi7bCCpDSVFBVkcuJFVTREVVUi5JUV9MQVNUU0FMRVBSSUNFLi42LzMwLzIwMTYFAAAAAQAAAAgAAAASKEludmFsaWQgRW5kIERhdGUp</t>
  </si>
  <si>
    <t>OuUSWKou2wg65RJYqi7bCCpDSVFBVkcuJFVTREdCUC5JUV9MQVNUU0FMRVBSSUNFLi42LzMwLzIwMTYFAAAAAQAAAAgAAAASKEludmFsaWQgRW5kIERhdGUpOuUSWKou2wg65RJYqi7bCCpDSVFBVkcuJFVTREpQWS5JUV9MQVNUU0FMRVBSSUNFLi42LzMwLzIwMTYFAAAAAQAAAAgAAAASKEludmFsaWQgRW5kIERhdGUpOuUSWKou2wg65RJYqi7bCCpDSVFBVkcuJFVTREFVRC5JUV9MQVNUU0FMRVBSSUNFLi42LzMwLzIwMTYFAAAAAQAAAAgAAAASKEludmFsaWQgRW5kIERhdGUpOuUSWKou2wg65RJYqi7bCCpDSVFBVkcuJFVTRENBRC5JUV9MQVNUU0FMRVBSSUNFLi42LzMwLzIwMTYFAAAAAQAAAAgAAAASKEludmFsaWQgRW5kIERhdGUpOuUSWKou2wg65RJYqi7bCCpDSVFBVkcuJFVTREVVUi5JUV9MQVNUU0FMRVBSSUNFLi4zLzMxLzIwMTYFAAAAAQAAAAgAAAASKEludmFsaWQgRW5kIERhdGUpOuUSWKou2wg65RJYqi7bCCpDSVFBVkcuJFVTREdCUC5JUV9MQVNUU0FMRVBSSUNFLi4zLzMxLzIwMTYFAAAAAQAAAAgAAAASKEludmFsaWQgRW5kIERhdGUpOuUSWKou2wg65RJYqi7bCCpDSVFBVkcuJFVTREpQWS5JUV9MQVNUU0FMRVBSSUNFLi4zLzMxLzIwMTYFAAAAAQAAAAgAAAASKEludmFsaWQgRW5kIERhdGUpOuUSWKou2wg65RJYqi7bCCpDSVFBVkcuJFVTREFVRC5JUV9MQVNUU0FMRVBSSUNFLi4z</t>
  </si>
  <si>
    <t>LzMxLzIwMTYFAAAAAQAAAAgAAAASKEludmFsaWQgRW5kIERhdGUpOuUSWKou2wg65RJYqi7bCCpDSVFBVkcuJFVTRENBRC5JUV9MQVNUU0FMRVBSSUNFLi4zLzMxLzIwMTYFAAAAAQAAAAgAAAASKEludmFsaWQgRW5kIERhdGUpOuUSWKou2wg65RJYqi7bCCtDSVFBVkcuJFVTREVVUi5JUV9MQVNUU0FMRVBSSUNFLi4xMi8zMS8yMDE1BQAAAAEAAAAIAAAAEihJbnZhbGlkIEVuZCBEYXRlKTrlEliqLtsIOuUSWKou2wgrQ0lRQVZHLiRVU0RHQlAuSVFfTEFTVFNBTEVQUklDRS4uMTIvMzEvMjAxNQUAAAABAAAACAAAABIoSW52YWxpZCBFbmQgRGF0ZSk65RJYqi7bCDrlEliqLtsIK0NJUUFWRy4kVVNESlBZLklRX0xBU1RTQUxFUFJJQ0UuLjEyLzMxLzIwMTUFAAAAAQAAAAgAAAASKEludmFsaWQgRW5kIERhdGUpOuUSWKou2wg65RJYqi7bCCtDSVFBVkcuJFVTREFVRC5JUV9MQVNUU0FMRVBSSUNFLi4xMi8zMS8yMDE1BQAAAAEAAAAIAAAAEihJbnZhbGlkIEVuZCBEYXRlKTrlEliqLtsIOuUSWKou2wgrQ0lRQVZHLiRVU0RDQUQuSVFfTEFTVFNBTEVQUklDRS4uMTIvMzEvMjAxNQUAAAABAAAACAAAABIoSW52YWxpZCBFbmQgRGF0ZSk65RJYqi7bCDrlEliqLtsIKkNJUUFWRy4kVVNERVVSLklRX0xBU1RTQUxFUFJJQ0UuLjkvMzAvMjAxNQUAAAABAAAACAAAABIoSW52YWxpZCBFbmQgRGF0ZSk65RJYqi7b</t>
  </si>
  <si>
    <t>CDrlEliqLtsIKkNJUUFWRy4kVVNER0JQLklRX0xBU1RTQUxFUFJJQ0UuLjkvMzAvMjAxNQUAAAABAAAACAAAABIoSW52YWxpZCBFbmQgRGF0ZSk65RJYqi7bCDrlEliqLtsIKkNJUUFWRy4kVVNESlBZLklRX0xBU1RTQUxFUFJJQ0UuLjkvMzAvMjAxNQUAAAABAAAACAAAABIoSW52YWxpZCBFbmQgRGF0ZSk65RJYqi7bCDrlEliqLtsIKkNJUUFWRy4kVVNEQVVELklRX0xBU1RTQUxFUFJJQ0UuLjkvMzAvMjAxNQUAAAABAAAACAAAABIoSW52YWxpZCBFbmQgRGF0ZSk65RJYqi7bCDrlEliqLtsIKkNJUUFWRy4kVVNEQ0FELklRX0xBU1RTQUxFUFJJQ0UuLjkvMzAvMjAxNQUAAAABAAAACAAAABIoSW52YWxpZCBFbmQgRGF0ZSk65RJYqi7bCDrlEliqLtsIIUNJUUFWRy4kVVNEQ0FELklRX0xBU1RTQUxFUFJJQ0UuLgEAAAAC7VoAAgAAAAswLjcyNzE5MzM5NwA65RJYqi7bCDrlEliqLtsIIUNJUUFWRy4kVVNEQVVELklRX0xBU1RTQUxFUFJJQ0UuLgEAAAAC7VoAAgAAAAswLjY2Mzk2NjUzNgA65RJYqi7bCDrlEliqLtsIIUNJUUFWRy4kVVNESlBZLklRX0xBU1RTQUxFUFJJQ0UuLgEAAAAC7VoAAgAAAAswLjAwNzY1MDQwNwA65RJYqi7bCDrlEliqLtsIIUNJUUFWRy4kVVNER0JQLklRX0xBU1RTQUxFUFJJQ0UuLgEAAAAC7VoAAgAAAAsxLjIyMjUwODgzMwA65RJYqi7bCDrlEliqLtsI</t>
  </si>
  <si>
    <t>MSFT</t>
  </si>
  <si>
    <t>BASE CASE - 13% Growth</t>
  </si>
  <si>
    <t>Simple Model</t>
  </si>
  <si>
    <t>($ in mm)</t>
  </si>
  <si>
    <t>FY17a</t>
  </si>
  <si>
    <t>FY18a</t>
  </si>
  <si>
    <t>FY19a</t>
  </si>
  <si>
    <t>FY20a</t>
  </si>
  <si>
    <t>FY21a</t>
  </si>
  <si>
    <t>FY22a</t>
  </si>
  <si>
    <t>FY23a</t>
  </si>
  <si>
    <t>FY24a</t>
  </si>
  <si>
    <t>FY25e</t>
  </si>
  <si>
    <t>FY26e</t>
  </si>
  <si>
    <t>FY27e</t>
  </si>
  <si>
    <t>FY28e</t>
  </si>
  <si>
    <t>FY29e</t>
  </si>
  <si>
    <t>FY30e</t>
  </si>
  <si>
    <t>FY31e</t>
  </si>
  <si>
    <t>FY32e</t>
  </si>
  <si>
    <t>FY33e</t>
  </si>
  <si>
    <t>FY34e</t>
  </si>
  <si>
    <t>FY35e</t>
  </si>
  <si>
    <t>FY36e</t>
  </si>
  <si>
    <t>Financial Summary</t>
  </si>
  <si>
    <t>c = 278,698</t>
  </si>
  <si>
    <t>Revenue</t>
  </si>
  <si>
    <t>% Growth</t>
  </si>
  <si>
    <t>FY23e</t>
  </si>
  <si>
    <t>% Organic CC</t>
  </si>
  <si>
    <t>Guidance</t>
  </si>
  <si>
    <t>Revenue Growth</t>
  </si>
  <si>
    <t>DD%</t>
  </si>
  <si>
    <t>c = 123,262</t>
  </si>
  <si>
    <t xml:space="preserve">FX Impact on Revenue Growth </t>
  </si>
  <si>
    <t>EBIT</t>
  </si>
  <si>
    <t>Revenue Growth ex-FX</t>
  </si>
  <si>
    <t>DD+4%</t>
  </si>
  <si>
    <t>% Growth - Constant-FX, excl. D&amp;A impact (est. equal to Reported)</t>
  </si>
  <si>
    <t>% Margin</t>
  </si>
  <si>
    <t>EBIT Growth</t>
  </si>
  <si>
    <t>% Incremental</t>
  </si>
  <si>
    <t>EBIT margin</t>
  </si>
  <si>
    <t>Flat</t>
  </si>
  <si>
    <t>% Incremental - Constant-FX, excl. D&amp;A impact</t>
  </si>
  <si>
    <t>EBIT margin ex-D&amp;A, ex-FX</t>
  </si>
  <si>
    <t>EBIT % Growth Metrics</t>
  </si>
  <si>
    <t>Illustration</t>
  </si>
  <si>
    <t>% Growth - Reported</t>
  </si>
  <si>
    <t>FY22</t>
  </si>
  <si>
    <t>% Growth - Reported, excl. D&amp;A impact</t>
  </si>
  <si>
    <t>Reported</t>
  </si>
  <si>
    <t>% Growth - Constant-FX</t>
  </si>
  <si>
    <t>Growth %</t>
  </si>
  <si>
    <t>Organic EBIT Added</t>
  </si>
  <si>
    <t>Adj. D&amp;A</t>
  </si>
  <si>
    <t>Ex-FX, Ex-D&amp;A Change</t>
  </si>
  <si>
    <t>prior ul</t>
  </si>
  <si>
    <t>% of Sales</t>
  </si>
  <si>
    <t>Revenue ex-FX</t>
  </si>
  <si>
    <t>Ex-FX Growth %</t>
  </si>
  <si>
    <t>EBITDA</t>
  </si>
  <si>
    <t>EBIT ex-FX, ex-D&amp;A Change</t>
  </si>
  <si>
    <t>Margin %</t>
  </si>
  <si>
    <t>Note:</t>
  </si>
  <si>
    <t>ATVI Intangible Amort excluded from Adj. D&amp;A</t>
  </si>
  <si>
    <t>to do</t>
  </si>
  <si>
    <t>Memo:</t>
  </si>
  <si>
    <t>MSFT margins ex-ATVI cost savings</t>
  </si>
  <si>
    <t xml:space="preserve">Adj. D&amp;A % Growth </t>
  </si>
  <si>
    <t>Adj. D&amp;A % of Sales</t>
  </si>
  <si>
    <t>Implied Cash Costs</t>
  </si>
  <si>
    <t xml:space="preserve">% Growth </t>
  </si>
  <si>
    <t>Capex</t>
  </si>
  <si>
    <t>C20</t>
  </si>
  <si>
    <t>C21</t>
  </si>
  <si>
    <t>C22</t>
  </si>
  <si>
    <t>C23</t>
  </si>
  <si>
    <t>EBITDA-Capex</t>
  </si>
  <si>
    <t>Interest and other</t>
  </si>
  <si>
    <t>% Rate</t>
  </si>
  <si>
    <t>Tax</t>
  </si>
  <si>
    <t>Net income</t>
  </si>
  <si>
    <t>Recurring FCF</t>
  </si>
  <si>
    <t>SBC</t>
  </si>
  <si>
    <t>ATVI Amortization Cash Tax Benefit</t>
  </si>
  <si>
    <t>WC/Other</t>
  </si>
  <si>
    <t>Realized FCF</t>
  </si>
  <si>
    <t>Net Debt</t>
  </si>
  <si>
    <t>x EBITDA</t>
  </si>
  <si>
    <t>FCF to Equity</t>
  </si>
  <si>
    <t>% of Mkt. Cap</t>
  </si>
  <si>
    <t>Cum. FCF to Equity</t>
  </si>
  <si>
    <t>Mkt cap / LTM FCF</t>
  </si>
  <si>
    <t>TEV / Sales</t>
  </si>
  <si>
    <t>P/ Recurring FCF</t>
  </si>
  <si>
    <t xml:space="preserve">P/E </t>
  </si>
  <si>
    <t>Returns</t>
  </si>
  <si>
    <t>Ten-Year Exit</t>
  </si>
  <si>
    <t>Forward FCF Multiple</t>
  </si>
  <si>
    <t>Equity Value</t>
  </si>
  <si>
    <t>Cash Flows</t>
  </si>
  <si>
    <t>xIRR</t>
  </si>
  <si>
    <t>Capitalization</t>
  </si>
  <si>
    <t>Amount</t>
  </si>
  <si>
    <t>$ / Share</t>
  </si>
  <si>
    <t>Equity</t>
  </si>
  <si>
    <t>TEV</t>
  </si>
  <si>
    <t>Shares</t>
  </si>
  <si>
    <t>ROIC</t>
  </si>
  <si>
    <t>Invested Capital</t>
  </si>
  <si>
    <t>Next steps</t>
  </si>
  <si>
    <t xml:space="preserve">Net Working Capital </t>
  </si>
  <si>
    <t>% of Revenue</t>
  </si>
  <si>
    <t>D&amp;A model changes</t>
  </si>
  <si>
    <t>Long-Term Assets</t>
  </si>
  <si>
    <t>Intangibles</t>
  </si>
  <si>
    <t>ROU</t>
  </si>
  <si>
    <t>Other LT Assets</t>
  </si>
  <si>
    <t>Total Int., ROU, and Other</t>
  </si>
  <si>
    <t>Goodwill</t>
  </si>
  <si>
    <t>ATVI related intangibles</t>
  </si>
  <si>
    <t>PP&amp;E, Net</t>
  </si>
  <si>
    <t>Total LT Assets</t>
  </si>
  <si>
    <r>
      <rPr>
        <i/>
        <u/>
        <sz val="11"/>
        <color theme="1"/>
        <rFont val="Arial"/>
        <family val="2"/>
      </rPr>
      <t>Memo:</t>
    </r>
    <r>
      <rPr>
        <i/>
        <sz val="11"/>
        <color theme="1"/>
        <rFont val="Arial"/>
        <family val="2"/>
      </rPr>
      <t xml:space="preserve"> ROU, Int, &amp; Other as % of Revenue</t>
    </r>
  </si>
  <si>
    <t>Average Invested Capital</t>
  </si>
  <si>
    <t>/ EBIT</t>
  </si>
  <si>
    <t>D&amp;A</t>
  </si>
  <si>
    <t>weighted</t>
  </si>
  <si>
    <t>LTM FCF</t>
  </si>
  <si>
    <t>USD in mm</t>
  </si>
  <si>
    <t>FY23</t>
  </si>
  <si>
    <t>FY24e</t>
  </si>
  <si>
    <t>Sales</t>
  </si>
  <si>
    <t>CRC</t>
  </si>
  <si>
    <t>VA Cons.</t>
  </si>
  <si>
    <t>ROIC driven model with Base Case Margins</t>
  </si>
  <si>
    <t xml:space="preserve">Net Working Capital ex-Cash and STI </t>
  </si>
  <si>
    <t xml:space="preserve">ROIC </t>
  </si>
  <si>
    <t xml:space="preserve">15% Growth </t>
  </si>
  <si>
    <t>Other</t>
  </si>
  <si>
    <t xml:space="preserve">8% Growth </t>
  </si>
  <si>
    <t>Historical Financials</t>
  </si>
  <si>
    <t>&gt;&gt; NUAN close March 4; Xandr June 6</t>
  </si>
  <si>
    <t>&gt;&gt; ATVI close Oct 13</t>
  </si>
  <si>
    <t>FYE June 30th</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</si>
  <si>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</si>
  <si>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</si>
  <si>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</si>
  <si>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</si>
  <si>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</si>
  <si>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</si>
  <si>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</si>
  <si>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</si>
  <si>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</si>
  <si>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</si>
  <si>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</si>
  <si>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</si>
  <si>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</si>
  <si>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</si>
  <si>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</si>
  <si>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</si>
  <si>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</si>
  <si>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</si>
  <si>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</si>
  <si>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</si>
  <si>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</si>
  <si>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</si>
  <si>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</si>
  <si>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</si>
  <si>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</si>
  <si>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</si>
  <si>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</si>
  <si>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</si>
  <si>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1Q23</t>
  </si>
  <si>
    <t>2Q23</t>
  </si>
  <si>
    <t>3Q23</t>
  </si>
  <si>
    <t>4Q23</t>
  </si>
  <si>
    <t>1Q24</t>
  </si>
  <si>
    <t>2Q24</t>
  </si>
  <si>
    <t>3Q24</t>
  </si>
  <si>
    <t>4Q24</t>
  </si>
  <si>
    <t>1Q25</t>
  </si>
  <si>
    <t>2Q25e</t>
  </si>
  <si>
    <t>3Q25e</t>
  </si>
  <si>
    <t>4Q25e</t>
  </si>
  <si>
    <t>FY05</t>
  </si>
  <si>
    <t>FY06</t>
  </si>
  <si>
    <t>FY07</t>
  </si>
  <si>
    <t>FY08</t>
  </si>
  <si>
    <t>FY09</t>
  </si>
  <si>
    <t>FY10</t>
  </si>
  <si>
    <t>FY11</t>
  </si>
  <si>
    <t>FY12</t>
  </si>
  <si>
    <t>FY13</t>
  </si>
  <si>
    <t>FY14</t>
  </si>
  <si>
    <t>FY15</t>
  </si>
  <si>
    <t>FY16</t>
  </si>
  <si>
    <t>FY17</t>
  </si>
  <si>
    <t>FY18</t>
  </si>
  <si>
    <t>FY19</t>
  </si>
  <si>
    <t>FY20</t>
  </si>
  <si>
    <t>FY21</t>
  </si>
  <si>
    <t>FY24</t>
  </si>
  <si>
    <t>Restated</t>
  </si>
  <si>
    <t xml:space="preserve">Previous Windows Revenue Recognition Policy &lt;&lt; </t>
  </si>
  <si>
    <t>Financials Summary</t>
  </si>
  <si>
    <t xml:space="preserve">gmp = </t>
  </si>
  <si>
    <t>CY21</t>
  </si>
  <si>
    <t>CY22</t>
  </si>
  <si>
    <t>CY23</t>
  </si>
  <si>
    <t>CY24E</t>
  </si>
  <si>
    <t>Constant-FX %</t>
  </si>
  <si>
    <t>NA</t>
  </si>
  <si>
    <t>Organic CC %</t>
  </si>
  <si>
    <t>&lt;&lt; incl. $700M of ATVI deal costs</t>
  </si>
  <si>
    <t>Plus: Revenue adjustments</t>
  </si>
  <si>
    <t>Adjusted Revenue</t>
  </si>
  <si>
    <t>Gross Profit</t>
  </si>
  <si>
    <t>Opex</t>
  </si>
  <si>
    <t>&lt;&lt; incl. $200M of ATVI deal costs</t>
  </si>
  <si>
    <t>R&amp;D</t>
  </si>
  <si>
    <t>S&amp;M</t>
  </si>
  <si>
    <t>G&amp;A</t>
  </si>
  <si>
    <t xml:space="preserve">Total Opex </t>
  </si>
  <si>
    <t>Sequential Growth ex-ATVI</t>
  </si>
  <si>
    <t>&lt;&lt; incl. $900M of ATVI deal costs</t>
  </si>
  <si>
    <t>Incremental %</t>
  </si>
  <si>
    <t>Incremental % - Constant-FX and D&amp;A  impact</t>
  </si>
  <si>
    <t>EBIT Growth % Metrics</t>
  </si>
  <si>
    <t>Growth % - Reported</t>
  </si>
  <si>
    <t>Growth % - Reported, excl. D&amp;A changes</t>
  </si>
  <si>
    <t>Growth % - excl. ATVI, D&amp;A changes</t>
  </si>
  <si>
    <t>Growth % - Constant-FX</t>
  </si>
  <si>
    <t>Growth % - Constant-FX, excl. D&amp;A changes (equal impact to Reported)</t>
  </si>
  <si>
    <t>Organic EBIT added</t>
  </si>
  <si>
    <t>Growth % - Constant-FX - excl. ATVI, D&amp;A changes</t>
  </si>
  <si>
    <t>Interest and other, net</t>
  </si>
  <si>
    <t>PBT</t>
  </si>
  <si>
    <t>Taxes @ 35% through 1H18, 21% thereafter</t>
  </si>
  <si>
    <t>Net Income</t>
  </si>
  <si>
    <t>/ Shares</t>
  </si>
  <si>
    <t>EPS</t>
  </si>
  <si>
    <t>Memo: Adjusted EBITDA</t>
  </si>
  <si>
    <t>Adjusted EBIT</t>
  </si>
  <si>
    <t>Adj. D&amp;A (ex-ATVI amort.)</t>
  </si>
  <si>
    <t xml:space="preserve">MSFT </t>
  </si>
  <si>
    <t>ATVI (ex-deal amort., est.)</t>
  </si>
  <si>
    <t>Total Adj. D&amp;A (ex-ATVI deal amort.)</t>
  </si>
  <si>
    <t>Sequential %</t>
  </si>
  <si>
    <t>Margin</t>
  </si>
  <si>
    <t>ATVI PPA excluded from Adj. D&amp;A</t>
  </si>
  <si>
    <t>EBITDA - Capex</t>
  </si>
  <si>
    <t>Capex as % of Sales</t>
  </si>
  <si>
    <t>EBITDA - Capex as % of Sales</t>
  </si>
  <si>
    <t>Taxes</t>
  </si>
  <si>
    <t>Recurring FCF per Share</t>
  </si>
  <si>
    <t>Cash tax delta</t>
  </si>
  <si>
    <t>ATVI deal related costs</t>
  </si>
  <si>
    <t>Cash Flow Items</t>
  </si>
  <si>
    <t>CFO</t>
  </si>
  <si>
    <t>Acquisitions</t>
  </si>
  <si>
    <t>Divestitures</t>
  </si>
  <si>
    <t>Cash taxes</t>
  </si>
  <si>
    <t>Share issuance</t>
  </si>
  <si>
    <t>Share repurchase</t>
  </si>
  <si>
    <t>Dividends</t>
  </si>
  <si>
    <t>Total Debt incl. Finance Leases</t>
  </si>
  <si>
    <t>Cash</t>
  </si>
  <si>
    <t>x LTM EBITDA</t>
  </si>
  <si>
    <t>low</t>
  </si>
  <si>
    <t>high</t>
  </si>
  <si>
    <t>mp</t>
  </si>
  <si>
    <t>cc</t>
  </si>
  <si>
    <t>FX</t>
  </si>
  <si>
    <t>cc%</t>
  </si>
  <si>
    <t>PBP</t>
  </si>
  <si>
    <t>IC</t>
  </si>
  <si>
    <t xml:space="preserve">Segment Reporting </t>
  </si>
  <si>
    <t>MCP</t>
  </si>
  <si>
    <t>Productivity and Business Processes</t>
  </si>
  <si>
    <t>cogs</t>
  </si>
  <si>
    <t>Intelligent Cloud</t>
  </si>
  <si>
    <t>gm</t>
  </si>
  <si>
    <t>More Personal Computing</t>
  </si>
  <si>
    <t>Corporate and Other</t>
  </si>
  <si>
    <t>Total Revenue</t>
  </si>
  <si>
    <t>opex</t>
  </si>
  <si>
    <t>ebit</t>
  </si>
  <si>
    <t>Excl. NUAN / ATVI</t>
  </si>
  <si>
    <t>Growth % - 3 yr Stack</t>
  </si>
  <si>
    <t>MPC Constant-FX excl. ATVI %</t>
  </si>
  <si>
    <t>Operating Income</t>
  </si>
  <si>
    <t>Total operating income</t>
  </si>
  <si>
    <t>cons FY24 quarterlie ebit</t>
  </si>
  <si>
    <t>Constant-FX%</t>
  </si>
  <si>
    <t>MPC excl. ATVI %</t>
  </si>
  <si>
    <t>Segment Reporting - old segments</t>
  </si>
  <si>
    <t>4Q22e</t>
  </si>
  <si>
    <t>2Q23e</t>
  </si>
  <si>
    <t>3Q23e</t>
  </si>
  <si>
    <t>4Q23e</t>
  </si>
  <si>
    <t>Cloud Segment</t>
  </si>
  <si>
    <t>Azure</t>
  </si>
  <si>
    <t>Other Cloud</t>
  </si>
  <si>
    <t>Cloud</t>
  </si>
  <si>
    <t>Non-Cloud</t>
  </si>
  <si>
    <t>Total Gross Profit</t>
  </si>
  <si>
    <t xml:space="preserve">Commercial Business </t>
  </si>
  <si>
    <t>Commercial bookings growth</t>
  </si>
  <si>
    <t>Constant-FX</t>
  </si>
  <si>
    <t>Commercial revenue annuity mix</t>
  </si>
  <si>
    <t>Revenue excl. LinkedIn</t>
  </si>
  <si>
    <t>Gross Profit (est.)</t>
  </si>
  <si>
    <t>Operating Expense (est.)</t>
  </si>
  <si>
    <t>Subsegment Disclosure</t>
  </si>
  <si>
    <t>% Revenue Growth</t>
  </si>
  <si>
    <t xml:space="preserve">Office consumer products and cloud services </t>
  </si>
  <si>
    <t xml:space="preserve">Dynamics products and cloud services </t>
  </si>
  <si>
    <t xml:space="preserve">Dynamics 365 </t>
  </si>
  <si>
    <t>M365 commercial products and cloud services</t>
  </si>
  <si>
    <t>M365 commercial cloud revenue</t>
  </si>
  <si>
    <t>M365 consumer products and cloud services</t>
  </si>
  <si>
    <t>M365 consumer cloud revenue</t>
  </si>
  <si>
    <t>% Constant FX Revenue Growth</t>
  </si>
  <si>
    <t>KPIs</t>
  </si>
  <si>
    <t>Office 365 commercial seat growth</t>
  </si>
  <si>
    <t>Office 365 consumer subscribers (mm)</t>
  </si>
  <si>
    <t>LinkedIn</t>
  </si>
  <si>
    <t>Acquired 12/8/16</t>
  </si>
  <si>
    <t>LinkedIn sessions growth %</t>
  </si>
  <si>
    <t xml:space="preserve">&gt;20% </t>
  </si>
  <si>
    <t xml:space="preserve">&gt;30% </t>
  </si>
  <si>
    <t xml:space="preserve">PBP Revenue </t>
  </si>
  <si>
    <t>Microsoft 365 Commercial products and services</t>
  </si>
  <si>
    <t>Microsoft 365 Consumer products and services</t>
  </si>
  <si>
    <t>Total Office</t>
  </si>
  <si>
    <t>Dynamics and Other</t>
  </si>
  <si>
    <t>Total PBP Revenue</t>
  </si>
  <si>
    <t>2-yr Stack Growth %</t>
  </si>
  <si>
    <t xml:space="preserve">PBP - old segmentation </t>
  </si>
  <si>
    <t xml:space="preserve"> </t>
  </si>
  <si>
    <t>Operating Income excl. LinkedIn</t>
  </si>
  <si>
    <t>No more disclosure</t>
  </si>
  <si>
    <t>Not Restated</t>
  </si>
  <si>
    <t xml:space="preserve">Office commercial products and cloud services </t>
  </si>
  <si>
    <t xml:space="preserve">Office 365 commercial </t>
  </si>
  <si>
    <t xml:space="preserve">LinkedIn </t>
  </si>
  <si>
    <t>Windows OEM and Devices</t>
  </si>
  <si>
    <t>Office commercial products revenue growth</t>
  </si>
  <si>
    <t>Office 365 commercial seats (#M)</t>
  </si>
  <si>
    <t>Amortization of intangible assets from LinkedIn acquisition</t>
  </si>
  <si>
    <t>Other cost of revenue</t>
  </si>
  <si>
    <t>Cost of revenue</t>
  </si>
  <si>
    <t>Gross profit</t>
  </si>
  <si>
    <t>Gross profit excluding amortization of intangible assets</t>
  </si>
  <si>
    <t>Other operating expenses</t>
  </si>
  <si>
    <t>Operating expenses</t>
  </si>
  <si>
    <t>Operating income (loss)</t>
  </si>
  <si>
    <t>Operating income (loss) excluding amortization of intangible assets</t>
  </si>
  <si>
    <t>PBP Revenue (old segmentation)</t>
  </si>
  <si>
    <t>Office Commercial (old segmentation)</t>
  </si>
  <si>
    <t>Office Consumer (old segmentation)</t>
  </si>
  <si>
    <t xml:space="preserve">Intelligent Cloud </t>
  </si>
  <si>
    <t>Azure (new segmentation)</t>
  </si>
  <si>
    <t>AI Services pts contribution to Azure (new segmentation)</t>
  </si>
  <si>
    <t xml:space="preserve">Server products </t>
  </si>
  <si>
    <t xml:space="preserve">Server products and cloud services </t>
  </si>
  <si>
    <t xml:space="preserve">Enterprise Services </t>
  </si>
  <si>
    <t xml:space="preserve">IC Revenue </t>
  </si>
  <si>
    <t xml:space="preserve">Azure </t>
  </si>
  <si>
    <t xml:space="preserve">Server Products </t>
  </si>
  <si>
    <t>Server Products and Cloud Services</t>
  </si>
  <si>
    <t>Enterprise Services and Other</t>
  </si>
  <si>
    <t>Total IC Revenue</t>
  </si>
  <si>
    <t>Note: AI Services $ Contribution to Azure</t>
  </si>
  <si>
    <t>Intelligent Cloud - old segmentation</t>
  </si>
  <si>
    <t>Operating Expense</t>
  </si>
  <si>
    <t>Azure (old segmentation)</t>
  </si>
  <si>
    <t>AI Services pts contribution to Azure (old segmentation)</t>
  </si>
  <si>
    <t>IC Revenue (old segmentation)</t>
  </si>
  <si>
    <t>Power BI and EMS Revenue (old segmentation)</t>
  </si>
  <si>
    <t>Azure consumption and cloud services</t>
  </si>
  <si>
    <t>Server Products and Licensing</t>
  </si>
  <si>
    <t>Enterprise Services</t>
  </si>
  <si>
    <t>IC Revenue (new segmentation)</t>
  </si>
  <si>
    <t xml:space="preserve">More Personal Computing  </t>
  </si>
  <si>
    <t>MPC excl ATVI</t>
  </si>
  <si>
    <t>ATVI</t>
  </si>
  <si>
    <t>Growth % ex-ATVI</t>
  </si>
  <si>
    <t>Constant-FX % ex-ATVI</t>
  </si>
  <si>
    <t>Stripped Out of Forecast for Adjustment Purposes</t>
  </si>
  <si>
    <t>Stripped Out of Forecast for Adjustment Purposes but in FCF</t>
  </si>
  <si>
    <t>MPC excl ATVI EBIT Margin %</t>
  </si>
  <si>
    <t>ATVI EBIT Margin %</t>
  </si>
  <si>
    <t xml:space="preserve">Search and news advertising revenue (ex TAC) </t>
  </si>
  <si>
    <t xml:space="preserve">Windows OEM and devices </t>
  </si>
  <si>
    <t xml:space="preserve">Xbox content and services </t>
  </si>
  <si>
    <t>Gaming revenue</t>
  </si>
  <si>
    <t>MPC Revenue</t>
  </si>
  <si>
    <t>Windows</t>
  </si>
  <si>
    <t>Gaming ex-ATVI</t>
  </si>
  <si>
    <t>Search and Advertising</t>
  </si>
  <si>
    <t xml:space="preserve">Total MPC Revenue </t>
  </si>
  <si>
    <t xml:space="preserve">Total MPC Revenue ex-ATVI </t>
  </si>
  <si>
    <t>Total MPC Revenue ex-ATVI</t>
  </si>
  <si>
    <t>ATVI Standalone Historicals (analyst estimates at time of acquisition)</t>
  </si>
  <si>
    <t>Organic % CC</t>
  </si>
  <si>
    <t>Adj. COGS</t>
  </si>
  <si>
    <t>Adj. Gross Profit</t>
  </si>
  <si>
    <t>GAAP Gross Profit</t>
  </si>
  <si>
    <t>GAAP Opex</t>
  </si>
  <si>
    <t>Adj. Opex</t>
  </si>
  <si>
    <t>Adj. EBIT</t>
  </si>
  <si>
    <t>Other Adjustments</t>
  </si>
  <si>
    <t>GAAP EBIT</t>
  </si>
  <si>
    <t>Margin (of GP) %</t>
  </si>
  <si>
    <t>More Personal Computing  - old segmentation</t>
  </si>
  <si>
    <t>ATVI Acquired Intangible Amort.</t>
  </si>
  <si>
    <t>ATVI PPA, Integration, Tx Expense</t>
  </si>
  <si>
    <t>ATVI PAA, Integration, Tx Expense</t>
  </si>
  <si>
    <t xml:space="preserve">Windows OEM Pro </t>
  </si>
  <si>
    <t xml:space="preserve">Windows OEM non-Pro </t>
  </si>
  <si>
    <t xml:space="preserve">Windows OEM </t>
  </si>
  <si>
    <t xml:space="preserve">Windows commercial products and cloud services </t>
  </si>
  <si>
    <t>Search and news advertising revenue (ex TAC) growth (old segment)</t>
  </si>
  <si>
    <t>Search and news advertising revenue (ex TAC) growth (new segment)</t>
  </si>
  <si>
    <t>Windows OEM and devices revenue</t>
  </si>
  <si>
    <t>Xbox content and services revenue</t>
  </si>
  <si>
    <t>Surface revenue</t>
  </si>
  <si>
    <t>MPC Revenue (old segmentation)</t>
  </si>
  <si>
    <t>Windows Other (old segmentation)</t>
  </si>
  <si>
    <t>Windows OEM</t>
  </si>
  <si>
    <t>Total Windows</t>
  </si>
  <si>
    <t>Gaming</t>
  </si>
  <si>
    <t>Surface and HW</t>
  </si>
  <si>
    <t>Total MPC Revenue (new segmentation)</t>
  </si>
  <si>
    <t>Total MPC Revenue ex-ATVI (new segmentation)</t>
  </si>
  <si>
    <t>Cost and Headcount Analysis</t>
  </si>
  <si>
    <t>Total Opex (excl. 1x)</t>
  </si>
  <si>
    <t>Opex per Avg. Employee ($)</t>
  </si>
  <si>
    <t>Headcount growth</t>
  </si>
  <si>
    <t>Headcount growth ex-M&amp;A</t>
  </si>
  <si>
    <t>Employees</t>
  </si>
  <si>
    <t>US</t>
  </si>
  <si>
    <t>International</t>
  </si>
  <si>
    <t>Total Employees</t>
  </si>
  <si>
    <t>Sequential % ex-ATVI</t>
  </si>
  <si>
    <t>Sales and marketing</t>
  </si>
  <si>
    <t>General and administration</t>
  </si>
  <si>
    <t>Operations</t>
  </si>
  <si>
    <t>Product research and development</t>
  </si>
  <si>
    <t>ATVI Employees</t>
  </si>
  <si>
    <t>January ATVI RIF announcement</t>
  </si>
  <si>
    <t xml:space="preserve">Key Products </t>
  </si>
  <si>
    <t>Server products and cloud services</t>
  </si>
  <si>
    <t>Microsoft 365 commercial products and cloud services</t>
  </si>
  <si>
    <t>Windows and devices</t>
  </si>
  <si>
    <t>Search and news advertising</t>
  </si>
  <si>
    <t>Enterprise and partner services</t>
  </si>
  <si>
    <t>Dynamics products and cloud services</t>
  </si>
  <si>
    <t>Microsoft 365 consumer products and cloud services</t>
  </si>
  <si>
    <t>Others</t>
  </si>
  <si>
    <t>Total revenue</t>
  </si>
  <si>
    <t>Key Products - old segment</t>
  </si>
  <si>
    <t>Office products and cloud services</t>
  </si>
  <si>
    <t xml:space="preserve">Search and news advertising </t>
  </si>
  <si>
    <t>Devices</t>
  </si>
  <si>
    <t>Microsoft Office system / Office products and cloud services (for restated FY16-FY18)</t>
  </si>
  <si>
    <t>Server products and tools / Server products and cloud services (for restated FY16-FY18)</t>
  </si>
  <si>
    <t>Xbox / Gaming (for restated FY16-FY18)</t>
  </si>
  <si>
    <t>Windows PC operating system / Windows (for restated FY16-FY18)</t>
  </si>
  <si>
    <t>Advertising / Search advertising (for restated FY16-FY18)</t>
  </si>
  <si>
    <t>Consulting and product support services / Enterprise Services (for restated FY16-FY18)</t>
  </si>
  <si>
    <t>Note: Adjusted Windows PC operating system revenue as % of Total</t>
  </si>
  <si>
    <t>Adjusted Windows PC operating system revenue</t>
  </si>
  <si>
    <t>Adjusted total revenue</t>
  </si>
  <si>
    <t>Less: Phones revenue</t>
  </si>
  <si>
    <t>Adjusted total revenue excl. Phones</t>
  </si>
  <si>
    <t>Less: LinkedIn revenues</t>
  </si>
  <si>
    <t>Adjusted total revenue excl. Phones / LinkedIn</t>
  </si>
  <si>
    <t>Less: Adjusted Windows PC operating system revenue</t>
  </si>
  <si>
    <t>Adjusted total revenue excl. Phones / LinkedIn / Windows PC</t>
  </si>
  <si>
    <t>Plus: FX impact</t>
  </si>
  <si>
    <t>Income Statement</t>
  </si>
  <si>
    <t>Product</t>
  </si>
  <si>
    <t>Service and other</t>
  </si>
  <si>
    <t>Total cost of revenue</t>
  </si>
  <si>
    <t>Total gross profit</t>
  </si>
  <si>
    <t>Research and development </t>
  </si>
  <si>
    <t>General and administrative </t>
  </si>
  <si>
    <t>Impairment, integration, and restructuring</t>
  </si>
  <si>
    <t>Operating income</t>
  </si>
  <si>
    <t>Other income (expense), net</t>
  </si>
  <si>
    <t>Income before income taxes</t>
  </si>
  <si>
    <t>Provision for (benefit from) income taxes</t>
  </si>
  <si>
    <t>Weighted average shares outstanding:</t>
  </si>
  <si>
    <t>   Basic</t>
  </si>
  <si>
    <t>   Diluted</t>
  </si>
  <si>
    <t>Earnings per share:</t>
  </si>
  <si>
    <t>Adjusted Results</t>
  </si>
  <si>
    <t>Plus: Net Impact from Windows Revenue Deferral</t>
  </si>
  <si>
    <t>Plus/Less: Windows Upgrade Offer</t>
  </si>
  <si>
    <t>Adjusted revenue</t>
  </si>
  <si>
    <t>Plus: Store closures charge</t>
  </si>
  <si>
    <t>Plus: European Commission Fine</t>
  </si>
  <si>
    <t>Plus: ATVI PPA and Q2 Restructuring</t>
  </si>
  <si>
    <t>Plus: Impairment, integration, and restructuring expenses</t>
  </si>
  <si>
    <t>Adjusted operating income</t>
  </si>
  <si>
    <t>Other income(expenses)</t>
  </si>
  <si>
    <t>Interest and dividends income</t>
  </si>
  <si>
    <t>Interest expense</t>
  </si>
  <si>
    <t>Net recognized gains/(losses) on investments</t>
  </si>
  <si>
    <t>Net gains losses on derivatives</t>
  </si>
  <si>
    <t>Net gains on foreign currency remeasurements</t>
  </si>
  <si>
    <t>Other, net</t>
  </si>
  <si>
    <t>Total</t>
  </si>
  <si>
    <t>Cash Flow Statement</t>
  </si>
  <si>
    <t>Cash Flow From Operating Activities</t>
  </si>
  <si>
    <t>Depreciation, amortization and other</t>
  </si>
  <si>
    <t>Net recognized gain/loss on investments and derivatives</t>
  </si>
  <si>
    <t>Goodwill and asset impairment</t>
  </si>
  <si>
    <t>Stock based compensation</t>
  </si>
  <si>
    <t>Excess tax benefits from stock-based compensation</t>
  </si>
  <si>
    <t>Deferred income taxes</t>
  </si>
  <si>
    <t>Other long-term assets</t>
  </si>
  <si>
    <t>Other long-term liabilities</t>
  </si>
  <si>
    <t>Accounts receivable</t>
  </si>
  <si>
    <t>Inventories</t>
  </si>
  <si>
    <t>Accounts payable</t>
  </si>
  <si>
    <t>Income taxes</t>
  </si>
  <si>
    <t>Unearned revenue</t>
  </si>
  <si>
    <t>Recognition of unearned revenue</t>
  </si>
  <si>
    <t>Other current liabilities</t>
  </si>
  <si>
    <t>Other current assets</t>
  </si>
  <si>
    <t>Cash flow from operating activities</t>
  </si>
  <si>
    <t>Cash Flow From Investing Activities</t>
  </si>
  <si>
    <t>Additions to property plant and equipment</t>
  </si>
  <si>
    <t>Acquisition of companies, net of cash acquired, and purchases of intangible and other assets</t>
  </si>
  <si>
    <t>Purchase of investments</t>
  </si>
  <si>
    <t>Maturities of investments</t>
  </si>
  <si>
    <t>Sale of investment</t>
  </si>
  <si>
    <t>Cash flow from investing activities</t>
  </si>
  <si>
    <t>Cash Flow From Financing Activities</t>
  </si>
  <si>
    <t>Repayment of debt</t>
  </si>
  <si>
    <t>Proceeds from issuance of debt maturities of 90 days or less, net</t>
  </si>
  <si>
    <t>Cash premium on debt exchange</t>
  </si>
  <si>
    <t>Proceeds from issuance of debt</t>
  </si>
  <si>
    <t>Proceeds from issuance (repayments) of short-term debt, maturities of 90 days or less, net</t>
  </si>
  <si>
    <t>Common stock issued</t>
  </si>
  <si>
    <t>Common stock-repurchased</t>
  </si>
  <si>
    <t>Common stock dividends</t>
  </si>
  <si>
    <t>Stock options income tax benefits</t>
  </si>
  <si>
    <t>Cash flow from financing activities</t>
  </si>
  <si>
    <t>Foreign exchange rate effect on cash and cash equivalents</t>
  </si>
  <si>
    <t>Net change in cash</t>
  </si>
  <si>
    <t>Cash interest paid</t>
  </si>
  <si>
    <t>Cash taxes paid</t>
  </si>
  <si>
    <t>Recurring to Realized FCF Bridge</t>
  </si>
  <si>
    <t>Recurring</t>
  </si>
  <si>
    <t>Assets acquired under capital leases</t>
  </si>
  <si>
    <t>Total Capex</t>
  </si>
  <si>
    <t>Balance Sheet</t>
  </si>
  <si>
    <t>Assets</t>
  </si>
  <si>
    <t>Note Restated</t>
  </si>
  <si>
    <t>Cash and cash equivalents</t>
  </si>
  <si>
    <t>Short-term investments</t>
  </si>
  <si>
    <t>Accounts receivables</t>
  </si>
  <si>
    <t>Total current assets</t>
  </si>
  <si>
    <t>Operating lease right-of-use assets</t>
  </si>
  <si>
    <t>Property and equipment</t>
  </si>
  <si>
    <t>Equity and other investments</t>
  </si>
  <si>
    <t>Intangible assets, net</t>
  </si>
  <si>
    <t>Total assets</t>
  </si>
  <si>
    <t>Liabilities</t>
  </si>
  <si>
    <t>Accrued compensation</t>
  </si>
  <si>
    <t>Short-term debts</t>
  </si>
  <si>
    <t>Current portion of long-term debt</t>
  </si>
  <si>
    <t>Short-term income taxes</t>
  </si>
  <si>
    <t>Short-term unearned revenue</t>
  </si>
  <si>
    <t>Securities lending payable</t>
  </si>
  <si>
    <t>Total current liabilities</t>
  </si>
  <si>
    <t>Long-term debt</t>
  </si>
  <si>
    <t>Operating lease liabilities</t>
  </si>
  <si>
    <t>Long-term unearned revenue</t>
  </si>
  <si>
    <t>Long-term income taxes</t>
  </si>
  <si>
    <t>Total liabilities</t>
  </si>
  <si>
    <t>Shareholders' Equity</t>
  </si>
  <si>
    <t>Common stock - par value</t>
  </si>
  <si>
    <t>Retained earnings</t>
  </si>
  <si>
    <t>Accumulated other comprehensive income (loss)</t>
  </si>
  <si>
    <t>Total shareholders’ equity</t>
  </si>
  <si>
    <t>Total liabilities &amp; shareholders’ equity</t>
  </si>
  <si>
    <t>Note: Finance Lease Detail</t>
  </si>
  <si>
    <t>Total finance lease liabilities</t>
  </si>
  <si>
    <t>Interest on Finance Lease Liabilities</t>
  </si>
  <si>
    <t>Debt excl Finance Lease Liabilities</t>
  </si>
  <si>
    <t>Interest Expense excl. Finance Lease Liabilities</t>
  </si>
  <si>
    <t xml:space="preserve">NWC </t>
  </si>
  <si>
    <t>LT Assets (Net PPE + ROU + GW + Net Int. + Other)</t>
  </si>
  <si>
    <t>Avg. IC</t>
  </si>
  <si>
    <t>ROIC (LTM for qtrly)</t>
  </si>
  <si>
    <t>Incremental ROIC</t>
  </si>
  <si>
    <t>Note: IC as Net Debt + SE</t>
  </si>
  <si>
    <t xml:space="preserve">Billings </t>
  </si>
  <si>
    <t>Unearned Revenue</t>
  </si>
  <si>
    <t>Total uneaerned revenue</t>
  </si>
  <si>
    <t>Change in Unearned Revenue</t>
  </si>
  <si>
    <t>Total change in uneaerned revenue</t>
  </si>
  <si>
    <t>Billings</t>
  </si>
  <si>
    <t>Total billings</t>
  </si>
  <si>
    <t>Billings - old segmentation</t>
  </si>
  <si>
    <r>
      <rPr>
        <b/>
        <sz val="8"/>
        <rFont val="Arial"/>
        <family val="2"/>
      </rPr>
      <t xml:space="preserve"> </t>
    </r>
    <r>
      <rPr>
        <b/>
        <u/>
        <sz val="8"/>
        <rFont val="Arial"/>
        <family val="2"/>
      </rPr>
      <t xml:space="preserve">Revenue </t>
    </r>
  </si>
  <si>
    <t>USD</t>
  </si>
  <si>
    <t>EUR</t>
  </si>
  <si>
    <t>GBP</t>
  </si>
  <si>
    <t>JPY</t>
  </si>
  <si>
    <t>AUD</t>
  </si>
  <si>
    <t>CAD</t>
  </si>
  <si>
    <t>Constant currency % (Disclosed)</t>
  </si>
  <si>
    <t>Constant currency (CRC calc)</t>
  </si>
  <si>
    <t xml:space="preserve">CC Delta </t>
  </si>
  <si>
    <t>% Change FX YoY</t>
  </si>
  <si>
    <t xml:space="preserve">WA FX Impact YoY </t>
  </si>
  <si>
    <t>YoY Constant Currency Growth %</t>
  </si>
  <si>
    <t>Reported Revenue</t>
  </si>
  <si>
    <t xml:space="preserve">excl. WA FX Impact YoY </t>
  </si>
  <si>
    <t>Reported Revenue ex-YoY FX impact</t>
  </si>
  <si>
    <t>QTD</t>
  </si>
  <si>
    <t>SPOT</t>
  </si>
  <si>
    <t>Start Date</t>
  </si>
  <si>
    <t>End Date</t>
  </si>
  <si>
    <t>CY19</t>
  </si>
  <si>
    <t>CY20</t>
  </si>
  <si>
    <t>Revenue growth - CC</t>
  </si>
  <si>
    <t>Commercial Bookings growth - CC</t>
  </si>
  <si>
    <t>Next Quarter Revenue growth - CC</t>
  </si>
  <si>
    <t>Commercial bookings growth - CC</t>
  </si>
  <si>
    <t>Revenue growth - CC 2yr Stack</t>
  </si>
  <si>
    <t xml:space="preserve">Commercieal Bookings Growth - CC 2yr Stack </t>
  </si>
  <si>
    <t>Resegmentation Changes</t>
  </si>
  <si>
    <t>Old</t>
  </si>
  <si>
    <t>New</t>
  </si>
  <si>
    <t>FY24 Delta</t>
  </si>
  <si>
    <t>&gt;&gt;</t>
  </si>
  <si>
    <t>PBP Segment</t>
  </si>
  <si>
    <t>IC Segment</t>
  </si>
  <si>
    <t>MPC</t>
  </si>
  <si>
    <t>MPC Segment</t>
  </si>
  <si>
    <t>Total MSFT</t>
  </si>
  <si>
    <t>Segment Totals</t>
  </si>
  <si>
    <t>IC +MPC</t>
  </si>
  <si>
    <t>Items added to PBP</t>
  </si>
  <si>
    <t>Guidance Analysis</t>
  </si>
  <si>
    <t>Actual vs. Guidance</t>
  </si>
  <si>
    <t>Low</t>
  </si>
  <si>
    <t>Mid</t>
  </si>
  <si>
    <t>High</t>
  </si>
  <si>
    <t>Actual</t>
  </si>
  <si>
    <t>% vs. Low</t>
  </si>
  <si>
    <t>% vs. Mid</t>
  </si>
  <si>
    <t>% vs. High</t>
  </si>
  <si>
    <t>1Q24 Guide (given in 4Q24)</t>
  </si>
  <si>
    <t>4Q24 Guide (given in 3Q24)</t>
  </si>
  <si>
    <t>3Q24 Guide (given in 2Q24)</t>
  </si>
  <si>
    <t>2Q24 Guide (given in 1Q24)</t>
  </si>
  <si>
    <t>1Q24 Guide (given in 4Q23)</t>
  </si>
  <si>
    <t>4Q23 Guide (given in 3Q23)</t>
  </si>
  <si>
    <t>3Q23 Guide (given in 2Q23)</t>
  </si>
  <si>
    <t>2Q23 Guide (given in 1Q23)</t>
  </si>
  <si>
    <t>1Q23 Guide (given in 4Q22)</t>
  </si>
  <si>
    <t>4Q22 Guide (updated on 6.2.22)</t>
  </si>
  <si>
    <t>3Q22 Guide (given in 2Q22)</t>
  </si>
  <si>
    <t>2Q22 Guide (given in 1Q22)</t>
  </si>
  <si>
    <t>1Q22 Guide (given in 4Q21)</t>
  </si>
  <si>
    <t>4Q21 Guide (given in 3Q21)</t>
  </si>
  <si>
    <t>3Q21 Guide (given in 2Q21)</t>
  </si>
  <si>
    <t>2Q21 Guide (given in 1Q21)</t>
  </si>
  <si>
    <t>1Q21 Guide (given in 4Q20)</t>
  </si>
  <si>
    <t>4Q20 Guide (given in 3Q20)</t>
  </si>
  <si>
    <t>3Q20 Guide (given in 2Q20)</t>
  </si>
  <si>
    <t>2Q20 Guide (given in 1Q20)</t>
  </si>
  <si>
    <t>1Q20 Guide (given in 4Q19)</t>
  </si>
  <si>
    <t>4Q19 Guide (given in 3Q19)</t>
  </si>
  <si>
    <t>3Q19 Guide (given in 2Q19)</t>
  </si>
  <si>
    <t>Average</t>
  </si>
  <si>
    <t>`</t>
  </si>
  <si>
    <t>Median</t>
  </si>
  <si>
    <t>2Q25 Guide ex-$900M deal costs (given in 1Q25)</t>
  </si>
  <si>
    <t>1Q25 Guide ex-$900M deal costs (given in 4Q24)</t>
  </si>
  <si>
    <t>4Q24 Guide ex-$1B deal costs (given in 3Q24)</t>
  </si>
  <si>
    <t>3Q24 Guide ex-$1B deal costs (given in 2Q24)</t>
  </si>
  <si>
    <t>2Q24 Guide ex-$900M deal costs (given in 1Q24)</t>
  </si>
  <si>
    <t>D&amp;A Model - Base Case</t>
  </si>
  <si>
    <t>D&amp;A Model</t>
  </si>
  <si>
    <t>50%, then more, then ramp down in long lived and more short lived to drive more D&amp;A</t>
  </si>
  <si>
    <t>Key Inputs</t>
  </si>
  <si>
    <t>prior useful life</t>
  </si>
  <si>
    <t>Original Average Useful Life of Assets (Years)</t>
  </si>
  <si>
    <t>'21-'22 Average Useful Life of Assets (Years)</t>
  </si>
  <si>
    <t>'23 Average Useful Life of Assets (Years)</t>
  </si>
  <si>
    <t>Delta / CIP impact</t>
  </si>
  <si>
    <t>Change in Depreciable Assets</t>
  </si>
  <si>
    <t>Depreciation and Amortization</t>
  </si>
  <si>
    <t>FY37e</t>
  </si>
  <si>
    <t>Estimated Depreciation and Amortization</t>
  </si>
  <si>
    <t>Amortization of Intangible Assets</t>
  </si>
  <si>
    <t>Total Estimated Depreciation and Amortization ex-ATVI amort</t>
  </si>
  <si>
    <t>PPA/Other</t>
  </si>
  <si>
    <t>Total Estimated Depreciation and Amortization</t>
  </si>
  <si>
    <t>Actual Depreciation and Amortization</t>
  </si>
  <si>
    <t>Variance %</t>
  </si>
  <si>
    <t>Variance $</t>
  </si>
  <si>
    <t>Gross Assets, EOP</t>
  </si>
  <si>
    <t>FY07 and prior</t>
  </si>
  <si>
    <t>Accumulated Depreciation, EOP</t>
  </si>
  <si>
    <t>Net Assets, EOP</t>
  </si>
  <si>
    <t>PP&amp;E Detail</t>
  </si>
  <si>
    <t>Gross PP&amp;E</t>
  </si>
  <si>
    <t>Land</t>
  </si>
  <si>
    <t>Buildings and improvements</t>
  </si>
  <si>
    <t>Leasehold improvements</t>
  </si>
  <si>
    <t>Computer equipment and software</t>
  </si>
  <si>
    <t>Furniture and equipment</t>
  </si>
  <si>
    <t>Gross PP&amp;E, EOP</t>
  </si>
  <si>
    <t>Construction commitments</t>
  </si>
  <si>
    <t>Gross PP&amp;E, BOP</t>
  </si>
  <si>
    <t>Purchase of PP&amp;E + Finance Leases</t>
  </si>
  <si>
    <t>Accumulated Depreciation</t>
  </si>
  <si>
    <t>Accumulated Depreciation, BOP</t>
  </si>
  <si>
    <t>Reported Depreciation</t>
  </si>
  <si>
    <r>
      <rPr>
        <i/>
        <u/>
        <sz val="8"/>
        <color theme="1"/>
        <rFont val="Arial"/>
        <family val="2"/>
      </rPr>
      <t>Memo:</t>
    </r>
    <r>
      <rPr>
        <i/>
        <sz val="8"/>
        <color theme="1"/>
        <rFont val="Arial"/>
        <family val="2"/>
      </rPr>
      <t xml:space="preserve"> Implied Life of Assets (Years)</t>
    </r>
  </si>
  <si>
    <t>Reported D&amp;A</t>
  </si>
  <si>
    <t>Depreciation</t>
  </si>
  <si>
    <t>Intangible Asset Amortization</t>
  </si>
  <si>
    <t>Implied PPA and Other</t>
  </si>
  <si>
    <t>% of D&amp;A</t>
  </si>
  <si>
    <t>Net PP&amp;E</t>
  </si>
  <si>
    <t>Net PP&amp;E, EOP</t>
  </si>
  <si>
    <t>Net PP&amp;E, BOP</t>
  </si>
  <si>
    <t>Purchase of PP&amp;E</t>
  </si>
  <si>
    <t>Depreciation of PP&amp;E</t>
  </si>
  <si>
    <t>Implied Useful Life (Years)</t>
  </si>
  <si>
    <t>Gross PP&amp;E / Depreciation</t>
  </si>
  <si>
    <t>Depreciable Assets / Depreciation</t>
  </si>
  <si>
    <t>Net PP&amp;E / Depreciation</t>
  </si>
  <si>
    <t>ROU Amortization</t>
  </si>
  <si>
    <t>Gross PP&amp;E - Useful Lives (yrs)</t>
  </si>
  <si>
    <t>5-15</t>
  </si>
  <si>
    <t>3-20</t>
  </si>
  <si>
    <t>Computer equipment</t>
  </si>
  <si>
    <t>2-6</t>
  </si>
  <si>
    <t>Computer software</t>
  </si>
  <si>
    <t>1-10</t>
  </si>
  <si>
    <t xml:space="preserve">Gross PP&amp;E </t>
  </si>
  <si>
    <t>Computer equipment and SW</t>
  </si>
  <si>
    <t>Gross PP&amp;E - Useful Lives (yrs) - avg</t>
  </si>
  <si>
    <t>next step</t>
  </si>
  <si>
    <t>&gt;&gt; is this cash outflow connected to capex</t>
  </si>
  <si>
    <t>&gt;&gt; what is this - all M&amp;A related an not growth related?</t>
  </si>
  <si>
    <t>EBIT (reported)</t>
  </si>
  <si>
    <t>add the D&amp;A numbers</t>
  </si>
  <si>
    <t>detail what the actual change in accounting estaimte was in each quarter</t>
  </si>
  <si>
    <t>D&amp;A margin normalization (commentary)</t>
  </si>
  <si>
    <t xml:space="preserve">Not </t>
  </si>
  <si>
    <t>Normalized Margin %</t>
  </si>
  <si>
    <t>Comparable</t>
  </si>
  <si>
    <t>Normalized EBIT</t>
  </si>
  <si>
    <t>Growth % (vs. prior period reported)</t>
  </si>
  <si>
    <t>Call Commentary</t>
  </si>
  <si>
    <t>"...operating margins expanded 4 points yearover-year to 43%, including roughly 2 points of favorable impact from the change in accounting estimate."</t>
  </si>
  <si>
    <t>"...operating margins expanded 4 points year-over-year to 42%, including roughly 2 points of favorable impact from the change in accounting estimate."</t>
  </si>
  <si>
    <t>"...operating margins expanded 4 points year-over-year to 41%, including nearly 2 points of favorable impact from the change in accounting estimate."</t>
  </si>
  <si>
    <t xml:space="preserve">"...operating margins expanded 6 points year-over-year to 41%, including roughly 2 points of impact from the retail stores charge and increase in bad debt expense in the prior year </t>
  </si>
  <si>
    <t>and nearly 1 point of favorable impact from the change in accounting estimate."</t>
  </si>
  <si>
    <t>"...operating margins expanded 2 points year-over-year to 45%. Excluding the impact of the change in accounting estimate, operating margins expanded roughly 4 points year-over-year."</t>
  </si>
  <si>
    <t>"...operating margins expanded 1 point year-over-year to 43%. Excluding the impact of the change in accounting estimate, operating margins expanded roughly 3 points year-over-year."</t>
  </si>
  <si>
    <t>"...operating margins increased slightly year-over-year to 41%. Excluding the impact of the change in accounting estimate, operating margins expanded roughly 2 points year-over-year."</t>
  </si>
  <si>
    <t>"...operating margins decreased year-over-year to 40%. Excluding the impact of the change in accounting estimate and FX, operating margins were relatively unchanged"</t>
  </si>
  <si>
    <t>"...operating margins decreased roughly 2 points year-over-year to 43%. Excluding the impact of the change in accounting estimate, operating margins declined roughly 4 points year-over-year"</t>
  </si>
  <si>
    <t>"...operating margins decreased roughly 2 points year-over-year to 41%. Excluding the impact of the change in accounting estimate, operating margins declined roughly 4 points"</t>
  </si>
  <si>
    <t>"…operating margins increased roughly 1 point year-over-year to 42%. Excluding the impact of the change in accounting estimate, operating margins decreased slightly and increased slightly in constant currency. "</t>
  </si>
  <si>
    <t>"…Operating margins increased roughly 4 points year-over-year to 43%. Excluding the impact of the change in accounting estimate, operating margins increased roughly 2 points"</t>
  </si>
  <si>
    <t>"...Operating margins increased roughly 5 points year-over-year to 48%. Excluding the impact of the change in accounting estimate, operating margins increased roughly 6 points"</t>
  </si>
  <si>
    <t>"...Operating margins increased roughly 5 points year-over-year to 44%. Excluding the impact of the change in accounting estimate, operating margins increased roughly 6 points driven by the higher gross margin noted earlier, a favorable impact from the prior year Q2 charge and improved operating leverage through disciplined cost control"</t>
  </si>
  <si>
    <t>"...Operating income increased 23% and operating margins increased roughly 2 points year-over-year to 45%, excluding the impact of the change in accounting estimate, operating margins increased roughly 3 points"</t>
  </si>
  <si>
    <t>"...Operating income increased 15% and 16% in constant currency, and operating margins were 43%, relatively unchanged year-over-year. Excluding the impact of the change in accounting estimate, operating margins increased slightly"</t>
  </si>
  <si>
    <t>Azure Detail and Forecast</t>
  </si>
  <si>
    <t>Calendar Quarters</t>
  </si>
  <si>
    <t>F1Q17</t>
  </si>
  <si>
    <t>F2Q17</t>
  </si>
  <si>
    <t>Calendar Year</t>
  </si>
  <si>
    <t>Jun-24E</t>
  </si>
  <si>
    <t>Sep-24E</t>
  </si>
  <si>
    <t>Dec-24E</t>
  </si>
  <si>
    <t>Mar-25E</t>
  </si>
  <si>
    <t>Jun-25E</t>
  </si>
  <si>
    <t>Sep-25E</t>
  </si>
  <si>
    <t>Dec-25E</t>
  </si>
  <si>
    <t>Mar-26E</t>
  </si>
  <si>
    <t>Jun-26E</t>
  </si>
  <si>
    <t>Sep-26E</t>
  </si>
  <si>
    <t>Dec-26E</t>
  </si>
  <si>
    <t>Mar-27E</t>
  </si>
  <si>
    <t>Jun-27E</t>
  </si>
  <si>
    <t>Sep-27E</t>
  </si>
  <si>
    <t>Dec-27E</t>
  </si>
  <si>
    <t>CY 2013</t>
  </si>
  <si>
    <t>CY 2014</t>
  </si>
  <si>
    <t>CY 2015</t>
  </si>
  <si>
    <t>CY 2016</t>
  </si>
  <si>
    <t>CY 2017</t>
  </si>
  <si>
    <t>CY 2018</t>
  </si>
  <si>
    <t>CY 2019</t>
  </si>
  <si>
    <t>CY 2020</t>
  </si>
  <si>
    <t>CY 2021</t>
  </si>
  <si>
    <t>CY 2022E</t>
  </si>
  <si>
    <t>CY 2023E</t>
  </si>
  <si>
    <t>CY 2024E</t>
  </si>
  <si>
    <t>CY 2025E</t>
  </si>
  <si>
    <t>CY 2026E</t>
  </si>
  <si>
    <t>CY 2027E</t>
  </si>
  <si>
    <t>AWS</t>
  </si>
  <si>
    <t>AWS (cons. forecast)</t>
  </si>
  <si>
    <t>&lt;&lt; Cons forecast</t>
  </si>
  <si>
    <t>Google Cloud (cons. forecast)</t>
  </si>
  <si>
    <t>% Y/Y Change</t>
  </si>
  <si>
    <t>Growth % (2yr Stack)</t>
  </si>
  <si>
    <t>Growth % ex-FX</t>
  </si>
  <si>
    <t>% Y/Y Change, c/c</t>
  </si>
  <si>
    <t>Growth % ex-FX (2yr Stack)</t>
  </si>
  <si>
    <t>Market Share %</t>
  </si>
  <si>
    <t>Market Share % Sequential Changes</t>
  </si>
  <si>
    <t>Sequential Dollars Added</t>
  </si>
  <si>
    <t>Y/Y Dollar Growth</t>
  </si>
  <si>
    <t>Market Share of Sequential Dollars Added %</t>
  </si>
  <si>
    <t>LTM Dollars Added</t>
  </si>
  <si>
    <t>Sequential Dollar Growth</t>
  </si>
  <si>
    <t>Total Y/Y Growth ($)</t>
  </si>
  <si>
    <t>Margins</t>
  </si>
  <si>
    <t>CY13</t>
  </si>
  <si>
    <t>CY14</t>
  </si>
  <si>
    <t>CY15</t>
  </si>
  <si>
    <t>CY16</t>
  </si>
  <si>
    <t>CY17</t>
  </si>
  <si>
    <t>CY18</t>
  </si>
  <si>
    <t>CY22E</t>
  </si>
  <si>
    <t>CY23E</t>
  </si>
  <si>
    <t>CY25E</t>
  </si>
  <si>
    <t>CY26E</t>
  </si>
  <si>
    <t>CY27E</t>
  </si>
  <si>
    <t>1Q</t>
  </si>
  <si>
    <t>2Q</t>
  </si>
  <si>
    <t>3Q</t>
  </si>
  <si>
    <t>4Q</t>
  </si>
  <si>
    <t>CY 2021E</t>
  </si>
  <si>
    <t>EBIT Margin (%)</t>
  </si>
  <si>
    <t>Gross Profit (UBSe)</t>
  </si>
  <si>
    <t>Margin (UBSe) (%)</t>
  </si>
  <si>
    <t>Google Cloud</t>
  </si>
  <si>
    <t>EBIT (UBSe)</t>
  </si>
  <si>
    <t>EBIT Margin (UBSe) (%)</t>
  </si>
  <si>
    <t>Total Cloud Revenue</t>
  </si>
  <si>
    <t>Windows OEM vs. PC Shipments</t>
  </si>
  <si>
    <t>Calendar Qtrs &gt;&gt;</t>
  </si>
  <si>
    <t>1Q15</t>
  </si>
  <si>
    <t>2Q15</t>
  </si>
  <si>
    <t>3Q15</t>
  </si>
  <si>
    <t>4Q15</t>
  </si>
  <si>
    <t>3Q24E</t>
  </si>
  <si>
    <t>4Q24E</t>
  </si>
  <si>
    <t>1Q25E</t>
  </si>
  <si>
    <t>2Q25E</t>
  </si>
  <si>
    <t>MSFT Qtrs &gt;&gt;</t>
  </si>
  <si>
    <t>F3Q17</t>
  </si>
  <si>
    <t>F4Q17</t>
  </si>
  <si>
    <t>F1Q18</t>
  </si>
  <si>
    <t>F2Q18</t>
  </si>
  <si>
    <t>F3Q18</t>
  </si>
  <si>
    <t>F4Q18</t>
  </si>
  <si>
    <t>F1Q19</t>
  </si>
  <si>
    <t>F2Q19</t>
  </si>
  <si>
    <t>F3Q19</t>
  </si>
  <si>
    <t>F4Q19</t>
  </si>
  <si>
    <t>F1Q20</t>
  </si>
  <si>
    <t>F2Q20</t>
  </si>
  <si>
    <t>F3Q20</t>
  </si>
  <si>
    <t>F4Q20</t>
  </si>
  <si>
    <t>F1Q21</t>
  </si>
  <si>
    <t>F2Q21</t>
  </si>
  <si>
    <t>F3Q21</t>
  </si>
  <si>
    <t>F4Q21</t>
  </si>
  <si>
    <t>F1Q22</t>
  </si>
  <si>
    <t>F2Q22</t>
  </si>
  <si>
    <t>F3Q22</t>
  </si>
  <si>
    <t>F4Q22</t>
  </si>
  <si>
    <t>F1Q23</t>
  </si>
  <si>
    <t>F2Q23</t>
  </si>
  <si>
    <t>F3Q23</t>
  </si>
  <si>
    <t>F4Q23</t>
  </si>
  <si>
    <t>F1Q24</t>
  </si>
  <si>
    <t>F2Q24</t>
  </si>
  <si>
    <t>F3Q24</t>
  </si>
  <si>
    <t>F4Q24</t>
  </si>
  <si>
    <t>F1Q25E</t>
  </si>
  <si>
    <t>F2Q25E</t>
  </si>
  <si>
    <t>F3Q25E</t>
  </si>
  <si>
    <t>F4Q25E</t>
  </si>
  <si>
    <t>Commentary</t>
  </si>
  <si>
    <t>&gt;&gt; "In Windows, the stronger PC market resulted in overall OEM revenue growth of 10%, driven by continued customer demand"</t>
  </si>
  <si>
    <t>&gt;&gt; "Windows OEM and Surface were impacted by the ongoing constraints in the supply chain"</t>
  </si>
  <si>
    <t>&gt;&gt; "Windows OEM revenue increased 10% driven by a stronger-than-expected PC market, particularly in the commercial segment, which has higher revenue per license"</t>
  </si>
  <si>
    <t>&gt;&gt; "And to that end, PCs -- the market grew this quarter, and it was constrained by supply"</t>
  </si>
  <si>
    <t>&gt;&gt; "Driven by the strong PC market noted earlier particularly in the commercial segment, which has higher revenue per license"</t>
  </si>
  <si>
    <t>&gt;&gt; "Windows OEM revenue increased 11%, with continued strength in the commercial PC market, which has higher revenue per license"</t>
  </si>
  <si>
    <t>&gt;&gt; "Despite the deteriorating PC market, we saw share gains again this quarter and volumes remained above pre-pandemic levels"</t>
  </si>
  <si>
    <t>&gt;&gt; "Despite a changing market for PCs during the quarter, we continue to see more PCs shipped than pre pandemic and are taking share"</t>
  </si>
  <si>
    <t>&gt;&gt; "In devices, revenue should decline approximately 30%, again, roughly in line with the PC market"</t>
  </si>
  <si>
    <t xml:space="preserve">&gt;&gt; Windows OEM revenue should decline in the mid- to high 30s, in line with the PC market. </t>
  </si>
  <si>
    <t>&gt;&gt; We expect Q3 PC units to be similar to pre-pandemic levels</t>
  </si>
  <si>
    <t>Morgan Stanley post F2Q23</t>
  </si>
  <si>
    <t>&gt;&gt; "We caught up again with them again last night and they made a couple comments below explaining the gap between reported Windows PC numbers and 3rd party industry data. Windows OEM vs. PCs – why is guidance so bad? Microsoft does not use 3rd party PC estimates to inform their guidance. They think IDC/Gartner are typically slow to react to the downside. "</t>
  </si>
  <si>
    <t>&gt;&gt; "They said they made their guidance based on what trends they are seeing and expect their guidance to be more likely to be right, but if they’re wrong and 3rd party forecasts are correct, would represent upside to their guidance  (IDC's and Gartner's forecasts were for declines of 28.1% and 28.5%)"</t>
  </si>
  <si>
    <t xml:space="preserve">&gt;&gt; "We saw better-than-expected PC demand, as noted earlier, particularly in the commercial segment, </t>
  </si>
  <si>
    <t xml:space="preserve">which has higher revenue per license, although results continue to be negatively impacted by elevated </t>
  </si>
  <si>
    <t>channel inventory levels."</t>
  </si>
  <si>
    <t xml:space="preserve">&gt;&gt; "Windows OEM revenue should decline low to mid-teens, including 5 points of negative </t>
  </si>
  <si>
    <t xml:space="preserve">impact from the earlier back-to-school inventory builds that were pulled into the fourth quarter. </t>
  </si>
  <si>
    <t>Our guide assumes no significant changes to the PC demand environment"</t>
  </si>
  <si>
    <t xml:space="preserve">&gt;&gt; "Windows OEM revenue growth should be mid- to high single digits with PC </t>
  </si>
  <si>
    <t>market unit volumes expected to look roughly similar to Q1."</t>
  </si>
  <si>
    <t xml:space="preserve">&gt;&gt; "Windows OEM revenue growth should be relatively flat
as PC market </t>
  </si>
  <si>
    <t>unit volumes continue at pre-pandemic levels"</t>
  </si>
  <si>
    <t>Quarterly</t>
  </si>
  <si>
    <t>PC OEM Shipments (# in '000s)</t>
  </si>
  <si>
    <t>Windows OEM Revenue (Deferral Adj.)</t>
  </si>
  <si>
    <t>TO DO - 1/30/23</t>
  </si>
  <si>
    <t>incorporate new FX</t>
  </si>
  <si>
    <t xml:space="preserve">Delta </t>
  </si>
  <si>
    <t>split out other segments in MPC and model each</t>
  </si>
  <si>
    <t>Quarterly Index</t>
  </si>
  <si>
    <t>Indexed PC OEM Shipments (# in '000s)</t>
  </si>
  <si>
    <t>Indexed Windows OEM Revenue (Deferral Adj.)</t>
  </si>
  <si>
    <t>QoQ %</t>
  </si>
  <si>
    <t>LTM</t>
  </si>
  <si>
    <t>the adj. as a memo</t>
  </si>
  <si>
    <t>guidance</t>
  </si>
  <si>
    <t>do the indexing</t>
  </si>
  <si>
    <t xml:space="preserve">see if market commentary </t>
  </si>
  <si>
    <t>LTM Index</t>
  </si>
  <si>
    <t>Windows OEM (L4Q Avg Growth %)</t>
  </si>
  <si>
    <t>Charts</t>
  </si>
  <si>
    <t>LTM PC OEM Shipments (# in '000s)</t>
  </si>
  <si>
    <t>LTM Windows OEM Revenue (Deferral Adj.)</t>
  </si>
  <si>
    <t>Delta</t>
  </si>
  <si>
    <t>Gartner Sources, linked:</t>
  </si>
  <si>
    <t>https://www.gartner.com/en/newsroom/press-releases/2023-07-11-gartner-says-worldwide--pc-shipments-declined-16-percent-in-second-quarter-of-2023</t>
  </si>
  <si>
    <t>https://www.gartner.com/en/newsroom/press-releases/04-11-2023-gartner-says-worldwide-pc-shipments-declined-30-percent-in-first-quarter-of-2023</t>
  </si>
  <si>
    <t>4Q22 and 4Q21</t>
  </si>
  <si>
    <t>4Q18 and 4Q17</t>
  </si>
  <si>
    <t>3Q22 and 3Q21</t>
  </si>
  <si>
    <t>3Q18 and 3Q17</t>
  </si>
  <si>
    <t>2Q22 and 2Q21</t>
  </si>
  <si>
    <t>2Q18 and 2Q17</t>
  </si>
  <si>
    <t>1Q22 and 1Q21</t>
  </si>
  <si>
    <t>1Q18 and 1Q17</t>
  </si>
  <si>
    <t>4Q20 and 4Q19</t>
  </si>
  <si>
    <t>4Q16 and 4Q15</t>
  </si>
  <si>
    <t>3Q20 and 3Q19</t>
  </si>
  <si>
    <t>3Q16 and 3Q15</t>
  </si>
  <si>
    <t>2Q20 and 2Q19</t>
  </si>
  <si>
    <t>2Q16 and 2Q15</t>
  </si>
  <si>
    <t>1Q20 and 1Q19</t>
  </si>
  <si>
    <t>1Q16 and 1Q15</t>
  </si>
  <si>
    <t>2QFY-2024</t>
  </si>
  <si>
    <t>3QFY-2024</t>
  </si>
  <si>
    <t>4QFY-2024</t>
  </si>
  <si>
    <t>FY25</t>
  </si>
  <si>
    <t>FY26</t>
  </si>
  <si>
    <t>PP&amp;E, Capex, D&amp;A</t>
  </si>
  <si>
    <t>Quarterly,</t>
  </si>
  <si>
    <t>FYE December 31,</t>
  </si>
  <si>
    <t>CRC Estimates</t>
  </si>
  <si>
    <t>Total Depreciation of PP&amp;E</t>
  </si>
  <si>
    <r>
      <rPr>
        <i/>
        <u/>
        <sz val="8"/>
        <color theme="1"/>
        <rFont val="Arial"/>
        <family val="2"/>
      </rPr>
      <t>Memo:</t>
    </r>
    <r>
      <rPr>
        <i/>
        <sz val="8"/>
        <color theme="1"/>
        <rFont val="Arial"/>
        <family val="2"/>
      </rPr>
      <t xml:space="preserve"> Total D&amp;A</t>
    </r>
  </si>
  <si>
    <t>Implied Useful Life (Gross PP&amp;E / Depreciation)</t>
  </si>
  <si>
    <t>Total Assets</t>
  </si>
  <si>
    <t>Implied Useful Life (Net PP&amp;E / Depreciation)</t>
  </si>
  <si>
    <t>Consensus Estimates</t>
  </si>
  <si>
    <t>Capex including capital leases</t>
  </si>
  <si>
    <t>Depreciation and amortization</t>
  </si>
  <si>
    <t>Guidance Commentary</t>
  </si>
  <si>
    <t>2FQ FY23</t>
  </si>
  <si>
    <t>Based on current rates, we now expect FX to decrease total revenue growth by approximately
3 points, COGS growth by 1 point and operating expense growth by 2 points. Within the segments, we
anticipate roughly 4 points of negative impact on revenue growth in Productivity and Business Processes;
3 points in Intelligent Cloud; and 2 points in More Personal Computing</t>
  </si>
  <si>
    <t>In our Consumer business,
Windows OEM and devices will see continued declines as the PC market returns to pre-pandemic levels.
And LinkedIn and Search will be impacted as ad market spending remains a bit cautious</t>
  </si>
  <si>
    <t>In our Commercial business, we expect business trends that we saw at the end of December to continue
into Q3. While customers are more cautious in their spend, we also have the opportunity to improve our
execution, given our strong position in global growth markets.</t>
  </si>
  <si>
    <t>In commercial bookings, with a declining
expiry base and the strong prior year comparable in terms of large Azure contracts, we expect growth to
be relatively flat year-over-year</t>
  </si>
  <si>
    <t>We expect consistent execution across our core annuity sales motions and
continued commitments to our platform will be offset by impact from the slowdown of new business noted
earlier and 3 points of unfavorable impact from the inclusion of Nuance in the prior year</t>
  </si>
  <si>
    <t>Microsoft Cloud gross margin percentage should be up roughly 1 point year-over-year, driven by the
accounting estimate change noted earlier. Excluding that impact, Q3 cloud gross margin percentage will
decrease roughly 1 point, driven by Azure</t>
  </si>
  <si>
    <t>In capital expenditures, we expect a sequential increase on
a dollar basis with normal quarterly spend variability in the timing of our cloud infrastructure build-out.
Our data center investments continue to be based on a near-term and longer-term customer demand,
including AI opportunities</t>
  </si>
  <si>
    <t>In Productivity and Business Processes, we expect revenue to grow between
11% and 13% in constant currency or USD 16.9 billion to USD 17.2 billion</t>
  </si>
  <si>
    <t>In Office Commercial,
revenue growth will again be driven by Office 365 with seat growth across customer segments and
ARPU growth through E5.</t>
  </si>
  <si>
    <t>MICROSOFT CORPORATION:(MSFT)</t>
  </si>
  <si>
    <t>1QFY-2022</t>
  </si>
  <si>
    <t>2QFY-2022</t>
  </si>
  <si>
    <t>3QFY-2022</t>
  </si>
  <si>
    <t>4QFY-2022</t>
  </si>
  <si>
    <t>1QFY-2023</t>
  </si>
  <si>
    <t>2QFY-2023</t>
  </si>
  <si>
    <t>3QFY-2023</t>
  </si>
  <si>
    <t>4QFY-2023</t>
  </si>
  <si>
    <t>1QFY-2024</t>
  </si>
  <si>
    <t>1QFY-2025E</t>
  </si>
  <si>
    <t>2QFY-2025E</t>
  </si>
  <si>
    <t>3QFY-2025E</t>
  </si>
  <si>
    <t>4QFY-2025E</t>
  </si>
  <si>
    <t>1QFY-2026E</t>
  </si>
  <si>
    <t>2QFY-2026E</t>
  </si>
  <si>
    <t>3QFY-2026E</t>
  </si>
  <si>
    <t>4QFY-2026E</t>
  </si>
  <si>
    <t>1QFY-2027E</t>
  </si>
  <si>
    <t>2QFY-2027E</t>
  </si>
  <si>
    <t>3QFY-2027E</t>
  </si>
  <si>
    <t>4QFY-2027E</t>
  </si>
  <si>
    <t>FY-2022</t>
  </si>
  <si>
    <t>FY-2023</t>
  </si>
  <si>
    <t>FY-2024</t>
  </si>
  <si>
    <t>FY-2025E</t>
  </si>
  <si>
    <t>FY-2026E</t>
  </si>
  <si>
    <t>FY-2027E</t>
  </si>
  <si>
    <t>Units</t>
  </si>
  <si>
    <t>VA Actuals</t>
  </si>
  <si>
    <t>Consensus</t>
  </si>
  <si>
    <t>Intelligent cloud</t>
  </si>
  <si>
    <t>Revenue - Server product licensing</t>
  </si>
  <si>
    <t>$M</t>
  </si>
  <si>
    <t>Revenue - Azure</t>
  </si>
  <si>
    <t>Revenue - Servers &amp; Azure</t>
  </si>
  <si>
    <t>Revenue - Enterprise services</t>
  </si>
  <si>
    <t>Revenue - Others - Intelligent cloud</t>
  </si>
  <si>
    <t>Revenue - Intelligent cloud</t>
  </si>
  <si>
    <t>Cost of revenue - Intelligent cloud</t>
  </si>
  <si>
    <t>Gross profit/(loss) - Intelligent cloud</t>
  </si>
  <si>
    <t>Gross margin - intelligent cloud</t>
  </si>
  <si>
    <t>%</t>
  </si>
  <si>
    <t>Operating income/(loss) - Intelligent cloud</t>
  </si>
  <si>
    <t>Operating margin - intelligent cloud</t>
  </si>
  <si>
    <t>Revenue - Azure - EMS</t>
  </si>
  <si>
    <t>Revenue - Azure - Power Bi</t>
  </si>
  <si>
    <t>Revenue - Azure - EMS and Power Bi</t>
  </si>
  <si>
    <t>Revenue - Azure - IaaS and PaaS</t>
  </si>
  <si>
    <t>Customers - EMS</t>
  </si>
  <si>
    <t>K#</t>
  </si>
  <si>
    <t>Seats per customer - EMS</t>
  </si>
  <si>
    <t>#</t>
  </si>
  <si>
    <t>EMS seats / Installed base</t>
  </si>
  <si>
    <t>M#</t>
  </si>
  <si>
    <t>Supplemental info</t>
  </si>
  <si>
    <t>Revenue - Office 365 commercial and dynamics CRM online</t>
  </si>
  <si>
    <t>Revenue - LinkedIn - Commercial</t>
  </si>
  <si>
    <t>Revenue - Others - Commercial Cloud</t>
  </si>
  <si>
    <t>Revenue - Commercial cloud</t>
  </si>
  <si>
    <t>Cost of revenue - Commercial cloud</t>
  </si>
  <si>
    <t>Gross profit/(loss) - Commercial cloud</t>
  </si>
  <si>
    <t>Gross margin - Commercial cloud</t>
  </si>
  <si>
    <t>Commercial cloud run-rate</t>
  </si>
  <si>
    <t>Revenue - Azure - yoy</t>
  </si>
  <si>
    <t>PRIVATE AND CONFIDENTIAL</t>
  </si>
  <si>
    <t>1QFY-2013</t>
  </si>
  <si>
    <t>2QFY-2013</t>
  </si>
  <si>
    <t>3QFY-2013</t>
  </si>
  <si>
    <t>4QFY-2013</t>
  </si>
  <si>
    <t>1QFY-2014</t>
  </si>
  <si>
    <t>2QFY-2014</t>
  </si>
  <si>
    <t>3QFY-2014</t>
  </si>
  <si>
    <t>4QFY-2014</t>
  </si>
  <si>
    <t>1QFY-2015</t>
  </si>
  <si>
    <t>2QFY-2015</t>
  </si>
  <si>
    <t>3QFY-2015</t>
  </si>
  <si>
    <t>4QFY-2015</t>
  </si>
  <si>
    <t>1QFY-2016</t>
  </si>
  <si>
    <t>2QFY-2016</t>
  </si>
  <si>
    <t>3QFY-2016</t>
  </si>
  <si>
    <t>4QFY-2016</t>
  </si>
  <si>
    <t>1QFY-2017</t>
  </si>
  <si>
    <t>2QFY-2017</t>
  </si>
  <si>
    <t>3QFY-2017</t>
  </si>
  <si>
    <t>4QFY-2017</t>
  </si>
  <si>
    <t>1QFY-2018</t>
  </si>
  <si>
    <t>2QFY-2018</t>
  </si>
  <si>
    <t>3QFY-2018</t>
  </si>
  <si>
    <t>4QFY-2018</t>
  </si>
  <si>
    <t>1QFY-2019</t>
  </si>
  <si>
    <t>2QFY-2019</t>
  </si>
  <si>
    <t>3QFY-2019</t>
  </si>
  <si>
    <t>4QFY-2019</t>
  </si>
  <si>
    <t>1QFY-2020</t>
  </si>
  <si>
    <t>2QFY-2020</t>
  </si>
  <si>
    <t>3QFY-2020</t>
  </si>
  <si>
    <t>4QFY-2020</t>
  </si>
  <si>
    <t>1QFY-2021</t>
  </si>
  <si>
    <t>2QFY-2021</t>
  </si>
  <si>
    <t>3QFY-2021</t>
  </si>
  <si>
    <t>4QFY-2021</t>
  </si>
  <si>
    <t>3QFY-2023E</t>
  </si>
  <si>
    <t>4QFY-2023E</t>
  </si>
  <si>
    <t>1QFY-2024E</t>
  </si>
  <si>
    <t>2QFY-2024E</t>
  </si>
  <si>
    <t>3QFY-2024E</t>
  </si>
  <si>
    <t>4QFY-2024E</t>
  </si>
  <si>
    <t>1QFY-2028E</t>
  </si>
  <si>
    <t>2QFY-2028E</t>
  </si>
  <si>
    <t>3QFY-2028E</t>
  </si>
  <si>
    <t>4QFY-2028E</t>
  </si>
  <si>
    <t>1QFY-2029E</t>
  </si>
  <si>
    <t>2QFY-2029E</t>
  </si>
  <si>
    <t>3QFY-2029E</t>
  </si>
  <si>
    <t>4QFY-2029E</t>
  </si>
  <si>
    <t>1QFY-2030E</t>
  </si>
  <si>
    <t>2QFY-2030E</t>
  </si>
  <si>
    <t>3QFY-2030E</t>
  </si>
  <si>
    <t>4QFY-2030E</t>
  </si>
  <si>
    <t>1QFY-2031E</t>
  </si>
  <si>
    <t>2QFY-2031E</t>
  </si>
  <si>
    <t>3QFY-2031E</t>
  </si>
  <si>
    <t>4QFY-2031E</t>
  </si>
  <si>
    <t>Filings</t>
  </si>
  <si>
    <t>Productivity and business process</t>
  </si>
  <si>
    <t/>
  </si>
  <si>
    <t>Revenue - Total office</t>
  </si>
  <si>
    <t>Analytics</t>
  </si>
  <si>
    <t>YoY Growth</t>
  </si>
  <si>
    <t>Revenue - LinkedIn</t>
  </si>
  <si>
    <t>Revenue - Total dynamics</t>
  </si>
  <si>
    <t>Revenue - Productivity - Plug</t>
  </si>
  <si>
    <t>Revenue - Productivity and business processes</t>
  </si>
  <si>
    <t>More personal computing</t>
  </si>
  <si>
    <t>Revenue - Total Windows</t>
  </si>
  <si>
    <t>Revenue - Surface</t>
  </si>
  <si>
    <t>Revenue - Other device</t>
  </si>
  <si>
    <t>Revenue - Devices</t>
  </si>
  <si>
    <t>Revenue - Gaming</t>
  </si>
  <si>
    <t>Revenue - Bing / display advertising</t>
  </si>
  <si>
    <t>Revenue - Other more personal computing</t>
  </si>
  <si>
    <t>Revenue - More personal computing</t>
  </si>
  <si>
    <t>Revenue - Corporate &amp; others</t>
  </si>
  <si>
    <t>Win 10 deferral adj. in revenue</t>
  </si>
  <si>
    <t>Total revenue - Operating</t>
  </si>
  <si>
    <t>Other KPI</t>
  </si>
  <si>
    <t>Total revenue - License</t>
  </si>
  <si>
    <t>Total revenue - Subscription</t>
  </si>
  <si>
    <t>Total revenue - Professional services and other</t>
  </si>
  <si>
    <t>Revenue by geography</t>
  </si>
  <si>
    <t>Total revenue - United States</t>
  </si>
  <si>
    <t>Total revenue - International</t>
  </si>
  <si>
    <t>Headcount</t>
  </si>
  <si>
    <t>Headcount - United States</t>
  </si>
  <si>
    <t>Headcount - International</t>
  </si>
  <si>
    <t>Headcount - Operations</t>
  </si>
  <si>
    <t>Headcount - R&amp;D</t>
  </si>
  <si>
    <t>Headcount - S&amp;M</t>
  </si>
  <si>
    <t>Headcount - G&amp;A</t>
  </si>
  <si>
    <t>Revenue - GITHUB</t>
  </si>
  <si>
    <t>Revenue - Nuance</t>
  </si>
  <si>
    <t>Gross margin % - Commercial cloud</t>
  </si>
  <si>
    <t>Productivity and Business process</t>
  </si>
  <si>
    <t>Revenue - Office consumer licensing</t>
  </si>
  <si>
    <t>Revenue - Office 365 consumer</t>
  </si>
  <si>
    <t>Revenue - Total office consumer</t>
  </si>
  <si>
    <t>Revenue - Office commercial licensing</t>
  </si>
  <si>
    <t>Revenue - Office 365 commercial</t>
  </si>
  <si>
    <t>Revenue - Total office commercial</t>
  </si>
  <si>
    <t>Revenue - Dynamics licensing &amp; other</t>
  </si>
  <si>
    <t>Revenue - Dynamics CRM online</t>
  </si>
  <si>
    <t>Revenue - LinkedIn - Other</t>
  </si>
  <si>
    <t>Revenue - Skype and other consumer services</t>
  </si>
  <si>
    <t>Cost of revenue - Productivity and business processes</t>
  </si>
  <si>
    <t>Gross profit/(loss) - Productivity and business processes</t>
  </si>
  <si>
    <t>Operating income/(loss) - Productivity and business</t>
  </si>
  <si>
    <t>Supplemental</t>
  </si>
  <si>
    <t>Office 365 Consumer</t>
  </si>
  <si>
    <t>Net additions subscribers - Office O365 consumer</t>
  </si>
  <si>
    <t>Subscribers - Office O365 consumer</t>
  </si>
  <si>
    <t>Average subscribers - Office O365 consumer</t>
  </si>
  <si>
    <t>Quarterly/Annual average revenue per subscriber - Office O365 consumer</t>
  </si>
  <si>
    <t>$</t>
  </si>
  <si>
    <t xml:space="preserve">Office 365 Commercial </t>
  </si>
  <si>
    <t>Net additions subscribers - Office O365 commercial</t>
  </si>
  <si>
    <t>Subscribers - Office O365 commercial</t>
  </si>
  <si>
    <t>Average subscribers - Office O365 commercial</t>
  </si>
  <si>
    <t>Quarterly/Annual average revenue per subscriber - Office O365 commercial</t>
  </si>
  <si>
    <t xml:space="preserve">Old Productivity and business process view </t>
  </si>
  <si>
    <t>Revenue - Commercial and dynamic licensing</t>
  </si>
  <si>
    <t>Units - Windows OEMS</t>
  </si>
  <si>
    <t>ASP - Windows OEMS</t>
  </si>
  <si>
    <t>Revenue - Windows OEM</t>
  </si>
  <si>
    <t>Revenue - Windows volume licensing</t>
  </si>
  <si>
    <t>Revenue - Windows retail</t>
  </si>
  <si>
    <t>Revenue - Windows volume licensing incl. others</t>
  </si>
  <si>
    <t>Revenue - Windows phone licensing &amp; other</t>
  </si>
  <si>
    <t>Units - Surfaces</t>
  </si>
  <si>
    <t>ASP - Surfaces</t>
  </si>
  <si>
    <t>Revenue - Phone hardware</t>
  </si>
  <si>
    <t>Units - Xbox consoles</t>
  </si>
  <si>
    <t>ASP - Xbox consoles</t>
  </si>
  <si>
    <t>Revenue - XBOX consoles before discount</t>
  </si>
  <si>
    <t>Retail margins - Xbox consoles</t>
  </si>
  <si>
    <t>Revenue - Xbox consoles</t>
  </si>
  <si>
    <t>Subscribers - XBOX Live subscription</t>
  </si>
  <si>
    <t>Revenue per subscriber - XBOX Live subscription</t>
  </si>
  <si>
    <t>Revenue - XBOX Live subscription</t>
  </si>
  <si>
    <t>Revenue - XBOX Video games and others</t>
  </si>
  <si>
    <t>Cost of revenue - More personal computing</t>
  </si>
  <si>
    <t>Gross profit/(loss) - More personal computing</t>
  </si>
  <si>
    <t>Operating income/(loss) - More personal computing</t>
  </si>
  <si>
    <t>Annual Histroicals</t>
  </si>
  <si>
    <t>&gt;&gt; NUAN close March 4</t>
  </si>
  <si>
    <t>Restated &gt;&gt;</t>
  </si>
  <si>
    <t>Plus: D&amp;A</t>
  </si>
  <si>
    <t>Adjusted EBITDA</t>
  </si>
  <si>
    <t>Adjusted EBITDA - Capex as % of Sales</t>
  </si>
  <si>
    <t>Total Debt</t>
  </si>
  <si>
    <t>Segment Reporting</t>
  </si>
  <si>
    <t>copy / paste into growth assumptions</t>
  </si>
  <si>
    <t>pb</t>
  </si>
  <si>
    <t>ic</t>
  </si>
  <si>
    <t>mpc</t>
  </si>
  <si>
    <t>Excl. NUAN</t>
  </si>
  <si>
    <t>Old Segment Reporting</t>
  </si>
  <si>
    <t>Revenue:</t>
  </si>
  <si>
    <t>Devices and Consumer Licensing</t>
  </si>
  <si>
    <t>Computing and Gaming Hardware</t>
  </si>
  <si>
    <t>Phone Hardware</t>
  </si>
  <si>
    <t>Devices and Consumer Hardware</t>
  </si>
  <si>
    <t>Devices and Consumer Other</t>
  </si>
  <si>
    <t>Devices and Consumer</t>
  </si>
  <si>
    <t>Commercial Licensing</t>
  </si>
  <si>
    <t>Commercial Other</t>
  </si>
  <si>
    <t>Commercial</t>
  </si>
  <si>
    <t>Y/Y % change:</t>
  </si>
  <si>
    <t>Gross Profit:</t>
  </si>
  <si>
    <t>Margin:</t>
  </si>
  <si>
    <t>Operating Income:</t>
  </si>
  <si>
    <t>Corporate and Other (% of total)</t>
  </si>
  <si>
    <t>Key Products</t>
  </si>
  <si>
    <t xml:space="preserve">n/a </t>
  </si>
  <si>
    <t>Gross Profit Growth %</t>
  </si>
  <si>
    <t>Operating Metrics</t>
  </si>
  <si>
    <t>Office Commercial</t>
  </si>
  <si>
    <t>Office commercial products and cloud services revenue growth</t>
  </si>
  <si>
    <t>Office 365 commercial revenue growth</t>
  </si>
  <si>
    <t>Office Consumer</t>
  </si>
  <si>
    <t>Restated &gt;&gt; LFL FY22 and beyond</t>
  </si>
  <si>
    <t>Office consumer products and cloud services revenue growth</t>
  </si>
  <si>
    <t>LinkedIn revenue growth</t>
  </si>
  <si>
    <t>Dynamics</t>
  </si>
  <si>
    <t>Dynamics products and cloud services revenue growth</t>
  </si>
  <si>
    <t>Dynamics 365 revenue growth</t>
  </si>
  <si>
    <t>Key Metrics</t>
  </si>
  <si>
    <t>Server products and cloud services revenue growth</t>
  </si>
  <si>
    <t>Azure revenue growth</t>
  </si>
  <si>
    <t>Server products revenue growth</t>
  </si>
  <si>
    <t>Enterprise Services revenue growth</t>
  </si>
  <si>
    <t>Windows OEM revenue growth</t>
  </si>
  <si>
    <t>Windows OEM Pro revenue growth</t>
  </si>
  <si>
    <t>Windows OEM non-Pro revenue growth</t>
  </si>
  <si>
    <t>Windows commercial products and cloud services revenue growth</t>
  </si>
  <si>
    <t>Xbox Live active users</t>
  </si>
  <si>
    <t>Search and news advertising revenue (ex TAC) growth</t>
  </si>
  <si>
    <t>D&amp;A Accounting Change Analysis</t>
  </si>
  <si>
    <t>2Q23E</t>
  </si>
  <si>
    <t>3Q23E</t>
  </si>
  <si>
    <t>4Q23E</t>
  </si>
  <si>
    <t>&gt;&gt; From 2 &amp; 3 Years to 4 Years</t>
  </si>
  <si>
    <t>&gt;&gt; From 4 Years to 6 Years</t>
  </si>
  <si>
    <t>Financials</t>
  </si>
  <si>
    <t>GP</t>
  </si>
  <si>
    <t>Opex excl. D&amp;A</t>
  </si>
  <si>
    <t>D&amp;A % of Sales</t>
  </si>
  <si>
    <t>EBIT (normalized D&amp;A)</t>
  </si>
  <si>
    <t>D&amp;A add back</t>
  </si>
  <si>
    <t>Growth % (vs. prior reported period)</t>
  </si>
  <si>
    <t>D&amp;A accounting change impact on Margin %</t>
  </si>
  <si>
    <t>Updates to Policy / Ongoing Treatment</t>
  </si>
  <si>
    <t>4FQ20: "I'd like to update you on a change in accounting estimate to the useful life of server and networking equipment assets in our cloud infrastructure. Effective at the start of fiscal balances on our balance sheet as of June 30, 2020, as well as future asset purchases. This change will not impact historical depreciation expense, the total depreciation expense over the life of the asset or cash flow, but it will impact the timing of depreciation expense in the future for these assets. As a result, based on the outstanding balances as of June 30, we expect fiscal year '21 operating income to be favorably impacted by approximately $900 million in the first quarter and approximately $2.7 billion for the full fiscal year.</t>
  </si>
  <si>
    <t>4FQ22: "Effective at the start of FY '23, we are extending the depreciable useful life for server and network equipment assets in our cloud infrastructure from 4 to 6 years, which will apply to the asset balances on our balance sheet as of June 30, 2022, as well as future asset purchases. Investments in our software that increased efficiencies in how we operate our server and network equipment as well as advances in technology have resulted in lives extending beyond historical accounting useful lives.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
  </si>
  <si>
    <t xml:space="preserve">4FQ20: </t>
  </si>
  <si>
    <t>F4Q22:</t>
  </si>
  <si>
    <t>4QF20</t>
  </si>
  <si>
    <t>4FQ20: "Commercial cloud gross margin percentage will increase approximately 4 points year-over-year from the accounting estimate change noted earlier. Excluding this impact, continued improvement in Azure IaaS and PaaS gross margin percentage will be mostly offset by revenue mix shift to Azure."</t>
  </si>
  <si>
    <t>1QF21</t>
  </si>
  <si>
    <t>1FQ21: "Company gross margin percentage was up 2 points year-over-year to 70%, driven by the change in accounting estimate noted earlier. Excluding this impact, company gross margin percentage was down slightly, with increasing cloud revenue mix and continued investments such as trial offers and flexible financing options that deliver greater customer value in this challenging environment."</t>
  </si>
  <si>
    <t>1FQ21: "Operating margins expanded 4 points yearover-year to 43%, including roughly 2 points of favorable impact from the change in accounting estimate."</t>
  </si>
  <si>
    <t>1FQ21: "(Productivity and Business Processes) gross margin dollars increased 13% and 12% in constant currency, and gross margin percentage increased 1 point year-over-year, including roughly 2 points of favorable impact from the change in accounting estimate, partially offset by sales mix to cloud. Operating expense increased 4% and operating income increased 19% year-over-year, including 6 points due to the change in accounting estimate."</t>
  </si>
  <si>
    <t>1FQ21: "(Intelligent Cloud) gross margin dollars increased 26% and 25% in constant currency, and gross margin percentage increased 3 points year-over-year, with nearly 4 points of favorable impact from the change in accounting estimate. Operating expense increased 10%, and operating income increased 39% and 38% in constant currency with roughly 13 points of favorable impact from the change in accounting estimate"</t>
  </si>
  <si>
    <t>1FQ21: "Commercial cloud gross margin percentage will increase approximately 3 points year-over-year, again driven by the change in accounting estimate noted earlier. Excluding this impact, continued improvement in Azure IaaS and PaaS gross margin will be offset by mix shift to Azure. And on a dollar basis, we expect capital expenditures to be roughly in line with last quarter to support growing usage and demand for our cloud services"</t>
  </si>
  <si>
    <t>2QF21</t>
  </si>
  <si>
    <t>2FQ21: "Commercial cloud gross margin percentage expanded 4 points year-over-year to 71%, driven by the change in accounting estimate for the useful life of server and networking equipment assets. Excluding this impact, commercial cloud gross margin percentage was up slightly"</t>
  </si>
  <si>
    <t>2FQ21: "Gross margin percentage was 67%, up slightly year-over-year with roughly 2 points of favorable impact from the change in accounting estimate noted earlier. Excluding this impact, company gross margin percentage was down driven by the sales mix
shift to cloud and gaming."</t>
  </si>
  <si>
    <t>2FQ21: "Operating margins expanded 4 points year-over-year to 42%, including roughly 2 points of favorable impact from the change in accounting estimate and nearly 1 point of favorable impact from COVID-related savings"</t>
  </si>
  <si>
    <t>2FQ21: "(Productivity and Business Processes) gross margin dollars increased 13% and 11% in constant currency, and gross margin percentage was relatively unchanged year-over-year with roughly 2 points of favorable impact from the change in accounting estimate. Operating expense increased 4% and 3% in constant currency, and operating income increased 19% and 17% in constant currency, including 5 points due to the change in accounting estimate"</t>
  </si>
  <si>
    <t>2FQ21: "(Intelligent Cloud) gross margin dollars increased 29% and 27% in constant currency, and gross margin percentage increased 3 points year-over-year, with roughly 3 points of favorable impact from the change in accounting estimate. Operating expense increased 12% and 11% in constant currency, and operating income grew 43% and 41% in constant currency, with roughly [ 10 point ] favorable impact from the change in accounting estimate"</t>
  </si>
  <si>
    <t>2FQ21: "Commercial cloud gross margin percentage to increase by approximately 3.0 over year, again driven by the change in accounting estimate. Excluding this impact, continued improvement in Azure, IaaS and PaaS gross margin will be offset by revenue mix shift to Azure and continued investments to support our customers' success"</t>
  </si>
  <si>
    <t>3QF21</t>
  </si>
  <si>
    <t>3FQ21: "Commercial cloud gross margin percentage expanded 3 points year-over-year to 70%, driven by the change in accounting estimate for the useful life of server and network equipment assets. Excluding this impact, Commercial cloud gross margin percentage was up slightly with improvement in Azure gross margin, mostly offset by sales mix shift to Azure"</t>
  </si>
  <si>
    <t>3FQ21: "Gross margin dollars increased 19% and 16% in constant currency. Gross margin percentage was 69%, relatively unchanged year-over-year with roughly 1 point of favorable impact from the change in accounting estimate noted earlier."</t>
  </si>
  <si>
    <t>3FQ21: "Operating margins expanded 4 points year-over-year to 41%, including nearly 2 points of favorable impact from the change in accounting estimate and roughly 1 point of favorable impact from COVID-related savings"</t>
  </si>
  <si>
    <t>3FQ21: "(Productivity and Business Processes) gross margin dollars increased 15% and 12% in constant currency, and gross margin percentage was relatively unchanged year-over-year with nearly 2 points of favorable impact from the change in accounting estimate. Operating expense increased 4% and 2% in constant currency, and operating income increased 26% and 20% in constant currency, including 4 points due to the change in accounting estimate"</t>
  </si>
  <si>
    <t>3FQ21: "(Intelligent Cloud) Segment gross margin dollars increased 27% to 24% in constant currency. Gross margin percentage increased 2 points year-over-year with roughly 2 points of favorable impact from the change in accounting estimate. Operating expense increased 12% and 10% in constant currency and operating income grew 41% and 36% in constant currency with roughly 7 points of favorable impact from the change in accounting estimate."</t>
  </si>
  <si>
    <t>3FQ21: "Commercial cloud gross margin percentage should increase roughly 4 points year-over-year with less than 2 points from the change in accounting estimate. As a reminder, the favorable impact continues to lessen over time. Excluding the accounting change, Q4 gross margin percentage will also benefit a bit from investments we made a year ago to support increased usage needs in remote work scenarios."</t>
  </si>
  <si>
    <t>4QF21</t>
  </si>
  <si>
    <t>4FQ21: "Commercial cloud gross margin percentage expanded 4 points year-overyear to 70%, with roughly 1 point from the change in accounting estimate for the useful life of server and network equipment assets. Excluding this impact, commercial cloud gross margin percentage increased despite revenue mix shift to Azure driven by improvement across all our cloud services on a prior year comparable impacted by strategic investments we made to support significant customer engagement and usage in remote work scenarios, including free trials, flexible financing options and capacity for cloud infrastructure usage."</t>
  </si>
  <si>
    <t>4FQ21: "Gross margin dollars increased 25% and 20% in constant currency. Gross margin percentage was 70%, up 2 points year-over-year, with roughly 1 point of favorable impact from the change in accounting estimate. Excluding this impact, company gross margin percentage increased despite sales mix shift to the cloud driven by commercial cloud gross margin percentage improvement noted earlier."</t>
  </si>
  <si>
    <t>4FQ21: "Operating margins expanded 6 points year-over-year to 41%, including roughly 2 points of impact from the retail stores charge and increase in bad debt expense in the prior year and nearly 1 point of favorable impact from the change in accounting estimate."</t>
  </si>
  <si>
    <t>4FQ21: "(Productivity and Business Processes) gross margin dollars increased 33% and 27% in constant currency, and gross margin percentage was up 5 points year-overyear, primarily driven by improvement in our cloud services against a low prior year comparable impacted mostly by increased usage. The change in accounting estimate drove roughly 1 point of favorable impact. Operating expense increased 8% and 6% in constant currency, and operating income increased 62% and 53% in constant currency, including 4 points due to the change in accounting estimate."</t>
  </si>
  <si>
    <t>4FQ21: "(Intelligent Cloud) Segment gross margin dollars increased 32% and 27% in constant currency. Gross margin percentage increased 1 point year-over-year with roughly 1 point of favorable impact from the change in accounting estimate. Operating expense increased 14% and 12% in constant currency, and operating income grew 46% and 39% in constant currency, including 3 points due to the change in accounting estimate."</t>
  </si>
  <si>
    <t>4FQ21: "Also, our FY '21 operating income and margin benefited from 2 factors that will be headwinds in FY '22. First, the change in accounting estimate for the useful life of server and network equipment resulted in $2.7 billion of depreciation expense, shifting from FY '21 to future periods. And second, we saved nearly $1.2 billion in operating expense from COVID-19-related restrictions, which will also moderate in FY '22 as geographies reopen globally"</t>
  </si>
  <si>
    <t>1QF22</t>
  </si>
  <si>
    <t>1FQ22: "Microsoft Cloud gross margin percentage decreased slightly year-over-year to 71%. Excluding the impact from the change in accounting estimate for the useful life of server and network equipment assets, Microsoft Cloud gross margin percentage increased roughly 4 points driven by improvement in our cloud services, particularly in Azure and Office 365, partially offset by sales mix shift to Azure."</t>
  </si>
  <si>
    <t>1FQ22: "Gross margin percentage was 70%, down slightly year-over-year. Excluding the impact of the change in accounting estimate discussed earlier, gross margin percentage increased roughly 1 point driven by improvements in cloud services noted earlier, partially offset by sales mix shift to cloud."</t>
  </si>
  <si>
    <t>1FQ22: "Operating margins expanded 2 points year-over-year to 45%. Excluding the impact of the change in accounting estimate, operating margins expanded roughly 4 points year-over-year."</t>
  </si>
  <si>
    <t>1FQ22: "(Productivity and Business Processes) gross margin dollars increased 22% and 20% in constant currency, and gross margin percentage increased slightly. Excluding the impact of the change in accounting estimate, gross margin percentage increased roughly 2 points driven by improvement across all cloud services."</t>
  </si>
  <si>
    <t>1FQ22: "(Intelligent Cloud) gross margin dollars increased 28% and 26% in constant currency, and gross margin percentage decreased roughly 1 point year-over-year. Excluding the impact of the change in accounting estimate, gross margin percentage increased roughly 2 points driven by improvements at Azure, partially offset by sales mix shift to Azure."</t>
  </si>
  <si>
    <t>1FQ22: "Microsoft Cloud gross margin percentage should decrease roughly 2 points year-over-year. Excluding the impact of the change in accounting estimate previously discussed, Q2 gross margin percentage will increase roughly 2 points driven by continued improvement across our cloud services despite revenue mix shift to Azure."</t>
  </si>
  <si>
    <t>2QF22</t>
  </si>
  <si>
    <t>2FQ22: "Microsoft Cloud gross margin percentage decreased slightly year-over-year to 70%. Excluding the impact of the change in accounting estimate for the useful life of server and network equipment assets, Microsoft Cloud gross margin percentage increased roughly 3 points, driven by improvement across our cloud services, partially offset by sales mix shift to Azure"</t>
  </si>
  <si>
    <t>2FQ22: "Gross margin dollars increased 20%. Gross margin percentage was 67%, relatively unchanged year-over-year. Excluding the impact of the change in accounting estimate, gross margin percentage increased roughly 2 points, driven primarily by the improvement in our cloud services noted earlier."</t>
  </si>
  <si>
    <t>2FQ22: "Operating income increased 24% and operating margins expanded 1 point year-over-year to 43%. Excluding the impact of the change in accounting estimate, operating margins expanded roughly 3 points year-overyear."</t>
  </si>
  <si>
    <t>2FQ22: "(Productivity and Business Processes) gross margin dollars increased 20% and 19% in constant currency, and gross margin percentage was relatively unchanged year-over-year. Excluding the impact of the change in accounting estimate, gross margin percentage increased roughly 2 points, driven by improvement across all cloud services. Operating expense increased 13%, and operating income increased 24%"</t>
  </si>
  <si>
    <t>2FQ22: "(Intelligent Cloud) gross margin dollars increased 21% and 22% in constant currency, and gross margin percentage decreased roughly 2 points year-over-year. Excluding the impact of the change in accounting estimate, gross margin percentage increased slightly with improvements in Azure, partially offset by the sales mix shift to Azure. Operating expense increased 14%, and operating income grew 26%."</t>
  </si>
  <si>
    <t>2FQ22: "Microsoft Cloud gross margin percentage should be roughly flat year-over-year. Excluding the impact of the change in accounting estimate, Q3 gross margin percentage will increase roughly 2 points, driven by continued improvement across all cloud services despite revenue mix shift to Azure."</t>
  </si>
  <si>
    <t>3QF22</t>
  </si>
  <si>
    <t>3FQ22: "Microsoft Cloud gross margin percentage decreased slightly year-over-year to 70%. Excluding the impact from the change in accounting estimate for useful lives, the Microsoft Cloud gross margin percentage increased roughly 3 points, driven by improvement across the cloud services, partially offset by sales mix shift to Azure."</t>
  </si>
  <si>
    <t>3FQ22: "Gross margin dollars increased 18% and 21% in constant currency, and gross margin percentage decreased slightly year-over-year to 68%. Excluding the impact of the change in accounting estimate, gross margin percentage increased approximately 1 point, driven primarily by improvement in our cloud services noted earlier."</t>
  </si>
  <si>
    <t>3FQ22: "Operating margins increased slightly year-over-year to 41%. Excluding the impact of the change in accounting estimate, operating margins expanded roughly 2 points year-over-year"</t>
  </si>
  <si>
    <t>3FQ22: "(Productivity and Business Processes) gross margin dollars increased 16% and 19% in constant currency, and gross margin percentage was relatively unchanged year-over-year. Excluding the impact of the change in accounting estimate, gross margin percentage increased roughly 2 points, driven by improvement across all cloud services. Operating expense increased 13% and 14% in constant currency, and operating income increased 19% and 23% in constant currency"</t>
  </si>
  <si>
    <t>3FQ22: "(Intelligent Cloud) gross margin dollars increased 24% and 27% in constant currency, and gross margin percentage decreased roughly 1 point year-over-year. Excluding the impact of the change in accounting estimate, gross margin percentage increased roughly 1 point with improvements in Azure, partially offset by the sales mix shift to Azure. Operating expense increased 17% and 19% in constant currency, and operating income grew 29% and 33% in constant currency"</t>
  </si>
  <si>
    <t>3FQ22: "Microsoft Cloud gross margin percentage should be down roughly 1 point year-over-year. Excluding the impact of the change in accounting estimate, Q4 gross margin percentage will increase roughly 1 point, driven by continued improvement across our cloud services, partially offset by a revenue mix shift to Azure."</t>
  </si>
  <si>
    <t>4QF22</t>
  </si>
  <si>
    <t>4FQ22: "Microsoft Cloud gross margin percentage decreased slightly year-over-year to 69%. Excluding the impact from the change in accounting estimate for useful lives, Microsoft Cloud gross margin percentage increased roughly 1 point, driven by improvement across our cloud services, partially offset by sales mix shift to Azure"</t>
  </si>
  <si>
    <t>4FQ22: "Gross margin dollars increased 10% and 15% in constant currency, and gross margin percentage decreased year-over-year to 68%. Excluding the impact of the change in accounting estimate and FX, gross margin percentage increased slightly as the improvement in cloud services noted earlier was partially offset by sales mix shift to cloud"</t>
  </si>
  <si>
    <t>4FQ22: "Operating margins decreased yearover-year to 40%. Excluding the impact of the change in accounting estimate and FX, operating margins were relatively unchanged as the improvement in cloud services noted earlier and sales mix shift to higher-margin businesses were offset by the impact of the Nuance acquisition."</t>
  </si>
  <si>
    <t>4FQ22: "(Productivity and Business Processes) gross margin dollars increased 12% and 17% in constant currency, and gross margin percentage decreased slightly year-over-year. Excluding the impact of the change in accounting estimate, gross margin percentage increased roughly 1 point, driven by improvement across all cloud services. Operating expense increased 12% and 14% in constant currency, and operating income increased 12% and 19% in constant currency."</t>
  </si>
  <si>
    <t>4FQ22: "(Intelligent Cloud) gross margin dollars increased 15% and 19% in constant currency, and gross margin percentage decreased roughly 3 points year-over-year. Excluding the impact of the change in accounting estimate, gross margin percentage declined roughly 2 points, driven by sales mix shift to Azure, partially offset by improvements in Azure margins. Operating expenses increased 20% and 22% in constant currency, including roughly 7 points of impact from Nuance. And operating income grew 11% and 18% in constant currency"</t>
  </si>
  <si>
    <t>4FQ22: "Operating expense growth will be significant early in FY '23 and will moderate materially over the course of the year as we slow the rate of hiring to focus on key growth areas, increase the productivity of prior year headcount investments and anniversary the Nuance and Xandr acquisitions. And even with this significant level of investment in our future, we expect operating margins based on constant currency to be approximately flat year-over-year in FY '23, excluding the benefit from the latest change in useful
life. And in U.S. dollars, we expect FY '23 full year margins to be roughly flat as the useful life benefit is mostly offset by the FX headwind mentioned earlier. And finally, we expect our FY '23 effective tax rate to be roughly 19%"</t>
  </si>
  <si>
    <t>4FQ22: "Microsoft Cloud gross margin percentage should be up roughly 2 points year-over-year, driven by the latest accounting estimate change noted earlier. Excluding the impact of the change in accounting estimate, Q1 gross margin percentage will decrease roughly 1 point, driven by revenue mix shift to Azure and the impact from the Nuance acquisition, partially offset by continued margin improvement in Azure"</t>
  </si>
  <si>
    <t>1QF23</t>
  </si>
  <si>
    <t>1FQ23: "Microsoft Cloud gross margin percentage increased roughly 2 points year-over-year to 73%. Excluding the impact of the change in accounting estimate for useful lives, Microsoft cloud gross margin percentage decreased roughly 1 point driven by sales mix shift to Azure and lower Azure margin, primarily due to higher energy cost"</t>
  </si>
  <si>
    <t>1FQ23: "Company gross margin dollars increased 9% and 16% in constant currency, and gross margin percentage decreased slightly year-over-year to 69%. Excluding the impact of the latest change in accounting estimate, gross margin percentage decreased roughly 3 points, driven by sales mix shift to cloud, the lower Azure margin noted earlier and Nuance"</t>
  </si>
  <si>
    <t>1FQ23: "Operating margins decreased roughly 2 points year-over-year to 43%. Excluding the impact of the change in accounting estimate, operating margins declined roughly 4 points year-over-year driven by sales mix shift to cloud, unfavorable FX
impact, Nuance and the lower Azure margin noted earlier."</t>
  </si>
  <si>
    <t>1FQ23: "(Productivity and Business Process) gross margin dollars increased 11% and 18% in constant currency, and gross margin percentage increased roughly 1 point year-over-year. Excluding the impact of the latest change in accounting estimate, gross margin percentage decreased slightly, driven by sales mix shift to cloud offerings. Operating expense increased 13% and 16% in constant currency, and operating income increased 10% and 19% in constant currency, including 4 points due to the latest change in accounting estimate."</t>
  </si>
  <si>
    <t>1FQ23: "(Intelligent Cloud) gross margin dollars increased 20% and 26% in constant currency, and gross margin percentage decreased slightly. Excluding the impact of the latest change in accounting estimate, gross margin percentage declined roughly 3 points, driven by sales mix shift to Azure and higher energy costs impacting Azure margins. Operating expenses increased 25% and 28% in constant currency, including roughly 8 points of impact from Nuance. And operating income grew 17% and 25% in constant currency with roughly 9 points of favorable impact from the latest change in accounting estimate."</t>
  </si>
  <si>
    <t>1FQ23: "Microsoft Cloud gross margin percentage should be up roughly 1 point year-over-year, driven by the latest accounting estimate change noted earlier. Excluding that impact, Q2 gross margin percentage will decrease roughly 2 points driven by lower Azure margin, primarily due to higher energy cost, revenue mix shift to Azure and the impact from Nuance."</t>
  </si>
  <si>
    <t>Illustrative Steady State D&amp;A Schedule with Useful Life Changes</t>
  </si>
  <si>
    <t>2021*</t>
  </si>
  <si>
    <t>2023**</t>
  </si>
  <si>
    <t>Total D&amp;A</t>
  </si>
  <si>
    <t xml:space="preserve">Total </t>
  </si>
  <si>
    <t>N/A</t>
  </si>
  <si>
    <t>Tailwind / Headwind to YoY margins</t>
  </si>
  <si>
    <t>TW</t>
  </si>
  <si>
    <t>HW</t>
  </si>
  <si>
    <t>* Change from 2 and 3 year useful life to 4 ongoing and for existing server and networking equipment</t>
  </si>
  <si>
    <t>** Change from 4 year useful life to 6 ongoing and for existing server and networking equipment</t>
  </si>
  <si>
    <t>FY19E</t>
  </si>
  <si>
    <t>FY20e</t>
  </si>
  <si>
    <t>FY21e</t>
  </si>
  <si>
    <t>FY22e</t>
  </si>
  <si>
    <t>FY19 Guidance (excl. GitHub w/ ~$300mm of Rev)</t>
  </si>
  <si>
    <t>Y/Y % change</t>
  </si>
  <si>
    <t>Organic, Constant-FX</t>
  </si>
  <si>
    <t>Consensus Revenue</t>
  </si>
  <si>
    <t>Incremental Margin</t>
  </si>
  <si>
    <t>Consensus EBITDA</t>
  </si>
  <si>
    <t>Operating Expenses</t>
  </si>
  <si>
    <t>Operating expenses to grow +7%</t>
  </si>
  <si>
    <t>Operating margin up slightly Y/Y</t>
  </si>
  <si>
    <t>Capex growth rate to moderate</t>
  </si>
  <si>
    <t>Consensus Capex</t>
  </si>
  <si>
    <t>Interest, net</t>
  </si>
  <si>
    <t>Wtd. Avg. Interest Rate (%)</t>
  </si>
  <si>
    <t>Effective Tax Rate (%)</t>
  </si>
  <si>
    <t>17% ETR</t>
  </si>
  <si>
    <t>% of Capex</t>
  </si>
  <si>
    <t>$17.6bn transition tax paid over 8 years</t>
  </si>
  <si>
    <t>/ LTM EBITDA</t>
  </si>
  <si>
    <t>GitHub acquisition ==&gt;</t>
  </si>
  <si>
    <t>FCFE</t>
  </si>
  <si>
    <t>Cumulative FCFE</t>
  </si>
  <si>
    <t>% of Mkt Cap</t>
  </si>
  <si>
    <t>Basis Multiples:</t>
  </si>
  <si>
    <t>TEV / Revenue</t>
  </si>
  <si>
    <t>TEV / EBITDA</t>
  </si>
  <si>
    <t>P / FCF</t>
  </si>
  <si>
    <t>P / E</t>
  </si>
  <si>
    <t>CRC P / E excl. Capital Return</t>
  </si>
  <si>
    <t>Consensus P / E</t>
  </si>
  <si>
    <t>5-Year IRR</t>
  </si>
  <si>
    <t>Forward Multiple</t>
  </si>
  <si>
    <t>Terminal Value</t>
  </si>
  <si>
    <t>MOIC ==&gt;</t>
  </si>
  <si>
    <t>IRR</t>
  </si>
  <si>
    <t>10-Year IRR</t>
  </si>
  <si>
    <t>$/Share</t>
  </si>
  <si>
    <t>Shares O/S</t>
  </si>
  <si>
    <t>Morgan Stanley | ATVI Model</t>
  </si>
  <si>
    <t>(USD Millions)</t>
  </si>
  <si>
    <t>1Q00A</t>
  </si>
  <si>
    <t>2Q00A</t>
  </si>
  <si>
    <t>3Q00A</t>
  </si>
  <si>
    <t>4Q00A</t>
  </si>
  <si>
    <t>1Q01A</t>
  </si>
  <si>
    <t>2Q01A</t>
  </si>
  <si>
    <t>3Q01A</t>
  </si>
  <si>
    <t>4Q01A</t>
  </si>
  <si>
    <t>1Q02A</t>
  </si>
  <si>
    <t>2Q02A</t>
  </si>
  <si>
    <t>3Q02A</t>
  </si>
  <si>
    <t>4Q02A</t>
  </si>
  <si>
    <t>1Q03A</t>
  </si>
  <si>
    <t>2Q03A</t>
  </si>
  <si>
    <t>3Q03A</t>
  </si>
  <si>
    <t>4Q03A</t>
  </si>
  <si>
    <t>1Q04A</t>
  </si>
  <si>
    <t>2Q04A</t>
  </si>
  <si>
    <t>3Q04A</t>
  </si>
  <si>
    <t>4Q04A</t>
  </si>
  <si>
    <t>1Q05A</t>
  </si>
  <si>
    <t>2Q05A</t>
  </si>
  <si>
    <t>3Q05A</t>
  </si>
  <si>
    <t>4Q05A</t>
  </si>
  <si>
    <t>1Q06A</t>
  </si>
  <si>
    <t>2Q06A</t>
  </si>
  <si>
    <t>3Q06A</t>
  </si>
  <si>
    <t>4Q06A</t>
  </si>
  <si>
    <t>1Q07A</t>
  </si>
  <si>
    <t>2Q07A</t>
  </si>
  <si>
    <t>3Q07A</t>
  </si>
  <si>
    <t>4Q07A</t>
  </si>
  <si>
    <t>1Q08A</t>
  </si>
  <si>
    <t>2Q08A</t>
  </si>
  <si>
    <t>3Q08A</t>
  </si>
  <si>
    <t>4Q08A</t>
  </si>
  <si>
    <t>1Q09A</t>
  </si>
  <si>
    <t>2Q09A</t>
  </si>
  <si>
    <t>3Q09A</t>
  </si>
  <si>
    <t>4Q09A</t>
  </si>
  <si>
    <t>1Q10A</t>
  </si>
  <si>
    <t>2Q10A</t>
  </si>
  <si>
    <t>3Q10A</t>
  </si>
  <si>
    <t>4Q10A</t>
  </si>
  <si>
    <t>1Q11A</t>
  </si>
  <si>
    <t>2Q11A</t>
  </si>
  <si>
    <t>3Q11A</t>
  </si>
  <si>
    <t>4Q11A</t>
  </si>
  <si>
    <t>1Q12A</t>
  </si>
  <si>
    <t>2Q12A</t>
  </si>
  <si>
    <t>3Q12A</t>
  </si>
  <si>
    <t>4Q12A</t>
  </si>
  <si>
    <t>1Q13A</t>
  </si>
  <si>
    <t>2Q13A</t>
  </si>
  <si>
    <t>3Q13A</t>
  </si>
  <si>
    <t>4Q13A</t>
  </si>
  <si>
    <t>1Q14A</t>
  </si>
  <si>
    <t>2Q14A</t>
  </si>
  <si>
    <t>3Q14A</t>
  </si>
  <si>
    <t>4Q14A</t>
  </si>
  <si>
    <t>1Q15A</t>
  </si>
  <si>
    <t>2Q15A</t>
  </si>
  <si>
    <t>3Q15A</t>
  </si>
  <si>
    <t>4Q15A</t>
  </si>
  <si>
    <t>1Q16A</t>
  </si>
  <si>
    <t>2Q16A</t>
  </si>
  <si>
    <t>3Q16A</t>
  </si>
  <si>
    <t>4Q16A</t>
  </si>
  <si>
    <t>1Q17A</t>
  </si>
  <si>
    <t>2Q17A</t>
  </si>
  <si>
    <t>3Q17A</t>
  </si>
  <si>
    <t>4Q17A</t>
  </si>
  <si>
    <t>1Q18A</t>
  </si>
  <si>
    <t>2Q18A</t>
  </si>
  <si>
    <t>3Q18A</t>
  </si>
  <si>
    <t>4Q18A</t>
  </si>
  <si>
    <t>1Q19A</t>
  </si>
  <si>
    <t>2Q19A</t>
  </si>
  <si>
    <t>3Q19A</t>
  </si>
  <si>
    <t>4Q19A</t>
  </si>
  <si>
    <t>1Q20A</t>
  </si>
  <si>
    <t>2Q20A</t>
  </si>
  <si>
    <t>3Q20A</t>
  </si>
  <si>
    <t>4Q20A</t>
  </si>
  <si>
    <t>1Q21A</t>
  </si>
  <si>
    <t>2Q21A</t>
  </si>
  <si>
    <t>3Q21A</t>
  </si>
  <si>
    <t>4Q21E</t>
  </si>
  <si>
    <t>1Q22E</t>
  </si>
  <si>
    <t>2Q22E</t>
  </si>
  <si>
    <t>3Q22E</t>
  </si>
  <si>
    <t>4Q22E</t>
  </si>
  <si>
    <t>1Q23E</t>
  </si>
  <si>
    <t>1Q24E</t>
  </si>
  <si>
    <t>2Q24E</t>
  </si>
  <si>
    <t>3Q25E</t>
  </si>
  <si>
    <t>4Q25E</t>
  </si>
  <si>
    <t>*</t>
  </si>
  <si>
    <t xml:space="preserve">Income Statement </t>
  </si>
  <si>
    <t>2020-2024E CAGR</t>
  </si>
  <si>
    <t>Product Sales</t>
  </si>
  <si>
    <t>+ Subscription, Lensing and other Revenues</t>
  </si>
  <si>
    <t>= Revenues</t>
  </si>
  <si>
    <t>- Product Sales: Product Costs</t>
  </si>
  <si>
    <t>- Product Sales: Software royalties, amortization, and intellectual property licenses</t>
  </si>
  <si>
    <t>- Subscription, Licensing and other- Game Operations and Distribution Costs</t>
  </si>
  <si>
    <t>- Subscription, Licensing and other- Software royalties, amortization, and intellectual property licenses</t>
  </si>
  <si>
    <t>= Gross Profit</t>
  </si>
  <si>
    <t>- Product Development</t>
  </si>
  <si>
    <t>- Sales &amp; Marketing</t>
  </si>
  <si>
    <t>- General &amp; Administrative</t>
  </si>
  <si>
    <t>= Operating Income</t>
  </si>
  <si>
    <t>- Interest and Other Expense/(Income)</t>
  </si>
  <si>
    <t>= Pretax Income</t>
  </si>
  <si>
    <t>- Income Tax Provision</t>
  </si>
  <si>
    <t xml:space="preserve">= Net Income (Loss) </t>
  </si>
  <si>
    <t xml:space="preserve">GAAP Basic EPS </t>
  </si>
  <si>
    <t>GAAP Diluted EPS</t>
  </si>
  <si>
    <t>Non-GAAP EPS (old definition)</t>
  </si>
  <si>
    <t>Non-GAAP EPS (Company definition)</t>
  </si>
  <si>
    <t>Basic Shares Outstanding</t>
  </si>
  <si>
    <t>Diluted Shares Outstanding</t>
  </si>
  <si>
    <t>Diluted Shares (Non-GAAP)</t>
  </si>
  <si>
    <t>Margin Analysis</t>
  </si>
  <si>
    <t>Non-GAAP Revenue</t>
  </si>
  <si>
    <t>Y/Y Change (%)</t>
  </si>
  <si>
    <t>Non-GAAP Gross Profit</t>
  </si>
  <si>
    <t>Y/Y Change in bp</t>
  </si>
  <si>
    <t>Non-GAAP Operating Income (Old Definition)</t>
  </si>
  <si>
    <t>Y/Y change in bp</t>
  </si>
  <si>
    <t>Net Income/OI</t>
  </si>
  <si>
    <t>Adj. EBITDA (x-SBC)</t>
  </si>
  <si>
    <t>Non-GAAP Net Income (Old definition)</t>
  </si>
  <si>
    <t>Non-GAAP Net Income (Company definition)</t>
  </si>
  <si>
    <t>Non-GAAP Operating Metric Reconciliation</t>
  </si>
  <si>
    <t>+ Interest Expense, net</t>
  </si>
  <si>
    <t>+ Provisions for income taxes</t>
  </si>
  <si>
    <t>+ SBC</t>
  </si>
  <si>
    <t>+ Amortization of Intangibiles</t>
  </si>
  <si>
    <t>+ Acquisition Related Expenses</t>
  </si>
  <si>
    <t>+ Adj. Operating Income (Company Definition)</t>
  </si>
  <si>
    <t>+ Deferral of net revenues and related cost of sales</t>
  </si>
  <si>
    <t>+ Adj. Operating Income (Old Definition)</t>
  </si>
  <si>
    <t>+ D&amp;A</t>
  </si>
  <si>
    <t>= Adj. EBITDA (Old Definition)</t>
  </si>
  <si>
    <t xml:space="preserve">Net Income </t>
  </si>
  <si>
    <t>+ Amortization of Intangibles</t>
  </si>
  <si>
    <t>+ Impairment of goodwill</t>
  </si>
  <si>
    <t>+ Other</t>
  </si>
  <si>
    <t>= Non-GAAP Net Income (Company Definition)</t>
  </si>
  <si>
    <t>= Non-GAAP Net Income (Old Definition)</t>
  </si>
  <si>
    <t>CRC EBITDA</t>
  </si>
  <si>
    <t>CRC EBIT</t>
  </si>
  <si>
    <t>CRC D&amp;A</t>
  </si>
  <si>
    <t>Adj. Operating Income (Old Definition)</t>
  </si>
  <si>
    <t>- Interest Expense</t>
  </si>
  <si>
    <t>=Adj. Pretax Income (Old Definition)</t>
  </si>
  <si>
    <t>- Taxes</t>
  </si>
  <si>
    <t>Implied Tax Rate</t>
  </si>
  <si>
    <t xml:space="preserve">Unlevered Free Cash Flow </t>
  </si>
  <si>
    <t>Adj. EBITDA</t>
  </si>
  <si>
    <t>- Cash Taxes</t>
  </si>
  <si>
    <t>+ Changes in Working Capital</t>
  </si>
  <si>
    <t>- CAPEX</t>
  </si>
  <si>
    <t xml:space="preserve">- Stock-Based Compensation </t>
  </si>
  <si>
    <t xml:space="preserve">= Unlevered Free Cash Flow </t>
  </si>
  <si>
    <t>ASSETS</t>
  </si>
  <si>
    <t>Cash and Cash Equivalents</t>
  </si>
  <si>
    <t>Cash in escrow</t>
  </si>
  <si>
    <t>Short Term Investments</t>
  </si>
  <si>
    <t>Accounts Receivable, net</t>
  </si>
  <si>
    <t>Software Development</t>
  </si>
  <si>
    <t>Intellectual property licenses</t>
  </si>
  <si>
    <t>Deferred income taxes, net</t>
  </si>
  <si>
    <t>Other Current Assets</t>
  </si>
  <si>
    <t>Total Current Assets</t>
  </si>
  <si>
    <t>Long-term investments</t>
  </si>
  <si>
    <t>Software development</t>
  </si>
  <si>
    <t>Property and Equipment, net</t>
  </si>
  <si>
    <t>Other Assets</t>
  </si>
  <si>
    <t>Intangible Assets, net</t>
  </si>
  <si>
    <t>Trademark and trade names</t>
  </si>
  <si>
    <t>LIABILITIES &amp; SHAREHOLDERS EQUITY</t>
  </si>
  <si>
    <t>Accounts Payable</t>
  </si>
  <si>
    <t>Deferred Revenues</t>
  </si>
  <si>
    <t>Accrued Expenses</t>
  </si>
  <si>
    <t>Total Current Liabilities</t>
  </si>
  <si>
    <t>Long-term Debt, net</t>
  </si>
  <si>
    <t>Deferred Income Taxes, net</t>
  </si>
  <si>
    <t>Other Liabilities</t>
  </si>
  <si>
    <t>Total Liabilities</t>
  </si>
  <si>
    <t>Shareholders' Equity:</t>
  </si>
  <si>
    <t>Common Stock</t>
  </si>
  <si>
    <t>Preferred Stock</t>
  </si>
  <si>
    <t>Additional Paid-In Capital</t>
  </si>
  <si>
    <t>Treasury stock</t>
  </si>
  <si>
    <t>Accumulated Other Comprehensive Earnings (Loss)</t>
  </si>
  <si>
    <t xml:space="preserve">Retained Earnings </t>
  </si>
  <si>
    <t>Total Shareholders' Equity</t>
  </si>
  <si>
    <t>Total Liabilities &amp; Shareholders' Equity</t>
  </si>
  <si>
    <t>check</t>
  </si>
  <si>
    <t>B/S Drivers</t>
  </si>
  <si>
    <t>as % of Revenue</t>
  </si>
  <si>
    <t xml:space="preserve">Depreciation &amp; Amortization </t>
  </si>
  <si>
    <t>Avg Dep Life</t>
  </si>
  <si>
    <t>PP&amp;E</t>
  </si>
  <si>
    <t>BOP - Net PP&amp;E</t>
  </si>
  <si>
    <t>+ Capex</t>
  </si>
  <si>
    <t xml:space="preserve">- Depreciation </t>
  </si>
  <si>
    <t>+/- Writeoff/Impairment and Revaluation (Implied)</t>
  </si>
  <si>
    <t>= EOP - Net PP&amp;E</t>
  </si>
  <si>
    <t>Capex as % of Revenue</t>
  </si>
  <si>
    <t>YoY Abs Change</t>
  </si>
  <si>
    <t>Seq Abs Change</t>
  </si>
  <si>
    <t>Intangible Assets</t>
  </si>
  <si>
    <t>BOP - Net Intangible Assets</t>
  </si>
  <si>
    <t>+ Additions</t>
  </si>
  <si>
    <t xml:space="preserve">- Amortization </t>
  </si>
  <si>
    <t>+/- Writeoff/Impairment and Revaluation/Additions (Implied)</t>
  </si>
  <si>
    <t>= EOP - Net Intangible Assets</t>
  </si>
  <si>
    <t>Additions as % of Revenue</t>
  </si>
  <si>
    <t xml:space="preserve">Accounts Receivable - DSO </t>
  </si>
  <si>
    <t>Inventory - DSO</t>
  </si>
  <si>
    <t>Software Development - DSO</t>
  </si>
  <si>
    <t>Intellectual Property Licenses - DSO</t>
  </si>
  <si>
    <t xml:space="preserve">Other Current Assets - % of Revenue </t>
  </si>
  <si>
    <t>Accounts Payable - DPO</t>
  </si>
  <si>
    <t>Deferred Revenue -% of Revenue</t>
  </si>
  <si>
    <t>Accrued Liabilities - % of OPEX</t>
  </si>
  <si>
    <t>Other Non-Current Liabilities - % of OPEX</t>
  </si>
  <si>
    <t>Operating Activities</t>
  </si>
  <si>
    <t>Deferred income tax benefit (expense)</t>
  </si>
  <si>
    <t>Provision for Inventories</t>
  </si>
  <si>
    <t>Depreciation and amortization expense</t>
  </si>
  <si>
    <t>Loss on disposal of property and equipment</t>
  </si>
  <si>
    <t>Amortization of capitalized software development costs and intellectual property licenses</t>
  </si>
  <si>
    <t>Amortization of debt discount and debt financing costs</t>
  </si>
  <si>
    <t>Stock-based compensation expense</t>
  </si>
  <si>
    <t>Excess tax benefits from stock awards</t>
  </si>
  <si>
    <t>Funds from Operations (FFO)</t>
  </si>
  <si>
    <t>Changes in Working Capital</t>
  </si>
  <si>
    <t>Software development and intellectual property licenses</t>
  </si>
  <si>
    <t>Other assets</t>
  </si>
  <si>
    <t>Deferred revenues</t>
  </si>
  <si>
    <t>Accrued expenses and other current liabilities</t>
  </si>
  <si>
    <t>Operating Cash Flow</t>
  </si>
  <si>
    <t>Investing Activities</t>
  </si>
  <si>
    <t>Proceeds from maturities of available-for-sale investments</t>
  </si>
  <si>
    <t>Proceeds from sales of available-for-sale investments</t>
  </si>
  <si>
    <t>Purchases of available-for-sale investments</t>
  </si>
  <si>
    <t>Decrease in restricted cash</t>
  </si>
  <si>
    <t>Investing Cash Flow</t>
  </si>
  <si>
    <t>Financing Activities</t>
  </si>
  <si>
    <t>Proceeds from issuance of common stock to employees</t>
  </si>
  <si>
    <t>Tax payment related to net share settlements on restricted stock rights</t>
  </si>
  <si>
    <t>Dividends paid</t>
  </si>
  <si>
    <t>Proceeds and (payments) for notes payable</t>
  </si>
  <si>
    <t>Proceeds received from shareholder lawsuit settlement</t>
  </si>
  <si>
    <t>Repurchase of common stock</t>
  </si>
  <si>
    <t>Financing Cash Flow</t>
  </si>
  <si>
    <t>Effects of FX</t>
  </si>
  <si>
    <t>Net Increase (Decrease) in Cash &amp; Equivalents</t>
  </si>
  <si>
    <t>+ Cash &amp; Equivalents - BOP</t>
  </si>
  <si>
    <t>= Cash &amp; Equivalents - EOP</t>
  </si>
  <si>
    <t>OK</t>
  </si>
  <si>
    <t>Free Cash Flow</t>
  </si>
  <si>
    <t>Cash from operations</t>
  </si>
  <si>
    <t>- Capex</t>
  </si>
  <si>
    <t>% change Y/Y</t>
  </si>
  <si>
    <t>NM</t>
  </si>
  <si>
    <t>Free cash flow % of EBITDA</t>
  </si>
  <si>
    <t>Free cash flow % of net income</t>
  </si>
  <si>
    <t>Free cash flow % of revenue</t>
  </si>
  <si>
    <t>ModelWare Required Tags</t>
  </si>
  <si>
    <t>Unrecorded goodwill</t>
  </si>
  <si>
    <t>ND</t>
  </si>
  <si>
    <t>End of Period Shares</t>
  </si>
  <si>
    <t>Statutory tax rate</t>
  </si>
  <si>
    <t>Federal tax rate</t>
  </si>
  <si>
    <t>State tax</t>
  </si>
  <si>
    <t>Net Issuance</t>
  </si>
  <si>
    <t>EBITDA adjustment</t>
  </si>
  <si>
    <t>EBITDA Toggle (1/0)</t>
  </si>
  <si>
    <t>Methode KEIs - Please Do Not Remove</t>
  </si>
  <si>
    <t>Bookings</t>
  </si>
  <si>
    <t>Adj. EBITDA Margin</t>
  </si>
  <si>
    <t>Multiples and IRR @ $296/sh</t>
  </si>
  <si>
    <t>MSFT+ATVI</t>
  </si>
  <si>
    <t>FY22e TEV / Sales</t>
  </si>
  <si>
    <t>FY22e P / rFCF</t>
  </si>
  <si>
    <t>FY22e PE</t>
  </si>
  <si>
    <t>FY23e TEV / Sales</t>
  </si>
  <si>
    <t>FY23e P / rFCF</t>
  </si>
  <si>
    <t>FY23e PE</t>
  </si>
  <si>
    <t>Interest and other (MSFT only)</t>
  </si>
  <si>
    <t>SBC - ATVI</t>
  </si>
  <si>
    <t>SBC - MSFT</t>
  </si>
  <si>
    <t>Combined SBC</t>
  </si>
  <si>
    <t>ATVI Interest and Other</t>
  </si>
  <si>
    <t>Combined Realized FCF</t>
  </si>
  <si>
    <t>ATVI Realized FCF</t>
  </si>
  <si>
    <t>MSFT Realized FCF</t>
  </si>
  <si>
    <t>PF Net Debt</t>
  </si>
  <si>
    <t>P/E (Cons)</t>
  </si>
  <si>
    <t>ATVI Cash Outflow</t>
  </si>
  <si>
    <t>Purchase Price</t>
  </si>
  <si>
    <t>&lt;&lt; FY22e end of year forecast PF for ATVI</t>
  </si>
  <si>
    <t>Cash Paid</t>
  </si>
  <si>
    <t>Net Cash YE FY22e</t>
  </si>
  <si>
    <t>Net Cash Outflow</t>
  </si>
  <si>
    <t>Revenue Build</t>
  </si>
  <si>
    <t>Notes</t>
  </si>
  <si>
    <t>FY14 benefitted from XP end of life, more recent divergence b/w PC unit growth and revenue growth driven by strong Windows 10 deployments (released early in FY16) and higher mix of premium SKUs</t>
  </si>
  <si>
    <t>Y/Y $ change</t>
  </si>
  <si>
    <t>% of total adjusted revenue</t>
  </si>
  <si>
    <t>WW PC Units</t>
  </si>
  <si>
    <t>Increase primarily driven by Nokia acquisition, decline driven by shut down of Phone business</t>
  </si>
  <si>
    <t>LinkedIn acquired on 12/8/2016</t>
  </si>
  <si>
    <t>Office Consumer (non-365)</t>
  </si>
  <si>
    <t>Total Office Consumer</t>
  </si>
  <si>
    <t>Office 365 Consumer subscribers</t>
  </si>
  <si>
    <t>Office Commercial (non-365)</t>
  </si>
  <si>
    <t>Office 365 Commercial</t>
  </si>
  <si>
    <t>Total Office Commercial</t>
  </si>
  <si>
    <t>Commercial Cloud (excl. Office 365)</t>
  </si>
  <si>
    <t>Robust growth primarily driven by Azure (+90% in FY18)</t>
  </si>
  <si>
    <t>Commercial Cloud</t>
  </si>
  <si>
    <t>Note: Commercial Cloud includes Office 365 Commercial, Azure, Dynamics 365, and other cloud properties.</t>
  </si>
  <si>
    <t>Xbox</t>
  </si>
  <si>
    <t>Acceleration driven by Nov. '17 launch of Xbox One X console and the success of a third-party game title; FY16-17 impacted by declines in hardware revenue (last release in FY14)</t>
  </si>
  <si>
    <t>Bing</t>
  </si>
  <si>
    <t>FY16 acceleration was driven by an increase in TAC, ex-TAC growth was +17%</t>
  </si>
  <si>
    <t>Surface</t>
  </si>
  <si>
    <t>Acceleration driven by successful launch of new Surface Pro and Surface Laptop; FY17 impacted by end-of-product life cycle and increased price competition</t>
  </si>
  <si>
    <t>Note: Other includes Windows volume licensing, Windows non-OEM revenue, servers and tools revenue, enterprise services revenue, non-Xbox gaming revenue, and other.</t>
  </si>
  <si>
    <t>Change in accounting</t>
  </si>
  <si>
    <t>Total Adjusted Revenue</t>
  </si>
  <si>
    <t>FX impact</t>
  </si>
  <si>
    <t>(US$ in mm)</t>
  </si>
  <si>
    <t>Gates CEO (until 12/1999)</t>
  </si>
  <si>
    <t>Ballmer CEO (1/2000-2/2014)</t>
  </si>
  <si>
    <t>Nadella CEO</t>
  </si>
  <si>
    <t>CAGR</t>
  </si>
  <si>
    <t>FY90</t>
  </si>
  <si>
    <t>FY91</t>
  </si>
  <si>
    <t>FY92</t>
  </si>
  <si>
    <t>FY93</t>
  </si>
  <si>
    <t>FY94</t>
  </si>
  <si>
    <t>FY95</t>
  </si>
  <si>
    <t>FY96</t>
  </si>
  <si>
    <t>FY97</t>
  </si>
  <si>
    <t>FY98</t>
  </si>
  <si>
    <t>FY99</t>
  </si>
  <si>
    <t>FY00</t>
  </si>
  <si>
    <t>FY01</t>
  </si>
  <si>
    <t>FY02</t>
  </si>
  <si>
    <t>FY03</t>
  </si>
  <si>
    <t>FY04</t>
  </si>
  <si>
    <t>5-Yr</t>
  </si>
  <si>
    <t>10-Yr</t>
  </si>
  <si>
    <t>15-Yr</t>
  </si>
  <si>
    <t>20-Yr</t>
  </si>
  <si>
    <t>25-Yr</t>
  </si>
  <si>
    <t>FY End Date</t>
  </si>
  <si>
    <t>Nadella's 5yrs</t>
  </si>
  <si>
    <t>Restated for Rev Rec Accounting Change</t>
  </si>
  <si>
    <t>Earnings</t>
  </si>
  <si>
    <t>SG&amp;A (incl. D&amp;A)</t>
  </si>
  <si>
    <t>EBT</t>
  </si>
  <si>
    <t>Taxes @ 35% through FY17, 30% in FY18, 21% thereafter</t>
  </si>
  <si>
    <t>NI</t>
  </si>
  <si>
    <t>FCF</t>
  </si>
  <si>
    <t>aQuantive</t>
  </si>
  <si>
    <t>Skype</t>
  </si>
  <si>
    <t>Nokia</t>
  </si>
  <si>
    <t>Share Issuance</t>
  </si>
  <si>
    <t>Share Repurchase</t>
  </si>
  <si>
    <t>Leverage</t>
  </si>
  <si>
    <t>ROE %</t>
  </si>
  <si>
    <t>IC (ND + Equity)</t>
  </si>
  <si>
    <t>ROIC %</t>
  </si>
  <si>
    <t>5-Year Trailing Incremental ROIC %</t>
  </si>
  <si>
    <t>Capitalization / Valuation</t>
  </si>
  <si>
    <t>As of year-end</t>
  </si>
  <si>
    <t>Share Price</t>
  </si>
  <si>
    <t>x Shares O/S</t>
  </si>
  <si>
    <t>Mkt Cap</t>
  </si>
  <si>
    <t>LTM Multiples:</t>
  </si>
  <si>
    <t>P / Recurring FCF</t>
  </si>
  <si>
    <t>P / Realized FCF</t>
  </si>
  <si>
    <t>NTM Multiples:</t>
  </si>
  <si>
    <t>S&amp;P 500 NTM P /E</t>
  </si>
  <si>
    <t>eXp Realty</t>
  </si>
  <si>
    <t>Keller Wiliams</t>
  </si>
  <si>
    <t>Coldwell Banker</t>
  </si>
  <si>
    <t>MSFT Premium / (Discount) %</t>
  </si>
  <si>
    <t>Share Px Performance</t>
  </si>
  <si>
    <t>Dividend Adj. Share Price</t>
  </si>
  <si>
    <t>S&amp;P 500 - Total Return</t>
  </si>
  <si>
    <t>Total Return CAGR:</t>
  </si>
  <si>
    <t>1-Yr Forward</t>
  </si>
  <si>
    <t>3-Yr Forward</t>
  </si>
  <si>
    <t>5-Yr Forward</t>
  </si>
  <si>
    <t>10-Yr Forward</t>
  </si>
  <si>
    <t>Historical Financials Commentary</t>
  </si>
  <si>
    <t>FY18 Results</t>
  </si>
  <si>
    <t>Revenue increased $13.8 billion or 14%, driven by growth across each of our segments. Productivity and Business Processes revenue increased, driven by LinkedIn and higher revenue from Office. Intelligent Cloud revenue increased, primarily due to higher revenue from server products and cloud services. More Personal Computing revenue increased, driven by higher revenue from Gaming, Windows, Search advertising, and Surface, offset in part by lower revenue from Phone.</t>
  </si>
  <si>
    <t>Gross Profit Growth</t>
  </si>
  <si>
    <t>Gross margin increased $9.7 billion or 16%, due to growth across each of our segments. Gross margin percentage increased slightly, driven by favorable segment sales mix and gross margin percentage improvement in More Personal Computing. Gross margin included a 7 percentage point improvement in commercial cloud, primarily from Azure.</t>
  </si>
  <si>
    <t>Operating Income Growth</t>
  </si>
  <si>
    <t>Operating income increased $6.0 billion or 21%, driven by growth across each of our segments. LinkedIn operating loss increased $63 million to $987 million, including $1.5 billion of amortization of intangible assets. Operating income included a favorable foreign currency impact of 2%.</t>
  </si>
  <si>
    <t>COGS</t>
  </si>
  <si>
    <t>Cost of revenue increased $4.1 billion or 12%, mainly due to growth in our commercial cloud, Gaming, LinkedIn, and Search advertising, offset in part by a reduction in Phone cost of revenue.</t>
  </si>
  <si>
    <t>Sales and marketing expenses increased $2.0 billion or 13%, primarily due to LinkedIn expenses and investments in commercial sales capacity, offset in part by a decrease in Windows marketing expenses.</t>
  </si>
  <si>
    <t>Research and development expenses increased $1.7 billion or 13%, primarily due to investments in cloud engineering and LinkedIn expenses.</t>
  </si>
  <si>
    <t>General and administrative expenses increased $273 million or 6%, primarily due to LinkedIn expenses.</t>
  </si>
  <si>
    <t>Revenue increased $6.0 billion or 20%.
-LinkedIn revenue increased $3.0 billion to $5.3 billion. Fiscal year 2018 includes a full period of results, whereas fiscal year 2017 only includes results from the date of acquisition on December 8, 2016. LinkedIn revenue primarily consisted of revenue from Talent Solutions.
-Office Commercial revenue increased $2.4 billion or 11%, driven by Office 365 commercial revenue growth, mainly due to growth in subscribers and average revenue per user, offset in part by lower revenue from products licensed on-premises, reflecting a continued shift to Office 365 commercial.
-Office Consumer revenue increased $382 million or 11%, driven by Office 365 consumer revenue growth, mainly due to growth in subscribers.
-Dynamics revenue increased 13%, driven by Dynamics 365 revenue growth.
Operating income increased $1.5 billion or 13%, including a favorable foreign currency impact of 2%.
-Gross margin increased $4.4 billion or 19%, driven by LinkedIn and growth in Office commercial. Gross margin percentage decreased slightly, due to an increased mix of cloud offerings, offset in part by gross margin percentage improvement in Office 365 commercial and LinkedIn. LinkedIn cost of revenue increased $818 million to $1.7 billion, including $888 million of amortization for acquired intangible assets.
-Operating expenses increased $2.9 billion or 25%, driven by LinkedIn expenses and investments in commercial sales capacity and cloud engineering. LinkedIn operating expenses increased $2.2 billion to $4.5 billion, including $617 million of amortization of acquired intangible assets.</t>
  </si>
  <si>
    <t>Revenue increased $4.8 billion or 18%.
-Server products and cloud services revenue increased $4.5 billion or 21%, driven by Azure and server products licensed on-premises revenue growth. Azure revenue growth of 91%, due to higher infrastructure-as-a-service and platform-as-a-service consumption-based and per user-based services. Server products licensed on-premises revenue increased 5%, mainly due to a higher mix of premium licenses for Windows Server and Microsoft SQL Server.
-Enterprise Services revenue increased $304 million or 5%, driven by higher revenue from Premier Support Services and Microsoft Consulting Services, offset in part by a decline in revenue from custom support agreements.
Operating income increased $2.4 billion or 26%.
-Gross margin increased $3.1 billion or 16%, driven by growth in server products and cloud services revenue and cloud services scale and efficiencies. Gross margin percentage decreased, due to an increased mix of cloud offerings, offset in part by gross margin percentage improvement in Azure.
-Operating expenses increased $683 million or 7%, driven by investments in commercial sales capacity and cloud engineering.</t>
  </si>
  <si>
    <t>Revenue increased $3.0 billion or 8%.
-Windows revenue increased $925 million or 5%, driven by growth in Windows Commercial and Windows OEM, offset by a decline in patent licensing revenue. Windows Commercial revenue increased 12%, driven by multi-year agreement revenue growth. Windows OEM revenue increased 5%. Windows OEM Pro revenue grew 11%, ahead of a strengthening commercial PC market. Windows OEM non-Pro revenue declined 4%, below the consumer PC market, driven by continued pressure in the entry-level price category.
-Gaming revenue increased $1.3 billion or 14%, driven by Xbox software and services revenue growth of 20%, mainly from third-party title strength.
-Search advertising revenue increased $793 million or 13%. Search advertising revenue, excluding traffic acquisition costs, increased 16%, driven by growth in Bing, due to higher revenue per search and search volume.
-Surface revenue increased $625 million or 16%, driven by a higher mix of premium devices and an increase in volumes sold, due to the latest editions of Surface.
-Phone revenue decreased $525 million.
Operating income increased $1.8 billion or 20%, including a favorable foreign currency impact of 2%.
-Gross margin increased $2.2 billion or 11%, driven by growth in Windows, Surface, Search, and Gaming. Gross margin percentage increased, primarily due to gross margin percentage improvement in Surface.
-Operating expenses increased $391 million or 3%, driven by investments in Search, artificial intelligence, and Gaming engineering and commercial sales capacity, offset in part by a decrease in Windows marketing expenses.</t>
  </si>
  <si>
    <t>3Q18 Results</t>
  </si>
  <si>
    <t>Revenue increased $3.6 billion or 16%, driven by growth across each of our segments. Productivity and Business Processes revenue increased, driven by higher revenue from Office and LinkedIn. Intelligent Cloud revenue increased, primarily due to higher revenue from server products and cloud services. More Personal Computing revenue increased, driven by higher revenue from Windows, Gaming, Surface, and Search advertising. Revenue included a favorable foreign currency impact of 3%.</t>
  </si>
  <si>
    <t>Gross margin increased $2.4 billion or 16%, due to growth across each of our segments. Gross margin included a favorable foreign currency impact of 3%. Gross margin percentage increased slightly, driven by gross margin percentage improvement in Productivity and Business Processes and favorable segment sales mix, offset in part by gross margin percentage decline in Intelligent Cloud. Gross margin included a 6-percentage point improvement in commercial cloud gross margin percentage, primarily across Azure and Office 365, offset in part by increased Azure sales mix.</t>
  </si>
  <si>
    <t>Operating income increased $1.6 billion or 23%, driven by growth across each of our segments. Operating income included a favorable foreign currency impact of 3%.</t>
  </si>
  <si>
    <t>Cost of revenue increased $1.2 billion or 15%, mainly due to growth in our commercial cloud and Gaming.</t>
  </si>
  <si>
    <t>Sales and marketing expenses increased $463 million or 12%, primarily due to investments in commercial sales capacity and LinkedIn. Sales and marketing included an unfavorable foreign currency impact of 3%.</t>
  </si>
  <si>
    <t>Research and development expenses increased $360 million or 11%, primarily due to investments in cloud engineering and LinkedIn.</t>
  </si>
  <si>
    <t>n/a</t>
  </si>
  <si>
    <t>Revenue increased $1.3 billion or 17%, including a favorable foreign currency impact of 3%.
-Office Commercial revenue increased $754 million or 14%, driven by Office 365 commercial revenue growth, mainly due to growth in subscribers, offset in part by lower revenue from products licensed on-premises, reflecting a continued shift to Office 365 commercial.
-Office Consumer revenue increased $108 million or 12%, driven by Office 365 consumer revenue growth, mainly due to growth in subscribers.
-LinkedIn revenue increased $359 million or 37%, driven by strong momentum across all businesses.
-Dynamics revenue increased 17%, driven by Dynamics 365 revenue growth.
Operating income increased $575 million or 23%, including a favorable foreign currency impact of 4%.
-Gross margin increased $1.0 billion or 18%, driven by growth in Office and LinkedIn. Gross margin percentage increased slightly, primarily due to gross margin percentage improvement in Office 365 commercial and LinkedIn, offset in part by an increased mix of cloud offerings. Gross margin included a favorable foreign currency impact of 3%.
-Operating expenses increased $468 million or 14%, driven by investments in LinkedIn, commercial sales capacity, and cloud engineering. Operating expenses included an unfavorable foreign currency impact of 2%.</t>
  </si>
  <si>
    <t>Revenue increased $1.2 billion or 17%, including a favorable foreign currency impact of 2%.
-Server products and cloud services revenue increased $1.0 billion or 20%, driven by Azure revenue growth of 93% and server products licensed on-premises revenue growth of 3%.
-Enterprise Services revenue increased $106 million or 8%, driven by higher revenue from Premier Support Services and Microsoft Consulting Services, offset in part by a decline in revenue from custom support agreements.
Operating income increased $506 million or 24%, including a favorable foreign currency impact of 3%.
-Gross margin increased $739 million or 16%, driven by growth in server products and cloud services revenue and cloud services scale and efficiencies. Gross margin percentage decreased, primarily due to an increased mix of cloud offerings, offset in part by gross margin percentage improvement in Azure. Gross margin included a favorable foreign currency impact of 2%.
-Operating expenses increased $233 million or 9%, driven by investments in commercial sales capacity and cloud engineering. Operating expenses included an unfavorable foreign currency impact of 2%.</t>
  </si>
  <si>
    <t>Revenue increased $1.1 billion or 13%.
-Windows revenue increased $359 million or 8%, driven by Windows Commercial and Windows OEM revenue growth. Windows Commercial revenue increased 21%, driven by an increased volume of multi-year agreements and the mix of products that carry higher in-quarter revenue recognition. Windows OEM revenue increased 4%. Windows OEM Pro revenue grew 11%, in line with a strengthening commercial PC market. Windows OEM non-Pro revenue declined 8%, below the consumer PC market, driven by a higher mix of lower priced licenses and continued pressure in the entry-level price category.
-Gaming revenue increased $345 million or 18%, driven by Xbox software and services revenue growth of 24%, mainly from third-party title strength.
-Surface revenue increased $263 million or 32% against a prior year comparable impacted by product end-of-life-cycle dynamics.
-Search advertising revenue increased $185 million or 12%. Search advertising revenue, excluding traffic acquisition costs, increased 16%, driven by growth in Bing, primarily due to higher revenue per search and search volume.
Operating income increased $488 million or 24%, including a favorable foreign currency impact of 4%.
-Gross margin increased $616 million or 13%, driven by growth in Windows and Surface. Gross margin percentage was relatively unchanged. Gross margin included a favorable foreign currency impact of 2%.
-Operating expenses increased $128 million or 5%, driven by investments in Gaming, Search advertising, and AI engineering.</t>
  </si>
  <si>
    <t>2Q18 Results</t>
  </si>
  <si>
    <t>Revenue increased $3.1 billion or 12%, driven by growth across each of our segments. Productivity and Business Processes revenue increased, driven by LinkedIn and higher revenue from Office. Intelligent Cloud revenue increased, primarily due to higher revenue from server products and cloud services. More Personal Computing revenue increased, driven by higher revenue from Gaming and Search advertising, offset in part by lower revenue from phones.</t>
  </si>
  <si>
    <t>Gross margin increased $1.9 billion or 12%, primarily due to growth in Productivity and Business Processes, including LinkedIn, and Intelligent Cloud. Gross margin percentage was relatively unchanged, with favorable segment sales mix, offset by margin percentage declines in More Personal Computing and Intelligent Cloud. Gross margin percentage included a 7-point improvement in commercial cloud gross margin, primarily across Azure and Office 365.</t>
  </si>
  <si>
    <t>Operating income increased $774 million or 10%, primarily due to higher gross margin, offset in part by an increase in operating expenses.</t>
  </si>
  <si>
    <t>Cost of revenue increased $1.2 billion or 12%, mainly due to growth in our commercial cloud, Gaming, and LinkedIn.</t>
  </si>
  <si>
    <t>Sales and marketing expenses increased $483 million or 12%, primarily due to LinkedIn expenses and investments in commercial sales capacity, offset in part by a decrease in Windows marketing expenses.</t>
  </si>
  <si>
    <t>Research and development expenses increased $442 million or 14%, primarily due to LinkedIn expenses and investments in cloud engineering.</t>
  </si>
  <si>
    <t>General and administrative expenses increased $230 million or 26%, primarily due to the LinkedIn expenses and benefit of a legal settlement in the prior year.</t>
  </si>
  <si>
    <t>Revenue increased $1.8 billion or 25%, primarily due to LinkedIn and higher revenue from Office.
-LinkedIn revenue increased $1.1 billion to $1.3 billion. LinkedIn revenue primarily consisted of revenue from Talent Solutions.
-Office Commercial revenue increased $552 million or 10%, driven by Office 365 commercial revenue growth, mainly due to growth in subscribers, offset in part by lower revenue from products licensed on-premises, reflecting a continued shift to Office 365 commercial.
-Office Consumer revenue increased $103 million or 12%, driven by Office 365 consumer revenue growth, mainly due to growth in subscribers.
-Dynamics revenue increased 10%, driven by Dynamics 365 revenue growth.
Operating income increased $284 million or 9%, primarily due to higher gross margin, offset in part by higher operating expenses.
-Gross margin increased $1.3 billion or 24%, driven by LinkedIn and growth in Office. Gross margin percentage decreased, primarily due to an increased mix of cloud offerings and LinkedIn, offset in part by gross margin percentage improvement in Office 365 commercial. LinkedIn cost of revenue increased $313 million to $432 million, including $222 million of amortization of acquired intangible assets.
-Operating expenses increased $1.0 billion or 41%, driven by LinkedIn expenses, investments in commercial sales capacity and cloud engineering, and the benefit of a legal settlement in the prior year. LinkedIn operating expenses increased $840 million to $1.1 billion, including $154 million of amortization of acquired intangible assets.</t>
  </si>
  <si>
    <t>Revenue increased $1.0 billion or 15%, primarily due to higher revenue from server products and cloud services.
-Server products and cloud services revenue increased $967 million or 18%, driven by Azure revenue growth of 98% and server products licensed on-premises revenue growth of 4%.
-Enterprise Services revenue increased $64 million or 5%, driven by higher revenue from Premier Support Services and Microsoft Consulting Services, offset in part by a decline in revenue from custom support agreements.
Operating income increased $541 million or 24%, primarily due to higher gross margin, offset in part by higher operating expenses.
-Gross margin increased $625 million or 13%, driven by growth in server products and cloud services revenue and cloud services scale and efficiencies. Gross margin percentage decreased, primarily due to an increased mix of cloud offerings, offset in part by gross margin percentage improvement in Azure.
-Operating expenses increased $84 million or 3%, driven by the benefit of a legal settlement in the prior year and investments in cloud engineering and commercial sales capacity.</t>
  </si>
  <si>
    <t>Revenue increased $281 million or 2%, primarily due to higher revenue from Gaming and Search advertising, offset in part by lower revenue from phones.
-Windows revenue increased 1%, driven by Windows OEM revenue growth, offset in part by a decline in Windows Commercial revenue. Windows OEM revenue increased 4%. Windows OEM Pro revenue grew 11%, outperforming the commercial PC market, primarily due to a higher mix of premium licenses sold and timing of license purchases. Windows OEM non-Pro revenue declined 5%, below the consumer PC market, primarily due to lower volumes of entry-level price devices sold. Windows Commercial revenue decreased 4%, primarily due to the impact of a prior year large deal.
-Gaming revenue increased $303 million or 8%, driven by higher revenue from Xbox hardware and Xbox software and services. Xbox hardware revenue increased 14%, primarily due to the launch of Xbox One X. Xbox software and services revenue increased 4%, primarily due to Xbox Live revenue growth, offset in part by a decrease in revenue from the prior year launch of video games.
-Search advertising revenue increased $215 million or 13%. Search advertising revenue, excluding traffic acquisition costs, increased 15%, driven by growth in Bing, primarily due to higher revenue per search and search volume.
-Surface revenue increased 1%, driven by a higher mix of premium devices sold, offset in part by a decrease in volume of devices sold.
-Phone revenue decreased $204 million.
Operating income decreased $51 million or 2%, primarily due to an increase in operating expenses.
-Gross margin was relatively unchanged, driven by a decline in Gaming, offset by an increase in Search advertising and Surface. Gross margin percentage decreased, primarily due to a gross margin percentage decline in Gaming.
-Operating expenses increased $49 million or 2%, driven by investments in engineering and the benefit of a legal settlement in the prior year, offset in part by a decrease in Windows marketing and phone expenses.</t>
  </si>
  <si>
    <t>1Q18 Results</t>
  </si>
  <si>
    <t>Cost of revenue increased $2.8 billion or 11%, mainly due to growth in our commercial cloud, LinkedIn, Gaming, and Search advertising, offset in part by a reduction in Phone cost of revenue.</t>
  </si>
  <si>
    <t>Sales and marketing expenses increased $1.5 billion or 14%, primarily due to LinkedIn expenses and investments in commercial sales capacity, offset in part by a decrease in Windows marketing expenses. Sales and marketing included an unfavorable foreign currency impact of 2%.</t>
  </si>
  <si>
    <t>Research and development expenses increased $1.3 billion or 13%, primarily due to LinkedIn expenses and investments in cloud engineering.</t>
  </si>
  <si>
    <t>General and administrative expenses increased $357 million or 11%, primarily due to LinkedIn expenses and the benefit of a legal settlement in the prior year.</t>
  </si>
  <si>
    <t>FY17 Results (Restated)</t>
  </si>
  <si>
    <t>Revenue increased $5.4 billion or 6%, driven by growth in Productivity and Business Processes and Intelligent Cloud, offset in part by lower revenue from More Personal Computing. Productivity and Business Processes revenue increased, driven by the acquisition of LinkedIn and higher revenue from Microsoft Office. Intelligent Cloud revenue increased, primarily due to higher revenue from server products and cloud services. More Personal Computing revenue decreased, mainly due to lower revenue from Devices, offset in part by higher revenue from Windows and Search advertising.</t>
  </si>
  <si>
    <t>Gross margin increased $3.9 billion or 7%, due to growth across each of our segments, including the acquisition of LinkedIn, driven by higher revenue. Gross margin percentage increased slightly due to a margin percent increase in More Personal Computing and segment sales mix, offset in part by margin percent declines in Productivity and Business Processes and Intelligent Cloud. Gross margin percentage includes a 5 percentage point improvement in commercial cloud gross margin primarily across Azure and Office 365.</t>
  </si>
  <si>
    <t>Operating income increased $2.9 billion or 11%, primarily due to higher gross margin and lower impairment and restructuring expenses, offset in part by an increase in research and development and sales and marketing expenses. Operating income included an operating loss of $924 million related to the acquisition of LinkedIn, including $866 million of amortization of intangible assets. Operating income also included an unfavorable foreign currency impact of 3%.</t>
  </si>
  <si>
    <t>Cost of revenue increased $1.5 billion or 5%, mainly due to growth in our commercial cloud, the acquisition of LinkedIn, and higher Search advertising traffic acquisition costs, offset in part by a reduction in Phone sales and Gaming cost of revenue.</t>
  </si>
  <si>
    <t>Sales and marketing expenses increased $826 million or 6%, primarily due to LinkedIn expenses and increased investments in sales capacity for our commercial cloud, offset in part by a reduction in Phone and marketing expenses.</t>
  </si>
  <si>
    <t>Research and development expenses increased $1.0 billion or 9%, primarily due to LinkedIn expenses and increased investments in cloud engineering, offset in part by a reduction in Phone expenses.</t>
  </si>
  <si>
    <t>Revenue increased $4.1 billion or 16%.
-LinkedIn revenue was $2.3 billion, primarily comprised of revenue from Talent Solutions.
-Office Commercial revenue increased $1.4 billion or 7%, driven by higher revenue from Office 365 commercial, mainly due to growth in subscribers, offset in part by lower revenue from products licensed on-premises, reflecting a continued shift to Office 365 commercial.
-Office Consumer revenue increased $351 million or 11%, driven by higher revenue from Office 365 consumer, mainly due to growth in subscribers.
-Dynamics revenue increased 5%, primarily due to higher revenue from Dynamics 365.
Operating income decreased $367 million or 3%, including an unfavorable foreign currency impact of 2%.
-Operating expenses increased $2.3 billion or 26%, mainly due to LinkedIn and cloud engineering expenses. Operating expenses included $2.3 billion related to our acquisition of LinkedIn, including $359 million of amortization of acquired intangible assets. Sales and marketing expenses increased $1.2 billion or 24%, research and development expenses increased $955 million or 35%, and general and administrative expenses increased $212 million or 14%.
-Gross margin increased $2.0 billion or 9%, primarily due to our acquisition of LinkedIn. Gross margin percentage decreased, due to an increased mix of cloud offerings and amortization of acquired intangible assets related to LinkedIn. Cost of revenue included $918 million related to our acquisition of LinkedIn, including $507 million of amortization of acquired intangible assets.</t>
  </si>
  <si>
    <t>Revenue increased $2.5 billion or 10%.
-Server products and cloud services revenue grew $2.6 billion or 14%, driven by Azure revenue growth of 98% and server products licensed on-premises revenue growth of 5%.
-Enterprise Services revenue decreased 2%, driven by a decline in revenue from custom support agreements, offset in part by higher revenue from Premier Support Services and Microsoft Consulting Services.
Operating income decreased $122 million or 1%, including an unfavorable foreign currency impact of 2%.
-Operating expenses increased $975 million or 11%, driven by investments in sales capacity, cloud engineering, and developer engagement. Sales and marketing expenses increased $549 million or 13%, research and development expenses increased $468 million or 14%, and general and administrative expenses decreased $42 million or 3%.
-Gross margin increased $853 million or 5%, driven by growth in server products and cloud services revenue and cloud services scale and efficiencies, offset in part by a decline in Enterprise Services gross margin. Gross margin percentage decreased, due to an increased mix of cloud offerings and lower Enterprise Services gross margin percent, offset by improvement in Azure gross margin percent.</t>
  </si>
  <si>
    <t>Revenue decreased $1.1 billion or 3%.
-Windows revenue increased $1.0 billion or 6%, mainly due to higher revenue from Windows Commercial and Windows OEM. Windows Commercial revenue grew 14%, driven by multi-year agreement revenue. Windows OEM revenue increased 3%. Windows OEM Pro revenue grew 4%, outperforming the commercial PC market, primarily due to a higher mix of premium licenses sold. Windows OEM non-Pro revenue grew 3%, outperforming the consumer PC market, primarily due to a higher mix of premium devices sold.
-Search advertising revenue increased $791 million or 15%. Search advertising revenue, excluding traffic acquisition costs, increased 9%, primarily driven by growth in Bing, due to higher revenue per search and search volume.
-Gaming revenue decreased slightly, primarily due to lower Xbox hardware revenue, offset in part by higher revenue from Xbox software and services. Xbox hardware revenue decreased 21%, mainly due to lower prices of consoles sold and a decline in volume of consoles sold. Xbox software and services revenue increased 11%, driven by a higher volume of Xbox Live transactions and revenue per transaction.
-Surface revenue decreased $82 million or 2%, primarily due to a reduction in volumes sold, offset in part by a higher mix of premium devices.
-Phone revenue decreased $2.8 billion.
Operating income increased $2.6 billion or 43%, including an unfavorable foreign currency impact of 3%.
-Operating expenses decreased $1.5 billion or 12%, driven by a reduction in Phone expenses and Surface launch-related expenses in the prior year. Sales and marketing expenses decreased $893 million or 16%, research and development expenses decreased $374 million or 6%, and general and administrative expenses decreased $252 million or 16%.
-Gross margin increased $1.1 billion or 6%, driven by growth in Windows, Search advertising, and Gaming, offset in part by a decline in Phone and Surface. Gross margin percentage increased, due to favorable sales mix and gross margin percent improvements across Windows, Gaming, and Search advertising, offset by a gross margin percent decline in Devices.</t>
  </si>
  <si>
    <t>FY17 Results</t>
  </si>
  <si>
    <t>Revenue increased $4.6 billion or 5%, driven by growth in Productivity and Business Processes and Intelligent Cloud, offset in part by lower revenue from More Personal Computing. Productivity and Business Processes revenue increased, driven by the acquisition of LinkedIn and higher revenue from Microsoft Office. Intelligent Cloud revenue increased, primarily due to higher revenue from server products and cloud services. More Personal Computing revenue decreased, mainly due to lower revenue from Devices, offset in part by higher revenue from Windows and Search advertising. Revenue included an unfavorable foreign currency impact of 2%.</t>
  </si>
  <si>
    <t>Gross margin increased $3.1 billion or 6%, due to growth across each of our segments, including the acquisition of LinkedIn, driven by higher revenue. Gross margin included an unfavorable foreign currency impact of 2%. Gross margin percentage increased slightly due to a margin percent increase in More Personal Computing and segment sales mix, offset in part by margin percent declines in Productivity and Business Processes and Intelligent Cloud. Gross margin percentage includes a 5-point improvement in commercial cloud gross margin primarily across Azure and Office 365.</t>
  </si>
  <si>
    <t>Operating income increased $2.1 billion or 11%, primarily due to higher gross margin and lower impairment, integration, and restructuring expenses, offset in part by an increase in research and development and sales and marketing expenses. Operating income included an operating loss of $948 million related to the acquisition of LinkedIn, including $866 million of amortization of intangible assets. Operating income also included an unfavorable foreign currency impact of 4%.</t>
  </si>
  <si>
    <t>Cost of revenue increased $1.5 billion or 5%, mainly due to growth in our commercial cloud, the acquisition of LinkedIn, and higher Search advertising traffic acquisition costs, offset in part by a reduction in phone sales and Gaming cost of revenue.</t>
  </si>
  <si>
    <t>Sales and marketing expenses increased $842 million or 6%, primarily due to LinkedIn expenses and increased investments in sales capacity for our commercial cloud, offset in part by a reduction in phone and marketing expenses.</t>
  </si>
  <si>
    <t>Research and development expenses increased $1.0 billion or 9%, primarily due to LinkedIn expenses and increased investments in cloud engineering, offset in part by a reduction in phone expenses.</t>
  </si>
  <si>
    <t>Revenue increased $4.0 billion or 15%, driven by the acquisition of LinkedIn and higher revenue from Office.
-LinkedIn revenue was $2.3 billion, primarily comprised of revenue from Talent Solutions.
-Office Commercial revenue increased $1.2 billion or 6%, driven by higher revenue from Office 365 commercial, mainly due to growth in subscribers, offset in part by lower revenue from products licensed on-premises, reflecting a continued shift to Office 365 commercial.
-Office Consumer revenue increased $425 million or 14%, driven by higher revenue from Office 365 consumer, mainly due to growth in subscribers.
-Dynamics revenue increased 9%, primarily due to higher revenue from Dynamics 365.
Operating income decreased $505 million or 4%, primarily due to higher operating expenses, offset in part by higher gross margin. Operating income included an unfavorable foreign currency impact of 3%.
-Operating expenses increased $2.4 billion or 26%, mainly due to LinkedIn and cloud engineering expenses. Operating expenses included $2.3 billion related to our acquisition of LinkedIn, including $359 million of amortization of acquired intangible assets. Sales and marketing expenses increased $1.2 billion or 24%, research and development expenses increased $955 million or 35%, and general and administrative expenses increased $212 million or 14%.
-Gross margin increased $1.8 billion or 9%, primarily due to our acquisition of LinkedIn. Gross margin percentage decreased due to an increased mix of cloud offerings and amortization of acquired intangible assets related to LinkedIn. Cost of revenue included $918 million related to our acquisition of LinkedIn, including $507 million of amortization of acquired intangible assets.</t>
  </si>
  <si>
    <t>Revenue increased $2.4 billion or 10%, primarily due to higher revenue from server products and cloud services.
-Server products and cloud services revenue grew $2.5 billion or 13%, driven by Azure revenue growth of 99% and server products licensed on-premises revenue growth of 4%.
-Enterprise Services revenue decreased 2%, driven by a decline in revenue from custom support agreements, offset in part by higher revenue from Premier Support Services and Microsoft Consulting Services.
Operating income decreased $177 million or 2%, primarily due to higher operating expenses, offset in part by higher gross margin. Operating income included an unfavorable foreign currency impact of 3%.
-Operating expenses increased $973 million or 11%, driven by investments in sales capacity, cloud engineering, and developer engagement. Sales and marketing expenses increased $547 million or 13%, research and development expenses increased $468 million or 14%, and general and administrative expenses decreased $42 million or 3%.
-Gross margin increased $796 million or 4%, driven by growth in server products and cloud services revenue and cloud services scale and efficiencies, offset in part by a decline in Enterprise Services gross margin. Gross margin included an unfavorable foreign currency impact of 2%. Gross margin percentage decreased due to an increased mix of cloud offerings and lower Enterprise Services gross margin percent, offset by improvement in Azure gross margin percent.</t>
  </si>
  <si>
    <t>Revenue decreased $1.7 billion or 4%, mainly due to lower revenue from Devices, offset in part by higher revenue from Windows and Search advertising.
-Windows revenue increased $442 million or 3%, mainly due to higher revenue from Windows OEM and Windows Commercial. Windows OEM revenue increased 3%. Windows OEM Pro revenue grew 5%, outperforming the commercial PC market, primarily due to a higher mix of premium licenses sold. Windows OEM non-Pro revenue grew 1%, outperforming the consumer PC market, primarily due to a higher mix of premium devices sold. Windows Commercial revenue grew 5%, driven by multi-year agreement revenue.
-Search advertising revenue increased $791 million or 15%. Search advertising revenue, excluding traffic acquisition costs, increased 9%, primarily driven by growth in Bing, due to higher revenue per search and search volume.
-Gaming revenue decreased slightly, primarily due to lower Xbox hardware revenue, offset in part by higher revenue from Xbox software and services. Xbox hardware revenue decreased 21%, mainly due to lower prices of consoles sold and a decline in volume of consoles sold. Xbox software and services revenue increased 11%, driven by a higher volume of Xbox Live transactions and revenue per transaction.
-Surface revenue decreased $82 million or 2%, primarily due to a reduction in volumes sold, offset in part by a higher mix of premium devices.
-Phone revenue decreased $2.8 billion.
Operating income increased $2.1 billion or 34%, due to lower operating expenses and higher gross margin. Operating income included an unfavorable foreign currency impact of 4%.
-Operating expenses decreased $1.5 billion or 12%, driven by a reduction in phone expenses and Surface launch-related expenses in the prior year. Sales and marketing expenses decreased $892 million or 16%, research and development expenses decreased $374 million or 6%, and general and administrative expenses decreased $252 million or 16%.
-Gross margin increased $568 million or 3%, driven by growth in Windows, Search advertising, and Gaming, offset in part by a decline in Phone and Surface. Gross margin percentage increased due to favorable sales mix and gross margin percent improvements across Gaming, Windows, and Search advertising, offset by a gross margin percent decline in Devices. Gross margin included an unfavorable foreign currency impact of 2%.</t>
  </si>
  <si>
    <t>Corporate and Other revenue is comprised of revenue deferrals related to Windows 10. Corporate and Other operating income (loss) is comprised of revenue deferrals related to Windows 10 and corporate-level activity not specifically allocated to a segment, including impairment, integration, and restructuring expenses.
Revenue decreased $64 million, due to an increase in the net revenue deferral from Windows 10. During fiscal year 2017 and 2016, we deferred net revenue from Windows 10 of $6.7 billion and $6.6 billion, respectively.
Corporate and Other operating loss decreased $740 million, primarily due to an $804 million reduction in impairment, integration, and restructuring expenses, driven by prior year goodwill and asset impairment charges and restructuring charges related to our phone business, offset in part by current year employee severance expenses primarily related to our sales and marketing restructuring plan.</t>
  </si>
  <si>
    <t>3Q17 Results</t>
  </si>
  <si>
    <t>Revenue increased $1.6 billion or 8%, driven by growth in Productivity and Business Processes and Intelligent Cloud, offset in part by lower revenue from More Personal Computing. Productivity and Business Processes revenue increased, driven by the acquisition of LinkedIn and higher revenue from Office 365. Intelligent Cloud revenue increased, primarily due to higher revenue from server products and cloud services. More Personal Computing revenue decreased, mainly due to lower revenue from Devices, offset in part by higher revenue from Windows, Search advertising, and Gaming.</t>
  </si>
  <si>
    <t>Gross margin increased $1.2 billion or 10%, driven by higher revenue, offset in part by higher cost of revenue.</t>
  </si>
  <si>
    <t xml:space="preserve">Operating income increased $311 million or 6%, primarily due to higher gross margin, offset in part by an increase in operating expenses. Operating income included an unfavorable foreign currency impact of 3%. </t>
  </si>
  <si>
    <t>Cost of revenue increased $338 million or 4%, mainly due to growth in our commercial cloud and the acquisition of LinkedIn, offset in part by a reduction in phone sales.</t>
  </si>
  <si>
    <t>Sales and marketing expenses increased $473 million or 14%, primarily due to LinkedIn expenses and increased investments in sales capacity for our commercial cloud, offset in part by a reduction in phone expenses.</t>
  </si>
  <si>
    <t>Research and development expenses increased $375 million or 13%, primarily due to LinkedIn expenses and increased investments in cloud engineering, offset in part by a reduction in phone expenses.</t>
  </si>
  <si>
    <t>General and administrative expenses increased $62 million or 5%, primarily due to LinkedIn expenses.</t>
  </si>
  <si>
    <t>Revenue increased $1.4 billion or 22%, driven by the acquisition of LinkedIn and higher revenue from Office 365.
-LinkedIn revenue was $975 million, primarily comprised of revenue from Talent Solutions.
-Office Commercial revenue increased $347 million or 7%, driven by higher revenue from Office 365 commercial, mainly due to growth in subscribers, offset in part by lower revenue from products licensed on-premises, reflecting a continued shift to Office 365 commercial.
-Office Consumer revenue increased $112 million or 15%, driven by higher revenue from Office 365 consumer, mainly due to growth in subscribers.
-Dynamics revenue increased 10%, due to higher revenue from Dynamics 365.
Operating income decreased $198 million or 7%, primarily due to higher operating expenses, offset in part by an increase in gross margin. Operating income included an unfavorable foreign currency impact of 3%.
-Operating expenses increased $993 million or 44%, mainly due to LinkedIn expenses. Operating expenses included $965 million related to our acquisition of LinkedIn, including $153 million of amortization of acquired intangible assets. Sales and marketing expenses increased $522 million or 44%, research and development expenses increased $363 million or 53%, and general and administrative expenses increased $108 million or 28%.
-Gross margin increased $795 million or 15%, driven by higher revenue, offset in part by higher cost of revenue. Gross margin included an unfavorable foreign currency impact of 2%. Cost of revenue increased $642 million or 50%, driven by our acquisition of LinkedIn and an increased mix of cloud offerings. Cost of revenue included $396 million related to our acquisition of LinkedIn, including $218 million of amortization of acquired intangible assets.</t>
  </si>
  <si>
    <t>Revenue increased $667 million or 11%, primarily due to higher revenue from server products and cloud services.
-Server products and cloud services revenue grew $680 million or 15%, driven by Azure revenue growth of 93% and server products licensed on-premises revenue growth of 6%.
-Enterprise Services revenue decreased slightly, driven by a decline in revenue from custom support agreements, offset in part by higher revenue from Premier Support Services and Microsoft Consulting Services.
Operating income increased slightly, primarily due to higher gross margin, offset by higher operating expenses. Operating income included an unfavorable foreign currency impact of 3%.
-Gross margin increased $246 million or 6%, driven by higher revenue, offset in part by higher cost of revenue. Cost of revenue increased $421 million or 25%, driven by investments to increase capacity and meet demand for the capabilities of our cloud offerings.
-Operating expenses increased $241 million or 11%, driven by investments in sales capacity, cloud engineering, and developer engagement. Sales and marketing expenses increased $139 million or 13% and research and development expenses increased $98 million or 12%.</t>
  </si>
  <si>
    <t>Revenue decreased $703 million or 7%, mainly due to lower revenue from Devices, offset in part by higher revenue from Windows, Search advertising, and Gaming.
-Surface revenue decreased $285 million or 26%, primarily due to a reduction in volumes sold.
-Windows revenue increased $177 million or 4%, mainly due to higher revenue from Windows OEM and Windows Commercial, offset in part by lower revenue from patent licensing. Windows OEM revenue increased 5%. Windows OEM Pro revenue grew 10%, outperforming the commercial PC market, primarily due to a higher mix of premium licenses sold. Windows OEM non-Pro revenue declined 1%, outperforming the consumer PC market due to a higher mix of premium devices sold. Windows Commercial revenue grew 6%, driven by multi-year agreement revenue. Patent licensing revenue decreased 19%, mainly due to a decline in license revenue per unit.
-Search advertising revenue increased $81 million or 5%. Search advertising revenue, excluding traffic acquisition costs, increased 8%, primarily driven by growth in Bing, due to higher revenue per search and search volume.
-Gaming revenue increased $78 million or 4%, primarily due to higher revenue from Xbox software and services. Xbox software and services revenue increased 7%, driven by a higher volume of Xbox Live transactions.
-Phone revenue decreased $730 million.
Operating income increased $346 million or 20%, due to lower operating expenses and slightly higher gross margin. Operating income included an unfavorable foreign currency impact of 3%.
-Operating expenses decreased $324 million or 11%, primarily due to a reduction in phone expenses and Surface launch-related expenses in the prior year. Sales and marketing expenses decreased $188 million or 16%, research and development expenses decreased $86 million or 6%, and general and administrative expenses decreased $50 million or 13%.
-Gross margin increased slightly, driven by lower cost of revenue, offset in part by lower revenue. Gross margin included an unfavorable foreign currency impact of 2%. Cost of revenue decreased $725 million or 15%, driven by a reduction in phone sales and lower Surface cost of revenue, offset in part by an increase in Xbox software and services cost of revenue.</t>
  </si>
  <si>
    <t>2Q17 Results</t>
  </si>
  <si>
    <t>Revenue increased $294 million or 1%, driven by growth in Productivity and Business Processes and Intelligent Cloud, offset in part by lower revenue from More Personal Computing and an increase in the net revenue deferral from Windows 10. Windows 10 revenue is primarily recognized at the time of billing in the More Personal Computing segment, and the deferral and subsequent recognition of revenue is reflected in Corporate and Other. Productivity and Business Processes revenue increased, driven by higher revenue from Office 365 and the acquisition of LinkedIn. Intelligent Cloud revenue increased, primarily due to higher revenue from server products and cloud services. More Personal Computing revenue decreased, mainly due to lower revenue from Devices and Gaming, offset in part by higher revenue from Windows and Search advertising. Revenue included an unfavorable foreign currency impact of 2%.</t>
  </si>
  <si>
    <t>Gross margin increased $265 million or 2%, driven by higher revenue. Gross margin included an unfavorable foreign currency impact of 2%.</t>
  </si>
  <si>
    <t xml:space="preserve">Operating income increased $151 million or 3%, primarily due to higher gross margin, offset in part by an increase in operating expenses. Operating income included an unfavorable foreign currency impact of 4%. </t>
  </si>
  <si>
    <t>Cost of revenue increased slightly, mainly due to growth in our commercial cloud, the acquisition of LinkedIn, and higher Search advertising traffic acquisition costs, offset in part by a reduction in phone sales.</t>
  </si>
  <si>
    <t>Sales and marketing expenses increased $111 million or 3%, primarily due to LinkedIn expenses and increased investments to drive sales capacity in our commercial cloud, offset in part by a reduction in phone expenses.</t>
  </si>
  <si>
    <t>Research and development expenses increased $162 million or 6%, primarily due to increased strategic investments to drive cloud engineering and LinkedIn expenses, offset in part by a reduction in phone expenses.</t>
  </si>
  <si>
    <t>General and administrative expenses decreased $159 million or 15%, primarily due to the benefit of a legal settlement in the current year, lower employee-related expenses, and a reduction in phone expenses, offset in part by LinkedIn expenses.</t>
  </si>
  <si>
    <t>Revenue increased $692 million or 10%, primarily due to higher revenue from Office 365 and the acquisition of LinkedIn. Revenue included an unfavorable foreign currency impact of 2%.
-Office Commercial revenue increased $289 million or 5%, driven by higher revenue from Office 365 commercial, mainly due to growth in subscribers, offset in part by lower revenue from products licensed on-premises, reflecting a continued shift to Office 365 commercial. Revenue included an unfavorable foreign currency impact of 2%.
-LinkedIn revenue was $228 million, primarily comprised of revenue from Talent Solutions and Marketing Solutions.
-Office Consumer revenue increased $156 million or 22%, driven by higher revenue from Office 365 consumer, mainly due to growth in subscribers.
-Dynamics revenue increased 7%, due to higher revenue from Dynamics 365.
Operating income decreased slightly, primarily due to higher operating expenses, offset in part by an increase in gross margin. Operating income included an unfavorable foreign currency impact of 2%. Operating expenses increased $288 million or 13%, mainly due to LinkedIn expenses and investments in cloud engineering. Operating expenses included $310 million related to our acquisition of LinkedIn, including $52 million of amortization of acquired intangible assets. Sales and marketing expenses increased $165 million or 13%, and research and development expenses increased $129 million or 20%. Gross margin increased $252 million or 5%, driven by higher revenue, offset in part by higher cost of revenue. Cost of revenue increased $440 million or 37%, driven by an increased mix of cloud offerings and our acquisition of LinkedIn. Cost of revenue included $119 million related to our acquisition of LinkedIn, including $72 million of amortization of acquired intangible assets.</t>
  </si>
  <si>
    <t>Revenue increased $518 million or 8%, primarily due to higher revenue from server products and cloud services. Revenue included an unfavorable foreign currency impact of 2%.
-Server products and cloud services revenue grew $577 million or 12%, driven by Azure revenue growth of 93%, and 5% growth in revenue from our server products licensed on-premises. Revenue included an unfavorable foreign currency impact of 2%.
-Enterprise Services revenue decreased 4%, driven by a decline in revenue from custom support agreements, offset in part by higher revenue from Premier Support Services and Microsoft Consulting Services.
Operating income decreased $170 million or 7%, primarily due to higher operating expenses, offset in part by higher gross margin. Operating income included an unfavorable foreign currency impact of 3%. Operating expenses increased $264 million or 12%, mainly due to higher sales and marketing expenses and research and development expenses. Sales and marketing expenses increased $154 million or 15% and research and development expenses increased $145 million or 19%, driven by strategic investments to drive cloud engineering, sales capacity, and developer engagement. Gross margin increased $94 million or 2%, driven by higher revenue, offset in part by higher cost of revenue. Gross margin included an unfavorable foreign currency impact of 2%. Cost of revenue increased $424 million or 26%, primarily driven by investments to increase capacity and meet demand for the capabilities of our cloud offerings.</t>
  </si>
  <si>
    <t>Revenue decreased $650 million or 5%, mainly due to lower revenue from Devices and Gaming, offset in part by higher revenue from Windows and Search advertising.
-Windows revenue increased $149 million or 3%, mainly due to higher revenue from Windows OEM and Windows Commercial, offset in part by lower revenue from patent licensing. Windows OEM revenue increased 5%. Windows OEM Pro revenue grew 6%, slightly outperforming a strengthening commercial PC market, and Windows OEM non-Pro revenue grew 5%, outperforming the consumer PC market. Windows Commercial revenue grew 5%, driven by renewals and a higher mix of premium multi-year agreements. Patent licensing revenue decreased 25%, mainly due to a decline in licensed units and license revenue per unit.
-Search advertising revenue increased $177 million or 12%. Search advertising revenue, excluding traffic acquisition costs, increased 10%, primarily driven by growth in Bing, due to higher revenue per search and search volume.
-Devices revenue decreased $914 million or 35%, mainly due to lower revenue from phones. Phone revenue decreased $878 million or 81%, driven by a reduction in volume of phones sold.
-Gaming revenue decreased $104 million or 3%, primarily due to lower Xbox hardware revenue, offset in part by higher revenue from Xbox software and services. Xbox hardware revenue decreased 22%, mainly due to lower prices of consoles sold and a decline in volume of consoles sold. Xbox software and services revenue increased 18%, driven by a higher volume of Xbox Live transactions and revenue per transaction.
Operating income increased $623 million or 33%, due to lower operating expenses and higher gross margin. Operating income included an unfavorable foreign currency impact of 4%. Operating expenses decreased $438 million or 12%. Sales and marketing expenses decreased $208 million or 13%, driven by a reduction in phone expenses and Surface launch-related expenses in the prior year. General and administrative expenses decreased $118 million or 31%, driven by the benefit of a legal settlement in the current year and a reduction in phone expenses. Research and development expenses decreased $112 million or 8%, driven by a reduction in phone expenses. Gross margin increased $185 million or 3%, driven by lower cost of revenue, offset in part by lower revenue. Gross margin included an unfavorable foreign currency impact of 2%. Cost of revenue decreased $835 million or 12%, driven by a reduction in phone sales and lower Xbox hardware cost of revenue, offset in part by an increase in Xbox software and services cost of revenue and Search advertising traffic acquisition costs.</t>
  </si>
  <si>
    <t>1Q17 Results</t>
  </si>
  <si>
    <t>Revenue increased $74 million, driven by growth in Intelligent Cloud and Productivity and Business Processes, offset in part by an increase in the net revenue deferral from Windows 10 and lower revenue from More Personal Computing. Windows 10 revenue is primarily recognized at the time of billing in the More Personal Computing segment, and the deferral and subsequent recognition of revenue is reflected in Corporate and Other. Intelligent Cloud revenue increased, primarily due to higher revenue from server products and cloud services. Productivity and Business Processes revenue increased, driven by higher revenue from Office 365. More Personal Computing revenue decreased, mainly due to lower revenue from Devices and Gaming, offset in part by higher revenue from Search advertising. Revenue included an unfavorable foreign currency impact of 2%.</t>
  </si>
  <si>
    <t>Gross margin decreased $563 million or 4%, driven by higher cost of revenue. Gross margin included an unfavorable foreign currency impact of 2%.</t>
  </si>
  <si>
    <t xml:space="preserve">Operating income decreased $568 million or 10%, primarily due to lower gross margin and an increase in research and development expenses, offset in part by lower sales and marketing expenses. Operating income included an unfavorable foreign currency impact of 5%. </t>
  </si>
  <si>
    <t>Cost of revenue increased $637 million or 9%, mainly due to growth in our commercial cloud and Search advertising traffic acquisition costs, offset in part by a reduction in phone sales.</t>
  </si>
  <si>
    <t>Sales and marketing expenses decreased $100 million or 3%, primarily due to a reduction in phone expenses and Windows 10 launch-related expenses in the prior year, offset in part by increased investment to drive sales capacity in our commercial cloud.</t>
  </si>
  <si>
    <t>Research and development expenses increased $144 million or 5%, primarily due to increased strategic investments and acquisitions to drive cloud engineering, offset in part by a reduction in phone expenses.</t>
  </si>
  <si>
    <t>Revenue increased $352 million or 6%, primarily due to higher revenue from Office 365. Revenue included an unfavorable foreign currency impact of 2%.
-Office Commercial revenue increased $264 million or 5%, driven by higher revenue from Office 365 commercial, mainly due to growth in subscribers, offset in part by lower revenue from products licensed on-premises, reflecting a continued shift to Office 365 commercial. Revenue included an unfavorable foreign currency impact of 3%.
-Office Consumer revenue increased $58 million or 8%, driven by higher revenue from Office 365 consumer, mainly due to growth in subscribers.
-Dynamics revenue increased 11%, mainly due to higher revenue from Dynamics CRM Online, driven by seat growth.
Operating income decreased slightly, primarily due to higher operating expenses. Operating expenses increased $35 million or 2%, mainly due to higher research and development expenses, driven by investments in cloud engineering. Operating income included an unfavorable foreign currency impact of 3%. Gross margin was flat, reflecting higher cost of revenue, offset by higher revenue. Gross margin included an unfavorable foreign currency impact of 2%. Cost of revenue increased $353 million or 34%, driven by an increased mix of cloud offerings.</t>
  </si>
  <si>
    <t>Revenue increased $490 million or 8%, due to higher revenue from server products and cloud services. Revenue included an unfavorable foreign currency impact of 2%.
-Server products and cloud services revenue grew $486 million or 11%, driven by Azure revenue growth of 116%, as well as growth in revenue from our server products licensed on-premises.
-Enterprise Services revenue increased 1%, driven by growth in revenue from Premier Support Services and Microsoft Consulting Services, offset in part by a decline in revenue from custom support agreements.
Operating income decreased $333 million or 14%, primarily due to higher operating expenses. Operating expenses increased $408 million or 21%, mainly due to higher research and development expenses and sales and marketing expenses. Research and development expenses increased $196 million or 26% and sales and marketing expenses increased $191 million or 22%, driven by strategic investments and acquisitions to drive cloud engineering, sales capacity, and developer engagement. Operating income included an unfavorable foreign currency impact of 3%. Gross margin increased $75 million or 2%, mainly due to higher revenue, offset in part by higher cost of revenue. Gross margin included an unfavorable foreign currency impact of 2%. Cost of revenue increased $415 million or 27%, driven by an increased mix of cloud offerings.</t>
  </si>
  <si>
    <t>Revenue decreased $168 million or 2%, mainly due to lower revenue from Devices and Gaming, offset in part by higher revenue from Search advertising.
-Devices revenue decreased $493 million or 27%, mainly due to lower revenue from phones, offset in part by higher Microsoft Surface (“Surface”) revenue. Phone revenue decreased $799 million or 72%, driven by a reduction in volume of phones sold. Surface revenue increased $253 million or 38%, primarily driven by a higher mix of premium devices sold.
-Gaming revenue decreased $110 million or 5%, primarily due to lower Xbox hardware revenue, offset in part by higher revenue from Xbox software and services. Xbox hardware revenue decreased 26%, mainly due to lower prices of consoles sold and a decline in volume of consoles sold. Xbox software and services revenue increased 6%, driven by a higher volume of Xbox Live transactions and revenue per transaction.
-Search advertising revenue increased $409 million or 40%. Search advertising revenue, excluding traffic acquisition costs, increased 9%, primarily driven by growth in Bing, due to higher revenue per search and search volume.
-Windows revenue increased slightly, mainly due to higher revenue from patent licensing. Windows OEM licensing (“Windows OEM”) revenue was flat, slightly ahead of the PC market. Windows OEM Pro revenue grew 1%, generally in line with the commercial PC market, and Windows OEM non-Pro revenue declined 1%, slightly outperforming the consumer PC market.
Operating income increased $401 million or 26%, primarily due to lower operating expenses. Operating expenses decreased $438 million or 13%, mainly due to lower sales and marketing expenses and research and development expenses. Sales and marketing expenses decreased $245 million or 18% and research and development expenses decreased $139 million or 9%, driven by a reduction in phone expenses. The decrease in sales and marketing expenses also reflects Windows 10 launch-related expenses in the prior year. Operating income included an unfavorable foreign currency impact of 5%. Gross margin decreased slightly, reflecting lower revenue, offset in part by a reduction in cost of revenue. Cost of revenue decreased $131 million or 3%, driven by a reduction in phone sales, offset in part by an increase in Search advertising traffic acquisition costs and Surface cost of revenue. Surface cost of revenue increased, primarily driven by a higher mix of premium devices sold. Gross margin included an unfavorable foreign currency impact of 2%.</t>
  </si>
  <si>
    <t>FY16 Results</t>
  </si>
  <si>
    <t>Revenue decreased $8.3 billion or 9%, primarily due to the impact of the net revenue deferral from Windows 10 of $6.6 billion and an unfavorable foreign currency impact of approximately $3.8 billion or 4%. Windows 10 revenue is primarily recognized at the time of billing in the More Personal Computing segment, and the deferral and subsequent recognition of revenue is reflected in Corporate and Other. More Personal Computing revenue decreased, mainly due to lower revenue from Devices and Windows, offset in part by higher revenue from Search advertising and Gaming. Intelligent Cloud revenue increased, primarily due to higher revenue from server products and cloud services and Enterprise Services. Productivity and Business Processes revenue increased slightly, driven by an increase in Office and Dynamics revenue.</t>
  </si>
  <si>
    <t>Gross margin decreased $8.0 billion or 13%, driven by the decline in revenue as discussed above, and included an unfavorable foreign currency impact of approximately $3.3 billion or 5%. Productivity and Business Processes and More Personal Computing gross margin decreased, offset in part by higher gross margin from Intelligent Cloud.</t>
  </si>
  <si>
    <t>Operating income increased $2.0 billion or 11%, primarily due to a decrease in impairment, integration, and restructuring expenses and sales and marketing expenses, offset in part by lower gross margin.</t>
  </si>
  <si>
    <t>Cost of revenue decreased $258 million or 1%, mainly due to a reduction in phone sales, driven by the change in strategy for the phone business, offset in part by growth in commercial cloud and Search advertising.</t>
  </si>
  <si>
    <t>Sales and marketing expenses decreased $1.0 billion or 6%, driven by a reduction in phone expenses and a favorable foreign currency impact of approximately 2%.</t>
  </si>
  <si>
    <t>Productivity and Business Processes revenue increased slightly, primarily due to an increase in Office and Dynamics revenue. Revenue included an unfavorable foreign currency impact of approximately 6%.
-Office Commercial revenue increased $135 million or 1%, driven by higher revenue from Office 365 commercial, mainly due to growth in subscribers, offset by lower transactional license volume, reflecting a continued shift to Office 365 commercial and a decline in the business PC market. Revenue included an unfavorable foreign currency impact of approximately 6%.
-Office Consumer revenue decreased $69 million or 2%, driven by a decline in the consumer PC market, offset in part by higher revenue from Office 365 consumer, mainly due to growth in subscribers. Revenue included an unfavorable foreign currency impact of approximately 4%.
-Dynamics revenue increased 4%, mainly due to higher revenue from Dynamics CRM Online, driven by seat growth. Revenue included an unfavorable foreign currency impact of approximately 6%.
Productivity and Business Processes operating income decreased $856 million or 6%, driven by lower gross margin. Gross margin decreased $928 million or 4%, primarily due to higher cost of revenue. Gross margin included an unfavorable foreign currency impact of approximately 6%. Cost of revenue increased $985 million or 25%, primarily due to an increased mix of cloud offerings. Operating expenses decreased $72 million or 1%, driven by lower sales and marketing expenses. Sales and marketing expenses decreased $82 million or 2%, mainly due to a reduction in headcount-related expenses and lower fees paid to third-party enterprise software advisors.</t>
  </si>
  <si>
    <t>Intelligent Cloud revenue increased $1.3 billion or 6%, primarily due to higher server products and cloud services revenue and Enterprise Services revenue. Revenue included an unfavorable foreign currency impact of approximately 5%.
-Server products and cloud services revenue grew $686 million or 4%, driven by revenue growth from Azure of 113%, offset in part by a decline in transactional revenue from our on-premises server products. Revenue included an unfavorable foreign currency impact of approximately 5%.
-Enterprise Services revenue grew $536 million or 11%, mainly due to growth in Premier Support Services. Revenue included an unfavorable foreign currency impact of approximately 5%.
Intelligent Cloud operating income decreased $488 million or 5%, primarily due to higher operating expenses, offset in part by higher gross margin. Operating expenses increased $989 million or 12%, mainly due to higher research and development expenses and sales and marketing expenses. Research and development expenses increased $567 million or 21% and sales and marketing expenses increased $347 million or 9%, driven by increased strategic investments and acquisitions to drive cloud sales capacity and innovation. Gross margin increased $501 million or 3%, driven by revenue growth, offset in part by higher cost of revenue. Gross margin included an unfavorable foreign currency impact of approximately 5%. Cost of revenue increased $826 million or 14%, primarily driven by an increased mix of cloud services.</t>
  </si>
  <si>
    <t>More Personal Computing revenue decreased $3.0 billion or 7%, mainly due to lower revenue from Devices and Windows, offset in part by higher revenue from Search advertising and Gaming. Revenue included an unfavorable foreign currency impact of approximately 2%.
-Devices revenue decreased $4.0 billion or 33%, mainly due to lower revenue from phones, driven by the change in strategy for the phone business, offset in part by higher Surface revenue. Phone revenue decreased $4.2 billion or 56%, as we sold 13.8 million Microsoft Lumia phones and 75.5 million other phones in fiscal year 2016, compared with 36.8 million and 126.8 million sold, respectively, in fiscal year 2015. Surface revenue increased $207 million or 5%, primarily driven by the release of Surface Pro 4 and Surface Book in the second quarter of fiscal year 2016, as well as the release of Surface 3 in the fourth quarter of fiscal year 2015, offset in part by a decline in revenue from Surface Pro 3. Devices revenue included an unfavorable foreign currency impact of approximately 3%.
-Windows revenue decreased $958 million or 5%, mainly due to lower revenue from patent licensing, Windows OEM, and Windows Phone licensing. Patent licensing revenue decreased 27%, due to a decline in license revenue per unit and licensed units. Windows OEM revenue decreased 1%. Windows OEM Pro revenue declined 6%, driven by a decline in the business PC market. Windows OEM non-Pro revenue increased 7%, outperforming the consumer PC market, driven by a higher mix of premium licenses sold. Windows Phone licensing revenue decreased 64%, driven by the recognition of deferred revenue in fiscal year 2015 from Windows Phone 8. Windows revenue included an unfavorable foreign currency impact of approximately 2%.
-Search advertising revenue increased $1.7 billion or 46%. Search advertising revenue, excluding traffic acquisition costs, increased 17%, primarily driven by growth in Bing, due to higher revenue per search and search volume. Search advertising revenue included an unfavorable foreign currency impact of approximately 2%.
-Gaming revenue increased $75 million or 1%, primarily due to higher revenue from Xbox Live and video games, offset in part by lower Xbox hardware revenue. Xbox Live revenue increased 17%, driven by higher revenue per transaction and volume of transactions. Video games revenue grew 28%, driven by the launch of Halo 5 and sales of Minecraft. We acquired Mojang AB, the Swedish video game developer of the Minecraft gaming franchise, in November 2014. Xbox hardware revenue decreased 16%, mainly due to lower prices of Xbox One consoles sold and a decline in Xbox 360 console volume, offset in part by higher Xbox One console volume. Gaming revenue included an unfavorable foreign currency impact of approximately 4%.
More Personal Computing operating income increased $1.1 billion or 22%, primarily due to lower operating expenses, offset in part by lower gross margin. Operating expenses decreased $2.0 billion or 13%, mainly due to lower sales and marketing expenses and research and development expenses. Sales and marketing expenses decreased $1.3 billion or 19% and research and development expenses decreased $676 million or 10%, driven by a reduction in phone expenses. Gross margin decreased $932 million or 5%, reflecting lower revenue, offset in part by a reduction in cost of revenue. Gross margin included an unfavorable foreign currency impact of approximately 5%. Cost of revenue decreased $2.1 billion or 9%, primarily driven by a reduction in phone sales, offset in part by higher search advertising cost of revenue.</t>
  </si>
  <si>
    <t>Corporate and Other revenue is comprised of revenue deferrals related to Windows 10. Corporate and Other operating income (loss) is comprised of revenue deferrals related to Windows 10 and corporate-level activity not specifically allocated to a segment, including impairment, integration, and restructuring expenses.
Corporate and Other revenue decreased $6.6 billion, due to the net revenue deferral from Windows 10.
Corporate and Other operating loss decreased $2.3 billion, primarily due to an $8.9 billion reduction in impairment, integration, and restructuring expenses, driven by prior year goodwill and asset impairment charges related to our phone business, offset in part by lower revenue.</t>
  </si>
  <si>
    <t>FY15 Results (Restated)</t>
  </si>
  <si>
    <t>Revenue increased $6.7 billion or 8%, primarily due to higher revenue from More Personal Computing and Intelligent Cloud. More Personal Computing revenue increased, primarily due to higher revenue from Devices, search advertising and Gaming, offset in part by a decline in Windows revenue. Intelligent Cloud revenue increased, primarily due to higher revenue from server products and cloud services. Revenue included an unfavorable foreign currency impact of approximately 2%.</t>
  </si>
  <si>
    <t>Gross margin increased $787 million or 1%, driven by our Intelligent Cloud, offset in part by a reduction in gross margin from Productivity and Business Processes.</t>
  </si>
  <si>
    <t xml:space="preserve">Operating income decreased $9.6 billion or 35%, primarily due to impairment, integration, and restructuring expenses in fiscal year 2015, as well as increased research and development expenses, offset in part by higher gross margin. </t>
  </si>
  <si>
    <t>Cost of revenue increased $6.0 billion or 22%, mainly due to phone sales, as well as increasing costs in support of our commercial cloud, including $396 million of higher datacenter expenses.</t>
  </si>
  <si>
    <t>Research and development expenses increased $665 million or 6%, mainly due to increased investment in new products and services, including phone expenses, offset in part by reduced headcount-related expenses.</t>
  </si>
  <si>
    <t>Productivity and Business Processes revenue decreased $546 million or 2%, mainly due to a decline in revenue from Office, offset in part by growth in revenue from Dynamics. Revenue included an unfavorable foreign currency impact of approximately 2%.
-Office Consumer revenue decreased $624 million or 17%, driven by declines in the Japan PC market, where Office is predominantly pre-installed on new PCs, offset in part by subscriber growth of Office 365 consumer.
-Office Commercial revenue decreased $152 million or 1%, driven by lower transactional license volume, reflecting a decline in the business PC market following Windows XP end of support in the prior year, and declines in Japan, offset in part by subscriber growth and higher premium mix of Office 365 commercial.
-Dynamics revenue grew 12%, mainly due to higher revenue from Dynamics CRM Online and Dynamics ERP products. Dynamics users increased, with 30% growth in number of Dynamics paid seats, and we ended fiscal year 2015 with over eight million paid seats.
Productivity and Business Processes operating income decreased $814 million or 6%, driven by lower gross margin, offset in part by a reduction in operating expenses. Gross margin decreased $1.0 billion or 4%, primarily due to the decline in Office Consumer revenue. Gross margin included an unfavorable foreign currency impact of approximately 2%. Cost of revenue increased $492 million or 15%, primarily due to higher cloud infrastructure expenses, reflecting increased datacenter capacity to serve our Office 365 offerings. Operating expenses decreased $224 million or 2%. Sales and marketing and general and administrative expenses decreased $258 million and $125 million, respectively, mainly due to lower headcount-related expenses. Research and development expenses increased $159 million or 6%, mainly due to increased investment in new products and services.</t>
  </si>
  <si>
    <t>Intelligent Cloud revenue increased $2.0 billion or 9%, mainly due to higher server products and services revenue, as well as higher Enterprise Services revenue. Revenue included an unfavorable foreign currency impact of approximately 2%.
-Server products and cloud services revenue grew $1.6 billion or 9%, primarily driven by higher premium mix of Microsoft SQL Server, Windows Server, and System Center, as well as continued revenue growth from Azure.
-Enterprise Services revenue grew $325 million or 7%, mainly due to growth in Premier Support Services.
Intelligent Cloud operating income increased $1.4 billion or 17%, primarily due to higher gross margin, offset in part by higher operating expenses. Gross margin increased $1.6 billion or 10%, driven by revenue growth from our server products and services. Gross margin included an unfavorable foreign currency impact of approximately 2%. Cost of revenue increased $404 million or 7%, mainly due to higher cloud infrastructure expenses, reflecting increased datacenter capacity for our Azure services. Operating expenses increased $151 million or 2%, driven by higher research and development expenses. Research and development expenses increased $160 million or 6%, mainly due to increased investment in new products and services.</t>
  </si>
  <si>
    <t>More Personal Computing revenue increased $4.7 billion or 12%, mainly due to growth in Devices, search advertising, and Gaming revenue, offset in part by a decline in revenue from Windows.
-Devices revenue increased $7.0 billion or 152%, mainly due to a full year of phone sales and higher Surface revenue. Devices revenue included an unfavorable foreign currency impact of approximately 5%. Phones revenue increased $5.5 billion, as we sold 36.8 million Lumia phones and 126.8 million other phones in fiscal year 2015, compared with 5.8 million and 30.3 million sold, respectively, in fiscal year 2014 following the acquisition of Nokia Corporation’s (“Nokia”) Devices and Services business (“NDS”). We acquired NDS in the fourth quarter of fiscal year 2014. Surface revenue increased 65% to $3.6 billion, primarily due to Surface Pro 3 units sold. Surface Pro 3 was released in June 2014.
-Search advertising revenue increased $651 million or 22%, primarily driven by growth in Bing, due to higher revenue per search and search volume.
-Gaming revenue increased $463 million or 5%, mainly due to growth in Xbox Live and video games revenue, offset in part by a decrease in Xbox hardware revenue and third-party video game royalties. We sold 12.1 million Xbox consoles in fiscal year 2015 compared with 11.7 million consoles in fiscal year 2014. Xbox Live revenue increased $500 million, driven by increased Xbox Live users and revenue per user. Video games revenue increased $265 million, mainly due to sales of Minecraft following the acquisition of Mojang in November 2014, and new Xbox titles released in the current year.
-Windows revenue decreased $3.6 billion or 16%, mainly due to lower revenue from Windows OEM and Windows Phone. Windows OEM revenue decreased $1.9 billion or 15%, primarily due to declines of 15% in OEM Pro revenue and 16% in OEM non-Pro revenue. Windows OEM Pro revenue decreased, primarily due to benefits realized from the expiration of support for Windows XP in the prior year, and declines in the business PC market. Windows OEM non-Pro revenue declined, mainly due to an increased mix of opening price point devices sold, and declines in the consumer PC market. Windows Phone revenue, including related patent licensing, decreased $1.4 billion or 55%, primarily due to prior year revenue associated with our joint strategic initiatives with Nokia that terminated when we acquired NDS.
More Personal Computing operating income decreased $938 million or 17%, primarily due to higher operating expenses, as well as a reduction in gross margin. Gross margin decreased $364 million or 2%, reflecting a reduction in Windows gross margin, offset in part by an increase in devices gross margin. Cost of revenue increased $5.1 billion or 28%, driven by higher phones cost of revenue, as well as higher Xbox Live and search infrastructure costs, offset in part by a reduction in Windows Phone cost of revenue. Phones cost of revenue increased $4.8 billion, reflecting a full year of phone sales in fiscal year 2015. Windows Phone cost of revenue decreased $897 million, driven by prior year costs associated with our joint strategic initiatives with Nokia that terminated when we acquired NDS. Operating expenses increased $574 million or 4%, driven by a full year of NDS expenses. Research and development expenses increased $346 million or 5%, mainly due to increased investment in new product and services, including higher phone expenses, offset in part by reduced headcount-related expenses. Sales and marketing expenses increased $211 million or 3%, primarily due to higher phone expenses, offset in part by a decline in advertising and other marketing program costs.</t>
  </si>
  <si>
    <t>Corporate and Other revenue primarily comprises certain revenue deferrals, including those related to Windows 10, Bundled Offerings, and video games. Corporate and Other operating income (loss) primarily comprises revenue deferrals and corporate-level activity not specifically allocated to a segment, including impairment, integration, and restructuring expenses.
Corporate and Other revenue increased $613 million, primarily due to the timing of net revenue deferrals compared to the prior year. During fiscal year 2015, we recognized a net $303 million of previously deferred revenue related to Bundled Offerings. During fiscal year 2014, we deferred a net $349 million of revenue related to Bundled Offerings.
Corporate and Other operating loss increased $9.3 billion, primarily due to higher impairment, integration, and restructuring expenses, offset in part by increased revenue.</t>
  </si>
  <si>
    <t>FY15 Results</t>
  </si>
  <si>
    <t>Revenue increased $6.7 billion or 8%, reflecting a full year of Phone Hardware sales and growth in revenue from our Commercial Cloud, Surface, server products, search advertising, and Xbox Live transactions. These increases were offset in part by a decline in revenue from Office Commercial, Windows OEM, licensing of Windows Phone operating system, and Office Consumer. Revenue included an unfavorable foreign currency impact of approximately 2%.</t>
  </si>
  <si>
    <t>Gross margin increased $787 million or 1%, primarily due to higher revenue, offset in part by a $6.0 billion or 22% increase in cost of revenue. Cost of revenue increased, mainly due to Phone Hardware, as well as increasing costs in support of our Commercial Cloud, including $396 million of higher datacenter expenses. Gross margin, as a percentage of revenue, improved year over year in each of our reportable segments.</t>
  </si>
  <si>
    <t>Operating income decreased $9.6 billion or 35%, primarily due to impairment, integration, and restructuring expenses in the current year, as well as increased research and development expenses, offset in part by higher gross margin.</t>
  </si>
  <si>
    <t>Cost of revenue increased, mainly due to Phone Hardware, as well as increasing costs in support of our Commercial Cloud, including $396 million of higher datacenter expenses.</t>
  </si>
  <si>
    <t>Research and development expenses increased $665 million or 6%, mainly due to increased investment in new products and services, including NDS expenses, offset in part by reduced headcount-related expenses.</t>
  </si>
  <si>
    <t>D&amp;C Licensing</t>
  </si>
  <si>
    <r>
      <t xml:space="preserve">D&amp;C revenue increased $3.9 billion or 10%, primarily due to a full year of Phone Hardware sales, as well as higher revenue from Surface, search advertising, and Xbox Live transactions, offset in part by a decrease in revenue from Windows OEM, licensing of Windows Phone operating system, and Office Consumer. Collectively, Office Consumer and Office 365 Consumer revenue declined 17%. D&amp;C gross margin decreased $1.4 billion or 7%, reflecting higher cost of revenue, offset in part by higher revenue. D&amp;C cost of revenue increased $5.3 billion or 30%, mainly due to a full year of Phone Hardware costs.
</t>
    </r>
    <r>
      <rPr>
        <i/>
        <sz val="8"/>
        <color theme="1"/>
        <rFont val="Arial"/>
        <family val="2"/>
      </rPr>
      <t>D&amp;C Licensing</t>
    </r>
    <r>
      <rPr>
        <sz val="8"/>
        <color theme="1"/>
        <rFont val="Arial"/>
        <family val="2"/>
      </rPr>
      <t xml:space="preserve">
D&amp;C Licensing revenue decreased $4.6 billion or 23%, mainly due to lower revenue from Windows OEM, Windows Phone licensing, and Office Consumer. Windows OEM revenue declined $1.9 billion or 15%, primarily due to declines of 15% in OEM Pro revenue and 16% in OEM non-Pro revenue. Windows OEM Pro revenue decreased, primarily due to benefits realized from the expiration of support for Windows XP in the prior year, and declines in the business PC market. Windows OEM non-Pro revenue declined, mainly due to an increased mix of opening price point devices sold, and declines in the consumer PC market. Revenue from licensing of Windows Phone operating system decreased $1.4 billion or 55%, primarily due to prior year revenue associated with our joint strategic initiatives with Nokia that terminated when we acquired NDS. Office Consumer revenue declined $946 million or 29%, reflecting the transition of customers to Office 365 Consumer, where revenue is recognized ratably, and declines in the Japan PC market, where Office is predominantly pre-installed on new PCs.
D&amp;C Licensing gross margin decreased $3.6 billion or 20%, primarily due to the decline in revenue, offset in part by a $990 million or 47% decrease in cost of revenue. D&amp;C Licensing cost of revenue decreased, mainly due to a $788 million decline in traffic acquisition costs, driven by prior year costs associated with our joint strategic initiatives with Nokia that terminated when we acquired NDS.
</t>
    </r>
    <r>
      <rPr>
        <i/>
        <sz val="8"/>
        <color theme="1"/>
        <rFont val="Arial"/>
        <family val="2"/>
      </rPr>
      <t>Computing and Gaming Hardware</t>
    </r>
    <r>
      <rPr>
        <sz val="8"/>
        <color theme="1"/>
        <rFont val="Arial"/>
        <family val="2"/>
      </rPr>
      <t xml:space="preserve">
Computing and Gaming Hardware revenue increased $1.1 billion or 12%, primarily due to higher revenue from Surface, offset in part by lower revenue from Xbox Platform. Surface revenue increased 65% to $3.6 billion, primarily due to Surface Pro 3 units sold. Surface Pro 3 was released in June 2014. Xbox Platform revenue decreased $385 million or 6%, driven by lower prices of Xbox One consoles compared to the prior year, as well as a decrease in second- and third-party video games revenue. We sold 12.1 million Xbox consoles in fiscal year 2015 compared with 11.7 million consoles in fiscal year 2014.
Computing and Gaming Hardware gross margin increased $896 million or 100%, mainly due to higher revenue, offset in part by a $194 million or 2% increase in cost of revenue. Gross margin expansion was driven by Surface, which benefited from the mix shift to Surface Pro 3. Xbox Platform cost of revenue was comparable to the prior year.
</t>
    </r>
    <r>
      <rPr>
        <i/>
        <sz val="8"/>
        <color theme="1"/>
        <rFont val="Arial"/>
        <family val="2"/>
      </rPr>
      <t>Phone Hardware</t>
    </r>
    <r>
      <rPr>
        <sz val="8"/>
        <color theme="1"/>
        <rFont val="Arial"/>
        <family val="2"/>
      </rPr>
      <t xml:space="preserve">
Phone Hardware revenue increased $5.5 billion, as we sold 36.8 million Lumia phones and 126.8 million other non-Lumia phones in fiscal year 2015, compared with 5.8 million and 30.3 million sold, respectively, in fiscal year 2014 following the acquisition of NDS. We acquired NDS in the fourth quarter of fiscal year 2014.
Phone Hardware gross margin increased $647 million, primarily due to higher revenue, offset in part by higher cost of revenue. Phone Hardware cost of revenue increased $4.9 billion, and included $476 million of amortization of acquired intangible assets in fiscal year 2015.
</t>
    </r>
    <r>
      <rPr>
        <i/>
        <sz val="8"/>
        <color theme="1"/>
        <rFont val="Arial"/>
        <family val="2"/>
      </rPr>
      <t xml:space="preserve">D&amp;C Other
</t>
    </r>
    <r>
      <rPr>
        <sz val="8"/>
        <color theme="1"/>
        <rFont val="Arial"/>
        <family val="2"/>
      </rPr>
      <t>D&amp;C Other revenue increased $1.8 billion or 26%, mainly due to higher revenue from search advertising, Xbox Live, first-party video games, including Minecraft, and Office 365 Consumer. D&amp;C Other revenue included an unfavorable foreign currency impact of approximately 2%. Search advertising revenue increased $651 million or 22%, primarily driven by growth in Bing, due to higher revenue per search and search volume. Xbox Live and other store transaction revenue increased $531 million, driven by increased Xbox Live users and revenue per user. First-party video games revenue increased $367 million, mainly due to sales of Minecraft following the acquisition of Mojang in November 2014, and new Xbox titles released in the current year. Office 365 Consumer revenue increased $323 million, reflecting subscriber growth.
D&amp;C Other gross margin increased $629 million or 45%, due to higher revenue, offset in part by a $1.2 billion or 21% increase in cost of revenue. D&amp;C Other cost of revenue grew, mainly due to $372 million higher Xbox Live and other store transaction costs, a $279 million increase in search infrastructure costs, $267 million higher retail stores expenses, and $194 million higher first-party video games and Minecraft costs.</t>
    </r>
  </si>
  <si>
    <r>
      <t xml:space="preserve">Commercial revenue increased $2.2 billion or 5%, mainly due to growth in revenue from our Commercial Cloud and server products, offset in part by a decline in Office Commercial. Commercial revenue included an unfavorable foreign currency impact of approximately 2%. Our server products and services grew 9%. Our Office Commercial products and services declined 1%. Commercial gross margin increased $1.6 billion or 4%.
</t>
    </r>
    <r>
      <rPr>
        <i/>
        <sz val="8"/>
        <color theme="1"/>
        <rFont val="Arial"/>
        <family val="2"/>
      </rPr>
      <t>Commercial Licensing</t>
    </r>
    <r>
      <rPr>
        <sz val="8"/>
        <color theme="1"/>
        <rFont val="Arial"/>
        <family val="2"/>
      </rPr>
      <t xml:space="preserve">
Commercial Licensing revenue decreased $1.0 billion or 2%, primarily due to a decline in revenue from Office Commercial, offset in part by increased revenue from our server products. Commercial Licensing revenue included an unfavorable foreign currency impact of approximately 2%. Office Commercial revenue declined $2.5 billion or 13%, due to lower transactional license volume, reflecting a decline in the business PC market following Windows XP end of support in the prior year, customers transitioning to Office 365 Commercial, and declines in Japan. Our server products revenue grew $1.1 billion or 7%, primarily driven by higher premium mix of Microsoft SQL Server, Windows Server, and System Center.
Commercial Licensing gross margin decreased $785 million or 2%, in line with revenue.
</t>
    </r>
    <r>
      <rPr>
        <i/>
        <sz val="8"/>
        <color theme="1"/>
        <rFont val="Arial"/>
        <family val="2"/>
      </rPr>
      <t>Commercial Other</t>
    </r>
    <r>
      <rPr>
        <sz val="8"/>
        <color theme="1"/>
        <rFont val="Arial"/>
        <family val="2"/>
      </rPr>
      <t xml:space="preserve">
Commercial Other revenue increased $3.3 billion or 44%, primarily due to higher Commercial Cloud revenue. Commercial Other revenue included an unfavorable foreign currency impact of approximately 3%. Commercial Cloud revenue grew $3.0 billion or 106%, mainly due to subscriber growth and higher premium mix of Office 365 Commercial, as well as continued revenue growth from Microsoft Azure.
Commercial Other gross margin increased $2.3 billion or 126%, due to higher revenue, offset in part by a $946 million or 17% increase in cost of revenue. The increase in Commercial Other cost of revenue was mainly due to higher datacenter and other online infrastructure expenses, reflecting increased datacenter capacity to serve our growing Commercial Cloud.</t>
    </r>
  </si>
  <si>
    <t>Corporate and Other revenue increased $619 million, primarily due to the timing of revenue deferrals compared to the prior year. During fiscal year 2015, we recognized a net $303 million of previously deferred revenue related to Bundled Offerings. During fiscal year 2014, we deferred a net $349 million of revenue related to Bundled Offerings.
Corporate and Other gross margin increased $625 million, primarily due to increased revenue.</t>
  </si>
  <si>
    <t>FY14 Results</t>
  </si>
  <si>
    <t>Revenue increased $9.0 billion or 12%, demonstrating growth across our consumer and commercial businesses, primarily due to higher revenue from server products, Xbox Platform, Commercial Cloud, and Surface. Revenue also increased due to the acquisition of NDS. Commercial Cloud revenue doubled, reflecting continued subscriber growth from our cloud-based offerings.</t>
  </si>
  <si>
    <t>Gross margin increased $2.3 billion or 4%, primarily due to higher revenue, offset in part by a $6.7 billion or 33% increase in cost of revenue.</t>
  </si>
  <si>
    <t>Operating income increased $995 million or 4%, reflecting higher gross margin, offset in part by increased research and development expenses and sales and marketing expenses.</t>
  </si>
  <si>
    <t>Cost of revenue increased mainly due to higher volumes of Xbox consoles and Surface devices sold, and $575 million of higher datacenter expenses, primarily in support of Commercial Cloud revenue growth. Cost of revenue also increased due to the acquisition of NDS.</t>
  </si>
  <si>
    <t>Sales and marketing expenses increased $535 million or 4%, primarily due to NDS expenses and increased investment in sales resources, offset in part by lower advertising costs.</t>
  </si>
  <si>
    <t>Research and development expenses increased $970 million or 9%, mainly due to increased investment in new products and services in our Devices engineering group, including NDS expenses, and increased investment in our Applications and Services engineering group.</t>
  </si>
  <si>
    <r>
      <t>D&amp;C revenue increased $5.6 billion or 18%, primarily due to higher revenue from Xbox Platform, Surface, and Windows Phone. Revenue also increased $2.0 billion due to the acquisition of NDS. D&amp;C gross margin decreased slightly, reflecting higher cost of revenue, offset in part by higher revenue. Cost of revenue increased $5.7 billion or 47%, mainly due to Xbox Platform and Surface. Cost of revenue also increased $1.9 billion due to NDS.
D</t>
    </r>
    <r>
      <rPr>
        <i/>
        <sz val="8"/>
        <color theme="1"/>
        <rFont val="Arial"/>
        <family val="2"/>
      </rPr>
      <t>&amp;C Licensing</t>
    </r>
    <r>
      <rPr>
        <sz val="8"/>
        <color theme="1"/>
        <rFont val="Arial"/>
        <family val="2"/>
      </rPr>
      <t xml:space="preserve">
D&amp;C Licensing revenue increased $101 million or 1%, mainly due to increased Windows Phone revenue, offset in part by lower revenue from licenses of Windows and Office Consumer. Windows Phone revenue increased $822 million or 48%, mainly due to the recognition of $382 million revenue under our joint strategic initiatives with Nokia, which concluded in conjunction with the acquisition of NDS, as well as an increase in phone patent licensing revenue. Retail and non-OEM sales of Windows declined $274 million or 35%, mainly due to the launch of Windows 8 in the prior year. Windows OEM revenue declined $136 million or 1%, due to continued softness in the consumer PC market, offset in part by a 12% increase in OEM Pro revenue. Office Consumer revenue declined $249 million or 7%, reflecting the transition of customers to Office 365 Consumer as well as continued softness in the consumer PC market. The declines in Windows OEM and Office Consumer revenue were partially offset by benefits realized from ending our support for Windows XP in April 2014.
D&amp;C Licensing gross margin increased $454 million or 3%, primarily due to a $353 million or 14% decrease in cost of revenue. D&amp;C Licensing cost of revenue decreased, mainly due to a $411 million or 23% decline in traffic acquisition costs.
</t>
    </r>
    <r>
      <rPr>
        <i/>
        <sz val="8"/>
        <color theme="1"/>
        <rFont val="Arial"/>
        <family val="2"/>
      </rPr>
      <t>Computing and Gaming Hardware</t>
    </r>
    <r>
      <rPr>
        <sz val="8"/>
        <color theme="1"/>
        <rFont val="Arial"/>
        <family val="2"/>
      </rPr>
      <t xml:space="preserve">
Computing and Gaming Hardware revenue increased $2.9 billion or 48%, primarily due to higher revenue from the Xbox Platform and Surface. Xbox Platform revenue increased $1.7 billion or 34%, mainly due to sales of Xbox One, which was released in November 2013, offset in part by a decrease in sales of Xbox 360. We sold 11.7 million Xbox consoles during fiscal year 2014 compared with 9.8 million Xbox consoles during fiscal year 2013. Surface revenue increased $1.3 billion or 157%, mainly due to a higher number of devices and accessories sold.
Computing and Gaming Hardware gross margin decreased slightly, due to a $3.0 billion or 58% increase in cost of revenue, offset in part by higher revenue. Xbox Platform cost of revenue increased $2.1 billion or 72%, mainly due to higher volumes of consoles sold and higher costs associated with Xbox One. Surface cost of revenue increased $970 million or 51%, mainly due to a higher number of devices and accessories sold, offset in part by a charge for Surface RT inventory adjustments of approximately $900 million in fiscal year 2013.
</t>
    </r>
    <r>
      <rPr>
        <i/>
        <sz val="8"/>
        <color theme="1"/>
        <rFont val="Arial"/>
        <family val="2"/>
      </rPr>
      <t>Phone Hardware</t>
    </r>
    <r>
      <rPr>
        <sz val="8"/>
        <color theme="1"/>
        <rFont val="Arial"/>
        <family val="2"/>
      </rPr>
      <t xml:space="preserve">
Phone Hardware revenue was $2.0 billion in fiscal year 2014, reflecting sales of Lumia phones and other non-Lumia phones following the acquisition of NDS on April 25, 2014. Since the acquisition, we sold 5.8 million Lumia phones and 30.3 million other non-Lumia phones in fiscal year 2014.
Phone Hardware gross margin was $54 million in fiscal year 2014, reflecting revenue of $2.0 billion, offset in part by $1.9 billion cost of revenue, including amortization of acquired intangible assets and the impact of decisions to rationalize our device portfolio.
</t>
    </r>
    <r>
      <rPr>
        <i/>
        <sz val="8"/>
        <color theme="1"/>
        <rFont val="Arial"/>
        <family val="2"/>
      </rPr>
      <t>D&amp;C Other</t>
    </r>
    <r>
      <rPr>
        <sz val="8"/>
        <color theme="1"/>
        <rFont val="Arial"/>
        <family val="2"/>
      </rPr>
      <t xml:space="preserve">
D&amp;C Other revenue increased $583 million or 9%, mainly due to higher online advertising revenue and Office 365 Consumer revenue, offset in part by a $213 million decrease in first-party video games revenue, primarily due to the release of Halo 4 in the second quarter of fiscal year 2013. Online advertising revenue increased $497 million or 14%. Search advertising revenue increased 39%, primarily due to increased revenue per search resulting from ongoing improvements in advertising products, higher search volume, and the expiration of North American revenue per search guarantee payments to Yahoo! in the prior year, offset in part by a 25% reduction in display advertising revenue. Office 365 Consumer revenue grew $316 million, primarily reflecting subscriber growth. We ended fiscal year 2014 with over five million subscribers.
D&amp;C Other gross margin decreased $558 million or 29%, due to a $1.1 billion or 25% increase in cost of revenue, offset in part by higher revenue. D&amp;C Other cost of revenue grew, mainly due to a $541 million or 24% increase in online advertising cost of revenue, reflecting support of online infrastructure. Cost of revenue also increased $219 million or 15%, due to higher resale transactions costs.</t>
    </r>
  </si>
  <si>
    <r>
      <t xml:space="preserve">Commercial revenue increased $4.2 billion or 9%, mainly due to growth in revenue from our on-premises licensing businesses and Commercial Cloud. Collectively, Office Commercial and Office 365 Commercial revenue grew 7%. Collectively, our server products revenue, including Microsoft Azure, grew 13%. Commercial gross margin increased $3.3 billion or 9%, in line with revenue.
</t>
    </r>
    <r>
      <rPr>
        <i/>
        <sz val="8"/>
        <color theme="1"/>
        <rFont val="Arial"/>
        <family val="2"/>
      </rPr>
      <t>Commercial Licensing</t>
    </r>
    <r>
      <rPr>
        <sz val="8"/>
        <color theme="1"/>
        <rFont val="Arial"/>
        <family val="2"/>
      </rPr>
      <t xml:space="preserve">
Commercial Licensing revenue increased $2.3 billion or 6%, primarily due to increased revenue from our server products, as well as higher revenue from Windows Commercial and Office Commercial. Our server products revenue grew $1.7 billion or 11%, driven primarily by increased sales of Microsoft SQL Server. Windows Commercial revenue grew $334 million or 10%, mainly due to increased renewal rates and transactional purchases driven by Windows XP end of support. Office Commercial revenue grew $219 million or 1%, and was impacted by customers transitioning to Office 365 Commercial.
Commercial Licensing gross margin increased $2.3 billion or 6%, in line with revenue growth.
</t>
    </r>
    <r>
      <rPr>
        <i/>
        <sz val="8"/>
        <color theme="1"/>
        <rFont val="Arial"/>
        <family val="2"/>
      </rPr>
      <t>Commercial Other</t>
    </r>
    <r>
      <rPr>
        <sz val="8"/>
        <color theme="1"/>
        <rFont val="Arial"/>
        <family val="2"/>
      </rPr>
      <t xml:space="preserve">
Commercial Other revenue increased $1.9 billion or 33%, due to higher Commercial Cloud revenue and Enterprise Services revenue. Commercial Cloud revenue grew $1.5 billion or 116%, mainly due to higher revenue from Office 365 Commercial. Enterprise Services revenue grew $380 million or 9%, mainly due to growth in Premier Support Services.
Commercial Other gross margin increased $933 million or 101%, due to higher revenue, offset in part by a $952 million or 20% increase in cost of revenue. The increase in cost of revenue was mainly due to higher datacenter expenses, reflecting support of our growing Commercial Cloud.</t>
    </r>
  </si>
  <si>
    <t>Corporate and Other revenue decreased $818 million, primarily due to the timing of revenue deferrals. During fiscal year 2014, we deferred a net $349 million of revenue related to Bundled Offerings. During fiscal year 2013, we recognized $540 million of previously deferred revenue related to the Windows Upgrade Offer. The revenue was recognized upon expiration of the offer.
Corporate and Other gross margin decreased $863 million, mainly due to decreased revenue.</t>
  </si>
  <si>
    <t>FY13 Results</t>
  </si>
  <si>
    <t>Revenue increased $4.1 billion or 6%, mainly due to growth in revenue from our Commercial segments. Revenue was also impacted by the timing of revenue deferrals.</t>
  </si>
  <si>
    <t>Operating income grew $5.0 billion or 23%, primarily due to the $6.2 billion goodwill impairment charge recorded during the prior year.</t>
  </si>
  <si>
    <t>Cost of revenue increased $2.7 billion or 16%, reflecting increased product costs associated with Surface and Windows 8, including an approximately $900 million charge for Surface RT inventory adjustments, higher headcount-related expenses, payments made to Nokia related to joint strategic initiatives, royalties on Xbox Live content, and retail stores expenses, offset in part by decreased costs associated with lower sales of Xbox 360 consoles and decreased traffic acquisition costs.</t>
  </si>
  <si>
    <t>Sales and marketing expenses increased $1.4 billion or 10%, reflecting advertising of Windows 8 and Surface.</t>
  </si>
  <si>
    <t>Research and development expenses increased $600 million or 6%, due mainly to higher headcount-related expenses, largely related to the Xbox Platform.</t>
  </si>
  <si>
    <t>General and administrative expenses increased $580 million or 13%, due to higher legal charges, primarily due to the European Commission fine of €561 million (approximately $733 million) for failure to comply with our 2009 agreement to display a “Browser Choice Screen” on Windows PCs where Internet Explorer is the default browser (the “EU fine”).</t>
  </si>
  <si>
    <r>
      <t xml:space="preserve">D&amp;C revenue decreased $338 million or 1%, reflecting lower revenue from D&amp;C Licensing and Computing and Gaming Hardware, offset in part by increased revenue from D&amp;C Other. D&amp;C gross margin decreased $1.7 billion or 8%, primarily due to higher cost of revenue and lower revenue. Cost of revenue increased $1.3 billion or 13%, primarily due to Computing and Gaming Hardware.
</t>
    </r>
    <r>
      <rPr>
        <i/>
        <sz val="8"/>
        <color theme="1"/>
        <rFont val="Arial"/>
        <family val="2"/>
      </rPr>
      <t xml:space="preserve">D&amp;C Licensing
</t>
    </r>
    <r>
      <rPr>
        <sz val="8"/>
        <color theme="1"/>
        <rFont val="Arial"/>
        <family val="2"/>
      </rPr>
      <t xml:space="preserve">D&amp;C Licensing revenue decreased $474 million or 2%, due mainly to lower revenue from licenses of Consumer and Windows OEM, offset in part by increased Windows Phone revenue. Office Consumer revenue declined $618 million or 15%, while Windows OEM revenue declined 10%. These decreases resulted primarily from the impact on revenue of a decline in the x86 PC market, which we estimate declined approximately 9%. Windows Phone revenue increased $1.2 billion, including an increase in patent licensing revenue and sales of Windows Phone licenses. In May 2013, we announced that we had surpassed 100 million licenses sold for Windows 8.
D&amp;C Licensing gross margin decreased $196 million or 1%, due to decreased revenue, offset in part by a $278 million or 12% decrease in cost of revenue. D&amp;C Licensing cost of revenue decreased, due mainly to lower traffic acquisition costs, offset in part by a $375 million increase in expenses for payments made to Nokia related to joint strategic initiatives.
</t>
    </r>
    <r>
      <rPr>
        <i/>
        <sz val="8"/>
        <color theme="1"/>
        <rFont val="Arial"/>
        <family val="2"/>
      </rPr>
      <t xml:space="preserve">Computing and Gaming Hardware
</t>
    </r>
    <r>
      <rPr>
        <sz val="8"/>
        <color theme="1"/>
        <rFont val="Arial"/>
        <family val="2"/>
      </rPr>
      <t xml:space="preserve">Computing and Gaming Hardware revenue decreased $279 million or 4%, due primarily to lower revenue from the Xbox Platform, offset in part by Surface revenue. Xbox Platform revenue decreased $1.3 billion or 22%, due mainly to lower volumes of consoles sold, offset in part by higher Xbox Live subscription revenue. We shipped 9.8 million Xbox 360 consoles during fiscal year 2013, compared with 13.0 million Xbox 360 consoles during fiscal year 2012. Surface revenue was $853 million. The general availability of Surface RT and Surface Pro started October 26, 2012 and February 9, 2013, respectively.
Computing and Gaming Hardware gross margin decreased $1.5 billion or 62%, due to a $1.3 billion or 30% increase in cost of revenue and decreased revenue. Computing and Gaming Hardware cost of revenue increased, primarily due to $1.9 billion in product costs associated with Surface, including a charge for Surface RT inventory adjustments of approximately $900 million. These costs were offset in part by a $920 million or 24% decrease in Xbox Platform cost of revenue, due mainly to a decrease in manufacturing and distribution costs associated with lower volumes of Xbox 360 consoles sold.
</t>
    </r>
    <r>
      <rPr>
        <i/>
        <sz val="8"/>
        <color theme="1"/>
        <rFont val="Arial"/>
        <family val="2"/>
      </rPr>
      <t xml:space="preserve">D&amp;C Other
</t>
    </r>
    <r>
      <rPr>
        <sz val="8"/>
        <color theme="1"/>
        <rFont val="Arial"/>
        <family val="2"/>
      </rPr>
      <t>D&amp;C Other revenue increased $415 million or 7%, due mainly to higher advertising revenue, which increased $213 million or 7% to $3.5 billion. Search advertising revenue growth was offset in part by a decline in display advertising revenue. Search advertising revenue grew primarily due to increased revenue per search, resulting from ongoing improvements in ad products, while display advertising revenue decreased primarily due to industry-wide market pressure. D&amp;C Other revenue also increased $202 million or 7%, due mainly to higher volumes of content resold through our online platforms.
D&amp;C Other gross margin increased $48 million or 2%, due to increased revenue offset in part by a $367 million or 9% increase in cost of revenue. D&amp;C Other cost of revenue increased, due mainly to a $327 million or 28% increase in costs associated with higher volumes of resale transactions, primarily a $257 million increase in royalties on Xbox Live content. Increased traffic acquisition costs were offset in part by lower Yahoo! reimbursement costs.</t>
    </r>
  </si>
  <si>
    <r>
      <t xml:space="preserve">Commercial revenue increased $3.6 billion or 9%, due mainly to growth in revenue from our on-premises licensing businesses and Commercial Cloud.
Commercial gross margin increased $2.1 billion or 6%.
</t>
    </r>
    <r>
      <rPr>
        <i/>
        <sz val="8"/>
        <color theme="1"/>
        <rFont val="Arial"/>
        <family val="2"/>
      </rPr>
      <t xml:space="preserve">Commercial Licensing
</t>
    </r>
    <r>
      <rPr>
        <sz val="8"/>
        <color theme="1"/>
        <rFont val="Arial"/>
        <family val="2"/>
      </rPr>
      <t xml:space="preserve">Commercial Licensing revenue increased $2.6 billion or 7%, due to increased revenue from all major commercial offerings. Server products revenue increased $1.2 billion or 9%, driven primarily by growth in Microsoft SQL Server, System Center, and Windows Server. Office Commercial revenue increased $622 million or 4%, reflecting growth in Office revenue from volume licensing agreements with software assurance. Windows Commercial revenue increased $379 million or 13%, reflecting continued support of our platform. Skype revenue increased, due primarily to including a full year of results in fiscal year 2013.
Commercial Licensing gross margin increased $1.8 billion or 5%, due to higher revenue, offset in part by a $762 million or 29% increase in cost of revenue. Commercial Licensing cost of revenue increased, due to increased costs from all major commercial offerings, including $287 million higher intellectual property licensing costs.
</t>
    </r>
    <r>
      <rPr>
        <i/>
        <sz val="8"/>
        <color theme="1"/>
        <rFont val="Arial"/>
        <family val="2"/>
      </rPr>
      <t xml:space="preserve">Commercial Other
</t>
    </r>
    <r>
      <rPr>
        <sz val="8"/>
        <color theme="1"/>
        <rFont val="Arial"/>
        <family val="2"/>
      </rPr>
      <t>Commercial Other revenue increased $1.0 billion or 22%, due to higher Commercial Cloud and Enterprise Services revenue. Commercial Cloud revenue grew $582 million or 82%, due mainly to higher revenue from Office 365 Commercial. Enterprise Services revenue grew $434 million or 11%, due to growth in both Premier product support and consulting services.
Commercial Other gross margin increased $342 million or 59%, due to higher revenue, offset in part by a $674 million or 17% increase in cost of revenue. The increase in cost of revenue was due mainly to higher datacenter expenses, reflecting investment in online operations infrastructure, and increased headcount-related expenses, mainly due to higher Enterprise Services headcount supporting revenue growth.</t>
    </r>
  </si>
  <si>
    <t>Corporate and Other revenue increased $888 million or 183%, primarily due to the timing of revenue deferrals. During fiscal year 2013, we recognized $540 million of revenue that had been deferred in fiscal year 2012 related to the Windows Upgrade Offer. The revenue was recognized upon expiration of the offer.
Corporate and Other gross margin increased $954 million or 164%, due mainly to increased revenue.</t>
  </si>
  <si>
    <t xml:space="preserve">For the Fiscal Period Ending
</t>
  </si>
  <si>
    <t>Restated
12 months
Jun-30-1991</t>
  </si>
  <si>
    <t>Restated
12 months
Jun-30-1992</t>
  </si>
  <si>
    <t>12 months
Jun-30-1993</t>
  </si>
  <si>
    <t>12 months
Jun-30-1994</t>
  </si>
  <si>
    <t>12 months
Jun-30-1995</t>
  </si>
  <si>
    <t>Reclassified
12 months
Jun-30-1996</t>
  </si>
  <si>
    <t>Reclassified
12 months
Jun-30-1997</t>
  </si>
  <si>
    <t>Reclassified
12 months
Jun-30-1998</t>
  </si>
  <si>
    <t>Reclassified
12 months
Jun-30-1999</t>
  </si>
  <si>
    <t>Reclassified
12 months
Jun-30-2000</t>
  </si>
  <si>
    <t>12 months
Jun-30-2001</t>
  </si>
  <si>
    <t>Restated
12 months
Jun-30-2002</t>
  </si>
  <si>
    <t>Restated
12 months
Jun-30-2003</t>
  </si>
  <si>
    <t>Reclassified
12 months
Jun-30-2004</t>
  </si>
  <si>
    <t>Reclassified
12 months
Jun-30-2005</t>
  </si>
  <si>
    <t>Reclassified
12 months
Jun-30-2006</t>
  </si>
  <si>
    <t>Reclassified
12 months
Jun-30-2007</t>
  </si>
  <si>
    <t>Reclassified
12 months
Jun-30-2008</t>
  </si>
  <si>
    <t>Reclassified
12 months
Jun-30-2009</t>
  </si>
  <si>
    <t>Reclassified
12 months
Jun-30-2010</t>
  </si>
  <si>
    <t>12 months
Jun-30-2011</t>
  </si>
  <si>
    <t>12 months
Jun-30-2012</t>
  </si>
  <si>
    <t>Reclassified
12 months
Jun-30-2013</t>
  </si>
  <si>
    <t>Reclassified
12 months
Jun-30-2014</t>
  </si>
  <si>
    <t>12 months
Jun-30-2015</t>
  </si>
  <si>
    <t>Restated
12 months
Jun-30-2016</t>
  </si>
  <si>
    <t>Restated
12 months
Jun-30-2017</t>
  </si>
  <si>
    <t>12 months
Jun-30-2018</t>
  </si>
  <si>
    <t>12 months
Jun-30-2019</t>
  </si>
  <si>
    <t>LTM
12 months
Mar-31-2020</t>
  </si>
  <si>
    <t>3 months
FQ1/CQ3
Sep-30-1992</t>
  </si>
  <si>
    <t>3 months
FQ2/CQ4
Dec-31-1992</t>
  </si>
  <si>
    <t>3 months
FQ3/CQ1
Mar-31-1993</t>
  </si>
  <si>
    <t>3 months
FQ4/CQ2
Jun-30-1993</t>
  </si>
  <si>
    <t>3 months
FQ1/CQ3
Sep-30-1993</t>
  </si>
  <si>
    <t>3 months
FQ2/CQ4
Dec-31-1993</t>
  </si>
  <si>
    <t>3 months
FQ3/CQ1
Mar-31-1994</t>
  </si>
  <si>
    <t>3 months
FQ4/CQ2
Jun-30-1994</t>
  </si>
  <si>
    <t>3 months
FQ1/CQ3
Sep-30-1994</t>
  </si>
  <si>
    <t>3 months
FQ2/CQ4
Dec-31-1994</t>
  </si>
  <si>
    <t>3 months
FQ3/CQ1
Mar-31-1995</t>
  </si>
  <si>
    <t>3 months
FQ4/CQ2
Jun-30-1995</t>
  </si>
  <si>
    <t>3 months
FQ1/CQ3
Sep-30-1995</t>
  </si>
  <si>
    <t>3 months
FQ2/CQ4
Dec-31-1995</t>
  </si>
  <si>
    <t>3 months
FQ3/CQ1
Mar-31-1996</t>
  </si>
  <si>
    <t>3 months
FQ4/CQ2
Jun-30-1996</t>
  </si>
  <si>
    <t>3 months
FQ1/CQ3
Sep-30-1996</t>
  </si>
  <si>
    <t>3 months
FQ2/CQ4
Dec-31-1996</t>
  </si>
  <si>
    <t>3 months
FQ3/CQ1
Mar-31-1997</t>
  </si>
  <si>
    <t>Reclassified
3 months
FQ4/CQ2
Jun-30-1997</t>
  </si>
  <si>
    <t>Reclassified
3 months
FQ1/CQ3
Sep-30-1997</t>
  </si>
  <si>
    <t>Reclassified
3 months
FQ2/CQ4
Dec-31-1997</t>
  </si>
  <si>
    <t>Reclassified
3 months
FQ3/CQ1
Mar-31-1998</t>
  </si>
  <si>
    <t>Reclassified
3 months
FQ4/CQ2
Jun-30-1998</t>
  </si>
  <si>
    <t>Reclassified
3 months
FQ1/CQ3
Sep-30-1998</t>
  </si>
  <si>
    <t>Reclassified
3 months
FQ2/CQ4
Dec-31-1998</t>
  </si>
  <si>
    <t>Reclassified
3 months
FQ3/CQ1
Mar-31-1999</t>
  </si>
  <si>
    <t>Reclassified
3 months
FQ4/CQ2
Jun-30-1999</t>
  </si>
  <si>
    <t>Reclassified
3 months
FQ1/CQ3
Sep-30-1999</t>
  </si>
  <si>
    <t>Reclassified
3 months
FQ2/CQ4
Dec-31-1999</t>
  </si>
  <si>
    <t>Reclassified
3 months
FQ3/CQ1
Mar-31-2000</t>
  </si>
  <si>
    <t>Reclassified
3 months
FQ4/CQ2
Jun-30-2000</t>
  </si>
  <si>
    <t>Reclassified
3 months
FQ1/CQ3
Sep-30-2000</t>
  </si>
  <si>
    <t>Reclassified
3 months
FQ2/CQ4
Dec-31-2000</t>
  </si>
  <si>
    <t>Reclassified
3 months
FQ3/CQ1
Mar-31-2001</t>
  </si>
  <si>
    <t>Reclassified
3 months
FQ4/CQ2
Jun-30-2001</t>
  </si>
  <si>
    <t>3 months
FQ1/CQ3
Sep-30-2001</t>
  </si>
  <si>
    <t>3 months
FQ2/CQ4
Dec-31-2001</t>
  </si>
  <si>
    <t>3 months
FQ3/CQ1
Mar-31-2002</t>
  </si>
  <si>
    <t>3 months
FQ4/CQ2
Jun-30-2002</t>
  </si>
  <si>
    <t>Restated
3 months
FQ1/CQ3
Sep-30-2002</t>
  </si>
  <si>
    <t>Restated
3 months
FQ2/CQ4
Dec-31-2002</t>
  </si>
  <si>
    <t>Restated
3 months
FQ3/CQ1
Mar-31-2003</t>
  </si>
  <si>
    <t>Restated
3 months
FQ4/CQ2
Jun-30-2003</t>
  </si>
  <si>
    <t>3 months
FQ1/CQ3
Sep-30-2003</t>
  </si>
  <si>
    <t>3 months
FQ2/CQ4
Dec-31-2003</t>
  </si>
  <si>
    <t>3 months
FQ3/CQ1
Mar-31-2004</t>
  </si>
  <si>
    <t>3 months
FQ4/CQ2
Jun-30-2004</t>
  </si>
  <si>
    <t>Reclassified
3 months
FQ1/CQ3
Sep-30-2004</t>
  </si>
  <si>
    <t>Reclassified
3 months
FQ2/CQ4
Dec-31-2004</t>
  </si>
  <si>
    <t>Reclassified
3 months
FQ3/CQ1
Mar-31-2005</t>
  </si>
  <si>
    <t>Reclassified
3 months
FQ4/CQ2
Jun-30-2005</t>
  </si>
  <si>
    <t>Reclassified
3 months
FQ1/CQ3
Sep-30-2005</t>
  </si>
  <si>
    <t>Reclassified
3 months
FQ2/CQ4
Dec-31-2005</t>
  </si>
  <si>
    <t>3 months
FQ3/CQ1
Mar-31-2006</t>
  </si>
  <si>
    <t>3 months
FQ4/CQ2
Jun-30-2006</t>
  </si>
  <si>
    <t>3 months
FQ1/CQ3
Sep-30-2006</t>
  </si>
  <si>
    <t>3 months
FQ2/CQ4
Dec-31-2006</t>
  </si>
  <si>
    <t>3 months
FQ3/CQ1
Mar-31-2007</t>
  </si>
  <si>
    <t>3 months
FQ4/CQ2
Jun-30-2007</t>
  </si>
  <si>
    <t>Reclassified
3 months
FQ1/CQ3
Sep-30-2007</t>
  </si>
  <si>
    <t>Reclassified
3 months
FQ2/CQ4
Dec-31-2007</t>
  </si>
  <si>
    <t>Reclassified
3 months
FQ3/CQ1
Mar-31-2008</t>
  </si>
  <si>
    <t>Reclassified
3 months
FQ4/CQ2
Jun-30-2008</t>
  </si>
  <si>
    <t>3 months
FQ1/CQ3
Sep-30-2008</t>
  </si>
  <si>
    <t>3 months
FQ2/CQ4
Dec-31-2008</t>
  </si>
  <si>
    <t>3 months
FQ3/CQ1
Mar-31-2009</t>
  </si>
  <si>
    <t>3 months
FQ4/CQ2
Jun-30-2009</t>
  </si>
  <si>
    <t>3 months
FQ1/CQ3
Sep-30-2009</t>
  </si>
  <si>
    <t>Reclassified
3 months
FQ2/CQ4
Dec-31-2009</t>
  </si>
  <si>
    <t>Reclassified
3 months
FQ3/CQ1
Mar-31-2010</t>
  </si>
  <si>
    <t>Reclassified
3 months
FQ4/CQ2
Jun-30-2010</t>
  </si>
  <si>
    <t>3 months
FQ1/CQ3
Sep-30-2010</t>
  </si>
  <si>
    <t>3 months
FQ2/CQ4
Dec-31-2010</t>
  </si>
  <si>
    <t>3 months
FQ3/CQ1
Mar-31-2011</t>
  </si>
  <si>
    <t>3 months
FQ4/CQ2
Jun-30-2011</t>
  </si>
  <si>
    <t>3 months
FQ1/CQ3
Sep-30-2011</t>
  </si>
  <si>
    <t>3 months
FQ2/CQ4
Dec-31-2011</t>
  </si>
  <si>
    <t>3 months
FQ3/CQ1
Mar-31-2012</t>
  </si>
  <si>
    <t>3 months
FQ4/CQ2
Jun-30-2012</t>
  </si>
  <si>
    <t>3 months
FQ1/CQ3
Sep-30-2012</t>
  </si>
  <si>
    <t>3 months
FQ2/CQ4
Dec-31-2012</t>
  </si>
  <si>
    <t>3 months
FQ3/CQ1
Mar-31-2013</t>
  </si>
  <si>
    <t>3 months
FQ4/CQ2
Jun-30-2013</t>
  </si>
  <si>
    <t>Reclassified
3 months
FQ1/CQ3
Sep-30-2013</t>
  </si>
  <si>
    <t>Reclassified
3 months
FQ2/CQ4
Dec-31-2013</t>
  </si>
  <si>
    <t>Reclassified
3 months
FQ3/CQ1
Mar-31-2014</t>
  </si>
  <si>
    <t>Reclassified
3 months
FQ4/CQ2
Jun-30-2014</t>
  </si>
  <si>
    <t>3 months
FQ1/CQ3
Sep-30-2014</t>
  </si>
  <si>
    <t>3 months
FQ2/CQ4
Dec-31-2014</t>
  </si>
  <si>
    <t>3 months
FQ3/CQ1
Mar-31-2015</t>
  </si>
  <si>
    <t>3 months
FQ4/CQ2
Jun-30-2015</t>
  </si>
  <si>
    <t>Restated
3 months
FQ1/CQ3
Sep-30-2015</t>
  </si>
  <si>
    <t>Restated
3 months
FQ2/CQ4
Dec-31-2015</t>
  </si>
  <si>
    <t>3 months
FQ3/CQ1
Mar-31-2016</t>
  </si>
  <si>
    <t>3 months
FQ4/CQ2
Jun-30-2016</t>
  </si>
  <si>
    <t>Restated
3 months
FQ1/CQ3
Sep-30-2016</t>
  </si>
  <si>
    <t>Restated
3 months
FQ2/CQ4
Dec-31-2016</t>
  </si>
  <si>
    <t>Restated
3 months
FQ3/CQ1
Mar-31-2017</t>
  </si>
  <si>
    <t>Restated
3 months
FQ4/CQ2
Jun-30-2017</t>
  </si>
  <si>
    <t>3 months
FQ1/CQ3
Sep-30-2017</t>
  </si>
  <si>
    <t>3 months
FQ2/CQ4
Dec-31-2017</t>
  </si>
  <si>
    <t>3 months
FQ3/CQ1
Mar-31-2018</t>
  </si>
  <si>
    <t>3 months
FQ4/CQ2
Jun-30-2018</t>
  </si>
  <si>
    <t>3 months
FQ1/CQ3
Sep-30-2018</t>
  </si>
  <si>
    <t>3 months
FQ2/CQ4
Dec-31-2018</t>
  </si>
  <si>
    <t>3 months
FQ3/CQ1
Mar-31-2019</t>
  </si>
  <si>
    <t>3 months
FQ4/CQ2
Jun-30-2019</t>
  </si>
  <si>
    <t>3 months
FQ1/CQ3
Sep-30-2019</t>
  </si>
  <si>
    <t>3 months
FQ2/CQ4
Dec-31-2019</t>
  </si>
  <si>
    <t>3 months
FQ3/CQ1
Mar-31-2020</t>
  </si>
  <si>
    <t>Currency</t>
  </si>
  <si>
    <t>Other Revenue</t>
  </si>
  <si>
    <t xml:space="preserve">  Total Revenue</t>
  </si>
  <si>
    <t>Cost Of Goods Sold</t>
  </si>
  <si>
    <t xml:space="preserve">  Gross Profit</t>
  </si>
  <si>
    <t>Selling General &amp; Admin Exp.</t>
  </si>
  <si>
    <t>R &amp; D Exp.</t>
  </si>
  <si>
    <t>Depreciation &amp; Amort.</t>
  </si>
  <si>
    <t>Other Operating Expense/(Income)</t>
  </si>
  <si>
    <t xml:space="preserve">  Other Operating Exp., Total</t>
  </si>
  <si>
    <t xml:space="preserve">  Operating Income</t>
  </si>
  <si>
    <t>Interest Expense</t>
  </si>
  <si>
    <t>Interest and Invest. Income</t>
  </si>
  <si>
    <t xml:space="preserve">  Net Interest Exp.</t>
  </si>
  <si>
    <t>Income/(Loss) from Affiliates</t>
  </si>
  <si>
    <t>Currency Exchange Gains (Loss)</t>
  </si>
  <si>
    <t>Other Non-Operating Inc. (Exp.)</t>
  </si>
  <si>
    <t xml:space="preserve">  EBT Excl. Unusual Items</t>
  </si>
  <si>
    <t>Restructuring Charges</t>
  </si>
  <si>
    <t>Merger &amp; Related Restruct. Charges</t>
  </si>
  <si>
    <t>Impairment of Goodwill</t>
  </si>
  <si>
    <t>Gain (Loss) On Sale Of Invest.</t>
  </si>
  <si>
    <t>Gain (Loss) On Sale Of Assets</t>
  </si>
  <si>
    <t>Asset Writedown</t>
  </si>
  <si>
    <t>In Process R &amp; D Exp.</t>
  </si>
  <si>
    <t>Legal Settlements</t>
  </si>
  <si>
    <t>Other Unusual Items</t>
  </si>
  <si>
    <t xml:space="preserve">  EBT Incl. Unusual Items</t>
  </si>
  <si>
    <t>Income Tax Expense</t>
  </si>
  <si>
    <t xml:space="preserve">  Earnings from Cont. Ops.</t>
  </si>
  <si>
    <t>Earnings of Discontinued Ops.</t>
  </si>
  <si>
    <t>Extraord. Item &amp; Account. Change</t>
  </si>
  <si>
    <t xml:space="preserve">  Net Income to Company</t>
  </si>
  <si>
    <t>Minority Int. in Earnings</t>
  </si>
  <si>
    <t xml:space="preserve">  Net Income</t>
  </si>
  <si>
    <t>Pref. Dividends and Other Adj.</t>
  </si>
  <si>
    <t xml:space="preserve">  NI to Common Incl Extra Items</t>
  </si>
  <si>
    <t xml:space="preserve">  NI to Common Excl. Extra Items</t>
  </si>
  <si>
    <t>Per Share Items</t>
  </si>
  <si>
    <t>Basic EPS</t>
  </si>
  <si>
    <t>Basic EPS Excl. Extra Items</t>
  </si>
  <si>
    <t>Weighted Avg. Basic Shares Out.</t>
  </si>
  <si>
    <t>Diluted EPS</t>
  </si>
  <si>
    <t>Diluted EPS Excl. Extra Items</t>
  </si>
  <si>
    <t>Weighted Avg. Diluted Shares Out.</t>
  </si>
  <si>
    <t>Normalized Basic EPS</t>
  </si>
  <si>
    <t>Normalized Diluted EPS</t>
  </si>
  <si>
    <t>Dividends per Share</t>
  </si>
  <si>
    <t>Payout Ratio %</t>
  </si>
  <si>
    <t>Shares per Depository Receipt</t>
  </si>
  <si>
    <t>Supplemental Items</t>
  </si>
  <si>
    <t>EBITA</t>
  </si>
  <si>
    <t>EBITDAR</t>
  </si>
  <si>
    <t>As Reported Total Revenue*</t>
  </si>
  <si>
    <t>Effective Tax Rate %</t>
  </si>
  <si>
    <t>Current Domestic Taxes</t>
  </si>
  <si>
    <t>Current Foreign Taxes</t>
  </si>
  <si>
    <t>Total Current Taxes</t>
  </si>
  <si>
    <t>Deferred Domestic Taxes</t>
  </si>
  <si>
    <t>Deferred Foreign Taxes</t>
  </si>
  <si>
    <t>Total Deferred Taxes</t>
  </si>
  <si>
    <t>Normalized Net Income</t>
  </si>
  <si>
    <t>NI per SFAS 123 (after Options)</t>
  </si>
  <si>
    <t>Interest Capitalized</t>
  </si>
  <si>
    <t>Interest on Long Term Debt</t>
  </si>
  <si>
    <t>Filing Date</t>
  </si>
  <si>
    <t>Restatement Type</t>
  </si>
  <si>
    <t>RS</t>
  </si>
  <si>
    <t>NC</t>
  </si>
  <si>
    <t>RC</t>
  </si>
  <si>
    <t>O</t>
  </si>
  <si>
    <t>NCA</t>
  </si>
  <si>
    <t>RCA</t>
  </si>
  <si>
    <t>Calculation Type</t>
  </si>
  <si>
    <t>REP</t>
  </si>
  <si>
    <t>INTQ</t>
  </si>
  <si>
    <t>Q4</t>
  </si>
  <si>
    <t>Supplemental Operating Expense Items</t>
  </si>
  <si>
    <t>Advertising Exp.</t>
  </si>
  <si>
    <t>Selling and Marketing Exp.</t>
  </si>
  <si>
    <t>General and Administrative Exp.</t>
  </si>
  <si>
    <t>R&amp;D Exp.</t>
  </si>
  <si>
    <t>Net Rental Exp.</t>
  </si>
  <si>
    <t>Imputed Oper. Lease Interest Exp.</t>
  </si>
  <si>
    <t>Imputed Oper. Lease Depreciation</t>
  </si>
  <si>
    <t>Stock-Based Comp., G&amp;A Exp.</t>
  </si>
  <si>
    <t>Stock-Based Comp., Unallocated</t>
  </si>
  <si>
    <t xml:space="preserve">  Stock-Based Comp., Total</t>
  </si>
  <si>
    <t xml:space="preserve">Balance Sheet as of:
</t>
  </si>
  <si>
    <t>Restated
Jun-30-1992</t>
  </si>
  <si>
    <t>Restated
Jun-30-1998</t>
  </si>
  <si>
    <t>Restated
Jun-30-1999</t>
  </si>
  <si>
    <t>Restated
Jun-30-2001</t>
  </si>
  <si>
    <t>Restated
Jun-30-2003</t>
  </si>
  <si>
    <t>Restated
Jun-30-2004</t>
  </si>
  <si>
    <t>Restated
Jun-30-2015</t>
  </si>
  <si>
    <t>Restated
Jun-30-2016</t>
  </si>
  <si>
    <t>Restated
Jun-30-2017</t>
  </si>
  <si>
    <t>FQ1/CQ3
Sep-30-1992</t>
  </si>
  <si>
    <t>FQ2/CQ4
Dec-31-1992</t>
  </si>
  <si>
    <t>FQ3/CQ1
Mar-31-1993</t>
  </si>
  <si>
    <t>FQ4/CQ2
Jun-30-1993</t>
  </si>
  <si>
    <t>FQ1/CQ3
Sep-30-1993</t>
  </si>
  <si>
    <t>FQ2/CQ4
Dec-31-1993</t>
  </si>
  <si>
    <t>FQ3/CQ1
Mar-31-1994</t>
  </si>
  <si>
    <t>FQ4/CQ2
Jun-30-1994</t>
  </si>
  <si>
    <t>FQ1/CQ3
Sep-30-1994</t>
  </si>
  <si>
    <t>FQ2/CQ4
Dec-31-1994</t>
  </si>
  <si>
    <t>FQ3/CQ1
Mar-31-1995</t>
  </si>
  <si>
    <t>FQ4/CQ2
Jun-30-1995</t>
  </si>
  <si>
    <t>FQ1/CQ3
Sep-30-1995</t>
  </si>
  <si>
    <t>FQ2/CQ4
Dec-31-1995</t>
  </si>
  <si>
    <t>FQ3/CQ1
Mar-31-1996</t>
  </si>
  <si>
    <t>FQ4/CQ2
Jun-30-1996</t>
  </si>
  <si>
    <t>FQ1/CQ3
Sep-30-1996</t>
  </si>
  <si>
    <t>FQ2/CQ4
Dec-31-1996</t>
  </si>
  <si>
    <t>FQ3/CQ1
Mar-31-1997</t>
  </si>
  <si>
    <t>FQ4/CQ2
Jun-30-1997</t>
  </si>
  <si>
    <t>FQ1/CQ3
Sep-30-1997</t>
  </si>
  <si>
    <t>FQ2/CQ4
Dec-31-1997</t>
  </si>
  <si>
    <t>FQ3/CQ1
Mar-31-1998</t>
  </si>
  <si>
    <t>Restated
FQ4/CQ2
Jun-30-1998</t>
  </si>
  <si>
    <t>FQ1/CQ3
Sep-30-1998</t>
  </si>
  <si>
    <t>FQ2/CQ4
Dec-31-1998</t>
  </si>
  <si>
    <t>FQ3/CQ1
Mar-31-1999</t>
  </si>
  <si>
    <t>Restated
FQ4/CQ2
Jun-30-1999</t>
  </si>
  <si>
    <t>FQ1/CQ3
Sep-30-1999</t>
  </si>
  <si>
    <t>FQ2/CQ4
Dec-31-1999</t>
  </si>
  <si>
    <t>FQ3/CQ1
Mar-31-2000</t>
  </si>
  <si>
    <t>FQ4/CQ2
Jun-30-2000</t>
  </si>
  <si>
    <t>FQ1/CQ3
Sep-30-2000</t>
  </si>
  <si>
    <t>FQ2/CQ4
Dec-31-2000</t>
  </si>
  <si>
    <t>FQ3/CQ1
Mar-31-2001</t>
  </si>
  <si>
    <t>Restated
FQ4/CQ2
Jun-30-2001</t>
  </si>
  <si>
    <t>FQ1/CQ3
Sep-30-2001</t>
  </si>
  <si>
    <t>FQ2/CQ4
Dec-31-2001</t>
  </si>
  <si>
    <t>FQ3/CQ1
Mar-31-2002</t>
  </si>
  <si>
    <t>FQ4/CQ2
Jun-30-2002</t>
  </si>
  <si>
    <t>FQ1/CQ3
Sep-30-2002</t>
  </si>
  <si>
    <t>FQ2/CQ4
Dec-31-2002</t>
  </si>
  <si>
    <t>FQ3/CQ1
Mar-31-2003</t>
  </si>
  <si>
    <t>Restated
FQ4/CQ2
Jun-30-2003</t>
  </si>
  <si>
    <t>FQ1/CQ3
Sep-30-2003</t>
  </si>
  <si>
    <t>FQ2/CQ4
Dec-31-2003</t>
  </si>
  <si>
    <t>FQ3/CQ1
Mar-31-2004</t>
  </si>
  <si>
    <t>Restated
FQ4/CQ2
Jun-30-2004</t>
  </si>
  <si>
    <t>FQ1/CQ3
Sep-30-2004</t>
  </si>
  <si>
    <t>FQ2/CQ4
Dec-31-2004</t>
  </si>
  <si>
    <t>FQ3/CQ1
Mar-31-2005</t>
  </si>
  <si>
    <t>FQ4/CQ2
Jun-30-2005</t>
  </si>
  <si>
    <t>FQ1/CQ3
Sep-30-2005</t>
  </si>
  <si>
    <t>FQ2/CQ4
Dec-31-2005</t>
  </si>
  <si>
    <t>FQ3/CQ1
Mar-31-2006</t>
  </si>
  <si>
    <t>FQ4/CQ2
Jun-30-2006</t>
  </si>
  <si>
    <t>FQ1/CQ3
Sep-30-2006</t>
  </si>
  <si>
    <t>FQ2/CQ4
Dec-31-2006</t>
  </si>
  <si>
    <t>FQ3/CQ1
Mar-31-2007</t>
  </si>
  <si>
    <t>FQ4/CQ2
Jun-30-2007</t>
  </si>
  <si>
    <t>FQ1/CQ3
Sep-30-2007</t>
  </si>
  <si>
    <t>FQ2/CQ4
Dec-31-2007</t>
  </si>
  <si>
    <t>FQ3/CQ1
Mar-31-2008</t>
  </si>
  <si>
    <t>FQ4/CQ2
Jun-30-2008</t>
  </si>
  <si>
    <t>FQ1/CQ3
Sep-30-2008</t>
  </si>
  <si>
    <t>FQ2/CQ4
Dec-31-2008</t>
  </si>
  <si>
    <t>FQ3/CQ1
Mar-31-2009</t>
  </si>
  <si>
    <t>FQ4/CQ2
Jun-30-2009</t>
  </si>
  <si>
    <t>FQ1/CQ3
Sep-30-2009</t>
  </si>
  <si>
    <t>FQ2/CQ4
Dec-31-2009</t>
  </si>
  <si>
    <t>FQ3/CQ1
Mar-31-2010</t>
  </si>
  <si>
    <t>FQ4/CQ2
Jun-30-2010</t>
  </si>
  <si>
    <t>FQ1/CQ3
Sep-30-2010</t>
  </si>
  <si>
    <t>FQ2/CQ4
Dec-31-2010</t>
  </si>
  <si>
    <t>FQ3/CQ1
Mar-31-2011</t>
  </si>
  <si>
    <t>FQ4/CQ2
Jun-30-2011</t>
  </si>
  <si>
    <t>FQ1/CQ3
Sep-30-2011</t>
  </si>
  <si>
    <t>FQ2/CQ4
Dec-31-2011</t>
  </si>
  <si>
    <t>FQ3/CQ1
Mar-31-2012</t>
  </si>
  <si>
    <t>FQ4/CQ2
Jun-30-2012</t>
  </si>
  <si>
    <t>FQ1/CQ3
Sep-30-2012</t>
  </si>
  <si>
    <t>FQ2/CQ4
Dec-31-2012</t>
  </si>
  <si>
    <t>FQ3/CQ1
Mar-31-2013</t>
  </si>
  <si>
    <t>FQ4/CQ2
Jun-30-2013</t>
  </si>
  <si>
    <t>FQ1/CQ3
Sep-30-2013</t>
  </si>
  <si>
    <t>FQ2/CQ4
Dec-31-2013</t>
  </si>
  <si>
    <t>FQ3/CQ1
Mar-31-2014</t>
  </si>
  <si>
    <t>FQ4/CQ2
Jun-30-2014</t>
  </si>
  <si>
    <t>FQ1/CQ3
Sep-30-2014</t>
  </si>
  <si>
    <t>FQ2/CQ4
Dec-31-2014</t>
  </si>
  <si>
    <t>FQ3/CQ1
Mar-31-2015</t>
  </si>
  <si>
    <t>Restated
FQ4/CQ2
Jun-30-2015</t>
  </si>
  <si>
    <t>FQ1/CQ3
Sep-30-2015</t>
  </si>
  <si>
    <t>FQ2/CQ4
Dec-31-2015</t>
  </si>
  <si>
    <t>FQ3/CQ1
Mar-31-2016</t>
  </si>
  <si>
    <t>Restated
FQ4/CQ2
Jun-30-2016</t>
  </si>
  <si>
    <t>FQ1/CQ3
Sep-30-2016</t>
  </si>
  <si>
    <t>FQ2/CQ4
Dec-31-2016</t>
  </si>
  <si>
    <t>FQ3/CQ1
Mar-31-2017</t>
  </si>
  <si>
    <t>Restated
FQ4/CQ2
Jun-30-2017</t>
  </si>
  <si>
    <t>FQ1/CQ3
Sep-30-2017</t>
  </si>
  <si>
    <t>FQ2/CQ4
Dec-31-2017</t>
  </si>
  <si>
    <t>FQ3/CQ1
Mar-31-2018</t>
  </si>
  <si>
    <t>FQ4/CQ2
Jun-30-2018</t>
  </si>
  <si>
    <t>FQ1/CQ3
Sep-30-2018</t>
  </si>
  <si>
    <t>FQ2/CQ4
Dec-31-2018</t>
  </si>
  <si>
    <t>FQ3/CQ1
Mar-31-2019</t>
  </si>
  <si>
    <t>FQ4/CQ2
Jun-30-2019</t>
  </si>
  <si>
    <t>FQ1/CQ3
Sep-30-2019</t>
  </si>
  <si>
    <t>FQ2/CQ4
Dec-31-2019</t>
  </si>
  <si>
    <t>FQ3/CQ1
Mar-31-2020</t>
  </si>
  <si>
    <t>Cash And Equivalents</t>
  </si>
  <si>
    <t>Trading Asset Securities</t>
  </si>
  <si>
    <t xml:space="preserve">  Total Cash &amp; ST Investments</t>
  </si>
  <si>
    <t>Accounts Receivable</t>
  </si>
  <si>
    <t xml:space="preserve">  Total Receivables</t>
  </si>
  <si>
    <t>Inventory</t>
  </si>
  <si>
    <t>Deferred Tax Assets, Curr.</t>
  </si>
  <si>
    <t xml:space="preserve">  Total Current Assets</t>
  </si>
  <si>
    <t>Gross Property, Plant &amp; Equipment</t>
  </si>
  <si>
    <t xml:space="preserve">  Net Property, Plant &amp; Equipment</t>
  </si>
  <si>
    <t>Long-term Investments</t>
  </si>
  <si>
    <t>Other Intangibles</t>
  </si>
  <si>
    <t>Accounts Receivable Long-Term</t>
  </si>
  <si>
    <t>Deferred Tax Assets, LT</t>
  </si>
  <si>
    <t>Other Long-Term Assets</t>
  </si>
  <si>
    <t>LIABILITIES</t>
  </si>
  <si>
    <t>Accrued Exp.</t>
  </si>
  <si>
    <t>Short-term Borrowings</t>
  </si>
  <si>
    <t>Curr. Port. of LT Debt</t>
  </si>
  <si>
    <t>Curr. Port. of Leases</t>
  </si>
  <si>
    <t>Curr. Income Taxes Payable</t>
  </si>
  <si>
    <t>Unearned Revenue, Current</t>
  </si>
  <si>
    <t>Def. Tax Liability, Curr.</t>
  </si>
  <si>
    <t>Other Current Liabilities</t>
  </si>
  <si>
    <t xml:space="preserve">  Total Current Liabilities</t>
  </si>
  <si>
    <t>Long-Term Debt</t>
  </si>
  <si>
    <t>Long-Term Leases</t>
  </si>
  <si>
    <t>Unearned Revenue, Non-Current</t>
  </si>
  <si>
    <t>Def. Tax Liability, Non-Curr.</t>
  </si>
  <si>
    <t>Other Non-Current Liabilities</t>
  </si>
  <si>
    <t>Pref. Stock, Convertible</t>
  </si>
  <si>
    <t xml:space="preserve">  Total Pref. Equity</t>
  </si>
  <si>
    <t>Additional Paid In Capital</t>
  </si>
  <si>
    <t>Retained Earnings</t>
  </si>
  <si>
    <t>Treasury Stock</t>
  </si>
  <si>
    <t>Comprehensive Inc. and Other</t>
  </si>
  <si>
    <t xml:space="preserve">  Total Common Equity</t>
  </si>
  <si>
    <t>Minority Interest</t>
  </si>
  <si>
    <t>Total Equity</t>
  </si>
  <si>
    <t>Total Liabilities And Equity</t>
  </si>
  <si>
    <t>Total Shares Out. on Filing Date</t>
  </si>
  <si>
    <t>Total Shares Out. on Balance Sheet Date</t>
  </si>
  <si>
    <t>Book Value/Share</t>
  </si>
  <si>
    <t>Tangible Book Value</t>
  </si>
  <si>
    <t>Tangible Book Value/Share</t>
  </si>
  <si>
    <t>Debt Equivalent Oper. Leases</t>
  </si>
  <si>
    <t>Total Minority Interest</t>
  </si>
  <si>
    <t>Inventory Method</t>
  </si>
  <si>
    <t>FIFO</t>
  </si>
  <si>
    <t>Avg Cost</t>
  </si>
  <si>
    <t>Raw Materials Inventory</t>
  </si>
  <si>
    <t>Work in Progress Inventory</t>
  </si>
  <si>
    <t>Finished Goods Inventory</t>
  </si>
  <si>
    <t>Buildings</t>
  </si>
  <si>
    <t>Machinery</t>
  </si>
  <si>
    <t>Leasehold Improvements</t>
  </si>
  <si>
    <t>Full Time Employees</t>
  </si>
  <si>
    <t>Assets under Cap. Lease, Gross</t>
  </si>
  <si>
    <t>Assets under Cap. Lease, Accum. Depr.</t>
  </si>
  <si>
    <t>Accum. Allowance for Doubtful Accts</t>
  </si>
  <si>
    <t>NV</t>
  </si>
  <si>
    <t>RUP</t>
  </si>
  <si>
    <t>FWD</t>
  </si>
  <si>
    <t>Cash Flow</t>
  </si>
  <si>
    <t>12 months
Jun-30-1996</t>
  </si>
  <si>
    <t>12 months
Jun-30-1997</t>
  </si>
  <si>
    <t>Restated
12 months
Jun-30-1998</t>
  </si>
  <si>
    <t>Restated
12 months
Jun-30-1999</t>
  </si>
  <si>
    <t>Restated
12 months
Jun-30-2000</t>
  </si>
  <si>
    <t>Restated
12 months
Jun-30-2004</t>
  </si>
  <si>
    <t>12 months
Jun-30-2005</t>
  </si>
  <si>
    <t>12 months
Jun-30-2006</t>
  </si>
  <si>
    <t>12 months
Jun-30-2007</t>
  </si>
  <si>
    <t>12 months
Jun-30-2008</t>
  </si>
  <si>
    <t>12 months
Jun-30-2009</t>
  </si>
  <si>
    <t>12 months
Jun-30-2010</t>
  </si>
  <si>
    <t>12 months
Jun-30-2013</t>
  </si>
  <si>
    <t>Restated
12 months
Jun-30-2014</t>
  </si>
  <si>
    <t>Restated
12 months
Jun-30-2015</t>
  </si>
  <si>
    <t>3 months
FQ4/CQ2
Jun-30-1997</t>
  </si>
  <si>
    <t>3 months
FQ1/CQ3
Sep-30-1997</t>
  </si>
  <si>
    <t>3 months
FQ2/CQ4
Dec-31-1997</t>
  </si>
  <si>
    <t>3 months
FQ3/CQ1
Mar-31-1998</t>
  </si>
  <si>
    <t>3 months
FQ4/CQ2
Jun-30-1998</t>
  </si>
  <si>
    <t>3 months
FQ1/CQ3
Sep-30-1998</t>
  </si>
  <si>
    <t>3 months
FQ2/CQ4
Dec-31-1998</t>
  </si>
  <si>
    <t>3 months
FQ3/CQ1
Mar-31-1999</t>
  </si>
  <si>
    <t>Restated
3 months
FQ4/CQ2
Jun-30-1999</t>
  </si>
  <si>
    <t>Restated
3 months
FQ1/CQ3
Sep-30-1999</t>
  </si>
  <si>
    <t>Restated
3 months
FQ2/CQ4
Dec-31-1999</t>
  </si>
  <si>
    <t>Restated
3 months
FQ3/CQ1
Mar-31-2000</t>
  </si>
  <si>
    <t>Restated
3 months
FQ4/CQ2
Jun-30-2000</t>
  </si>
  <si>
    <t>3 months
FQ1/CQ3
Sep-30-2000</t>
  </si>
  <si>
    <t>Restated
3 months
FQ2/CQ4
Dec-31-2000</t>
  </si>
  <si>
    <t>Restated
3 months
FQ3/CQ1
Mar-31-2001</t>
  </si>
  <si>
    <t>3 months
FQ4/CQ2
Jun-30-2001</t>
  </si>
  <si>
    <t>Restated
3 months
FQ3/CQ1
Mar-31-2004</t>
  </si>
  <si>
    <t>Restated
3 months
FQ4/CQ2
Jun-30-2004</t>
  </si>
  <si>
    <t>Restated
3 months
FQ1/CQ3
Sep-30-2004</t>
  </si>
  <si>
    <t>Restated
3 months
FQ2/CQ4
Dec-31-2004</t>
  </si>
  <si>
    <t>3 months
FQ3/CQ1
Mar-31-2005</t>
  </si>
  <si>
    <t>3 months
FQ4/CQ2
Jun-30-2005</t>
  </si>
  <si>
    <t>3 months
FQ1/CQ3
Sep-30-2005</t>
  </si>
  <si>
    <t>3 months
FQ2/CQ4
Dec-31-2005</t>
  </si>
  <si>
    <t>3 months
FQ1/CQ3
Sep-30-2007</t>
  </si>
  <si>
    <t>3 months
FQ2/CQ4
Dec-31-2007</t>
  </si>
  <si>
    <t>3 months
FQ3/CQ1
Mar-31-2008</t>
  </si>
  <si>
    <t>3 months
FQ4/CQ2
Jun-30-2008</t>
  </si>
  <si>
    <t>3 months
FQ2/CQ4
Dec-31-2009</t>
  </si>
  <si>
    <t>3 months
FQ3/CQ1
Mar-31-2010</t>
  </si>
  <si>
    <t>3 months
FQ4/CQ2
Jun-30-2010</t>
  </si>
  <si>
    <t>3 months
FQ1/CQ3
Sep-30-2013</t>
  </si>
  <si>
    <t>3 months
FQ2/CQ4
Dec-31-2013</t>
  </si>
  <si>
    <t>3 months
FQ3/CQ1
Mar-31-2014</t>
  </si>
  <si>
    <t>3 months
FQ4/CQ2
Jun-30-2014</t>
  </si>
  <si>
    <t>Restated
3 months
FQ3/CQ1
Mar-31-2015</t>
  </si>
  <si>
    <t>Restated
3 months
FQ4/CQ2
Jun-30-2015</t>
  </si>
  <si>
    <t>Amort. of Goodwill and Intangibles</t>
  </si>
  <si>
    <t>Depreciation &amp; Amort., Total</t>
  </si>
  <si>
    <t>Other Amortization</t>
  </si>
  <si>
    <t>(Gain) Loss From Sale Of Assets</t>
  </si>
  <si>
    <t>(Gain) Loss On Sale Of Invest.</t>
  </si>
  <si>
    <t>Asset Writedown &amp; Restructuring Costs</t>
  </si>
  <si>
    <t>Stock-Based Compensation</t>
  </si>
  <si>
    <t>Tax Benefit from Stock Options</t>
  </si>
  <si>
    <t>Other Operating Activities</t>
  </si>
  <si>
    <t>Change in Acc. Receivable</t>
  </si>
  <si>
    <t>Change In Inventories</t>
  </si>
  <si>
    <t>Change in Acc. Payable</t>
  </si>
  <si>
    <t>Change in Unearned Rev.</t>
  </si>
  <si>
    <t>Change in Inc. Taxes</t>
  </si>
  <si>
    <t>Change in Other Net Operating Assets</t>
  </si>
  <si>
    <t xml:space="preserve">  Cash from Ops.</t>
  </si>
  <si>
    <t>Capital Expenditure</t>
  </si>
  <si>
    <t>Cash Acquisitions</t>
  </si>
  <si>
    <t>Invest. in Marketable &amp; Equity Securt.</t>
  </si>
  <si>
    <t>Net (Inc.) Dec. in Loans Originated/Sold</t>
  </si>
  <si>
    <t>Other Investing Activities</t>
  </si>
  <si>
    <t xml:space="preserve">  Cash from Investing</t>
  </si>
  <si>
    <t>Short Term Debt Issued</t>
  </si>
  <si>
    <t>Long-Term Debt Issued</t>
  </si>
  <si>
    <t>Total Debt Issued</t>
  </si>
  <si>
    <t>Short Term Debt Repaid</t>
  </si>
  <si>
    <t>Long-Term Debt Repaid</t>
  </si>
  <si>
    <t>Total Debt Repaid</t>
  </si>
  <si>
    <t>Issuance of Common Stock</t>
  </si>
  <si>
    <t>Repurchase of Common Stock</t>
  </si>
  <si>
    <t>Issuance of Pref. Stock</t>
  </si>
  <si>
    <t>Common Dividends Paid</t>
  </si>
  <si>
    <t>Pref. Dividends Paid</t>
  </si>
  <si>
    <t>Total Dividends Paid</t>
  </si>
  <si>
    <t>Special Dividend Paid</t>
  </si>
  <si>
    <t>Other Financing Activities</t>
  </si>
  <si>
    <t xml:space="preserve">  Cash from Financing</t>
  </si>
  <si>
    <t>Foreign Exchange Rate Adj.</t>
  </si>
  <si>
    <t xml:space="preserve">  Net Change in Cash</t>
  </si>
  <si>
    <t>Cash Interest Paid</t>
  </si>
  <si>
    <t>Cash Taxes Paid</t>
  </si>
  <si>
    <t>Levered Free Cash Flow</t>
  </si>
  <si>
    <t>Unlevered Free Cash Flow</t>
  </si>
  <si>
    <t>Change in Net Working Capital</t>
  </si>
  <si>
    <t>Net Debt Issued</t>
  </si>
  <si>
    <t>RSA</t>
  </si>
  <si>
    <t>CFQ</t>
  </si>
  <si>
    <t>Business Segments</t>
  </si>
  <si>
    <t xml:space="preserve">
               </t>
  </si>
  <si>
    <t>Revenues</t>
  </si>
  <si>
    <t>Windows Division</t>
  </si>
  <si>
    <t>Server and Tools</t>
  </si>
  <si>
    <t>Online Services Division</t>
  </si>
  <si>
    <t>Microsoft Business Division</t>
  </si>
  <si>
    <t>Entertainment and Devices Division</t>
  </si>
  <si>
    <t>Reconciling Amounts</t>
  </si>
  <si>
    <t>Information Worker</t>
  </si>
  <si>
    <t>MSN</t>
  </si>
  <si>
    <t>Mobile and Embedded Devices</t>
  </si>
  <si>
    <t>Home and Entertainment</t>
  </si>
  <si>
    <t>Desktop and Enterprise Software and Services</t>
  </si>
  <si>
    <t>Consumer Software, Services and Devices</t>
  </si>
  <si>
    <t>Consumer Commerce Investments</t>
  </si>
  <si>
    <t>Productivity Applications and Developer</t>
  </si>
  <si>
    <t>Consumer and Other</t>
  </si>
  <si>
    <t xml:space="preserve">  Total Revenues</t>
  </si>
  <si>
    <t>Gross Profit Before Tax</t>
  </si>
  <si>
    <t xml:space="preserve">  Total Gross Profit Before Tax</t>
  </si>
  <si>
    <t>Operating Profit Before Tax</t>
  </si>
  <si>
    <t>Unallocated Net Revenue Deferral from Windows</t>
  </si>
  <si>
    <t>Unallocated Other</t>
  </si>
  <si>
    <t>Unallocated Cost of Revenue Reconciling Amounts</t>
  </si>
  <si>
    <t>Unallocated Operating Expenses Reconciling Amounts</t>
  </si>
  <si>
    <t>Unallocated Corporate Level Activity</t>
  </si>
  <si>
    <t>Unallocated Stock - Based Compensation Expense</t>
  </si>
  <si>
    <t xml:space="preserve">  Total Operating Profit Before Tax</t>
  </si>
  <si>
    <t>Geographic Segments</t>
  </si>
  <si>
    <t>United States</t>
  </si>
  <si>
    <t>Other Countries</t>
  </si>
  <si>
    <t>Net Profit Before Tax</t>
  </si>
  <si>
    <t xml:space="preserve">  Total Net Profit Before Tax</t>
  </si>
  <si>
    <t>Ireland</t>
  </si>
  <si>
    <t>Luxembourg</t>
  </si>
  <si>
    <t>Finland</t>
  </si>
  <si>
    <t xml:space="preserve">  Total Assets</t>
  </si>
  <si>
    <t>MSFT Guidance Analysis</t>
  </si>
  <si>
    <t>Reference</t>
  </si>
  <si>
    <t>FY21 Q2e Guidance</t>
  </si>
  <si>
    <t>CRC (old)</t>
  </si>
  <si>
    <t>CRC (new)</t>
  </si>
  <si>
    <t>Cons.</t>
  </si>
  <si>
    <t>FY21 Q1 Guidance</t>
  </si>
  <si>
    <t>Q1 Actual</t>
  </si>
  <si>
    <t>Productivity and Business Process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</si>
</sst>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8">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_);\(#,##0.0%\)"/>
    <numFmt numFmtId="165" formatCode="m/d/yy;@"/>
    <numFmt numFmtId="166" formatCode="#,##0%_);\(#,##0%\)"/>
    <numFmt numFmtId="167" formatCode="0.000000000000000%"/>
    <numFmt numFmtId="168" formatCode="_(* #,##0_);_(* \(#,##0\);_(* &quot;-&quot;??_);_(@_)"/>
    <numFmt numFmtId="169" formatCode="#,##0.0\x_);\(#,##0.0\x\)"/>
    <numFmt numFmtId="170" formatCode="_(* #,##0.00_);_(* \(#,##0.00\);_(* &quot;-&quot;_);_(@_)"/>
    <numFmt numFmtId="171" formatCode="&quot;$&quot;#,##0.0_);\(&quot;$&quot;#,##0.0\)"/>
    <numFmt numFmtId="172" formatCode="_(* #,##0.0%_);_(* \(#,##0.0%\);_(* &quot;-&quot;?_);_(* @_)"/>
    <numFmt numFmtId="173" formatCode="_(* #,##0.0_);_(* \(#,##0.0\)_)\ ;_(* 0_)"/>
    <numFmt numFmtId="174" formatCode="_(&quot;$&quot;#,##0.0#_);_(\(&quot;$&quot;#,##0.0#\)_);_(&quot;$&quot;&quot; - &quot;_)"/>
    <numFmt numFmtId="175" formatCode="_(* #,##0.0#_);_(* \(#,##0.0#\)_)\ ;_(* 0_)"/>
    <numFmt numFmtId="176" formatCode="_(#,##0.0%_);_(\(#,##0.0%\)_);_(#,##0.0%_)"/>
    <numFmt numFmtId="177" formatCode="_(* #,##0.0##_);_(* \(#,##0.0##\)_)\ ;_(* 0_)"/>
    <numFmt numFmtId="178" formatCode="mmm\-dd\-yyyy"/>
    <numFmt numFmtId="179" formatCode="_(* #,##0_);_(* \(#,##0\)_)\ ;_(* 0_)"/>
    <numFmt numFmtId="180" formatCode="_(* #,##0.0\x_);_(* \(#,##0.0\x\);_(* &quot;-&quot;?_);_(* @_)"/>
    <numFmt numFmtId="181" formatCode="0.0%"/>
    <numFmt numFmtId="182" formatCode="_(* #,##0%_);_(* \(#,##0%\);_(* &quot;-&quot;?_);_(* @_)"/>
    <numFmt numFmtId="183" formatCode="_(* #,##0.000_);_(* \(#,##0.000\);_(* &quot;-&quot;??_);_(@_)"/>
    <numFmt numFmtId="184" formatCode="_(* #,##0.0_);_(* \(#,##0.0\);_(* &quot;-&quot;??_);_(@_)"/>
    <numFmt numFmtId="185" formatCode="0.000"/>
    <numFmt numFmtId="186" formatCode=";;;"/>
    <numFmt numFmtId="187" formatCode="#,##0.0"/>
    <numFmt numFmtId="188" formatCode="#,##0_);\(#,##0\);\-\-_);@_)"/>
    <numFmt numFmtId="189" formatCode="#,##0.000"/>
    <numFmt numFmtId="190" formatCode="General&quot;A&quot;"/>
    <numFmt numFmtId="191" formatCode="General&quot;E&quot;"/>
    <numFmt numFmtId="192" formatCode="#,##0.0_);\(#,##0.0\);\-\-_);@_)"/>
    <numFmt numFmtId="193" formatCode="00&quot;bp&quot;"/>
    <numFmt numFmtId="194" formatCode="#,##0.0000_);\(#,##0.0000\);\-\-_);@_)"/>
    <numFmt numFmtId="195" formatCode="#,##0.0_);\(#,##0.0\)"/>
    <numFmt numFmtId="196" formatCode="&quot;$&quot;#,##0.0_);\(&quot;$&quot;#,##0.0\);&quot;$&quot;\-\-_);@_)"/>
    <numFmt numFmtId="197" formatCode="#,##0.00_);\(#,##0.00\);\-\-_);@_)"/>
    <numFmt numFmtId="198" formatCode="#,##0.000000_);\(#,##0.000000\);\-\-_);@_)"/>
    <numFmt numFmtId="199" formatCode="#,##0.000_);\(#,##0.000\);\-\-_);@_)"/>
    <numFmt numFmtId="200" formatCode="&quot;$&quot;#,##0.0000_);\(&quot;$&quot;#,##0.0000\);&quot;$&quot;\-\-_);@_)"/>
    <numFmt numFmtId="201" formatCode="&quot;$&quot;#,##0.00000_);\(&quot;$&quot;#,##0.00000\);&quot;$&quot;\-\-_);@_)"/>
    <numFmt numFmtId="202" formatCode="_(* #,##0.000_);_(* \(#,##0.000\);_(* &quot;-&quot;_);_(@_)"/>
    <numFmt numFmtId="203" formatCode="0.0000000000000000%"/>
    <numFmt numFmtId="204" formatCode="_(* #,##0.000000_);_(* \(#,##0.000000\);_(* &quot;-&quot;??_);_(@_)"/>
    <numFmt numFmtId="205" formatCode="&quot;$&quot;#,##0.0_);[Red]\(&quot;$&quot;#,##0.0\)"/>
    <numFmt numFmtId="206" formatCode="#,##0.00;[Red]\(#,##0.00\)"/>
    <numFmt numFmtId="207" formatCode="#,##0.00&quot;%&quot;;[Red]\(#,##0.00&quot;%&quot;\)"/>
    <numFmt numFmtId="208" formatCode="#,##0.00&quot;bps&quot;;[Red]\(#,##0.00&quot;bps&quot;\)"/>
    <numFmt numFmtId="209" formatCode="#,##0_);\(#,##0\);\-\-_)"/>
    <numFmt numFmtId="210" formatCode="_(* #,##0.0_);_(* \(#,##0.0\);_(* &quot;-&quot;_);_(@_)"/>
    <numFmt numFmtId="211" formatCode="_(* #,##0%_);_(* \(#,##0%\);_(* &quot;-&quot;_);_(@_)"/>
    <numFmt numFmtId="212" formatCode="_(* #,##0.00%_);_(* \(#,##0.00%\);_(* &quot;-&quot;?_);_(* @_)"/>
    <numFmt numFmtId="213" formatCode="_(* #,##0.0000_);_(* \(#,##0.0000\);_(* &quot;-&quot;??_);_(@_)"/>
  </numFmts>
  <fonts count="175">
    <font>
      <sz val="8"/>
      <color theme="1"/>
      <name val="Arial"/>
      <family val="2"/>
    </font>
    <font>
      <sz val="11"/>
      <color theme="1"/>
      <name val="Calibri"/>
      <family val="2"/>
      <scheme val="minor"/>
    </font>
    <font>
      <b/>
      <sz val="8"/>
      <color theme="1"/>
      <name val="Arial"/>
      <family val="2"/>
    </font>
    <font>
      <i/>
      <sz val="8"/>
      <color theme="1"/>
      <name val="Arial"/>
      <family val="2"/>
    </font>
    <font>
      <b/>
      <u val="singleAccounting"/>
      <sz val="8"/>
      <color theme="1"/>
      <name val="Arial"/>
      <family val="2"/>
    </font>
    <font>
      <b/>
      <i/>
      <sz val="8"/>
      <color theme="1"/>
      <name val="Arial"/>
      <family val="2"/>
    </font>
    <font>
      <sz val="8"/>
      <color rgb="FF0000FF"/>
      <name val="Arial"/>
      <family val="2"/>
    </font>
    <font>
      <u val="singleAccounting"/>
      <sz val="8"/>
      <color rgb="FF0000FF"/>
      <name val="Arial"/>
      <family val="2"/>
    </font>
    <font>
      <u val="singleAccounting"/>
      <sz val="8"/>
      <color theme="1"/>
      <name val="Arial"/>
      <family val="2"/>
    </font>
    <font>
      <sz val="8"/>
      <name val="Arial"/>
      <family val="2"/>
    </font>
    <font>
      <u val="singleAccounting"/>
      <sz val="8"/>
      <name val="Arial"/>
      <family val="2"/>
    </font>
    <font>
      <b/>
      <u/>
      <sz val="8"/>
      <color theme="1"/>
      <name val="Arial"/>
      <family val="2"/>
    </font>
    <font>
      <i/>
      <sz val="8"/>
      <color rgb="FF0000FF"/>
      <name val="Arial"/>
      <family val="2"/>
    </font>
    <font>
      <i/>
      <sz val="8"/>
      <name val="Arial"/>
      <family val="2"/>
    </font>
    <font>
      <i/>
      <u/>
      <sz val="8"/>
      <color theme="1"/>
      <name val="Arial"/>
      <family val="2"/>
    </font>
    <font>
      <sz val="8"/>
      <color theme="1"/>
      <name val="Arial"/>
      <family val="2"/>
    </font>
    <font>
      <sz val="8"/>
      <color rgb="FFFF0000"/>
      <name val="Arial"/>
      <family val="2"/>
    </font>
    <font>
      <i/>
      <sz val="8"/>
      <color theme="0"/>
      <name val="Arial"/>
      <family val="2"/>
    </font>
    <font>
      <i/>
      <sz val="8"/>
      <color rgb="FFFF0000"/>
      <name val="Arial"/>
      <family val="2"/>
    </font>
    <font>
      <u val="singleAccounting"/>
      <sz val="8"/>
      <color rgb="FFFF0000"/>
      <name val="Arial"/>
      <family val="2"/>
    </font>
    <font>
      <sz val="11"/>
      <color theme="1"/>
      <name val="Calibri"/>
      <family val="2"/>
      <scheme val="minor"/>
    </font>
    <font>
      <b/>
      <sz val="8"/>
      <color rgb="FF0000FF"/>
      <name val="Arial"/>
      <family val="2"/>
    </font>
    <font>
      <i/>
      <sz val="8"/>
      <color theme="1"/>
      <name val="Calibri"/>
      <family val="2"/>
      <scheme val="minor"/>
    </font>
    <font>
      <b/>
      <u val="singleAccounting"/>
      <sz val="8"/>
      <name val="Calibri"/>
      <family val="2"/>
      <scheme val="minor"/>
    </font>
    <font>
      <b/>
      <sz val="13"/>
      <color indexed="8"/>
      <name val="Verdana"/>
      <family val="2"/>
    </font>
    <font>
      <b/>
      <sz val="8"/>
      <name val="Arial"/>
      <family val="2"/>
    </font>
    <font>
      <sz val="8"/>
      <color indexed="8"/>
      <name val="Arial"/>
      <family val="2"/>
    </font>
    <font>
      <b/>
      <sz val="8"/>
      <color indexed="9"/>
      <name val="Verdana"/>
      <family val="2"/>
    </font>
    <font>
      <sz val="1"/>
      <color indexed="9"/>
      <name val="Symbol"/>
      <family val="1"/>
      <charset val="2"/>
    </font>
    <font>
      <b/>
      <sz val="8"/>
      <color indexed="8"/>
      <name val="Arial"/>
      <family val="2"/>
    </font>
    <font>
      <b/>
      <i/>
      <sz val="8"/>
      <color indexed="8"/>
      <name val="Arial"/>
      <family val="2"/>
    </font>
    <font>
      <b/>
      <u val="double"/>
      <sz val="8"/>
      <color indexed="8"/>
      <name val="Arial"/>
      <family val="2"/>
    </font>
    <font>
      <b/>
      <u/>
      <sz val="8"/>
      <color indexed="8"/>
      <name val="Arial"/>
      <family val="2"/>
    </font>
    <font>
      <sz val="8"/>
      <color theme="0"/>
      <name val="Arial"/>
      <family val="2"/>
    </font>
    <font>
      <sz val="9"/>
      <name val="Calibri"/>
      <family val="2"/>
      <scheme val="minor"/>
    </font>
    <font>
      <sz val="9"/>
      <color theme="1"/>
      <name val="Calibri"/>
      <family val="2"/>
      <scheme val="minor"/>
    </font>
    <font>
      <b/>
      <sz val="9"/>
      <color theme="1"/>
      <name val="Calibri"/>
      <family val="2"/>
      <scheme val="minor"/>
    </font>
    <font>
      <i/>
      <sz val="9"/>
      <name val="Calibri"/>
      <family val="2"/>
      <scheme val="minor"/>
    </font>
    <font>
      <sz val="9"/>
      <color theme="0"/>
      <name val="Calibri"/>
      <family val="2"/>
      <scheme val="minor"/>
    </font>
    <font>
      <i/>
      <sz val="9"/>
      <color theme="1"/>
      <name val="Calibri"/>
      <family val="2"/>
      <scheme val="minor"/>
    </font>
    <font>
      <b/>
      <u val="singleAccounting"/>
      <sz val="10"/>
      <name val="Calibri"/>
      <family val="2"/>
      <scheme val="minor"/>
    </font>
    <font>
      <b/>
      <u val="singleAccounting"/>
      <sz val="9"/>
      <color theme="1"/>
      <name val="Calibri"/>
      <family val="2"/>
      <scheme val="minor"/>
    </font>
    <font>
      <i/>
      <sz val="9"/>
      <color rgb="FFFF0000"/>
      <name val="Calibri"/>
      <family val="2"/>
      <scheme val="minor"/>
    </font>
    <font>
      <sz val="9"/>
      <color rgb="FF00B050"/>
      <name val="Calibri"/>
      <family val="2"/>
      <scheme val="minor"/>
    </font>
    <font>
      <i/>
      <sz val="9"/>
      <color rgb="FF0070C0"/>
      <name val="Calibri"/>
      <family val="2"/>
      <scheme val="minor"/>
    </font>
    <font>
      <sz val="9"/>
      <color rgb="FF0070C0"/>
      <name val="Calibri"/>
      <family val="2"/>
      <scheme val="minor"/>
    </font>
    <font>
      <u val="singleAccounting"/>
      <sz val="9"/>
      <name val="Calibri"/>
      <family val="2"/>
      <scheme val="minor"/>
    </font>
    <font>
      <b/>
      <i/>
      <sz val="9"/>
      <color theme="1"/>
      <name val="Calibri"/>
      <family val="2"/>
      <scheme val="minor"/>
    </font>
    <font>
      <sz val="9"/>
      <color theme="0" tint="-0.14999847407452621"/>
      <name val="Calibri"/>
      <family val="2"/>
      <scheme val="minor"/>
    </font>
    <font>
      <b/>
      <u/>
      <sz val="9"/>
      <color theme="1"/>
      <name val="Calibri"/>
      <family val="2"/>
      <scheme val="minor"/>
    </font>
    <font>
      <u val="singleAccounting"/>
      <sz val="9"/>
      <color rgb="FF0000FF"/>
      <name val="Calibri"/>
      <family val="2"/>
      <scheme val="minor"/>
    </font>
    <font>
      <u val="singleAccounting"/>
      <sz val="9"/>
      <color rgb="FF00B050"/>
      <name val="Calibri"/>
      <family val="2"/>
      <scheme val="minor"/>
    </font>
    <font>
      <u val="singleAccounting"/>
      <sz val="9"/>
      <color theme="1"/>
      <name val="Calibri"/>
      <family val="2"/>
      <scheme val="minor"/>
    </font>
    <font>
      <i/>
      <sz val="9"/>
      <color rgb="FF0000FF"/>
      <name val="Calibri"/>
      <family val="2"/>
      <scheme val="minor"/>
    </font>
    <font>
      <i/>
      <u/>
      <sz val="9"/>
      <color theme="1"/>
      <name val="Calibri"/>
      <family val="2"/>
      <scheme val="minor"/>
    </font>
    <font>
      <i/>
      <sz val="9"/>
      <color rgb="FF00B050"/>
      <name val="Calibri"/>
      <family val="2"/>
      <scheme val="minor"/>
    </font>
    <font>
      <b/>
      <i/>
      <sz val="8"/>
      <color rgb="FF0000FF"/>
      <name val="Arial"/>
      <family val="2"/>
    </font>
    <font>
      <b/>
      <u val="singleAccounting"/>
      <sz val="9"/>
      <name val="Calibri"/>
      <family val="2"/>
      <scheme val="minor"/>
    </font>
    <font>
      <sz val="9"/>
      <color rgb="FFFF0000"/>
      <name val="Calibri"/>
      <family val="2"/>
      <scheme val="minor"/>
    </font>
    <font>
      <u val="singleAccounting"/>
      <sz val="9"/>
      <color rgb="FFFF0000"/>
      <name val="Calibri"/>
      <family val="2"/>
      <scheme val="minor"/>
    </font>
    <font>
      <i/>
      <u val="singleAccounting"/>
      <sz val="9"/>
      <color theme="1"/>
      <name val="Calibri"/>
      <family val="2"/>
      <scheme val="minor"/>
    </font>
    <font>
      <i/>
      <u val="singleAccounting"/>
      <sz val="9"/>
      <name val="Calibri"/>
      <family val="2"/>
      <scheme val="minor"/>
    </font>
    <font>
      <i/>
      <u val="singleAccounting"/>
      <sz val="9"/>
      <color rgb="FFFF0000"/>
      <name val="Calibri"/>
      <family val="2"/>
      <scheme val="minor"/>
    </font>
    <font>
      <i/>
      <u val="singleAccounting"/>
      <sz val="9"/>
      <color rgb="FF0070C0"/>
      <name val="Calibri"/>
      <family val="2"/>
      <scheme val="minor"/>
    </font>
    <font>
      <b/>
      <sz val="9"/>
      <name val="Calibri"/>
      <family val="2"/>
      <scheme val="minor"/>
    </font>
    <font>
      <b/>
      <i/>
      <sz val="9"/>
      <name val="Calibri"/>
      <family val="2"/>
      <scheme val="minor"/>
    </font>
    <font>
      <b/>
      <i/>
      <sz val="9"/>
      <color rgb="FFFF0000"/>
      <name val="Calibri"/>
      <family val="2"/>
      <scheme val="minor"/>
    </font>
    <font>
      <i/>
      <u val="singleAccounting"/>
      <sz val="9"/>
      <color rgb="FF00B050"/>
      <name val="Calibri"/>
      <family val="2"/>
      <scheme val="minor"/>
    </font>
    <font>
      <sz val="10"/>
      <name val="Arial"/>
      <family val="2"/>
    </font>
    <font>
      <sz val="10"/>
      <color indexed="62"/>
      <name val="Arial"/>
      <family val="2"/>
    </font>
    <font>
      <b/>
      <sz val="10"/>
      <name val="Arial"/>
      <family val="2"/>
    </font>
    <font>
      <b/>
      <sz val="10"/>
      <color theme="0"/>
      <name val="Arial"/>
      <family val="2"/>
    </font>
    <font>
      <sz val="10"/>
      <color theme="0"/>
      <name val="Arial"/>
      <family val="2"/>
    </font>
    <font>
      <sz val="10"/>
      <color indexed="8"/>
      <name val="Arial"/>
      <family val="2"/>
    </font>
    <font>
      <b/>
      <u/>
      <sz val="10"/>
      <color theme="0"/>
      <name val="Arial"/>
      <family val="2"/>
    </font>
    <font>
      <sz val="10"/>
      <color rgb="FF000000"/>
      <name val="Arial"/>
      <family val="2"/>
    </font>
    <font>
      <b/>
      <sz val="10"/>
      <color rgb="FF000000"/>
      <name val="Arial"/>
      <family val="2"/>
    </font>
    <font>
      <sz val="10"/>
      <color rgb="FF0000FF"/>
      <name val="Arial"/>
      <family val="2"/>
    </font>
    <font>
      <sz val="10"/>
      <color rgb="FF00B050"/>
      <name val="Arial"/>
      <family val="2"/>
    </font>
    <font>
      <b/>
      <sz val="10"/>
      <color rgb="FF0000FF"/>
      <name val="Arial"/>
      <family val="2"/>
    </font>
    <font>
      <b/>
      <u/>
      <sz val="10"/>
      <color indexed="8"/>
      <name val="Arial"/>
      <family val="2"/>
    </font>
    <font>
      <b/>
      <u/>
      <sz val="10"/>
      <name val="Arial"/>
      <family val="2"/>
    </font>
    <font>
      <sz val="9"/>
      <color indexed="8"/>
      <name val="Arial"/>
      <family val="2"/>
    </font>
    <font>
      <b/>
      <sz val="10"/>
      <color indexed="8"/>
      <name val="Arial"/>
      <family val="2"/>
    </font>
    <font>
      <b/>
      <u/>
      <sz val="10"/>
      <color rgb="FF0000FF"/>
      <name val="Arial"/>
      <family val="2"/>
    </font>
    <font>
      <i/>
      <sz val="10"/>
      <name val="Arial"/>
      <family val="2"/>
    </font>
    <font>
      <sz val="10"/>
      <color indexed="12"/>
      <name val="Arial"/>
      <family val="2"/>
    </font>
    <font>
      <sz val="10"/>
      <color indexed="17"/>
      <name val="Arial"/>
      <family val="2"/>
    </font>
    <font>
      <b/>
      <i/>
      <sz val="10"/>
      <name val="Arial"/>
      <family val="2"/>
    </font>
    <font>
      <b/>
      <i/>
      <sz val="10"/>
      <color indexed="8"/>
      <name val="Arial"/>
      <family val="2"/>
    </font>
    <font>
      <b/>
      <i/>
      <sz val="10"/>
      <color rgb="FF000000"/>
      <name val="Arial"/>
      <family val="2"/>
    </font>
    <font>
      <sz val="10"/>
      <color theme="6" tint="-0.499984740745262"/>
      <name val="Arial"/>
      <family val="2"/>
    </font>
    <font>
      <b/>
      <u/>
      <sz val="10"/>
      <color theme="1"/>
      <name val="Arial"/>
      <family val="2"/>
    </font>
    <font>
      <b/>
      <i/>
      <u val="singleAccounting"/>
      <sz val="9"/>
      <color theme="1"/>
      <name val="Calibri"/>
      <family val="2"/>
      <scheme val="minor"/>
    </font>
    <font>
      <b/>
      <sz val="10"/>
      <color rgb="FFFF0000"/>
      <name val="Arial"/>
      <family val="2"/>
    </font>
    <font>
      <b/>
      <u/>
      <sz val="9"/>
      <name val="Calibri"/>
      <family val="2"/>
      <scheme val="minor"/>
    </font>
    <font>
      <sz val="10"/>
      <color theme="1"/>
      <name val="Arial"/>
      <family val="2"/>
    </font>
    <font>
      <b/>
      <sz val="10"/>
      <color theme="1"/>
      <name val="Arial"/>
      <family val="2"/>
    </font>
    <font>
      <i/>
      <sz val="10"/>
      <color theme="1"/>
      <name val="Arial"/>
      <family val="2"/>
    </font>
    <font>
      <b/>
      <u val="singleAccounting"/>
      <sz val="10"/>
      <name val="Arial"/>
      <family val="2"/>
    </font>
    <font>
      <b/>
      <i/>
      <sz val="10"/>
      <color theme="1"/>
      <name val="Arial"/>
      <family val="2"/>
    </font>
    <font>
      <b/>
      <u val="singleAccounting"/>
      <sz val="10"/>
      <color theme="1"/>
      <name val="Arial"/>
      <family val="2"/>
    </font>
    <font>
      <u/>
      <sz val="10"/>
      <color theme="1"/>
      <name val="Arial"/>
      <family val="2"/>
    </font>
    <font>
      <i/>
      <u/>
      <sz val="10"/>
      <name val="Arial"/>
      <family val="2"/>
    </font>
    <font>
      <i/>
      <sz val="9"/>
      <color theme="1"/>
      <name val="Arial"/>
      <family val="2"/>
    </font>
    <font>
      <b/>
      <u val="singleAccounting"/>
      <sz val="8"/>
      <name val="Arial"/>
      <family val="2"/>
    </font>
    <font>
      <b/>
      <i/>
      <u val="singleAccounting"/>
      <sz val="8"/>
      <name val="Arial"/>
      <family val="2"/>
    </font>
    <font>
      <i/>
      <u val="singleAccounting"/>
      <sz val="8"/>
      <name val="Arial"/>
      <family val="2"/>
    </font>
    <font>
      <b/>
      <i/>
      <sz val="8"/>
      <name val="Arial"/>
      <family val="2"/>
    </font>
    <font>
      <i/>
      <u val="singleAccounting"/>
      <sz val="8"/>
      <color theme="1"/>
      <name val="Arial"/>
      <family val="2"/>
    </font>
    <font>
      <b/>
      <i/>
      <u/>
      <sz val="8"/>
      <color theme="1"/>
      <name val="Arial"/>
      <family val="2"/>
    </font>
    <font>
      <u/>
      <sz val="8"/>
      <color theme="1"/>
      <name val="Arial"/>
      <family val="2"/>
    </font>
    <font>
      <i/>
      <u/>
      <sz val="8"/>
      <name val="Arial"/>
      <family val="2"/>
    </font>
    <font>
      <i/>
      <u val="singleAccounting"/>
      <sz val="8"/>
      <color rgb="FFFF0000"/>
      <name val="Arial"/>
      <family val="2"/>
    </font>
    <font>
      <u/>
      <sz val="8"/>
      <color rgb="FF0000FF"/>
      <name val="Arial"/>
      <family val="2"/>
    </font>
    <font>
      <u/>
      <sz val="8"/>
      <name val="Arial"/>
      <family val="2"/>
    </font>
    <font>
      <b/>
      <i/>
      <sz val="8"/>
      <color rgb="FFFF0000"/>
      <name val="Arial"/>
      <family val="2"/>
    </font>
    <font>
      <b/>
      <u/>
      <sz val="8"/>
      <name val="Arial"/>
      <family val="2"/>
    </font>
    <font>
      <u val="singleAccounting"/>
      <sz val="8"/>
      <color rgb="FF00B050"/>
      <name val="Arial"/>
      <family val="2"/>
    </font>
    <font>
      <sz val="10"/>
      <color rgb="FF666666"/>
      <name val="Segoe UI"/>
      <family val="2"/>
    </font>
    <font>
      <i/>
      <u val="singleAccounting"/>
      <sz val="8"/>
      <color rgb="FF0000FF"/>
      <name val="Arial"/>
      <family val="2"/>
    </font>
    <font>
      <u/>
      <sz val="11"/>
      <color theme="10"/>
      <name val="Calibri"/>
      <family val="2"/>
    </font>
    <font>
      <u/>
      <sz val="8"/>
      <color theme="10"/>
      <name val="Arial"/>
      <family val="2"/>
    </font>
    <font>
      <i/>
      <u/>
      <sz val="10"/>
      <color rgb="FF006A64"/>
      <name val="Arial"/>
      <family val="2"/>
    </font>
    <font>
      <sz val="8"/>
      <color rgb="FF00B050"/>
      <name val="Arial"/>
      <family val="2"/>
    </font>
    <font>
      <sz val="10"/>
      <color theme="1"/>
      <name val="Calibri"/>
      <family val="2"/>
    </font>
    <font>
      <sz val="11"/>
      <color theme="1"/>
      <name val="Calibri"/>
      <family val="2"/>
    </font>
    <font>
      <b/>
      <sz val="11"/>
      <color theme="1"/>
      <name val="Calibri"/>
      <family val="2"/>
    </font>
    <font>
      <b/>
      <sz val="16"/>
      <color theme="1"/>
      <name val="Calibri"/>
      <family val="2"/>
    </font>
    <font>
      <b/>
      <sz val="10"/>
      <color rgb="FFFF0000"/>
      <name val="Calibri"/>
      <family val="2"/>
    </font>
    <font>
      <b/>
      <sz val="28"/>
      <color theme="1"/>
      <name val="Arial"/>
      <family val="2"/>
    </font>
    <font>
      <b/>
      <sz val="9"/>
      <color indexed="81"/>
      <name val="Tahoma"/>
      <family val="2"/>
    </font>
    <font>
      <sz val="9"/>
      <color indexed="81"/>
      <name val="Tahoma"/>
      <family val="2"/>
    </font>
    <font>
      <sz val="8"/>
      <color rgb="FF666666"/>
      <name val="Arial"/>
      <family val="2"/>
    </font>
    <font>
      <b/>
      <i/>
      <u/>
      <sz val="8"/>
      <name val="Arial"/>
      <family val="2"/>
    </font>
    <font>
      <i/>
      <sz val="8"/>
      <color rgb="FF000000"/>
      <name val="Arial"/>
      <family val="2"/>
    </font>
    <font>
      <sz val="10"/>
      <color rgb="FFFF0000"/>
      <name val="Arial"/>
      <family val="2"/>
    </font>
    <font>
      <u/>
      <sz val="8"/>
      <color rgb="FFFF0000"/>
      <name val="Arial"/>
      <family val="2"/>
    </font>
    <font>
      <b/>
      <sz val="8"/>
      <color rgb="FFFF0000"/>
      <name val="Arial"/>
      <family val="2"/>
    </font>
    <font>
      <i/>
      <sz val="8"/>
      <color rgb="FF00B050"/>
      <name val="Arial"/>
      <family val="2"/>
    </font>
    <font>
      <i/>
      <sz val="10"/>
      <color rgb="FF666666"/>
      <name val="Segoe UI"/>
      <family val="2"/>
    </font>
    <font>
      <u val="singleAccounting"/>
      <sz val="8"/>
      <color theme="0" tint="-0.249977111117893"/>
      <name val="Arial"/>
      <family val="2"/>
    </font>
    <font>
      <sz val="8"/>
      <color theme="0" tint="-0.34998626667073579"/>
      <name val="Arial"/>
      <family val="2"/>
    </font>
    <font>
      <i/>
      <u/>
      <sz val="11"/>
      <color theme="1"/>
      <name val="Arial"/>
      <family val="2"/>
    </font>
    <font>
      <i/>
      <sz val="11"/>
      <color theme="1"/>
      <name val="Arial"/>
      <family val="2"/>
    </font>
    <font>
      <sz val="11"/>
      <name val="Arial"/>
      <family val="2"/>
    </font>
    <font>
      <sz val="11"/>
      <color theme="1"/>
      <name val="Arial"/>
      <family val="2"/>
    </font>
    <font>
      <b/>
      <sz val="11"/>
      <name val="Arial"/>
      <family val="2"/>
    </font>
    <font>
      <b/>
      <sz val="11"/>
      <color theme="1"/>
      <name val="Arial"/>
      <family val="2"/>
    </font>
    <font>
      <i/>
      <sz val="11"/>
      <name val="Arial"/>
      <family val="2"/>
    </font>
    <font>
      <sz val="11"/>
      <color theme="0"/>
      <name val="Arial"/>
      <family val="2"/>
    </font>
    <font>
      <b/>
      <u val="singleAccounting"/>
      <sz val="11"/>
      <name val="Arial"/>
      <family val="2"/>
    </font>
    <font>
      <b/>
      <u val="singleAccounting"/>
      <sz val="11"/>
      <color theme="1"/>
      <name val="Arial"/>
      <family val="2"/>
    </font>
    <font>
      <i/>
      <sz val="11"/>
      <color rgb="FFFF0000"/>
      <name val="Arial"/>
      <family val="2"/>
    </font>
    <font>
      <sz val="11"/>
      <color rgb="FF00B050"/>
      <name val="Arial"/>
      <family val="2"/>
    </font>
    <font>
      <u/>
      <sz val="11"/>
      <color theme="1"/>
      <name val="Arial"/>
      <family val="2"/>
    </font>
    <font>
      <i/>
      <sz val="11"/>
      <color rgb="FF0070C0"/>
      <name val="Arial"/>
      <family val="2"/>
    </font>
    <font>
      <i/>
      <sz val="11"/>
      <color rgb="FF00B050"/>
      <name val="Arial"/>
      <family val="2"/>
    </font>
    <font>
      <sz val="11"/>
      <color rgb="FF0070C0"/>
      <name val="Arial"/>
      <family val="2"/>
    </font>
    <font>
      <b/>
      <u/>
      <sz val="11"/>
      <color theme="1"/>
      <name val="Arial"/>
      <family val="2"/>
    </font>
    <font>
      <sz val="11"/>
      <color rgb="FF0000FF"/>
      <name val="Arial"/>
      <family val="2"/>
    </font>
    <font>
      <u val="singleAccounting"/>
      <sz val="11"/>
      <color theme="1"/>
      <name val="Arial"/>
      <family val="2"/>
    </font>
    <font>
      <u val="singleAccounting"/>
      <sz val="11"/>
      <color rgb="FF00B050"/>
      <name val="Arial"/>
      <family val="2"/>
    </font>
    <font>
      <i/>
      <sz val="11"/>
      <color rgb="FF0000FF"/>
      <name val="Arial"/>
      <family val="2"/>
    </font>
    <font>
      <u val="singleAccounting"/>
      <sz val="11"/>
      <name val="Arial"/>
      <family val="2"/>
    </font>
    <font>
      <sz val="11"/>
      <color rgb="FFFF0000"/>
      <name val="Arial"/>
      <family val="2"/>
    </font>
    <font>
      <u val="singleAccounting"/>
      <sz val="11"/>
      <color rgb="FFFF0000"/>
      <name val="Arial"/>
      <family val="2"/>
    </font>
    <font>
      <b/>
      <i/>
      <sz val="11"/>
      <color theme="1"/>
      <name val="Arial"/>
      <family val="2"/>
    </font>
    <font>
      <sz val="11"/>
      <color theme="0" tint="-0.14999847407452621"/>
      <name val="Arial"/>
      <family val="2"/>
    </font>
    <font>
      <u val="singleAccounting"/>
      <sz val="11"/>
      <color rgb="FF0000FF"/>
      <name val="Arial"/>
      <family val="2"/>
    </font>
    <font>
      <u/>
      <sz val="11"/>
      <name val="Arial"/>
      <family val="2"/>
    </font>
    <font>
      <u/>
      <sz val="11"/>
      <color rgb="FF00B050"/>
      <name val="Arial"/>
      <family val="2"/>
    </font>
    <font>
      <b/>
      <sz val="11"/>
      <color theme="0"/>
      <name val="Arial"/>
      <family val="2"/>
    </font>
    <font>
      <b/>
      <i/>
      <sz val="11"/>
      <color rgb="FFFF0000"/>
      <name val="Arial"/>
      <family val="2"/>
    </font>
    <font>
      <sz val="11"/>
      <color theme="0" tint="-0.249977111117893"/>
      <name val="Arial"/>
      <family val="2"/>
    </font>
  </fonts>
  <fills count="24">
    <fill>
      <patternFill patternType="none"/>
    </fill>
    <fill>
      <patternFill patternType="gray125"/>
    </fill>
    <fill>
      <patternFill patternType="solid">
        <fgColor rgb="FFFFFF99"/>
        <bgColor indexed="64"/>
      </patternFill>
    </fill>
    <fill>
      <patternFill patternType="solid">
        <fgColor rgb="FFFFFF00"/>
        <bgColor indexed="64"/>
      </patternFill>
    </fill>
    <fill>
      <patternFill patternType="solid">
        <fgColor indexed="56"/>
        <bgColor indexed="64"/>
      </patternFill>
    </fill>
    <fill>
      <patternFill patternType="solid">
        <fgColor indexed="60"/>
        <bgColor indexed="64"/>
      </patternFill>
    </fill>
    <fill>
      <patternFill patternType="solid">
        <fgColor theme="0" tint="-0.14999847407452621"/>
        <bgColor indexed="64"/>
      </patternFill>
    </fill>
    <fill>
      <patternFill patternType="solid">
        <fgColor rgb="FFFFC000"/>
        <bgColor indexed="64"/>
      </patternFill>
    </fill>
    <fill>
      <patternFill patternType="solid">
        <fgColor theme="2"/>
        <bgColor indexed="64"/>
      </patternFill>
    </fill>
    <fill>
      <patternFill patternType="solid">
        <fgColor indexed="9"/>
        <bgColor indexed="64"/>
      </patternFill>
    </fill>
    <fill>
      <patternFill patternType="solid">
        <fgColor rgb="FF137CB1"/>
        <bgColor indexed="64"/>
      </patternFill>
    </fill>
    <fill>
      <patternFill patternType="solid">
        <fgColor theme="4"/>
        <bgColor indexed="64"/>
      </patternFill>
    </fill>
    <fill>
      <patternFill patternType="solid">
        <fgColor theme="1"/>
        <bgColor indexed="64"/>
      </patternFill>
    </fill>
    <fill>
      <patternFill patternType="solid">
        <fgColor indexed="22"/>
        <bgColor indexed="64"/>
      </patternFill>
    </fill>
    <fill>
      <patternFill patternType="solid">
        <fgColor theme="0" tint="-0.249977111117893"/>
        <bgColor indexed="64"/>
      </patternFill>
    </fill>
    <fill>
      <patternFill patternType="solid">
        <fgColor rgb="FFF2F2F2"/>
        <bgColor indexed="64"/>
      </patternFill>
    </fill>
    <fill>
      <patternFill patternType="solid">
        <fgColor rgb="FFD3D3D3"/>
        <bgColor indexed="64"/>
      </patternFill>
    </fill>
    <fill>
      <patternFill patternType="solid">
        <fgColor rgb="FFFF0000"/>
        <bgColor indexed="64"/>
      </patternFill>
    </fill>
    <fill>
      <patternFill patternType="solid">
        <fgColor rgb="FF00B050"/>
        <bgColor indexed="64"/>
      </patternFill>
    </fill>
    <fill>
      <patternFill patternType="solid">
        <fgColor rgb="FF0000FF"/>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6" tint="0.79998168889431442"/>
        <bgColor indexed="64"/>
      </patternFill>
    </fill>
  </fills>
  <borders count="36">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hair">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8"/>
      </top>
      <bottom/>
      <diagonal/>
    </border>
    <border>
      <left/>
      <right style="thin">
        <color indexed="64"/>
      </right>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dashed">
        <color indexed="64"/>
      </right>
      <top/>
      <bottom/>
      <diagonal/>
    </border>
    <border>
      <left/>
      <right style="dashed">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medium">
        <color indexed="8"/>
      </bottom>
      <diagonal/>
    </border>
    <border>
      <left style="thin">
        <color indexed="64"/>
      </left>
      <right style="thin">
        <color indexed="64"/>
      </right>
      <top/>
      <bottom/>
      <diagonal/>
    </border>
    <border>
      <left style="thin">
        <color indexed="64"/>
      </left>
      <right style="thin">
        <color indexed="64"/>
      </right>
      <top style="medium">
        <color indexed="8"/>
      </top>
      <bottom/>
      <diagonal/>
    </border>
    <border>
      <left/>
      <right/>
      <top/>
      <bottom style="thin">
        <color indexed="8"/>
      </bottom>
      <diagonal/>
    </border>
    <border>
      <left/>
      <right style="thin">
        <color indexed="64"/>
      </right>
      <top style="thin">
        <color indexed="8"/>
      </top>
      <bottom/>
      <diagonal/>
    </border>
    <border>
      <left style="thin">
        <color indexed="64"/>
      </left>
      <right/>
      <top style="thin">
        <color indexed="8"/>
      </top>
      <bottom/>
      <diagonal/>
    </border>
    <border>
      <left/>
      <right style="thin">
        <color indexed="64"/>
      </right>
      <top/>
      <bottom style="thin">
        <color indexed="8"/>
      </bottom>
      <diagonal/>
    </border>
    <border>
      <left style="thin">
        <color indexed="64"/>
      </left>
      <right/>
      <top/>
      <bottom style="thin">
        <color indexed="8"/>
      </bottom>
      <diagonal/>
    </border>
    <border>
      <left style="thin">
        <color indexed="64"/>
      </left>
      <right style="thin">
        <color indexed="64"/>
      </right>
      <top/>
      <bottom style="thin">
        <color indexed="64"/>
      </bottom>
      <diagonal/>
    </border>
    <border>
      <left/>
      <right/>
      <top style="thin">
        <color indexed="8"/>
      </top>
      <bottom style="thin">
        <color indexed="64"/>
      </bottom>
      <diagonal/>
    </border>
    <border>
      <left/>
      <right style="thin">
        <color indexed="64"/>
      </right>
      <top style="thin">
        <color indexed="8"/>
      </top>
      <bottom style="thin">
        <color indexed="64"/>
      </bottom>
      <diagonal/>
    </border>
    <border>
      <left style="thin">
        <color indexed="64"/>
      </left>
      <right/>
      <top style="thin">
        <color indexed="8"/>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7">
    <xf numFmtId="0" fontId="0" fillId="0" borderId="0"/>
    <xf numFmtId="9" fontId="15" fillId="0" borderId="0" applyFont="0" applyFill="0" applyBorder="0" applyAlignment="0" applyProtection="0"/>
    <xf numFmtId="0" fontId="20" fillId="0" borderId="0"/>
    <xf numFmtId="43" fontId="15" fillId="0" borderId="0" applyFont="0" applyFill="0" applyBorder="0" applyAlignment="0" applyProtection="0"/>
    <xf numFmtId="0" fontId="28" fillId="0" borderId="0" applyAlignment="0"/>
    <xf numFmtId="0" fontId="68" fillId="0" borderId="0"/>
    <xf numFmtId="43" fontId="68" fillId="0" borderId="0" applyFont="0" applyFill="0" applyBorder="0" applyAlignment="0" applyProtection="0"/>
    <xf numFmtId="9" fontId="68" fillId="0" borderId="0" applyFont="0" applyFill="0" applyBorder="0" applyAlignment="0" applyProtection="0"/>
    <xf numFmtId="0" fontId="1" fillId="0" borderId="0"/>
    <xf numFmtId="0" fontId="121" fillId="0" borderId="0">
      <alignment vertical="top"/>
      <protection locked="0"/>
    </xf>
    <xf numFmtId="0" fontId="122" fillId="0" borderId="0" applyNumberFormat="0" applyFill="0" applyBorder="0" applyAlignment="0" applyProtection="0"/>
    <xf numFmtId="0" fontId="125" fillId="0" borderId="0"/>
    <xf numFmtId="9" fontId="96" fillId="0" borderId="0" applyFont="0" applyFill="0" applyBorder="0" applyAlignment="0" applyProtection="0"/>
    <xf numFmtId="44" fontId="96" fillId="0" borderId="0" applyFont="0" applyFill="0" applyBorder="0" applyAlignment="0" applyProtection="0"/>
    <xf numFmtId="42" fontId="96" fillId="0" borderId="0" applyFont="0" applyFill="0" applyBorder="0" applyAlignment="0" applyProtection="0"/>
    <xf numFmtId="43" fontId="96" fillId="0" borderId="0" applyFont="0" applyFill="0" applyBorder="0" applyAlignment="0" applyProtection="0"/>
    <xf numFmtId="41" fontId="96" fillId="0" borderId="0" applyFont="0" applyFill="0" applyBorder="0" applyAlignment="0" applyProtection="0"/>
  </cellStyleXfs>
  <cellXfs count="1620">
    <xf numFmtId="0" fontId="0" fillId="0" borderId="0" xfId="0"/>
    <xf numFmtId="0" fontId="2" fillId="0" borderId="0" xfId="0" applyFont="1"/>
    <xf numFmtId="0" fontId="2" fillId="0" borderId="1" xfId="0" applyFont="1" applyBorder="1"/>
    <xf numFmtId="0" fontId="3" fillId="0" borderId="0" xfId="0" applyFont="1"/>
    <xf numFmtId="0" fontId="0" fillId="0" borderId="3" xfId="0" applyBorder="1"/>
    <xf numFmtId="0" fontId="2" fillId="0" borderId="2" xfId="0" applyFont="1" applyBorder="1"/>
    <xf numFmtId="0" fontId="4" fillId="0" borderId="0" xfId="0" applyFont="1" applyAlignment="1">
      <alignment horizontal="center"/>
    </xf>
    <xf numFmtId="0" fontId="5" fillId="0" borderId="0" xfId="0" applyFont="1"/>
    <xf numFmtId="41" fontId="0" fillId="0" borderId="0" xfId="0" applyNumberFormat="1"/>
    <xf numFmtId="43" fontId="0" fillId="0" borderId="0" xfId="0" applyNumberFormat="1"/>
    <xf numFmtId="41" fontId="8" fillId="0" borderId="0" xfId="0" applyNumberFormat="1" applyFont="1"/>
    <xf numFmtId="41" fontId="9" fillId="0" borderId="0" xfId="0" applyNumberFormat="1" applyFont="1"/>
    <xf numFmtId="0" fontId="0" fillId="0" borderId="0" xfId="0" applyAlignment="1">
      <alignment horizontal="left" indent="1"/>
    </xf>
    <xf numFmtId="0" fontId="3" fillId="0" borderId="0" xfId="0" applyFont="1" applyAlignment="1">
      <alignment horizontal="left" indent="1"/>
    </xf>
    <xf numFmtId="164" fontId="3" fillId="0" borderId="0" xfId="0" applyNumberFormat="1" applyFont="1" applyAlignment="1">
      <alignment horizontal="right"/>
    </xf>
    <xf numFmtId="0" fontId="3" fillId="0" borderId="0" xfId="0" applyFont="1" applyAlignment="1">
      <alignment horizontal="left" indent="2"/>
    </xf>
    <xf numFmtId="0" fontId="14" fillId="0" borderId="0" xfId="0" applyFont="1" applyAlignment="1">
      <alignment horizontal="left" indent="2"/>
    </xf>
    <xf numFmtId="0" fontId="0" fillId="0" borderId="0" xfId="0" applyAlignment="1">
      <alignment horizontal="left" indent="2"/>
    </xf>
    <xf numFmtId="0" fontId="0" fillId="0" borderId="0" xfId="0" applyAlignment="1">
      <alignment horizontal="left" indent="3"/>
    </xf>
    <xf numFmtId="0" fontId="3" fillId="0" borderId="0" xfId="0" applyFont="1" applyAlignment="1">
      <alignment horizontal="left" indent="3"/>
    </xf>
    <xf numFmtId="0" fontId="3" fillId="0" borderId="0" xfId="0" applyFont="1" applyAlignment="1">
      <alignment horizontal="left" indent="4"/>
    </xf>
    <xf numFmtId="166" fontId="3" fillId="0" borderId="0" xfId="0" applyNumberFormat="1" applyFont="1"/>
    <xf numFmtId="166" fontId="12" fillId="0" borderId="0" xfId="0" applyNumberFormat="1" applyFont="1" applyAlignment="1">
      <alignment horizontal="right"/>
    </xf>
    <xf numFmtId="166" fontId="3" fillId="0" borderId="0" xfId="0" applyNumberFormat="1" applyFont="1" applyAlignment="1">
      <alignment horizontal="right"/>
    </xf>
    <xf numFmtId="0" fontId="14" fillId="0" borderId="0" xfId="0" applyFont="1" applyAlignment="1">
      <alignment horizontal="left" indent="1"/>
    </xf>
    <xf numFmtId="166" fontId="0" fillId="0" borderId="0" xfId="0" applyNumberFormat="1" applyAlignment="1">
      <alignment horizontal="right"/>
    </xf>
    <xf numFmtId="41" fontId="8" fillId="0" borderId="0" xfId="0" applyNumberFormat="1" applyFont="1" applyAlignment="1">
      <alignment horizontal="right"/>
    </xf>
    <xf numFmtId="0" fontId="0" fillId="0" borderId="0" xfId="0" applyAlignment="1">
      <alignment horizontal="center"/>
    </xf>
    <xf numFmtId="0" fontId="3" fillId="0" borderId="0" xfId="0" applyFont="1" applyAlignment="1">
      <alignment horizontal="center"/>
    </xf>
    <xf numFmtId="41" fontId="6" fillId="0" borderId="0" xfId="0" applyNumberFormat="1" applyFont="1"/>
    <xf numFmtId="41" fontId="7" fillId="0" borderId="0" xfId="0" applyNumberFormat="1" applyFont="1"/>
    <xf numFmtId="0" fontId="3" fillId="0" borderId="0" xfId="0" applyFont="1" applyAlignment="1">
      <alignment horizontal="centerContinuous"/>
    </xf>
    <xf numFmtId="164" fontId="0" fillId="0" borderId="0" xfId="0" applyNumberFormat="1"/>
    <xf numFmtId="164" fontId="3" fillId="0" borderId="0" xfId="0" applyNumberFormat="1" applyFont="1"/>
    <xf numFmtId="41" fontId="10" fillId="0" borderId="0" xfId="0" applyNumberFormat="1" applyFont="1"/>
    <xf numFmtId="164" fontId="0" fillId="0" borderId="0" xfId="0" applyNumberFormat="1" applyAlignment="1">
      <alignment horizontal="right"/>
    </xf>
    <xf numFmtId="0" fontId="3" fillId="0" borderId="0" xfId="0" quotePrefix="1" applyFont="1" applyAlignment="1">
      <alignment horizontal="left" indent="1"/>
    </xf>
    <xf numFmtId="0" fontId="2" fillId="0" borderId="5" xfId="0" applyFont="1" applyBorder="1"/>
    <xf numFmtId="43" fontId="2" fillId="0" borderId="5" xfId="0" applyNumberFormat="1" applyFont="1" applyBorder="1"/>
    <xf numFmtId="0" fontId="2" fillId="0" borderId="5" xfId="0" applyFont="1" applyBorder="1" applyAlignment="1">
      <alignment horizontal="left" indent="2"/>
    </xf>
    <xf numFmtId="41" fontId="12" fillId="0" borderId="0" xfId="0" applyNumberFormat="1" applyFont="1"/>
    <xf numFmtId="0" fontId="0" fillId="0" borderId="0" xfId="0" applyAlignment="1">
      <alignment horizontal="right"/>
    </xf>
    <xf numFmtId="0" fontId="0" fillId="0" borderId="0" xfId="0" applyAlignment="1">
      <alignment wrapText="1"/>
    </xf>
    <xf numFmtId="166" fontId="0" fillId="0" borderId="0" xfId="0" applyNumberFormat="1" applyAlignment="1">
      <alignment wrapText="1"/>
    </xf>
    <xf numFmtId="166" fontId="3" fillId="0" borderId="0" xfId="0" applyNumberFormat="1" applyFont="1" applyAlignment="1">
      <alignment wrapText="1"/>
    </xf>
    <xf numFmtId="0" fontId="11" fillId="0" borderId="0" xfId="0" applyFont="1"/>
    <xf numFmtId="0" fontId="2" fillId="0" borderId="2" xfId="0" applyFont="1" applyBorder="1" applyAlignment="1">
      <alignment horizontal="centerContinuous"/>
    </xf>
    <xf numFmtId="0" fontId="0" fillId="0" borderId="5" xfId="0" applyBorder="1" applyAlignment="1">
      <alignment horizontal="centerContinuous"/>
    </xf>
    <xf numFmtId="0" fontId="0" fillId="0" borderId="3" xfId="0" applyBorder="1" applyAlignment="1">
      <alignment horizontal="centerContinuous"/>
    </xf>
    <xf numFmtId="0" fontId="2" fillId="0" borderId="6" xfId="0" applyFont="1" applyBorder="1" applyAlignment="1">
      <alignment vertical="center"/>
    </xf>
    <xf numFmtId="0" fontId="0" fillId="0" borderId="6" xfId="0" applyBorder="1"/>
    <xf numFmtId="0" fontId="0" fillId="0" borderId="6" xfId="0" applyBorder="1" applyAlignment="1">
      <alignment vertical="top" wrapText="1"/>
    </xf>
    <xf numFmtId="0" fontId="0" fillId="0" borderId="6" xfId="0" applyBorder="1" applyAlignment="1">
      <alignment wrapText="1"/>
    </xf>
    <xf numFmtId="14" fontId="3" fillId="0" borderId="0" xfId="0" applyNumberFormat="1" applyFont="1"/>
    <xf numFmtId="165" fontId="17" fillId="0" borderId="0" xfId="0" applyNumberFormat="1" applyFont="1" applyAlignment="1">
      <alignment horizontal="center"/>
    </xf>
    <xf numFmtId="164" fontId="18" fillId="2" borderId="0" xfId="0" applyNumberFormat="1" applyFont="1" applyFill="1"/>
    <xf numFmtId="167" fontId="0" fillId="0" borderId="0" xfId="0" applyNumberFormat="1"/>
    <xf numFmtId="164" fontId="18" fillId="0" borderId="0" xfId="0" applyNumberFormat="1" applyFont="1"/>
    <xf numFmtId="41" fontId="19" fillId="0" borderId="0" xfId="0" applyNumberFormat="1" applyFont="1"/>
    <xf numFmtId="169" fontId="3" fillId="0" borderId="0" xfId="0" applyNumberFormat="1" applyFont="1"/>
    <xf numFmtId="169" fontId="18" fillId="2" borderId="0" xfId="0" applyNumberFormat="1" applyFont="1" applyFill="1"/>
    <xf numFmtId="41" fontId="16" fillId="0" borderId="0" xfId="0" applyNumberFormat="1" applyFont="1"/>
    <xf numFmtId="169" fontId="15" fillId="0" borderId="0" xfId="2" applyNumberFormat="1" applyFont="1"/>
    <xf numFmtId="169" fontId="19" fillId="0" borderId="0" xfId="2" applyNumberFormat="1" applyFont="1"/>
    <xf numFmtId="169" fontId="19" fillId="2" borderId="0" xfId="2" applyNumberFormat="1" applyFont="1" applyFill="1"/>
    <xf numFmtId="168" fontId="0" fillId="0" borderId="0" xfId="0" applyNumberFormat="1"/>
    <xf numFmtId="41" fontId="15" fillId="0" borderId="0" xfId="2" applyNumberFormat="1" applyFont="1" applyAlignment="1">
      <alignment horizontal="right"/>
    </xf>
    <xf numFmtId="0" fontId="2" fillId="3" borderId="2" xfId="0" applyFont="1" applyFill="1" applyBorder="1"/>
    <xf numFmtId="0" fontId="2" fillId="3" borderId="5" xfId="0" applyFont="1" applyFill="1" applyBorder="1"/>
    <xf numFmtId="166" fontId="2" fillId="3" borderId="3" xfId="0" applyNumberFormat="1" applyFont="1" applyFill="1" applyBorder="1"/>
    <xf numFmtId="170" fontId="6" fillId="0" borderId="0" xfId="0" applyNumberFormat="1" applyFont="1"/>
    <xf numFmtId="43" fontId="8" fillId="0" borderId="0" xfId="0" applyNumberFormat="1" applyFont="1"/>
    <xf numFmtId="164" fontId="5" fillId="0" borderId="6" xfId="0" applyNumberFormat="1" applyFont="1" applyBorder="1"/>
    <xf numFmtId="0" fontId="0" fillId="0" borderId="1" xfId="0" applyBorder="1"/>
    <xf numFmtId="0" fontId="2" fillId="0" borderId="2" xfId="0" applyFont="1" applyBorder="1" applyAlignment="1">
      <alignment horizontal="centerContinuous" wrapText="1"/>
    </xf>
    <xf numFmtId="0" fontId="2" fillId="0" borderId="5" xfId="0" applyFont="1" applyBorder="1" applyAlignment="1">
      <alignment horizontal="centerContinuous" wrapText="1"/>
    </xf>
    <xf numFmtId="0" fontId="2" fillId="0" borderId="3" xfId="0" applyFont="1" applyBorder="1" applyAlignment="1">
      <alignment horizontal="centerContinuous" wrapText="1"/>
    </xf>
    <xf numFmtId="165" fontId="4" fillId="0" borderId="0" xfId="0" applyNumberFormat="1" applyFont="1" applyAlignment="1">
      <alignment horizontal="center"/>
    </xf>
    <xf numFmtId="0" fontId="4" fillId="0" borderId="0" xfId="0" applyFont="1" applyAlignment="1">
      <alignment horizontal="center" wrapText="1"/>
    </xf>
    <xf numFmtId="9" fontId="0" fillId="0" borderId="0" xfId="1" applyFont="1"/>
    <xf numFmtId="41" fontId="21" fillId="0" borderId="5" xfId="0" applyNumberFormat="1" applyFont="1" applyBorder="1"/>
    <xf numFmtId="166" fontId="2" fillId="0" borderId="5" xfId="0" applyNumberFormat="1" applyFont="1" applyBorder="1" applyAlignment="1">
      <alignment horizontal="right"/>
    </xf>
    <xf numFmtId="168" fontId="2" fillId="0" borderId="5" xfId="0" applyNumberFormat="1" applyFont="1" applyBorder="1"/>
    <xf numFmtId="168" fontId="8" fillId="0" borderId="0" xfId="0" applyNumberFormat="1" applyFont="1"/>
    <xf numFmtId="0" fontId="0" fillId="0" borderId="0" xfId="0" quotePrefix="1" applyAlignment="1">
      <alignment horizontal="right"/>
    </xf>
    <xf numFmtId="169" fontId="12" fillId="0" borderId="0" xfId="0" applyNumberFormat="1" applyFont="1"/>
    <xf numFmtId="171" fontId="0" fillId="0" borderId="0" xfId="0" applyNumberFormat="1" applyAlignment="1">
      <alignment horizontal="right"/>
    </xf>
    <xf numFmtId="168" fontId="0" fillId="0" borderId="0" xfId="0" applyNumberFormat="1" applyAlignment="1">
      <alignment horizontal="right"/>
    </xf>
    <xf numFmtId="169" fontId="0" fillId="0" borderId="0" xfId="0" applyNumberFormat="1" applyAlignment="1">
      <alignment horizontal="right"/>
    </xf>
    <xf numFmtId="0" fontId="2" fillId="0" borderId="1" xfId="0" applyFont="1" applyBorder="1" applyAlignment="1">
      <alignment horizontal="centerContinuous"/>
    </xf>
    <xf numFmtId="0" fontId="0" fillId="0" borderId="1" xfId="0" applyBorder="1" applyAlignment="1">
      <alignment horizontal="centerContinuous"/>
    </xf>
    <xf numFmtId="0" fontId="3" fillId="0" borderId="1" xfId="0" applyFont="1" applyBorder="1" applyAlignment="1">
      <alignment horizontal="centerContinuous"/>
    </xf>
    <xf numFmtId="41" fontId="3" fillId="0" borderId="0" xfId="0" applyNumberFormat="1" applyFont="1"/>
    <xf numFmtId="166" fontId="18" fillId="0" borderId="0" xfId="0" applyNumberFormat="1" applyFont="1" applyAlignment="1">
      <alignment horizontal="right"/>
    </xf>
    <xf numFmtId="41" fontId="13" fillId="0" borderId="0" xfId="0" applyNumberFormat="1" applyFont="1"/>
    <xf numFmtId="0" fontId="4" fillId="0" borderId="0" xfId="0" applyFont="1" applyAlignment="1">
      <alignment horizontal="left"/>
    </xf>
    <xf numFmtId="41" fontId="2" fillId="0" borderId="5" xfId="0" applyNumberFormat="1" applyFont="1" applyBorder="1"/>
    <xf numFmtId="0" fontId="22" fillId="0" borderId="0" xfId="0" applyFont="1" applyAlignment="1">
      <alignment horizontal="centerContinuous"/>
    </xf>
    <xf numFmtId="0" fontId="23" fillId="0" borderId="0" xfId="0" applyFont="1" applyAlignment="1">
      <alignment horizontal="centerContinuous"/>
    </xf>
    <xf numFmtId="0" fontId="24" fillId="0" borderId="0" xfId="0" applyFont="1"/>
    <xf numFmtId="0" fontId="9" fillId="0" borderId="0" xfId="0" applyFont="1"/>
    <xf numFmtId="0" fontId="13" fillId="0" borderId="0" xfId="0" applyFont="1" applyAlignment="1">
      <alignment wrapText="1"/>
    </xf>
    <xf numFmtId="0" fontId="25" fillId="0" borderId="0" xfId="0" applyFont="1"/>
    <xf numFmtId="0" fontId="26" fillId="0" borderId="0" xfId="0" applyFont="1" applyAlignment="1">
      <alignment horizontal="left" vertical="top"/>
    </xf>
    <xf numFmtId="49" fontId="9" fillId="0" borderId="0" xfId="0" applyNumberFormat="1" applyFont="1"/>
    <xf numFmtId="0" fontId="26" fillId="0" borderId="0" xfId="0" applyFont="1" applyAlignment="1">
      <alignment horizontal="left" vertical="center"/>
    </xf>
    <xf numFmtId="0" fontId="27" fillId="4" borderId="0" xfId="0" applyFont="1" applyFill="1"/>
    <xf numFmtId="0" fontId="28" fillId="0" borderId="0" xfId="4"/>
    <xf numFmtId="0" fontId="29" fillId="5" borderId="0" xfId="0" applyFont="1" applyFill="1" applyAlignment="1">
      <alignment wrapText="1"/>
    </xf>
    <xf numFmtId="0" fontId="29" fillId="5" borderId="0" xfId="0" applyFont="1" applyFill="1" applyAlignment="1">
      <alignment horizontal="right" wrapText="1"/>
    </xf>
    <xf numFmtId="0" fontId="30" fillId="5" borderId="0" xfId="0" applyFont="1" applyFill="1" applyAlignment="1">
      <alignment wrapText="1"/>
    </xf>
    <xf numFmtId="0" fontId="30" fillId="5" borderId="0" xfId="0" applyFont="1" applyFill="1" applyAlignment="1">
      <alignment horizontal="right" wrapText="1"/>
    </xf>
    <xf numFmtId="0" fontId="29" fillId="0" borderId="0" xfId="0" applyFont="1" applyAlignment="1">
      <alignment horizontal="left" vertical="top"/>
    </xf>
    <xf numFmtId="173" fontId="26" fillId="0" borderId="0" xfId="0" applyNumberFormat="1" applyFont="1" applyAlignment="1">
      <alignment horizontal="right" vertical="top" wrapText="1"/>
    </xf>
    <xf numFmtId="173" fontId="29" fillId="0" borderId="7" xfId="0" applyNumberFormat="1" applyFont="1" applyBorder="1" applyAlignment="1">
      <alignment horizontal="right" vertical="top" wrapText="1"/>
    </xf>
    <xf numFmtId="173" fontId="29" fillId="0" borderId="0" xfId="0" applyNumberFormat="1" applyFont="1" applyAlignment="1">
      <alignment horizontal="right" vertical="top" wrapText="1"/>
    </xf>
    <xf numFmtId="173" fontId="31" fillId="0" borderId="7" xfId="0" applyNumberFormat="1" applyFont="1" applyBorder="1" applyAlignment="1">
      <alignment horizontal="right" vertical="top" wrapText="1"/>
    </xf>
    <xf numFmtId="174" fontId="26" fillId="0" borderId="0" xfId="0" applyNumberFormat="1" applyFont="1" applyAlignment="1">
      <alignment horizontal="right" vertical="top" wrapText="1"/>
    </xf>
    <xf numFmtId="175" fontId="26" fillId="0" borderId="0" xfId="0" applyNumberFormat="1" applyFont="1" applyAlignment="1">
      <alignment horizontal="right" vertical="top" wrapText="1"/>
    </xf>
    <xf numFmtId="49" fontId="26" fillId="0" borderId="0" xfId="0" applyNumberFormat="1" applyFont="1" applyAlignment="1">
      <alignment horizontal="right" vertical="top" wrapText="1"/>
    </xf>
    <xf numFmtId="176" fontId="26" fillId="0" borderId="0" xfId="0" applyNumberFormat="1" applyFont="1" applyAlignment="1">
      <alignment horizontal="right" vertical="top" wrapText="1"/>
    </xf>
    <xf numFmtId="177" fontId="26" fillId="0" borderId="0" xfId="0" applyNumberFormat="1" applyFont="1" applyAlignment="1">
      <alignment horizontal="right" vertical="top" wrapText="1"/>
    </xf>
    <xf numFmtId="178" fontId="26" fillId="0" borderId="0" xfId="0" applyNumberFormat="1" applyFont="1" applyAlignment="1">
      <alignment horizontal="right" vertical="top" wrapText="1"/>
    </xf>
    <xf numFmtId="178" fontId="29" fillId="5" borderId="0" xfId="0" applyNumberFormat="1" applyFont="1" applyFill="1" applyAlignment="1">
      <alignment horizontal="right" wrapText="1"/>
    </xf>
    <xf numFmtId="173" fontId="32" fillId="0" borderId="0" xfId="0" applyNumberFormat="1" applyFont="1" applyAlignment="1">
      <alignment horizontal="right" vertical="top" wrapText="1"/>
    </xf>
    <xf numFmtId="173" fontId="31" fillId="0" borderId="0" xfId="0" applyNumberFormat="1" applyFont="1" applyAlignment="1">
      <alignment horizontal="right" vertical="top" wrapText="1"/>
    </xf>
    <xf numFmtId="179" fontId="26" fillId="0" borderId="0" xfId="0" applyNumberFormat="1" applyFont="1" applyAlignment="1">
      <alignment horizontal="right" vertical="top" wrapText="1"/>
    </xf>
    <xf numFmtId="0" fontId="9" fillId="0" borderId="0" xfId="0" applyFont="1" applyAlignment="1">
      <alignment vertical="top" wrapText="1"/>
    </xf>
    <xf numFmtId="0" fontId="26" fillId="0" borderId="0" xfId="0" applyFont="1" applyAlignment="1">
      <alignment horizontal="center" vertical="center"/>
    </xf>
    <xf numFmtId="0" fontId="26" fillId="0" borderId="0" xfId="0" applyFont="1" applyAlignment="1">
      <alignment horizontal="center" vertical="center" wrapText="1"/>
    </xf>
    <xf numFmtId="0" fontId="17" fillId="0" borderId="0" xfId="0" applyFont="1"/>
    <xf numFmtId="0" fontId="33" fillId="0" borderId="0" xfId="0" applyFont="1"/>
    <xf numFmtId="14" fontId="33" fillId="0" borderId="0" xfId="0" applyNumberFormat="1" applyFont="1"/>
    <xf numFmtId="0" fontId="34" fillId="0" borderId="0" xfId="0" applyFont="1"/>
    <xf numFmtId="0" fontId="35" fillId="0" borderId="0" xfId="0" applyFont="1"/>
    <xf numFmtId="14" fontId="35" fillId="0" borderId="0" xfId="0" applyNumberFormat="1" applyFont="1" applyAlignment="1">
      <alignment horizontal="center"/>
    </xf>
    <xf numFmtId="0" fontId="36" fillId="0" borderId="1" xfId="0" applyFont="1" applyBorder="1"/>
    <xf numFmtId="0" fontId="35" fillId="0" borderId="1" xfId="0" applyFont="1" applyBorder="1"/>
    <xf numFmtId="0" fontId="37" fillId="0" borderId="0" xfId="0" applyFont="1"/>
    <xf numFmtId="14" fontId="38" fillId="0" borderId="0" xfId="0" applyNumberFormat="1" applyFont="1"/>
    <xf numFmtId="0" fontId="39" fillId="0" borderId="0" xfId="0" applyFont="1"/>
    <xf numFmtId="0" fontId="40" fillId="0" borderId="0" xfId="0" applyFont="1" applyAlignment="1">
      <alignment horizontal="centerContinuous"/>
    </xf>
    <xf numFmtId="0" fontId="41" fillId="0" borderId="0" xfId="0" applyFont="1" applyAlignment="1">
      <alignment horizontal="centerContinuous"/>
    </xf>
    <xf numFmtId="0" fontId="41" fillId="0" borderId="0" xfId="0" applyFont="1" applyAlignment="1">
      <alignment horizontal="center"/>
    </xf>
    <xf numFmtId="0" fontId="41" fillId="0" borderId="8" xfId="0" applyFont="1" applyBorder="1" applyAlignment="1">
      <alignment horizontal="center"/>
    </xf>
    <xf numFmtId="168" fontId="35" fillId="0" borderId="0" xfId="3" applyNumberFormat="1" applyFont="1"/>
    <xf numFmtId="168" fontId="43" fillId="0" borderId="0" xfId="3" applyNumberFormat="1" applyFont="1"/>
    <xf numFmtId="168" fontId="34" fillId="0" borderId="0" xfId="3" applyNumberFormat="1" applyFont="1"/>
    <xf numFmtId="0" fontId="39" fillId="0" borderId="0" xfId="0" applyFont="1" applyAlignment="1">
      <alignment horizontal="left" indent="1"/>
    </xf>
    <xf numFmtId="172" fontId="39" fillId="0" borderId="0" xfId="0" applyNumberFormat="1" applyFont="1"/>
    <xf numFmtId="172" fontId="37" fillId="0" borderId="0" xfId="0" applyNumberFormat="1" applyFont="1"/>
    <xf numFmtId="172" fontId="44" fillId="0" borderId="0" xfId="0" applyNumberFormat="1" applyFont="1"/>
    <xf numFmtId="182" fontId="39" fillId="0" borderId="0" xfId="0" applyNumberFormat="1" applyFont="1"/>
    <xf numFmtId="182" fontId="37" fillId="0" borderId="0" xfId="0" applyNumberFormat="1" applyFont="1"/>
    <xf numFmtId="168" fontId="43" fillId="0" borderId="8" xfId="3" applyNumberFormat="1" applyFont="1" applyBorder="1"/>
    <xf numFmtId="172" fontId="39" fillId="0" borderId="8" xfId="0" applyNumberFormat="1" applyFont="1" applyBorder="1"/>
    <xf numFmtId="172" fontId="37" fillId="0" borderId="8" xfId="0" applyNumberFormat="1" applyFont="1" applyBorder="1"/>
    <xf numFmtId="0" fontId="34" fillId="0" borderId="8" xfId="0" applyFont="1" applyBorder="1"/>
    <xf numFmtId="168" fontId="34" fillId="0" borderId="8" xfId="3" applyNumberFormat="1" applyFont="1" applyBorder="1"/>
    <xf numFmtId="172" fontId="39" fillId="7" borderId="6" xfId="0" applyNumberFormat="1" applyFont="1" applyFill="1" applyBorder="1"/>
    <xf numFmtId="168" fontId="45" fillId="0" borderId="0" xfId="3" applyNumberFormat="1" applyFont="1"/>
    <xf numFmtId="43" fontId="35" fillId="0" borderId="0" xfId="3" applyFont="1"/>
    <xf numFmtId="7" fontId="35" fillId="0" borderId="0" xfId="0" applyNumberFormat="1" applyFont="1"/>
    <xf numFmtId="41" fontId="46" fillId="0" borderId="0" xfId="0" applyNumberFormat="1" applyFont="1"/>
    <xf numFmtId="41" fontId="46" fillId="0" borderId="8" xfId="0" applyNumberFormat="1" applyFont="1" applyBorder="1"/>
    <xf numFmtId="6" fontId="35" fillId="0" borderId="0" xfId="0" applyNumberFormat="1" applyFont="1" applyAlignment="1">
      <alignment horizontal="left" indent="1"/>
    </xf>
    <xf numFmtId="6" fontId="35" fillId="0" borderId="0" xfId="0" applyNumberFormat="1" applyFont="1"/>
    <xf numFmtId="180" fontId="39" fillId="0" borderId="0" xfId="0" applyNumberFormat="1" applyFont="1"/>
    <xf numFmtId="180" fontId="39" fillId="0" borderId="8" xfId="0" applyNumberFormat="1" applyFont="1" applyBorder="1"/>
    <xf numFmtId="180" fontId="44" fillId="0" borderId="0" xfId="0" applyNumberFormat="1" applyFont="1"/>
    <xf numFmtId="0" fontId="35" fillId="0" borderId="0" xfId="0" applyFont="1" applyAlignment="1">
      <alignment horizontal="left" indent="1"/>
    </xf>
    <xf numFmtId="0" fontId="39" fillId="0" borderId="0" xfId="0" applyFont="1" applyAlignment="1">
      <alignment horizontal="left" indent="2"/>
    </xf>
    <xf numFmtId="172" fontId="47" fillId="0" borderId="6" xfId="0" applyNumberFormat="1" applyFont="1" applyBorder="1"/>
    <xf numFmtId="180" fontId="48" fillId="0" borderId="0" xfId="0" applyNumberFormat="1" applyFont="1"/>
    <xf numFmtId="180" fontId="48" fillId="0" borderId="8" xfId="0" applyNumberFormat="1" applyFont="1" applyBorder="1"/>
    <xf numFmtId="180" fontId="34" fillId="0" borderId="0" xfId="0" applyNumberFormat="1" applyFont="1"/>
    <xf numFmtId="180" fontId="34" fillId="0" borderId="8" xfId="0" applyNumberFormat="1" applyFont="1" applyBorder="1"/>
    <xf numFmtId="0" fontId="36" fillId="0" borderId="2" xfId="0" applyFont="1" applyBorder="1"/>
    <xf numFmtId="0" fontId="34" fillId="0" borderId="3" xfId="0" applyFont="1" applyBorder="1"/>
    <xf numFmtId="0" fontId="49" fillId="0" borderId="0" xfId="0" applyFont="1"/>
    <xf numFmtId="180" fontId="50" fillId="0" borderId="0" xfId="0" applyNumberFormat="1" applyFont="1"/>
    <xf numFmtId="0" fontId="36" fillId="3" borderId="2" xfId="0" applyFont="1" applyFill="1" applyBorder="1" applyAlignment="1">
      <alignment horizontal="left" indent="1"/>
    </xf>
    <xf numFmtId="0" fontId="36" fillId="3" borderId="5" xfId="0" applyFont="1" applyFill="1" applyBorder="1"/>
    <xf numFmtId="9" fontId="36" fillId="3" borderId="5" xfId="0" applyNumberFormat="1" applyFont="1" applyFill="1" applyBorder="1"/>
    <xf numFmtId="9" fontId="36" fillId="3" borderId="3" xfId="0" applyNumberFormat="1" applyFont="1" applyFill="1" applyBorder="1"/>
    <xf numFmtId="4" fontId="34" fillId="0" borderId="0" xfId="0" applyNumberFormat="1" applyFont="1"/>
    <xf numFmtId="5" fontId="34" fillId="0" borderId="0" xfId="0" applyNumberFormat="1" applyFont="1"/>
    <xf numFmtId="0" fontId="36" fillId="0" borderId="2" xfId="0" applyFont="1" applyBorder="1" applyAlignment="1">
      <alignment horizontal="centerContinuous"/>
    </xf>
    <xf numFmtId="0" fontId="36" fillId="0" borderId="5" xfId="0" applyFont="1" applyBorder="1" applyAlignment="1">
      <alignment horizontal="centerContinuous"/>
    </xf>
    <xf numFmtId="9" fontId="36" fillId="0" borderId="5" xfId="0" applyNumberFormat="1" applyFont="1" applyBorder="1"/>
    <xf numFmtId="9" fontId="36" fillId="0" borderId="3" xfId="0" applyNumberFormat="1" applyFont="1" applyBorder="1"/>
    <xf numFmtId="0" fontId="49" fillId="0" borderId="0" xfId="0" applyFont="1" applyAlignment="1">
      <alignment horizontal="right"/>
    </xf>
    <xf numFmtId="6" fontId="34" fillId="0" borderId="0" xfId="0" applyNumberFormat="1" applyFont="1"/>
    <xf numFmtId="168" fontId="51" fillId="0" borderId="0" xfId="3" applyNumberFormat="1" applyFont="1"/>
    <xf numFmtId="43" fontId="52" fillId="0" borderId="0" xfId="3" applyFont="1"/>
    <xf numFmtId="0" fontId="36" fillId="0" borderId="0" xfId="0" applyFont="1" applyAlignment="1">
      <alignment horizontal="left" indent="1"/>
    </xf>
    <xf numFmtId="0" fontId="36" fillId="0" borderId="0" xfId="0" applyFont="1"/>
    <xf numFmtId="8" fontId="34" fillId="0" borderId="0" xfId="0" applyNumberFormat="1" applyFont="1"/>
    <xf numFmtId="10" fontId="35" fillId="0" borderId="0" xfId="0" applyNumberFormat="1" applyFont="1"/>
    <xf numFmtId="43" fontId="35" fillId="0" borderId="0" xfId="0" applyNumberFormat="1" applyFont="1"/>
    <xf numFmtId="181" fontId="35" fillId="0" borderId="0" xfId="1" applyNumberFormat="1" applyFont="1"/>
    <xf numFmtId="172" fontId="53" fillId="0" borderId="0" xfId="0" applyNumberFormat="1" applyFont="1"/>
    <xf numFmtId="14" fontId="39" fillId="0" borderId="0" xfId="0" applyNumberFormat="1" applyFont="1" applyAlignment="1">
      <alignment horizontal="center"/>
    </xf>
    <xf numFmtId="0" fontId="54" fillId="0" borderId="0" xfId="0" applyFont="1" applyAlignment="1">
      <alignment horizontal="left" indent="1"/>
    </xf>
    <xf numFmtId="168" fontId="39" fillId="0" borderId="0" xfId="3" applyNumberFormat="1" applyFont="1"/>
    <xf numFmtId="168" fontId="55" fillId="0" borderId="0" xfId="3" applyNumberFormat="1" applyFont="1"/>
    <xf numFmtId="168" fontId="55" fillId="0" borderId="8" xfId="3" applyNumberFormat="1" applyFont="1" applyBorder="1"/>
    <xf numFmtId="0" fontId="37" fillId="0" borderId="8" xfId="0" applyFont="1" applyBorder="1"/>
    <xf numFmtId="5" fontId="37" fillId="0" borderId="0" xfId="0" applyNumberFormat="1" applyFont="1" applyAlignment="1">
      <alignment horizontal="left" indent="1"/>
    </xf>
    <xf numFmtId="168" fontId="37" fillId="0" borderId="0" xfId="3" applyNumberFormat="1" applyFont="1"/>
    <xf numFmtId="0" fontId="39" fillId="0" borderId="0" xfId="0" applyFont="1" applyAlignment="1">
      <alignment horizontal="left"/>
    </xf>
    <xf numFmtId="168" fontId="37" fillId="0" borderId="8" xfId="3" applyNumberFormat="1" applyFont="1" applyBorder="1"/>
    <xf numFmtId="0" fontId="46" fillId="0" borderId="0" xfId="0" applyFont="1"/>
    <xf numFmtId="168" fontId="46" fillId="0" borderId="0" xfId="3" applyNumberFormat="1" applyFont="1"/>
    <xf numFmtId="168" fontId="46" fillId="0" borderId="8" xfId="3" applyNumberFormat="1" applyFont="1" applyBorder="1"/>
    <xf numFmtId="172" fontId="44" fillId="0" borderId="0" xfId="0" applyNumberFormat="1" applyFont="1" applyAlignment="1">
      <alignment horizontal="right"/>
    </xf>
    <xf numFmtId="0" fontId="34" fillId="0" borderId="0" xfId="0" applyFont="1" applyAlignment="1">
      <alignment horizontal="right"/>
    </xf>
    <xf numFmtId="168" fontId="43" fillId="0" borderId="0" xfId="3" applyNumberFormat="1" applyFont="1" applyBorder="1"/>
    <xf numFmtId="168" fontId="55" fillId="0" borderId="0" xfId="3" applyNumberFormat="1" applyFont="1" applyBorder="1"/>
    <xf numFmtId="168" fontId="37" fillId="0" borderId="0" xfId="3" applyNumberFormat="1" applyFont="1" applyBorder="1"/>
    <xf numFmtId="168" fontId="34" fillId="0" borderId="0" xfId="3" applyNumberFormat="1" applyFont="1" applyBorder="1"/>
    <xf numFmtId="7" fontId="34" fillId="0" borderId="0" xfId="0" applyNumberFormat="1" applyFont="1"/>
    <xf numFmtId="168" fontId="46" fillId="0" borderId="0" xfId="3" applyNumberFormat="1" applyFont="1" applyBorder="1"/>
    <xf numFmtId="0" fontId="42" fillId="0" borderId="8" xfId="0" applyFont="1" applyBorder="1" applyAlignment="1">
      <alignment horizontal="right"/>
    </xf>
    <xf numFmtId="0" fontId="3" fillId="0" borderId="0" xfId="0" applyFont="1" applyAlignment="1">
      <alignment horizontal="center" wrapText="1"/>
    </xf>
    <xf numFmtId="165" fontId="56" fillId="0" borderId="0" xfId="0" applyNumberFormat="1" applyFont="1" applyAlignment="1">
      <alignment horizontal="center"/>
    </xf>
    <xf numFmtId="0" fontId="35" fillId="0" borderId="3" xfId="0" applyFont="1" applyBorder="1"/>
    <xf numFmtId="168" fontId="0" fillId="0" borderId="0" xfId="3" applyNumberFormat="1" applyFont="1"/>
    <xf numFmtId="172" fontId="13" fillId="0" borderId="0" xfId="0" applyNumberFormat="1" applyFont="1"/>
    <xf numFmtId="0" fontId="0" fillId="0" borderId="9" xfId="0" applyBorder="1"/>
    <xf numFmtId="0" fontId="2" fillId="0" borderId="5" xfId="0" applyFont="1" applyBorder="1" applyAlignment="1">
      <alignment horizontal="centerContinuous"/>
    </xf>
    <xf numFmtId="0" fontId="2" fillId="0" borderId="3" xfId="0" applyFont="1" applyBorder="1" applyAlignment="1">
      <alignment horizontal="centerContinuous"/>
    </xf>
    <xf numFmtId="168" fontId="0" fillId="0" borderId="10" xfId="3" applyNumberFormat="1" applyFont="1" applyBorder="1"/>
    <xf numFmtId="168" fontId="0" fillId="0" borderId="0" xfId="3" applyNumberFormat="1" applyFont="1" applyBorder="1"/>
    <xf numFmtId="168" fontId="0" fillId="0" borderId="8" xfId="3" applyNumberFormat="1" applyFont="1" applyBorder="1"/>
    <xf numFmtId="172" fontId="13" fillId="0" borderId="10" xfId="0" applyNumberFormat="1" applyFont="1" applyBorder="1"/>
    <xf numFmtId="172" fontId="13" fillId="0" borderId="8" xfId="0" applyNumberFormat="1" applyFont="1" applyBorder="1"/>
    <xf numFmtId="172" fontId="13" fillId="0" borderId="11" xfId="0" applyNumberFormat="1" applyFont="1" applyBorder="1"/>
    <xf numFmtId="172" fontId="13" fillId="0" borderId="1" xfId="0" applyNumberFormat="1" applyFont="1" applyBorder="1"/>
    <xf numFmtId="172" fontId="13" fillId="0" borderId="12" xfId="0" applyNumberFormat="1" applyFont="1" applyBorder="1"/>
    <xf numFmtId="14" fontId="0" fillId="0" borderId="0" xfId="0" applyNumberFormat="1"/>
    <xf numFmtId="41" fontId="35" fillId="0" borderId="0" xfId="0" applyNumberFormat="1" applyFont="1"/>
    <xf numFmtId="0" fontId="57" fillId="0" borderId="0" xfId="0" applyFont="1" applyAlignment="1">
      <alignment horizontal="centerContinuous"/>
    </xf>
    <xf numFmtId="0" fontId="42" fillId="0" borderId="0" xfId="0" applyFont="1" applyAlignment="1">
      <alignment horizontal="right"/>
    </xf>
    <xf numFmtId="172" fontId="44" fillId="0" borderId="8" xfId="0" applyNumberFormat="1" applyFont="1" applyBorder="1"/>
    <xf numFmtId="0" fontId="41" fillId="0" borderId="13" xfId="0" applyFont="1" applyBorder="1" applyAlignment="1">
      <alignment horizontal="center"/>
    </xf>
    <xf numFmtId="0" fontId="42" fillId="0" borderId="13" xfId="0" applyFont="1" applyBorder="1" applyAlignment="1">
      <alignment horizontal="right"/>
    </xf>
    <xf numFmtId="168" fontId="43" fillId="0" borderId="13" xfId="3" applyNumberFormat="1" applyFont="1" applyBorder="1"/>
    <xf numFmtId="172" fontId="37" fillId="0" borderId="13" xfId="0" applyNumberFormat="1" applyFont="1" applyBorder="1"/>
    <xf numFmtId="172" fontId="44" fillId="0" borderId="13" xfId="0" applyNumberFormat="1" applyFont="1" applyBorder="1"/>
    <xf numFmtId="168" fontId="55" fillId="0" borderId="13" xfId="3" applyNumberFormat="1" applyFont="1" applyBorder="1"/>
    <xf numFmtId="172" fontId="39" fillId="0" borderId="13" xfId="0" applyNumberFormat="1" applyFont="1" applyBorder="1"/>
    <xf numFmtId="0" fontId="37" fillId="0" borderId="13" xfId="0" applyFont="1" applyBorder="1"/>
    <xf numFmtId="0" fontId="34" fillId="0" borderId="13" xfId="0" applyFont="1" applyBorder="1"/>
    <xf numFmtId="168" fontId="37" fillId="0" borderId="13" xfId="3" applyNumberFormat="1" applyFont="1" applyBorder="1"/>
    <xf numFmtId="168" fontId="34" fillId="0" borderId="13" xfId="3" applyNumberFormat="1" applyFont="1" applyBorder="1"/>
    <xf numFmtId="168" fontId="46" fillId="0" borderId="13" xfId="3" applyNumberFormat="1" applyFont="1" applyBorder="1"/>
    <xf numFmtId="180" fontId="34" fillId="0" borderId="13" xfId="0" applyNumberFormat="1" applyFont="1" applyBorder="1"/>
    <xf numFmtId="41" fontId="46" fillId="0" borderId="13" xfId="0" applyNumberFormat="1" applyFont="1" applyBorder="1"/>
    <xf numFmtId="180" fontId="39" fillId="0" borderId="13" xfId="0" applyNumberFormat="1" applyFont="1" applyBorder="1"/>
    <xf numFmtId="41" fontId="58" fillId="0" borderId="0" xfId="0" applyNumberFormat="1" applyFont="1"/>
    <xf numFmtId="41" fontId="59" fillId="0" borderId="0" xfId="0" applyNumberFormat="1" applyFont="1"/>
    <xf numFmtId="172" fontId="42" fillId="0" borderId="0" xfId="0" applyNumberFormat="1" applyFont="1"/>
    <xf numFmtId="172" fontId="42" fillId="0" borderId="8" xfId="0" applyNumberFormat="1" applyFont="1" applyBorder="1"/>
    <xf numFmtId="172" fontId="42" fillId="0" borderId="13" xfId="0" applyNumberFormat="1" applyFont="1" applyBorder="1"/>
    <xf numFmtId="180" fontId="59" fillId="0" borderId="0" xfId="0" applyNumberFormat="1" applyFont="1"/>
    <xf numFmtId="8" fontId="58" fillId="0" borderId="0" xfId="0" applyNumberFormat="1" applyFont="1"/>
    <xf numFmtId="43" fontId="34" fillId="0" borderId="14" xfId="0" applyNumberFormat="1" applyFont="1" applyBorder="1"/>
    <xf numFmtId="0" fontId="54" fillId="0" borderId="0" xfId="0" applyFont="1" applyAlignment="1">
      <alignment horizontal="left" indent="2"/>
    </xf>
    <xf numFmtId="0" fontId="39" fillId="0" borderId="0" xfId="0" applyFont="1" applyAlignment="1">
      <alignment horizontal="left" indent="3"/>
    </xf>
    <xf numFmtId="5" fontId="37" fillId="0" borderId="0" xfId="0" applyNumberFormat="1" applyFont="1" applyAlignment="1">
      <alignment horizontal="left" indent="2"/>
    </xf>
    <xf numFmtId="0" fontId="52" fillId="0" borderId="0" xfId="0" applyFont="1"/>
    <xf numFmtId="168" fontId="51" fillId="0" borderId="0" xfId="3" applyNumberFormat="1" applyFont="1" applyBorder="1"/>
    <xf numFmtId="168" fontId="51" fillId="0" borderId="8" xfId="3" applyNumberFormat="1" applyFont="1" applyBorder="1"/>
    <xf numFmtId="168" fontId="51" fillId="0" borderId="13" xfId="3" applyNumberFormat="1" applyFont="1" applyBorder="1"/>
    <xf numFmtId="0" fontId="34" fillId="0" borderId="0" xfId="0" applyFont="1" applyAlignment="1">
      <alignment horizontal="left" indent="1"/>
    </xf>
    <xf numFmtId="172" fontId="60" fillId="0" borderId="0" xfId="0" applyNumberFormat="1" applyFont="1"/>
    <xf numFmtId="172" fontId="61" fillId="0" borderId="0" xfId="0" applyNumberFormat="1" applyFont="1"/>
    <xf numFmtId="172" fontId="61" fillId="0" borderId="8" xfId="0" applyNumberFormat="1" applyFont="1" applyBorder="1"/>
    <xf numFmtId="172" fontId="61" fillId="0" borderId="13" xfId="0" applyNumberFormat="1" applyFont="1" applyBorder="1"/>
    <xf numFmtId="172" fontId="62" fillId="0" borderId="0" xfId="0" applyNumberFormat="1" applyFont="1"/>
    <xf numFmtId="172" fontId="63" fillId="0" borderId="0" xfId="0" applyNumberFormat="1" applyFont="1"/>
    <xf numFmtId="172" fontId="45" fillId="0" borderId="0" xfId="0" applyNumberFormat="1" applyFont="1" applyAlignment="1">
      <alignment horizontal="right"/>
    </xf>
    <xf numFmtId="172" fontId="45" fillId="0" borderId="0" xfId="0" applyNumberFormat="1" applyFont="1"/>
    <xf numFmtId="0" fontId="64" fillId="0" borderId="0" xfId="0" applyFont="1" applyAlignment="1">
      <alignment horizontal="left" indent="1"/>
    </xf>
    <xf numFmtId="168" fontId="64" fillId="0" borderId="0" xfId="3" applyNumberFormat="1" applyFont="1"/>
    <xf numFmtId="168" fontId="64" fillId="0" borderId="0" xfId="3" applyNumberFormat="1" applyFont="1" applyBorder="1"/>
    <xf numFmtId="168" fontId="64" fillId="0" borderId="8" xfId="3" applyNumberFormat="1" applyFont="1" applyBorder="1"/>
    <xf numFmtId="168" fontId="64" fillId="0" borderId="13" xfId="3" applyNumberFormat="1" applyFont="1" applyBorder="1"/>
    <xf numFmtId="0" fontId="64" fillId="0" borderId="0" xfId="0" applyFont="1"/>
    <xf numFmtId="172" fontId="47" fillId="0" borderId="0" xfId="0" applyNumberFormat="1" applyFont="1"/>
    <xf numFmtId="172" fontId="65" fillId="0" borderId="0" xfId="0" applyNumberFormat="1" applyFont="1"/>
    <xf numFmtId="172" fontId="65" fillId="0" borderId="8" xfId="0" applyNumberFormat="1" applyFont="1" applyBorder="1"/>
    <xf numFmtId="172" fontId="65" fillId="0" borderId="13" xfId="0" applyNumberFormat="1" applyFont="1" applyBorder="1"/>
    <xf numFmtId="172" fontId="66" fillId="0" borderId="0" xfId="0" applyNumberFormat="1" applyFont="1"/>
    <xf numFmtId="168" fontId="36" fillId="0" borderId="0" xfId="3" applyNumberFormat="1" applyFont="1"/>
    <xf numFmtId="172" fontId="47" fillId="0" borderId="8" xfId="0" applyNumberFormat="1" applyFont="1" applyBorder="1"/>
    <xf numFmtId="172" fontId="47" fillId="0" borderId="13" xfId="0" applyNumberFormat="1" applyFont="1" applyBorder="1"/>
    <xf numFmtId="172" fontId="60" fillId="0" borderId="8" xfId="0" applyNumberFormat="1" applyFont="1" applyBorder="1"/>
    <xf numFmtId="172" fontId="60" fillId="0" borderId="13" xfId="0" applyNumberFormat="1" applyFont="1" applyBorder="1"/>
    <xf numFmtId="0" fontId="47" fillId="0" borderId="0" xfId="0" applyFont="1" applyAlignment="1">
      <alignment horizontal="left" indent="2"/>
    </xf>
    <xf numFmtId="0" fontId="60" fillId="0" borderId="0" xfId="0" applyFont="1"/>
    <xf numFmtId="168" fontId="67" fillId="0" borderId="0" xfId="3" applyNumberFormat="1" applyFont="1"/>
    <xf numFmtId="168" fontId="67" fillId="0" borderId="0" xfId="3" applyNumberFormat="1" applyFont="1" applyBorder="1"/>
    <xf numFmtId="168" fontId="67" fillId="0" borderId="8" xfId="3" applyNumberFormat="1" applyFont="1" applyBorder="1"/>
    <xf numFmtId="168" fontId="67" fillId="0" borderId="13" xfId="3" applyNumberFormat="1" applyFont="1" applyBorder="1"/>
    <xf numFmtId="0" fontId="61" fillId="0" borderId="0" xfId="0" applyFont="1" applyAlignment="1">
      <alignment horizontal="right"/>
    </xf>
    <xf numFmtId="0" fontId="61" fillId="0" borderId="0" xfId="0" applyFont="1"/>
    <xf numFmtId="0" fontId="37" fillId="0" borderId="0" xfId="0" applyFont="1" applyAlignment="1">
      <alignment horizontal="left" indent="2"/>
    </xf>
    <xf numFmtId="0" fontId="62" fillId="0" borderId="0" xfId="0" applyFont="1" applyAlignment="1">
      <alignment horizontal="right"/>
    </xf>
    <xf numFmtId="168" fontId="61" fillId="0" borderId="0" xfId="3" applyNumberFormat="1" applyFont="1"/>
    <xf numFmtId="168" fontId="61" fillId="0" borderId="0" xfId="3" applyNumberFormat="1" applyFont="1" applyBorder="1"/>
    <xf numFmtId="168" fontId="61" fillId="0" borderId="8" xfId="3" applyNumberFormat="1" applyFont="1" applyBorder="1"/>
    <xf numFmtId="168" fontId="61" fillId="0" borderId="13" xfId="3" applyNumberFormat="1" applyFont="1" applyBorder="1"/>
    <xf numFmtId="168" fontId="52" fillId="0" borderId="0" xfId="3" applyNumberFormat="1" applyFont="1"/>
    <xf numFmtId="0" fontId="68" fillId="0" borderId="0" xfId="0" applyFont="1" applyAlignment="1">
      <alignment horizontal="right" vertical="center"/>
    </xf>
    <xf numFmtId="186" fontId="68" fillId="0" borderId="0" xfId="0" applyNumberFormat="1" applyFont="1" applyAlignment="1">
      <alignment vertical="center"/>
    </xf>
    <xf numFmtId="5" fontId="69" fillId="0" borderId="0" xfId="0" applyNumberFormat="1" applyFont="1" applyAlignment="1">
      <alignment horizontal="right"/>
    </xf>
    <xf numFmtId="0" fontId="68" fillId="0" borderId="0" xfId="0" applyFont="1"/>
    <xf numFmtId="168" fontId="68" fillId="0" borderId="0" xfId="3" applyNumberFormat="1" applyFont="1" applyAlignment="1">
      <alignment horizontal="center" vertical="center"/>
    </xf>
    <xf numFmtId="9" fontId="68" fillId="0" borderId="0" xfId="1" applyFont="1" applyFill="1" applyBorder="1" applyAlignment="1">
      <alignment horizontal="center"/>
    </xf>
    <xf numFmtId="187" fontId="68" fillId="0" borderId="0" xfId="0" applyNumberFormat="1" applyFont="1" applyAlignment="1">
      <alignment horizontal="right" vertical="center"/>
    </xf>
    <xf numFmtId="187" fontId="68" fillId="0" borderId="0" xfId="0" applyNumberFormat="1" applyFont="1" applyAlignment="1">
      <alignment vertical="center"/>
    </xf>
    <xf numFmtId="187" fontId="68" fillId="0" borderId="0" xfId="0" applyNumberFormat="1" applyFont="1" applyAlignment="1">
      <alignment horizontal="left"/>
    </xf>
    <xf numFmtId="187" fontId="69" fillId="0" borderId="0" xfId="0" applyNumberFormat="1" applyFont="1" applyAlignment="1">
      <alignment vertical="center"/>
    </xf>
    <xf numFmtId="188" fontId="68" fillId="0" borderId="0" xfId="0" applyNumberFormat="1" applyFont="1" applyAlignment="1">
      <alignment horizontal="center"/>
    </xf>
    <xf numFmtId="187" fontId="68" fillId="0" borderId="0" xfId="0" applyNumberFormat="1" applyFont="1"/>
    <xf numFmtId="187" fontId="69" fillId="0" borderId="0" xfId="0" applyNumberFormat="1" applyFont="1" applyAlignment="1">
      <alignment horizontal="center" vertical="center"/>
    </xf>
    <xf numFmtId="189" fontId="69" fillId="0" borderId="0" xfId="0" applyNumberFormat="1" applyFont="1" applyAlignment="1">
      <alignment vertical="center"/>
    </xf>
    <xf numFmtId="3" fontId="69" fillId="0" borderId="0" xfId="0" applyNumberFormat="1" applyFont="1" applyAlignment="1">
      <alignment vertical="center"/>
    </xf>
    <xf numFmtId="189" fontId="68" fillId="0" borderId="0" xfId="0" applyNumberFormat="1" applyFont="1" applyAlignment="1">
      <alignment vertical="center"/>
    </xf>
    <xf numFmtId="9" fontId="69" fillId="0" borderId="0" xfId="1" applyFont="1" applyAlignment="1">
      <alignment vertical="center"/>
    </xf>
    <xf numFmtId="168" fontId="68" fillId="0" borderId="0" xfId="3" applyNumberFormat="1" applyFont="1" applyFill="1" applyBorder="1" applyAlignment="1">
      <alignment vertical="center"/>
    </xf>
    <xf numFmtId="4" fontId="69" fillId="0" borderId="0" xfId="0" applyNumberFormat="1" applyFont="1" applyAlignment="1">
      <alignment vertical="center"/>
    </xf>
    <xf numFmtId="4" fontId="68" fillId="0" borderId="0" xfId="0" applyNumberFormat="1" applyFont="1" applyAlignment="1">
      <alignment vertical="center"/>
    </xf>
    <xf numFmtId="8" fontId="68" fillId="0" borderId="0" xfId="0" applyNumberFormat="1" applyFont="1" applyAlignment="1">
      <alignment vertical="center"/>
    </xf>
    <xf numFmtId="187" fontId="68" fillId="0" borderId="1" xfId="0" applyNumberFormat="1" applyFont="1" applyBorder="1" applyAlignment="1">
      <alignment vertical="center"/>
    </xf>
    <xf numFmtId="0" fontId="68" fillId="0" borderId="0" xfId="0" applyFont="1" applyAlignment="1">
      <alignment horizontal="right"/>
    </xf>
    <xf numFmtId="0" fontId="70" fillId="9" borderId="17" xfId="0" applyFont="1" applyFill="1" applyBorder="1" applyAlignment="1">
      <alignment horizontal="left"/>
    </xf>
    <xf numFmtId="190" fontId="71" fillId="10" borderId="5" xfId="0" applyNumberFormat="1" applyFont="1" applyFill="1" applyBorder="1" applyAlignment="1">
      <alignment horizontal="centerContinuous"/>
    </xf>
    <xf numFmtId="190" fontId="71" fillId="10" borderId="3" xfId="0" applyNumberFormat="1" applyFont="1" applyFill="1" applyBorder="1" applyAlignment="1">
      <alignment horizontal="centerContinuous"/>
    </xf>
    <xf numFmtId="191" fontId="71" fillId="10" borderId="5" xfId="0" applyNumberFormat="1" applyFont="1" applyFill="1" applyBorder="1" applyAlignment="1">
      <alignment horizontal="centerContinuous"/>
    </xf>
    <xf numFmtId="0" fontId="72" fillId="11" borderId="15" xfId="0" applyFont="1" applyFill="1" applyBorder="1"/>
    <xf numFmtId="0" fontId="72" fillId="11" borderId="9" xfId="0" applyFont="1" applyFill="1" applyBorder="1"/>
    <xf numFmtId="0" fontId="68" fillId="11" borderId="9" xfId="0" applyFont="1" applyFill="1" applyBorder="1"/>
    <xf numFmtId="0" fontId="68" fillId="0" borderId="10" xfId="0" applyFont="1" applyBorder="1"/>
    <xf numFmtId="0" fontId="70" fillId="9" borderId="18" xfId="0" applyFont="1" applyFill="1" applyBorder="1" applyAlignment="1">
      <alignment horizontal="left"/>
    </xf>
    <xf numFmtId="0" fontId="71" fillId="10" borderId="1" xfId="0" applyFont="1" applyFill="1" applyBorder="1" applyAlignment="1">
      <alignment horizontal="center"/>
    </xf>
    <xf numFmtId="0" fontId="71" fillId="10" borderId="12" xfId="0" applyFont="1" applyFill="1" applyBorder="1" applyAlignment="1">
      <alignment horizontal="center"/>
    </xf>
    <xf numFmtId="0" fontId="71" fillId="10" borderId="1" xfId="5" applyFont="1" applyFill="1" applyBorder="1" applyAlignment="1">
      <alignment horizontal="center"/>
    </xf>
    <xf numFmtId="0" fontId="68" fillId="0" borderId="19" xfId="0" applyFont="1" applyBorder="1" applyAlignment="1">
      <alignment horizontal="center"/>
    </xf>
    <xf numFmtId="190" fontId="71" fillId="11" borderId="11" xfId="0" applyNumberFormat="1" applyFont="1" applyFill="1" applyBorder="1" applyAlignment="1">
      <alignment horizontal="center"/>
    </xf>
    <xf numFmtId="190" fontId="71" fillId="11" borderId="1" xfId="0" applyNumberFormat="1" applyFont="1" applyFill="1" applyBorder="1" applyAlignment="1">
      <alignment horizontal="center"/>
    </xf>
    <xf numFmtId="191" fontId="71" fillId="11" borderId="1" xfId="0" applyNumberFormat="1" applyFont="1" applyFill="1" applyBorder="1" applyAlignment="1">
      <alignment horizontal="center"/>
    </xf>
    <xf numFmtId="191" fontId="71" fillId="11" borderId="0" xfId="0" applyNumberFormat="1" applyFont="1" applyFill="1" applyAlignment="1">
      <alignment horizontal="center"/>
    </xf>
    <xf numFmtId="0" fontId="68" fillId="0" borderId="10" xfId="0" applyFont="1" applyBorder="1" applyAlignment="1">
      <alignment horizontal="center"/>
    </xf>
    <xf numFmtId="0" fontId="68" fillId="0" borderId="0" xfId="0" applyFont="1" applyAlignment="1">
      <alignment horizontal="center"/>
    </xf>
    <xf numFmtId="0" fontId="73" fillId="0" borderId="0" xfId="0" applyFont="1" applyAlignment="1">
      <alignment horizontal="center"/>
    </xf>
    <xf numFmtId="0" fontId="74" fillId="12" borderId="20" xfId="0" applyFont="1" applyFill="1" applyBorder="1" applyAlignment="1">
      <alignment horizontal="left"/>
    </xf>
    <xf numFmtId="0" fontId="72" fillId="12" borderId="0" xfId="0" applyFont="1" applyFill="1" applyAlignment="1">
      <alignment horizontal="center"/>
    </xf>
    <xf numFmtId="0" fontId="72" fillId="12" borderId="8" xfId="0" applyFont="1" applyFill="1" applyBorder="1" applyAlignment="1">
      <alignment horizontal="center"/>
    </xf>
    <xf numFmtId="0" fontId="72" fillId="12" borderId="15" xfId="0" applyFont="1" applyFill="1" applyBorder="1" applyAlignment="1">
      <alignment horizontal="center"/>
    </xf>
    <xf numFmtId="0" fontId="72" fillId="12" borderId="9" xfId="0" applyFont="1" applyFill="1" applyBorder="1" applyAlignment="1">
      <alignment horizontal="center"/>
    </xf>
    <xf numFmtId="0" fontId="72" fillId="12" borderId="16" xfId="0" applyFont="1" applyFill="1" applyBorder="1" applyAlignment="1">
      <alignment horizontal="center"/>
    </xf>
    <xf numFmtId="0" fontId="73" fillId="0" borderId="19" xfId="0" applyFont="1" applyBorder="1" applyAlignment="1">
      <alignment horizontal="center"/>
    </xf>
    <xf numFmtId="0" fontId="73" fillId="12" borderId="10" xfId="0" applyFont="1" applyFill="1" applyBorder="1" applyAlignment="1">
      <alignment horizontal="center"/>
    </xf>
    <xf numFmtId="0" fontId="73" fillId="12" borderId="0" xfId="0" applyFont="1" applyFill="1" applyAlignment="1">
      <alignment horizontal="center"/>
    </xf>
    <xf numFmtId="0" fontId="68" fillId="12" borderId="0" xfId="0" applyFont="1" applyFill="1" applyAlignment="1">
      <alignment horizontal="center"/>
    </xf>
    <xf numFmtId="192" fontId="70" fillId="0" borderId="0" xfId="0" quotePrefix="1" applyNumberFormat="1" applyFont="1" applyAlignment="1">
      <alignment horizontal="left"/>
    </xf>
    <xf numFmtId="192" fontId="70" fillId="0" borderId="0" xfId="0" applyNumberFormat="1" applyFont="1" applyAlignment="1">
      <alignment horizontal="center"/>
    </xf>
    <xf numFmtId="192" fontId="68" fillId="0" borderId="19" xfId="0" applyNumberFormat="1" applyFont="1" applyBorder="1" applyAlignment="1">
      <alignment horizontal="left"/>
    </xf>
    <xf numFmtId="192" fontId="70" fillId="0" borderId="8" xfId="0" applyNumberFormat="1" applyFont="1" applyBorder="1" applyAlignment="1">
      <alignment horizontal="center"/>
    </xf>
    <xf numFmtId="188" fontId="68" fillId="0" borderId="8" xfId="0" applyNumberFormat="1" applyFont="1" applyBorder="1" applyAlignment="1">
      <alignment horizontal="center"/>
    </xf>
    <xf numFmtId="188" fontId="68" fillId="0" borderId="10" xfId="0" applyNumberFormat="1" applyFont="1" applyBorder="1" applyAlignment="1">
      <alignment horizontal="center"/>
    </xf>
    <xf numFmtId="192" fontId="70" fillId="0" borderId="19" xfId="0" applyNumberFormat="1" applyFont="1" applyBorder="1" applyAlignment="1">
      <alignment horizontal="center"/>
    </xf>
    <xf numFmtId="192" fontId="70" fillId="0" borderId="10" xfId="0" applyNumberFormat="1" applyFont="1" applyBorder="1" applyAlignment="1">
      <alignment horizontal="center"/>
    </xf>
    <xf numFmtId="188" fontId="75" fillId="0" borderId="0" xfId="0" applyNumberFormat="1" applyFont="1" applyAlignment="1">
      <alignment horizontal="center"/>
    </xf>
    <xf numFmtId="192" fontId="70" fillId="0" borderId="0" xfId="0" applyNumberFormat="1" applyFont="1" applyAlignment="1">
      <alignment vertical="center"/>
    </xf>
    <xf numFmtId="192" fontId="68" fillId="0" borderId="19" xfId="0" quotePrefix="1" applyNumberFormat="1" applyFont="1" applyBorder="1" applyAlignment="1">
      <alignment horizontal="left"/>
    </xf>
    <xf numFmtId="192" fontId="70" fillId="0" borderId="19" xfId="0" quotePrefix="1" applyNumberFormat="1" applyFont="1" applyBorder="1" applyAlignment="1">
      <alignment horizontal="left"/>
    </xf>
    <xf numFmtId="188" fontId="70" fillId="0" borderId="15" xfId="0" applyNumberFormat="1" applyFont="1" applyBorder="1" applyAlignment="1">
      <alignment horizontal="center"/>
    </xf>
    <xf numFmtId="188" fontId="70" fillId="0" borderId="9" xfId="0" applyNumberFormat="1" applyFont="1" applyBorder="1" applyAlignment="1">
      <alignment horizontal="center"/>
    </xf>
    <xf numFmtId="188" fontId="70" fillId="0" borderId="16" xfId="0" applyNumberFormat="1" applyFont="1" applyBorder="1" applyAlignment="1">
      <alignment horizontal="center"/>
    </xf>
    <xf numFmtId="188" fontId="76" fillId="0" borderId="9" xfId="0" applyNumberFormat="1" applyFont="1" applyBorder="1" applyAlignment="1">
      <alignment horizontal="center"/>
    </xf>
    <xf numFmtId="9" fontId="70" fillId="0" borderId="0" xfId="1" applyFont="1" applyFill="1" applyBorder="1" applyAlignment="1">
      <alignment horizontal="center"/>
    </xf>
    <xf numFmtId="192" fontId="68" fillId="0" borderId="0" xfId="0" quotePrefix="1" applyNumberFormat="1" applyFont="1" applyAlignment="1">
      <alignment horizontal="left"/>
    </xf>
    <xf numFmtId="192" fontId="68" fillId="0" borderId="0" xfId="0" applyNumberFormat="1" applyFont="1" applyAlignment="1">
      <alignment horizontal="center"/>
    </xf>
    <xf numFmtId="192" fontId="68" fillId="0" borderId="19" xfId="0" quotePrefix="1" applyNumberFormat="1" applyFont="1" applyBorder="1" applyAlignment="1">
      <alignment horizontal="left" wrapText="1"/>
    </xf>
    <xf numFmtId="192" fontId="68" fillId="0" borderId="8" xfId="0" applyNumberFormat="1" applyFont="1" applyBorder="1" applyAlignment="1">
      <alignment horizontal="center"/>
    </xf>
    <xf numFmtId="192" fontId="68" fillId="0" borderId="10" xfId="0" applyNumberFormat="1" applyFont="1" applyBorder="1" applyAlignment="1">
      <alignment horizontal="center"/>
    </xf>
    <xf numFmtId="192" fontId="68" fillId="0" borderId="0" xfId="0" applyNumberFormat="1" applyFont="1" applyAlignment="1">
      <alignment vertical="center"/>
    </xf>
    <xf numFmtId="188" fontId="68" fillId="0" borderId="21" xfId="0" applyNumberFormat="1" applyFont="1" applyBorder="1" applyAlignment="1">
      <alignment horizontal="center"/>
    </xf>
    <xf numFmtId="192" fontId="70" fillId="0" borderId="7" xfId="0" applyNumberFormat="1" applyFont="1" applyBorder="1" applyAlignment="1">
      <alignment horizontal="center"/>
    </xf>
    <xf numFmtId="192" fontId="70" fillId="0" borderId="22" xfId="0" applyNumberFormat="1" applyFont="1" applyBorder="1" applyAlignment="1">
      <alignment horizontal="center"/>
    </xf>
    <xf numFmtId="188" fontId="70" fillId="0" borderId="7" xfId="0" applyNumberFormat="1" applyFont="1" applyBorder="1" applyAlignment="1">
      <alignment horizontal="center"/>
    </xf>
    <xf numFmtId="188" fontId="70" fillId="0" borderId="22" xfId="0" applyNumberFormat="1" applyFont="1" applyBorder="1" applyAlignment="1">
      <alignment horizontal="center"/>
    </xf>
    <xf numFmtId="188" fontId="70" fillId="0" borderId="23" xfId="0" applyNumberFormat="1" applyFont="1" applyBorder="1" applyAlignment="1">
      <alignment horizontal="center"/>
    </xf>
    <xf numFmtId="192" fontId="70" fillId="0" borderId="23" xfId="0" applyNumberFormat="1" applyFont="1" applyBorder="1" applyAlignment="1">
      <alignment horizontal="center"/>
    </xf>
    <xf numFmtId="188" fontId="76" fillId="0" borderId="7" xfId="0" applyNumberFormat="1" applyFont="1" applyBorder="1" applyAlignment="1">
      <alignment horizontal="center"/>
    </xf>
    <xf numFmtId="192" fontId="77" fillId="0" borderId="0" xfId="0" applyNumberFormat="1" applyFont="1" applyAlignment="1">
      <alignment horizontal="center"/>
    </xf>
    <xf numFmtId="192" fontId="77" fillId="0" borderId="8" xfId="0" applyNumberFormat="1" applyFont="1" applyBorder="1" applyAlignment="1">
      <alignment horizontal="center"/>
    </xf>
    <xf numFmtId="188" fontId="77" fillId="0" borderId="0" xfId="0" applyNumberFormat="1" applyFont="1" applyAlignment="1">
      <alignment horizontal="center"/>
    </xf>
    <xf numFmtId="188" fontId="77" fillId="0" borderId="8" xfId="0" applyNumberFormat="1" applyFont="1" applyBorder="1" applyAlignment="1">
      <alignment horizontal="center"/>
    </xf>
    <xf numFmtId="188" fontId="78" fillId="0" borderId="0" xfId="0" applyNumberFormat="1" applyFont="1" applyAlignment="1">
      <alignment horizontal="center"/>
    </xf>
    <xf numFmtId="188" fontId="78" fillId="0" borderId="24" xfId="0" applyNumberFormat="1" applyFont="1" applyBorder="1" applyAlignment="1">
      <alignment horizontal="center"/>
    </xf>
    <xf numFmtId="188" fontId="78" fillId="0" borderId="25" xfId="0" applyNumberFormat="1" applyFont="1" applyBorder="1" applyAlignment="1">
      <alignment horizontal="center"/>
    </xf>
    <xf numFmtId="188" fontId="78" fillId="0" borderId="21" xfId="0" applyNumberFormat="1" applyFont="1" applyBorder="1" applyAlignment="1">
      <alignment horizontal="center"/>
    </xf>
    <xf numFmtId="188" fontId="73" fillId="0" borderId="24" xfId="0" applyNumberFormat="1" applyFont="1" applyBorder="1" applyAlignment="1">
      <alignment horizontal="center"/>
    </xf>
    <xf numFmtId="188" fontId="68" fillId="0" borderId="25" xfId="0" applyNumberFormat="1" applyFont="1" applyBorder="1" applyAlignment="1">
      <alignment horizontal="center"/>
    </xf>
    <xf numFmtId="192" fontId="73" fillId="0" borderId="0" xfId="0" applyNumberFormat="1" applyFont="1" applyAlignment="1">
      <alignment horizontal="center"/>
    </xf>
    <xf numFmtId="192" fontId="73" fillId="0" borderId="8" xfId="0" applyNumberFormat="1" applyFont="1" applyBorder="1" applyAlignment="1">
      <alignment horizontal="center"/>
    </xf>
    <xf numFmtId="192" fontId="77" fillId="0" borderId="10" xfId="0" applyNumberFormat="1" applyFont="1" applyBorder="1" applyAlignment="1">
      <alignment horizontal="center"/>
    </xf>
    <xf numFmtId="188" fontId="73" fillId="0" borderId="0" xfId="0" applyNumberFormat="1" applyFont="1" applyAlignment="1">
      <alignment horizontal="center"/>
    </xf>
    <xf numFmtId="188" fontId="73" fillId="0" borderId="8" xfId="0" applyNumberFormat="1" applyFont="1" applyBorder="1" applyAlignment="1">
      <alignment horizontal="center"/>
    </xf>
    <xf numFmtId="192" fontId="79" fillId="0" borderId="0" xfId="0" applyNumberFormat="1" applyFont="1" applyAlignment="1">
      <alignment horizontal="center"/>
    </xf>
    <xf numFmtId="7" fontId="68" fillId="0" borderId="0" xfId="0" quotePrefix="1" applyNumberFormat="1" applyFont="1" applyAlignment="1">
      <alignment horizontal="left"/>
    </xf>
    <xf numFmtId="7" fontId="68" fillId="0" borderId="0" xfId="0" applyNumberFormat="1" applyFont="1" applyAlignment="1">
      <alignment vertical="center"/>
    </xf>
    <xf numFmtId="7" fontId="68" fillId="0" borderId="19" xfId="0" quotePrefix="1" applyNumberFormat="1" applyFont="1" applyBorder="1" applyAlignment="1">
      <alignment horizontal="left"/>
    </xf>
    <xf numFmtId="7" fontId="68" fillId="0" borderId="0" xfId="0" applyNumberFormat="1" applyFont="1" applyAlignment="1">
      <alignment horizontal="center"/>
    </xf>
    <xf numFmtId="7" fontId="68" fillId="0" borderId="8" xfId="0" applyNumberFormat="1" applyFont="1" applyBorder="1" applyAlignment="1">
      <alignment horizontal="center"/>
    </xf>
    <xf numFmtId="7" fontId="68" fillId="0" borderId="10" xfId="0" applyNumberFormat="1" applyFont="1" applyBorder="1" applyAlignment="1">
      <alignment horizontal="center"/>
    </xf>
    <xf numFmtId="7" fontId="75" fillId="0" borderId="0" xfId="0" applyNumberFormat="1" applyFont="1" applyAlignment="1">
      <alignment horizontal="center"/>
    </xf>
    <xf numFmtId="171" fontId="68" fillId="0" borderId="0" xfId="0" applyNumberFormat="1" applyFont="1" applyAlignment="1">
      <alignment horizontal="center"/>
    </xf>
    <xf numFmtId="7" fontId="68" fillId="0" borderId="19" xfId="0" applyNumberFormat="1" applyFont="1" applyBorder="1" applyAlignment="1">
      <alignment horizontal="left"/>
    </xf>
    <xf numFmtId="7" fontId="70" fillId="0" borderId="19" xfId="0" applyNumberFormat="1" applyFont="1" applyBorder="1" applyAlignment="1">
      <alignment horizontal="left"/>
    </xf>
    <xf numFmtId="7" fontId="70" fillId="0" borderId="0" xfId="0" applyNumberFormat="1" applyFont="1" applyAlignment="1">
      <alignment horizontal="center"/>
    </xf>
    <xf numFmtId="7" fontId="70" fillId="0" borderId="8" xfId="0" applyNumberFormat="1" applyFont="1" applyBorder="1" applyAlignment="1">
      <alignment horizontal="center"/>
    </xf>
    <xf numFmtId="7" fontId="70" fillId="0" borderId="10" xfId="0" applyNumberFormat="1" applyFont="1" applyBorder="1" applyAlignment="1">
      <alignment horizontal="center"/>
    </xf>
    <xf numFmtId="9" fontId="70" fillId="0" borderId="19" xfId="1" applyFont="1" applyFill="1" applyBorder="1" applyAlignment="1">
      <alignment horizontal="center"/>
    </xf>
    <xf numFmtId="7" fontId="76" fillId="0" borderId="0" xfId="0" applyNumberFormat="1" applyFont="1" applyAlignment="1">
      <alignment horizontal="center"/>
    </xf>
    <xf numFmtId="181" fontId="68" fillId="0" borderId="10" xfId="1" applyNumberFormat="1" applyFont="1" applyFill="1" applyBorder="1" applyAlignment="1">
      <alignment horizontal="center"/>
    </xf>
    <xf numFmtId="7" fontId="79" fillId="0" borderId="0" xfId="0" applyNumberFormat="1" applyFont="1" applyAlignment="1">
      <alignment horizontal="center"/>
    </xf>
    <xf numFmtId="9" fontId="70" fillId="0" borderId="0" xfId="0" applyNumberFormat="1" applyFont="1" applyAlignment="1">
      <alignment horizontal="center"/>
    </xf>
    <xf numFmtId="4" fontId="70" fillId="0" borderId="0" xfId="1" applyNumberFormat="1" applyFont="1" applyFill="1" applyBorder="1" applyAlignment="1">
      <alignment horizontal="center"/>
    </xf>
    <xf numFmtId="188" fontId="68" fillId="0" borderId="0" xfId="0" quotePrefix="1" applyNumberFormat="1" applyFont="1" applyAlignment="1">
      <alignment horizontal="left"/>
    </xf>
    <xf numFmtId="188" fontId="68" fillId="0" borderId="19" xfId="0" quotePrefix="1" applyNumberFormat="1" applyFont="1" applyBorder="1" applyAlignment="1">
      <alignment horizontal="left"/>
    </xf>
    <xf numFmtId="188" fontId="78" fillId="0" borderId="8" xfId="0" applyNumberFormat="1" applyFont="1" applyBorder="1" applyAlignment="1">
      <alignment horizontal="center"/>
    </xf>
    <xf numFmtId="188" fontId="78" fillId="0" borderId="10" xfId="0" applyNumberFormat="1" applyFont="1" applyBorder="1" applyAlignment="1">
      <alignment horizontal="center"/>
    </xf>
    <xf numFmtId="188" fontId="77" fillId="0" borderId="10" xfId="0" applyNumberFormat="1" applyFont="1" applyBorder="1" applyAlignment="1">
      <alignment horizontal="center"/>
    </xf>
    <xf numFmtId="188" fontId="68" fillId="0" borderId="0" xfId="0" applyNumberFormat="1" applyFont="1" applyAlignment="1">
      <alignment vertical="center"/>
    </xf>
    <xf numFmtId="9" fontId="68" fillId="0" borderId="19" xfId="1" applyFont="1" applyFill="1" applyBorder="1" applyAlignment="1">
      <alignment horizontal="center"/>
    </xf>
    <xf numFmtId="192" fontId="71" fillId="12" borderId="0" xfId="0" quotePrefix="1" applyNumberFormat="1" applyFont="1" applyFill="1" applyAlignment="1">
      <alignment horizontal="left"/>
    </xf>
    <xf numFmtId="192" fontId="71" fillId="12" borderId="0" xfId="0" applyNumberFormat="1" applyFont="1" applyFill="1" applyAlignment="1">
      <alignment horizontal="center"/>
    </xf>
    <xf numFmtId="192" fontId="71" fillId="12" borderId="19" xfId="0" quotePrefix="1" applyNumberFormat="1" applyFont="1" applyFill="1" applyBorder="1" applyAlignment="1">
      <alignment horizontal="left"/>
    </xf>
    <xf numFmtId="192" fontId="71" fillId="12" borderId="8" xfId="0" applyNumberFormat="1" applyFont="1" applyFill="1" applyBorder="1" applyAlignment="1">
      <alignment horizontal="center"/>
    </xf>
    <xf numFmtId="192" fontId="71" fillId="12" borderId="10" xfId="0" applyNumberFormat="1" applyFont="1" applyFill="1" applyBorder="1" applyAlignment="1">
      <alignment horizontal="center"/>
    </xf>
    <xf numFmtId="192" fontId="71" fillId="0" borderId="19" xfId="0" applyNumberFormat="1" applyFont="1" applyBorder="1" applyAlignment="1">
      <alignment horizontal="center"/>
    </xf>
    <xf numFmtId="192" fontId="71" fillId="12" borderId="0" xfId="0" applyNumberFormat="1" applyFont="1" applyFill="1" applyAlignment="1">
      <alignment vertical="center"/>
    </xf>
    <xf numFmtId="188" fontId="70" fillId="0" borderId="0" xfId="0" applyNumberFormat="1" applyFont="1" applyAlignment="1">
      <alignment horizontal="center"/>
    </xf>
    <xf numFmtId="188" fontId="70" fillId="0" borderId="8" xfId="0" applyNumberFormat="1" applyFont="1" applyBorder="1" applyAlignment="1">
      <alignment horizontal="center"/>
    </xf>
    <xf numFmtId="188" fontId="70" fillId="0" borderId="10" xfId="0" applyNumberFormat="1" applyFont="1" applyBorder="1" applyAlignment="1">
      <alignment horizontal="center"/>
    </xf>
    <xf numFmtId="192" fontId="68" fillId="0" borderId="19" xfId="0" quotePrefix="1" applyNumberFormat="1" applyFont="1" applyBorder="1" applyAlignment="1">
      <alignment horizontal="left" indent="1"/>
    </xf>
    <xf numFmtId="9" fontId="68" fillId="0" borderId="8" xfId="1" applyFont="1" applyFill="1" applyBorder="1" applyAlignment="1">
      <alignment horizontal="center"/>
    </xf>
    <xf numFmtId="9" fontId="68" fillId="0" borderId="10" xfId="1" applyFont="1" applyFill="1" applyBorder="1" applyAlignment="1">
      <alignment horizontal="center"/>
    </xf>
    <xf numFmtId="192" fontId="68" fillId="0" borderId="19" xfId="0" applyNumberFormat="1" applyFont="1" applyBorder="1" applyAlignment="1">
      <alignment horizontal="center"/>
    </xf>
    <xf numFmtId="9" fontId="70" fillId="0" borderId="8" xfId="1" applyFont="1" applyFill="1" applyBorder="1" applyAlignment="1">
      <alignment horizontal="center"/>
    </xf>
    <xf numFmtId="9" fontId="68" fillId="0" borderId="0" xfId="0" applyNumberFormat="1" applyFont="1" applyAlignment="1">
      <alignment horizontal="center"/>
    </xf>
    <xf numFmtId="193" fontId="68" fillId="0" borderId="0" xfId="0" applyNumberFormat="1" applyFont="1" applyAlignment="1">
      <alignment horizontal="center"/>
    </xf>
    <xf numFmtId="193" fontId="68" fillId="0" borderId="8" xfId="0" applyNumberFormat="1" applyFont="1" applyBorder="1" applyAlignment="1">
      <alignment horizontal="center"/>
    </xf>
    <xf numFmtId="193" fontId="68" fillId="0" borderId="10" xfId="0" applyNumberFormat="1" applyFont="1" applyBorder="1" applyAlignment="1">
      <alignment horizontal="center"/>
    </xf>
    <xf numFmtId="4" fontId="70" fillId="0" borderId="8" xfId="1" applyNumberFormat="1" applyFont="1" applyFill="1" applyBorder="1" applyAlignment="1">
      <alignment horizontal="center"/>
    </xf>
    <xf numFmtId="188" fontId="76" fillId="0" borderId="0" xfId="0" applyNumberFormat="1" applyFont="1" applyAlignment="1">
      <alignment horizontal="center"/>
    </xf>
    <xf numFmtId="9" fontId="68" fillId="0" borderId="8" xfId="0" applyNumberFormat="1" applyFont="1" applyBorder="1" applyAlignment="1">
      <alignment horizontal="center"/>
    </xf>
    <xf numFmtId="9" fontId="68" fillId="0" borderId="10" xfId="0" applyNumberFormat="1" applyFont="1" applyBorder="1" applyAlignment="1">
      <alignment horizontal="center"/>
    </xf>
    <xf numFmtId="192" fontId="70" fillId="0" borderId="26" xfId="0" quotePrefix="1" applyNumberFormat="1" applyFont="1" applyBorder="1" applyAlignment="1">
      <alignment horizontal="left"/>
    </xf>
    <xf numFmtId="192" fontId="70" fillId="0" borderId="1" xfId="0" applyNumberFormat="1" applyFont="1" applyBorder="1" applyAlignment="1">
      <alignment horizontal="center"/>
    </xf>
    <xf numFmtId="192" fontId="70" fillId="0" borderId="12" xfId="0" applyNumberFormat="1" applyFont="1" applyBorder="1" applyAlignment="1">
      <alignment horizontal="center"/>
    </xf>
    <xf numFmtId="188" fontId="70" fillId="0" borderId="1" xfId="0" applyNumberFormat="1" applyFont="1" applyBorder="1" applyAlignment="1">
      <alignment horizontal="center"/>
    </xf>
    <xf numFmtId="188" fontId="70" fillId="0" borderId="12" xfId="0" applyNumberFormat="1" applyFont="1" applyBorder="1" applyAlignment="1">
      <alignment horizontal="center"/>
    </xf>
    <xf numFmtId="188" fontId="70" fillId="0" borderId="11" xfId="0" applyNumberFormat="1" applyFont="1" applyBorder="1" applyAlignment="1">
      <alignment horizontal="center"/>
    </xf>
    <xf numFmtId="192" fontId="70" fillId="0" borderId="26" xfId="0" applyNumberFormat="1" applyFont="1" applyBorder="1" applyAlignment="1">
      <alignment horizontal="center"/>
    </xf>
    <xf numFmtId="192" fontId="70" fillId="0" borderId="11" xfId="0" applyNumberFormat="1" applyFont="1" applyBorder="1" applyAlignment="1">
      <alignment horizontal="center"/>
    </xf>
    <xf numFmtId="194" fontId="68" fillId="0" borderId="0" xfId="0" applyNumberFormat="1" applyFont="1" applyAlignment="1">
      <alignment horizontal="center"/>
    </xf>
    <xf numFmtId="195" fontId="68" fillId="0" borderId="0" xfId="0" quotePrefix="1" applyNumberFormat="1" applyFont="1" applyAlignment="1">
      <alignment horizontal="left"/>
    </xf>
    <xf numFmtId="195" fontId="68" fillId="0" borderId="0" xfId="0" applyNumberFormat="1" applyFont="1" applyAlignment="1">
      <alignment horizontal="center"/>
    </xf>
    <xf numFmtId="0" fontId="80" fillId="0" borderId="19" xfId="0" applyFont="1" applyBorder="1" applyAlignment="1">
      <alignment horizontal="left"/>
    </xf>
    <xf numFmtId="196" fontId="68" fillId="0" borderId="0" xfId="0" applyNumberFormat="1" applyFont="1" applyAlignment="1">
      <alignment horizontal="center"/>
    </xf>
    <xf numFmtId="0" fontId="68" fillId="0" borderId="8" xfId="0" applyFont="1" applyBorder="1" applyAlignment="1">
      <alignment horizontal="center"/>
    </xf>
    <xf numFmtId="37" fontId="68" fillId="0" borderId="8" xfId="0" applyNumberFormat="1" applyFont="1" applyBorder="1" applyAlignment="1">
      <alignment horizontal="center"/>
    </xf>
    <xf numFmtId="37" fontId="68" fillId="0" borderId="0" xfId="0" applyNumberFormat="1" applyFont="1" applyAlignment="1">
      <alignment horizontal="center"/>
    </xf>
    <xf numFmtId="192" fontId="68" fillId="0" borderId="19" xfId="3" applyNumberFormat="1" applyFont="1" applyFill="1" applyBorder="1" applyAlignment="1">
      <alignment horizontal="center"/>
    </xf>
    <xf numFmtId="0" fontId="77" fillId="0" borderId="0" xfId="0" applyFont="1" applyAlignment="1">
      <alignment horizontal="center"/>
    </xf>
    <xf numFmtId="0" fontId="68" fillId="0" borderId="0" xfId="0" applyFont="1" applyAlignment="1">
      <alignment vertical="center"/>
    </xf>
    <xf numFmtId="37" fontId="75" fillId="0" borderId="0" xfId="0" applyNumberFormat="1" applyFont="1" applyAlignment="1">
      <alignment horizontal="center"/>
    </xf>
    <xf numFmtId="37" fontId="75" fillId="0" borderId="8" xfId="0" applyNumberFormat="1" applyFont="1" applyBorder="1" applyAlignment="1">
      <alignment horizontal="center"/>
    </xf>
    <xf numFmtId="188" fontId="75" fillId="0" borderId="8" xfId="0" applyNumberFormat="1" applyFont="1" applyBorder="1" applyAlignment="1">
      <alignment horizontal="center"/>
    </xf>
    <xf numFmtId="188" fontId="68" fillId="0" borderId="19" xfId="0" applyNumberFormat="1" applyFont="1" applyBorder="1" applyAlignment="1">
      <alignment horizontal="center"/>
    </xf>
    <xf numFmtId="188" fontId="75" fillId="0" borderId="10" xfId="0" applyNumberFormat="1" applyFont="1" applyBorder="1" applyAlignment="1">
      <alignment horizontal="center"/>
    </xf>
    <xf numFmtId="37" fontId="70" fillId="0" borderId="8" xfId="0" applyNumberFormat="1" applyFont="1" applyBorder="1" applyAlignment="1">
      <alignment horizontal="center"/>
    </xf>
    <xf numFmtId="188" fontId="76" fillId="0" borderId="16" xfId="0" applyNumberFormat="1" applyFont="1" applyBorder="1" applyAlignment="1">
      <alignment horizontal="center"/>
    </xf>
    <xf numFmtId="188" fontId="76" fillId="0" borderId="15" xfId="0" applyNumberFormat="1" applyFont="1" applyBorder="1" applyAlignment="1">
      <alignment horizontal="center"/>
    </xf>
    <xf numFmtId="188" fontId="70" fillId="0" borderId="19" xfId="0" applyNumberFormat="1" applyFont="1" applyBorder="1" applyAlignment="1">
      <alignment horizontal="center"/>
    </xf>
    <xf numFmtId="37" fontId="77" fillId="0" borderId="0" xfId="0" applyNumberFormat="1" applyFont="1" applyAlignment="1">
      <alignment horizontal="center"/>
    </xf>
    <xf numFmtId="37" fontId="77" fillId="0" borderId="8" xfId="0" applyNumberFormat="1" applyFont="1" applyBorder="1" applyAlignment="1">
      <alignment horizontal="center"/>
    </xf>
    <xf numFmtId="188" fontId="78" fillId="0" borderId="12" xfId="0" applyNumberFormat="1" applyFont="1" applyBorder="1" applyAlignment="1">
      <alignment horizontal="center"/>
    </xf>
    <xf numFmtId="188" fontId="78" fillId="0" borderId="11" xfId="0" applyNumberFormat="1" applyFont="1" applyBorder="1" applyAlignment="1">
      <alignment horizontal="center"/>
    </xf>
    <xf numFmtId="188" fontId="77" fillId="0" borderId="11" xfId="0" applyNumberFormat="1" applyFont="1" applyBorder="1" applyAlignment="1">
      <alignment horizontal="center"/>
    </xf>
    <xf numFmtId="37" fontId="70" fillId="0" borderId="15" xfId="0" applyNumberFormat="1" applyFont="1" applyBorder="1" applyAlignment="1">
      <alignment horizontal="center"/>
    </xf>
    <xf numFmtId="37" fontId="70" fillId="0" borderId="9" xfId="0" applyNumberFormat="1" applyFont="1" applyBorder="1" applyAlignment="1">
      <alignment horizontal="center"/>
    </xf>
    <xf numFmtId="37" fontId="70" fillId="0" borderId="16" xfId="0" applyNumberFormat="1" applyFont="1" applyBorder="1" applyAlignment="1">
      <alignment horizontal="center"/>
    </xf>
    <xf numFmtId="37" fontId="76" fillId="0" borderId="16" xfId="0" applyNumberFormat="1" applyFont="1" applyBorder="1" applyAlignment="1">
      <alignment horizontal="center"/>
    </xf>
    <xf numFmtId="188" fontId="79" fillId="0" borderId="9" xfId="0" applyNumberFormat="1" applyFont="1" applyBorder="1" applyAlignment="1">
      <alignment horizontal="center"/>
    </xf>
    <xf numFmtId="188" fontId="79" fillId="0" borderId="16" xfId="0" applyNumberFormat="1" applyFont="1" applyBorder="1" applyAlignment="1">
      <alignment horizontal="center"/>
    </xf>
    <xf numFmtId="188" fontId="79" fillId="0" borderId="15" xfId="0" applyNumberFormat="1" applyFont="1" applyBorder="1" applyAlignment="1">
      <alignment horizontal="center"/>
    </xf>
    <xf numFmtId="37" fontId="70" fillId="0" borderId="0" xfId="0" applyNumberFormat="1" applyFont="1" applyAlignment="1">
      <alignment horizontal="center"/>
    </xf>
    <xf numFmtId="37" fontId="76" fillId="0" borderId="8" xfId="0" applyNumberFormat="1" applyFont="1" applyBorder="1" applyAlignment="1">
      <alignment horizontal="center"/>
    </xf>
    <xf numFmtId="188" fontId="68" fillId="0" borderId="1" xfId="0" applyNumberFormat="1" applyFont="1" applyBorder="1" applyAlignment="1">
      <alignment horizontal="center"/>
    </xf>
    <xf numFmtId="188" fontId="79" fillId="0" borderId="0" xfId="0" applyNumberFormat="1" applyFont="1" applyAlignment="1">
      <alignment horizontal="center"/>
    </xf>
    <xf numFmtId="188" fontId="68" fillId="0" borderId="9" xfId="0" applyNumberFormat="1" applyFont="1" applyBorder="1" applyAlignment="1">
      <alignment horizontal="center"/>
    </xf>
    <xf numFmtId="188" fontId="68" fillId="0" borderId="16" xfId="0" applyNumberFormat="1" applyFont="1" applyBorder="1" applyAlignment="1">
      <alignment horizontal="center"/>
    </xf>
    <xf numFmtId="188" fontId="68" fillId="0" borderId="15" xfId="0" applyNumberFormat="1" applyFont="1" applyBorder="1" applyAlignment="1">
      <alignment horizontal="center"/>
    </xf>
    <xf numFmtId="188" fontId="68" fillId="0" borderId="5" xfId="0" applyNumberFormat="1" applyFont="1" applyBorder="1" applyAlignment="1">
      <alignment horizontal="center"/>
    </xf>
    <xf numFmtId="188" fontId="68" fillId="0" borderId="3" xfId="0" applyNumberFormat="1" applyFont="1" applyBorder="1" applyAlignment="1">
      <alignment horizontal="center"/>
    </xf>
    <xf numFmtId="188" fontId="68" fillId="0" borderId="2" xfId="0" applyNumberFormat="1" applyFont="1" applyBorder="1" applyAlignment="1">
      <alignment horizontal="center"/>
    </xf>
    <xf numFmtId="9" fontId="68" fillId="0" borderId="9" xfId="1" applyFont="1" applyFill="1" applyBorder="1" applyAlignment="1">
      <alignment horizontal="center"/>
    </xf>
    <xf numFmtId="9" fontId="68" fillId="0" borderId="16" xfId="1" applyFont="1" applyFill="1" applyBorder="1" applyAlignment="1">
      <alignment horizontal="center"/>
    </xf>
    <xf numFmtId="9" fontId="68" fillId="0" borderId="15" xfId="1" applyFont="1" applyFill="1" applyBorder="1" applyAlignment="1">
      <alignment horizontal="center"/>
    </xf>
    <xf numFmtId="192" fontId="70" fillId="0" borderId="19" xfId="0" applyNumberFormat="1" applyFont="1" applyBorder="1" applyAlignment="1">
      <alignment horizontal="left"/>
    </xf>
    <xf numFmtId="9" fontId="68" fillId="0" borderId="0" xfId="1" applyFont="1" applyBorder="1" applyAlignment="1">
      <alignment horizontal="center"/>
    </xf>
    <xf numFmtId="188" fontId="68" fillId="0" borderId="19" xfId="3" applyNumberFormat="1" applyFont="1" applyFill="1" applyBorder="1" applyAlignment="1">
      <alignment horizontal="center"/>
    </xf>
    <xf numFmtId="192" fontId="81" fillId="0" borderId="19" xfId="0" quotePrefix="1" applyNumberFormat="1" applyFont="1" applyBorder="1" applyAlignment="1">
      <alignment horizontal="left"/>
    </xf>
    <xf numFmtId="192" fontId="68" fillId="0" borderId="1" xfId="0" applyNumberFormat="1" applyFont="1" applyBorder="1" applyAlignment="1">
      <alignment horizontal="center"/>
    </xf>
    <xf numFmtId="192" fontId="68" fillId="0" borderId="12" xfId="0" applyNumberFormat="1" applyFont="1" applyBorder="1" applyAlignment="1">
      <alignment horizontal="center"/>
    </xf>
    <xf numFmtId="37" fontId="68" fillId="0" borderId="12" xfId="0" applyNumberFormat="1" applyFont="1" applyBorder="1" applyAlignment="1">
      <alignment horizontal="center"/>
    </xf>
    <xf numFmtId="37" fontId="68" fillId="0" borderId="1" xfId="0" applyNumberFormat="1" applyFont="1" applyBorder="1" applyAlignment="1">
      <alignment horizontal="center"/>
    </xf>
    <xf numFmtId="37" fontId="75" fillId="0" borderId="12" xfId="0" applyNumberFormat="1" applyFont="1" applyBorder="1" applyAlignment="1">
      <alignment horizontal="center"/>
    </xf>
    <xf numFmtId="188" fontId="75" fillId="0" borderId="12" xfId="0" applyNumberFormat="1" applyFont="1" applyBorder="1" applyAlignment="1">
      <alignment horizontal="center"/>
    </xf>
    <xf numFmtId="188" fontId="68" fillId="0" borderId="12" xfId="0" applyNumberFormat="1" applyFont="1" applyBorder="1" applyAlignment="1">
      <alignment horizontal="center"/>
    </xf>
    <xf numFmtId="188" fontId="68" fillId="0" borderId="11" xfId="0" applyNumberFormat="1" applyFont="1" applyBorder="1" applyAlignment="1">
      <alignment horizontal="center"/>
    </xf>
    <xf numFmtId="192" fontId="68" fillId="0" borderId="11" xfId="0" applyNumberFormat="1" applyFont="1" applyBorder="1" applyAlignment="1">
      <alignment horizontal="center"/>
    </xf>
    <xf numFmtId="188" fontId="75" fillId="0" borderId="1" xfId="0" applyNumberFormat="1" applyFont="1" applyBorder="1" applyAlignment="1">
      <alignment horizontal="center"/>
    </xf>
    <xf numFmtId="37" fontId="76" fillId="0" borderId="12" xfId="0" applyNumberFormat="1" applyFont="1" applyBorder="1" applyAlignment="1">
      <alignment horizontal="center"/>
    </xf>
    <xf numFmtId="188" fontId="76" fillId="0" borderId="12" xfId="0" applyNumberFormat="1" applyFont="1" applyBorder="1" applyAlignment="1">
      <alignment horizontal="center"/>
    </xf>
    <xf numFmtId="188" fontId="70" fillId="0" borderId="19" xfId="3" applyNumberFormat="1" applyFont="1" applyFill="1" applyBorder="1" applyAlignment="1">
      <alignment horizontal="center"/>
    </xf>
    <xf numFmtId="188" fontId="76" fillId="0" borderId="1" xfId="0" applyNumberFormat="1" applyFont="1" applyBorder="1" applyAlignment="1">
      <alignment horizontal="center"/>
    </xf>
    <xf numFmtId="192" fontId="82" fillId="0" borderId="0" xfId="0" applyNumberFormat="1" applyFont="1" applyAlignment="1">
      <alignment horizontal="center"/>
    </xf>
    <xf numFmtId="192" fontId="74" fillId="12" borderId="17" xfId="0" applyNumberFormat="1" applyFont="1" applyFill="1" applyBorder="1" applyAlignment="1">
      <alignment horizontal="left"/>
    </xf>
    <xf numFmtId="192" fontId="72" fillId="12" borderId="0" xfId="0" applyNumberFormat="1" applyFont="1" applyFill="1" applyAlignment="1">
      <alignment horizontal="center"/>
    </xf>
    <xf numFmtId="192" fontId="72" fillId="12" borderId="8" xfId="0" applyNumberFormat="1" applyFont="1" applyFill="1" applyBorder="1" applyAlignment="1">
      <alignment horizontal="center"/>
    </xf>
    <xf numFmtId="192" fontId="72" fillId="12" borderId="10" xfId="0" applyNumberFormat="1" applyFont="1" applyFill="1" applyBorder="1" applyAlignment="1">
      <alignment horizontal="center"/>
    </xf>
    <xf numFmtId="192" fontId="72" fillId="12" borderId="16" xfId="0" applyNumberFormat="1" applyFont="1" applyFill="1" applyBorder="1" applyAlignment="1">
      <alignment horizontal="center"/>
    </xf>
    <xf numFmtId="192" fontId="72" fillId="12" borderId="9" xfId="0" applyNumberFormat="1" applyFont="1" applyFill="1" applyBorder="1" applyAlignment="1">
      <alignment horizontal="center"/>
    </xf>
    <xf numFmtId="192" fontId="72" fillId="12" borderId="15" xfId="0" applyNumberFormat="1" applyFont="1" applyFill="1" applyBorder="1" applyAlignment="1">
      <alignment horizontal="center"/>
    </xf>
    <xf numFmtId="192" fontId="73" fillId="0" borderId="19" xfId="0" applyNumberFormat="1" applyFont="1" applyBorder="1" applyAlignment="1">
      <alignment horizontal="center"/>
    </xf>
    <xf numFmtId="192" fontId="68" fillId="12" borderId="9" xfId="0" applyNumberFormat="1" applyFont="1" applyFill="1" applyBorder="1" applyAlignment="1">
      <alignment horizontal="center"/>
    </xf>
    <xf numFmtId="192" fontId="0" fillId="0" borderId="10" xfId="0" applyNumberFormat="1" applyBorder="1"/>
    <xf numFmtId="192" fontId="0" fillId="0" borderId="0" xfId="0" applyNumberFormat="1"/>
    <xf numFmtId="192" fontId="81" fillId="0" borderId="19" xfId="0" applyNumberFormat="1" applyFont="1" applyBorder="1" applyAlignment="1">
      <alignment horizontal="left"/>
    </xf>
    <xf numFmtId="192" fontId="81" fillId="0" borderId="0" xfId="0" applyNumberFormat="1" applyFont="1" applyAlignment="1">
      <alignment horizontal="center"/>
    </xf>
    <xf numFmtId="192" fontId="81" fillId="0" borderId="8" xfId="0" applyNumberFormat="1" applyFont="1" applyBorder="1" applyAlignment="1">
      <alignment horizontal="center"/>
    </xf>
    <xf numFmtId="192" fontId="81" fillId="0" borderId="10" xfId="0" applyNumberFormat="1" applyFont="1" applyBorder="1" applyAlignment="1">
      <alignment horizontal="center"/>
    </xf>
    <xf numFmtId="197" fontId="68" fillId="0" borderId="19" xfId="0" applyNumberFormat="1" applyFont="1" applyBorder="1" applyAlignment="1">
      <alignment horizontal="center"/>
    </xf>
    <xf numFmtId="192" fontId="83" fillId="0" borderId="7" xfId="0" applyNumberFormat="1" applyFont="1" applyBorder="1" applyAlignment="1">
      <alignment horizontal="center"/>
    </xf>
    <xf numFmtId="192" fontId="83" fillId="0" borderId="22" xfId="0" applyNumberFormat="1" applyFont="1" applyBorder="1" applyAlignment="1">
      <alignment horizontal="center"/>
    </xf>
    <xf numFmtId="188" fontId="83" fillId="0" borderId="7" xfId="0" applyNumberFormat="1" applyFont="1" applyBorder="1" applyAlignment="1">
      <alignment horizontal="center"/>
    </xf>
    <xf numFmtId="188" fontId="83" fillId="0" borderId="22" xfId="0" applyNumberFormat="1" applyFont="1" applyBorder="1" applyAlignment="1">
      <alignment horizontal="center"/>
    </xf>
    <xf numFmtId="188" fontId="76" fillId="0" borderId="22" xfId="0" applyNumberFormat="1" applyFont="1" applyBorder="1" applyAlignment="1">
      <alignment horizontal="center"/>
    </xf>
    <xf numFmtId="188" fontId="83" fillId="0" borderId="23" xfId="0" applyNumberFormat="1" applyFont="1" applyBorder="1" applyAlignment="1">
      <alignment horizontal="center"/>
    </xf>
    <xf numFmtId="192" fontId="83" fillId="0" borderId="23" xfId="0" applyNumberFormat="1" applyFont="1" applyBorder="1" applyAlignment="1">
      <alignment horizontal="center"/>
    </xf>
    <xf numFmtId="192" fontId="83" fillId="0" borderId="0" xfId="0" applyNumberFormat="1" applyFont="1" applyAlignment="1">
      <alignment horizontal="center"/>
    </xf>
    <xf numFmtId="192" fontId="83" fillId="0" borderId="8" xfId="0" applyNumberFormat="1" applyFont="1" applyBorder="1" applyAlignment="1">
      <alignment horizontal="center"/>
    </xf>
    <xf numFmtId="192" fontId="83" fillId="0" borderId="10" xfId="0" applyNumberFormat="1" applyFont="1" applyBorder="1" applyAlignment="1">
      <alignment horizontal="center"/>
    </xf>
    <xf numFmtId="188" fontId="83" fillId="0" borderId="0" xfId="0" applyNumberFormat="1" applyFont="1" applyAlignment="1">
      <alignment horizontal="center"/>
    </xf>
    <xf numFmtId="188" fontId="81" fillId="0" borderId="0" xfId="0" applyNumberFormat="1" applyFont="1" applyAlignment="1">
      <alignment horizontal="center"/>
    </xf>
    <xf numFmtId="188" fontId="81" fillId="0" borderId="8" xfId="0" applyNumberFormat="1" applyFont="1" applyBorder="1" applyAlignment="1">
      <alignment horizontal="center"/>
    </xf>
    <xf numFmtId="188" fontId="84" fillId="0" borderId="0" xfId="0" applyNumberFormat="1" applyFont="1" applyAlignment="1">
      <alignment horizontal="center"/>
    </xf>
    <xf numFmtId="188" fontId="81" fillId="0" borderId="10" xfId="0" applyNumberFormat="1" applyFont="1" applyBorder="1" applyAlignment="1">
      <alignment horizontal="center"/>
    </xf>
    <xf numFmtId="188" fontId="73" fillId="0" borderId="10" xfId="0" applyNumberFormat="1" applyFont="1" applyBorder="1" applyAlignment="1">
      <alignment horizontal="center"/>
    </xf>
    <xf numFmtId="192" fontId="70" fillId="0" borderId="26" xfId="0" applyNumberFormat="1" applyFont="1" applyBorder="1" applyAlignment="1">
      <alignment horizontal="left"/>
    </xf>
    <xf numFmtId="192" fontId="83" fillId="0" borderId="27" xfId="0" applyNumberFormat="1" applyFont="1" applyBorder="1" applyAlignment="1">
      <alignment horizontal="center"/>
    </xf>
    <xf numFmtId="192" fontId="83" fillId="0" borderId="28" xfId="0" applyNumberFormat="1" applyFont="1" applyBorder="1" applyAlignment="1">
      <alignment horizontal="center"/>
    </xf>
    <xf numFmtId="188" fontId="83" fillId="0" borderId="27" xfId="0" applyNumberFormat="1" applyFont="1" applyBorder="1" applyAlignment="1">
      <alignment horizontal="center"/>
    </xf>
    <xf numFmtId="188" fontId="83" fillId="0" borderId="28" xfId="0" applyNumberFormat="1" applyFont="1" applyBorder="1" applyAlignment="1">
      <alignment horizontal="center"/>
    </xf>
    <xf numFmtId="188" fontId="83" fillId="0" borderId="29" xfId="0" applyNumberFormat="1" applyFont="1" applyBorder="1" applyAlignment="1">
      <alignment horizontal="center"/>
    </xf>
    <xf numFmtId="192" fontId="68" fillId="0" borderId="26" xfId="0" applyNumberFormat="1" applyFont="1" applyBorder="1" applyAlignment="1">
      <alignment horizontal="center"/>
    </xf>
    <xf numFmtId="192" fontId="83" fillId="0" borderId="29" xfId="0" applyNumberFormat="1" applyFont="1" applyBorder="1" applyAlignment="1">
      <alignment horizontal="center"/>
    </xf>
    <xf numFmtId="188" fontId="76" fillId="0" borderId="27" xfId="0" applyNumberFormat="1" applyFont="1" applyBorder="1" applyAlignment="1">
      <alignment horizontal="center"/>
    </xf>
    <xf numFmtId="188" fontId="70" fillId="0" borderId="27" xfId="0" applyNumberFormat="1" applyFont="1" applyBorder="1" applyAlignment="1">
      <alignment horizontal="center"/>
    </xf>
    <xf numFmtId="0" fontId="68" fillId="0" borderId="19" xfId="0" applyFont="1" applyBorder="1" applyAlignment="1">
      <alignment horizontal="left"/>
    </xf>
    <xf numFmtId="195" fontId="85" fillId="0" borderId="0" xfId="0" quotePrefix="1" applyNumberFormat="1" applyFont="1" applyAlignment="1">
      <alignment horizontal="left"/>
    </xf>
    <xf numFmtId="195" fontId="85" fillId="0" borderId="0" xfId="0" applyNumberFormat="1" applyFont="1" applyAlignment="1">
      <alignment horizontal="center"/>
    </xf>
    <xf numFmtId="0" fontId="85" fillId="0" borderId="19" xfId="0" applyFont="1" applyBorder="1" applyAlignment="1">
      <alignment horizontal="left"/>
    </xf>
    <xf numFmtId="0" fontId="85" fillId="0" borderId="0" xfId="0" applyFont="1" applyAlignment="1">
      <alignment horizontal="center"/>
    </xf>
    <xf numFmtId="0" fontId="85" fillId="0" borderId="8" xfId="0" applyFont="1" applyBorder="1" applyAlignment="1">
      <alignment horizontal="center"/>
    </xf>
    <xf numFmtId="198" fontId="73" fillId="0" borderId="0" xfId="0" applyNumberFormat="1" applyFont="1" applyAlignment="1">
      <alignment horizontal="center"/>
    </xf>
    <xf numFmtId="188" fontId="85" fillId="0" borderId="0" xfId="0" applyNumberFormat="1" applyFont="1" applyAlignment="1">
      <alignment horizontal="center"/>
    </xf>
    <xf numFmtId="0" fontId="85" fillId="0" borderId="10" xfId="0" applyFont="1" applyBorder="1" applyAlignment="1">
      <alignment horizontal="center"/>
    </xf>
    <xf numFmtId="192" fontId="85" fillId="0" borderId="19" xfId="0" applyNumberFormat="1" applyFont="1" applyBorder="1" applyAlignment="1">
      <alignment horizontal="center"/>
    </xf>
    <xf numFmtId="0" fontId="85" fillId="0" borderId="0" xfId="0" applyFont="1" applyAlignment="1">
      <alignment vertical="center"/>
    </xf>
    <xf numFmtId="0" fontId="73" fillId="0" borderId="0" xfId="0" applyFont="1"/>
    <xf numFmtId="0" fontId="80" fillId="13" borderId="19" xfId="0" applyFont="1" applyFill="1" applyBorder="1"/>
    <xf numFmtId="199" fontId="73" fillId="0" borderId="0" xfId="0" applyNumberFormat="1" applyFont="1" applyAlignment="1">
      <alignment horizontal="center"/>
    </xf>
    <xf numFmtId="0" fontId="73" fillId="0" borderId="8" xfId="0" applyFont="1" applyBorder="1" applyAlignment="1">
      <alignment horizontal="center"/>
    </xf>
    <xf numFmtId="199" fontId="73" fillId="0" borderId="10" xfId="0" applyNumberFormat="1" applyFont="1" applyBorder="1" applyAlignment="1">
      <alignment horizontal="center"/>
    </xf>
    <xf numFmtId="0" fontId="73" fillId="0" borderId="10" xfId="0" applyFont="1" applyBorder="1" applyAlignment="1">
      <alignment horizontal="center"/>
    </xf>
    <xf numFmtId="199" fontId="68" fillId="0" borderId="0" xfId="0" applyNumberFormat="1" applyFont="1" applyAlignment="1">
      <alignment horizontal="center"/>
    </xf>
    <xf numFmtId="192" fontId="73" fillId="0" borderId="0" xfId="0" applyNumberFormat="1" applyFont="1"/>
    <xf numFmtId="192" fontId="83" fillId="0" borderId="19" xfId="0" applyNumberFormat="1" applyFont="1" applyBorder="1"/>
    <xf numFmtId="192" fontId="73" fillId="0" borderId="10" xfId="0" applyNumberFormat="1" applyFont="1" applyBorder="1" applyAlignment="1">
      <alignment horizontal="center"/>
    </xf>
    <xf numFmtId="188" fontId="83" fillId="0" borderId="10" xfId="0" applyNumberFormat="1" applyFont="1" applyBorder="1" applyAlignment="1">
      <alignment horizontal="center"/>
    </xf>
    <xf numFmtId="188" fontId="83" fillId="0" borderId="8" xfId="0" applyNumberFormat="1" applyFont="1" applyBorder="1" applyAlignment="1">
      <alignment horizontal="center"/>
    </xf>
    <xf numFmtId="181" fontId="0" fillId="0" borderId="0" xfId="1" applyNumberFormat="1" applyFont="1" applyFill="1"/>
    <xf numFmtId="181" fontId="73" fillId="0" borderId="0" xfId="1" applyNumberFormat="1" applyFont="1" applyFill="1"/>
    <xf numFmtId="181" fontId="73" fillId="0" borderId="19" xfId="1" applyNumberFormat="1" applyFont="1" applyBorder="1" applyAlignment="1">
      <alignment horizontal="left" indent="2"/>
    </xf>
    <xf numFmtId="181" fontId="73" fillId="0" borderId="0" xfId="1" applyNumberFormat="1" applyFont="1" applyBorder="1" applyAlignment="1">
      <alignment horizontal="center"/>
    </xf>
    <xf numFmtId="181" fontId="73" fillId="0" borderId="8" xfId="1" applyNumberFormat="1" applyFont="1" applyBorder="1" applyAlignment="1">
      <alignment horizontal="center"/>
    </xf>
    <xf numFmtId="181" fontId="73" fillId="0" borderId="10" xfId="1" applyNumberFormat="1" applyFont="1" applyBorder="1" applyAlignment="1">
      <alignment horizontal="center"/>
    </xf>
    <xf numFmtId="181" fontId="68" fillId="0" borderId="0" xfId="1" applyNumberFormat="1" applyFont="1" applyBorder="1" applyAlignment="1">
      <alignment horizontal="center"/>
    </xf>
    <xf numFmtId="181" fontId="68" fillId="0" borderId="10" xfId="1" applyNumberFormat="1" applyFont="1" applyBorder="1" applyAlignment="1">
      <alignment horizontal="center"/>
    </xf>
    <xf numFmtId="181" fontId="68" fillId="0" borderId="8" xfId="1" applyNumberFormat="1" applyFont="1" applyBorder="1" applyAlignment="1">
      <alignment horizontal="center"/>
    </xf>
    <xf numFmtId="181" fontId="86" fillId="0" borderId="0" xfId="1" applyNumberFormat="1" applyFont="1" applyBorder="1" applyAlignment="1">
      <alignment horizontal="center"/>
    </xf>
    <xf numFmtId="181" fontId="86" fillId="0" borderId="8" xfId="1" applyNumberFormat="1" applyFont="1" applyBorder="1" applyAlignment="1">
      <alignment horizontal="center"/>
    </xf>
    <xf numFmtId="181" fontId="73" fillId="0" borderId="0" xfId="1" applyNumberFormat="1" applyFont="1" applyAlignment="1">
      <alignment horizontal="center"/>
    </xf>
    <xf numFmtId="181" fontId="73" fillId="0" borderId="0" xfId="1" applyNumberFormat="1" applyFont="1"/>
    <xf numFmtId="181" fontId="68" fillId="0" borderId="0" xfId="1" applyNumberFormat="1" applyFont="1" applyFill="1" applyBorder="1" applyAlignment="1">
      <alignment horizontal="center"/>
    </xf>
    <xf numFmtId="181" fontId="77" fillId="0" borderId="10" xfId="1" applyNumberFormat="1" applyFont="1" applyBorder="1" applyAlignment="1">
      <alignment horizontal="center"/>
    </xf>
    <xf numFmtId="181" fontId="77" fillId="0" borderId="0" xfId="1" applyNumberFormat="1" applyFont="1" applyFill="1" applyBorder="1" applyAlignment="1">
      <alignment horizontal="center"/>
    </xf>
    <xf numFmtId="195" fontId="73" fillId="0" borderId="19" xfId="0" applyNumberFormat="1" applyFont="1" applyBorder="1" applyAlignment="1">
      <alignment horizontal="left"/>
    </xf>
    <xf numFmtId="192" fontId="68" fillId="0" borderId="0" xfId="6" applyNumberFormat="1" applyFont="1" applyFill="1" applyBorder="1" applyAlignment="1">
      <alignment horizontal="center"/>
    </xf>
    <xf numFmtId="192" fontId="68" fillId="0" borderId="8" xfId="6" applyNumberFormat="1" applyFont="1" applyFill="1" applyBorder="1" applyAlignment="1">
      <alignment horizontal="center"/>
    </xf>
    <xf numFmtId="192" fontId="68" fillId="0" borderId="10" xfId="6" applyNumberFormat="1" applyFont="1" applyFill="1" applyBorder="1" applyAlignment="1">
      <alignment horizontal="center"/>
    </xf>
    <xf numFmtId="192" fontId="86" fillId="0" borderId="0" xfId="6" applyNumberFormat="1" applyFont="1" applyFill="1" applyBorder="1" applyAlignment="1">
      <alignment horizontal="center"/>
    </xf>
    <xf numFmtId="195" fontId="87" fillId="0" borderId="10" xfId="7" applyNumberFormat="1" applyFont="1" applyFill="1" applyBorder="1" applyAlignment="1">
      <alignment horizontal="center"/>
    </xf>
    <xf numFmtId="195" fontId="87" fillId="0" borderId="0" xfId="7" applyNumberFormat="1" applyFont="1" applyFill="1" applyBorder="1" applyAlignment="1">
      <alignment horizontal="center"/>
    </xf>
    <xf numFmtId="181" fontId="0" fillId="0" borderId="0" xfId="7" applyNumberFormat="1" applyFont="1" applyFill="1"/>
    <xf numFmtId="181" fontId="73" fillId="0" borderId="0" xfId="7" applyNumberFormat="1" applyFont="1" applyFill="1"/>
    <xf numFmtId="181" fontId="73" fillId="0" borderId="19" xfId="7" applyNumberFormat="1" applyFont="1" applyBorder="1" applyAlignment="1">
      <alignment horizontal="left" indent="2"/>
    </xf>
    <xf numFmtId="181" fontId="73" fillId="0" borderId="0" xfId="7" applyNumberFormat="1" applyFont="1" applyBorder="1" applyAlignment="1">
      <alignment horizontal="center"/>
    </xf>
    <xf numFmtId="181" fontId="73" fillId="0" borderId="8" xfId="7" applyNumberFormat="1" applyFont="1" applyBorder="1" applyAlignment="1">
      <alignment horizontal="center"/>
    </xf>
    <xf numFmtId="181" fontId="73" fillId="0" borderId="10" xfId="7" applyNumberFormat="1" applyFont="1" applyBorder="1" applyAlignment="1">
      <alignment horizontal="center"/>
    </xf>
    <xf numFmtId="181" fontId="77" fillId="0" borderId="0" xfId="7" applyNumberFormat="1" applyFont="1" applyBorder="1" applyAlignment="1">
      <alignment horizontal="center"/>
    </xf>
    <xf numFmtId="181" fontId="86" fillId="0" borderId="0" xfId="7" applyNumberFormat="1" applyFont="1" applyBorder="1" applyAlignment="1">
      <alignment horizontal="center"/>
    </xf>
    <xf numFmtId="181" fontId="86" fillId="0" borderId="8" xfId="7" applyNumberFormat="1" applyFont="1" applyBorder="1" applyAlignment="1">
      <alignment horizontal="center"/>
    </xf>
    <xf numFmtId="181" fontId="68" fillId="0" borderId="0" xfId="7" applyNumberFormat="1" applyFont="1" applyBorder="1" applyAlignment="1">
      <alignment horizontal="center"/>
    </xf>
    <xf numFmtId="181" fontId="73" fillId="0" borderId="0" xfId="7" applyNumberFormat="1" applyFont="1" applyAlignment="1">
      <alignment horizontal="center"/>
    </xf>
    <xf numFmtId="181" fontId="73" fillId="0" borderId="0" xfId="7" applyNumberFormat="1" applyFont="1"/>
    <xf numFmtId="0" fontId="83" fillId="0" borderId="19" xfId="0" applyFont="1" applyBorder="1"/>
    <xf numFmtId="192" fontId="73" fillId="0" borderId="19" xfId="0" applyNumberFormat="1" applyFont="1" applyBorder="1"/>
    <xf numFmtId="192" fontId="73" fillId="0" borderId="19" xfId="0" quotePrefix="1" applyNumberFormat="1" applyFont="1" applyBorder="1"/>
    <xf numFmtId="192" fontId="73" fillId="0" borderId="1" xfId="0" applyNumberFormat="1" applyFont="1" applyBorder="1" applyAlignment="1">
      <alignment horizontal="center"/>
    </xf>
    <xf numFmtId="192" fontId="73" fillId="0" borderId="12" xfId="0" applyNumberFormat="1" applyFont="1" applyBorder="1" applyAlignment="1">
      <alignment horizontal="center"/>
    </xf>
    <xf numFmtId="188" fontId="73" fillId="0" borderId="11" xfId="0" applyNumberFormat="1" applyFont="1" applyBorder="1" applyAlignment="1">
      <alignment horizontal="center"/>
    </xf>
    <xf numFmtId="188" fontId="73" fillId="0" borderId="1" xfId="0" applyNumberFormat="1" applyFont="1" applyBorder="1" applyAlignment="1">
      <alignment horizontal="center"/>
    </xf>
    <xf numFmtId="188" fontId="73" fillId="0" borderId="12" xfId="0" applyNumberFormat="1" applyFont="1" applyBorder="1" applyAlignment="1">
      <alignment horizontal="center"/>
    </xf>
    <xf numFmtId="188" fontId="86" fillId="0" borderId="12" xfId="0" applyNumberFormat="1" applyFont="1" applyBorder="1" applyAlignment="1">
      <alignment horizontal="center"/>
    </xf>
    <xf numFmtId="192" fontId="86" fillId="0" borderId="1" xfId="0" applyNumberFormat="1" applyFont="1" applyBorder="1" applyAlignment="1">
      <alignment horizontal="center"/>
    </xf>
    <xf numFmtId="192" fontId="86" fillId="0" borderId="12" xfId="0" applyNumberFormat="1" applyFont="1" applyBorder="1" applyAlignment="1">
      <alignment horizontal="center"/>
    </xf>
    <xf numFmtId="192" fontId="73" fillId="0" borderId="11" xfId="0" applyNumberFormat="1" applyFont="1" applyBorder="1" applyAlignment="1">
      <alignment horizontal="center"/>
    </xf>
    <xf numFmtId="188" fontId="86" fillId="0" borderId="1" xfId="0" applyNumberFormat="1" applyFont="1" applyBorder="1" applyAlignment="1">
      <alignment horizontal="center"/>
    </xf>
    <xf numFmtId="192" fontId="83" fillId="0" borderId="19" xfId="0" quotePrefix="1" applyNumberFormat="1" applyFont="1" applyBorder="1"/>
    <xf numFmtId="181" fontId="73" fillId="0" borderId="19" xfId="7" quotePrefix="1" applyNumberFormat="1" applyFont="1" applyBorder="1" applyAlignment="1">
      <alignment horizontal="left" indent="3"/>
    </xf>
    <xf numFmtId="181" fontId="68" fillId="0" borderId="10" xfId="7" applyNumberFormat="1" applyFont="1" applyBorder="1" applyAlignment="1">
      <alignment horizontal="center"/>
    </xf>
    <xf numFmtId="181" fontId="68" fillId="0" borderId="8" xfId="7" applyNumberFormat="1" applyFont="1" applyBorder="1" applyAlignment="1">
      <alignment horizontal="center"/>
    </xf>
    <xf numFmtId="181" fontId="73" fillId="0" borderId="0" xfId="7" applyNumberFormat="1" applyFont="1" applyFill="1" applyBorder="1" applyAlignment="1">
      <alignment horizontal="center"/>
    </xf>
    <xf numFmtId="181" fontId="77" fillId="0" borderId="10" xfId="7" applyNumberFormat="1" applyFont="1" applyBorder="1" applyAlignment="1">
      <alignment horizontal="center"/>
    </xf>
    <xf numFmtId="181" fontId="77" fillId="0" borderId="0" xfId="7" applyNumberFormat="1" applyFont="1" applyFill="1" applyBorder="1" applyAlignment="1">
      <alignment horizontal="center"/>
    </xf>
    <xf numFmtId="181" fontId="68" fillId="0" borderId="0" xfId="0" applyNumberFormat="1" applyFont="1" applyAlignment="1">
      <alignment horizontal="center"/>
    </xf>
    <xf numFmtId="181" fontId="73" fillId="0" borderId="19" xfId="0" applyNumberFormat="1" applyFont="1" applyBorder="1" applyAlignment="1">
      <alignment horizontal="left" indent="2"/>
    </xf>
    <xf numFmtId="181" fontId="73" fillId="0" borderId="0" xfId="7" applyNumberFormat="1" applyFont="1" applyFill="1" applyAlignment="1">
      <alignment horizontal="center"/>
    </xf>
    <xf numFmtId="181" fontId="73" fillId="0" borderId="8" xfId="7" applyNumberFormat="1" applyFont="1" applyFill="1" applyBorder="1" applyAlignment="1">
      <alignment horizontal="center"/>
    </xf>
    <xf numFmtId="181" fontId="73" fillId="0" borderId="10" xfId="7" applyNumberFormat="1" applyFont="1" applyFill="1" applyBorder="1" applyAlignment="1">
      <alignment horizontal="center"/>
    </xf>
    <xf numFmtId="188" fontId="68" fillId="0" borderId="0" xfId="6" applyNumberFormat="1" applyFont="1" applyFill="1" applyBorder="1" applyAlignment="1">
      <alignment horizontal="center"/>
    </xf>
    <xf numFmtId="188" fontId="68" fillId="0" borderId="8" xfId="6" applyNumberFormat="1" applyFont="1" applyFill="1" applyBorder="1" applyAlignment="1">
      <alignment horizontal="center"/>
    </xf>
    <xf numFmtId="188" fontId="68" fillId="0" borderId="10" xfId="6" applyNumberFormat="1" applyFont="1" applyFill="1" applyBorder="1" applyAlignment="1">
      <alignment horizontal="center"/>
    </xf>
    <xf numFmtId="188" fontId="86" fillId="0" borderId="0" xfId="0" applyNumberFormat="1" applyFont="1" applyAlignment="1">
      <alignment horizontal="center"/>
    </xf>
    <xf numFmtId="188" fontId="86" fillId="0" borderId="8" xfId="0" applyNumberFormat="1" applyFont="1" applyBorder="1" applyAlignment="1">
      <alignment horizontal="center"/>
    </xf>
    <xf numFmtId="188" fontId="73" fillId="0" borderId="0" xfId="7" applyNumberFormat="1" applyFont="1" applyFill="1" applyAlignment="1">
      <alignment horizontal="center"/>
    </xf>
    <xf numFmtId="188" fontId="73" fillId="0" borderId="0" xfId="7" applyNumberFormat="1" applyFont="1" applyFill="1" applyBorder="1" applyAlignment="1">
      <alignment horizontal="center"/>
    </xf>
    <xf numFmtId="181" fontId="87" fillId="0" borderId="10" xfId="7" applyNumberFormat="1" applyFont="1" applyFill="1" applyBorder="1" applyAlignment="1">
      <alignment horizontal="center"/>
    </xf>
    <xf numFmtId="181" fontId="87" fillId="0" borderId="0" xfId="7" applyNumberFormat="1" applyFont="1" applyFill="1" applyBorder="1" applyAlignment="1">
      <alignment horizontal="center"/>
    </xf>
    <xf numFmtId="0" fontId="83" fillId="0" borderId="19" xfId="0" quotePrefix="1" applyFont="1" applyBorder="1"/>
    <xf numFmtId="188" fontId="73" fillId="0" borderId="19" xfId="0" applyNumberFormat="1" applyFont="1" applyBorder="1" applyAlignment="1">
      <alignment horizontal="center"/>
    </xf>
    <xf numFmtId="188" fontId="86" fillId="0" borderId="11" xfId="0" applyNumberFormat="1" applyFont="1" applyBorder="1" applyAlignment="1">
      <alignment horizontal="center"/>
    </xf>
    <xf numFmtId="181" fontId="86" fillId="0" borderId="10" xfId="7" applyNumberFormat="1" applyFont="1" applyBorder="1" applyAlignment="1">
      <alignment horizontal="center"/>
    </xf>
    <xf numFmtId="181" fontId="73" fillId="0" borderId="19" xfId="7" applyNumberFormat="1" applyFont="1" applyBorder="1" applyAlignment="1">
      <alignment horizontal="center"/>
    </xf>
    <xf numFmtId="192" fontId="86" fillId="0" borderId="0" xfId="0" applyNumberFormat="1" applyFont="1" applyAlignment="1">
      <alignment horizontal="center"/>
    </xf>
    <xf numFmtId="192" fontId="86" fillId="0" borderId="8" xfId="0" applyNumberFormat="1" applyFont="1" applyBorder="1" applyAlignment="1">
      <alignment horizontal="center"/>
    </xf>
    <xf numFmtId="181" fontId="73" fillId="0" borderId="19" xfId="7" quotePrefix="1" applyNumberFormat="1" applyFont="1" applyBorder="1"/>
    <xf numFmtId="181" fontId="75" fillId="0" borderId="0" xfId="7" applyNumberFormat="1" applyFont="1" applyBorder="1" applyAlignment="1">
      <alignment horizontal="center"/>
    </xf>
    <xf numFmtId="181" fontId="77" fillId="0" borderId="8" xfId="7" applyNumberFormat="1" applyFont="1" applyBorder="1" applyAlignment="1">
      <alignment horizontal="center"/>
    </xf>
    <xf numFmtId="0" fontId="73" fillId="0" borderId="19" xfId="0" applyFont="1" applyBorder="1"/>
    <xf numFmtId="192" fontId="75" fillId="0" borderId="0" xfId="0" applyNumberFormat="1" applyFont="1" applyAlignment="1">
      <alignment horizontal="center"/>
    </xf>
    <xf numFmtId="181" fontId="73" fillId="0" borderId="26" xfId="7" quotePrefix="1" applyNumberFormat="1" applyFont="1" applyBorder="1"/>
    <xf numFmtId="181" fontId="73" fillId="0" borderId="1" xfId="7" applyNumberFormat="1" applyFont="1" applyBorder="1" applyAlignment="1">
      <alignment horizontal="center"/>
    </xf>
    <xf numFmtId="181" fontId="73" fillId="0" borderId="11" xfId="7" applyNumberFormat="1" applyFont="1" applyBorder="1" applyAlignment="1">
      <alignment horizontal="center"/>
    </xf>
    <xf numFmtId="181" fontId="75" fillId="0" borderId="1" xfId="7" applyNumberFormat="1" applyFont="1" applyBorder="1" applyAlignment="1">
      <alignment horizontal="center"/>
    </xf>
    <xf numFmtId="181" fontId="73" fillId="0" borderId="12" xfId="7" applyNumberFormat="1" applyFont="1" applyBorder="1" applyAlignment="1">
      <alignment horizontal="center"/>
    </xf>
    <xf numFmtId="181" fontId="73" fillId="0" borderId="1" xfId="7" applyNumberFormat="1" applyFont="1" applyFill="1" applyBorder="1" applyAlignment="1">
      <alignment horizontal="center"/>
    </xf>
    <xf numFmtId="181" fontId="86" fillId="0" borderId="12" xfId="7" applyNumberFormat="1" applyFont="1" applyBorder="1" applyAlignment="1">
      <alignment horizontal="center"/>
    </xf>
    <xf numFmtId="181" fontId="77" fillId="0" borderId="11" xfId="7" applyNumberFormat="1" applyFont="1" applyBorder="1" applyAlignment="1">
      <alignment horizontal="center"/>
    </xf>
    <xf numFmtId="181" fontId="77" fillId="0" borderId="1" xfId="7" applyNumberFormat="1" applyFont="1" applyFill="1" applyBorder="1" applyAlignment="1">
      <alignment horizontal="center"/>
    </xf>
    <xf numFmtId="181" fontId="86" fillId="0" borderId="1" xfId="7" applyNumberFormat="1" applyFont="1" applyBorder="1" applyAlignment="1">
      <alignment horizontal="center"/>
    </xf>
    <xf numFmtId="181" fontId="68" fillId="0" borderId="1" xfId="7" applyNumberFormat="1" applyFont="1" applyBorder="1" applyAlignment="1">
      <alignment horizontal="center"/>
    </xf>
    <xf numFmtId="181" fontId="68" fillId="0" borderId="16" xfId="0" applyNumberFormat="1" applyFont="1" applyBorder="1" applyAlignment="1">
      <alignment horizontal="left"/>
    </xf>
    <xf numFmtId="181" fontId="68" fillId="0" borderId="9" xfId="0" applyNumberFormat="1" applyFont="1" applyBorder="1" applyAlignment="1">
      <alignment horizontal="center"/>
    </xf>
    <xf numFmtId="181" fontId="77" fillId="0" borderId="9" xfId="0" applyNumberFormat="1" applyFont="1" applyBorder="1" applyAlignment="1">
      <alignment horizontal="center"/>
    </xf>
    <xf numFmtId="181" fontId="77" fillId="0" borderId="16" xfId="0" applyNumberFormat="1" applyFont="1" applyBorder="1" applyAlignment="1">
      <alignment horizontal="center"/>
    </xf>
    <xf numFmtId="181" fontId="77" fillId="0" borderId="15" xfId="0" applyNumberFormat="1" applyFont="1" applyBorder="1" applyAlignment="1">
      <alignment horizontal="center"/>
    </xf>
    <xf numFmtId="181" fontId="77" fillId="0" borderId="0" xfId="0" applyNumberFormat="1" applyFont="1" applyAlignment="1">
      <alignment horizontal="center"/>
    </xf>
    <xf numFmtId="181" fontId="68" fillId="0" borderId="5" xfId="0" applyNumberFormat="1" applyFont="1" applyBorder="1" applyAlignment="1">
      <alignment horizontal="center"/>
    </xf>
    <xf numFmtId="181" fontId="77" fillId="0" borderId="5" xfId="0" applyNumberFormat="1" applyFont="1" applyBorder="1" applyAlignment="1">
      <alignment horizontal="center"/>
    </xf>
    <xf numFmtId="181" fontId="68" fillId="0" borderId="10" xfId="0" applyNumberFormat="1" applyFont="1" applyBorder="1" applyAlignment="1">
      <alignment horizontal="center"/>
    </xf>
    <xf numFmtId="0" fontId="82" fillId="0" borderId="0" xfId="0" applyFont="1" applyAlignment="1">
      <alignment horizontal="center"/>
    </xf>
    <xf numFmtId="0" fontId="74" fillId="12" borderId="17" xfId="0" applyFont="1" applyFill="1" applyBorder="1" applyAlignment="1">
      <alignment horizontal="left"/>
    </xf>
    <xf numFmtId="0" fontId="72" fillId="12" borderId="10" xfId="0" applyFont="1" applyFill="1" applyBorder="1" applyAlignment="1">
      <alignment horizontal="center"/>
    </xf>
    <xf numFmtId="0" fontId="68" fillId="12" borderId="9" xfId="0" applyFont="1" applyFill="1" applyBorder="1" applyAlignment="1">
      <alignment horizontal="center"/>
    </xf>
    <xf numFmtId="0" fontId="0" fillId="0" borderId="10" xfId="0" applyBorder="1"/>
    <xf numFmtId="0" fontId="81" fillId="0" borderId="19" xfId="0" applyFont="1" applyBorder="1" applyAlignment="1">
      <alignment horizontal="left"/>
    </xf>
    <xf numFmtId="0" fontId="81" fillId="0" borderId="0" xfId="0" applyFont="1" applyAlignment="1">
      <alignment horizontal="center"/>
    </xf>
    <xf numFmtId="0" fontId="81" fillId="0" borderId="8" xfId="0" applyFont="1" applyBorder="1" applyAlignment="1">
      <alignment horizontal="center"/>
    </xf>
    <xf numFmtId="0" fontId="81" fillId="0" borderId="10" xfId="0" applyFont="1" applyBorder="1" applyAlignment="1">
      <alignment horizontal="center"/>
    </xf>
    <xf numFmtId="192" fontId="85" fillId="0" borderId="0" xfId="0" quotePrefix="1" applyNumberFormat="1" applyFont="1" applyAlignment="1">
      <alignment horizontal="left"/>
    </xf>
    <xf numFmtId="192" fontId="85" fillId="0" borderId="0" xfId="0" applyNumberFormat="1" applyFont="1" applyAlignment="1">
      <alignment vertical="center"/>
    </xf>
    <xf numFmtId="192" fontId="88" fillId="0" borderId="19" xfId="0" applyNumberFormat="1" applyFont="1" applyBorder="1" applyAlignment="1">
      <alignment horizontal="left"/>
    </xf>
    <xf numFmtId="192" fontId="89" fillId="0" borderId="7" xfId="0" applyNumberFormat="1" applyFont="1" applyBorder="1" applyAlignment="1">
      <alignment horizontal="center"/>
    </xf>
    <xf numFmtId="192" fontId="89" fillId="0" borderId="22" xfId="0" applyNumberFormat="1" applyFont="1" applyBorder="1" applyAlignment="1">
      <alignment horizontal="center"/>
    </xf>
    <xf numFmtId="188" fontId="89" fillId="0" borderId="7" xfId="0" applyNumberFormat="1" applyFont="1" applyBorder="1" applyAlignment="1">
      <alignment horizontal="center"/>
    </xf>
    <xf numFmtId="188" fontId="89" fillId="0" borderId="22" xfId="0" applyNumberFormat="1" applyFont="1" applyBorder="1" applyAlignment="1">
      <alignment horizontal="center"/>
    </xf>
    <xf numFmtId="188" fontId="89" fillId="0" borderId="23" xfId="0" applyNumberFormat="1" applyFont="1" applyBorder="1" applyAlignment="1">
      <alignment horizontal="center"/>
    </xf>
    <xf numFmtId="192" fontId="89" fillId="0" borderId="23" xfId="0" applyNumberFormat="1" applyFont="1" applyBorder="1" applyAlignment="1">
      <alignment horizontal="center"/>
    </xf>
    <xf numFmtId="188" fontId="90" fillId="0" borderId="7" xfId="0" applyNumberFormat="1" applyFont="1" applyBorder="1" applyAlignment="1">
      <alignment horizontal="center"/>
    </xf>
    <xf numFmtId="188" fontId="88" fillId="0" borderId="7" xfId="0" applyNumberFormat="1" applyFont="1" applyBorder="1" applyAlignment="1">
      <alignment horizontal="center"/>
    </xf>
    <xf numFmtId="192" fontId="85" fillId="0" borderId="10" xfId="0" applyNumberFormat="1" applyFont="1" applyBorder="1" applyAlignment="1">
      <alignment horizontal="center"/>
    </xf>
    <xf numFmtId="192" fontId="85" fillId="0" borderId="0" xfId="0" applyNumberFormat="1" applyFont="1" applyAlignment="1">
      <alignment horizontal="center"/>
    </xf>
    <xf numFmtId="192" fontId="68" fillId="0" borderId="19" xfId="0" applyNumberFormat="1" applyFont="1" applyBorder="1" applyAlignment="1">
      <alignment horizontal="left" indent="1"/>
    </xf>
    <xf numFmtId="188" fontId="91" fillId="0" borderId="0" xfId="0" applyNumberFormat="1" applyFont="1" applyAlignment="1">
      <alignment horizontal="center"/>
    </xf>
    <xf numFmtId="188" fontId="91" fillId="0" borderId="8" xfId="0" applyNumberFormat="1" applyFont="1" applyBorder="1" applyAlignment="1">
      <alignment horizontal="center"/>
    </xf>
    <xf numFmtId="188" fontId="79" fillId="0" borderId="8" xfId="0" applyNumberFormat="1" applyFont="1" applyBorder="1" applyAlignment="1">
      <alignment horizontal="center"/>
    </xf>
    <xf numFmtId="197" fontId="81" fillId="0" borderId="0" xfId="0" applyNumberFormat="1" applyFont="1" applyAlignment="1">
      <alignment horizontal="center"/>
    </xf>
    <xf numFmtId="188" fontId="91" fillId="0" borderId="10" xfId="0" applyNumberFormat="1" applyFont="1" applyBorder="1" applyAlignment="1">
      <alignment horizontal="center"/>
    </xf>
    <xf numFmtId="188" fontId="69" fillId="0" borderId="0" xfId="0" applyNumberFormat="1" applyFont="1" applyAlignment="1">
      <alignment horizontal="center"/>
    </xf>
    <xf numFmtId="188" fontId="69" fillId="0" borderId="8" xfId="0" applyNumberFormat="1" applyFont="1" applyBorder="1" applyAlignment="1">
      <alignment horizontal="center"/>
    </xf>
    <xf numFmtId="188" fontId="69" fillId="0" borderId="25" xfId="0" applyNumberFormat="1" applyFont="1" applyBorder="1" applyAlignment="1">
      <alignment horizontal="center"/>
    </xf>
    <xf numFmtId="188" fontId="69" fillId="0" borderId="21" xfId="0" applyNumberFormat="1" applyFont="1" applyBorder="1" applyAlignment="1">
      <alignment horizontal="center"/>
    </xf>
    <xf numFmtId="192" fontId="69" fillId="0" borderId="0" xfId="0" applyNumberFormat="1" applyFont="1" applyAlignment="1">
      <alignment horizontal="center"/>
    </xf>
    <xf numFmtId="192" fontId="69" fillId="0" borderId="8" xfId="0" applyNumberFormat="1" applyFont="1" applyBorder="1" applyAlignment="1">
      <alignment horizontal="center"/>
    </xf>
    <xf numFmtId="196" fontId="73" fillId="0" borderId="0" xfId="0" applyNumberFormat="1" applyFont="1" applyAlignment="1">
      <alignment horizontal="center"/>
    </xf>
    <xf numFmtId="196" fontId="73" fillId="0" borderId="8" xfId="0" applyNumberFormat="1" applyFont="1" applyBorder="1" applyAlignment="1">
      <alignment horizontal="center"/>
    </xf>
    <xf numFmtId="196" fontId="73" fillId="0" borderId="10" xfId="0" applyNumberFormat="1" applyFont="1" applyBorder="1" applyAlignment="1">
      <alignment horizontal="center"/>
    </xf>
    <xf numFmtId="0" fontId="70" fillId="0" borderId="19" xfId="0" applyFont="1" applyBorder="1" applyAlignment="1">
      <alignment horizontal="left"/>
    </xf>
    <xf numFmtId="196" fontId="83" fillId="0" borderId="0" xfId="0" applyNumberFormat="1" applyFont="1" applyAlignment="1">
      <alignment horizontal="center"/>
    </xf>
    <xf numFmtId="196" fontId="83" fillId="0" borderId="8" xfId="0" applyNumberFormat="1" applyFont="1" applyBorder="1" applyAlignment="1">
      <alignment horizontal="center"/>
    </xf>
    <xf numFmtId="200" fontId="83" fillId="0" borderId="0" xfId="0" applyNumberFormat="1" applyFont="1" applyAlignment="1">
      <alignment horizontal="center"/>
    </xf>
    <xf numFmtId="200" fontId="83" fillId="0" borderId="8" xfId="0" applyNumberFormat="1" applyFont="1" applyBorder="1" applyAlignment="1">
      <alignment horizontal="center"/>
    </xf>
    <xf numFmtId="196" fontId="83" fillId="0" borderId="10" xfId="0" applyNumberFormat="1" applyFont="1" applyBorder="1" applyAlignment="1">
      <alignment horizontal="center"/>
    </xf>
    <xf numFmtId="181" fontId="68" fillId="0" borderId="0" xfId="7" quotePrefix="1" applyNumberFormat="1" applyFont="1" applyFill="1" applyBorder="1" applyAlignment="1">
      <alignment horizontal="left"/>
    </xf>
    <xf numFmtId="181" fontId="68" fillId="0" borderId="0" xfId="7" applyNumberFormat="1" applyFont="1" applyFill="1" applyBorder="1" applyAlignment="1">
      <alignment horizontal="center"/>
    </xf>
    <xf numFmtId="181" fontId="68" fillId="0" borderId="19" xfId="7" applyNumberFormat="1" applyFont="1" applyBorder="1" applyAlignment="1">
      <alignment horizontal="left"/>
    </xf>
    <xf numFmtId="181" fontId="68" fillId="0" borderId="19" xfId="7" applyNumberFormat="1" applyFont="1" applyFill="1" applyBorder="1" applyAlignment="1">
      <alignment horizontal="center"/>
    </xf>
    <xf numFmtId="188" fontId="68" fillId="0" borderId="0" xfId="7" applyNumberFormat="1" applyFont="1" applyBorder="1" applyAlignment="1">
      <alignment horizontal="center"/>
    </xf>
    <xf numFmtId="181" fontId="68" fillId="0" borderId="10" xfId="7" applyNumberFormat="1" applyFont="1" applyFill="1" applyBorder="1" applyAlignment="1">
      <alignment horizontal="center"/>
    </xf>
    <xf numFmtId="181" fontId="68" fillId="0" borderId="0" xfId="7" applyNumberFormat="1" applyFont="1" applyFill="1" applyBorder="1" applyAlignment="1">
      <alignment vertical="center"/>
    </xf>
    <xf numFmtId="181" fontId="70" fillId="0" borderId="19" xfId="7" applyNumberFormat="1" applyFont="1" applyBorder="1" applyAlignment="1">
      <alignment horizontal="left"/>
    </xf>
    <xf numFmtId="181" fontId="83" fillId="0" borderId="0" xfId="7" applyNumberFormat="1" applyFont="1" applyBorder="1" applyAlignment="1">
      <alignment horizontal="center"/>
    </xf>
    <xf numFmtId="181" fontId="83" fillId="0" borderId="8" xfId="7" applyNumberFormat="1" applyFont="1" applyBorder="1" applyAlignment="1">
      <alignment horizontal="center"/>
    </xf>
    <xf numFmtId="181" fontId="83" fillId="0" borderId="10" xfId="7" applyNumberFormat="1" applyFont="1" applyBorder="1" applyAlignment="1">
      <alignment horizontal="center"/>
    </xf>
    <xf numFmtId="181" fontId="70" fillId="0" borderId="0" xfId="7" applyNumberFormat="1" applyFont="1" applyBorder="1" applyAlignment="1">
      <alignment horizontal="center"/>
    </xf>
    <xf numFmtId="181" fontId="70" fillId="0" borderId="0" xfId="7" quotePrefix="1" applyNumberFormat="1" applyFont="1" applyFill="1" applyAlignment="1">
      <alignment horizontal="left"/>
    </xf>
    <xf numFmtId="181" fontId="70" fillId="0" borderId="0" xfId="7" applyNumberFormat="1" applyFont="1" applyFill="1" applyAlignment="1">
      <alignment horizontal="center"/>
    </xf>
    <xf numFmtId="181" fontId="70" fillId="0" borderId="26" xfId="7" applyNumberFormat="1" applyFont="1" applyBorder="1" applyAlignment="1">
      <alignment horizontal="left"/>
    </xf>
    <xf numFmtId="181" fontId="70" fillId="0" borderId="1" xfId="7" applyNumberFormat="1" applyFont="1" applyBorder="1" applyAlignment="1">
      <alignment horizontal="center"/>
    </xf>
    <xf numFmtId="181" fontId="70" fillId="0" borderId="12" xfId="7" applyNumberFormat="1" applyFont="1" applyBorder="1" applyAlignment="1">
      <alignment horizontal="center"/>
    </xf>
    <xf numFmtId="181" fontId="70" fillId="0" borderId="19" xfId="7" applyNumberFormat="1" applyFont="1" applyFill="1" applyBorder="1" applyAlignment="1">
      <alignment horizontal="center"/>
    </xf>
    <xf numFmtId="181" fontId="70" fillId="0" borderId="11" xfId="7" applyNumberFormat="1" applyFont="1" applyBorder="1" applyAlignment="1">
      <alignment horizontal="center"/>
    </xf>
    <xf numFmtId="181" fontId="70" fillId="0" borderId="10" xfId="7" applyNumberFormat="1" applyFont="1" applyFill="1" applyBorder="1" applyAlignment="1">
      <alignment horizontal="center"/>
    </xf>
    <xf numFmtId="181" fontId="70" fillId="0" borderId="0" xfId="7" applyNumberFormat="1" applyFont="1" applyFill="1" applyBorder="1" applyAlignment="1">
      <alignment horizontal="center"/>
    </xf>
    <xf numFmtId="181" fontId="70" fillId="0" borderId="0" xfId="7" applyNumberFormat="1" applyFont="1" applyFill="1" applyBorder="1" applyAlignment="1">
      <alignment vertical="center"/>
    </xf>
    <xf numFmtId="0" fontId="70" fillId="0" borderId="0" xfId="0" applyFont="1" applyAlignment="1">
      <alignment horizontal="left"/>
    </xf>
    <xf numFmtId="201" fontId="68" fillId="0" borderId="0" xfId="0" applyNumberFormat="1" applyFont="1" applyAlignment="1">
      <alignment horizontal="center"/>
    </xf>
    <xf numFmtId="0" fontId="80" fillId="0" borderId="0" xfId="0" applyFont="1"/>
    <xf numFmtId="0" fontId="73" fillId="0" borderId="0" xfId="0" applyFont="1" applyAlignment="1">
      <alignment horizontal="left"/>
    </xf>
    <xf numFmtId="0" fontId="86" fillId="0" borderId="0" xfId="0" applyFont="1" applyAlignment="1">
      <alignment horizontal="center"/>
    </xf>
    <xf numFmtId="181" fontId="86" fillId="0" borderId="0" xfId="7" applyNumberFormat="1" applyFont="1" applyAlignment="1">
      <alignment horizontal="center"/>
    </xf>
    <xf numFmtId="181" fontId="68" fillId="0" borderId="0" xfId="7" applyNumberFormat="1" applyFont="1" applyAlignment="1">
      <alignment horizontal="center"/>
    </xf>
    <xf numFmtId="181" fontId="73" fillId="0" borderId="0" xfId="7" applyNumberFormat="1" applyFont="1" applyAlignment="1">
      <alignment horizontal="left" indent="1"/>
    </xf>
    <xf numFmtId="181" fontId="77" fillId="0" borderId="0" xfId="7" applyNumberFormat="1" applyFont="1" applyAlignment="1">
      <alignment horizontal="center"/>
    </xf>
    <xf numFmtId="186" fontId="68" fillId="0" borderId="0" xfId="0" applyNumberFormat="1" applyFont="1"/>
    <xf numFmtId="0" fontId="68" fillId="0" borderId="0" xfId="0" applyFont="1" applyAlignment="1">
      <alignment horizontal="left"/>
    </xf>
    <xf numFmtId="0" fontId="92" fillId="0" borderId="0" xfId="0" applyFont="1"/>
    <xf numFmtId="0" fontId="93" fillId="0" borderId="0" xfId="0" applyFont="1" applyAlignment="1">
      <alignment horizontal="center"/>
    </xf>
    <xf numFmtId="0" fontId="47" fillId="0" borderId="0" xfId="0" applyFont="1" applyAlignment="1">
      <alignment horizontal="center"/>
    </xf>
    <xf numFmtId="188" fontId="94" fillId="0" borderId="0" xfId="0" applyNumberFormat="1" applyFont="1" applyAlignment="1">
      <alignment horizontal="center"/>
    </xf>
    <xf numFmtId="168" fontId="55" fillId="0" borderId="0" xfId="3" applyNumberFormat="1" applyFont="1" applyFill="1"/>
    <xf numFmtId="168" fontId="55" fillId="0" borderId="8" xfId="3" applyNumberFormat="1" applyFont="1" applyFill="1" applyBorder="1"/>
    <xf numFmtId="168" fontId="55" fillId="0" borderId="13" xfId="3" applyNumberFormat="1" applyFont="1" applyFill="1" applyBorder="1"/>
    <xf numFmtId="0" fontId="95" fillId="0" borderId="0" xfId="0" applyFont="1"/>
    <xf numFmtId="43" fontId="46" fillId="0" borderId="0" xfId="3" applyFont="1"/>
    <xf numFmtId="168" fontId="35" fillId="0" borderId="0" xfId="0" applyNumberFormat="1" applyFont="1"/>
    <xf numFmtId="9" fontId="35" fillId="0" borderId="0" xfId="0" applyNumberFormat="1" applyFont="1"/>
    <xf numFmtId="180" fontId="35" fillId="0" borderId="0" xfId="0" applyNumberFormat="1" applyFont="1"/>
    <xf numFmtId="0" fontId="96" fillId="0" borderId="0" xfId="0" applyFont="1"/>
    <xf numFmtId="172" fontId="85" fillId="0" borderId="0" xfId="0" applyNumberFormat="1" applyFont="1"/>
    <xf numFmtId="14" fontId="3" fillId="0" borderId="0" xfId="0" applyNumberFormat="1" applyFont="1" applyAlignment="1">
      <alignment horizontal="center"/>
    </xf>
    <xf numFmtId="0" fontId="97" fillId="0" borderId="0" xfId="0" applyFont="1"/>
    <xf numFmtId="0" fontId="97" fillId="0" borderId="1" xfId="0" applyFont="1" applyBorder="1"/>
    <xf numFmtId="184" fontId="97" fillId="0" borderId="1" xfId="3" applyNumberFormat="1" applyFont="1" applyBorder="1"/>
    <xf numFmtId="0" fontId="98" fillId="0" borderId="0" xfId="0" applyFont="1"/>
    <xf numFmtId="0" fontId="99" fillId="0" borderId="0" xfId="0" applyFont="1" applyAlignment="1">
      <alignment horizontal="centerContinuous"/>
    </xf>
    <xf numFmtId="0" fontId="98" fillId="0" borderId="0" xfId="0" applyFont="1" applyAlignment="1">
      <alignment horizontal="centerContinuous"/>
    </xf>
    <xf numFmtId="0" fontId="100" fillId="0" borderId="0" xfId="0" applyFont="1"/>
    <xf numFmtId="0" fontId="101" fillId="0" borderId="0" xfId="0" applyFont="1" applyAlignment="1">
      <alignment horizontal="center"/>
    </xf>
    <xf numFmtId="0" fontId="101" fillId="0" borderId="10" xfId="0" applyFont="1" applyBorder="1" applyAlignment="1">
      <alignment horizontal="center"/>
    </xf>
    <xf numFmtId="0" fontId="101" fillId="0" borderId="8" xfId="0" applyFont="1" applyBorder="1" applyAlignment="1">
      <alignment horizontal="center"/>
    </xf>
    <xf numFmtId="41" fontId="96" fillId="0" borderId="0" xfId="0" applyNumberFormat="1" applyFont="1"/>
    <xf numFmtId="41" fontId="96" fillId="0" borderId="10" xfId="0" applyNumberFormat="1" applyFont="1" applyBorder="1"/>
    <xf numFmtId="41" fontId="96" fillId="0" borderId="8" xfId="0" applyNumberFormat="1" applyFont="1" applyBorder="1"/>
    <xf numFmtId="0" fontId="98" fillId="0" borderId="0" xfId="0" applyFont="1" applyAlignment="1">
      <alignment horizontal="left" indent="1"/>
    </xf>
    <xf numFmtId="172" fontId="85" fillId="0" borderId="10" xfId="0" applyNumberFormat="1" applyFont="1" applyBorder="1"/>
    <xf numFmtId="172" fontId="85" fillId="0" borderId="8" xfId="0" applyNumberFormat="1" applyFont="1" applyBorder="1"/>
    <xf numFmtId="0" fontId="102" fillId="0" borderId="0" xfId="0" applyFont="1"/>
    <xf numFmtId="0" fontId="102" fillId="0" borderId="10" xfId="0" applyFont="1" applyBorder="1"/>
    <xf numFmtId="182" fontId="103" fillId="0" borderId="10" xfId="0" applyNumberFormat="1" applyFont="1" applyBorder="1"/>
    <xf numFmtId="182" fontId="103" fillId="0" borderId="0" xfId="0" applyNumberFormat="1" applyFont="1"/>
    <xf numFmtId="182" fontId="103" fillId="0" borderId="8" xfId="0" applyNumberFormat="1" applyFont="1" applyBorder="1"/>
    <xf numFmtId="0" fontId="98" fillId="0" borderId="0" xfId="0" applyFont="1" applyAlignment="1">
      <alignment horizontal="left" indent="2"/>
    </xf>
    <xf numFmtId="0" fontId="96" fillId="0" borderId="10" xfId="0" applyFont="1" applyBorder="1"/>
    <xf numFmtId="0" fontId="96" fillId="0" borderId="8" xfId="0" applyFont="1" applyBorder="1"/>
    <xf numFmtId="43" fontId="96" fillId="0" borderId="0" xfId="0" applyNumberFormat="1" applyFont="1"/>
    <xf numFmtId="0" fontId="98" fillId="0" borderId="0" xfId="0" applyFont="1" applyAlignment="1">
      <alignment vertical="center"/>
    </xf>
    <xf numFmtId="14" fontId="104" fillId="0" borderId="0" xfId="0" applyNumberFormat="1" applyFont="1" applyAlignment="1">
      <alignment horizontal="center"/>
    </xf>
    <xf numFmtId="184" fontId="2" fillId="0" borderId="1" xfId="3" applyNumberFormat="1" applyFont="1" applyBorder="1"/>
    <xf numFmtId="0" fontId="105" fillId="0" borderId="0" xfId="0" applyFont="1" applyAlignment="1">
      <alignment horizontal="centerContinuous"/>
    </xf>
    <xf numFmtId="165" fontId="12" fillId="0" borderId="0" xfId="0" applyNumberFormat="1" applyFont="1" applyAlignment="1">
      <alignment horizontal="center"/>
    </xf>
    <xf numFmtId="0" fontId="106" fillId="0" borderId="0" xfId="0" applyFont="1" applyAlignment="1">
      <alignment horizontal="centerContinuous"/>
    </xf>
    <xf numFmtId="183" fontId="0" fillId="0" borderId="0" xfId="0" applyNumberFormat="1"/>
    <xf numFmtId="3" fontId="0" fillId="0" borderId="0" xfId="0" applyNumberFormat="1"/>
    <xf numFmtId="0" fontId="18" fillId="0" borderId="0" xfId="0" applyFont="1"/>
    <xf numFmtId="0" fontId="18" fillId="0" borderId="0" xfId="0" applyFont="1" applyAlignment="1">
      <alignment horizontal="left"/>
    </xf>
    <xf numFmtId="0" fontId="18" fillId="0" borderId="0" xfId="0" applyFont="1" applyAlignment="1">
      <alignment horizontal="right"/>
    </xf>
    <xf numFmtId="172" fontId="18" fillId="0" borderId="0" xfId="0" applyNumberFormat="1" applyFont="1"/>
    <xf numFmtId="181" fontId="13" fillId="0" borderId="0" xfId="1" applyNumberFormat="1" applyFont="1" applyFill="1"/>
    <xf numFmtId="181" fontId="13" fillId="0" borderId="0" xfId="0" applyNumberFormat="1" applyFont="1"/>
    <xf numFmtId="168" fontId="0" fillId="0" borderId="0" xfId="3" applyNumberFormat="1" applyFont="1" applyBorder="1" applyAlignment="1"/>
    <xf numFmtId="9" fontId="3" fillId="0" borderId="0" xfId="1" applyFont="1" applyFill="1" applyBorder="1" applyAlignment="1"/>
    <xf numFmtId="9" fontId="13" fillId="0" borderId="0" xfId="1" applyFont="1" applyFill="1"/>
    <xf numFmtId="9" fontId="13" fillId="0" borderId="0" xfId="1" applyFont="1" applyFill="1" applyAlignment="1">
      <alignment horizontal="right"/>
    </xf>
    <xf numFmtId="182" fontId="13" fillId="0" borderId="0" xfId="0" applyNumberFormat="1" applyFont="1"/>
    <xf numFmtId="0" fontId="2" fillId="0" borderId="0" xfId="0" applyFont="1" applyAlignment="1">
      <alignment horizontal="left" indent="1"/>
    </xf>
    <xf numFmtId="41" fontId="2" fillId="0" borderId="0" xfId="0" applyNumberFormat="1" applyFont="1"/>
    <xf numFmtId="0" fontId="14" fillId="0" borderId="0" xfId="0" applyFont="1"/>
    <xf numFmtId="172" fontId="107" fillId="0" borderId="0" xfId="0" applyNumberFormat="1" applyFont="1"/>
    <xf numFmtId="0" fontId="5" fillId="0" borderId="0" xfId="0" applyFont="1" applyAlignment="1">
      <alignment horizontal="left" indent="2"/>
    </xf>
    <xf numFmtId="172" fontId="108" fillId="0" borderId="0" xfId="0" applyNumberFormat="1" applyFont="1"/>
    <xf numFmtId="0" fontId="0" fillId="0" borderId="0" xfId="0" applyAlignment="1">
      <alignment horizontal="left"/>
    </xf>
    <xf numFmtId="41" fontId="18" fillId="0" borderId="0" xfId="0" applyNumberFormat="1" applyFont="1" applyAlignment="1">
      <alignment horizontal="left"/>
    </xf>
    <xf numFmtId="168" fontId="13" fillId="0" borderId="0" xfId="3" applyNumberFormat="1" applyFont="1"/>
    <xf numFmtId="41" fontId="109" fillId="0" borderId="0" xfId="0" applyNumberFormat="1" applyFont="1"/>
    <xf numFmtId="0" fontId="110" fillId="0" borderId="0" xfId="0" applyFont="1" applyAlignment="1">
      <alignment horizontal="left" indent="1"/>
    </xf>
    <xf numFmtId="0" fontId="2" fillId="0" borderId="0" xfId="0" applyFont="1" applyAlignment="1">
      <alignment horizontal="left" indent="2"/>
    </xf>
    <xf numFmtId="41" fontId="25" fillId="0" borderId="0" xfId="0" applyNumberFormat="1" applyFont="1"/>
    <xf numFmtId="0" fontId="5" fillId="0" borderId="0" xfId="0" applyFont="1" applyAlignment="1">
      <alignment horizontal="left" indent="3"/>
    </xf>
    <xf numFmtId="164" fontId="18" fillId="0" borderId="0" xfId="0" applyNumberFormat="1" applyFont="1" applyAlignment="1">
      <alignment horizontal="right"/>
    </xf>
    <xf numFmtId="0" fontId="111" fillId="0" borderId="0" xfId="0" applyFont="1"/>
    <xf numFmtId="41" fontId="111" fillId="0" borderId="0" xfId="0" applyNumberFormat="1" applyFont="1"/>
    <xf numFmtId="43" fontId="2" fillId="0" borderId="0" xfId="0" applyNumberFormat="1" applyFont="1"/>
    <xf numFmtId="164" fontId="5" fillId="0" borderId="0" xfId="0" applyNumberFormat="1" applyFont="1" applyAlignment="1">
      <alignment horizontal="right"/>
    </xf>
    <xf numFmtId="41" fontId="9" fillId="0" borderId="0" xfId="0" applyNumberFormat="1" applyFont="1" applyAlignment="1">
      <alignment horizontal="right" vertical="center"/>
    </xf>
    <xf numFmtId="41" fontId="9" fillId="0" borderId="0" xfId="0" applyNumberFormat="1" applyFont="1" applyAlignment="1">
      <alignment horizontal="right"/>
    </xf>
    <xf numFmtId="0" fontId="11" fillId="0" borderId="0" xfId="0" applyFont="1" applyAlignment="1">
      <alignment horizontal="left"/>
    </xf>
    <xf numFmtId="41" fontId="0" fillId="0" borderId="0" xfId="0" applyNumberFormat="1" applyAlignment="1">
      <alignment horizontal="right"/>
    </xf>
    <xf numFmtId="41" fontId="16" fillId="0" borderId="0" xfId="0" applyNumberFormat="1" applyFont="1" applyAlignment="1">
      <alignment horizontal="right"/>
    </xf>
    <xf numFmtId="180" fontId="5" fillId="0" borderId="0" xfId="0" applyNumberFormat="1" applyFont="1"/>
    <xf numFmtId="41" fontId="5" fillId="0" borderId="0" xfId="0" applyNumberFormat="1" applyFont="1"/>
    <xf numFmtId="0" fontId="25" fillId="0" borderId="2" xfId="0" applyFont="1" applyBorder="1" applyAlignment="1">
      <alignment horizontal="left"/>
    </xf>
    <xf numFmtId="180" fontId="9" fillId="0" borderId="5" xfId="0" applyNumberFormat="1" applyFont="1" applyBorder="1"/>
    <xf numFmtId="180" fontId="9" fillId="0" borderId="3" xfId="0" applyNumberFormat="1" applyFont="1" applyBorder="1"/>
    <xf numFmtId="180" fontId="9" fillId="0" borderId="0" xfId="0" applyNumberFormat="1" applyFont="1"/>
    <xf numFmtId="0" fontId="11" fillId="0" borderId="0" xfId="0" applyFont="1" applyAlignment="1">
      <alignment horizontal="right"/>
    </xf>
    <xf numFmtId="6" fontId="9" fillId="0" borderId="0" xfId="0" applyNumberFormat="1" applyFont="1"/>
    <xf numFmtId="8" fontId="9" fillId="0" borderId="0" xfId="0" applyNumberFormat="1" applyFont="1"/>
    <xf numFmtId="168" fontId="10" fillId="0" borderId="0" xfId="3" applyNumberFormat="1" applyFont="1"/>
    <xf numFmtId="43" fontId="10" fillId="0" borderId="0" xfId="3" applyFont="1"/>
    <xf numFmtId="0" fontId="13" fillId="0" borderId="0" xfId="0" applyFont="1"/>
    <xf numFmtId="0" fontId="25" fillId="0" borderId="0" xfId="0" applyFont="1" applyAlignment="1">
      <alignment horizontal="left" indent="1"/>
    </xf>
    <xf numFmtId="181" fontId="0" fillId="0" borderId="0" xfId="1" applyNumberFormat="1" applyFont="1" applyAlignment="1"/>
    <xf numFmtId="0" fontId="13" fillId="0" borderId="0" xfId="0" applyFont="1" applyAlignment="1">
      <alignment horizontal="left" indent="1"/>
    </xf>
    <xf numFmtId="0" fontId="3" fillId="0" borderId="4" xfId="0" applyFont="1" applyBorder="1" applyAlignment="1">
      <alignment horizontal="centerContinuous"/>
    </xf>
    <xf numFmtId="0" fontId="0" fillId="0" borderId="4" xfId="0" applyBorder="1" applyAlignment="1">
      <alignment horizontal="centerContinuous"/>
    </xf>
    <xf numFmtId="0" fontId="0" fillId="0" borderId="0" xfId="0" applyAlignment="1">
      <alignment vertical="center"/>
    </xf>
    <xf numFmtId="41" fontId="6" fillId="0" borderId="0" xfId="0" applyNumberFormat="1" applyFont="1" applyAlignment="1">
      <alignment vertical="center"/>
    </xf>
    <xf numFmtId="41" fontId="9" fillId="0" borderId="0" xfId="0" applyNumberFormat="1" applyFont="1" applyAlignment="1">
      <alignment vertical="center"/>
    </xf>
    <xf numFmtId="164" fontId="18" fillId="3" borderId="0" xfId="0" applyNumberFormat="1" applyFont="1" applyFill="1" applyAlignment="1">
      <alignment horizontal="right"/>
    </xf>
    <xf numFmtId="0" fontId="2" fillId="0" borderId="0" xfId="0" applyFont="1" applyAlignment="1">
      <alignment horizontal="left" vertical="center" indent="1"/>
    </xf>
    <xf numFmtId="0" fontId="14" fillId="0" borderId="0" xfId="0" applyFont="1" applyAlignment="1">
      <alignment horizontal="left" vertical="center" indent="1"/>
    </xf>
    <xf numFmtId="0" fontId="3" fillId="0" borderId="0" xfId="0" applyFont="1" applyAlignment="1">
      <alignment horizontal="left" vertical="center" indent="1"/>
    </xf>
    <xf numFmtId="9" fontId="3" fillId="0" borderId="0" xfId="1" applyFont="1" applyAlignment="1"/>
    <xf numFmtId="164" fontId="14" fillId="0" borderId="0" xfId="0" applyNumberFormat="1" applyFont="1" applyAlignment="1">
      <alignment horizontal="right"/>
    </xf>
    <xf numFmtId="0" fontId="5" fillId="0" borderId="0" xfId="0" applyFont="1" applyAlignment="1">
      <alignment horizontal="left" vertical="center" indent="2"/>
    </xf>
    <xf numFmtId="0" fontId="3" fillId="0" borderId="0" xfId="0" applyFont="1" applyAlignment="1">
      <alignment horizontal="left" vertical="center"/>
    </xf>
    <xf numFmtId="2" fontId="3" fillId="0" borderId="0" xfId="0" applyNumberFormat="1" applyFont="1"/>
    <xf numFmtId="164" fontId="13" fillId="0" borderId="0" xfId="0" applyNumberFormat="1" applyFont="1" applyAlignment="1">
      <alignment horizontal="right"/>
    </xf>
    <xf numFmtId="166" fontId="13" fillId="0" borderId="0" xfId="0" applyNumberFormat="1" applyFont="1" applyAlignment="1">
      <alignment horizontal="right"/>
    </xf>
    <xf numFmtId="2" fontId="0" fillId="0" borderId="0" xfId="0" applyNumberFormat="1"/>
    <xf numFmtId="164" fontId="112" fillId="0" borderId="0" xfId="0" applyNumberFormat="1" applyFont="1" applyAlignment="1">
      <alignment horizontal="right"/>
    </xf>
    <xf numFmtId="181" fontId="14" fillId="0" borderId="0" xfId="1" applyNumberFormat="1" applyFont="1" applyAlignment="1"/>
    <xf numFmtId="166" fontId="5" fillId="0" borderId="0" xfId="0" applyNumberFormat="1" applyFont="1" applyAlignment="1">
      <alignment horizontal="right"/>
    </xf>
    <xf numFmtId="166" fontId="5" fillId="0" borderId="0" xfId="0" applyNumberFormat="1" applyFont="1"/>
    <xf numFmtId="166" fontId="108" fillId="0" borderId="0" xfId="0" applyNumberFormat="1" applyFont="1" applyAlignment="1">
      <alignment horizontal="right"/>
    </xf>
    <xf numFmtId="9" fontId="5" fillId="0" borderId="0" xfId="1" applyFont="1" applyAlignment="1"/>
    <xf numFmtId="185" fontId="0" fillId="0" borderId="0" xfId="0" applyNumberFormat="1"/>
    <xf numFmtId="9" fontId="0" fillId="0" borderId="0" xfId="1" applyFont="1" applyAlignment="1"/>
    <xf numFmtId="9" fontId="14" fillId="0" borderId="0" xfId="1" applyFont="1" applyAlignment="1"/>
    <xf numFmtId="164" fontId="108" fillId="0" borderId="0" xfId="0" applyNumberFormat="1" applyFont="1" applyAlignment="1">
      <alignment horizontal="right"/>
    </xf>
    <xf numFmtId="0" fontId="13" fillId="0" borderId="0" xfId="0" applyFont="1" applyAlignment="1">
      <alignment horizontal="centerContinuous"/>
    </xf>
    <xf numFmtId="164" fontId="12" fillId="0" borderId="0" xfId="0" applyNumberFormat="1" applyFont="1" applyAlignment="1">
      <alignment horizontal="right"/>
    </xf>
    <xf numFmtId="41" fontId="7" fillId="0" borderId="0" xfId="0" applyNumberFormat="1" applyFont="1" applyAlignment="1">
      <alignment vertical="center"/>
    </xf>
    <xf numFmtId="41" fontId="10" fillId="0" borderId="0" xfId="0" applyNumberFormat="1" applyFont="1" applyAlignment="1">
      <alignment vertical="center"/>
    </xf>
    <xf numFmtId="41" fontId="25" fillId="0" borderId="0" xfId="0" applyNumberFormat="1" applyFont="1" applyAlignment="1">
      <alignment vertical="center"/>
    </xf>
    <xf numFmtId="172" fontId="113" fillId="0" borderId="0" xfId="0" applyNumberFormat="1" applyFont="1"/>
    <xf numFmtId="172" fontId="0" fillId="0" borderId="0" xfId="0" applyNumberFormat="1"/>
    <xf numFmtId="0" fontId="11" fillId="0" borderId="0" xfId="0" applyFont="1" applyAlignment="1">
      <alignment vertical="center"/>
    </xf>
    <xf numFmtId="166" fontId="6" fillId="0" borderId="0" xfId="0" applyNumberFormat="1" applyFont="1" applyAlignment="1">
      <alignment horizontal="right"/>
    </xf>
    <xf numFmtId="166" fontId="0" fillId="0" borderId="0" xfId="0" applyNumberFormat="1"/>
    <xf numFmtId="166" fontId="16" fillId="0" borderId="0" xfId="0" applyNumberFormat="1" applyFont="1"/>
    <xf numFmtId="0" fontId="0" fillId="0" borderId="0" xfId="0" applyAlignment="1">
      <alignment horizontal="left" vertical="center" indent="2"/>
    </xf>
    <xf numFmtId="0" fontId="0" fillId="0" borderId="0" xfId="0" applyAlignment="1">
      <alignment horizontal="left" vertical="center" indent="3"/>
    </xf>
    <xf numFmtId="0" fontId="0" fillId="0" borderId="0" xfId="0" applyAlignment="1">
      <alignment horizontal="left" vertical="center" indent="1"/>
    </xf>
    <xf numFmtId="0" fontId="0" fillId="0" borderId="0" xfId="0" applyAlignment="1">
      <alignment horizontal="left" vertical="center"/>
    </xf>
    <xf numFmtId="0" fontId="0" fillId="0" borderId="0" xfId="0" applyAlignment="1">
      <alignment horizontal="left" vertical="center" indent="4"/>
    </xf>
    <xf numFmtId="0" fontId="2" fillId="0" borderId="0" xfId="0" applyFont="1" applyAlignment="1">
      <alignment horizontal="center"/>
    </xf>
    <xf numFmtId="166" fontId="14" fillId="0" borderId="0" xfId="0" applyNumberFormat="1" applyFont="1" applyAlignment="1">
      <alignment horizontal="right"/>
    </xf>
    <xf numFmtId="0" fontId="3" fillId="0" borderId="0" xfId="0" applyFont="1" applyAlignment="1">
      <alignment horizontal="left"/>
    </xf>
    <xf numFmtId="0" fontId="111" fillId="0" borderId="0" xfId="0" applyFont="1" applyAlignment="1">
      <alignment horizontal="left" indent="1"/>
    </xf>
    <xf numFmtId="164" fontId="3" fillId="0" borderId="0" xfId="0" applyNumberFormat="1" applyFont="1" applyAlignment="1">
      <alignment horizontal="left" indent="3"/>
    </xf>
    <xf numFmtId="41" fontId="19" fillId="0" borderId="0" xfId="0" applyNumberFormat="1" applyFont="1" applyAlignment="1">
      <alignment vertical="center"/>
    </xf>
    <xf numFmtId="41" fontId="6" fillId="6" borderId="0" xfId="0" applyNumberFormat="1" applyFont="1" applyFill="1" applyAlignment="1">
      <alignment vertical="center"/>
    </xf>
    <xf numFmtId="41" fontId="0" fillId="6" borderId="0" xfId="0" applyNumberFormat="1" applyFill="1"/>
    <xf numFmtId="41" fontId="7" fillId="6" borderId="0" xfId="0" applyNumberFormat="1" applyFont="1" applyFill="1" applyAlignment="1">
      <alignment vertical="center"/>
    </xf>
    <xf numFmtId="41" fontId="25" fillId="6" borderId="0" xfId="0" applyNumberFormat="1" applyFont="1" applyFill="1" applyAlignment="1">
      <alignment vertical="center"/>
    </xf>
    <xf numFmtId="164" fontId="6" fillId="0" borderId="0" xfId="0" applyNumberFormat="1" applyFont="1" applyAlignment="1">
      <alignment horizontal="right"/>
    </xf>
    <xf numFmtId="0" fontId="107" fillId="0" borderId="0" xfId="0" applyFont="1" applyAlignment="1">
      <alignment horizontal="centerContinuous"/>
    </xf>
    <xf numFmtId="41" fontId="12" fillId="0" borderId="0" xfId="0" applyNumberFormat="1" applyFont="1" applyAlignment="1">
      <alignment vertical="center"/>
    </xf>
    <xf numFmtId="0" fontId="3" fillId="0" borderId="0" xfId="0" applyFont="1" applyAlignment="1">
      <alignment horizontal="right"/>
    </xf>
    <xf numFmtId="41" fontId="12" fillId="0" borderId="0" xfId="0" applyNumberFormat="1" applyFont="1" applyAlignment="1">
      <alignment horizontal="right" vertical="center"/>
    </xf>
    <xf numFmtId="0" fontId="0" fillId="6" borderId="0" xfId="0" applyFill="1"/>
    <xf numFmtId="164" fontId="3" fillId="6" borderId="0" xfId="0" applyNumberFormat="1" applyFont="1" applyFill="1" applyAlignment="1">
      <alignment horizontal="right"/>
    </xf>
    <xf numFmtId="41" fontId="21" fillId="0" borderId="0" xfId="0" applyNumberFormat="1" applyFont="1"/>
    <xf numFmtId="41" fontId="56" fillId="0" borderId="0" xfId="0" applyNumberFormat="1" applyFont="1"/>
    <xf numFmtId="41" fontId="108" fillId="0" borderId="0" xfId="0" applyNumberFormat="1" applyFont="1"/>
    <xf numFmtId="41" fontId="114" fillId="0" borderId="0" xfId="0" applyNumberFormat="1" applyFont="1"/>
    <xf numFmtId="41" fontId="115" fillId="0" borderId="0" xfId="0" applyNumberFormat="1" applyFont="1"/>
    <xf numFmtId="0" fontId="2" fillId="0" borderId="0" xfId="0" applyFont="1" applyAlignment="1">
      <alignment vertical="center"/>
    </xf>
    <xf numFmtId="0" fontId="109" fillId="0" borderId="0" xfId="0" applyFont="1"/>
    <xf numFmtId="41" fontId="107" fillId="0" borderId="0" xfId="0" applyNumberFormat="1" applyFont="1"/>
    <xf numFmtId="0" fontId="111" fillId="0" borderId="0" xfId="0" applyFont="1" applyAlignment="1">
      <alignment vertical="center"/>
    </xf>
    <xf numFmtId="43" fontId="9" fillId="0" borderId="0" xfId="0" applyNumberFormat="1" applyFont="1"/>
    <xf numFmtId="164" fontId="5" fillId="0" borderId="0" xfId="0" applyNumberFormat="1" applyFont="1"/>
    <xf numFmtId="9" fontId="5" fillId="0" borderId="0" xfId="1" applyFont="1" applyFill="1" applyAlignment="1">
      <alignment horizontal="right"/>
    </xf>
    <xf numFmtId="9" fontId="5" fillId="0" borderId="0" xfId="1" applyFont="1" applyFill="1" applyAlignment="1"/>
    <xf numFmtId="9" fontId="56" fillId="0" borderId="0" xfId="1" applyFont="1" applyFill="1" applyAlignment="1">
      <alignment horizontal="right"/>
    </xf>
    <xf numFmtId="9" fontId="56" fillId="0" borderId="0" xfId="1" applyFont="1" applyFill="1" applyAlignment="1"/>
    <xf numFmtId="9" fontId="116" fillId="0" borderId="0" xfId="1" applyFont="1" applyFill="1" applyAlignment="1"/>
    <xf numFmtId="6" fontId="6" fillId="0" borderId="0" xfId="0" applyNumberFormat="1" applyFont="1"/>
    <xf numFmtId="0" fontId="8" fillId="0" borderId="0" xfId="0" applyFont="1"/>
    <xf numFmtId="0" fontId="111" fillId="0" borderId="0" xfId="0" applyFont="1" applyAlignment="1">
      <alignment horizontal="left"/>
    </xf>
    <xf numFmtId="0" fontId="9" fillId="0" borderId="0" xfId="0" applyFont="1" applyAlignment="1">
      <alignment horizontal="right"/>
    </xf>
    <xf numFmtId="41" fontId="6" fillId="0" borderId="0" xfId="0" applyNumberFormat="1" applyFont="1" applyAlignment="1">
      <alignment horizontal="right"/>
    </xf>
    <xf numFmtId="8" fontId="0" fillId="0" borderId="0" xfId="0" applyNumberFormat="1"/>
    <xf numFmtId="0" fontId="117" fillId="0" borderId="0" xfId="0" applyFont="1"/>
    <xf numFmtId="41" fontId="105" fillId="0" borderId="0" xfId="0" applyNumberFormat="1" applyFont="1"/>
    <xf numFmtId="172" fontId="85" fillId="0" borderId="0" xfId="0" applyNumberFormat="1" applyFont="1" applyAlignment="1">
      <alignment horizontal="center"/>
    </xf>
    <xf numFmtId="14" fontId="98" fillId="0" borderId="0" xfId="0" applyNumberFormat="1" applyFont="1" applyAlignment="1">
      <alignment horizontal="center"/>
    </xf>
    <xf numFmtId="184" fontId="97" fillId="0" borderId="1" xfId="3" applyNumberFormat="1" applyFont="1" applyBorder="1" applyAlignment="1">
      <alignment horizontal="center"/>
    </xf>
    <xf numFmtId="184" fontId="97" fillId="0" borderId="0" xfId="3" applyNumberFormat="1" applyFont="1" applyBorder="1" applyAlignment="1">
      <alignment horizontal="center"/>
    </xf>
    <xf numFmtId="184" fontId="97" fillId="0" borderId="0" xfId="3" applyNumberFormat="1" applyFont="1" applyBorder="1"/>
    <xf numFmtId="0" fontId="92" fillId="0" borderId="0" xfId="0" applyFont="1" applyAlignment="1">
      <alignment vertical="center"/>
    </xf>
    <xf numFmtId="0" fontId="92" fillId="0" borderId="15" xfId="0" applyFont="1" applyBorder="1" applyAlignment="1">
      <alignment horizontal="center" vertical="center"/>
    </xf>
    <xf numFmtId="0" fontId="92" fillId="0" borderId="9" xfId="0" applyFont="1" applyBorder="1" applyAlignment="1">
      <alignment horizontal="center" vertical="center"/>
    </xf>
    <xf numFmtId="0" fontId="92" fillId="0" borderId="16" xfId="0" applyFont="1" applyBorder="1" applyAlignment="1">
      <alignment horizontal="center" vertical="center"/>
    </xf>
    <xf numFmtId="0" fontId="92" fillId="0" borderId="0" xfId="0" applyFont="1" applyAlignment="1">
      <alignment horizontal="center"/>
    </xf>
    <xf numFmtId="37" fontId="96" fillId="8" borderId="10" xfId="0" applyNumberFormat="1" applyFont="1" applyFill="1" applyBorder="1" applyAlignment="1">
      <alignment horizontal="center"/>
    </xf>
    <xf numFmtId="37" fontId="96" fillId="0" borderId="0" xfId="0" applyNumberFormat="1" applyFont="1" applyAlignment="1">
      <alignment horizontal="center"/>
    </xf>
    <xf numFmtId="37" fontId="96" fillId="8" borderId="8" xfId="0" applyNumberFormat="1" applyFont="1" applyFill="1" applyBorder="1" applyAlignment="1">
      <alignment horizontal="center"/>
    </xf>
    <xf numFmtId="9" fontId="96" fillId="8" borderId="10" xfId="1" applyFont="1" applyFill="1" applyBorder="1" applyAlignment="1">
      <alignment horizontal="center"/>
    </xf>
    <xf numFmtId="9" fontId="96" fillId="0" borderId="0" xfId="1" applyFont="1" applyBorder="1" applyAlignment="1">
      <alignment horizontal="center"/>
    </xf>
    <xf numFmtId="9" fontId="96" fillId="8" borderId="8" xfId="1" applyFont="1" applyFill="1" applyBorder="1" applyAlignment="1">
      <alignment horizontal="center"/>
    </xf>
    <xf numFmtId="37" fontId="96" fillId="8" borderId="11" xfId="0" applyNumberFormat="1" applyFont="1" applyFill="1" applyBorder="1" applyAlignment="1">
      <alignment horizontal="center"/>
    </xf>
    <xf numFmtId="37" fontId="96" fillId="0" borderId="1" xfId="0" applyNumberFormat="1" applyFont="1" applyBorder="1" applyAlignment="1">
      <alignment horizontal="center"/>
    </xf>
    <xf numFmtId="37" fontId="96" fillId="8" borderId="12" xfId="0" applyNumberFormat="1" applyFont="1" applyFill="1" applyBorder="1" applyAlignment="1">
      <alignment horizontal="center"/>
    </xf>
    <xf numFmtId="9" fontId="96" fillId="8" borderId="11" xfId="1" applyFont="1" applyFill="1" applyBorder="1" applyAlignment="1">
      <alignment horizontal="center"/>
    </xf>
    <xf numFmtId="9" fontId="96" fillId="0" borderId="1" xfId="1" applyFont="1" applyBorder="1" applyAlignment="1">
      <alignment horizontal="center"/>
    </xf>
    <xf numFmtId="9" fontId="96" fillId="8" borderId="12" xfId="1" applyFont="1" applyFill="1" applyBorder="1" applyAlignment="1">
      <alignment horizontal="center"/>
    </xf>
    <xf numFmtId="0" fontId="98" fillId="0" borderId="0" xfId="0" applyFont="1" applyAlignment="1">
      <alignment horizontal="center"/>
    </xf>
    <xf numFmtId="37" fontId="98" fillId="0" borderId="0" xfId="0" applyNumberFormat="1" applyFont="1" applyAlignment="1">
      <alignment horizontal="center"/>
    </xf>
    <xf numFmtId="9" fontId="98" fillId="0" borderId="0" xfId="0" applyNumberFormat="1" applyFont="1" applyAlignment="1">
      <alignment horizontal="center"/>
    </xf>
    <xf numFmtId="0" fontId="96" fillId="0" borderId="0" xfId="0" applyFont="1" applyAlignment="1">
      <alignment horizontal="center"/>
    </xf>
    <xf numFmtId="43" fontId="3" fillId="0" borderId="0" xfId="0" applyNumberFormat="1" applyFont="1"/>
    <xf numFmtId="202" fontId="9" fillId="0" borderId="0" xfId="0" applyNumberFormat="1" applyFont="1" applyAlignment="1">
      <alignment vertical="center"/>
    </xf>
    <xf numFmtId="203" fontId="98" fillId="0" borderId="0" xfId="0" applyNumberFormat="1" applyFont="1"/>
    <xf numFmtId="167" fontId="3" fillId="0" borderId="0" xfId="0" applyNumberFormat="1" applyFont="1"/>
    <xf numFmtId="204" fontId="3" fillId="0" borderId="0" xfId="0" applyNumberFormat="1" applyFont="1"/>
    <xf numFmtId="41" fontId="13" fillId="0" borderId="0" xfId="0" applyNumberFormat="1" applyFont="1" applyAlignment="1">
      <alignment horizontal="right" vertical="center"/>
    </xf>
    <xf numFmtId="37" fontId="18" fillId="0" borderId="0" xfId="0" applyNumberFormat="1" applyFont="1" applyAlignment="1">
      <alignment horizontal="right"/>
    </xf>
    <xf numFmtId="41" fontId="118" fillId="0" borderId="0" xfId="0" applyNumberFormat="1" applyFont="1"/>
    <xf numFmtId="6" fontId="0" fillId="0" borderId="0" xfId="0" applyNumberFormat="1"/>
    <xf numFmtId="0" fontId="3" fillId="14" borderId="8" xfId="0" applyFont="1" applyFill="1" applyBorder="1"/>
    <xf numFmtId="0" fontId="0" fillId="14" borderId="8" xfId="0" applyFill="1" applyBorder="1"/>
    <xf numFmtId="0" fontId="119" fillId="0" borderId="0" xfId="0" applyFont="1"/>
    <xf numFmtId="8" fontId="119" fillId="0" borderId="0" xfId="0" applyNumberFormat="1" applyFont="1"/>
    <xf numFmtId="41" fontId="114" fillId="0" borderId="0" xfId="0" applyNumberFormat="1" applyFont="1" applyAlignment="1">
      <alignment vertical="center"/>
    </xf>
    <xf numFmtId="41" fontId="115" fillId="0" borderId="0" xfId="0" applyNumberFormat="1" applyFont="1" applyAlignment="1">
      <alignment vertical="center"/>
    </xf>
    <xf numFmtId="41" fontId="115" fillId="0" borderId="0" xfId="0" applyNumberFormat="1" applyFont="1" applyAlignment="1">
      <alignment horizontal="right" vertical="center"/>
    </xf>
    <xf numFmtId="41" fontId="10" fillId="0" borderId="0" xfId="0" applyNumberFormat="1" applyFont="1" applyAlignment="1">
      <alignment horizontal="right" vertical="center"/>
    </xf>
    <xf numFmtId="0" fontId="115" fillId="0" borderId="0" xfId="0" applyFont="1"/>
    <xf numFmtId="0" fontId="10" fillId="0" borderId="0" xfId="0" applyFont="1" applyAlignment="1">
      <alignment horizontal="centerContinuous"/>
    </xf>
    <xf numFmtId="0" fontId="0" fillId="0" borderId="0" xfId="0" applyAlignment="1">
      <alignment horizontal="centerContinuous"/>
    </xf>
    <xf numFmtId="166" fontId="9" fillId="0" borderId="0" xfId="0" applyNumberFormat="1" applyFont="1" applyAlignment="1">
      <alignment horizontal="right"/>
    </xf>
    <xf numFmtId="9" fontId="15" fillId="0" borderId="0" xfId="1" applyFont="1" applyAlignment="1"/>
    <xf numFmtId="164" fontId="9" fillId="0" borderId="0" xfId="0" applyNumberFormat="1" applyFont="1" applyAlignment="1">
      <alignment horizontal="right"/>
    </xf>
    <xf numFmtId="0" fontId="108" fillId="0" borderId="0" xfId="0" applyFont="1" applyAlignment="1">
      <alignment horizontal="left"/>
    </xf>
    <xf numFmtId="172" fontId="12" fillId="0" borderId="0" xfId="0" applyNumberFormat="1" applyFont="1"/>
    <xf numFmtId="172" fontId="120" fillId="0" borderId="0" xfId="0" applyNumberFormat="1" applyFont="1"/>
    <xf numFmtId="172" fontId="56" fillId="0" borderId="0" xfId="0" applyNumberFormat="1" applyFont="1"/>
    <xf numFmtId="164" fontId="56" fillId="0" borderId="0" xfId="0" applyNumberFormat="1" applyFont="1" applyAlignment="1">
      <alignment horizontal="right"/>
    </xf>
    <xf numFmtId="41" fontId="9" fillId="14" borderId="0" xfId="0" applyNumberFormat="1" applyFont="1" applyFill="1" applyAlignment="1">
      <alignment horizontal="right" vertical="center"/>
    </xf>
    <xf numFmtId="41" fontId="115" fillId="14" borderId="0" xfId="0" applyNumberFormat="1" applyFont="1" applyFill="1" applyAlignment="1">
      <alignment horizontal="right" vertical="center"/>
    </xf>
    <xf numFmtId="41" fontId="0" fillId="14" borderId="0" xfId="0" applyNumberFormat="1" applyFill="1"/>
    <xf numFmtId="41" fontId="8" fillId="14" borderId="0" xfId="0" applyNumberFormat="1" applyFont="1" applyFill="1"/>
    <xf numFmtId="0" fontId="0" fillId="14" borderId="0" xfId="0" applyFill="1"/>
    <xf numFmtId="41" fontId="114" fillId="14" borderId="0" xfId="0" applyNumberFormat="1" applyFont="1" applyFill="1"/>
    <xf numFmtId="41" fontId="2" fillId="14" borderId="0" xfId="0" applyNumberFormat="1" applyFont="1" applyFill="1"/>
    <xf numFmtId="0" fontId="8" fillId="14" borderId="0" xfId="0" applyFont="1" applyFill="1"/>
    <xf numFmtId="0" fontId="25" fillId="14" borderId="0" xfId="0" applyFont="1" applyFill="1"/>
    <xf numFmtId="0" fontId="2" fillId="14" borderId="0" xfId="0" applyFont="1" applyFill="1"/>
    <xf numFmtId="181" fontId="3" fillId="0" borderId="0" xfId="1" applyNumberFormat="1" applyFont="1" applyAlignment="1"/>
    <xf numFmtId="184" fontId="0" fillId="14" borderId="0" xfId="3" applyNumberFormat="1" applyFont="1" applyFill="1" applyAlignment="1"/>
    <xf numFmtId="184" fontId="0" fillId="0" borderId="10" xfId="3" applyNumberFormat="1" applyFont="1" applyBorder="1" applyAlignment="1"/>
    <xf numFmtId="184" fontId="0" fillId="0" borderId="0" xfId="3" applyNumberFormat="1" applyFont="1" applyAlignment="1"/>
    <xf numFmtId="184" fontId="0" fillId="0" borderId="9" xfId="3" applyNumberFormat="1" applyFont="1" applyBorder="1" applyAlignment="1"/>
    <xf numFmtId="184" fontId="0" fillId="14" borderId="15" xfId="3" applyNumberFormat="1" applyFont="1" applyFill="1" applyBorder="1" applyAlignment="1"/>
    <xf numFmtId="184" fontId="0" fillId="14" borderId="9" xfId="3" applyNumberFormat="1" applyFont="1" applyFill="1" applyBorder="1" applyAlignment="1"/>
    <xf numFmtId="184" fontId="6" fillId="0" borderId="0" xfId="3" applyNumberFormat="1" applyFont="1" applyAlignment="1"/>
    <xf numFmtId="184" fontId="6" fillId="0" borderId="9" xfId="3" applyNumberFormat="1" applyFont="1" applyBorder="1" applyAlignment="1"/>
    <xf numFmtId="184" fontId="2" fillId="0" borderId="0" xfId="3" applyNumberFormat="1" applyFont="1" applyAlignment="1"/>
    <xf numFmtId="184" fontId="2" fillId="0" borderId="10" xfId="3" applyNumberFormat="1" applyFont="1" applyBorder="1" applyAlignment="1"/>
    <xf numFmtId="184" fontId="0" fillId="7" borderId="10" xfId="3" applyNumberFormat="1" applyFont="1" applyFill="1" applyBorder="1" applyAlignment="1"/>
    <xf numFmtId="0" fontId="2" fillId="0" borderId="0" xfId="0" applyFont="1" applyAlignment="1">
      <alignment horizontal="right"/>
    </xf>
    <xf numFmtId="184" fontId="0" fillId="0" borderId="15" xfId="3" applyNumberFormat="1" applyFont="1" applyBorder="1" applyAlignment="1"/>
    <xf numFmtId="0" fontId="2" fillId="0" borderId="0" xfId="0" applyFont="1" applyAlignment="1">
      <alignment horizontal="left"/>
    </xf>
    <xf numFmtId="0" fontId="2" fillId="0" borderId="9" xfId="0" applyFont="1" applyBorder="1" applyAlignment="1">
      <alignment horizontal="left"/>
    </xf>
    <xf numFmtId="184" fontId="0" fillId="0" borderId="8" xfId="3" applyNumberFormat="1" applyFont="1" applyBorder="1" applyAlignment="1"/>
    <xf numFmtId="184" fontId="0" fillId="7" borderId="8" xfId="3" applyNumberFormat="1" applyFont="1" applyFill="1" applyBorder="1" applyAlignment="1"/>
    <xf numFmtId="184" fontId="0" fillId="14" borderId="16" xfId="3" applyNumberFormat="1" applyFont="1" applyFill="1" applyBorder="1" applyAlignment="1"/>
    <xf numFmtId="184" fontId="0" fillId="14" borderId="8" xfId="3" applyNumberFormat="1" applyFont="1" applyFill="1" applyBorder="1" applyAlignment="1"/>
    <xf numFmtId="184" fontId="2" fillId="0" borderId="8" xfId="3" applyNumberFormat="1" applyFont="1" applyBorder="1" applyAlignment="1"/>
    <xf numFmtId="184" fontId="0" fillId="0" borderId="16" xfId="3" applyNumberFormat="1" applyFont="1" applyBorder="1" applyAlignment="1"/>
    <xf numFmtId="184" fontId="0" fillId="3" borderId="0" xfId="3" applyNumberFormat="1" applyFont="1" applyFill="1" applyAlignment="1"/>
    <xf numFmtId="184" fontId="0" fillId="3" borderId="9" xfId="3" applyNumberFormat="1" applyFont="1" applyFill="1" applyBorder="1" applyAlignment="1"/>
    <xf numFmtId="0" fontId="3" fillId="0" borderId="10" xfId="0" applyFont="1" applyBorder="1" applyAlignment="1">
      <alignment horizontal="right"/>
    </xf>
    <xf numFmtId="0" fontId="3" fillId="0" borderId="8" xfId="0" applyFont="1" applyBorder="1" applyAlignment="1">
      <alignment horizontal="right"/>
    </xf>
    <xf numFmtId="0" fontId="2" fillId="0" borderId="10" xfId="0" applyFont="1" applyBorder="1" applyAlignment="1">
      <alignment horizontal="right"/>
    </xf>
    <xf numFmtId="0" fontId="2" fillId="0" borderId="8" xfId="0" applyFont="1" applyBorder="1" applyAlignment="1">
      <alignment horizontal="right"/>
    </xf>
    <xf numFmtId="184" fontId="2" fillId="0" borderId="1" xfId="3" applyNumberFormat="1" applyFont="1" applyBorder="1" applyAlignment="1"/>
    <xf numFmtId="0" fontId="4" fillId="0" borderId="8" xfId="0" applyFont="1" applyBorder="1" applyAlignment="1">
      <alignment horizontal="center"/>
    </xf>
    <xf numFmtId="184" fontId="2" fillId="0" borderId="0" xfId="3" applyNumberFormat="1" applyFont="1" applyAlignment="1">
      <alignment horizontal="right"/>
    </xf>
    <xf numFmtId="0" fontId="2" fillId="0" borderId="6" xfId="0" applyFont="1" applyBorder="1"/>
    <xf numFmtId="41" fontId="0" fillId="0" borderId="8" xfId="0" applyNumberFormat="1" applyBorder="1"/>
    <xf numFmtId="41" fontId="2" fillId="0" borderId="8" xfId="0" applyNumberFormat="1" applyFont="1" applyBorder="1"/>
    <xf numFmtId="41" fontId="8" fillId="0" borderId="8" xfId="0" applyNumberFormat="1" applyFont="1" applyBorder="1"/>
    <xf numFmtId="41" fontId="19" fillId="0" borderId="8" xfId="0" applyNumberFormat="1" applyFont="1" applyBorder="1"/>
    <xf numFmtId="182" fontId="108" fillId="0" borderId="0" xfId="0" applyNumberFormat="1" applyFont="1"/>
    <xf numFmtId="182" fontId="108" fillId="0" borderId="8" xfId="0" applyNumberFormat="1" applyFont="1" applyBorder="1"/>
    <xf numFmtId="182" fontId="13" fillId="0" borderId="8" xfId="0" applyNumberFormat="1" applyFont="1" applyBorder="1"/>
    <xf numFmtId="182" fontId="18" fillId="0" borderId="0" xfId="0" applyNumberFormat="1" applyFont="1"/>
    <xf numFmtId="41" fontId="10" fillId="0" borderId="8" xfId="0" applyNumberFormat="1" applyFont="1" applyBorder="1"/>
    <xf numFmtId="0" fontId="0" fillId="0" borderId="8" xfId="0" applyBorder="1"/>
    <xf numFmtId="0" fontId="4" fillId="0" borderId="14" xfId="0" applyFont="1" applyBorder="1" applyAlignment="1">
      <alignment horizontal="center"/>
    </xf>
    <xf numFmtId="0" fontId="0" fillId="0" borderId="14" xfId="0" applyBorder="1"/>
    <xf numFmtId="41" fontId="0" fillId="0" borderId="14" xfId="0" applyNumberFormat="1" applyBorder="1"/>
    <xf numFmtId="182" fontId="13" fillId="0" borderId="14" xfId="0" applyNumberFormat="1" applyFont="1" applyBorder="1"/>
    <xf numFmtId="41" fontId="8" fillId="0" borderId="14" xfId="0" applyNumberFormat="1" applyFont="1" applyBorder="1"/>
    <xf numFmtId="41" fontId="2" fillId="0" borderId="14" xfId="0" applyNumberFormat="1" applyFont="1" applyBorder="1"/>
    <xf numFmtId="182" fontId="108" fillId="0" borderId="14" xfId="0" applyNumberFormat="1" applyFont="1" applyBorder="1"/>
    <xf numFmtId="172" fontId="13" fillId="0" borderId="14" xfId="0" applyNumberFormat="1" applyFont="1" applyBorder="1"/>
    <xf numFmtId="41" fontId="19" fillId="0" borderId="14" xfId="0" applyNumberFormat="1" applyFont="1" applyBorder="1"/>
    <xf numFmtId="0" fontId="3" fillId="0" borderId="14" xfId="0" applyFont="1" applyBorder="1"/>
    <xf numFmtId="0" fontId="0" fillId="7" borderId="0" xfId="0" applyFill="1"/>
    <xf numFmtId="0" fontId="0" fillId="3" borderId="0" xfId="0" applyFill="1"/>
    <xf numFmtId="202" fontId="2" fillId="0" borderId="0" xfId="0" applyNumberFormat="1" applyFont="1"/>
    <xf numFmtId="168" fontId="18" fillId="0" borderId="0" xfId="3" applyNumberFormat="1" applyFont="1" applyAlignment="1">
      <alignment horizontal="right"/>
    </xf>
    <xf numFmtId="9" fontId="3" fillId="0" borderId="0" xfId="0" applyNumberFormat="1" applyFont="1"/>
    <xf numFmtId="170" fontId="3" fillId="0" borderId="0" xfId="0" applyNumberFormat="1" applyFont="1"/>
    <xf numFmtId="182" fontId="112" fillId="0" borderId="0" xfId="0" applyNumberFormat="1" applyFont="1"/>
    <xf numFmtId="182" fontId="107" fillId="0" borderId="0" xfId="0" applyNumberFormat="1" applyFont="1"/>
    <xf numFmtId="182" fontId="0" fillId="0" borderId="0" xfId="0" applyNumberFormat="1"/>
    <xf numFmtId="182" fontId="8" fillId="0" borderId="0" xfId="0" applyNumberFormat="1" applyFont="1"/>
    <xf numFmtId="0" fontId="97" fillId="0" borderId="15" xfId="0" applyFont="1" applyBorder="1"/>
    <xf numFmtId="0" fontId="71" fillId="0" borderId="9" xfId="0" applyFont="1" applyBorder="1"/>
    <xf numFmtId="0" fontId="72" fillId="0" borderId="16" xfId="0" applyFont="1" applyBorder="1"/>
    <xf numFmtId="0" fontId="123" fillId="0" borderId="10" xfId="10" applyFont="1" applyBorder="1"/>
    <xf numFmtId="0" fontId="123" fillId="0" borderId="0" xfId="10" applyFont="1" applyBorder="1"/>
    <xf numFmtId="181" fontId="96" fillId="0" borderId="8" xfId="1" applyNumberFormat="1" applyFont="1" applyFill="1" applyBorder="1"/>
    <xf numFmtId="10" fontId="96" fillId="0" borderId="8" xfId="1" applyNumberFormat="1" applyFont="1" applyFill="1" applyBorder="1"/>
    <xf numFmtId="0" fontId="96" fillId="0" borderId="11" xfId="0" applyFont="1" applyBorder="1"/>
    <xf numFmtId="0" fontId="96" fillId="0" borderId="1" xfId="0" applyFont="1" applyBorder="1"/>
    <xf numFmtId="0" fontId="96" fillId="0" borderId="12" xfId="0" applyFont="1" applyBorder="1"/>
    <xf numFmtId="0" fontId="9" fillId="0" borderId="0" xfId="0" applyFont="1" applyAlignment="1">
      <alignment horizontal="left" indent="1"/>
    </xf>
    <xf numFmtId="0" fontId="3" fillId="0" borderId="14" xfId="0" applyFont="1" applyBorder="1" applyAlignment="1">
      <alignment horizontal="center"/>
    </xf>
    <xf numFmtId="41" fontId="124" fillId="0" borderId="0" xfId="0" applyNumberFormat="1" applyFont="1"/>
    <xf numFmtId="0" fontId="130" fillId="0" borderId="0" xfId="0" applyFont="1"/>
    <xf numFmtId="0" fontId="0" fillId="16" borderId="0" xfId="0" applyFill="1"/>
    <xf numFmtId="0" fontId="0" fillId="16" borderId="0" xfId="0" applyFill="1" applyAlignment="1">
      <alignment wrapText="1"/>
    </xf>
    <xf numFmtId="0" fontId="126" fillId="15" borderId="0" xfId="0" applyFont="1" applyFill="1" applyAlignment="1">
      <alignment horizontal="right"/>
    </xf>
    <xf numFmtId="0" fontId="126" fillId="16" borderId="0" xfId="0" applyFont="1" applyFill="1" applyAlignment="1">
      <alignment horizontal="right"/>
    </xf>
    <xf numFmtId="0" fontId="128" fillId="0" borderId="0" xfId="0" applyFont="1" applyAlignment="1">
      <alignment wrapText="1"/>
    </xf>
    <xf numFmtId="0" fontId="127" fillId="0" borderId="0" xfId="0" applyFont="1" applyAlignment="1">
      <alignment horizontal="left" vertical="top" wrapText="1"/>
    </xf>
    <xf numFmtId="0" fontId="126" fillId="15" borderId="0" xfId="0" applyFont="1" applyFill="1" applyAlignment="1">
      <alignment vertical="top"/>
    </xf>
    <xf numFmtId="0" fontId="126" fillId="16" borderId="0" xfId="0" applyFont="1" applyFill="1" applyAlignment="1">
      <alignment vertical="top"/>
    </xf>
    <xf numFmtId="206" fontId="0" fillId="0" borderId="0" xfId="0" applyNumberFormat="1" applyAlignment="1">
      <alignment horizontal="right"/>
    </xf>
    <xf numFmtId="207" fontId="0" fillId="0" borderId="0" xfId="0" applyNumberFormat="1" applyAlignment="1">
      <alignment horizontal="right"/>
    </xf>
    <xf numFmtId="0" fontId="129" fillId="0" borderId="0" xfId="0" applyFont="1"/>
    <xf numFmtId="208" fontId="0" fillId="0" borderId="0" xfId="0" applyNumberFormat="1" applyAlignment="1">
      <alignment horizontal="right"/>
    </xf>
    <xf numFmtId="0" fontId="10" fillId="0" borderId="0" xfId="0" applyFont="1"/>
    <xf numFmtId="172" fontId="112" fillId="0" borderId="0" xfId="0" applyNumberFormat="1" applyFont="1"/>
    <xf numFmtId="43" fontId="13" fillId="0" borderId="0" xfId="0" applyNumberFormat="1" applyFont="1"/>
    <xf numFmtId="17" fontId="3" fillId="0" borderId="0" xfId="0" applyNumberFormat="1" applyFont="1" applyAlignment="1">
      <alignment horizontal="center"/>
    </xf>
    <xf numFmtId="17" fontId="3" fillId="0" borderId="14" xfId="0" applyNumberFormat="1" applyFont="1" applyBorder="1" applyAlignment="1">
      <alignment horizontal="center"/>
    </xf>
    <xf numFmtId="38" fontId="6" fillId="0" borderId="0" xfId="0" applyNumberFormat="1" applyFont="1"/>
    <xf numFmtId="38" fontId="0" fillId="0" borderId="0" xfId="0" applyNumberFormat="1"/>
    <xf numFmtId="209" fontId="0" fillId="0" borderId="0" xfId="0" applyNumberFormat="1"/>
    <xf numFmtId="9" fontId="3" fillId="0" borderId="14" xfId="1" applyFont="1" applyFill="1" applyBorder="1"/>
    <xf numFmtId="9" fontId="3" fillId="0" borderId="0" xfId="1" applyFont="1" applyFill="1" applyBorder="1"/>
    <xf numFmtId="38" fontId="0" fillId="0" borderId="14" xfId="0" applyNumberFormat="1" applyBorder="1"/>
    <xf numFmtId="9" fontId="3" fillId="0" borderId="14" xfId="1" applyFont="1" applyFill="1" applyBorder="1" applyAlignment="1"/>
    <xf numFmtId="0" fontId="6" fillId="0" borderId="0" xfId="0" applyFont="1"/>
    <xf numFmtId="37" fontId="9" fillId="0" borderId="0" xfId="0" applyNumberFormat="1" applyFont="1"/>
    <xf numFmtId="168" fontId="2" fillId="0" borderId="0" xfId="0" applyNumberFormat="1" applyFont="1" applyAlignment="1">
      <alignment horizontal="right"/>
    </xf>
    <xf numFmtId="168" fontId="2" fillId="0" borderId="0" xfId="3" applyNumberFormat="1" applyFont="1" applyFill="1" applyBorder="1" applyAlignment="1">
      <alignment horizontal="right"/>
    </xf>
    <xf numFmtId="168" fontId="2" fillId="0" borderId="0" xfId="3" applyNumberFormat="1" applyFont="1" applyFill="1" applyBorder="1" applyAlignment="1"/>
    <xf numFmtId="168" fontId="2" fillId="0" borderId="14" xfId="3" applyNumberFormat="1" applyFont="1" applyFill="1" applyBorder="1" applyAlignment="1"/>
    <xf numFmtId="0" fontId="4" fillId="0" borderId="0" xfId="0" applyFont="1" applyAlignment="1">
      <alignment horizontal="centerContinuous"/>
    </xf>
    <xf numFmtId="0" fontId="4" fillId="0" borderId="14" xfId="0" applyFont="1" applyBorder="1" applyAlignment="1">
      <alignment horizontal="centerContinuous"/>
    </xf>
    <xf numFmtId="17" fontId="2" fillId="0" borderId="0" xfId="0" applyNumberFormat="1" applyFont="1" applyAlignment="1">
      <alignment horizontal="center"/>
    </xf>
    <xf numFmtId="17" fontId="2" fillId="0" borderId="14" xfId="0" applyNumberFormat="1" applyFont="1" applyBorder="1" applyAlignment="1">
      <alignment horizontal="center"/>
    </xf>
    <xf numFmtId="17" fontId="0" fillId="0" borderId="0" xfId="0" applyNumberFormat="1"/>
    <xf numFmtId="38" fontId="9" fillId="0" borderId="0" xfId="0" applyNumberFormat="1" applyFont="1"/>
    <xf numFmtId="38" fontId="9" fillId="0" borderId="14" xfId="0" applyNumberFormat="1" applyFont="1" applyBorder="1"/>
    <xf numFmtId="37" fontId="9" fillId="0" borderId="14" xfId="0" applyNumberFormat="1" applyFont="1" applyBorder="1"/>
    <xf numFmtId="0" fontId="5" fillId="0" borderId="0" xfId="0" applyFont="1" applyAlignment="1">
      <alignment horizontal="left" indent="1"/>
    </xf>
    <xf numFmtId="9" fontId="5" fillId="0" borderId="0" xfId="1" applyFont="1" applyFill="1" applyBorder="1"/>
    <xf numFmtId="9" fontId="5" fillId="0" borderId="0" xfId="1" applyFont="1" applyFill="1" applyBorder="1" applyAlignment="1"/>
    <xf numFmtId="168" fontId="5" fillId="0" borderId="0" xfId="0" applyNumberFormat="1" applyFont="1" applyAlignment="1">
      <alignment horizontal="right"/>
    </xf>
    <xf numFmtId="168" fontId="5" fillId="0" borderId="0" xfId="3" applyNumberFormat="1" applyFont="1" applyFill="1" applyBorder="1" applyAlignment="1">
      <alignment horizontal="right"/>
    </xf>
    <xf numFmtId="168" fontId="5" fillId="0" borderId="0" xfId="3" applyNumberFormat="1" applyFont="1" applyFill="1" applyBorder="1" applyAlignment="1"/>
    <xf numFmtId="168" fontId="5" fillId="0" borderId="14" xfId="3" applyNumberFormat="1" applyFont="1" applyFill="1" applyBorder="1" applyAlignment="1"/>
    <xf numFmtId="9" fontId="15" fillId="0" borderId="0" xfId="1" applyFont="1" applyFill="1" applyBorder="1" applyAlignment="1"/>
    <xf numFmtId="182" fontId="9" fillId="0" borderId="0" xfId="0" applyNumberFormat="1" applyFont="1"/>
    <xf numFmtId="182" fontId="9" fillId="0" borderId="14" xfId="0" applyNumberFormat="1" applyFont="1" applyBorder="1"/>
    <xf numFmtId="9" fontId="15" fillId="0" borderId="0" xfId="1" applyFont="1" applyFill="1" applyBorder="1"/>
    <xf numFmtId="182" fontId="16" fillId="0" borderId="0" xfId="0" applyNumberFormat="1" applyFont="1"/>
    <xf numFmtId="172" fontId="9" fillId="0" borderId="0" xfId="0" applyNumberFormat="1" applyFont="1"/>
    <xf numFmtId="172" fontId="9" fillId="0" borderId="14" xfId="0" applyNumberFormat="1" applyFont="1" applyBorder="1"/>
    <xf numFmtId="0" fontId="111" fillId="0" borderId="0" xfId="0" applyFont="1" applyAlignment="1">
      <alignment horizontal="center"/>
    </xf>
    <xf numFmtId="4" fontId="0" fillId="0" borderId="0" xfId="0" applyNumberFormat="1"/>
    <xf numFmtId="14" fontId="11" fillId="0" borderId="0" xfId="0" applyNumberFormat="1" applyFont="1"/>
    <xf numFmtId="181" fontId="0" fillId="0" borderId="0" xfId="1" applyNumberFormat="1" applyFont="1" applyFill="1" applyBorder="1"/>
    <xf numFmtId="38" fontId="124" fillId="0" borderId="0" xfId="0" applyNumberFormat="1" applyFont="1"/>
    <xf numFmtId="38" fontId="6" fillId="0" borderId="14" xfId="0" applyNumberFormat="1" applyFont="1" applyBorder="1"/>
    <xf numFmtId="0" fontId="112" fillId="0" borderId="0" xfId="0" applyFont="1" applyAlignment="1">
      <alignment horizontal="left" indent="1"/>
    </xf>
    <xf numFmtId="0" fontId="107" fillId="0" borderId="0" xfId="0" applyFont="1"/>
    <xf numFmtId="0" fontId="13" fillId="0" borderId="0" xfId="0" applyFont="1" applyAlignment="1">
      <alignment horizontal="left" indent="2"/>
    </xf>
    <xf numFmtId="0" fontId="112" fillId="0" borderId="0" xfId="0" applyFont="1"/>
    <xf numFmtId="0" fontId="108" fillId="0" borderId="0" xfId="0" applyFont="1"/>
    <xf numFmtId="0" fontId="108" fillId="0" borderId="0" xfId="0" applyFont="1" applyAlignment="1">
      <alignment horizontal="left" indent="2"/>
    </xf>
    <xf numFmtId="9" fontId="108" fillId="0" borderId="0" xfId="1" applyFont="1" applyFill="1"/>
    <xf numFmtId="170" fontId="0" fillId="0" borderId="0" xfId="0" applyNumberFormat="1"/>
    <xf numFmtId="8" fontId="133" fillId="0" borderId="0" xfId="0" applyNumberFormat="1" applyFont="1"/>
    <xf numFmtId="0" fontId="133" fillId="0" borderId="0" xfId="0" applyFont="1"/>
    <xf numFmtId="168" fontId="9" fillId="0" borderId="0" xfId="0" applyNumberFormat="1" applyFont="1"/>
    <xf numFmtId="168" fontId="9" fillId="0" borderId="0" xfId="3" applyNumberFormat="1" applyFont="1" applyBorder="1"/>
    <xf numFmtId="168" fontId="10" fillId="0" borderId="0" xfId="3" applyNumberFormat="1" applyFont="1" applyBorder="1"/>
    <xf numFmtId="168" fontId="25" fillId="0" borderId="0" xfId="3" applyNumberFormat="1" applyFont="1" applyBorder="1" applyAlignment="1">
      <alignment horizontal="left" indent="1"/>
    </xf>
    <xf numFmtId="168" fontId="25" fillId="0" borderId="0" xfId="3" applyNumberFormat="1" applyFont="1" applyBorder="1"/>
    <xf numFmtId="168" fontId="9" fillId="0" borderId="0" xfId="3" applyNumberFormat="1" applyFont="1" applyBorder="1" applyAlignment="1">
      <alignment horizontal="left" indent="1"/>
    </xf>
    <xf numFmtId="0" fontId="112" fillId="0" borderId="0" xfId="0" applyFont="1" applyAlignment="1">
      <alignment horizontal="left" indent="2"/>
    </xf>
    <xf numFmtId="205" fontId="13" fillId="0" borderId="0" xfId="0" applyNumberFormat="1" applyFont="1" applyAlignment="1">
      <alignment horizontal="left" indent="2"/>
    </xf>
    <xf numFmtId="205" fontId="108" fillId="0" borderId="0" xfId="0" applyNumberFormat="1" applyFont="1" applyAlignment="1">
      <alignment horizontal="left" indent="3"/>
    </xf>
    <xf numFmtId="172" fontId="116" fillId="0" borderId="0" xfId="0" applyNumberFormat="1" applyFont="1"/>
    <xf numFmtId="0" fontId="134" fillId="0" borderId="0" xfId="0" applyFont="1"/>
    <xf numFmtId="172" fontId="134" fillId="0" borderId="0" xfId="0" applyNumberFormat="1" applyFont="1"/>
    <xf numFmtId="205" fontId="13" fillId="0" borderId="0" xfId="0" applyNumberFormat="1" applyFont="1" applyAlignment="1">
      <alignment horizontal="left" indent="4"/>
    </xf>
    <xf numFmtId="205" fontId="13" fillId="0" borderId="0" xfId="0" applyNumberFormat="1" applyFont="1" applyAlignment="1">
      <alignment horizontal="left" indent="3"/>
    </xf>
    <xf numFmtId="0" fontId="134" fillId="0" borderId="0" xfId="0" applyFont="1" applyAlignment="1">
      <alignment horizontal="left" indent="2"/>
    </xf>
    <xf numFmtId="168" fontId="13" fillId="0" borderId="0" xfId="3" applyNumberFormat="1" applyFont="1" applyBorder="1" applyAlignment="1">
      <alignment horizontal="left" indent="2"/>
    </xf>
    <xf numFmtId="168" fontId="13" fillId="0" borderId="0" xfId="3" applyNumberFormat="1" applyFont="1" applyBorder="1"/>
    <xf numFmtId="168" fontId="13" fillId="0" borderId="0" xfId="3" applyNumberFormat="1" applyFont="1" applyBorder="1" applyAlignment="1">
      <alignment horizontal="left" indent="3"/>
    </xf>
    <xf numFmtId="168" fontId="108" fillId="0" borderId="0" xfId="3" applyNumberFormat="1" applyFont="1" applyBorder="1" applyAlignment="1">
      <alignment horizontal="left" indent="4"/>
    </xf>
    <xf numFmtId="168" fontId="108" fillId="0" borderId="0" xfId="3" applyNumberFormat="1" applyFont="1" applyBorder="1"/>
    <xf numFmtId="14" fontId="9" fillId="0" borderId="0" xfId="0" applyNumberFormat="1" applyFont="1"/>
    <xf numFmtId="43" fontId="9" fillId="0" borderId="0" xfId="3" applyFont="1" applyBorder="1"/>
    <xf numFmtId="172" fontId="135" fillId="0" borderId="0" xfId="0" applyNumberFormat="1" applyFont="1" applyAlignment="1">
      <alignment horizontal="right"/>
    </xf>
    <xf numFmtId="0" fontId="9" fillId="0" borderId="0" xfId="0" applyFont="1" applyAlignment="1">
      <alignment horizontal="left" indent="4"/>
    </xf>
    <xf numFmtId="8" fontId="16" fillId="0" borderId="0" xfId="0" applyNumberFormat="1" applyFont="1"/>
    <xf numFmtId="8" fontId="33" fillId="0" borderId="0" xfId="0" applyNumberFormat="1" applyFont="1"/>
    <xf numFmtId="184" fontId="33" fillId="0" borderId="0" xfId="3" applyNumberFormat="1" applyFont="1" applyBorder="1"/>
    <xf numFmtId="3" fontId="9" fillId="0" borderId="0" xfId="0" applyNumberFormat="1" applyFont="1"/>
    <xf numFmtId="10" fontId="2" fillId="0" borderId="0" xfId="1" applyNumberFormat="1" applyFont="1"/>
    <xf numFmtId="38" fontId="124" fillId="0" borderId="14" xfId="0" applyNumberFormat="1" applyFont="1" applyBorder="1"/>
    <xf numFmtId="0" fontId="0" fillId="0" borderId="14" xfId="0" applyBorder="1" applyAlignment="1">
      <alignment horizontal="center"/>
    </xf>
    <xf numFmtId="182" fontId="107" fillId="0" borderId="14" xfId="0" applyNumberFormat="1" applyFont="1" applyBorder="1"/>
    <xf numFmtId="182" fontId="0" fillId="0" borderId="14" xfId="0" applyNumberFormat="1" applyBorder="1"/>
    <xf numFmtId="182" fontId="8" fillId="0" borderId="14" xfId="0" applyNumberFormat="1" applyFont="1" applyBorder="1"/>
    <xf numFmtId="37" fontId="136" fillId="0" borderId="0" xfId="0" applyNumberFormat="1" applyFont="1" applyAlignment="1">
      <alignment horizontal="center"/>
    </xf>
    <xf numFmtId="41" fontId="137" fillId="0" borderId="0" xfId="0" applyNumberFormat="1" applyFont="1"/>
    <xf numFmtId="37" fontId="96" fillId="0" borderId="0" xfId="0" applyNumberFormat="1" applyFont="1"/>
    <xf numFmtId="168" fontId="8" fillId="0" borderId="0" xfId="3" applyNumberFormat="1" applyFont="1"/>
    <xf numFmtId="181" fontId="3" fillId="0" borderId="0" xfId="1" applyNumberFormat="1" applyFont="1"/>
    <xf numFmtId="0" fontId="119" fillId="0" borderId="0" xfId="0" applyFont="1" applyAlignment="1">
      <alignment horizontal="left"/>
    </xf>
    <xf numFmtId="41" fontId="2" fillId="0" borderId="0" xfId="1" applyNumberFormat="1" applyFont="1"/>
    <xf numFmtId="184" fontId="14" fillId="0" borderId="0" xfId="3" applyNumberFormat="1" applyFont="1"/>
    <xf numFmtId="184" fontId="0" fillId="0" borderId="0" xfId="3" applyNumberFormat="1" applyFont="1"/>
    <xf numFmtId="184" fontId="3" fillId="0" borderId="0" xfId="3" applyNumberFormat="1" applyFont="1"/>
    <xf numFmtId="184" fontId="111" fillId="0" borderId="0" xfId="3" applyNumberFormat="1" applyFont="1"/>
    <xf numFmtId="184" fontId="5" fillId="0" borderId="0" xfId="3" applyNumberFormat="1" applyFont="1"/>
    <xf numFmtId="41" fontId="16" fillId="0" borderId="0" xfId="0" applyNumberFormat="1" applyFont="1" applyAlignment="1">
      <alignment vertical="center"/>
    </xf>
    <xf numFmtId="41" fontId="138" fillId="0" borderId="0" xfId="0" applyNumberFormat="1" applyFont="1"/>
    <xf numFmtId="165" fontId="3" fillId="0" borderId="0" xfId="0" applyNumberFormat="1" applyFont="1"/>
    <xf numFmtId="210" fontId="6" fillId="2" borderId="0" xfId="0" applyNumberFormat="1" applyFont="1" applyFill="1"/>
    <xf numFmtId="0" fontId="0" fillId="0" borderId="0" xfId="0" quotePrefix="1"/>
    <xf numFmtId="211" fontId="3" fillId="0" borderId="0" xfId="0" applyNumberFormat="1" applyFont="1"/>
    <xf numFmtId="210" fontId="3" fillId="0" borderId="0" xfId="0" applyNumberFormat="1" applyFont="1"/>
    <xf numFmtId="41" fontId="6" fillId="0" borderId="0" xfId="0" quotePrefix="1" applyNumberFormat="1" applyFont="1" applyAlignment="1">
      <alignment horizontal="right"/>
    </xf>
    <xf numFmtId="41" fontId="139" fillId="0" borderId="0" xfId="0" applyNumberFormat="1" applyFont="1"/>
    <xf numFmtId="168" fontId="19" fillId="0" borderId="0" xfId="3" applyNumberFormat="1" applyFont="1"/>
    <xf numFmtId="0" fontId="16" fillId="0" borderId="0" xfId="0" applyFont="1"/>
    <xf numFmtId="41" fontId="16" fillId="0" borderId="14" xfId="0" applyNumberFormat="1" applyFont="1" applyBorder="1"/>
    <xf numFmtId="0" fontId="110" fillId="0" borderId="0" xfId="0" applyFont="1"/>
    <xf numFmtId="0" fontId="140" fillId="0" borderId="0" xfId="0" applyFont="1" applyAlignment="1">
      <alignment horizontal="left"/>
    </xf>
    <xf numFmtId="41" fontId="18" fillId="0" borderId="0" xfId="0" applyNumberFormat="1" applyFont="1"/>
    <xf numFmtId="41" fontId="120" fillId="0" borderId="0" xfId="0" applyNumberFormat="1" applyFont="1"/>
    <xf numFmtId="41" fontId="113" fillId="0" borderId="0" xfId="0" applyNumberFormat="1" applyFont="1"/>
    <xf numFmtId="41" fontId="106" fillId="0" borderId="0" xfId="0" applyNumberFormat="1" applyFont="1"/>
    <xf numFmtId="0" fontId="140" fillId="0" borderId="0" xfId="0" applyFont="1"/>
    <xf numFmtId="0" fontId="14" fillId="0" borderId="0" xfId="0" applyFont="1" applyAlignment="1">
      <alignment horizontal="left" vertical="center" indent="2"/>
    </xf>
    <xf numFmtId="0" fontId="3" fillId="0" borderId="0" xfId="0" applyFont="1" applyAlignment="1">
      <alignment horizontal="left" vertical="center" indent="2"/>
    </xf>
    <xf numFmtId="41" fontId="18" fillId="0" borderId="0" xfId="0" applyNumberFormat="1" applyFont="1" applyAlignment="1">
      <alignment horizontal="right"/>
    </xf>
    <xf numFmtId="43" fontId="18" fillId="0" borderId="0" xfId="0" applyNumberFormat="1" applyFont="1" applyAlignment="1">
      <alignment horizontal="right"/>
    </xf>
    <xf numFmtId="0" fontId="2" fillId="0" borderId="0" xfId="0" applyFont="1" applyAlignment="1">
      <alignment wrapText="1"/>
    </xf>
    <xf numFmtId="0" fontId="2" fillId="0" borderId="1" xfId="0" applyFont="1" applyBorder="1" applyAlignment="1">
      <alignment wrapText="1"/>
    </xf>
    <xf numFmtId="41" fontId="7" fillId="0" borderId="0" xfId="0" applyNumberFormat="1" applyFont="1" applyAlignment="1">
      <alignment horizontal="right"/>
    </xf>
    <xf numFmtId="210" fontId="13" fillId="0" borderId="0" xfId="0" applyNumberFormat="1" applyFont="1" applyAlignment="1">
      <alignment horizontal="right"/>
    </xf>
    <xf numFmtId="41" fontId="2" fillId="0" borderId="0" xfId="0" applyNumberFormat="1" applyFont="1" applyAlignment="1">
      <alignment horizontal="right"/>
    </xf>
    <xf numFmtId="41" fontId="3" fillId="0" borderId="0" xfId="0" applyNumberFormat="1" applyFont="1" applyAlignment="1">
      <alignment horizontal="right"/>
    </xf>
    <xf numFmtId="41" fontId="141" fillId="0" borderId="0" xfId="0" applyNumberFormat="1" applyFont="1"/>
    <xf numFmtId="9" fontId="9" fillId="0" borderId="0" xfId="1" applyFont="1"/>
    <xf numFmtId="9" fontId="16" fillId="0" borderId="0" xfId="0" applyNumberFormat="1" applyFont="1"/>
    <xf numFmtId="0" fontId="3" fillId="3" borderId="0" xfId="0" applyFont="1" applyFill="1" applyAlignment="1">
      <alignment horizontal="left" indent="1"/>
    </xf>
    <xf numFmtId="164" fontId="3" fillId="3" borderId="0" xfId="0" applyNumberFormat="1" applyFont="1" applyFill="1" applyAlignment="1">
      <alignment horizontal="right"/>
    </xf>
    <xf numFmtId="210" fontId="0" fillId="0" borderId="0" xfId="0" applyNumberFormat="1"/>
    <xf numFmtId="184" fontId="15" fillId="0" borderId="0" xfId="3" applyNumberFormat="1" applyFont="1"/>
    <xf numFmtId="182" fontId="14" fillId="0" borderId="0" xfId="0" applyNumberFormat="1" applyFont="1"/>
    <xf numFmtId="182" fontId="113" fillId="0" borderId="0" xfId="0" applyNumberFormat="1" applyFont="1"/>
    <xf numFmtId="182" fontId="14" fillId="0" borderId="0" xfId="0" applyNumberFormat="1" applyFont="1" applyAlignment="1">
      <alignment horizontal="right"/>
    </xf>
    <xf numFmtId="182" fontId="5" fillId="0" borderId="0" xfId="0" applyNumberFormat="1" applyFont="1"/>
    <xf numFmtId="182" fontId="116" fillId="0" borderId="0" xfId="0" applyNumberFormat="1" applyFont="1"/>
    <xf numFmtId="182" fontId="5" fillId="0" borderId="0" xfId="0" applyNumberFormat="1" applyFont="1" applyAlignment="1">
      <alignment horizontal="right"/>
    </xf>
    <xf numFmtId="212" fontId="13" fillId="0" borderId="0" xfId="0" applyNumberFormat="1" applyFont="1"/>
    <xf numFmtId="41" fontId="124" fillId="0" borderId="0" xfId="0" applyNumberFormat="1" applyFont="1" applyAlignment="1">
      <alignment horizontal="right"/>
    </xf>
    <xf numFmtId="0" fontId="126" fillId="0" borderId="0" xfId="0" applyFont="1" applyAlignment="1">
      <alignment horizontal="left" vertical="top" wrapText="1" indent="1"/>
    </xf>
    <xf numFmtId="0" fontId="126" fillId="0" borderId="0" xfId="0" applyFont="1" applyAlignment="1">
      <alignment vertical="top"/>
    </xf>
    <xf numFmtId="0" fontId="126" fillId="0" borderId="0" xfId="0" applyFont="1" applyAlignment="1">
      <alignment horizontal="left" vertical="top" wrapText="1" indent="2"/>
    </xf>
    <xf numFmtId="0" fontId="0" fillId="20" borderId="0" xfId="0" applyFill="1"/>
    <xf numFmtId="0" fontId="9" fillId="20" borderId="0" xfId="0" applyFont="1" applyFill="1"/>
    <xf numFmtId="0" fontId="10" fillId="20" borderId="0" xfId="0" applyFont="1" applyFill="1"/>
    <xf numFmtId="0" fontId="25" fillId="20" borderId="0" xfId="0" applyFont="1" applyFill="1"/>
    <xf numFmtId="0" fontId="3" fillId="20" borderId="0" xfId="0" applyFont="1" applyFill="1"/>
    <xf numFmtId="0" fontId="14" fillId="20" borderId="0" xfId="0" applyFont="1" applyFill="1"/>
    <xf numFmtId="0" fontId="5" fillId="20" borderId="0" xfId="0" applyFont="1" applyFill="1"/>
    <xf numFmtId="0" fontId="13" fillId="20" borderId="0" xfId="0" applyFont="1" applyFill="1"/>
    <xf numFmtId="0" fontId="112" fillId="20" borderId="0" xfId="0" applyFont="1" applyFill="1"/>
    <xf numFmtId="0" fontId="115" fillId="20" borderId="0" xfId="0" applyFont="1" applyFill="1"/>
    <xf numFmtId="0" fontId="109" fillId="20" borderId="0" xfId="0" applyFont="1" applyFill="1"/>
    <xf numFmtId="0" fontId="108" fillId="20" borderId="0" xfId="0" applyFont="1" applyFill="1"/>
    <xf numFmtId="0" fontId="9" fillId="21" borderId="0" xfId="0" applyFont="1" applyFill="1"/>
    <xf numFmtId="0" fontId="105" fillId="21" borderId="0" xfId="0" applyFont="1" applyFill="1" applyAlignment="1">
      <alignment horizontal="centerContinuous"/>
    </xf>
    <xf numFmtId="0" fontId="3" fillId="21" borderId="0" xfId="0" applyFont="1" applyFill="1" applyAlignment="1">
      <alignment horizontal="centerContinuous"/>
    </xf>
    <xf numFmtId="0" fontId="105" fillId="20" borderId="0" xfId="0" applyFont="1" applyFill="1" applyAlignment="1">
      <alignment horizontal="centerContinuous"/>
    </xf>
    <xf numFmtId="0" fontId="3" fillId="20" borderId="0" xfId="0" applyFont="1" applyFill="1" applyAlignment="1">
      <alignment horizontal="centerContinuous"/>
    </xf>
    <xf numFmtId="41" fontId="0" fillId="0" borderId="0" xfId="0" applyNumberFormat="1" applyAlignment="1">
      <alignment horizontal="left" indent="1"/>
    </xf>
    <xf numFmtId="0" fontId="2" fillId="0" borderId="15" xfId="0" applyFont="1" applyBorder="1"/>
    <xf numFmtId="41" fontId="2" fillId="0" borderId="9" xfId="0" applyNumberFormat="1" applyFont="1" applyBorder="1"/>
    <xf numFmtId="0" fontId="2" fillId="0" borderId="9" xfId="0" applyFont="1" applyBorder="1"/>
    <xf numFmtId="0" fontId="5" fillId="0" borderId="11" xfId="0" applyFont="1" applyBorder="1" applyAlignment="1">
      <alignment horizontal="left" indent="1"/>
    </xf>
    <xf numFmtId="172" fontId="108" fillId="0" borderId="1" xfId="0" applyNumberFormat="1" applyFont="1" applyBorder="1"/>
    <xf numFmtId="0" fontId="5" fillId="0" borderId="1" xfId="0" applyFont="1" applyBorder="1" applyAlignment="1">
      <alignment horizontal="left" indent="1"/>
    </xf>
    <xf numFmtId="172" fontId="108" fillId="0" borderId="12" xfId="0" applyNumberFormat="1" applyFont="1" applyBorder="1"/>
    <xf numFmtId="0" fontId="2" fillId="0" borderId="16" xfId="0" applyFont="1" applyBorder="1"/>
    <xf numFmtId="0" fontId="0" fillId="22" borderId="0" xfId="0" applyFill="1" applyAlignment="1">
      <alignment horizontal="right"/>
    </xf>
    <xf numFmtId="0" fontId="0" fillId="22" borderId="0" xfId="0" applyFill="1"/>
    <xf numFmtId="0" fontId="3" fillId="22" borderId="0" xfId="0" applyFont="1" applyFill="1" applyAlignment="1">
      <alignment horizontal="right"/>
    </xf>
    <xf numFmtId="0" fontId="2" fillId="22" borderId="30" xfId="0" applyFont="1" applyFill="1" applyBorder="1"/>
    <xf numFmtId="41" fontId="2" fillId="22" borderId="31" xfId="0" applyNumberFormat="1" applyFont="1" applyFill="1" applyBorder="1"/>
    <xf numFmtId="0" fontId="2" fillId="22" borderId="31" xfId="0" applyFont="1" applyFill="1" applyBorder="1"/>
    <xf numFmtId="0" fontId="2" fillId="22" borderId="32" xfId="0" applyFont="1" applyFill="1" applyBorder="1"/>
    <xf numFmtId="0" fontId="5" fillId="22" borderId="33" xfId="0" applyFont="1" applyFill="1" applyBorder="1" applyAlignment="1">
      <alignment horizontal="left" indent="1"/>
    </xf>
    <xf numFmtId="172" fontId="108" fillId="22" borderId="34" xfId="0" applyNumberFormat="1" applyFont="1" applyFill="1" applyBorder="1"/>
    <xf numFmtId="0" fontId="2" fillId="22" borderId="34" xfId="0" applyFont="1" applyFill="1" applyBorder="1"/>
    <xf numFmtId="0" fontId="5" fillId="22" borderId="34" xfId="0" applyFont="1" applyFill="1" applyBorder="1" applyAlignment="1">
      <alignment horizontal="left" indent="1"/>
    </xf>
    <xf numFmtId="172" fontId="108" fillId="22" borderId="35" xfId="0" applyNumberFormat="1" applyFont="1" applyFill="1" applyBorder="1"/>
    <xf numFmtId="0" fontId="11" fillId="23" borderId="0" xfId="0" applyFont="1" applyFill="1"/>
    <xf numFmtId="0" fontId="111" fillId="23" borderId="0" xfId="0" applyFont="1" applyFill="1"/>
    <xf numFmtId="0" fontId="11" fillId="8" borderId="0" xfId="0" applyFont="1" applyFill="1"/>
    <xf numFmtId="0" fontId="111" fillId="8" borderId="0" xfId="0" applyFont="1" applyFill="1"/>
    <xf numFmtId="0" fontId="0" fillId="0" borderId="1" xfId="0" applyBorder="1" applyAlignment="1">
      <alignment horizontal="center"/>
    </xf>
    <xf numFmtId="0" fontId="111" fillId="8" borderId="0" xfId="0" applyFont="1" applyFill="1" applyAlignment="1">
      <alignment horizontal="center"/>
    </xf>
    <xf numFmtId="172" fontId="13" fillId="0" borderId="0" xfId="0" applyNumberFormat="1" applyFont="1" applyAlignment="1">
      <alignment horizontal="center"/>
    </xf>
    <xf numFmtId="0" fontId="2" fillId="0" borderId="9" xfId="0" applyFont="1" applyBorder="1" applyAlignment="1">
      <alignment horizontal="center"/>
    </xf>
    <xf numFmtId="172" fontId="112" fillId="0" borderId="0" xfId="0" applyNumberFormat="1" applyFont="1" applyAlignment="1">
      <alignment horizontal="center"/>
    </xf>
    <xf numFmtId="0" fontId="111" fillId="23" borderId="0" xfId="0" applyFont="1" applyFill="1" applyAlignment="1">
      <alignment horizontal="center"/>
    </xf>
    <xf numFmtId="0" fontId="2" fillId="22" borderId="31" xfId="0" applyFont="1" applyFill="1" applyBorder="1" applyAlignment="1">
      <alignment horizontal="center"/>
    </xf>
    <xf numFmtId="0" fontId="2" fillId="22" borderId="34" xfId="0" applyFont="1" applyFill="1" applyBorder="1" applyAlignment="1">
      <alignment horizontal="center"/>
    </xf>
    <xf numFmtId="41" fontId="0" fillId="0" borderId="0" xfId="0" applyNumberFormat="1" applyAlignment="1">
      <alignment horizontal="center"/>
    </xf>
    <xf numFmtId="41" fontId="8" fillId="0" borderId="0" xfId="0" applyNumberFormat="1" applyFont="1" applyAlignment="1">
      <alignment horizontal="center"/>
    </xf>
    <xf numFmtId="41" fontId="2" fillId="0" borderId="0" xfId="0" applyNumberFormat="1" applyFont="1" applyAlignment="1">
      <alignment horizontal="center"/>
    </xf>
    <xf numFmtId="172" fontId="108" fillId="0" borderId="0" xfId="0" applyNumberFormat="1" applyFont="1" applyAlignment="1">
      <alignment horizontal="center"/>
    </xf>
    <xf numFmtId="13" fontId="25" fillId="0" borderId="0" xfId="0" applyNumberFormat="1" applyFont="1"/>
    <xf numFmtId="41" fontId="139" fillId="0" borderId="0" xfId="0" applyNumberFormat="1" applyFont="1" applyAlignment="1">
      <alignment horizontal="right"/>
    </xf>
    <xf numFmtId="210" fontId="9" fillId="0" borderId="0" xfId="0" applyNumberFormat="1" applyFont="1"/>
    <xf numFmtId="168" fontId="6" fillId="0" borderId="0" xfId="3" quotePrefix="1" applyNumberFormat="1" applyFont="1"/>
    <xf numFmtId="168" fontId="6" fillId="0" borderId="0" xfId="3" applyNumberFormat="1" applyFont="1" applyAlignment="1">
      <alignment horizontal="right"/>
    </xf>
    <xf numFmtId="16" fontId="6" fillId="0" borderId="0" xfId="0" quotePrefix="1" applyNumberFormat="1" applyFont="1" applyAlignment="1">
      <alignment horizontal="right"/>
    </xf>
    <xf numFmtId="168" fontId="2" fillId="0" borderId="0" xfId="0" applyNumberFormat="1" applyFont="1"/>
    <xf numFmtId="168" fontId="7" fillId="0" borderId="0" xfId="3" applyNumberFormat="1" applyFont="1" applyAlignment="1">
      <alignment horizontal="right"/>
    </xf>
    <xf numFmtId="168" fontId="7" fillId="0" borderId="0" xfId="3" quotePrefix="1" applyNumberFormat="1" applyFont="1"/>
    <xf numFmtId="3" fontId="2" fillId="0" borderId="0" xfId="0" applyNumberFormat="1" applyFont="1"/>
    <xf numFmtId="172" fontId="107" fillId="6" borderId="0" xfId="0" applyNumberFormat="1" applyFont="1" applyFill="1"/>
    <xf numFmtId="166" fontId="5" fillId="6" borderId="0" xfId="0" applyNumberFormat="1" applyFont="1" applyFill="1" applyAlignment="1">
      <alignment horizontal="right"/>
    </xf>
    <xf numFmtId="0" fontId="4" fillId="6" borderId="0" xfId="0" applyFont="1" applyFill="1" applyAlignment="1">
      <alignment horizontal="center"/>
    </xf>
    <xf numFmtId="164" fontId="13" fillId="6" borderId="0" xfId="0" applyNumberFormat="1" applyFont="1" applyFill="1" applyAlignment="1">
      <alignment horizontal="right"/>
    </xf>
    <xf numFmtId="164" fontId="108" fillId="6" borderId="0" xfId="0" applyNumberFormat="1" applyFont="1" applyFill="1" applyAlignment="1">
      <alignment horizontal="right"/>
    </xf>
    <xf numFmtId="182" fontId="12" fillId="0" borderId="0" xfId="0" applyNumberFormat="1" applyFont="1"/>
    <xf numFmtId="182" fontId="120" fillId="0" borderId="0" xfId="0" applyNumberFormat="1" applyFont="1"/>
    <xf numFmtId="166" fontId="3" fillId="3" borderId="0" xfId="0" applyNumberFormat="1" applyFont="1" applyFill="1" applyAlignment="1">
      <alignment horizontal="right"/>
    </xf>
    <xf numFmtId="166" fontId="3" fillId="3" borderId="0" xfId="0" applyNumberFormat="1" applyFont="1" applyFill="1"/>
    <xf numFmtId="166" fontId="13" fillId="3" borderId="0" xfId="0" applyNumberFormat="1" applyFont="1" applyFill="1" applyAlignment="1">
      <alignment horizontal="right"/>
    </xf>
    <xf numFmtId="172" fontId="18" fillId="3" borderId="0" xfId="0" applyNumberFormat="1" applyFont="1" applyFill="1"/>
    <xf numFmtId="0" fontId="14" fillId="3" borderId="0" xfId="0" applyFont="1" applyFill="1" applyAlignment="1">
      <alignment horizontal="left" vertical="center" indent="2"/>
    </xf>
    <xf numFmtId="0" fontId="3" fillId="3" borderId="0" xfId="0" applyFont="1" applyFill="1"/>
    <xf numFmtId="164" fontId="5" fillId="3" borderId="0" xfId="0" applyNumberFormat="1" applyFont="1" applyFill="1" applyAlignment="1">
      <alignment horizontal="right"/>
    </xf>
    <xf numFmtId="164" fontId="108" fillId="3" borderId="0" xfId="0" applyNumberFormat="1" applyFont="1" applyFill="1" applyAlignment="1">
      <alignment horizontal="right"/>
    </xf>
    <xf numFmtId="0" fontId="3" fillId="3" borderId="0" xfId="0" applyFont="1" applyFill="1" applyAlignment="1">
      <alignment horizontal="left" vertical="center" indent="2"/>
    </xf>
    <xf numFmtId="0" fontId="3" fillId="3" borderId="0" xfId="0" applyFont="1" applyFill="1" applyAlignment="1">
      <alignment horizontal="left" vertical="center"/>
    </xf>
    <xf numFmtId="168" fontId="6" fillId="0" borderId="0" xfId="3" applyNumberFormat="1" applyFont="1" applyAlignment="1">
      <alignment vertical="center"/>
    </xf>
    <xf numFmtId="168" fontId="16" fillId="0" borderId="0" xfId="3" applyNumberFormat="1" applyFont="1" applyAlignment="1">
      <alignment horizontal="right" vertical="center"/>
    </xf>
    <xf numFmtId="10" fontId="13" fillId="0" borderId="0" xfId="1" applyNumberFormat="1" applyFont="1"/>
    <xf numFmtId="181" fontId="25" fillId="0" borderId="0" xfId="1" applyNumberFormat="1" applyFont="1"/>
    <xf numFmtId="41" fontId="118" fillId="0" borderId="0" xfId="0" applyNumberFormat="1" applyFont="1" applyAlignment="1">
      <alignment horizontal="right"/>
    </xf>
    <xf numFmtId="0" fontId="4" fillId="0" borderId="0" xfId="0" applyFont="1"/>
    <xf numFmtId="168" fontId="0" fillId="0" borderId="0" xfId="3" applyNumberFormat="1" applyFont="1" applyFill="1"/>
    <xf numFmtId="172" fontId="106" fillId="0" borderId="0" xfId="0" applyNumberFormat="1" applyFont="1"/>
    <xf numFmtId="41" fontId="111" fillId="0" borderId="0" xfId="0" applyNumberFormat="1" applyFont="1" applyAlignment="1">
      <alignment horizontal="right"/>
    </xf>
    <xf numFmtId="168" fontId="9" fillId="0" borderId="0" xfId="3" applyNumberFormat="1" applyFont="1" applyAlignment="1">
      <alignment vertical="center"/>
    </xf>
    <xf numFmtId="168" fontId="2" fillId="0" borderId="0" xfId="3" applyNumberFormat="1" applyFont="1"/>
    <xf numFmtId="0" fontId="145" fillId="0" borderId="0" xfId="0" applyFont="1"/>
    <xf numFmtId="0" fontId="146" fillId="0" borderId="0" xfId="0" applyFont="1"/>
    <xf numFmtId="0" fontId="145" fillId="3" borderId="0" xfId="0" applyFont="1" applyFill="1"/>
    <xf numFmtId="0" fontId="147" fillId="3" borderId="0" xfId="0" applyFont="1" applyFill="1"/>
    <xf numFmtId="0" fontId="146" fillId="3" borderId="0" xfId="0" applyFont="1" applyFill="1"/>
    <xf numFmtId="14" fontId="144" fillId="0" borderId="0" xfId="0" applyNumberFormat="1" applyFont="1" applyAlignment="1">
      <alignment horizontal="center"/>
    </xf>
    <xf numFmtId="0" fontId="148" fillId="0" borderId="1" xfId="0" applyFont="1" applyBorder="1"/>
    <xf numFmtId="0" fontId="146" fillId="0" borderId="1" xfId="0" applyFont="1" applyBorder="1"/>
    <xf numFmtId="0" fontId="149" fillId="0" borderId="0" xfId="0" applyFont="1"/>
    <xf numFmtId="14" fontId="150" fillId="0" borderId="0" xfId="0" applyNumberFormat="1" applyFont="1"/>
    <xf numFmtId="0" fontId="144" fillId="0" borderId="0" xfId="0" applyFont="1"/>
    <xf numFmtId="0" fontId="151" fillId="0" borderId="0" xfId="0" applyFont="1" applyAlignment="1">
      <alignment horizontal="centerContinuous"/>
    </xf>
    <xf numFmtId="0" fontId="152" fillId="0" borderId="0" xfId="0" applyFont="1" applyAlignment="1">
      <alignment horizontal="centerContinuous"/>
    </xf>
    <xf numFmtId="0" fontId="152" fillId="0" borderId="0" xfId="0" applyFont="1" applyAlignment="1">
      <alignment horizontal="center"/>
    </xf>
    <xf numFmtId="0" fontId="152" fillId="0" borderId="13" xfId="0" applyFont="1" applyBorder="1" applyAlignment="1">
      <alignment horizontal="center"/>
    </xf>
    <xf numFmtId="0" fontId="148" fillId="0" borderId="2" xfId="0" applyFont="1" applyBorder="1"/>
    <xf numFmtId="0" fontId="146" fillId="0" borderId="3" xfId="0" applyFont="1" applyBorder="1"/>
    <xf numFmtId="10" fontId="152" fillId="0" borderId="0" xfId="0" applyNumberFormat="1" applyFont="1" applyAlignment="1">
      <alignment horizontal="center"/>
    </xf>
    <xf numFmtId="0" fontId="153" fillId="0" borderId="0" xfId="0" applyFont="1" applyAlignment="1">
      <alignment horizontal="center"/>
    </xf>
    <xf numFmtId="6" fontId="153" fillId="0" borderId="0" xfId="0" applyNumberFormat="1" applyFont="1" applyAlignment="1">
      <alignment horizontal="right"/>
    </xf>
    <xf numFmtId="0" fontId="153" fillId="0" borderId="0" xfId="0" applyFont="1" applyAlignment="1">
      <alignment horizontal="right"/>
    </xf>
    <xf numFmtId="172" fontId="153" fillId="0" borderId="13" xfId="0" applyNumberFormat="1" applyFont="1" applyBorder="1"/>
    <xf numFmtId="10" fontId="152" fillId="0" borderId="0" xfId="1" applyNumberFormat="1" applyFont="1" applyAlignment="1">
      <alignment horizontal="center"/>
    </xf>
    <xf numFmtId="168" fontId="146" fillId="0" borderId="0" xfId="3" applyNumberFormat="1" applyFont="1"/>
    <xf numFmtId="168" fontId="154" fillId="0" borderId="0" xfId="3" applyNumberFormat="1" applyFont="1"/>
    <xf numFmtId="168" fontId="154" fillId="0" borderId="0" xfId="3" applyNumberFormat="1" applyFont="1" applyBorder="1"/>
    <xf numFmtId="168" fontId="154" fillId="0" borderId="13" xfId="3" applyNumberFormat="1" applyFont="1" applyBorder="1"/>
    <xf numFmtId="168" fontId="145" fillId="0" borderId="0" xfId="3" applyNumberFormat="1" applyFont="1"/>
    <xf numFmtId="0" fontId="144" fillId="0" borderId="0" xfId="0" applyFont="1" applyAlignment="1">
      <alignment horizontal="left" indent="1"/>
    </xf>
    <xf numFmtId="172" fontId="144" fillId="0" borderId="0" xfId="0" applyNumberFormat="1" applyFont="1"/>
    <xf numFmtId="172" fontId="149" fillId="0" borderId="0" xfId="0" applyNumberFormat="1" applyFont="1"/>
    <xf numFmtId="172" fontId="149" fillId="0" borderId="13" xfId="0" applyNumberFormat="1" applyFont="1" applyBorder="1"/>
    <xf numFmtId="172" fontId="153" fillId="0" borderId="0" xfId="0" applyNumberFormat="1" applyFont="1"/>
    <xf numFmtId="0" fontId="148" fillId="0" borderId="0" xfId="0" applyFont="1"/>
    <xf numFmtId="0" fontId="155" fillId="0" borderId="0" xfId="0" applyFont="1"/>
    <xf numFmtId="0" fontId="146" fillId="0" borderId="0" xfId="0" applyFont="1" applyAlignment="1">
      <alignment horizontal="right"/>
    </xf>
    <xf numFmtId="172" fontId="156" fillId="0" borderId="0" xfId="0" applyNumberFormat="1" applyFont="1"/>
    <xf numFmtId="43" fontId="156" fillId="0" borderId="0" xfId="3" applyFont="1" applyBorder="1"/>
    <xf numFmtId="172" fontId="156" fillId="0" borderId="13" xfId="0" applyNumberFormat="1" applyFont="1" applyBorder="1"/>
    <xf numFmtId="9" fontId="146" fillId="0" borderId="0" xfId="0" applyNumberFormat="1" applyFont="1" applyAlignment="1">
      <alignment horizontal="right"/>
    </xf>
    <xf numFmtId="5" fontId="145" fillId="0" borderId="0" xfId="0" applyNumberFormat="1" applyFont="1" applyAlignment="1">
      <alignment horizontal="left"/>
    </xf>
    <xf numFmtId="168" fontId="157" fillId="0" borderId="0" xfId="3" applyNumberFormat="1" applyFont="1" applyBorder="1"/>
    <xf numFmtId="182" fontId="149" fillId="0" borderId="0" xfId="0" applyNumberFormat="1" applyFont="1"/>
    <xf numFmtId="182" fontId="144" fillId="0" borderId="0" xfId="0" applyNumberFormat="1" applyFont="1"/>
    <xf numFmtId="172" fontId="144" fillId="0" borderId="13" xfId="0" applyNumberFormat="1" applyFont="1" applyBorder="1"/>
    <xf numFmtId="168" fontId="153" fillId="0" borderId="0" xfId="3" applyNumberFormat="1" applyFont="1"/>
    <xf numFmtId="0" fontId="155" fillId="0" borderId="0" xfId="0" applyFont="1" applyAlignment="1">
      <alignment horizontal="left" indent="1"/>
    </xf>
    <xf numFmtId="172" fontId="146" fillId="0" borderId="0" xfId="0" applyNumberFormat="1" applyFont="1"/>
    <xf numFmtId="172" fontId="145" fillId="0" borderId="0" xfId="0" applyNumberFormat="1" applyFont="1"/>
    <xf numFmtId="172" fontId="158" fillId="0" borderId="0" xfId="0" applyNumberFormat="1" applyFont="1"/>
    <xf numFmtId="172" fontId="158" fillId="0" borderId="13" xfId="0" applyNumberFormat="1" applyFont="1" applyBorder="1"/>
    <xf numFmtId="0" fontId="159" fillId="0" borderId="0" xfId="0" applyFont="1"/>
    <xf numFmtId="168" fontId="160" fillId="0" borderId="0" xfId="0" applyNumberFormat="1" applyFont="1"/>
    <xf numFmtId="168" fontId="146" fillId="0" borderId="0" xfId="0" applyNumberFormat="1" applyFont="1"/>
    <xf numFmtId="9" fontId="153" fillId="0" borderId="0" xfId="0" applyNumberFormat="1" applyFont="1"/>
    <xf numFmtId="9" fontId="145" fillId="0" borderId="0" xfId="1" applyFont="1"/>
    <xf numFmtId="168" fontId="149" fillId="0" borderId="0" xfId="3" applyNumberFormat="1" applyFont="1"/>
    <xf numFmtId="168" fontId="149" fillId="0" borderId="0" xfId="3" applyNumberFormat="1" applyFont="1" applyBorder="1"/>
    <xf numFmtId="9" fontId="144" fillId="0" borderId="0" xfId="0" applyNumberFormat="1" applyFont="1"/>
    <xf numFmtId="0" fontId="146" fillId="0" borderId="0" xfId="0" applyFont="1" applyAlignment="1">
      <alignment horizontal="left"/>
    </xf>
    <xf numFmtId="168" fontId="161" fillId="0" borderId="0" xfId="3" applyNumberFormat="1" applyFont="1" applyFill="1"/>
    <xf numFmtId="168" fontId="162" fillId="0" borderId="0" xfId="3" applyNumberFormat="1" applyFont="1" applyFill="1"/>
    <xf numFmtId="168" fontId="162" fillId="0" borderId="0" xfId="3" applyNumberFormat="1" applyFont="1" applyFill="1" applyBorder="1"/>
    <xf numFmtId="168" fontId="162" fillId="0" borderId="13" xfId="3" applyNumberFormat="1" applyFont="1" applyFill="1" applyBorder="1"/>
    <xf numFmtId="0" fontId="161" fillId="0" borderId="0" xfId="0" applyFont="1"/>
    <xf numFmtId="0" fontId="152" fillId="0" borderId="0" xfId="0" applyFont="1"/>
    <xf numFmtId="0" fontId="144" fillId="0" borderId="0" xfId="0" applyFont="1" applyAlignment="1">
      <alignment horizontal="left" indent="2"/>
    </xf>
    <xf numFmtId="0" fontId="144" fillId="0" borderId="0" xfId="0" applyFont="1" applyAlignment="1">
      <alignment horizontal="left"/>
    </xf>
    <xf numFmtId="0" fontId="149" fillId="0" borderId="13" xfId="0" applyFont="1" applyBorder="1"/>
    <xf numFmtId="0" fontId="143" fillId="0" borderId="0" xfId="0" applyFont="1" applyAlignment="1">
      <alignment horizontal="left" indent="1"/>
    </xf>
    <xf numFmtId="5" fontId="145" fillId="0" borderId="0" xfId="0" applyNumberFormat="1" applyFont="1" applyAlignment="1">
      <alignment horizontal="left" indent="1"/>
    </xf>
    <xf numFmtId="168" fontId="145" fillId="0" borderId="0" xfId="3" applyNumberFormat="1" applyFont="1" applyBorder="1"/>
    <xf numFmtId="168" fontId="145" fillId="0" borderId="13" xfId="3" applyNumberFormat="1" applyFont="1" applyBorder="1"/>
    <xf numFmtId="181" fontId="144" fillId="0" borderId="0" xfId="1" applyNumberFormat="1" applyFont="1"/>
    <xf numFmtId="0" fontId="145" fillId="0" borderId="13" xfId="0" applyFont="1" applyBorder="1"/>
    <xf numFmtId="0" fontId="146" fillId="0" borderId="0" xfId="0" applyFont="1" applyAlignment="1">
      <alignment horizontal="left" indent="1"/>
    </xf>
    <xf numFmtId="168" fontId="154" fillId="0" borderId="0" xfId="3" applyNumberFormat="1" applyFont="1" applyFill="1" applyBorder="1"/>
    <xf numFmtId="168" fontId="154" fillId="0" borderId="13" xfId="3" applyNumberFormat="1" applyFont="1" applyFill="1" applyBorder="1"/>
    <xf numFmtId="168" fontId="154" fillId="0" borderId="0" xfId="3" applyNumberFormat="1" applyFont="1" applyFill="1"/>
    <xf numFmtId="43" fontId="145" fillId="0" borderId="0" xfId="0" applyNumberFormat="1" applyFont="1"/>
    <xf numFmtId="168" fontId="145" fillId="0" borderId="0" xfId="0" applyNumberFormat="1" applyFont="1"/>
    <xf numFmtId="0" fontId="144" fillId="0" borderId="0" xfId="2" applyFont="1" applyAlignment="1">
      <alignment horizontal="left" indent="2"/>
    </xf>
    <xf numFmtId="41" fontId="146" fillId="0" borderId="0" xfId="0" applyNumberFormat="1" applyFont="1"/>
    <xf numFmtId="43" fontId="144" fillId="0" borderId="0" xfId="0" applyNumberFormat="1" applyFont="1"/>
    <xf numFmtId="172" fontId="144" fillId="7" borderId="6" xfId="0" applyNumberFormat="1" applyFont="1" applyFill="1" applyBorder="1"/>
    <xf numFmtId="172" fontId="163" fillId="0" borderId="0" xfId="0" applyNumberFormat="1" applyFont="1"/>
    <xf numFmtId="43" fontId="146" fillId="0" borderId="0" xfId="3" applyFont="1"/>
    <xf numFmtId="7" fontId="145" fillId="0" borderId="0" xfId="0" applyNumberFormat="1" applyFont="1"/>
    <xf numFmtId="168" fontId="164" fillId="0" borderId="0" xfId="3" applyNumberFormat="1" applyFont="1"/>
    <xf numFmtId="168" fontId="164" fillId="0" borderId="0" xfId="3" applyNumberFormat="1" applyFont="1" applyBorder="1"/>
    <xf numFmtId="168" fontId="164" fillId="0" borderId="13" xfId="3" applyNumberFormat="1" applyFont="1" applyBorder="1"/>
    <xf numFmtId="0" fontId="164" fillId="0" borderId="0" xfId="0" applyFont="1"/>
    <xf numFmtId="168" fontId="158" fillId="0" borderId="0" xfId="3" applyNumberFormat="1" applyFont="1"/>
    <xf numFmtId="41" fontId="165" fillId="0" borderId="13" xfId="0" applyNumberFormat="1" applyFont="1" applyBorder="1"/>
    <xf numFmtId="41" fontId="165" fillId="0" borderId="0" xfId="0" applyNumberFormat="1" applyFont="1"/>
    <xf numFmtId="7" fontId="146" fillId="0" borderId="0" xfId="0" applyNumberFormat="1" applyFont="1"/>
    <xf numFmtId="41" fontId="164" fillId="0" borderId="0" xfId="0" applyNumberFormat="1" applyFont="1"/>
    <xf numFmtId="41" fontId="166" fillId="0" borderId="13" xfId="0" applyNumberFormat="1" applyFont="1" applyBorder="1"/>
    <xf numFmtId="41" fontId="166" fillId="0" borderId="0" xfId="0" applyNumberFormat="1" applyFont="1"/>
    <xf numFmtId="6" fontId="146" fillId="0" borderId="0" xfId="0" applyNumberFormat="1" applyFont="1" applyAlignment="1">
      <alignment horizontal="left" indent="1"/>
    </xf>
    <xf numFmtId="6" fontId="146" fillId="0" borderId="0" xfId="0" applyNumberFormat="1" applyFont="1"/>
    <xf numFmtId="180" fontId="144" fillId="0" borderId="0" xfId="0" applyNumberFormat="1" applyFont="1"/>
    <xf numFmtId="180" fontId="149" fillId="0" borderId="0" xfId="0" applyNumberFormat="1" applyFont="1"/>
    <xf numFmtId="180" fontId="149" fillId="0" borderId="13" xfId="0" applyNumberFormat="1" applyFont="1" applyBorder="1"/>
    <xf numFmtId="180" fontId="153" fillId="0" borderId="0" xfId="0" applyNumberFormat="1" applyFont="1"/>
    <xf numFmtId="172" fontId="167" fillId="0" borderId="6" xfId="0" applyNumberFormat="1" applyFont="1" applyBorder="1"/>
    <xf numFmtId="180" fontId="145" fillId="0" borderId="0" xfId="0" applyNumberFormat="1" applyFont="1"/>
    <xf numFmtId="180" fontId="168" fillId="0" borderId="0" xfId="0" applyNumberFormat="1" applyFont="1"/>
    <xf numFmtId="180" fontId="145" fillId="0" borderId="13" xfId="0" applyNumberFormat="1" applyFont="1" applyBorder="1"/>
    <xf numFmtId="184" fontId="145" fillId="0" borderId="0" xfId="0" applyNumberFormat="1" applyFont="1"/>
    <xf numFmtId="8" fontId="145" fillId="0" borderId="0" xfId="0" applyNumberFormat="1" applyFont="1"/>
    <xf numFmtId="0" fontId="145" fillId="0" borderId="3" xfId="0" applyFont="1" applyBorder="1"/>
    <xf numFmtId="180" fontId="166" fillId="0" borderId="0" xfId="0" applyNumberFormat="1" applyFont="1"/>
    <xf numFmtId="180" fontId="169" fillId="0" borderId="0" xfId="0" applyNumberFormat="1" applyFont="1"/>
    <xf numFmtId="0" fontId="148" fillId="3" borderId="2" xfId="0" applyFont="1" applyFill="1" applyBorder="1" applyAlignment="1">
      <alignment horizontal="left" indent="1"/>
    </xf>
    <xf numFmtId="0" fontId="148" fillId="3" borderId="5" xfId="0" applyFont="1" applyFill="1" applyBorder="1"/>
    <xf numFmtId="9" fontId="148" fillId="3" borderId="5" xfId="0" applyNumberFormat="1" applyFont="1" applyFill="1" applyBorder="1"/>
    <xf numFmtId="9" fontId="148" fillId="3" borderId="3" xfId="0" applyNumberFormat="1" applyFont="1" applyFill="1" applyBorder="1"/>
    <xf numFmtId="4" fontId="145" fillId="0" borderId="0" xfId="0" applyNumberFormat="1" applyFont="1"/>
    <xf numFmtId="5" fontId="145" fillId="0" borderId="0" xfId="0" applyNumberFormat="1" applyFont="1"/>
    <xf numFmtId="0" fontId="148" fillId="0" borderId="2" xfId="0" applyFont="1" applyBorder="1" applyAlignment="1">
      <alignment horizontal="centerContinuous"/>
    </xf>
    <xf numFmtId="0" fontId="148" fillId="0" borderId="5" xfId="0" applyFont="1" applyBorder="1" applyAlignment="1">
      <alignment horizontal="centerContinuous"/>
    </xf>
    <xf numFmtId="9" fontId="148" fillId="0" borderId="5" xfId="0" applyNumberFormat="1" applyFont="1" applyBorder="1"/>
    <xf numFmtId="9" fontId="148" fillId="0" borderId="3" xfId="0" applyNumberFormat="1" applyFont="1" applyBorder="1"/>
    <xf numFmtId="0" fontId="159" fillId="0" borderId="0" xfId="0" applyFont="1" applyAlignment="1">
      <alignment horizontal="right"/>
    </xf>
    <xf numFmtId="6" fontId="145" fillId="0" borderId="0" xfId="0" applyNumberFormat="1" applyFont="1"/>
    <xf numFmtId="168" fontId="162" fillId="0" borderId="0" xfId="3" applyNumberFormat="1" applyFont="1"/>
    <xf numFmtId="43" fontId="161" fillId="0" borderId="0" xfId="3" applyFont="1"/>
    <xf numFmtId="0" fontId="148" fillId="0" borderId="0" xfId="0" applyFont="1" applyAlignment="1">
      <alignment horizontal="left" indent="1"/>
    </xf>
    <xf numFmtId="168" fontId="157" fillId="0" borderId="0" xfId="3" applyNumberFormat="1" applyFont="1"/>
    <xf numFmtId="0" fontId="159" fillId="0" borderId="0" xfId="0" quotePrefix="1" applyFont="1"/>
    <xf numFmtId="0" fontId="146" fillId="0" borderId="0" xfId="0" applyFont="1" applyAlignment="1">
      <alignment horizontal="left" vertical="center"/>
    </xf>
    <xf numFmtId="168" fontId="170" fillId="0" borderId="0" xfId="0" applyNumberFormat="1" applyFont="1"/>
    <xf numFmtId="168" fontId="165" fillId="0" borderId="0" xfId="0" applyNumberFormat="1" applyFont="1"/>
    <xf numFmtId="41" fontId="171" fillId="0" borderId="0" xfId="0" applyNumberFormat="1" applyFont="1"/>
    <xf numFmtId="41" fontId="148" fillId="0" borderId="0" xfId="0" applyNumberFormat="1" applyFont="1"/>
    <xf numFmtId="0" fontId="167" fillId="0" borderId="5" xfId="0" applyFont="1" applyBorder="1" applyAlignment="1">
      <alignment horizontal="left" indent="1"/>
    </xf>
    <xf numFmtId="172" fontId="167" fillId="0" borderId="5" xfId="0" applyNumberFormat="1" applyFont="1" applyBorder="1"/>
    <xf numFmtId="0" fontId="148" fillId="0" borderId="5" xfId="0" applyFont="1" applyBorder="1"/>
    <xf numFmtId="10" fontId="146" fillId="0" borderId="0" xfId="0" applyNumberFormat="1" applyFont="1"/>
    <xf numFmtId="43" fontId="146" fillId="0" borderId="0" xfId="0" applyNumberFormat="1" applyFont="1"/>
    <xf numFmtId="181" fontId="146" fillId="0" borderId="0" xfId="1" applyNumberFormat="1" applyFont="1"/>
    <xf numFmtId="180" fontId="146" fillId="0" borderId="0" xfId="0" applyNumberFormat="1" applyFont="1"/>
    <xf numFmtId="0" fontId="150" fillId="19" borderId="0" xfId="0" applyFont="1" applyFill="1"/>
    <xf numFmtId="0" fontId="172" fillId="19" borderId="0" xfId="0" applyFont="1" applyFill="1"/>
    <xf numFmtId="14" fontId="146" fillId="0" borderId="0" xfId="0" applyNumberFormat="1" applyFont="1" applyAlignment="1">
      <alignment horizontal="center"/>
    </xf>
    <xf numFmtId="168" fontId="161" fillId="0" borderId="0" xfId="3" applyNumberFormat="1" applyFont="1"/>
    <xf numFmtId="8" fontId="146" fillId="0" borderId="0" xfId="0" applyNumberFormat="1" applyFont="1"/>
    <xf numFmtId="168" fontId="144" fillId="0" borderId="0" xfId="3" applyNumberFormat="1" applyFont="1"/>
    <xf numFmtId="172" fontId="173" fillId="0" borderId="5" xfId="0" applyNumberFormat="1" applyFont="1" applyBorder="1"/>
    <xf numFmtId="0" fontId="150" fillId="18" borderId="0" xfId="0" applyFont="1" applyFill="1"/>
    <xf numFmtId="0" fontId="172" fillId="18" borderId="0" xfId="0" applyFont="1" applyFill="1"/>
    <xf numFmtId="168" fontId="144" fillId="0" borderId="0" xfId="0" applyNumberFormat="1" applyFont="1"/>
    <xf numFmtId="168" fontId="153" fillId="0" borderId="0" xfId="0" applyNumberFormat="1" applyFont="1"/>
    <xf numFmtId="168" fontId="155" fillId="0" borderId="0" xfId="3" applyNumberFormat="1" applyFont="1"/>
    <xf numFmtId="168" fontId="171" fillId="0" borderId="0" xfId="3" applyNumberFormat="1" applyFont="1"/>
    <xf numFmtId="168" fontId="171" fillId="0" borderId="0" xfId="3" applyNumberFormat="1" applyFont="1" applyBorder="1"/>
    <xf numFmtId="168" fontId="165" fillId="0" borderId="0" xfId="3" applyNumberFormat="1" applyFont="1" applyBorder="1"/>
    <xf numFmtId="0" fontId="150" fillId="17" borderId="0" xfId="0" applyFont="1" applyFill="1"/>
    <xf numFmtId="0" fontId="172" fillId="17" borderId="0" xfId="0" applyFont="1" applyFill="1"/>
    <xf numFmtId="180" fontId="174" fillId="0" borderId="0" xfId="0" applyNumberFormat="1" applyFont="1"/>
    <xf numFmtId="43" fontId="0" fillId="0" borderId="0" xfId="3" applyFont="1"/>
    <xf numFmtId="0" fontId="9" fillId="0" borderId="0" xfId="0" applyFont="1" applyAlignment="1">
      <alignment horizontal="left"/>
    </xf>
    <xf numFmtId="0" fontId="2" fillId="23" borderId="2" xfId="0" applyFont="1" applyFill="1" applyBorder="1"/>
    <xf numFmtId="0" fontId="0" fillId="23" borderId="3" xfId="0" applyFill="1" applyBorder="1"/>
    <xf numFmtId="0" fontId="0" fillId="23" borderId="0" xfId="0" applyFill="1"/>
    <xf numFmtId="0" fontId="9" fillId="23" borderId="0" xfId="0" applyFont="1" applyFill="1"/>
    <xf numFmtId="0" fontId="25" fillId="23" borderId="0" xfId="0" applyFont="1" applyFill="1"/>
    <xf numFmtId="41" fontId="0" fillId="23" borderId="0" xfId="0" applyNumberFormat="1" applyFill="1"/>
    <xf numFmtId="41" fontId="111" fillId="23" borderId="0" xfId="0" applyNumberFormat="1" applyFont="1" applyFill="1"/>
    <xf numFmtId="0" fontId="0" fillId="23" borderId="0" xfId="0" applyFill="1" applyAlignment="1">
      <alignment horizontal="left" indent="1"/>
    </xf>
    <xf numFmtId="0" fontId="3" fillId="23" borderId="0" xfId="0" applyFont="1" applyFill="1" applyAlignment="1">
      <alignment horizontal="left" indent="2"/>
    </xf>
    <xf numFmtId="164" fontId="3" fillId="23" borderId="0" xfId="0" applyNumberFormat="1" applyFont="1" applyFill="1" applyAlignment="1">
      <alignment horizontal="right"/>
    </xf>
    <xf numFmtId="172" fontId="18" fillId="23" borderId="0" xfId="0" applyNumberFormat="1" applyFont="1" applyFill="1"/>
    <xf numFmtId="0" fontId="3" fillId="23" borderId="0" xfId="0" applyFont="1" applyFill="1"/>
    <xf numFmtId="166" fontId="12" fillId="23" borderId="0" xfId="0" applyNumberFormat="1" applyFont="1" applyFill="1" applyAlignment="1">
      <alignment horizontal="right"/>
    </xf>
    <xf numFmtId="166" fontId="3" fillId="23" borderId="0" xfId="0" applyNumberFormat="1" applyFont="1" applyFill="1" applyAlignment="1">
      <alignment horizontal="right"/>
    </xf>
    <xf numFmtId="0" fontId="14" fillId="23" borderId="0" xfId="0" applyFont="1" applyFill="1"/>
    <xf numFmtId="43" fontId="0" fillId="23" borderId="0" xfId="0" applyNumberFormat="1" applyFill="1"/>
    <xf numFmtId="41" fontId="16" fillId="23" borderId="0" xfId="0" applyNumberFormat="1" applyFont="1" applyFill="1"/>
    <xf numFmtId="41" fontId="114" fillId="23" borderId="0" xfId="0" applyNumberFormat="1" applyFont="1" applyFill="1"/>
    <xf numFmtId="41" fontId="137" fillId="23" borderId="0" xfId="0" applyNumberFormat="1" applyFont="1" applyFill="1"/>
    <xf numFmtId="0" fontId="5" fillId="23" borderId="0" xfId="0" applyFont="1" applyFill="1"/>
    <xf numFmtId="166" fontId="13" fillId="23" borderId="0" xfId="0" applyNumberFormat="1" applyFont="1" applyFill="1" applyAlignment="1">
      <alignment horizontal="right"/>
    </xf>
    <xf numFmtId="166" fontId="3" fillId="23" borderId="0" xfId="0" applyNumberFormat="1" applyFont="1" applyFill="1"/>
    <xf numFmtId="166" fontId="18" fillId="23" borderId="0" xfId="0" applyNumberFormat="1" applyFont="1" applyFill="1" applyAlignment="1">
      <alignment horizontal="right"/>
    </xf>
    <xf numFmtId="0" fontId="3" fillId="23" borderId="0" xfId="0" applyFont="1" applyFill="1" applyAlignment="1">
      <alignment horizontal="left" indent="1"/>
    </xf>
    <xf numFmtId="0" fontId="13" fillId="23" borderId="0" xfId="0" applyFont="1" applyFill="1"/>
    <xf numFmtId="0" fontId="112" fillId="23" borderId="0" xfId="0" applyFont="1" applyFill="1"/>
    <xf numFmtId="0" fontId="107" fillId="23" borderId="0" xfId="0" applyFont="1" applyFill="1"/>
    <xf numFmtId="0" fontId="108" fillId="23" borderId="0" xfId="0" applyFont="1" applyFill="1"/>
    <xf numFmtId="0" fontId="8" fillId="23" borderId="0" xfId="0" applyFont="1" applyFill="1"/>
    <xf numFmtId="0" fontId="3" fillId="23" borderId="4" xfId="0" applyFont="1" applyFill="1" applyBorder="1" applyAlignment="1">
      <alignment horizontal="centerContinuous"/>
    </xf>
    <xf numFmtId="166" fontId="6" fillId="23" borderId="0" xfId="0" applyNumberFormat="1" applyFont="1" applyFill="1" applyAlignment="1">
      <alignment horizontal="right"/>
    </xf>
    <xf numFmtId="166" fontId="0" fillId="23" borderId="0" xfId="0" applyNumberFormat="1" applyFill="1"/>
    <xf numFmtId="41" fontId="6" fillId="23" borderId="0" xfId="0" applyNumberFormat="1" applyFont="1" applyFill="1" applyAlignment="1">
      <alignment vertical="center"/>
    </xf>
    <xf numFmtId="41" fontId="12" fillId="23" borderId="0" xfId="0" applyNumberFormat="1" applyFont="1" applyFill="1" applyAlignment="1">
      <alignment vertical="center"/>
    </xf>
    <xf numFmtId="41" fontId="9" fillId="23" borderId="0" xfId="0" applyNumberFormat="1" applyFont="1" applyFill="1" applyAlignment="1">
      <alignment vertical="center"/>
    </xf>
    <xf numFmtId="41" fontId="9" fillId="23" borderId="0" xfId="0" applyNumberFormat="1" applyFont="1" applyFill="1"/>
    <xf numFmtId="41" fontId="142" fillId="23" borderId="0" xfId="0" applyNumberFormat="1" applyFont="1" applyFill="1"/>
    <xf numFmtId="41" fontId="142" fillId="23" borderId="0" xfId="0" applyNumberFormat="1" applyFont="1" applyFill="1" applyAlignment="1">
      <alignment vertical="center"/>
    </xf>
    <xf numFmtId="0" fontId="10" fillId="23" borderId="0" xfId="0" applyFont="1" applyFill="1"/>
    <xf numFmtId="41" fontId="10" fillId="23" borderId="0" xfId="0" applyNumberFormat="1" applyFont="1" applyFill="1" applyAlignment="1">
      <alignment vertical="center"/>
    </xf>
    <xf numFmtId="41" fontId="10" fillId="23" borderId="0" xfId="0" applyNumberFormat="1" applyFont="1" applyFill="1"/>
    <xf numFmtId="41" fontId="118" fillId="23" borderId="0" xfId="0" applyNumberFormat="1" applyFont="1" applyFill="1"/>
    <xf numFmtId="0" fontId="2" fillId="23" borderId="0" xfId="0" applyFont="1" applyFill="1"/>
    <xf numFmtId="0" fontId="9" fillId="23" borderId="0" xfId="0" applyFont="1" applyFill="1" applyAlignment="1">
      <alignment horizontal="left" indent="1"/>
    </xf>
    <xf numFmtId="41" fontId="7" fillId="23" borderId="0" xfId="0" applyNumberFormat="1" applyFont="1" applyFill="1"/>
    <xf numFmtId="41" fontId="19" fillId="23" borderId="0" xfId="0" applyNumberFormat="1" applyFont="1" applyFill="1"/>
    <xf numFmtId="0" fontId="25" fillId="23" borderId="0" xfId="0" applyFont="1" applyFill="1" applyAlignment="1">
      <alignment horizontal="left" indent="1"/>
    </xf>
    <xf numFmtId="41" fontId="25" fillId="23" borderId="0" xfId="0" applyNumberFormat="1" applyFont="1" applyFill="1"/>
    <xf numFmtId="0" fontId="14" fillId="23" borderId="0" xfId="0" applyFont="1" applyFill="1" applyAlignment="1">
      <alignment horizontal="left" indent="1"/>
    </xf>
    <xf numFmtId="172" fontId="13" fillId="23" borderId="0" xfId="0" applyNumberFormat="1" applyFont="1" applyFill="1"/>
    <xf numFmtId="172" fontId="112" fillId="23" borderId="0" xfId="0" applyNumberFormat="1" applyFont="1" applyFill="1"/>
    <xf numFmtId="172" fontId="107" fillId="23" borderId="0" xfId="0" applyNumberFormat="1" applyFont="1" applyFill="1"/>
    <xf numFmtId="172" fontId="113" fillId="23" borderId="0" xfId="0" applyNumberFormat="1" applyFont="1" applyFill="1"/>
    <xf numFmtId="0" fontId="5" fillId="23" borderId="0" xfId="0" applyFont="1" applyFill="1" applyAlignment="1">
      <alignment horizontal="left" indent="2"/>
    </xf>
    <xf numFmtId="172" fontId="108" fillId="23" borderId="0" xfId="0" applyNumberFormat="1" applyFont="1" applyFill="1"/>
    <xf numFmtId="0" fontId="112" fillId="23" borderId="0" xfId="0" applyFont="1" applyFill="1" applyAlignment="1">
      <alignment horizontal="left" indent="1"/>
    </xf>
    <xf numFmtId="43" fontId="9" fillId="23" borderId="0" xfId="0" applyNumberFormat="1" applyFont="1" applyFill="1"/>
    <xf numFmtId="0" fontId="13" fillId="23" borderId="0" xfId="0" applyFont="1" applyFill="1" applyAlignment="1">
      <alignment horizontal="left" indent="1"/>
    </xf>
    <xf numFmtId="0" fontId="13" fillId="23" borderId="0" xfId="0" applyFont="1" applyFill="1" applyAlignment="1">
      <alignment horizontal="left" indent="2"/>
    </xf>
    <xf numFmtId="0" fontId="108" fillId="23" borderId="0" xfId="0" applyFont="1" applyFill="1" applyAlignment="1">
      <alignment horizontal="left" indent="2"/>
    </xf>
    <xf numFmtId="0" fontId="115" fillId="23" borderId="0" xfId="0" applyFont="1" applyFill="1"/>
    <xf numFmtId="0" fontId="109" fillId="23" borderId="0" xfId="0" applyFont="1" applyFill="1"/>
    <xf numFmtId="0" fontId="3" fillId="23" borderId="0" xfId="0" applyFont="1" applyFill="1" applyAlignment="1">
      <alignment horizontal="left"/>
    </xf>
    <xf numFmtId="0" fontId="0" fillId="23" borderId="0" xfId="0" applyFill="1" applyAlignment="1">
      <alignment horizontal="left"/>
    </xf>
    <xf numFmtId="0" fontId="3" fillId="23" borderId="0" xfId="0" applyFont="1" applyFill="1" applyAlignment="1">
      <alignment horizontal="centerContinuous"/>
    </xf>
    <xf numFmtId="168" fontId="0" fillId="23" borderId="0" xfId="3" applyNumberFormat="1" applyFont="1" applyFill="1"/>
    <xf numFmtId="41" fontId="6" fillId="23" borderId="0" xfId="0" applyNumberFormat="1" applyFont="1" applyFill="1"/>
    <xf numFmtId="168" fontId="8" fillId="23" borderId="0" xfId="3" applyNumberFormat="1" applyFont="1" applyFill="1"/>
    <xf numFmtId="0" fontId="0" fillId="23" borderId="0" xfId="0" applyFill="1" applyAlignment="1">
      <alignment horizontal="left" indent="2"/>
    </xf>
    <xf numFmtId="41" fontId="16" fillId="23" borderId="0" xfId="0" applyNumberFormat="1" applyFont="1" applyFill="1" applyAlignment="1">
      <alignment vertical="center"/>
    </xf>
    <xf numFmtId="41" fontId="124" fillId="23" borderId="0" xfId="0" applyNumberFormat="1" applyFont="1" applyFill="1" applyAlignment="1">
      <alignment vertical="center"/>
    </xf>
    <xf numFmtId="41" fontId="115" fillId="23" borderId="0" xfId="0" applyNumberFormat="1" applyFont="1" applyFill="1" applyAlignment="1">
      <alignment vertical="center"/>
    </xf>
    <xf numFmtId="41" fontId="19" fillId="23" borderId="0" xfId="0" applyNumberFormat="1" applyFont="1" applyFill="1" applyAlignment="1">
      <alignment vertical="center"/>
    </xf>
    <xf numFmtId="170" fontId="0" fillId="23" borderId="0" xfId="0" applyNumberFormat="1" applyFill="1"/>
    <xf numFmtId="164" fontId="12" fillId="23" borderId="0" xfId="0" applyNumberFormat="1" applyFont="1" applyFill="1" applyAlignment="1">
      <alignment horizontal="right"/>
    </xf>
    <xf numFmtId="0" fontId="111" fillId="23" borderId="0" xfId="0" applyFont="1" applyFill="1" applyAlignment="1">
      <alignment horizontal="left" indent="1"/>
    </xf>
    <xf numFmtId="0" fontId="3" fillId="23" borderId="0" xfId="0" applyFont="1" applyFill="1" applyAlignment="1">
      <alignment horizontal="right"/>
    </xf>
    <xf numFmtId="41" fontId="7" fillId="23" borderId="0" xfId="0" applyNumberFormat="1" applyFont="1" applyFill="1" applyAlignment="1">
      <alignment vertical="center"/>
    </xf>
    <xf numFmtId="41" fontId="25" fillId="23" borderId="0" xfId="0" applyNumberFormat="1" applyFont="1" applyFill="1" applyAlignment="1">
      <alignment vertical="center"/>
    </xf>
    <xf numFmtId="166" fontId="0" fillId="23" borderId="0" xfId="0" applyNumberFormat="1" applyFill="1" applyAlignment="1">
      <alignment horizontal="right"/>
    </xf>
    <xf numFmtId="9" fontId="3" fillId="23" borderId="0" xfId="1" applyFont="1" applyFill="1" applyAlignment="1"/>
    <xf numFmtId="164" fontId="6" fillId="23" borderId="0" xfId="0" applyNumberFormat="1" applyFont="1" applyFill="1" applyAlignment="1">
      <alignment horizontal="right"/>
    </xf>
    <xf numFmtId="41" fontId="12" fillId="23" borderId="0" xfId="0" applyNumberFormat="1" applyFont="1" applyFill="1" applyAlignment="1">
      <alignment horizontal="right" vertical="center"/>
    </xf>
    <xf numFmtId="0" fontId="0" fillId="23" borderId="0" xfId="0" applyFill="1" applyAlignment="1">
      <alignment horizontal="right"/>
    </xf>
    <xf numFmtId="9" fontId="0" fillId="23" borderId="0" xfId="1" applyFont="1" applyFill="1" applyAlignment="1"/>
    <xf numFmtId="41" fontId="8" fillId="23" borderId="0" xfId="0" applyNumberFormat="1" applyFont="1" applyFill="1"/>
    <xf numFmtId="181" fontId="0" fillId="23" borderId="0" xfId="1" applyNumberFormat="1" applyFont="1" applyFill="1"/>
    <xf numFmtId="0" fontId="138" fillId="0" borderId="0" xfId="0" applyFont="1"/>
    <xf numFmtId="43" fontId="5" fillId="0" borderId="0" xfId="3" applyFont="1"/>
    <xf numFmtId="213" fontId="3" fillId="0" borderId="0" xfId="0" applyNumberFormat="1" applyFont="1"/>
    <xf numFmtId="181" fontId="0" fillId="0" borderId="0" xfId="1" applyNumberFormat="1" applyFont="1"/>
    <xf numFmtId="14" fontId="153" fillId="0" borderId="0" xfId="0" applyNumberFormat="1" applyFont="1" applyAlignment="1">
      <alignment horizontal="center"/>
    </xf>
    <xf numFmtId="14" fontId="16" fillId="0" borderId="0" xfId="0" applyNumberFormat="1" applyFont="1"/>
    <xf numFmtId="43" fontId="165" fillId="0" borderId="0" xfId="3" applyFont="1" applyAlignment="1">
      <alignment horizontal="right"/>
    </xf>
    <xf numFmtId="0" fontId="127" fillId="0" borderId="0" xfId="0" applyFont="1" applyAlignment="1">
      <alignment horizontal="left" vertical="top" wrapText="1"/>
    </xf>
    <xf numFmtId="0" fontId="0" fillId="0" borderId="0" xfId="0" applyAlignment="1">
      <alignment wrapText="1"/>
    </xf>
    <xf numFmtId="0" fontId="126" fillId="0" borderId="0" xfId="0" applyFont="1" applyAlignment="1">
      <alignment vertical="top"/>
    </xf>
    <xf numFmtId="0" fontId="126" fillId="0" borderId="0" xfId="0" applyFont="1" applyAlignment="1">
      <alignment horizontal="left" vertical="top" wrapText="1" indent="1"/>
    </xf>
    <xf numFmtId="0" fontId="126" fillId="0" borderId="0" xfId="0" applyFont="1" applyAlignment="1">
      <alignment horizontal="left" vertical="top" wrapText="1" indent="2"/>
    </xf>
    <xf numFmtId="0" fontId="126" fillId="0" borderId="0" xfId="0" applyFont="1" applyAlignment="1">
      <alignment horizontal="left" vertical="top" wrapText="1" indent="3"/>
    </xf>
    <xf numFmtId="0" fontId="126" fillId="0" borderId="0" xfId="0" applyFont="1" applyAlignment="1">
      <alignment horizontal="left" vertical="top" wrapText="1" indent="4"/>
    </xf>
    <xf numFmtId="0" fontId="3" fillId="0" borderId="0" xfId="0" applyFont="1" applyAlignment="1">
      <alignment horizontal="center" wrapText="1"/>
    </xf>
    <xf numFmtId="0" fontId="3" fillId="0" borderId="4" xfId="0" applyFont="1" applyBorder="1" applyAlignment="1">
      <alignment horizontal="center" wrapText="1"/>
    </xf>
    <xf numFmtId="0" fontId="0" fillId="0" borderId="0" xfId="0" applyAlignment="1"/>
  </cellXfs>
  <cellStyles count="17">
    <cellStyle name="Comma" xfId="3" builtinId="3"/>
    <cellStyle name="Comma [0] 2" xfId="16" xr:uid="{793E3186-957F-4E8D-871F-23559B79385B}"/>
    <cellStyle name="Comma 2" xfId="6" xr:uid="{8FA8C982-FB0D-42BF-A4B2-0719CA8B6177}"/>
    <cellStyle name="Comma 3" xfId="15" xr:uid="{5DBFA2B9-6269-4174-A07E-4D490885F6C8}"/>
    <cellStyle name="Currency [0] 2" xfId="14" xr:uid="{734BEBAB-38FE-46CA-A7DB-FF25FD1B59D1}"/>
    <cellStyle name="Currency 2" xfId="13" xr:uid="{4A8014DD-7267-4C6F-9D05-C7F3C4A76D1A}"/>
    <cellStyle name="Hyperlink" xfId="10" builtinId="8"/>
    <cellStyle name="Hyperlink 2" xfId="9" xr:uid="{C8244C10-1D60-4080-9424-4255BD05C35D}"/>
    <cellStyle name="Invisible" xfId="4" xr:uid="{5B62E735-AB33-4A2E-9D7A-6F5C4FF31384}"/>
    <cellStyle name="Normal" xfId="0" builtinId="0"/>
    <cellStyle name="Normal 17" xfId="5" xr:uid="{89500B5F-4707-4DE0-B3A0-1060E53D10B6}"/>
    <cellStyle name="Normal 2" xfId="8" xr:uid="{F53E9E60-91E8-4119-8086-36AB698A9865}"/>
    <cellStyle name="Normal 2 2" xfId="2" xr:uid="{00000000-0005-0000-0000-000001000000}"/>
    <cellStyle name="Normal 3" xfId="11" xr:uid="{013C29B3-BE25-4C90-8568-376D3B7CE20A}"/>
    <cellStyle name="Percent" xfId="1" builtinId="5"/>
    <cellStyle name="Percent 2" xfId="12" xr:uid="{5E4C9448-C7BC-4032-8C43-154DFF5F048A}"/>
    <cellStyle name="Percent 2 4" xfId="7" xr:uid="{BFED70A9-3DA1-40A9-83DA-1E4E5F5E252A}"/>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Revenue vs. Commercial Bookings CC</a:t>
            </a:r>
            <a:r>
              <a:rPr lang="en-US" sz="1200" b="1" baseline="0"/>
              <a:t> Growth %</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'Historical Financials'!$B$1420:$O$1420</c:f>
              <c:strCache>
                <c:ptCount val="2"/>
                <c:pt idx="0">
                  <c:v>Revenue growth - CC</c:v>
                </c:pt>
              </c:strCache>
            </c:strRef>
          </c:tx>
          <c:spPr>
            <a:ln w="28575" cap="rnd">
              <a:solidFill>
                <a:schemeClr val="accent1"/>
              </a:solidFill>
              <a:round/>
            </a:ln>
            <a:effectLst/>
          </c:spPr>
          <c:marker>
            <c:symbol val="none"/>
          </c:marker>
          <c:cat>
            <c:strRef>
              <c:f>'Historical Financials'!$P$1419:$AF$1419</c:f>
              <c:strCache>
                <c:ptCount val="13"/>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c:v>
                </c:pt>
              </c:strCache>
            </c:strRef>
          </c:cat>
          <c:val>
            <c:numRef>
              <c:f>'Historical Financials'!$P$1420:$AF$1420</c:f>
              <c:numCache>
                <c:formatCode>#,##0%_);\(#,##0%\)</c:formatCode>
                <c:ptCount val="13"/>
                <c:pt idx="0">
                  <c:v>0.15429033145372026</c:v>
                </c:pt>
                <c:pt idx="1">
                  <c:v>0.15197037356410337</c:v>
                </c:pt>
                <c:pt idx="2">
                  <c:v>0.15910928657878379</c:v>
                </c:pt>
                <c:pt idx="3">
                  <c:v>0.14502413322656227</c:v>
                </c:pt>
                <c:pt idx="4">
                  <c:v>0.12050704885796401</c:v>
                </c:pt>
                <c:pt idx="5">
                  <c:v>0.15363536010404813</c:v>
                </c:pt>
                <c:pt idx="6">
                  <c:v>0.16171448844978725</c:v>
                </c:pt>
                <c:pt idx="7">
                  <c:v>0.17445905660873451</c:v>
                </c:pt>
                <c:pt idx="8">
                  <c:v>0.20385421219787908</c:v>
                </c:pt>
                <c:pt idx="9">
                  <c:v>0.20078497539232981</c:v>
                </c:pt>
                <c:pt idx="10">
                  <c:v>0.20149706517047911</c:v>
                </c:pt>
                <c:pt idx="11">
                  <c:v>0.16459280637892182</c:v>
                </c:pt>
                <c:pt idx="12">
                  <c:v>0.16</c:v>
                </c:pt>
              </c:numCache>
            </c:numRef>
          </c:val>
          <c:smooth val="0"/>
          <c:extLst>
            <c:ext xmlns:c16="http://schemas.microsoft.com/office/drawing/2014/chart" uri="{C3380CC4-5D6E-409C-BE32-E72D297353CC}">
              <c16:uniqueId val="{00000000-6488-4C88-B7BE-C926CA5AD7DD}"/>
            </c:ext>
          </c:extLst>
        </c:ser>
        <c:ser>
          <c:idx val="1"/>
          <c:order val="1"/>
          <c:tx>
            <c:strRef>
              <c:f>'Historical Financials'!$B$1421</c:f>
              <c:strCache>
                <c:ptCount val="1"/>
                <c:pt idx="0">
                  <c:v>Commercial Bookings growth - CC</c:v>
                </c:pt>
              </c:strCache>
            </c:strRef>
          </c:tx>
          <c:spPr>
            <a:ln w="28575" cap="rnd">
              <a:solidFill>
                <a:schemeClr val="accent2"/>
              </a:solidFill>
              <a:round/>
            </a:ln>
            <a:effectLst/>
          </c:spPr>
          <c:marker>
            <c:symbol val="none"/>
          </c:marker>
          <c:cat>
            <c:strRef>
              <c:f>'Historical Financials'!$P$1419:$AF$1419</c:f>
              <c:strCache>
                <c:ptCount val="13"/>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c:v>
                </c:pt>
              </c:strCache>
            </c:strRef>
          </c:cat>
          <c:val>
            <c:numRef>
              <c:f>'Historical Financials'!$P$1421:$AF$1421</c:f>
              <c:numCache>
                <c:formatCode>#,##0%_);\(#,##0%\)</c:formatCode>
                <c:ptCount val="13"/>
                <c:pt idx="0">
                  <c:v>0.35</c:v>
                </c:pt>
                <c:pt idx="1">
                  <c:v>0.3</c:v>
                </c:pt>
                <c:pt idx="2">
                  <c:v>0.12</c:v>
                </c:pt>
                <c:pt idx="3">
                  <c:v>0.14000000000000001</c:v>
                </c:pt>
                <c:pt idx="4">
                  <c:v>0.18</c:v>
                </c:pt>
                <c:pt idx="5">
                  <c:v>0.11</c:v>
                </c:pt>
                <c:pt idx="6">
                  <c:v>0.38</c:v>
                </c:pt>
                <c:pt idx="7">
                  <c:v>0.25</c:v>
                </c:pt>
                <c:pt idx="8">
                  <c:v>0.14000000000000001</c:v>
                </c:pt>
                <c:pt idx="9">
                  <c:v>0.37</c:v>
                </c:pt>
                <c:pt idx="10">
                  <c:v>0.35</c:v>
                </c:pt>
                <c:pt idx="11">
                  <c:v>0.35</c:v>
                </c:pt>
                <c:pt idx="12">
                  <c:v>0.16</c:v>
                </c:pt>
              </c:numCache>
            </c:numRef>
          </c:val>
          <c:smooth val="0"/>
          <c:extLst>
            <c:ext xmlns:c16="http://schemas.microsoft.com/office/drawing/2014/chart" uri="{C3380CC4-5D6E-409C-BE32-E72D297353CC}">
              <c16:uniqueId val="{00000001-6488-4C88-B7BE-C926CA5AD7DD}"/>
            </c:ext>
          </c:extLst>
        </c:ser>
        <c:dLbls>
          <c:showLegendKey val="0"/>
          <c:showVal val="0"/>
          <c:showCatName val="0"/>
          <c:showSerName val="0"/>
          <c:showPercent val="0"/>
          <c:showBubbleSize val="0"/>
        </c:dLbls>
        <c:smooth val="0"/>
        <c:axId val="686642480"/>
        <c:axId val="686642896"/>
      </c:lineChart>
      <c:catAx>
        <c:axId val="68664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642896"/>
        <c:crosses val="autoZero"/>
        <c:auto val="1"/>
        <c:lblAlgn val="ctr"/>
        <c:lblOffset val="100"/>
        <c:noMultiLvlLbl val="0"/>
      </c:catAx>
      <c:valAx>
        <c:axId val="686642896"/>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642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Revenue vs. Commercial Bookings 2yr</a:t>
            </a:r>
            <a:r>
              <a:rPr lang="en-US" sz="1200" b="1" baseline="0"/>
              <a:t> Stack </a:t>
            </a:r>
            <a:r>
              <a:rPr lang="en-US" sz="1200" b="1"/>
              <a:t>CC</a:t>
            </a:r>
            <a:r>
              <a:rPr lang="en-US" sz="1200" b="1" baseline="0"/>
              <a:t> Growth %</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'Historical Financials'!$B$1428:$O$1428</c:f>
              <c:strCache>
                <c:ptCount val="2"/>
                <c:pt idx="0">
                  <c:v>Revenue growth - CC 2yr Stack</c:v>
                </c:pt>
              </c:strCache>
            </c:strRef>
          </c:tx>
          <c:spPr>
            <a:ln w="28575" cap="rnd">
              <a:solidFill>
                <a:schemeClr val="accent1"/>
              </a:solidFill>
              <a:round/>
            </a:ln>
            <a:effectLst/>
          </c:spPr>
          <c:marker>
            <c:symbol val="none"/>
          </c:marker>
          <c:cat>
            <c:strRef>
              <c:f>'Historical Financials'!$P$1419:$AF$1419</c:f>
              <c:strCache>
                <c:ptCount val="13"/>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c:v>
                </c:pt>
              </c:strCache>
            </c:strRef>
          </c:cat>
          <c:val>
            <c:numRef>
              <c:f>'Historical Financials'!$P$1428:$AF$1428</c:f>
              <c:numCache>
                <c:formatCode>#,##0%_);\(#,##0%\)</c:formatCode>
                <c:ptCount val="13"/>
                <c:pt idx="0">
                  <c:v>0.33975043415157663</c:v>
                </c:pt>
                <c:pt idx="1">
                  <c:v>0.27828408820550321</c:v>
                </c:pt>
                <c:pt idx="2">
                  <c:v>0.31910928657878379</c:v>
                </c:pt>
                <c:pt idx="3">
                  <c:v>0.28826761004225115</c:v>
                </c:pt>
                <c:pt idx="4">
                  <c:v>0.27479738031168427</c:v>
                </c:pt>
                <c:pt idx="5">
                  <c:v>0.30560573366815147</c:v>
                </c:pt>
                <c:pt idx="6">
                  <c:v>0.32082377502857107</c:v>
                </c:pt>
                <c:pt idx="7">
                  <c:v>0.31948318983529678</c:v>
                </c:pt>
                <c:pt idx="8">
                  <c:v>0.32436126105584306</c:v>
                </c:pt>
                <c:pt idx="9">
                  <c:v>0.35442033549637797</c:v>
                </c:pt>
                <c:pt idx="10">
                  <c:v>0.36321155362026636</c:v>
                </c:pt>
                <c:pt idx="11">
                  <c:v>0.33905186298765633</c:v>
                </c:pt>
                <c:pt idx="12">
                  <c:v>0.36385421219787906</c:v>
                </c:pt>
              </c:numCache>
            </c:numRef>
          </c:val>
          <c:smooth val="0"/>
          <c:extLst>
            <c:ext xmlns:c16="http://schemas.microsoft.com/office/drawing/2014/chart" uri="{C3380CC4-5D6E-409C-BE32-E72D297353CC}">
              <c16:uniqueId val="{00000000-6488-4C88-B7BE-C926CA5AD7DD}"/>
            </c:ext>
          </c:extLst>
        </c:ser>
        <c:ser>
          <c:idx val="1"/>
          <c:order val="1"/>
          <c:tx>
            <c:strRef>
              <c:f>'Historical Financials'!$B$1429:$O$1429</c:f>
              <c:strCache>
                <c:ptCount val="2"/>
                <c:pt idx="0">
                  <c:v>Commercieal Bookings Growth - CC 2yr Stack </c:v>
                </c:pt>
              </c:strCache>
            </c:strRef>
          </c:tx>
          <c:spPr>
            <a:ln w="28575" cap="rnd">
              <a:solidFill>
                <a:schemeClr val="accent2"/>
              </a:solidFill>
              <a:round/>
            </a:ln>
            <a:effectLst/>
          </c:spPr>
          <c:marker>
            <c:symbol val="none"/>
          </c:marker>
          <c:cat>
            <c:strRef>
              <c:f>'Historical Financials'!$P$1419:$AF$1419</c:f>
              <c:strCache>
                <c:ptCount val="13"/>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c:v>
                </c:pt>
              </c:strCache>
            </c:strRef>
          </c:cat>
          <c:val>
            <c:numRef>
              <c:f>'Historical Financials'!$P$1429:$AF$1429</c:f>
              <c:numCache>
                <c:formatCode>#,##0%_);\(#,##0%\)</c:formatCode>
                <c:ptCount val="13"/>
                <c:pt idx="0">
                  <c:v>0.51</c:v>
                </c:pt>
                <c:pt idx="1">
                  <c:v>0.52</c:v>
                </c:pt>
                <c:pt idx="2">
                  <c:v>0.46</c:v>
                </c:pt>
                <c:pt idx="3">
                  <c:v>0.39</c:v>
                </c:pt>
                <c:pt idx="4">
                  <c:v>0.53</c:v>
                </c:pt>
                <c:pt idx="5">
                  <c:v>0.41</c:v>
                </c:pt>
                <c:pt idx="6">
                  <c:v>0.5</c:v>
                </c:pt>
                <c:pt idx="7">
                  <c:v>0.39</c:v>
                </c:pt>
                <c:pt idx="8">
                  <c:v>0.32</c:v>
                </c:pt>
                <c:pt idx="9">
                  <c:v>0.48</c:v>
                </c:pt>
                <c:pt idx="10">
                  <c:v>0.73</c:v>
                </c:pt>
                <c:pt idx="11">
                  <c:v>0.6</c:v>
                </c:pt>
                <c:pt idx="12">
                  <c:v>0.30000000000000004</c:v>
                </c:pt>
              </c:numCache>
            </c:numRef>
          </c:val>
          <c:smooth val="0"/>
          <c:extLst>
            <c:ext xmlns:c16="http://schemas.microsoft.com/office/drawing/2014/chart" uri="{C3380CC4-5D6E-409C-BE32-E72D297353CC}">
              <c16:uniqueId val="{00000001-6488-4C88-B7BE-C926CA5AD7DD}"/>
            </c:ext>
          </c:extLst>
        </c:ser>
        <c:dLbls>
          <c:showLegendKey val="0"/>
          <c:showVal val="0"/>
          <c:showCatName val="0"/>
          <c:showSerName val="0"/>
          <c:showPercent val="0"/>
          <c:showBubbleSize val="0"/>
        </c:dLbls>
        <c:smooth val="0"/>
        <c:axId val="686642480"/>
        <c:axId val="686642896"/>
      </c:lineChart>
      <c:catAx>
        <c:axId val="68664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642896"/>
        <c:crosses val="autoZero"/>
        <c:auto val="1"/>
        <c:lblAlgn val="ctr"/>
        <c:lblOffset val="100"/>
        <c:noMultiLvlLbl val="0"/>
      </c:catAx>
      <c:valAx>
        <c:axId val="686642896"/>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642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 Share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Azure!$A$34</c:f>
              <c:strCache>
                <c:ptCount val="1"/>
                <c:pt idx="0">
                  <c:v>AWS (cons. forecast)</c:v>
                </c:pt>
              </c:strCache>
            </c:strRef>
          </c:tx>
          <c:spPr>
            <a:ln w="28575" cap="rnd">
              <a:solidFill>
                <a:schemeClr val="accent1"/>
              </a:solidFill>
              <a:round/>
            </a:ln>
            <a:effectLst/>
          </c:spPr>
          <c:marker>
            <c:symbol val="none"/>
          </c:marker>
          <c:cat>
            <c:strRef>
              <c:f>Azure!$Z$5:$AU$5</c:f>
              <c:strCache>
                <c:ptCount val="22"/>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strCache>
            </c:strRef>
          </c:cat>
          <c:val>
            <c:numRef>
              <c:f>Azure!$B$34:$AU$34</c:f>
              <c:numCache>
                <c:formatCode>_(* #,##0%_);_(* \(#,##0%\);_(* "-"?_);_(* @_)</c:formatCode>
                <c:ptCount val="22"/>
                <c:pt idx="0">
                  <c:v>0.60010550274076313</c:v>
                </c:pt>
                <c:pt idx="1">
                  <c:v>0.5778223915520263</c:v>
                </c:pt>
                <c:pt idx="2">
                  <c:v>0.57320485790533748</c:v>
                </c:pt>
                <c:pt idx="3">
                  <c:v>0.57220202013195143</c:v>
                </c:pt>
                <c:pt idx="4">
                  <c:v>0.56017488555382655</c:v>
                </c:pt>
                <c:pt idx="5">
                  <c:v>0.54800553619577697</c:v>
                </c:pt>
                <c:pt idx="6">
                  <c:v>0.54127518860294954</c:v>
                </c:pt>
                <c:pt idx="7">
                  <c:v>0.53509375285292504</c:v>
                </c:pt>
                <c:pt idx="8">
                  <c:v>0.53144675223179061</c:v>
                </c:pt>
                <c:pt idx="9">
                  <c:v>0.52209150506734225</c:v>
                </c:pt>
                <c:pt idx="10">
                  <c:v>0.5251159513141298</c:v>
                </c:pt>
                <c:pt idx="11">
                  <c:v>0.52476568911957244</c:v>
                </c:pt>
                <c:pt idx="12">
                  <c:v>0.51668444408063385</c:v>
                </c:pt>
                <c:pt idx="13">
                  <c:v>0.51315391511235642</c:v>
                </c:pt>
                <c:pt idx="14">
                  <c:v>0.50955192775269187</c:v>
                </c:pt>
                <c:pt idx="15">
                  <c:v>0.50220823153542571</c:v>
                </c:pt>
                <c:pt idx="16">
                  <c:v>0.4929036541094442</c:v>
                </c:pt>
                <c:pt idx="17">
                  <c:v>0.48278089336593477</c:v>
                </c:pt>
                <c:pt idx="18">
                  <c:v>0.47928748103344349</c:v>
                </c:pt>
                <c:pt idx="19">
                  <c:v>0.47058823529411764</c:v>
                </c:pt>
                <c:pt idx="20">
                  <c:v>0.46688628788869219</c:v>
                </c:pt>
                <c:pt idx="21">
                  <c:v>0.4618228174037623</c:v>
                </c:pt>
              </c:numCache>
            </c:numRef>
          </c:val>
          <c:smooth val="0"/>
          <c:extLst>
            <c:ext xmlns:c16="http://schemas.microsoft.com/office/drawing/2014/chart" uri="{C3380CC4-5D6E-409C-BE32-E72D297353CC}">
              <c16:uniqueId val="{00000000-5539-4B60-9310-681ADF75FFE3}"/>
            </c:ext>
          </c:extLst>
        </c:ser>
        <c:ser>
          <c:idx val="1"/>
          <c:order val="1"/>
          <c:tx>
            <c:strRef>
              <c:f>Azure!$A$35</c:f>
              <c:strCache>
                <c:ptCount val="1"/>
                <c:pt idx="0">
                  <c:v>Azure</c:v>
                </c:pt>
              </c:strCache>
            </c:strRef>
          </c:tx>
          <c:spPr>
            <a:ln w="28575" cap="rnd">
              <a:solidFill>
                <a:schemeClr val="accent2"/>
              </a:solidFill>
              <a:round/>
            </a:ln>
            <a:effectLst/>
          </c:spPr>
          <c:marker>
            <c:symbol val="none"/>
          </c:marker>
          <c:cat>
            <c:strRef>
              <c:f>Azure!$Z$5:$AU$5</c:f>
              <c:strCache>
                <c:ptCount val="22"/>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strCache>
            </c:strRef>
          </c:cat>
          <c:val>
            <c:numRef>
              <c:f>Azure!$B$35:$AU$35</c:f>
              <c:numCache>
                <c:formatCode>_(* #,##0%_);_(* \(#,##0%\);_(* "-"?_);_(* @_)</c:formatCode>
                <c:ptCount val="22"/>
                <c:pt idx="0">
                  <c:v>0.25758777396117405</c:v>
                </c:pt>
                <c:pt idx="1">
                  <c:v>0.27739452501410483</c:v>
                </c:pt>
                <c:pt idx="2">
                  <c:v>0.27519376833626358</c:v>
                </c:pt>
                <c:pt idx="3">
                  <c:v>0.2775331536047454</c:v>
                </c:pt>
                <c:pt idx="4">
                  <c:v>0.28759831562212251</c:v>
                </c:pt>
                <c:pt idx="5">
                  <c:v>0.29952845276233714</c:v>
                </c:pt>
                <c:pt idx="6">
                  <c:v>0.29803592685704894</c:v>
                </c:pt>
                <c:pt idx="7">
                  <c:v>0.30402536760072774</c:v>
                </c:pt>
                <c:pt idx="8">
                  <c:v>0.30927271705043891</c:v>
                </c:pt>
                <c:pt idx="9">
                  <c:v>0.31474828928395371</c:v>
                </c:pt>
                <c:pt idx="10">
                  <c:v>0.31223174595107778</c:v>
                </c:pt>
                <c:pt idx="11">
                  <c:v>0.3116951273364707</c:v>
                </c:pt>
                <c:pt idx="12">
                  <c:v>0.32022135555098202</c:v>
                </c:pt>
                <c:pt idx="13">
                  <c:v>0.32368918883185815</c:v>
                </c:pt>
                <c:pt idx="14">
                  <c:v>0.32005160522006648</c:v>
                </c:pt>
                <c:pt idx="15">
                  <c:v>0.32594906972373616</c:v>
                </c:pt>
                <c:pt idx="16">
                  <c:v>0.3350394086548249</c:v>
                </c:pt>
                <c:pt idx="17">
                  <c:v>0.34209655222476892</c:v>
                </c:pt>
                <c:pt idx="18">
                  <c:v>0.34588763484442225</c:v>
                </c:pt>
                <c:pt idx="19">
                  <c:v>0.35069555834232552</c:v>
                </c:pt>
                <c:pt idx="20">
                  <c:v>0.35457917042315268</c:v>
                </c:pt>
                <c:pt idx="21">
                  <c:v>0.35974422552847662</c:v>
                </c:pt>
              </c:numCache>
            </c:numRef>
          </c:val>
          <c:smooth val="0"/>
          <c:extLst>
            <c:ext xmlns:c16="http://schemas.microsoft.com/office/drawing/2014/chart" uri="{C3380CC4-5D6E-409C-BE32-E72D297353CC}">
              <c16:uniqueId val="{00000001-5539-4B60-9310-681ADF75FFE3}"/>
            </c:ext>
          </c:extLst>
        </c:ser>
        <c:ser>
          <c:idx val="2"/>
          <c:order val="2"/>
          <c:tx>
            <c:strRef>
              <c:f>Azure!$A$36</c:f>
              <c:strCache>
                <c:ptCount val="1"/>
                <c:pt idx="0">
                  <c:v>Google Cloud (cons. forecast)</c:v>
                </c:pt>
              </c:strCache>
            </c:strRef>
          </c:tx>
          <c:spPr>
            <a:ln w="28575" cap="rnd">
              <a:solidFill>
                <a:schemeClr val="accent3"/>
              </a:solidFill>
              <a:round/>
            </a:ln>
            <a:effectLst/>
          </c:spPr>
          <c:marker>
            <c:symbol val="none"/>
          </c:marker>
          <c:cat>
            <c:strRef>
              <c:f>Azure!$Z$5:$AU$5</c:f>
              <c:strCache>
                <c:ptCount val="22"/>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strCache>
            </c:strRef>
          </c:cat>
          <c:val>
            <c:numRef>
              <c:f>Azure!$B$36:$AU$36</c:f>
              <c:numCache>
                <c:formatCode>_(* #,##0%_);_(* \(#,##0%\);_(* "-"?_);_(* @_)</c:formatCode>
                <c:ptCount val="22"/>
                <c:pt idx="0">
                  <c:v>0.14230672329806296</c:v>
                </c:pt>
                <c:pt idx="1">
                  <c:v>0.14478308343386889</c:v>
                </c:pt>
                <c:pt idx="2">
                  <c:v>0.15160137375839888</c:v>
                </c:pt>
                <c:pt idx="3">
                  <c:v>0.15026482626330329</c:v>
                </c:pt>
                <c:pt idx="4">
                  <c:v>0.15222679882405094</c:v>
                </c:pt>
                <c:pt idx="5">
                  <c:v>0.15246601104188576</c:v>
                </c:pt>
                <c:pt idx="6">
                  <c:v>0.16068888454000158</c:v>
                </c:pt>
                <c:pt idx="7">
                  <c:v>0.16088087954634719</c:v>
                </c:pt>
                <c:pt idx="8">
                  <c:v>0.1592805307177706</c:v>
                </c:pt>
                <c:pt idx="9">
                  <c:v>0.16316020564870415</c:v>
                </c:pt>
                <c:pt idx="10">
                  <c:v>0.16265230273479253</c:v>
                </c:pt>
                <c:pt idx="11">
                  <c:v>0.16353918354395675</c:v>
                </c:pt>
                <c:pt idx="12">
                  <c:v>0.16309420036838401</c:v>
                </c:pt>
                <c:pt idx="13">
                  <c:v>0.16315689605578543</c:v>
                </c:pt>
                <c:pt idx="14">
                  <c:v>0.17039646702724159</c:v>
                </c:pt>
                <c:pt idx="15">
                  <c:v>0.17184269874083818</c:v>
                </c:pt>
                <c:pt idx="16">
                  <c:v>0.17205693723573087</c:v>
                </c:pt>
                <c:pt idx="17">
                  <c:v>0.17512255440929639</c:v>
                </c:pt>
                <c:pt idx="18">
                  <c:v>0.17482488412213423</c:v>
                </c:pt>
                <c:pt idx="19">
                  <c:v>0.17871620636355681</c:v>
                </c:pt>
                <c:pt idx="20">
                  <c:v>0.17853454168815508</c:v>
                </c:pt>
                <c:pt idx="21">
                  <c:v>0.17843295706776105</c:v>
                </c:pt>
              </c:numCache>
            </c:numRef>
          </c:val>
          <c:smooth val="0"/>
          <c:extLst>
            <c:ext xmlns:c16="http://schemas.microsoft.com/office/drawing/2014/chart" uri="{C3380CC4-5D6E-409C-BE32-E72D297353CC}">
              <c16:uniqueId val="{00000002-5539-4B60-9310-681ADF75FFE3}"/>
            </c:ext>
          </c:extLst>
        </c:ser>
        <c:dLbls>
          <c:showLegendKey val="0"/>
          <c:showVal val="0"/>
          <c:showCatName val="0"/>
          <c:showSerName val="0"/>
          <c:showPercent val="0"/>
          <c:showBubbleSize val="0"/>
        </c:dLbls>
        <c:smooth val="0"/>
        <c:axId val="886660543"/>
        <c:axId val="886655967"/>
      </c:lineChart>
      <c:catAx>
        <c:axId val="88666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55967"/>
        <c:crosses val="autoZero"/>
        <c:auto val="1"/>
        <c:lblAlgn val="ctr"/>
        <c:lblOffset val="100"/>
        <c:noMultiLvlLbl val="0"/>
      </c:catAx>
      <c:valAx>
        <c:axId val="88665596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60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 (Reported)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Azure!$A$14</c:f>
              <c:strCache>
                <c:ptCount val="1"/>
                <c:pt idx="0">
                  <c:v>AWS (cons. forecast)</c:v>
                </c:pt>
              </c:strCache>
            </c:strRef>
          </c:tx>
          <c:spPr>
            <a:ln w="28575" cap="rnd">
              <a:solidFill>
                <a:schemeClr val="accent1"/>
              </a:solidFill>
              <a:round/>
            </a:ln>
            <a:effectLst/>
          </c:spPr>
          <c:marker>
            <c:symbol val="none"/>
          </c:marker>
          <c:cat>
            <c:strRef>
              <c:f>Azure!$Z$5:$AU$5</c:f>
              <c:strCache>
                <c:ptCount val="22"/>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strCache>
            </c:strRef>
          </c:cat>
          <c:val>
            <c:numRef>
              <c:f>Azure!$B$14:$AU$14</c:f>
              <c:numCache>
                <c:formatCode>_(* #,##0%_);_(* \(#,##0%\);_(* "-"?_);_(* @_)</c:formatCode>
                <c:ptCount val="22"/>
                <c:pt idx="0">
                  <c:v>0.41418596104373395</c:v>
                </c:pt>
                <c:pt idx="1">
                  <c:v>0.37280917280917292</c:v>
                </c:pt>
                <c:pt idx="2">
                  <c:v>0.34675849678095516</c:v>
                </c:pt>
                <c:pt idx="3">
                  <c:v>0.33970390309555865</c:v>
                </c:pt>
                <c:pt idx="4">
                  <c:v>0.32783264033264037</c:v>
                </c:pt>
                <c:pt idx="5">
                  <c:v>0.28958358191146649</c:v>
                </c:pt>
                <c:pt idx="6">
                  <c:v>0.28971650917176217</c:v>
                </c:pt>
                <c:pt idx="7">
                  <c:v>0.28008840667068524</c:v>
                </c:pt>
                <c:pt idx="8">
                  <c:v>0.32136216850963883</c:v>
                </c:pt>
                <c:pt idx="9">
                  <c:v>0.37018874907475952</c:v>
                </c:pt>
                <c:pt idx="10">
                  <c:v>0.3886733902249806</c:v>
                </c:pt>
                <c:pt idx="11">
                  <c:v>0.39538533982106427</c:v>
                </c:pt>
                <c:pt idx="12">
                  <c:v>0.36569651188624741</c:v>
                </c:pt>
                <c:pt idx="13">
                  <c:v>0.33290566547369838</c:v>
                </c:pt>
                <c:pt idx="14">
                  <c:v>0.27486033519553077</c:v>
                </c:pt>
                <c:pt idx="15">
                  <c:v>0.20236220472440936</c:v>
                </c:pt>
                <c:pt idx="16">
                  <c:v>0.157963234097934</c:v>
                </c:pt>
                <c:pt idx="17">
                  <c:v>0.12163736764780375</c:v>
                </c:pt>
                <c:pt idx="18">
                  <c:v>0.1227480767358069</c:v>
                </c:pt>
                <c:pt idx="19">
                  <c:v>0.13219197305641317</c:v>
                </c:pt>
                <c:pt idx="20">
                  <c:v>0.17247354125690739</c:v>
                </c:pt>
                <c:pt idx="21">
                  <c:v>0.17346431797651318</c:v>
                </c:pt>
              </c:numCache>
            </c:numRef>
          </c:val>
          <c:smooth val="0"/>
          <c:extLst>
            <c:ext xmlns:c16="http://schemas.microsoft.com/office/drawing/2014/chart" uri="{C3380CC4-5D6E-409C-BE32-E72D297353CC}">
              <c16:uniqueId val="{00000000-5539-4B60-9310-681ADF75FFE3}"/>
            </c:ext>
          </c:extLst>
        </c:ser>
        <c:ser>
          <c:idx val="1"/>
          <c:order val="1"/>
          <c:tx>
            <c:strRef>
              <c:f>Azure!$A$15</c:f>
              <c:strCache>
                <c:ptCount val="1"/>
                <c:pt idx="0">
                  <c:v>Azure</c:v>
                </c:pt>
              </c:strCache>
            </c:strRef>
          </c:tx>
          <c:spPr>
            <a:ln w="28575" cap="rnd">
              <a:solidFill>
                <a:schemeClr val="accent2"/>
              </a:solidFill>
              <a:round/>
            </a:ln>
            <a:effectLst/>
          </c:spPr>
          <c:marker>
            <c:symbol val="none"/>
          </c:marker>
          <c:cat>
            <c:strRef>
              <c:f>Azure!$Z$5:$AU$5</c:f>
              <c:strCache>
                <c:ptCount val="22"/>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strCache>
            </c:strRef>
          </c:cat>
          <c:val>
            <c:numRef>
              <c:f>Azure!$B$15:$AU$15</c:f>
              <c:numCache>
                <c:formatCode>_(* #,##0%_);_(* \(#,##0%\);_(* "-"?_);_(* @_)</c:formatCode>
                <c:ptCount val="22"/>
                <c:pt idx="0">
                  <c:v>0.73101723752948167</c:v>
                </c:pt>
                <c:pt idx="1">
                  <c:v>0.62667597347516368</c:v>
                </c:pt>
                <c:pt idx="2">
                  <c:v>0.59085230064168881</c:v>
                </c:pt>
                <c:pt idx="3">
                  <c:v>0.62009799992947956</c:v>
                </c:pt>
                <c:pt idx="4">
                  <c:v>0.58821175943955106</c:v>
                </c:pt>
                <c:pt idx="5">
                  <c:v>0.46824697555649819</c:v>
                </c:pt>
                <c:pt idx="6">
                  <c:v>0.47916296898311139</c:v>
                </c:pt>
                <c:pt idx="7">
                  <c:v>0.49952745622344996</c:v>
                </c:pt>
                <c:pt idx="8">
                  <c:v>0.49775582341590807</c:v>
                </c:pt>
                <c:pt idx="9">
                  <c:v>0.51127678584879188</c:v>
                </c:pt>
                <c:pt idx="10">
                  <c:v>0.49958628868543009</c:v>
                </c:pt>
                <c:pt idx="11">
                  <c:v>0.45874303578955766</c:v>
                </c:pt>
                <c:pt idx="12">
                  <c:v>0.45444483269312119</c:v>
                </c:pt>
                <c:pt idx="13">
                  <c:v>0.39464350961882055</c:v>
                </c:pt>
                <c:pt idx="14">
                  <c:v>0.34670453701846027</c:v>
                </c:pt>
                <c:pt idx="15">
                  <c:v>0.3138223748487583</c:v>
                </c:pt>
                <c:pt idx="16">
                  <c:v>0.27</c:v>
                </c:pt>
                <c:pt idx="17">
                  <c:v>0.26</c:v>
                </c:pt>
                <c:pt idx="18">
                  <c:v>0.29000000000000004</c:v>
                </c:pt>
                <c:pt idx="19">
                  <c:v>0.30000000000000004</c:v>
                </c:pt>
                <c:pt idx="20">
                  <c:v>0.31000000000000005</c:v>
                </c:pt>
                <c:pt idx="21">
                  <c:v>0.29000000000000004</c:v>
                </c:pt>
              </c:numCache>
            </c:numRef>
          </c:val>
          <c:smooth val="0"/>
          <c:extLst>
            <c:ext xmlns:c16="http://schemas.microsoft.com/office/drawing/2014/chart" uri="{C3380CC4-5D6E-409C-BE32-E72D297353CC}">
              <c16:uniqueId val="{00000001-5539-4B60-9310-681ADF75FFE3}"/>
            </c:ext>
          </c:extLst>
        </c:ser>
        <c:ser>
          <c:idx val="2"/>
          <c:order val="2"/>
          <c:tx>
            <c:strRef>
              <c:f>Azure!$A$16</c:f>
              <c:strCache>
                <c:ptCount val="1"/>
                <c:pt idx="0">
                  <c:v>Google Cloud (cons. forecast)</c:v>
                </c:pt>
              </c:strCache>
            </c:strRef>
          </c:tx>
          <c:spPr>
            <a:ln w="28575" cap="rnd">
              <a:solidFill>
                <a:schemeClr val="accent3"/>
              </a:solidFill>
              <a:round/>
            </a:ln>
            <a:effectLst/>
          </c:spPr>
          <c:marker>
            <c:symbol val="none"/>
          </c:marker>
          <c:cat>
            <c:strRef>
              <c:f>Azure!$Z$5:$AU$5</c:f>
              <c:strCache>
                <c:ptCount val="22"/>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strCache>
            </c:strRef>
          </c:cat>
          <c:val>
            <c:numRef>
              <c:f>Azure!$Z$16:$AU$16</c:f>
              <c:numCache>
                <c:formatCode>_(* #,##0%_);_(* \(#,##0%\);_(* "-"?_);_(* @_)</c:formatCode>
                <c:ptCount val="22"/>
                <c:pt idx="3">
                  <c:v>0.529549444119368</c:v>
                </c:pt>
                <c:pt idx="4">
                  <c:v>0.52164383561643834</c:v>
                </c:pt>
                <c:pt idx="5">
                  <c:v>0.43190476190476201</c:v>
                </c:pt>
                <c:pt idx="6">
                  <c:v>0.44766708701134927</c:v>
                </c:pt>
                <c:pt idx="7">
                  <c:v>0.46557000765110934</c:v>
                </c:pt>
                <c:pt idx="8">
                  <c:v>0.4573280518545193</c:v>
                </c:pt>
                <c:pt idx="9">
                  <c:v>0.53907549052211512</c:v>
                </c:pt>
                <c:pt idx="10">
                  <c:v>0.44889663182346107</c:v>
                </c:pt>
                <c:pt idx="11">
                  <c:v>0.44635865309318712</c:v>
                </c:pt>
                <c:pt idx="12">
                  <c:v>0.4383493946132937</c:v>
                </c:pt>
                <c:pt idx="13">
                  <c:v>0.35609334485738975</c:v>
                </c:pt>
                <c:pt idx="14">
                  <c:v>0.37635270541082155</c:v>
                </c:pt>
                <c:pt idx="15">
                  <c:v>0.3201588160981772</c:v>
                </c:pt>
                <c:pt idx="16">
                  <c:v>0.28053599037965982</c:v>
                </c:pt>
                <c:pt idx="17">
                  <c:v>0.2796367112810707</c:v>
                </c:pt>
                <c:pt idx="18">
                  <c:v>0.22466511357018049</c:v>
                </c:pt>
                <c:pt idx="19">
                  <c:v>0.25659603554340404</c:v>
                </c:pt>
                <c:pt idx="20">
                  <c:v>0.28441105446740012</c:v>
                </c:pt>
                <c:pt idx="21">
                  <c:v>0.24990661187896901</c:v>
                </c:pt>
              </c:numCache>
            </c:numRef>
          </c:val>
          <c:smooth val="0"/>
          <c:extLst>
            <c:ext xmlns:c16="http://schemas.microsoft.com/office/drawing/2014/chart" uri="{C3380CC4-5D6E-409C-BE32-E72D297353CC}">
              <c16:uniqueId val="{00000002-5539-4B60-9310-681ADF75FFE3}"/>
            </c:ext>
          </c:extLst>
        </c:ser>
        <c:dLbls>
          <c:showLegendKey val="0"/>
          <c:showVal val="0"/>
          <c:showCatName val="0"/>
          <c:showSerName val="0"/>
          <c:showPercent val="0"/>
          <c:showBubbleSize val="0"/>
        </c:dLbls>
        <c:smooth val="0"/>
        <c:axId val="886660543"/>
        <c:axId val="886655967"/>
      </c:lineChart>
      <c:catAx>
        <c:axId val="88666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55967"/>
        <c:crosses val="autoZero"/>
        <c:auto val="1"/>
        <c:lblAlgn val="ctr"/>
        <c:lblOffset val="100"/>
        <c:noMultiLvlLbl val="0"/>
      </c:catAx>
      <c:valAx>
        <c:axId val="88665596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60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 (ex-FX)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Azure!$A$24</c:f>
              <c:strCache>
                <c:ptCount val="1"/>
                <c:pt idx="0">
                  <c:v>AWS (cons. forecast)</c:v>
                </c:pt>
              </c:strCache>
            </c:strRef>
          </c:tx>
          <c:spPr>
            <a:ln w="28575" cap="rnd">
              <a:solidFill>
                <a:schemeClr val="accent1"/>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Azure!$B$24:$AY$24</c:f>
              <c:numCache>
                <c:formatCode>_(* #,##0%_);_(* \(#,##0%\);_(* "-"?_);_(* @_)</c:formatCode>
                <c:ptCount val="26"/>
                <c:pt idx="0">
                  <c:v>0.42</c:v>
                </c:pt>
                <c:pt idx="1">
                  <c:v>0.37</c:v>
                </c:pt>
                <c:pt idx="2">
                  <c:v>0.35</c:v>
                </c:pt>
                <c:pt idx="3">
                  <c:v>0.34</c:v>
                </c:pt>
                <c:pt idx="4">
                  <c:v>0.33</c:v>
                </c:pt>
                <c:pt idx="5">
                  <c:v>0.28999999999999998</c:v>
                </c:pt>
                <c:pt idx="6">
                  <c:v>0.28999999999999998</c:v>
                </c:pt>
                <c:pt idx="7">
                  <c:v>0.28000000000000003</c:v>
                </c:pt>
                <c:pt idx="8">
                  <c:v>0.32</c:v>
                </c:pt>
                <c:pt idx="9">
                  <c:v>0.37</c:v>
                </c:pt>
                <c:pt idx="10">
                  <c:v>0.39</c:v>
                </c:pt>
                <c:pt idx="11">
                  <c:v>0.4</c:v>
                </c:pt>
                <c:pt idx="12">
                  <c:v>0.37</c:v>
                </c:pt>
                <c:pt idx="13">
                  <c:v>0.33</c:v>
                </c:pt>
                <c:pt idx="14">
                  <c:v>0.28000000000000003</c:v>
                </c:pt>
                <c:pt idx="15">
                  <c:v>0.2</c:v>
                </c:pt>
                <c:pt idx="16">
                  <c:v>0.157963234097934</c:v>
                </c:pt>
                <c:pt idx="17">
                  <c:v>0.12163736764780375</c:v>
                </c:pt>
                <c:pt idx="18">
                  <c:v>0.1227480767358069</c:v>
                </c:pt>
                <c:pt idx="19">
                  <c:v>0.13219197305641317</c:v>
                </c:pt>
                <c:pt idx="20">
                  <c:v>0.17247354125690739</c:v>
                </c:pt>
                <c:pt idx="21">
                  <c:v>0.17346431797651318</c:v>
                </c:pt>
                <c:pt idx="22">
                  <c:v>0.17835552278936651</c:v>
                </c:pt>
                <c:pt idx="23">
                  <c:v>0.1821888943976202</c:v>
                </c:pt>
                <c:pt idx="24">
                  <c:v>0.18036905380037549</c:v>
                </c:pt>
                <c:pt idx="25">
                  <c:v>0.18138219048902071</c:v>
                </c:pt>
              </c:numCache>
            </c:numRef>
          </c:val>
          <c:smooth val="0"/>
          <c:extLst>
            <c:ext xmlns:c16="http://schemas.microsoft.com/office/drawing/2014/chart" uri="{C3380CC4-5D6E-409C-BE32-E72D297353CC}">
              <c16:uniqueId val="{00000000-5539-4B60-9310-681ADF75FFE3}"/>
            </c:ext>
          </c:extLst>
        </c:ser>
        <c:ser>
          <c:idx val="1"/>
          <c:order val="1"/>
          <c:tx>
            <c:strRef>
              <c:f>Azure!$A$25</c:f>
              <c:strCache>
                <c:ptCount val="1"/>
                <c:pt idx="0">
                  <c:v>Azure</c:v>
                </c:pt>
              </c:strCache>
            </c:strRef>
          </c:tx>
          <c:spPr>
            <a:ln w="28575" cap="rnd">
              <a:solidFill>
                <a:schemeClr val="accent2"/>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Azure!$B$25:$AY$25</c:f>
              <c:numCache>
                <c:formatCode>_(* #,##0%_);_(* \(#,##0%\);_(* "-"?_);_(* @_)</c:formatCode>
                <c:ptCount val="26"/>
                <c:pt idx="0">
                  <c:v>0.75</c:v>
                </c:pt>
                <c:pt idx="1">
                  <c:v>0.68</c:v>
                </c:pt>
                <c:pt idx="2">
                  <c:v>0.63</c:v>
                </c:pt>
                <c:pt idx="3">
                  <c:v>0.64</c:v>
                </c:pt>
                <c:pt idx="4">
                  <c:v>0.61</c:v>
                </c:pt>
                <c:pt idx="5">
                  <c:v>0.5</c:v>
                </c:pt>
                <c:pt idx="6">
                  <c:v>0.47</c:v>
                </c:pt>
                <c:pt idx="7">
                  <c:v>0.48</c:v>
                </c:pt>
                <c:pt idx="8">
                  <c:v>0.46</c:v>
                </c:pt>
                <c:pt idx="9">
                  <c:v>0.45</c:v>
                </c:pt>
                <c:pt idx="10">
                  <c:v>0.48</c:v>
                </c:pt>
                <c:pt idx="11">
                  <c:v>0.46</c:v>
                </c:pt>
                <c:pt idx="12">
                  <c:v>0.49</c:v>
                </c:pt>
                <c:pt idx="13">
                  <c:v>0.46</c:v>
                </c:pt>
                <c:pt idx="14">
                  <c:v>0.42</c:v>
                </c:pt>
                <c:pt idx="15">
                  <c:v>0.38</c:v>
                </c:pt>
                <c:pt idx="16">
                  <c:v>0.31</c:v>
                </c:pt>
                <c:pt idx="17">
                  <c:v>0.27</c:v>
                </c:pt>
                <c:pt idx="18">
                  <c:v>0.28000000000000003</c:v>
                </c:pt>
                <c:pt idx="19">
                  <c:v>0.28000000000000003</c:v>
                </c:pt>
                <c:pt idx="20">
                  <c:v>0.31</c:v>
                </c:pt>
                <c:pt idx="21">
                  <c:v>0.3</c:v>
                </c:pt>
                <c:pt idx="22">
                  <c:v>0.28999999999999998</c:v>
                </c:pt>
                <c:pt idx="23">
                  <c:v>0.28999999999999998</c:v>
                </c:pt>
                <c:pt idx="24">
                  <c:v>0.3</c:v>
                </c:pt>
                <c:pt idx="25">
                  <c:v>0.3</c:v>
                </c:pt>
              </c:numCache>
            </c:numRef>
          </c:val>
          <c:smooth val="0"/>
          <c:extLst>
            <c:ext xmlns:c16="http://schemas.microsoft.com/office/drawing/2014/chart" uri="{C3380CC4-5D6E-409C-BE32-E72D297353CC}">
              <c16:uniqueId val="{00000001-5539-4B60-9310-681ADF75FFE3}"/>
            </c:ext>
          </c:extLst>
        </c:ser>
        <c:dLbls>
          <c:showLegendKey val="0"/>
          <c:showVal val="0"/>
          <c:showCatName val="0"/>
          <c:showSerName val="0"/>
          <c:showPercent val="0"/>
          <c:showBubbleSize val="0"/>
        </c:dLbls>
        <c:smooth val="0"/>
        <c:axId val="886660543"/>
        <c:axId val="886655967"/>
      </c:lineChart>
      <c:catAx>
        <c:axId val="88666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55967"/>
        <c:crosses val="autoZero"/>
        <c:auto val="1"/>
        <c:lblAlgn val="ctr"/>
        <c:lblOffset val="100"/>
        <c:noMultiLvlLbl val="0"/>
      </c:catAx>
      <c:valAx>
        <c:axId val="88665596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60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 2 yr Stack (ex-FX)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Azure!$A$29</c:f>
              <c:strCache>
                <c:ptCount val="1"/>
                <c:pt idx="0">
                  <c:v>AWS (cons. forecast)</c:v>
                </c:pt>
              </c:strCache>
            </c:strRef>
          </c:tx>
          <c:spPr>
            <a:ln w="28575" cap="rnd">
              <a:solidFill>
                <a:schemeClr val="accent1"/>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Azure!$B$29:$AY$29</c:f>
              <c:numCache>
                <c:formatCode>_(* #,##0%_);_(* \(#,##0%\);_(* "-"?_);_(* @_)</c:formatCode>
                <c:ptCount val="26"/>
                <c:pt idx="0">
                  <c:v>0.90999999999999992</c:v>
                </c:pt>
                <c:pt idx="1">
                  <c:v>0.86</c:v>
                </c:pt>
                <c:pt idx="2">
                  <c:v>0.81</c:v>
                </c:pt>
                <c:pt idx="3">
                  <c:v>0.8</c:v>
                </c:pt>
                <c:pt idx="4">
                  <c:v>0.75</c:v>
                </c:pt>
                <c:pt idx="5">
                  <c:v>0.65999999999999992</c:v>
                </c:pt>
                <c:pt idx="6">
                  <c:v>0.6399999999999999</c:v>
                </c:pt>
                <c:pt idx="7">
                  <c:v>0.62000000000000011</c:v>
                </c:pt>
                <c:pt idx="8">
                  <c:v>0.65</c:v>
                </c:pt>
                <c:pt idx="9">
                  <c:v>0.65999999999999992</c:v>
                </c:pt>
                <c:pt idx="10">
                  <c:v>0.67999999999999994</c:v>
                </c:pt>
                <c:pt idx="11">
                  <c:v>0.68</c:v>
                </c:pt>
                <c:pt idx="12">
                  <c:v>0.69</c:v>
                </c:pt>
                <c:pt idx="13">
                  <c:v>0.7</c:v>
                </c:pt>
                <c:pt idx="14">
                  <c:v>0.67</c:v>
                </c:pt>
                <c:pt idx="15">
                  <c:v>0.60000000000000009</c:v>
                </c:pt>
                <c:pt idx="16">
                  <c:v>0.527963234097934</c:v>
                </c:pt>
                <c:pt idx="17">
                  <c:v>0.45163736764780377</c:v>
                </c:pt>
                <c:pt idx="18">
                  <c:v>0.40274807673580693</c:v>
                </c:pt>
                <c:pt idx="19">
                  <c:v>0.33219197305641318</c:v>
                </c:pt>
                <c:pt idx="20">
                  <c:v>0.33043677535484139</c:v>
                </c:pt>
                <c:pt idx="21">
                  <c:v>0.29510168562431693</c:v>
                </c:pt>
                <c:pt idx="22">
                  <c:v>0.3011035995251734</c:v>
                </c:pt>
                <c:pt idx="23">
                  <c:v>0.31438086745403337</c:v>
                </c:pt>
                <c:pt idx="24">
                  <c:v>0.35284259505728288</c:v>
                </c:pt>
                <c:pt idx="25">
                  <c:v>0.35484650846553389</c:v>
                </c:pt>
              </c:numCache>
            </c:numRef>
          </c:val>
          <c:smooth val="0"/>
          <c:extLst>
            <c:ext xmlns:c16="http://schemas.microsoft.com/office/drawing/2014/chart" uri="{C3380CC4-5D6E-409C-BE32-E72D297353CC}">
              <c16:uniqueId val="{00000000-5539-4B60-9310-681ADF75FFE3}"/>
            </c:ext>
          </c:extLst>
        </c:ser>
        <c:ser>
          <c:idx val="1"/>
          <c:order val="1"/>
          <c:tx>
            <c:strRef>
              <c:f>Azure!$A$30</c:f>
              <c:strCache>
                <c:ptCount val="1"/>
                <c:pt idx="0">
                  <c:v>Azure</c:v>
                </c:pt>
              </c:strCache>
            </c:strRef>
          </c:tx>
          <c:spPr>
            <a:ln w="28575" cap="rnd">
              <a:solidFill>
                <a:schemeClr val="accent2"/>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Azure!$B$30:$AY$30</c:f>
              <c:numCache>
                <c:formatCode>_(* #,##0%_);_(* \(#,##0%\);_(* "-"?_);_(* @_)</c:formatCode>
                <c:ptCount val="26"/>
                <c:pt idx="0">
                  <c:v>1.6400000000000001</c:v>
                </c:pt>
                <c:pt idx="1">
                  <c:v>1.53</c:v>
                </c:pt>
                <c:pt idx="2">
                  <c:v>1.3900000000000001</c:v>
                </c:pt>
                <c:pt idx="3">
                  <c:v>1.4</c:v>
                </c:pt>
                <c:pt idx="4">
                  <c:v>1.3599999999999999</c:v>
                </c:pt>
                <c:pt idx="5">
                  <c:v>1.1800000000000002</c:v>
                </c:pt>
                <c:pt idx="6">
                  <c:v>1.1000000000000001</c:v>
                </c:pt>
                <c:pt idx="7">
                  <c:v>1.1200000000000001</c:v>
                </c:pt>
                <c:pt idx="8">
                  <c:v>1.07</c:v>
                </c:pt>
                <c:pt idx="9">
                  <c:v>0.95</c:v>
                </c:pt>
                <c:pt idx="10">
                  <c:v>0.95</c:v>
                </c:pt>
                <c:pt idx="11">
                  <c:v>0.94</c:v>
                </c:pt>
                <c:pt idx="12">
                  <c:v>0.95</c:v>
                </c:pt>
                <c:pt idx="13">
                  <c:v>0.91</c:v>
                </c:pt>
                <c:pt idx="14">
                  <c:v>0.89999999999999991</c:v>
                </c:pt>
                <c:pt idx="15">
                  <c:v>0.84000000000000008</c:v>
                </c:pt>
                <c:pt idx="16">
                  <c:v>0.8</c:v>
                </c:pt>
                <c:pt idx="17">
                  <c:v>0.73</c:v>
                </c:pt>
                <c:pt idx="18">
                  <c:v>0.7</c:v>
                </c:pt>
                <c:pt idx="19">
                  <c:v>0.66</c:v>
                </c:pt>
                <c:pt idx="20">
                  <c:v>0.62</c:v>
                </c:pt>
                <c:pt idx="21">
                  <c:v>0.57000000000000006</c:v>
                </c:pt>
                <c:pt idx="22">
                  <c:v>0.57000000000000006</c:v>
                </c:pt>
                <c:pt idx="23">
                  <c:v>0.57000000000000006</c:v>
                </c:pt>
                <c:pt idx="24">
                  <c:v>0.61</c:v>
                </c:pt>
                <c:pt idx="25">
                  <c:v>0.6</c:v>
                </c:pt>
              </c:numCache>
            </c:numRef>
          </c:val>
          <c:smooth val="0"/>
          <c:extLst>
            <c:ext xmlns:c16="http://schemas.microsoft.com/office/drawing/2014/chart" uri="{C3380CC4-5D6E-409C-BE32-E72D297353CC}">
              <c16:uniqueId val="{00000001-5539-4B60-9310-681ADF75FFE3}"/>
            </c:ext>
          </c:extLst>
        </c:ser>
        <c:dLbls>
          <c:showLegendKey val="0"/>
          <c:showVal val="0"/>
          <c:showCatName val="0"/>
          <c:showSerName val="0"/>
          <c:showPercent val="0"/>
          <c:showBubbleSize val="0"/>
        </c:dLbls>
        <c:smooth val="0"/>
        <c:axId val="886660543"/>
        <c:axId val="886655967"/>
      </c:lineChart>
      <c:catAx>
        <c:axId val="88666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55967"/>
        <c:crosses val="autoZero"/>
        <c:auto val="1"/>
        <c:lblAlgn val="ctr"/>
        <c:lblOffset val="100"/>
        <c:noMultiLvlLbl val="0"/>
      </c:catAx>
      <c:valAx>
        <c:axId val="88665596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60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QoQ $ Added ($M)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Azure!$A$44</c:f>
              <c:strCache>
                <c:ptCount val="1"/>
                <c:pt idx="0">
                  <c:v>AWS (cons. forecast)</c:v>
                </c:pt>
              </c:strCache>
            </c:strRef>
          </c:tx>
          <c:spPr>
            <a:ln w="28575" cap="rnd">
              <a:solidFill>
                <a:schemeClr val="accent1"/>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Azure!$C$44:$AY$44</c:f>
              <c:numCache>
                <c:formatCode>#,##0_);[Red]\(#,##0\)</c:formatCode>
                <c:ptCount val="26"/>
                <c:pt idx="0">
                  <c:v>266</c:v>
                </c:pt>
                <c:pt idx="1">
                  <c:v>685</c:v>
                </c:pt>
                <c:pt idx="2">
                  <c:v>614</c:v>
                </c:pt>
                <c:pt idx="3">
                  <c:v>959</c:v>
                </c:pt>
                <c:pt idx="4">
                  <c:v>265</c:v>
                </c:pt>
                <c:pt idx="5">
                  <c:v>589</c:v>
                </c:pt>
                <c:pt idx="6">
                  <c:v>793</c:v>
                </c:pt>
                <c:pt idx="7">
                  <c:v>1141</c:v>
                </c:pt>
                <c:pt idx="8">
                  <c:v>761</c:v>
                </c:pt>
                <c:pt idx="9">
                  <c:v>1306</c:v>
                </c:pt>
                <c:pt idx="10">
                  <c:v>1301</c:v>
                </c:pt>
                <c:pt idx="11">
                  <c:v>1670</c:v>
                </c:pt>
                <c:pt idx="12">
                  <c:v>661</c:v>
                </c:pt>
                <c:pt idx="13">
                  <c:v>1298</c:v>
                </c:pt>
                <c:pt idx="14">
                  <c:v>799</c:v>
                </c:pt>
                <c:pt idx="15">
                  <c:v>840</c:v>
                </c:pt>
                <c:pt idx="16">
                  <c:v>-24</c:v>
                </c:pt>
                <c:pt idx="17">
                  <c:v>786</c:v>
                </c:pt>
                <c:pt idx="18">
                  <c:v>919</c:v>
                </c:pt>
                <c:pt idx="19">
                  <c:v>1145</c:v>
                </c:pt>
                <c:pt idx="20">
                  <c:v>833</c:v>
                </c:pt>
                <c:pt idx="21">
                  <c:v>943.5</c:v>
                </c:pt>
                <c:pt idx="22">
                  <c:v>1191.2000000000007</c:v>
                </c:pt>
                <c:pt idx="23">
                  <c:v>1442</c:v>
                </c:pt>
                <c:pt idx="24">
                  <c:v>939.20000000000073</c:v>
                </c:pt>
                <c:pt idx="25">
                  <c:v>1140</c:v>
                </c:pt>
              </c:numCache>
            </c:numRef>
          </c:val>
          <c:smooth val="0"/>
          <c:extLst>
            <c:ext xmlns:c16="http://schemas.microsoft.com/office/drawing/2014/chart" uri="{C3380CC4-5D6E-409C-BE32-E72D297353CC}">
              <c16:uniqueId val="{00000000-5539-4B60-9310-681ADF75FFE3}"/>
            </c:ext>
          </c:extLst>
        </c:ser>
        <c:ser>
          <c:idx val="1"/>
          <c:order val="1"/>
          <c:tx>
            <c:strRef>
              <c:f>Azure!$A$45</c:f>
              <c:strCache>
                <c:ptCount val="1"/>
                <c:pt idx="0">
                  <c:v>Azure</c:v>
                </c:pt>
              </c:strCache>
            </c:strRef>
          </c:tx>
          <c:spPr>
            <a:ln w="28575" cap="rnd">
              <a:solidFill>
                <a:schemeClr val="accent2"/>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Azure!$B$45:$AY$45</c:f>
              <c:numCache>
                <c:formatCode>#,##0_);[Red]\(#,##0\)</c:formatCode>
                <c:ptCount val="26"/>
                <c:pt idx="0">
                  <c:v>323.37342687707041</c:v>
                </c:pt>
                <c:pt idx="1">
                  <c:v>720.04529574936305</c:v>
                </c:pt>
                <c:pt idx="2">
                  <c:v>295.01299147740383</c:v>
                </c:pt>
                <c:pt idx="3">
                  <c:v>509.48402717109548</c:v>
                </c:pt>
                <c:pt idx="4">
                  <c:v>418.56326383545002</c:v>
                </c:pt>
                <c:pt idx="5">
                  <c:v>660.91126319417344</c:v>
                </c:pt>
                <c:pt idx="6">
                  <c:v>480.29232192385734</c:v>
                </c:pt>
                <c:pt idx="7">
                  <c:v>851.92871316518631</c:v>
                </c:pt>
                <c:pt idx="8">
                  <c:v>618.35220424259114</c:v>
                </c:pt>
                <c:pt idx="9">
                  <c:v>1069.7578119047585</c:v>
                </c:pt>
                <c:pt idx="10">
                  <c:v>651.17900450736488</c:v>
                </c:pt>
                <c:pt idx="11">
                  <c:v>981.84978075025901</c:v>
                </c:pt>
                <c:pt idx="12">
                  <c:v>868.24168423718947</c:v>
                </c:pt>
                <c:pt idx="13">
                  <c:v>1022.0118890750346</c:v>
                </c:pt>
                <c:pt idx="14">
                  <c:v>448.9580997290177</c:v>
                </c:pt>
                <c:pt idx="15">
                  <c:v>975</c:v>
                </c:pt>
                <c:pt idx="16">
                  <c:v>639.86811421885432</c:v>
                </c:pt>
                <c:pt idx="17">
                  <c:v>1173.444680122584</c:v>
                </c:pt>
                <c:pt idx="18">
                  <c:v>952.68720565856165</c:v>
                </c:pt>
                <c:pt idx="19">
                  <c:v>1396.5</c:v>
                </c:pt>
                <c:pt idx="20">
                  <c:v>976.97722962670014</c:v>
                </c:pt>
                <c:pt idx="21">
                  <c:v>1223.4462750737548</c:v>
                </c:pt>
                <c:pt idx="22">
                  <c:v>1262.7765610025926</c:v>
                </c:pt>
                <c:pt idx="23">
                  <c:v>1744.4776027399821</c:v>
                </c:pt>
                <c:pt idx="24">
                  <c:v>1202.615335144088</c:v>
                </c:pt>
                <c:pt idx="25">
                  <c:v>1679.0872676468243</c:v>
                </c:pt>
              </c:numCache>
            </c:numRef>
          </c:val>
          <c:smooth val="0"/>
          <c:extLst>
            <c:ext xmlns:c16="http://schemas.microsoft.com/office/drawing/2014/chart" uri="{C3380CC4-5D6E-409C-BE32-E72D297353CC}">
              <c16:uniqueId val="{00000001-5539-4B60-9310-681ADF75FFE3}"/>
            </c:ext>
          </c:extLst>
        </c:ser>
        <c:ser>
          <c:idx val="2"/>
          <c:order val="2"/>
          <c:tx>
            <c:strRef>
              <c:f>Azure!$A$46</c:f>
              <c:strCache>
                <c:ptCount val="1"/>
                <c:pt idx="0">
                  <c:v>Google Cloud (cons. forecast)</c:v>
                </c:pt>
              </c:strCache>
            </c:strRef>
          </c:tx>
          <c:spPr>
            <a:ln w="28575" cap="rnd">
              <a:solidFill>
                <a:schemeClr val="accent3"/>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Azure!$B$46:$AY$46</c:f>
              <c:numCache>
                <c:formatCode>#,##0_);[Red]\(#,##0\)</c:formatCode>
                <c:ptCount val="26"/>
                <c:pt idx="0">
                  <c:v>116</c:v>
                </c:pt>
                <c:pt idx="1">
                  <c:v>275</c:v>
                </c:pt>
                <c:pt idx="2">
                  <c:v>279</c:v>
                </c:pt>
                <c:pt idx="3">
                  <c:v>235</c:v>
                </c:pt>
                <c:pt idx="4">
                  <c:v>163</c:v>
                </c:pt>
                <c:pt idx="5">
                  <c:v>230</c:v>
                </c:pt>
                <c:pt idx="6">
                  <c:v>437</c:v>
                </c:pt>
                <c:pt idx="7">
                  <c:v>387</c:v>
                </c:pt>
                <c:pt idx="8">
                  <c:v>216</c:v>
                </c:pt>
                <c:pt idx="9">
                  <c:v>581</c:v>
                </c:pt>
                <c:pt idx="10">
                  <c:v>362</c:v>
                </c:pt>
                <c:pt idx="11">
                  <c:v>551</c:v>
                </c:pt>
                <c:pt idx="12">
                  <c:v>280</c:v>
                </c:pt>
                <c:pt idx="13">
                  <c:v>455</c:v>
                </c:pt>
                <c:pt idx="14">
                  <c:v>592</c:v>
                </c:pt>
                <c:pt idx="15">
                  <c:v>447</c:v>
                </c:pt>
                <c:pt idx="16" formatCode="#,##0_);\(#,##0\)">
                  <c:v>139</c:v>
                </c:pt>
                <c:pt idx="17">
                  <c:v>577</c:v>
                </c:pt>
                <c:pt idx="18">
                  <c:v>380</c:v>
                </c:pt>
                <c:pt idx="19">
                  <c:v>781</c:v>
                </c:pt>
                <c:pt idx="20" formatCode="#,##0_);\(#,##0\)">
                  <c:v>382</c:v>
                </c:pt>
                <c:pt idx="21">
                  <c:v>464</c:v>
                </c:pt>
                <c:pt idx="22">
                  <c:v>516</c:v>
                </c:pt>
                <c:pt idx="23">
                  <c:v>887</c:v>
                </c:pt>
                <c:pt idx="24">
                  <c:v>70</c:v>
                </c:pt>
                <c:pt idx="25">
                  <c:v>806</c:v>
                </c:pt>
              </c:numCache>
            </c:numRef>
          </c:val>
          <c:smooth val="0"/>
          <c:extLst>
            <c:ext xmlns:c16="http://schemas.microsoft.com/office/drawing/2014/chart" uri="{C3380CC4-5D6E-409C-BE32-E72D297353CC}">
              <c16:uniqueId val="{00000002-5539-4B60-9310-681ADF75FFE3}"/>
            </c:ext>
          </c:extLst>
        </c:ser>
        <c:dLbls>
          <c:showLegendKey val="0"/>
          <c:showVal val="0"/>
          <c:showCatName val="0"/>
          <c:showSerName val="0"/>
          <c:showPercent val="0"/>
          <c:showBubbleSize val="0"/>
        </c:dLbls>
        <c:smooth val="0"/>
        <c:axId val="886660543"/>
        <c:axId val="886655967"/>
      </c:lineChart>
      <c:catAx>
        <c:axId val="88666054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55967"/>
        <c:crosses val="autoZero"/>
        <c:auto val="1"/>
        <c:lblAlgn val="ctr"/>
        <c:lblOffset val="100"/>
        <c:noMultiLvlLbl val="0"/>
      </c:catAx>
      <c:valAx>
        <c:axId val="88665596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60543"/>
        <c:crosses val="autoZero"/>
        <c:crossBetween val="between"/>
      </c:valAx>
      <c:spPr>
        <a:noFill/>
        <a:ln>
          <a:noFill/>
        </a:ln>
        <a:effectLst/>
      </c:spPr>
    </c:plotArea>
    <c:legend>
      <c:legendPos val="b"/>
      <c:layout>
        <c:manualLayout>
          <c:xMode val="edge"/>
          <c:yMode val="edge"/>
          <c:x val="2.9650947492584581E-2"/>
          <c:y val="0.82955020338760632"/>
          <c:w val="0.92406807678830427"/>
          <c:h val="0.14371273873438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LTM $ Added ($M)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Azure!$A$54</c:f>
              <c:strCache>
                <c:ptCount val="1"/>
                <c:pt idx="0">
                  <c:v>AWS (cons. forecast)</c:v>
                </c:pt>
              </c:strCache>
            </c:strRef>
          </c:tx>
          <c:spPr>
            <a:ln w="28575" cap="rnd">
              <a:solidFill>
                <a:schemeClr val="accent1"/>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Azure!$B$54:$AY$54</c:f>
              <c:numCache>
                <c:formatCode>#,##0_);[Red]\(#,##0\)</c:formatCode>
                <c:ptCount val="26"/>
                <c:pt idx="0">
                  <c:v>2254</c:v>
                </c:pt>
                <c:pt idx="1">
                  <c:v>2276</c:v>
                </c:pt>
                <c:pt idx="2">
                  <c:v>2316</c:v>
                </c:pt>
                <c:pt idx="3">
                  <c:v>2524</c:v>
                </c:pt>
                <c:pt idx="4">
                  <c:v>2523</c:v>
                </c:pt>
                <c:pt idx="5">
                  <c:v>2427</c:v>
                </c:pt>
                <c:pt idx="6">
                  <c:v>2606</c:v>
                </c:pt>
                <c:pt idx="7">
                  <c:v>2788</c:v>
                </c:pt>
                <c:pt idx="8">
                  <c:v>3284</c:v>
                </c:pt>
                <c:pt idx="9">
                  <c:v>4001</c:v>
                </c:pt>
                <c:pt idx="10">
                  <c:v>4509</c:v>
                </c:pt>
                <c:pt idx="11">
                  <c:v>5038</c:v>
                </c:pt>
                <c:pt idx="12">
                  <c:v>4938</c:v>
                </c:pt>
                <c:pt idx="13">
                  <c:v>4930</c:v>
                </c:pt>
                <c:pt idx="14">
                  <c:v>4428</c:v>
                </c:pt>
                <c:pt idx="15">
                  <c:v>3598</c:v>
                </c:pt>
                <c:pt idx="16">
                  <c:v>2913</c:v>
                </c:pt>
                <c:pt idx="17">
                  <c:v>2401</c:v>
                </c:pt>
                <c:pt idx="18">
                  <c:v>2521</c:v>
                </c:pt>
                <c:pt idx="19">
                  <c:v>2826</c:v>
                </c:pt>
                <c:pt idx="20">
                  <c:v>3683</c:v>
                </c:pt>
                <c:pt idx="21">
                  <c:v>3840.5</c:v>
                </c:pt>
                <c:pt idx="22">
                  <c:v>4112.7000000000007</c:v>
                </c:pt>
                <c:pt idx="23">
                  <c:v>4409.7000000000007</c:v>
                </c:pt>
                <c:pt idx="24">
                  <c:v>4515.9000000000015</c:v>
                </c:pt>
                <c:pt idx="25">
                  <c:v>4712.4000000000015</c:v>
                </c:pt>
              </c:numCache>
            </c:numRef>
          </c:val>
          <c:smooth val="0"/>
          <c:extLst>
            <c:ext xmlns:c16="http://schemas.microsoft.com/office/drawing/2014/chart" uri="{C3380CC4-5D6E-409C-BE32-E72D297353CC}">
              <c16:uniqueId val="{00000000-5539-4B60-9310-681ADF75FFE3}"/>
            </c:ext>
          </c:extLst>
        </c:ser>
        <c:ser>
          <c:idx val="1"/>
          <c:order val="1"/>
          <c:tx>
            <c:strRef>
              <c:f>Azure!$A$55</c:f>
              <c:strCache>
                <c:ptCount val="1"/>
                <c:pt idx="0">
                  <c:v>Azure</c:v>
                </c:pt>
              </c:strCache>
            </c:strRef>
          </c:tx>
          <c:spPr>
            <a:ln w="28575" cap="rnd">
              <a:solidFill>
                <a:schemeClr val="accent2"/>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Azure!$B$55:$AY$55</c:f>
              <c:numCache>
                <c:formatCode>#,##0_);[Red]\(#,##0\)</c:formatCode>
                <c:ptCount val="26"/>
                <c:pt idx="0">
                  <c:v>1395.047262237789</c:v>
                </c:pt>
                <c:pt idx="1">
                  <c:v>1550.0344498375657</c:v>
                </c:pt>
                <c:pt idx="2">
                  <c:v>1603.9062181098498</c:v>
                </c:pt>
                <c:pt idx="3">
                  <c:v>1847.9157412749328</c:v>
                </c:pt>
                <c:pt idx="4">
                  <c:v>1943.1055782333124</c:v>
                </c:pt>
                <c:pt idx="5">
                  <c:v>1883.9715456781228</c:v>
                </c:pt>
                <c:pt idx="6">
                  <c:v>2069.2508761245763</c:v>
                </c:pt>
                <c:pt idx="7">
                  <c:v>2411.6955621186671</c:v>
                </c:pt>
                <c:pt idx="8">
                  <c:v>2611.4845025258082</c:v>
                </c:pt>
                <c:pt idx="9">
                  <c:v>3020.3310512363933</c:v>
                </c:pt>
                <c:pt idx="10">
                  <c:v>3191.2177338199008</c:v>
                </c:pt>
                <c:pt idx="11">
                  <c:v>3321.1388014049735</c:v>
                </c:pt>
                <c:pt idx="12">
                  <c:v>3571.0282813995718</c:v>
                </c:pt>
                <c:pt idx="13">
                  <c:v>3523.2823585698479</c:v>
                </c:pt>
                <c:pt idx="14">
                  <c:v>3321.0614537915008</c:v>
                </c:pt>
                <c:pt idx="15">
                  <c:v>3314.2116730412417</c:v>
                </c:pt>
                <c:pt idx="16">
                  <c:v>3085.8381030229066</c:v>
                </c:pt>
                <c:pt idx="17">
                  <c:v>3237.2708940704561</c:v>
                </c:pt>
                <c:pt idx="18">
                  <c:v>3741</c:v>
                </c:pt>
                <c:pt idx="19">
                  <c:v>4162.5</c:v>
                </c:pt>
                <c:pt idx="20">
                  <c:v>4499.6091154078458</c:v>
                </c:pt>
                <c:pt idx="21">
                  <c:v>4549.6107103590166</c:v>
                </c:pt>
                <c:pt idx="22">
                  <c:v>4859.7000657030476</c:v>
                </c:pt>
                <c:pt idx="23">
                  <c:v>5207.6776684430297</c:v>
                </c:pt>
                <c:pt idx="24">
                  <c:v>5433.3157739604176</c:v>
                </c:pt>
                <c:pt idx="25">
                  <c:v>5888.9567665334871</c:v>
                </c:pt>
              </c:numCache>
            </c:numRef>
          </c:val>
          <c:smooth val="0"/>
          <c:extLst>
            <c:ext xmlns:c16="http://schemas.microsoft.com/office/drawing/2014/chart" uri="{C3380CC4-5D6E-409C-BE32-E72D297353CC}">
              <c16:uniqueId val="{00000001-5539-4B60-9310-681ADF75FFE3}"/>
            </c:ext>
          </c:extLst>
        </c:ser>
        <c:ser>
          <c:idx val="2"/>
          <c:order val="2"/>
          <c:tx>
            <c:strRef>
              <c:f>Azure!$A$56</c:f>
              <c:strCache>
                <c:ptCount val="1"/>
                <c:pt idx="0">
                  <c:v>Google Cloud (cons. forecast)</c:v>
                </c:pt>
              </c:strCache>
            </c:strRef>
          </c:tx>
          <c:spPr>
            <a:ln w="28575" cap="rnd">
              <a:solidFill>
                <a:schemeClr val="accent3"/>
              </a:solidFill>
              <a:round/>
            </a:ln>
            <a:effectLst/>
          </c:spPr>
          <c:marker>
            <c:symbol val="none"/>
          </c:marker>
          <c:cat>
            <c:strRef>
              <c:f>Azure!$Z$5:$AY$5</c:f>
              <c:strCache>
                <c:ptCount val="26"/>
                <c:pt idx="0">
                  <c:v>1Q19</c:v>
                </c:pt>
                <c:pt idx="1">
                  <c:v>2Q19</c:v>
                </c:pt>
                <c:pt idx="2">
                  <c:v>3Q19</c:v>
                </c:pt>
                <c:pt idx="3">
                  <c:v>4Q19</c:v>
                </c:pt>
                <c:pt idx="4">
                  <c:v>1Q20</c:v>
                </c:pt>
                <c:pt idx="5">
                  <c:v>2Q20</c:v>
                </c:pt>
                <c:pt idx="6">
                  <c:v>3Q20</c:v>
                </c:pt>
                <c:pt idx="7">
                  <c:v>4Q20</c:v>
                </c:pt>
                <c:pt idx="8">
                  <c:v>1Q21</c:v>
                </c:pt>
                <c:pt idx="9">
                  <c:v>2Q21</c:v>
                </c:pt>
                <c:pt idx="10">
                  <c:v>3Q21</c:v>
                </c:pt>
                <c:pt idx="11">
                  <c:v>4Q21</c:v>
                </c:pt>
                <c:pt idx="12">
                  <c:v>1Q22</c:v>
                </c:pt>
                <c:pt idx="13">
                  <c:v>2Q22</c:v>
                </c:pt>
                <c:pt idx="14">
                  <c:v>3Q22</c:v>
                </c:pt>
                <c:pt idx="15">
                  <c:v>4Q22</c:v>
                </c:pt>
                <c:pt idx="16">
                  <c:v>1Q23</c:v>
                </c:pt>
                <c:pt idx="17">
                  <c:v>2Q23</c:v>
                </c:pt>
                <c:pt idx="18">
                  <c:v>3Q23</c:v>
                </c:pt>
                <c:pt idx="19">
                  <c:v>4Q23</c:v>
                </c:pt>
                <c:pt idx="20">
                  <c:v>1Q24</c:v>
                </c:pt>
                <c:pt idx="21">
                  <c:v>2Q24</c:v>
                </c:pt>
                <c:pt idx="22">
                  <c:v>3Q24E</c:v>
                </c:pt>
                <c:pt idx="23">
                  <c:v>4Q24E</c:v>
                </c:pt>
                <c:pt idx="24">
                  <c:v>1Q25E</c:v>
                </c:pt>
                <c:pt idx="25">
                  <c:v>2Q25E</c:v>
                </c:pt>
              </c:strCache>
            </c:strRef>
          </c:cat>
          <c:val>
            <c:numRef>
              <c:f>Azure!$B$56:$AY$56</c:f>
              <c:numCache>
                <c:formatCode>#,##0_);[Red]\(#,##0\)</c:formatCode>
                <c:ptCount val="26"/>
                <c:pt idx="3">
                  <c:v>905</c:v>
                </c:pt>
                <c:pt idx="4">
                  <c:v>952</c:v>
                </c:pt>
                <c:pt idx="5">
                  <c:v>907</c:v>
                </c:pt>
                <c:pt idx="6">
                  <c:v>1065</c:v>
                </c:pt>
                <c:pt idx="7">
                  <c:v>1217</c:v>
                </c:pt>
                <c:pt idx="8">
                  <c:v>1270</c:v>
                </c:pt>
                <c:pt idx="9">
                  <c:v>1621</c:v>
                </c:pt>
                <c:pt idx="10">
                  <c:v>1546</c:v>
                </c:pt>
                <c:pt idx="11">
                  <c:v>1710</c:v>
                </c:pt>
                <c:pt idx="12">
                  <c:v>1774</c:v>
                </c:pt>
                <c:pt idx="13">
                  <c:v>1648</c:v>
                </c:pt>
                <c:pt idx="14">
                  <c:v>1878</c:v>
                </c:pt>
                <c:pt idx="15">
                  <c:v>1774</c:v>
                </c:pt>
                <c:pt idx="16">
                  <c:v>1633</c:v>
                </c:pt>
                <c:pt idx="17">
                  <c:v>1755</c:v>
                </c:pt>
                <c:pt idx="18">
                  <c:v>1543</c:v>
                </c:pt>
                <c:pt idx="19">
                  <c:v>1877</c:v>
                </c:pt>
                <c:pt idx="20">
                  <c:v>2120</c:v>
                </c:pt>
                <c:pt idx="21">
                  <c:v>2007</c:v>
                </c:pt>
                <c:pt idx="22">
                  <c:v>2143</c:v>
                </c:pt>
                <c:pt idx="23">
                  <c:v>2249</c:v>
                </c:pt>
                <c:pt idx="24">
                  <c:v>1937</c:v>
                </c:pt>
                <c:pt idx="25">
                  <c:v>2279</c:v>
                </c:pt>
              </c:numCache>
            </c:numRef>
          </c:val>
          <c:smooth val="0"/>
          <c:extLst>
            <c:ext xmlns:c16="http://schemas.microsoft.com/office/drawing/2014/chart" uri="{C3380CC4-5D6E-409C-BE32-E72D297353CC}">
              <c16:uniqueId val="{00000002-5539-4B60-9310-681ADF75FFE3}"/>
            </c:ext>
          </c:extLst>
        </c:ser>
        <c:dLbls>
          <c:showLegendKey val="0"/>
          <c:showVal val="0"/>
          <c:showCatName val="0"/>
          <c:showSerName val="0"/>
          <c:showPercent val="0"/>
          <c:showBubbleSize val="0"/>
        </c:dLbls>
        <c:smooth val="0"/>
        <c:axId val="886660543"/>
        <c:axId val="886655967"/>
      </c:lineChart>
      <c:catAx>
        <c:axId val="88666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55967"/>
        <c:crosses val="autoZero"/>
        <c:auto val="1"/>
        <c:lblAlgn val="ctr"/>
        <c:lblOffset val="100"/>
        <c:noMultiLvlLbl val="0"/>
      </c:catAx>
      <c:valAx>
        <c:axId val="88665596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60543"/>
        <c:crosses val="autoZero"/>
        <c:crossBetween val="between"/>
      </c:valAx>
      <c:spPr>
        <a:noFill/>
        <a:ln>
          <a:noFill/>
        </a:ln>
        <a:effectLst/>
      </c:spPr>
    </c:plotArea>
    <c:legend>
      <c:legendPos val="b"/>
      <c:layout>
        <c:manualLayout>
          <c:xMode val="edge"/>
          <c:yMode val="edge"/>
          <c:x val="2.3609465430901189E-2"/>
          <c:y val="0.82955020338760632"/>
          <c:w val="0.93593717299151646"/>
          <c:h val="0.14371273873438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200" b="1"/>
              <a:t>PC Shipments vs. Windows</a:t>
            </a:r>
            <a:r>
              <a:rPr lang="en-US" sz="1200" b="1" baseline="0"/>
              <a:t> OEM </a:t>
            </a:r>
            <a:r>
              <a:rPr lang="en-US" sz="1200" b="1"/>
              <a:t>Revenue (LTM Growth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'Windows OEM'!$A$142:$B$142</c:f>
              <c:strCache>
                <c:ptCount val="2"/>
                <c:pt idx="0">
                  <c:v>LTM PC OEM Shipments (# in '000s)</c:v>
                </c:pt>
              </c:strCache>
            </c:strRef>
          </c:tx>
          <c:spPr>
            <a:ln w="28575" cap="rnd">
              <a:solidFill>
                <a:schemeClr val="accent1"/>
              </a:solidFill>
              <a:round/>
            </a:ln>
            <a:effectLst/>
          </c:spPr>
          <c:marker>
            <c:symbol val="none"/>
          </c:marker>
          <c:cat>
            <c:strRef>
              <c:f>'Windows OEM'!$C$141:$AR$141</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OEM'!$C$142:$AR$142</c:f>
              <c:numCache>
                <c:formatCode>_(* #,##0_);_(* \(#,##0\);_(* "-"_);_(@_)</c:formatCode>
                <c:ptCount val="34"/>
                <c:pt idx="5" formatCode="_(* #,##0%_);_(* \(#,##0%\);_(* &quot;-&quot;?_);_(* @_)">
                  <c:v>-1.0347465323179317E-2</c:v>
                </c:pt>
                <c:pt idx="6" formatCode="_(* #,##0%_);_(* \(#,##0%\);_(* &quot;-&quot;?_);_(* @_)">
                  <c:v>-3.442467468416921E-3</c:v>
                </c:pt>
                <c:pt idx="7" formatCode="_(* #,##0%_);_(* \(#,##0%\);_(* &quot;-&quot;?_);_(* @_)">
                  <c:v>-1.1659274769201367E-2</c:v>
                </c:pt>
                <c:pt idx="8" formatCode="_(* #,##0%_);_(* \(#,##0%\);_(* &quot;-&quot;?_);_(* @_)">
                  <c:v>-1.9120523163427383E-2</c:v>
                </c:pt>
                <c:pt idx="9" formatCode="_(* #,##0%_);_(* \(#,##0%\);_(* &quot;-&quot;?_);_(* @_)">
                  <c:v>-1.8636652667410325E-2</c:v>
                </c:pt>
                <c:pt idx="10" formatCode="_(* #,##0%_);_(* \(#,##0%\);_(* &quot;-&quot;?_);_(* @_)">
                  <c:v>-1.2490359087354852E-2</c:v>
                </c:pt>
                <c:pt idx="11" formatCode="_(* #,##0%_);_(* \(#,##0%\);_(* &quot;-&quot;?_);_(* @_)">
                  <c:v>1.1217491922573597E-2</c:v>
                </c:pt>
                <c:pt idx="12" formatCode="_(* #,##0%_);_(* \(#,##0%\);_(* &quot;-&quot;?_);_(* @_)">
                  <c:v>-5.7830165460478478E-3</c:v>
                </c:pt>
                <c:pt idx="13" formatCode="_(* #,##0%_);_(* \(#,##0%\);_(* &quot;-&quot;?_);_(* @_)">
                  <c:v>-2.6235904312279512E-3</c:v>
                </c:pt>
                <c:pt idx="14" formatCode="_(* #,##0%_);_(* \(#,##0%\);_(* &quot;-&quot;?_);_(* @_)">
                  <c:v>6.5072844577684918E-4</c:v>
                </c:pt>
                <c:pt idx="15" formatCode="_(* #,##0%_);_(* \(#,##0%\);_(* &quot;-&quot;?_);_(* @_)">
                  <c:v>1.785965962808822E-2</c:v>
                </c:pt>
                <c:pt idx="16" formatCode="_(* #,##0%_);_(* \(#,##0%\);_(* &quot;-&quot;?_);_(* @_)">
                  <c:v>0.17154234171845539</c:v>
                </c:pt>
                <c:pt idx="17" formatCode="_(* #,##0%_);_(* \(#,##0%\);_(* &quot;-&quot;?_);_(* @_)">
                  <c:v>0.23204656304972082</c:v>
                </c:pt>
                <c:pt idx="18" formatCode="_(* #,##0%_);_(* \(#,##0%\);_(* &quot;-&quot;?_);_(* @_)">
                  <c:v>0.27049386216610194</c:v>
                </c:pt>
                <c:pt idx="19" formatCode="_(* #,##0%_);_(* \(#,##0%\);_(* &quot;-&quot;?_);_(* @_)">
                  <c:v>0.27870479452362384</c:v>
                </c:pt>
                <c:pt idx="20" formatCode="_(* #,##0%_);_(* \(#,##0%\);_(* &quot;-&quot;?_);_(* @_)">
                  <c:v>0.12347590943923081</c:v>
                </c:pt>
                <c:pt idx="21" formatCode="_(* #,##0%_);_(* \(#,##0%\);_(* &quot;-&quot;?_);_(* @_)">
                  <c:v>2.8106238905556635E-2</c:v>
                </c:pt>
                <c:pt idx="22" formatCode="_(* #,##0%_);_(* \(#,##0%\);_(* &quot;-&quot;?_);_(* @_)">
                  <c:v>-6.2527252802300537E-2</c:v>
                </c:pt>
                <c:pt idx="23" formatCode="_(* #,##0%_);_(* \(#,##0%\);_(* &quot;-&quot;?_);_(* @_)">
                  <c:v>-0.17129371108278102</c:v>
                </c:pt>
                <c:pt idx="24" formatCode="_(* #,##0%_);_(* \(#,##0%\);_(* &quot;-&quot;?_);_(* @_)">
                  <c:v>-0.22491128704903995</c:v>
                </c:pt>
                <c:pt idx="25" formatCode="_(* #,##0%_);_(* \(#,##0%\);_(* &quot;-&quot;?_);_(* @_)">
                  <c:v>-0.23807806907683993</c:v>
                </c:pt>
                <c:pt idx="26" formatCode="_(* #,##0%_);_(* \(#,##0%\);_(* &quot;-&quot;?_);_(* @_)">
                  <c:v>-0.21732653603836427</c:v>
                </c:pt>
                <c:pt idx="27" formatCode="_(* #,##0%_);_(* \(#,##0%\);_(* &quot;-&quot;?_);_(* @_)">
                  <c:v>-0.14475690321304713</c:v>
                </c:pt>
                <c:pt idx="28" formatCode="_(* #,##0%_);_(* \(#,##0%\);_(* &quot;-&quot;?_);_(* @_)">
                  <c:v>-4.7601784390575497E-2</c:v>
                </c:pt>
                <c:pt idx="29" formatCode="_(* #,##0%_);_(* \(#,##0%\);_(* &quot;-&quot;?_);_(* @_)">
                  <c:v>9.8376901742869283E-3</c:v>
                </c:pt>
                <c:pt idx="30" formatCode="_(* #,##0%_);_(* \(#,##0%\);_(* &quot;-&quot;?_);_(* @_)">
                  <c:v>5.962740396089572E-2</c:v>
                </c:pt>
                <c:pt idx="31" formatCode="_(* #,##0%_);_(* \(#,##0%\);_(* &quot;-&quot;?_);_(* @_)">
                  <c:v>8.0254207743833517E-2</c:v>
                </c:pt>
                <c:pt idx="32" formatCode="_(* #,##0%_);_(* \(#,##0%\);_(* &quot;-&quot;?_);_(* @_)">
                  <c:v>3.9937694326413364E-2</c:v>
                </c:pt>
                <c:pt idx="33" formatCode="_(* #,##0%_);_(* \(#,##0%\);_(* &quot;-&quot;?_);_(* @_)">
                  <c:v>3.437178466508084E-2</c:v>
                </c:pt>
              </c:numCache>
            </c:numRef>
          </c:val>
          <c:smooth val="0"/>
          <c:extLst>
            <c:ext xmlns:c16="http://schemas.microsoft.com/office/drawing/2014/chart" uri="{C3380CC4-5D6E-409C-BE32-E72D297353CC}">
              <c16:uniqueId val="{00000000-B23D-4D86-96BB-BA4CB2AA72C7}"/>
            </c:ext>
          </c:extLst>
        </c:ser>
        <c:ser>
          <c:idx val="1"/>
          <c:order val="1"/>
          <c:tx>
            <c:strRef>
              <c:f>'Windows OEM'!$A$143:$B$143</c:f>
              <c:strCache>
                <c:ptCount val="2"/>
                <c:pt idx="0">
                  <c:v>LTM Windows OEM Revenue (Deferral Adj.)</c:v>
                </c:pt>
              </c:strCache>
            </c:strRef>
          </c:tx>
          <c:spPr>
            <a:ln w="28575" cap="rnd">
              <a:solidFill>
                <a:schemeClr val="accent2"/>
              </a:solidFill>
              <a:round/>
            </a:ln>
            <a:effectLst/>
          </c:spPr>
          <c:marker>
            <c:symbol val="none"/>
          </c:marker>
          <c:cat>
            <c:strRef>
              <c:f>'Windows OEM'!$C$141:$AR$141</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OEM'!$C$143:$AR$143</c:f>
              <c:numCache>
                <c:formatCode>_(* #,##0_);_(* \(#,##0\);_(* "-"_);_(@_)</c:formatCode>
                <c:ptCount val="34"/>
                <c:pt idx="5" formatCode="_(* #,##0%_);_(* \(#,##0%\);_(* &quot;-&quot;?_);_(* @_)">
                  <c:v>4.47174786058675E-2</c:v>
                </c:pt>
                <c:pt idx="6" formatCode="_(* #,##0%_);_(* \(#,##0%\);_(* &quot;-&quot;?_);_(* @_)">
                  <c:v>4.4268252530051511E-2</c:v>
                </c:pt>
                <c:pt idx="7" formatCode="_(* #,##0%_);_(* \(#,##0%\);_(* &quot;-&quot;?_);_(* @_)">
                  <c:v>2.0119084114434749E-2</c:v>
                </c:pt>
                <c:pt idx="8" formatCode="_(* #,##0%_);_(* \(#,##0%\);_(* &quot;-&quot;?_);_(* @_)">
                  <c:v>3.1174968677611936E-2</c:v>
                </c:pt>
                <c:pt idx="9" formatCode="_(* #,##0%_);_(* \(#,##0%\);_(* &quot;-&quot;?_);_(* @_)">
                  <c:v>3.6367498611270088E-2</c:v>
                </c:pt>
                <c:pt idx="10" formatCode="_(* #,##0%_);_(* \(#,##0%\);_(* &quot;-&quot;?_);_(* @_)">
                  <c:v>5.2333974191676624E-2</c:v>
                </c:pt>
                <c:pt idx="11" formatCode="_(* #,##0%_);_(* \(#,##0%\);_(* &quot;-&quot;?_);_(* @_)">
                  <c:v>0.1125089546110396</c:v>
                </c:pt>
                <c:pt idx="12" formatCode="_(* #,##0%_);_(* \(#,##0%\);_(* &quot;-&quot;?_);_(* @_)">
                  <c:v>8.9420535712896321E-2</c:v>
                </c:pt>
                <c:pt idx="13" formatCode="_(* #,##0%_);_(* \(#,##0%\);_(* &quot;-&quot;?_);_(* @_)">
                  <c:v>7.6505797375303164E-2</c:v>
                </c:pt>
                <c:pt idx="14" formatCode="_(* #,##0%_);_(* \(#,##0%\);_(* &quot;-&quot;?_);_(* @_)">
                  <c:v>3.9505110033409174E-2</c:v>
                </c:pt>
                <c:pt idx="15" formatCode="_(* #,##0%_);_(* \(#,##0%\);_(* &quot;-&quot;?_);_(* @_)">
                  <c:v>7.7542628426030547E-4</c:v>
                </c:pt>
                <c:pt idx="16" formatCode="_(* #,##0%_);_(* \(#,##0%\);_(* &quot;-&quot;?_);_(* @_)">
                  <c:v>2.4709866728942265E-2</c:v>
                </c:pt>
                <c:pt idx="17" formatCode="_(* #,##0%_);_(* \(#,##0%\);_(* &quot;-&quot;?_);_(* @_)">
                  <c:v>1.3807020893893185E-2</c:v>
                </c:pt>
                <c:pt idx="18" formatCode="_(* #,##0%_);_(* \(#,##0%\);_(* &quot;-&quot;?_);_(* @_)">
                  <c:v>6.6363318522934867E-2</c:v>
                </c:pt>
                <c:pt idx="19" formatCode="_(* #,##0%_);_(* \(#,##0%\);_(* &quot;-&quot;?_);_(* @_)">
                  <c:v>0.11117585194371937</c:v>
                </c:pt>
                <c:pt idx="20" formatCode="_(* #,##0%_);_(* \(#,##0%\);_(* &quot;-&quot;?_);_(* @_)">
                  <c:v>0.1123902210483736</c:v>
                </c:pt>
                <c:pt idx="21" formatCode="_(* #,##0%_);_(* \(#,##0%\);_(* &quot;-&quot;?_);_(* @_)">
                  <c:v>0.10626973831423947</c:v>
                </c:pt>
                <c:pt idx="22" formatCode="_(* #,##0%_);_(* \(#,##0%\);_(* &quot;-&quot;?_);_(* @_)">
                  <c:v>1.3627496066876077E-2</c:v>
                </c:pt>
                <c:pt idx="23" formatCode="_(* #,##0%_);_(* \(#,##0%\);_(* &quot;-&quot;?_);_(* @_)">
                  <c:v>-0.13097178144500099</c:v>
                </c:pt>
                <c:pt idx="24" formatCode="_(* #,##0%_);_(* \(#,##0%\);_(* &quot;-&quot;?_);_(* @_)">
                  <c:v>-0.2199175837556262</c:v>
                </c:pt>
                <c:pt idx="25" formatCode="_(* #,##0%_);_(* \(#,##0%\);_(* &quot;-&quot;?_);_(* @_)">
                  <c:v>-0.24351778317469097</c:v>
                </c:pt>
                <c:pt idx="26" formatCode="_(* #,##0%_);_(* \(#,##0%\);_(* &quot;-&quot;?_);_(* @_)">
                  <c:v>-0.19658225808956742</c:v>
                </c:pt>
                <c:pt idx="27" formatCode="_(* #,##0%_);_(* \(#,##0%\);_(* &quot;-&quot;?_);_(* @_)">
                  <c:v>-8.0941298429627717E-2</c:v>
                </c:pt>
                <c:pt idx="28" formatCode="_(* #,##0%_);_(* \(#,##0%\);_(* &quot;-&quot;?_);_(* @_)">
                  <c:v>2.4410591823468275E-2</c:v>
                </c:pt>
                <c:pt idx="29" formatCode="_(* #,##0%_);_(* \(#,##0%\);_(* &quot;-&quot;?_);_(* @_)">
                  <c:v>7.2704617231269308E-2</c:v>
                </c:pt>
                <c:pt idx="30" formatCode="_(* #,##0%_);_(* \(#,##0%\);_(* &quot;-&quot;?_);_(* @_)">
                  <c:v>6.1493896070527354E-2</c:v>
                </c:pt>
                <c:pt idx="31" formatCode="_(* #,##0%_);_(* \(#,##0%\);_(* &quot;-&quot;?_);_(* @_)">
                  <c:v>3.517714444043496E-2</c:v>
                </c:pt>
                <c:pt idx="32" formatCode="_(* #,##0%_);_(* \(#,##0%\);_(* &quot;-&quot;?_);_(* @_)">
                  <c:v>2.2334497456824698E-2</c:v>
                </c:pt>
                <c:pt idx="33" formatCode="_(* #,##0%_);_(* \(#,##0%\);_(* &quot;-&quot;?_);_(* @_)">
                  <c:v>2.5117192259334953E-2</c:v>
                </c:pt>
              </c:numCache>
            </c:numRef>
          </c:val>
          <c:smooth val="0"/>
          <c:extLst>
            <c:ext xmlns:c16="http://schemas.microsoft.com/office/drawing/2014/chart" uri="{C3380CC4-5D6E-409C-BE32-E72D297353CC}">
              <c16:uniqueId val="{00000001-B23D-4D86-96BB-BA4CB2AA72C7}"/>
            </c:ext>
          </c:extLst>
        </c:ser>
        <c:ser>
          <c:idx val="2"/>
          <c:order val="2"/>
          <c:tx>
            <c:strRef>
              <c:f>'Windows OEM'!$A$69</c:f>
            </c:strRef>
          </c:tx>
          <c:spPr>
            <a:ln w="28575" cap="rnd">
              <a:solidFill>
                <a:schemeClr val="accent3"/>
              </a:solidFill>
              <a:round/>
            </a:ln>
            <a:effectLst/>
          </c:spPr>
          <c:marker>
            <c:symbol val="none"/>
          </c:marker>
          <c:cat>
            <c:strRef>
              <c:f>'Windows OEM'!$C$141:$AR$141</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OEM'!$K$69:$AH$69</c:f>
            </c:numRef>
          </c:val>
          <c:smooth val="0"/>
          <c:extLst>
            <c:ext xmlns:c16="http://schemas.microsoft.com/office/drawing/2014/chart" uri="{C3380CC4-5D6E-409C-BE32-E72D297353CC}">
              <c16:uniqueId val="{00000002-B23D-4D86-96BB-BA4CB2AA72C7}"/>
            </c:ext>
          </c:extLst>
        </c:ser>
        <c:dLbls>
          <c:showLegendKey val="0"/>
          <c:showVal val="0"/>
          <c:showCatName val="0"/>
          <c:showSerName val="0"/>
          <c:showPercent val="0"/>
          <c:showBubbleSize val="0"/>
        </c:dLbls>
        <c:smooth val="0"/>
        <c:axId val="523290064"/>
        <c:axId val="523297136"/>
      </c:lineChart>
      <c:catAx>
        <c:axId val="52329006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23297136"/>
        <c:crosses val="autoZero"/>
        <c:auto val="1"/>
        <c:lblAlgn val="ctr"/>
        <c:lblOffset val="100"/>
        <c:noMultiLvlLbl val="0"/>
      </c:catAx>
      <c:valAx>
        <c:axId val="52329713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23290064"/>
        <c:crosses val="autoZero"/>
        <c:crossBetween val="between"/>
      </c:valAx>
      <c:spPr>
        <a:noFill/>
        <a:ln>
          <a:noFill/>
        </a:ln>
        <a:effectLst/>
      </c:spPr>
    </c:plotArea>
    <c:legend>
      <c:legendPos val="b"/>
      <c:layout>
        <c:manualLayout>
          <c:xMode val="edge"/>
          <c:yMode val="edge"/>
          <c:x val="9.5170212621008693E-3"/>
          <c:y val="0.86878152243273132"/>
          <c:w val="0.99048297873789914"/>
          <c:h val="0.109588496710653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200" b="1"/>
              <a:t>Indexed PC Shipments vs. Indexed Windows OEM Revenue (LTM)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'Windows OEM'!$A$65:$B$65</c:f>
              <c:strCache>
                <c:ptCount val="2"/>
                <c:pt idx="0">
                  <c:v>Indexed PC OEM Shipments (# in '000s)</c:v>
                </c:pt>
              </c:strCache>
            </c:strRef>
          </c:tx>
          <c:spPr>
            <a:ln w="28575" cap="rnd">
              <a:solidFill>
                <a:schemeClr val="accent1"/>
              </a:solidFill>
              <a:round/>
            </a:ln>
            <a:effectLst/>
          </c:spPr>
          <c:marker>
            <c:symbol val="none"/>
          </c:marker>
          <c:cat>
            <c:strRef>
              <c:f>'Windows OEM'!$C$136:$AR$136</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OEM'!$C$65:$AR$65</c:f>
              <c:numCache>
                <c:formatCode>_(* #,##0_);_(* \(#,##0\);_(* "-"_);_(@_)</c:formatCode>
                <c:ptCount val="34"/>
                <c:pt idx="1">
                  <c:v>100</c:v>
                </c:pt>
                <c:pt idx="2">
                  <c:v>99.325869793766657</c:v>
                </c:pt>
                <c:pt idx="3">
                  <c:v>98.981079889516494</c:v>
                </c:pt>
                <c:pt idx="4">
                  <c:v>98.648348211425912</c:v>
                </c:pt>
                <c:pt idx="5">
                  <c:v>98.965253467682075</c:v>
                </c:pt>
                <c:pt idx="6">
                  <c:v>98.983943718229398</c:v>
                </c:pt>
                <c:pt idx="7">
                  <c:v>97.82703228213235</c:v>
                </c:pt>
                <c:pt idx="8">
                  <c:v>96.7621401844155</c:v>
                </c:pt>
                <c:pt idx="9">
                  <c:v>97.120872412662649</c:v>
                </c:pt>
                <c:pt idx="10">
                  <c:v>97.74759871730619</c:v>
                </c:pt>
                <c:pt idx="11">
                  <c:v>98.924406226566518</c:v>
                </c:pt>
                <c:pt idx="12">
                  <c:v>96.202563126698024</c:v>
                </c:pt>
                <c:pt idx="13">
                  <c:v>96.866067021128273</c:v>
                </c:pt>
                <c:pt idx="14">
                  <c:v>97.811205860297918</c:v>
                </c:pt>
                <c:pt idx="15">
                  <c:v>100.69116245068375</c:v>
                </c:pt>
                <c:pt idx="16">
                  <c:v>112.70537608476934</c:v>
                </c:pt>
                <c:pt idx="17">
                  <c:v>119.34350494952501</c:v>
                </c:pt>
                <c:pt idx="18">
                  <c:v>124.26853669657356</c:v>
                </c:pt>
                <c:pt idx="19">
                  <c:v>128.75427219184635</c:v>
                </c:pt>
                <c:pt idx="20">
                  <c:v>126.62177489552677</c:v>
                </c:pt>
                <c:pt idx="21">
                  <c:v>122.69780201146283</c:v>
                </c:pt>
                <c:pt idx="22">
                  <c:v>116.49836648717495</c:v>
                </c:pt>
                <c:pt idx="23">
                  <c:v>106.6994750903425</c:v>
                </c:pt>
                <c:pt idx="24">
                  <c:v>98.143108535340033</c:v>
                </c:pt>
                <c:pt idx="25">
                  <c:v>93.48614622860137</c:v>
                </c:pt>
                <c:pt idx="26">
                  <c:v>91.180180044389346</c:v>
                </c:pt>
                <c:pt idx="27">
                  <c:v>91.253989501806856</c:v>
                </c:pt>
                <c:pt idx="28">
                  <c:v>93.471321443419924</c:v>
                </c:pt>
                <c:pt idx="29">
                  <c:v>94.405833970786432</c:v>
                </c:pt>
                <c:pt idx="30">
                  <c:v>96.61701747312334</c:v>
                </c:pt>
                <c:pt idx="31">
                  <c:v>98.577506132738463</c:v>
                </c:pt>
                <c:pt idx="32">
                  <c:v>97.204350507513155</c:v>
                </c:pt>
                <c:pt idx="33">
                  <c:v>97.650730967157671</c:v>
                </c:pt>
              </c:numCache>
            </c:numRef>
          </c:val>
          <c:smooth val="0"/>
          <c:extLst>
            <c:ext xmlns:c16="http://schemas.microsoft.com/office/drawing/2014/chart" uri="{C3380CC4-5D6E-409C-BE32-E72D297353CC}">
              <c16:uniqueId val="{00000000-2326-4AE2-B74F-944FBC305995}"/>
            </c:ext>
          </c:extLst>
        </c:ser>
        <c:dLbls>
          <c:showLegendKey val="0"/>
          <c:showVal val="0"/>
          <c:showCatName val="0"/>
          <c:showSerName val="0"/>
          <c:showPercent val="0"/>
          <c:showBubbleSize val="0"/>
        </c:dLbls>
        <c:marker val="1"/>
        <c:smooth val="0"/>
        <c:axId val="731022367"/>
        <c:axId val="731024031"/>
      </c:lineChart>
      <c:lineChart>
        <c:grouping val="standard"/>
        <c:varyColors val="0"/>
        <c:ser>
          <c:idx val="1"/>
          <c:order val="1"/>
          <c:tx>
            <c:strRef>
              <c:f>'Windows OEM'!$A$66:$B$66</c:f>
              <c:strCache>
                <c:ptCount val="2"/>
                <c:pt idx="0">
                  <c:v>Indexed Windows OEM Revenue (Deferral Adj.)</c:v>
                </c:pt>
              </c:strCache>
            </c:strRef>
          </c:tx>
          <c:spPr>
            <a:ln w="28575" cap="rnd">
              <a:solidFill>
                <a:schemeClr val="accent2"/>
              </a:solidFill>
              <a:round/>
            </a:ln>
            <a:effectLst/>
          </c:spPr>
          <c:marker>
            <c:symbol val="none"/>
          </c:marker>
          <c:cat>
            <c:strRef>
              <c:f>'Windows OEM'!$C$136:$AR$136</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OEM'!$C$66:$AR$66</c:f>
              <c:numCache>
                <c:formatCode>_(* #,##0_);_(* \(#,##0\);_(* "-"_);_(@_)</c:formatCode>
                <c:ptCount val="34"/>
                <c:pt idx="1">
                  <c:v>100</c:v>
                </c:pt>
                <c:pt idx="2">
                  <c:v>100.7370952431867</c:v>
                </c:pt>
                <c:pt idx="3">
                  <c:v>101.66198812146099</c:v>
                </c:pt>
                <c:pt idx="4">
                  <c:v>102.62409070626921</c:v>
                </c:pt>
                <c:pt idx="5">
                  <c:v>104.47174786058675</c:v>
                </c:pt>
                <c:pt idx="6">
                  <c:v>105.19655041455596</c:v>
                </c:pt>
                <c:pt idx="7">
                  <c:v>103.70733421171734</c:v>
                </c:pt>
                <c:pt idx="8">
                  <c:v>105.82339351960557</c:v>
                </c:pt>
                <c:pt idx="9">
                  <c:v>108.27112400582359</c:v>
                </c:pt>
                <c:pt idx="10">
                  <c:v>110.70190396900472</c:v>
                </c:pt>
                <c:pt idx="11">
                  <c:v>115.37533796937535</c:v>
                </c:pt>
                <c:pt idx="12">
                  <c:v>115.28617805908534</c:v>
                </c:pt>
                <c:pt idx="13">
                  <c:v>116.55449268060944</c:v>
                </c:pt>
                <c:pt idx="14">
                  <c:v>115.07519486620814</c:v>
                </c:pt>
                <c:pt idx="15">
                  <c:v>115.46480303899223</c:v>
                </c:pt>
                <c:pt idx="16">
                  <c:v>118.13488415461444</c:v>
                </c:pt>
                <c:pt idx="17">
                  <c:v>118.16376299632773</c:v>
                </c:pt>
                <c:pt idx="18">
                  <c:v>122.71196667720309</c:v>
                </c:pt>
                <c:pt idx="19">
                  <c:v>128.30170088636595</c:v>
                </c:pt>
                <c:pt idx="20">
                  <c:v>131.41208989827558</c:v>
                </c:pt>
                <c:pt idx="21">
                  <c:v>130.72099516817332</c:v>
                </c:pt>
                <c:pt idx="22">
                  <c:v>124.38422352045532</c:v>
                </c:pt>
                <c:pt idx="23">
                  <c:v>111.49779855885495</c:v>
                </c:pt>
                <c:pt idx="24">
                  <c:v>102.51226061156966</c:v>
                </c:pt>
                <c:pt idx="25">
                  <c:v>98.888108210430261</c:v>
                </c:pt>
                <c:pt idx="26">
                  <c:v>99.932491990086731</c:v>
                </c:pt>
                <c:pt idx="27">
                  <c:v>102.47302197145616</c:v>
                </c:pt>
                <c:pt idx="28">
                  <c:v>105.0146455622597</c:v>
                </c:pt>
                <c:pt idx="29">
                  <c:v>106.07773026659393</c:v>
                </c:pt>
                <c:pt idx="30">
                  <c:v>106.07773026659393</c:v>
                </c:pt>
                <c:pt idx="31">
                  <c:v>106.07773026659393</c:v>
                </c:pt>
                <c:pt idx="32">
                  <c:v>107.36009489649933</c:v>
                </c:pt>
                <c:pt idx="33">
                  <c:v>108.74210501213383</c:v>
                </c:pt>
              </c:numCache>
            </c:numRef>
          </c:val>
          <c:smooth val="0"/>
          <c:extLst>
            <c:ext xmlns:c16="http://schemas.microsoft.com/office/drawing/2014/chart" uri="{C3380CC4-5D6E-409C-BE32-E72D297353CC}">
              <c16:uniqueId val="{00000001-2326-4AE2-B74F-944FBC305995}"/>
            </c:ext>
          </c:extLst>
        </c:ser>
        <c:dLbls>
          <c:showLegendKey val="0"/>
          <c:showVal val="0"/>
          <c:showCatName val="0"/>
          <c:showSerName val="0"/>
          <c:showPercent val="0"/>
          <c:showBubbleSize val="0"/>
        </c:dLbls>
        <c:marker val="1"/>
        <c:smooth val="0"/>
        <c:axId val="712383696"/>
        <c:axId val="712388272"/>
      </c:lineChart>
      <c:catAx>
        <c:axId val="731022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31024031"/>
        <c:crosses val="autoZero"/>
        <c:auto val="1"/>
        <c:lblAlgn val="ctr"/>
        <c:lblOffset val="100"/>
        <c:noMultiLvlLbl val="0"/>
      </c:catAx>
      <c:valAx>
        <c:axId val="73102403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31022367"/>
        <c:crosses val="autoZero"/>
        <c:crossBetween val="between"/>
      </c:valAx>
      <c:valAx>
        <c:axId val="712388272"/>
        <c:scaling>
          <c:orientation val="minMax"/>
        </c:scaling>
        <c:delete val="0"/>
        <c:axPos val="r"/>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12383696"/>
        <c:crosses val="max"/>
        <c:crossBetween val="between"/>
      </c:valAx>
      <c:catAx>
        <c:axId val="712383696"/>
        <c:scaling>
          <c:orientation val="minMax"/>
        </c:scaling>
        <c:delete val="1"/>
        <c:axPos val="b"/>
        <c:numFmt formatCode="General" sourceLinked="1"/>
        <c:majorTickMark val="out"/>
        <c:minorTickMark val="none"/>
        <c:tickLblPos val="nextTo"/>
        <c:crossAx val="7123882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200" b="1"/>
              <a:t>Indexed PC Shipments vs. Indexed Windows OEM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'Windows OEM'!$A$44:$B$44</c:f>
              <c:strCache>
                <c:ptCount val="2"/>
                <c:pt idx="0">
                  <c:v>Indexed PC OEM Shipments (# in '000s)</c:v>
                </c:pt>
              </c:strCache>
            </c:strRef>
          </c:tx>
          <c:spPr>
            <a:ln w="28575" cap="rnd">
              <a:solidFill>
                <a:schemeClr val="accent1"/>
              </a:solidFill>
              <a:round/>
            </a:ln>
            <a:effectLst/>
          </c:spPr>
          <c:marker>
            <c:symbol val="none"/>
          </c:marker>
          <c:cat>
            <c:strRef>
              <c:f>'Windows OEM'!$C$136:$AR$136</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OEM'!$C$44:$AR$44</c:f>
              <c:numCache>
                <c:formatCode>_(* #,##0_);_(* \(#,##0\);_(* "-"_);_(@_)</c:formatCode>
                <c:ptCount val="34"/>
                <c:pt idx="0">
                  <c:v>102.14679857641951</c:v>
                </c:pt>
                <c:pt idx="1">
                  <c:v>100</c:v>
                </c:pt>
                <c:pt idx="2">
                  <c:v>109.63528912397558</c:v>
                </c:pt>
                <c:pt idx="3">
                  <c:v>117.04704998857218</c:v>
                </c:pt>
                <c:pt idx="4">
                  <c:v>100.70526006464884</c:v>
                </c:pt>
                <c:pt idx="5">
                  <c:v>101.3729715610409</c:v>
                </c:pt>
                <c:pt idx="6">
                  <c:v>109.71626342769454</c:v>
                </c:pt>
                <c:pt idx="7">
                  <c:v>112.03480589022759</c:v>
                </c:pt>
                <c:pt idx="8">
                  <c:v>96.091683808404355</c:v>
                </c:pt>
                <c:pt idx="9">
                  <c:v>102.92715577758187</c:v>
                </c:pt>
                <c:pt idx="10">
                  <c:v>112.43151467659256</c:v>
                </c:pt>
                <c:pt idx="11">
                  <c:v>117.13324844091815</c:v>
                </c:pt>
                <c:pt idx="12">
                  <c:v>84.299474320044411</c:v>
                </c:pt>
                <c:pt idx="13">
                  <c:v>105.80174355960428</c:v>
                </c:pt>
                <c:pt idx="14">
                  <c:v>116.52626767231529</c:v>
                </c:pt>
                <c:pt idx="15">
                  <c:v>129.61047441799721</c:v>
                </c:pt>
                <c:pt idx="16">
                  <c:v>136.35027916544226</c:v>
                </c:pt>
                <c:pt idx="17">
                  <c:v>134.56100826068501</c:v>
                </c:pt>
                <c:pt idx="18">
                  <c:v>137.86364972083456</c:v>
                </c:pt>
                <c:pt idx="19">
                  <c:v>149.04463381983217</c:v>
                </c:pt>
                <c:pt idx="20">
                  <c:v>127.11137231854246</c:v>
                </c:pt>
                <c:pt idx="21">
                  <c:v>117.5606491004669</c:v>
                </c:pt>
                <c:pt idx="22">
                  <c:v>111.0049955921246</c:v>
                </c:pt>
                <c:pt idx="23">
                  <c:v>106.59156953015314</c:v>
                </c:pt>
                <c:pt idx="24">
                  <c:v>90.041466679727037</c:v>
                </c:pt>
                <c:pt idx="25">
                  <c:v>97.384660593593892</c:v>
                </c:pt>
                <c:pt idx="26">
                  <c:v>101.01454598883339</c:v>
                </c:pt>
                <c:pt idx="27">
                  <c:v>106.91134423874358</c:v>
                </c:pt>
                <c:pt idx="28">
                  <c:v>99.647914149824231</c:v>
                </c:pt>
                <c:pt idx="29">
                  <c:v>101.43337577954092</c:v>
                </c:pt>
                <c:pt idx="30">
                  <c:v>110.59435574275423</c:v>
                </c:pt>
                <c:pt idx="31">
                  <c:v>115.40503477323929</c:v>
                </c:pt>
                <c:pt idx="32">
                  <c:v>93.698806064365854</c:v>
                </c:pt>
                <c:pt idx="33">
                  <c:v>103.36729029940901</c:v>
                </c:pt>
              </c:numCache>
            </c:numRef>
          </c:val>
          <c:smooth val="0"/>
          <c:extLst>
            <c:ext xmlns:c16="http://schemas.microsoft.com/office/drawing/2014/chart" uri="{C3380CC4-5D6E-409C-BE32-E72D297353CC}">
              <c16:uniqueId val="{00000000-2326-4AE2-B74F-944FBC305995}"/>
            </c:ext>
          </c:extLst>
        </c:ser>
        <c:dLbls>
          <c:showLegendKey val="0"/>
          <c:showVal val="0"/>
          <c:showCatName val="0"/>
          <c:showSerName val="0"/>
          <c:showPercent val="0"/>
          <c:showBubbleSize val="0"/>
        </c:dLbls>
        <c:marker val="1"/>
        <c:smooth val="0"/>
        <c:axId val="731022367"/>
        <c:axId val="731024031"/>
      </c:lineChart>
      <c:lineChart>
        <c:grouping val="standard"/>
        <c:varyColors val="0"/>
        <c:ser>
          <c:idx val="1"/>
          <c:order val="1"/>
          <c:tx>
            <c:strRef>
              <c:f>'Windows OEM'!$A$45:$B$45</c:f>
              <c:strCache>
                <c:ptCount val="2"/>
                <c:pt idx="0">
                  <c:v>Indexed Windows OEM Revenue (Deferral Adj.)</c:v>
                </c:pt>
              </c:strCache>
            </c:strRef>
          </c:tx>
          <c:spPr>
            <a:ln w="28575" cap="rnd">
              <a:solidFill>
                <a:schemeClr val="accent2"/>
              </a:solidFill>
              <a:round/>
            </a:ln>
            <a:effectLst/>
          </c:spPr>
          <c:marker>
            <c:symbol val="none"/>
          </c:marker>
          <c:cat>
            <c:strRef>
              <c:f>'Windows OEM'!$C$136:$AR$136</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OEM'!$C$45:$AR$45</c:f>
              <c:numCache>
                <c:formatCode>_(* #,##0_);_(* \(#,##0\);_(* "-"_);_(@_)</c:formatCode>
                <c:ptCount val="34"/>
                <c:pt idx="0">
                  <c:v>92.181558468462967</c:v>
                </c:pt>
                <c:pt idx="1">
                  <c:v>100</c:v>
                </c:pt>
                <c:pt idx="2">
                  <c:v>103.64467195828114</c:v>
                </c:pt>
                <c:pt idx="3">
                  <c:v>106.00324600209177</c:v>
                </c:pt>
                <c:pt idx="4">
                  <c:v>95.984368004928356</c:v>
                </c:pt>
                <c:pt idx="5">
                  <c:v>107.30305516012895</c:v>
                </c:pt>
                <c:pt idx="6">
                  <c:v>106.50952868750183</c:v>
                </c:pt>
                <c:pt idx="7">
                  <c:v>100.11696561220774</c:v>
                </c:pt>
                <c:pt idx="8">
                  <c:v>104.34831031505902</c:v>
                </c:pt>
                <c:pt idx="9">
                  <c:v>116.97796195558496</c:v>
                </c:pt>
                <c:pt idx="10">
                  <c:v>116.11743679521859</c:v>
                </c:pt>
                <c:pt idx="11">
                  <c:v>118.58919473338116</c:v>
                </c:pt>
                <c:pt idx="12">
                  <c:v>103.99589658862797</c:v>
                </c:pt>
                <c:pt idx="13">
                  <c:v>121.99110609855772</c:v>
                </c:pt>
                <c:pt idx="14">
                  <c:v>110.27035985695322</c:v>
                </c:pt>
                <c:pt idx="15">
                  <c:v>120.12916115519836</c:v>
                </c:pt>
                <c:pt idx="16">
                  <c:v>114.5496671427817</c:v>
                </c:pt>
                <c:pt idx="17">
                  <c:v>122.10525269415309</c:v>
                </c:pt>
                <c:pt idx="18">
                  <c:v>128.24760324505547</c:v>
                </c:pt>
                <c:pt idx="19">
                  <c:v>142.22316120525338</c:v>
                </c:pt>
                <c:pt idx="20">
                  <c:v>126.84379999657152</c:v>
                </c:pt>
                <c:pt idx="21">
                  <c:v>119.37362960974198</c:v>
                </c:pt>
                <c:pt idx="22">
                  <c:v>103.20086079487416</c:v>
                </c:pt>
                <c:pt idx="23">
                  <c:v>91.288239598440541</c:v>
                </c:pt>
                <c:pt idx="24">
                  <c:v>91.327535997531498</c:v>
                </c:pt>
                <c:pt idx="25">
                  <c:v>105.04879405657294</c:v>
                </c:pt>
                <c:pt idx="26">
                  <c:v>107.32889522666913</c:v>
                </c:pt>
                <c:pt idx="27">
                  <c:v>101.32994595426901</c:v>
                </c:pt>
                <c:pt idx="28">
                  <c:v>101.37356495725997</c:v>
                </c:pt>
                <c:pt idx="29">
                  <c:v>109.25074581883587</c:v>
                </c:pt>
                <c:pt idx="30">
                  <c:v>107.32889522666913</c:v>
                </c:pt>
                <c:pt idx="31">
                  <c:v>101.32994595426901</c:v>
                </c:pt>
                <c:pt idx="32">
                  <c:v>106.44224320512296</c:v>
                </c:pt>
                <c:pt idx="33">
                  <c:v>114.71328310977766</c:v>
                </c:pt>
              </c:numCache>
            </c:numRef>
          </c:val>
          <c:smooth val="0"/>
          <c:extLst>
            <c:ext xmlns:c16="http://schemas.microsoft.com/office/drawing/2014/chart" uri="{C3380CC4-5D6E-409C-BE32-E72D297353CC}">
              <c16:uniqueId val="{00000001-2326-4AE2-B74F-944FBC305995}"/>
            </c:ext>
          </c:extLst>
        </c:ser>
        <c:dLbls>
          <c:showLegendKey val="0"/>
          <c:showVal val="0"/>
          <c:showCatName val="0"/>
          <c:showSerName val="0"/>
          <c:showPercent val="0"/>
          <c:showBubbleSize val="0"/>
        </c:dLbls>
        <c:marker val="1"/>
        <c:smooth val="0"/>
        <c:axId val="712383696"/>
        <c:axId val="712388272"/>
      </c:lineChart>
      <c:catAx>
        <c:axId val="731022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31024031"/>
        <c:crosses val="autoZero"/>
        <c:auto val="1"/>
        <c:lblAlgn val="ctr"/>
        <c:lblOffset val="100"/>
        <c:noMultiLvlLbl val="0"/>
      </c:catAx>
      <c:valAx>
        <c:axId val="73102403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31022367"/>
        <c:crosses val="autoZero"/>
        <c:crossBetween val="between"/>
      </c:valAx>
      <c:valAx>
        <c:axId val="712388272"/>
        <c:scaling>
          <c:orientation val="minMax"/>
        </c:scaling>
        <c:delete val="0"/>
        <c:axPos val="r"/>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12383696"/>
        <c:crosses val="max"/>
        <c:crossBetween val="between"/>
      </c:valAx>
      <c:catAx>
        <c:axId val="712383696"/>
        <c:scaling>
          <c:orientation val="minMax"/>
        </c:scaling>
        <c:delete val="1"/>
        <c:axPos val="b"/>
        <c:numFmt formatCode="General" sourceLinked="1"/>
        <c:majorTickMark val="out"/>
        <c:minorTickMark val="none"/>
        <c:tickLblPos val="nextTo"/>
        <c:crossAx val="7123882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200" b="1"/>
              <a:t>PC Shipments vs. Windows OEM Revenue (Growth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'Windows OEM'!$A$39:$B$39</c:f>
              <c:strCache>
                <c:ptCount val="2"/>
                <c:pt idx="0">
                  <c:v>PC OEM Shipments (# in '000s)</c:v>
                </c:pt>
              </c:strCache>
            </c:strRef>
          </c:tx>
          <c:spPr>
            <a:ln w="28575" cap="rnd">
              <a:solidFill>
                <a:schemeClr val="accent1"/>
              </a:solidFill>
              <a:round/>
            </a:ln>
            <a:effectLst/>
          </c:spPr>
          <c:marker>
            <c:symbol val="none"/>
          </c:marker>
          <c:cat>
            <c:strRef>
              <c:f>'Windows OEM'!$C$141:$AR$141</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OEM'!$C$39:$AR$39</c:f>
              <c:numCache>
                <c:formatCode>General</c:formatCode>
                <c:ptCount val="34"/>
                <c:pt idx="2" formatCode="_(* #,##0%_);_(* \(#,##0%\);_(* &quot;-&quot;?_);_(* @_)">
                  <c:v>-2.5948219595329558E-2</c:v>
                </c:pt>
                <c:pt idx="3" formatCode="_(* #,##0%_);_(* \(#,##0%\);_(* &quot;-&quot;?_);_(* @_)">
                  <c:v>-1.2601396482626592E-2</c:v>
                </c:pt>
                <c:pt idx="4" formatCode="_(* #,##0%_);_(* \(#,##0%\);_(* &quot;-&quot;?_);_(* @_)">
                  <c:v>-1.411241988844314E-2</c:v>
                </c:pt>
                <c:pt idx="5" formatCode="_(* #,##0%_);_(* \(#,##0%\);_(* &quot;-&quot;?_);_(* @_)">
                  <c:v>1.3729715610409032E-2</c:v>
                </c:pt>
                <c:pt idx="6" formatCode="_(* #,##0%_);_(* \(#,##0%\);_(* &quot;-&quot;?_);_(* @_)">
                  <c:v>7.3857883137784519E-4</c:v>
                </c:pt>
                <c:pt idx="7" formatCode="_(* #,##0%_);_(* \(#,##0%\);_(* &quot;-&quot;?_);_(* @_)">
                  <c:v>-4.2822472662352062E-2</c:v>
                </c:pt>
                <c:pt idx="8" formatCode="_(* #,##0%_);_(* \(#,##0%\);_(* &quot;-&quot;?_);_(* @_)">
                  <c:v>-4.5812664137729775E-2</c:v>
                </c:pt>
                <c:pt idx="9" formatCode="_(* #,##0%_);_(* \(#,##0%\);_(* &quot;-&quot;?_);_(* @_)">
                  <c:v>1.5331347129398543E-2</c:v>
                </c:pt>
                <c:pt idx="10" formatCode="_(* #,##0%_);_(* \(#,##0%\);_(* &quot;-&quot;?_);_(* @_)">
                  <c:v>2.4747937671860676E-2</c:v>
                </c:pt>
                <c:pt idx="11" formatCode="_(* #,##0%_);_(* \(#,##0%\);_(* &quot;-&quot;?_);_(* @_)">
                  <c:v>4.550766621299851E-2</c:v>
                </c:pt>
                <c:pt idx="12" formatCode="_(* #,##0%_);_(* \(#,##0%\);_(* &quot;-&quot;?_);_(* @_)">
                  <c:v>-0.12271831464492011</c:v>
                </c:pt>
                <c:pt idx="13" formatCode="_(* #,##0%_);_(* \(#,##0%\);_(* &quot;-&quot;?_);_(* @_)">
                  <c:v>2.7928370897901678E-2</c:v>
                </c:pt>
                <c:pt idx="14" formatCode="_(* #,##0%_);_(* \(#,##0%\);_(* &quot;-&quot;?_);_(* @_)">
                  <c:v>3.6419975373463753E-2</c:v>
                </c:pt>
                <c:pt idx="15" formatCode="_(* #,##0%_);_(* \(#,##0%\);_(* &quot;-&quot;?_);_(* @_)">
                  <c:v>0.10652164217380644</c:v>
                </c:pt>
                <c:pt idx="16" formatCode="_(* #,##0%_);_(* \(#,##0%\);_(* &quot;-&quot;?_);_(* @_)">
                  <c:v>0.61745112013137904</c:v>
                </c:pt>
                <c:pt idx="17" formatCode="_(* #,##0%_);_(* \(#,##0%\);_(* &quot;-&quot;?_);_(* @_)">
                  <c:v>0.27182221893043734</c:v>
                </c:pt>
                <c:pt idx="18" formatCode="_(* #,##0%_);_(* \(#,##0%\);_(* &quot;-&quot;?_);_(* @_)">
                  <c:v>0.18311220701346365</c:v>
                </c:pt>
                <c:pt idx="19" formatCode="_(* #,##0%_);_(* \(#,##0%\);_(* &quot;-&quot;?_);_(* @_)">
                  <c:v>0.14994281510890306</c:v>
                </c:pt>
                <c:pt idx="20" formatCode="_(* #,##0%_);_(* \(#,##0%\);_(* &quot;-&quot;?_);_(* @_)">
                  <c:v>-6.7758620689655102E-2</c:v>
                </c:pt>
                <c:pt idx="21" formatCode="_(* #,##0%_);_(* \(#,##0%\);_(* &quot;-&quot;?_);_(* @_)">
                  <c:v>-0.12633941570416374</c:v>
                </c:pt>
                <c:pt idx="22" formatCode="_(* #,##0%_);_(* \(#,##0%\);_(* &quot;-&quot;?_);_(* @_)">
                  <c:v>-0.19482041990834487</c:v>
                </c:pt>
                <c:pt idx="23" formatCode="_(* #,##0%_);_(* \(#,##0%\);_(* &quot;-&quot;?_);_(* @_)">
                  <c:v>-0.284834570703143</c:v>
                </c:pt>
                <c:pt idx="24" formatCode="_(* #,##0%_);_(* \(#,##0%\);_(* &quot;-&quot;?_);_(* @_)">
                  <c:v>-0.2916332737398023</c:v>
                </c:pt>
                <c:pt idx="25" formatCode="_(* #,##0%_);_(* \(#,##0%\);_(* &quot;-&quot;?_);_(* @_)">
                  <c:v>-0.17162195565652838</c:v>
                </c:pt>
                <c:pt idx="26" formatCode="_(* #,##0%_);_(* \(#,##0%\);_(* &quot;-&quot;?_);_(* @_)">
                  <c:v>-0.09</c:v>
                </c:pt>
                <c:pt idx="27" formatCode="_(* #,##0%_);_(* \(#,##0%\);_(* &quot;-&quot;?_);_(* @_)">
                  <c:v>3.0000000000000001E-3</c:v>
                </c:pt>
                <c:pt idx="28" formatCode="_(* #,##0%_);_(* \(#,##0%\);_(* &quot;-&quot;?_);_(* @_)">
                  <c:v>0.10668914917020222</c:v>
                </c:pt>
                <c:pt idx="29" formatCode="_(* #,##0%_);_(* \(#,##0%\);_(* &quot;-&quot;?_);_(* @_)">
                  <c:v>4.157446523167696E-2</c:v>
                </c:pt>
                <c:pt idx="30" formatCode="_(* #,##0%_);_(* \(#,##0%\);_(* &quot;-&quot;?_);_(* @_)">
                  <c:v>9.4835943280682011E-2</c:v>
                </c:pt>
                <c:pt idx="31" formatCode="_(* #,##0%_);_(* \(#,##0%\);_(* &quot;-&quot;?_);_(* @_)">
                  <c:v>7.944611112108424E-2</c:v>
                </c:pt>
                <c:pt idx="32" formatCode="_(* #,##0%_);_(* \(#,##0%\);_(* &quot;-&quot;?_);_(* @_)">
                  <c:v>-5.9701280616006436E-2</c:v>
                </c:pt>
                <c:pt idx="33" formatCode="_(* #,##0%_);_(* \(#,##0%\);_(* &quot;-&quot;?_);_(* @_)">
                  <c:v>1.906585978239872E-2</c:v>
                </c:pt>
              </c:numCache>
            </c:numRef>
          </c:val>
          <c:smooth val="0"/>
          <c:extLst>
            <c:ext xmlns:c16="http://schemas.microsoft.com/office/drawing/2014/chart" uri="{C3380CC4-5D6E-409C-BE32-E72D297353CC}">
              <c16:uniqueId val="{00000000-B23D-4D86-96BB-BA4CB2AA72C7}"/>
            </c:ext>
          </c:extLst>
        </c:ser>
        <c:ser>
          <c:idx val="1"/>
          <c:order val="1"/>
          <c:tx>
            <c:strRef>
              <c:f>'Windows OEM'!$A$40:$B$40</c:f>
              <c:strCache>
                <c:ptCount val="2"/>
                <c:pt idx="0">
                  <c:v>Windows OEM Revenue (Deferral Adj.)</c:v>
                </c:pt>
              </c:strCache>
            </c:strRef>
          </c:tx>
          <c:spPr>
            <a:ln w="28575" cap="rnd">
              <a:solidFill>
                <a:schemeClr val="accent2"/>
              </a:solidFill>
              <a:round/>
            </a:ln>
            <a:effectLst/>
          </c:spPr>
          <c:marker>
            <c:symbol val="none"/>
          </c:marker>
          <c:cat>
            <c:strRef>
              <c:f>'Windows OEM'!$C$141:$AR$141</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OEM'!$C$40:$AR$40</c:f>
              <c:numCache>
                <c:formatCode>General</c:formatCode>
                <c:ptCount val="34"/>
                <c:pt idx="2" formatCode="_(* #,##0%_);_(* \(#,##0%\);_(* &quot;-&quot;?_);_(* @_)">
                  <c:v>2.8922955996599997E-2</c:v>
                </c:pt>
                <c:pt idx="3" formatCode="_(* #,##0%_);_(* \(#,##0%\);_(* &quot;-&quot;?_);_(* @_)">
                  <c:v>3.5718839475847863E-2</c:v>
                </c:pt>
                <c:pt idx="4" formatCode="_(* #,##0%_);_(* \(#,##0%\);_(* &quot;-&quot;?_);_(* @_)">
                  <c:v>4.1253474118322808E-2</c:v>
                </c:pt>
                <c:pt idx="5" formatCode="_(* #,##0%_);_(* \(#,##0%\);_(* &quot;-&quot;?_);_(* @_)">
                  <c:v>7.3030551601289462E-2</c:v>
                </c:pt>
                <c:pt idx="6" formatCode="_(* #,##0%_);_(* \(#,##0%\);_(* &quot;-&quot;?_);_(* @_)">
                  <c:v>2.7641138469461035E-2</c:v>
                </c:pt>
                <c:pt idx="7" formatCode="_(* #,##0%_);_(* \(#,##0%\);_(* &quot;-&quot;?_);_(* @_)">
                  <c:v>-5.5529246621069395E-2</c:v>
                </c:pt>
                <c:pt idx="8" formatCode="_(* #,##0%_);_(* \(#,##0%\);_(* &quot;-&quot;?_);_(* @_)">
                  <c:v>8.7138588126154382E-2</c:v>
                </c:pt>
                <c:pt idx="9" formatCode="_(* #,##0%_);_(* \(#,##0%\);_(* &quot;-&quot;?_);_(* @_)">
                  <c:v>9.0164318071075389E-2</c:v>
                </c:pt>
                <c:pt idx="10" formatCode="_(* #,##0%_);_(* \(#,##0%\);_(* &quot;-&quot;?_);_(* @_)">
                  <c:v>9.0207028667888212E-2</c:v>
                </c:pt>
                <c:pt idx="11" formatCode="_(* #,##0%_);_(* \(#,##0%\);_(* &quot;-&quot;?_);_(* @_)">
                  <c:v>0.18450648207541209</c:v>
                </c:pt>
                <c:pt idx="12" formatCode="_(* #,##0%_);_(* \(#,##0%\);_(* &quot;-&quot;?_);_(* @_)">
                  <c:v>-3.3772825392860417E-3</c:v>
                </c:pt>
                <c:pt idx="13" formatCode="_(* #,##0%_);_(* \(#,##0%\);_(* &quot;-&quot;?_);_(* @_)">
                  <c:v>4.2855458063769225E-2</c:v>
                </c:pt>
                <c:pt idx="14" formatCode="_(* #,##0%_);_(* \(#,##0%\);_(* &quot;-&quot;?_);_(* @_)">
                  <c:v>-5.0354857113984575E-2</c:v>
                </c:pt>
                <c:pt idx="15" formatCode="_(* #,##0%_);_(* \(#,##0%\);_(* &quot;-&quot;?_);_(* @_)">
                  <c:v>1.2985722900635599E-2</c:v>
                </c:pt>
                <c:pt idx="16" formatCode="_(* #,##0%_);_(* \(#,##0%\);_(* &quot;-&quot;?_);_(* @_)">
                  <c:v>0.10148256710455406</c:v>
                </c:pt>
                <c:pt idx="17" formatCode="_(* #,##0%_);_(* \(#,##0%\);_(* &quot;-&quot;?_);_(* @_)">
                  <c:v>9.3569604576848597E-4</c:v>
                </c:pt>
                <c:pt idx="18" formatCode="_(* #,##0%_);_(* \(#,##0%\);_(* &quot;-&quot;?_);_(* @_)">
                  <c:v>0.16302879043310448</c:v>
                </c:pt>
                <c:pt idx="19" formatCode="_(* #,##0%_);_(* \(#,##0%\);_(* &quot;-&quot;?_);_(* @_)">
                  <c:v>0.18391870747778816</c:v>
                </c:pt>
                <c:pt idx="20" formatCode="_(* #,##0%_);_(* \(#,##0%\);_(* &quot;-&quot;?_);_(* @_)">
                  <c:v>0.10732578418115923</c:v>
                </c:pt>
                <c:pt idx="21" formatCode="_(* #,##0%_);_(* \(#,##0%\);_(* &quot;-&quot;?_);_(* @_)">
                  <c:v>-2.2371053039407118E-2</c:v>
                </c:pt>
                <c:pt idx="22" formatCode="_(* #,##0%_);_(* \(#,##0%\);_(* &quot;-&quot;?_);_(* @_)">
                  <c:v>-0.19529988722145541</c:v>
                </c:pt>
                <c:pt idx="23" formatCode="_(* #,##0%_);_(* \(#,##0%\);_(* &quot;-&quot;?_);_(* @_)">
                  <c:v>-0.35813380306815623</c:v>
                </c:pt>
                <c:pt idx="24" formatCode="_(* #,##0%_);_(* \(#,##0%\);_(* &quot;-&quot;?_);_(* @_)">
                  <c:v>-0.27999999999999992</c:v>
                </c:pt>
                <c:pt idx="25" formatCode="_(* #,##0%_);_(* \(#,##0%\);_(* &quot;-&quot;?_);_(* @_)">
                  <c:v>-0.12</c:v>
                </c:pt>
                <c:pt idx="26" formatCode="_(* #,##0%_);_(* \(#,##0%\);_(* &quot;-&quot;?_);_(* @_)">
                  <c:v>4.0000000000000036E-2</c:v>
                </c:pt>
                <c:pt idx="27" formatCode="_(* #,##0%_);_(* \(#,##0%\);_(* &quot;-&quot;?_);_(* @_)">
                  <c:v>0.1100000000000001</c:v>
                </c:pt>
                <c:pt idx="28" formatCode="_(* #,##0%_);_(* \(#,##0%\);_(* &quot;-&quot;?_);_(* @_)">
                  <c:v>0.1100000000000001</c:v>
                </c:pt>
                <c:pt idx="29" formatCode="_(* #,##0%_);_(* \(#,##0%\);_(* &quot;-&quot;?_);_(* @_)">
                  <c:v>4.0000000000000036E-2</c:v>
                </c:pt>
                <c:pt idx="30" formatCode="_(* #,##0%_);_(* \(#,##0%\);_(* &quot;-&quot;?_);_(* @_)">
                  <c:v>0</c:v>
                </c:pt>
                <c:pt idx="31" formatCode="_(* #,##0%_);_(* \(#,##0%\);_(* &quot;-&quot;?_);_(* @_)">
                  <c:v>0</c:v>
                </c:pt>
                <c:pt idx="32" formatCode="_(* #,##0%_);_(* \(#,##0%\);_(* &quot;-&quot;?_);_(* @_)">
                  <c:v>0.05</c:v>
                </c:pt>
                <c:pt idx="33" formatCode="_(* #,##0%_);_(* \(#,##0%\);_(* &quot;-&quot;?_);_(* @_)">
                  <c:v>0.05</c:v>
                </c:pt>
              </c:numCache>
            </c:numRef>
          </c:val>
          <c:smooth val="0"/>
          <c:extLst>
            <c:ext xmlns:c16="http://schemas.microsoft.com/office/drawing/2014/chart" uri="{C3380CC4-5D6E-409C-BE32-E72D297353CC}">
              <c16:uniqueId val="{00000001-B23D-4D86-96BB-BA4CB2AA72C7}"/>
            </c:ext>
          </c:extLst>
        </c:ser>
        <c:ser>
          <c:idx val="2"/>
          <c:order val="2"/>
          <c:tx>
            <c:strRef>
              <c:f>'Windows OEM'!$A$48</c:f>
            </c:strRef>
          </c:tx>
          <c:spPr>
            <a:ln w="28575" cap="rnd">
              <a:solidFill>
                <a:schemeClr val="accent3"/>
              </a:solidFill>
              <a:round/>
            </a:ln>
            <a:effectLst/>
          </c:spPr>
          <c:marker>
            <c:symbol val="none"/>
          </c:marker>
          <c:cat>
            <c:strRef>
              <c:f>'Windows OEM'!$C$141:$AR$141</c:f>
              <c:strCache>
                <c:ptCount val="34"/>
                <c:pt idx="0">
                  <c:v>1Q17</c:v>
                </c:pt>
                <c:pt idx="1">
                  <c:v>2Q17</c:v>
                </c:pt>
                <c:pt idx="2">
                  <c:v>3Q17</c:v>
                </c:pt>
                <c:pt idx="3">
                  <c:v>4Q17</c:v>
                </c:pt>
                <c:pt idx="4">
                  <c:v>1Q18</c:v>
                </c:pt>
                <c:pt idx="5">
                  <c:v>2Q18</c:v>
                </c:pt>
                <c:pt idx="6">
                  <c:v>3Q18</c:v>
                </c:pt>
                <c:pt idx="7">
                  <c:v>4Q18</c:v>
                </c:pt>
                <c:pt idx="8">
                  <c:v>1Q19</c:v>
                </c:pt>
                <c:pt idx="9">
                  <c:v>2Q19</c:v>
                </c:pt>
                <c:pt idx="10">
                  <c:v>3Q19</c:v>
                </c:pt>
                <c:pt idx="11">
                  <c:v>4Q19</c:v>
                </c:pt>
                <c:pt idx="12">
                  <c:v>1Q20</c:v>
                </c:pt>
                <c:pt idx="13">
                  <c:v>2Q20</c:v>
                </c:pt>
                <c:pt idx="14">
                  <c:v>3Q20</c:v>
                </c:pt>
                <c:pt idx="15">
                  <c:v>4Q20</c:v>
                </c:pt>
                <c:pt idx="16">
                  <c:v>1Q21</c:v>
                </c:pt>
                <c:pt idx="17">
                  <c:v>2Q21</c:v>
                </c:pt>
                <c:pt idx="18">
                  <c:v>3Q21</c:v>
                </c:pt>
                <c:pt idx="19">
                  <c:v>4Q21</c:v>
                </c:pt>
                <c:pt idx="20">
                  <c:v>1Q22</c:v>
                </c:pt>
                <c:pt idx="21">
                  <c:v>2Q22</c:v>
                </c:pt>
                <c:pt idx="22">
                  <c:v>3Q22</c:v>
                </c:pt>
                <c:pt idx="23">
                  <c:v>4Q22</c:v>
                </c:pt>
                <c:pt idx="24">
                  <c:v>1Q23</c:v>
                </c:pt>
                <c:pt idx="25">
                  <c:v>2Q23</c:v>
                </c:pt>
                <c:pt idx="26">
                  <c:v>3Q23</c:v>
                </c:pt>
                <c:pt idx="27">
                  <c:v>4Q23</c:v>
                </c:pt>
                <c:pt idx="28">
                  <c:v>1Q24</c:v>
                </c:pt>
                <c:pt idx="29">
                  <c:v>2Q24</c:v>
                </c:pt>
                <c:pt idx="30">
                  <c:v>3Q24E</c:v>
                </c:pt>
                <c:pt idx="31">
                  <c:v>4Q24E</c:v>
                </c:pt>
                <c:pt idx="32">
                  <c:v>1Q25E</c:v>
                </c:pt>
                <c:pt idx="33">
                  <c:v>2Q25E</c:v>
                </c:pt>
              </c:strCache>
            </c:strRef>
          </c:cat>
          <c:val>
            <c:numRef>
              <c:f>'Windows OEM'!$K$48:$AH$48</c:f>
            </c:numRef>
          </c:val>
          <c:smooth val="0"/>
          <c:extLst>
            <c:ext xmlns:c16="http://schemas.microsoft.com/office/drawing/2014/chart" uri="{C3380CC4-5D6E-409C-BE32-E72D297353CC}">
              <c16:uniqueId val="{00000000-F6F0-4DAF-A6B5-5203F7483CB2}"/>
            </c:ext>
          </c:extLst>
        </c:ser>
        <c:dLbls>
          <c:showLegendKey val="0"/>
          <c:showVal val="0"/>
          <c:showCatName val="0"/>
          <c:showSerName val="0"/>
          <c:showPercent val="0"/>
          <c:showBubbleSize val="0"/>
        </c:dLbls>
        <c:smooth val="0"/>
        <c:axId val="523290064"/>
        <c:axId val="523297136"/>
      </c:lineChart>
      <c:catAx>
        <c:axId val="52329006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23297136"/>
        <c:crosses val="autoZero"/>
        <c:auto val="1"/>
        <c:lblAlgn val="ctr"/>
        <c:lblOffset val="100"/>
        <c:noMultiLvlLbl val="0"/>
      </c:catAx>
      <c:valAx>
        <c:axId val="52329713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23290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3.png"/><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46</xdr:col>
      <xdr:colOff>190500</xdr:colOff>
      <xdr:row>220</xdr:row>
      <xdr:rowOff>0</xdr:rowOff>
    </xdr:from>
    <xdr:to>
      <xdr:col>52</xdr:col>
      <xdr:colOff>222250</xdr:colOff>
      <xdr:row>284</xdr:row>
      <xdr:rowOff>0</xdr:rowOff>
    </xdr:to>
    <xdr:sp macro="" textlink="">
      <xdr:nvSpPr>
        <xdr:cNvPr id="2" name="TextBox 1">
          <a:extLst>
            <a:ext uri="{FF2B5EF4-FFF2-40B4-BE49-F238E27FC236}">
              <a16:creationId xmlns:a16="http://schemas.microsoft.com/office/drawing/2014/main" id="{CBBAE518-F192-4F69-918F-87B1E061086A}"/>
            </a:ext>
          </a:extLst>
        </xdr:cNvPr>
        <xdr:cNvSpPr txBox="1"/>
      </xdr:nvSpPr>
      <xdr:spPr>
        <a:xfrm>
          <a:off x="10914063" y="21193125"/>
          <a:ext cx="3222625" cy="82788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i="0" u="sng">
              <a:solidFill>
                <a:schemeClr val="dk1"/>
              </a:solidFill>
              <a:effectLst/>
              <a:latin typeface="Arial" panose="020B0604020202020204" pitchFamily="34" charset="0"/>
              <a:ea typeface="+mn-ea"/>
              <a:cs typeface="Arial" panose="020B0604020202020204" pitchFamily="34" charset="0"/>
            </a:rPr>
            <a:t>Segment Description</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Productivity and Business Processes</a:t>
          </a:r>
        </a:p>
        <a:p>
          <a:r>
            <a:rPr lang="en-US" sz="800" b="0" i="0">
              <a:solidFill>
                <a:schemeClr val="dk1"/>
              </a:solidFill>
              <a:effectLst/>
              <a:latin typeface="Arial" panose="020B0604020202020204" pitchFamily="34" charset="0"/>
              <a:ea typeface="+mn-ea"/>
              <a:cs typeface="Arial" panose="020B0604020202020204" pitchFamily="34" charset="0"/>
            </a:rPr>
            <a:t>Our Productivity and Business Processes segment consists of products and services in our portfolio of productivity, communication, and information services, spanning a variety of devices and platforms. This segment primarily comprises: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•Office Commercial, including Office 365 subscriptions and Office licensed on-premises, comprising Office, Exchange, SharePoint, Skype for Business, and Microsoft Teams, and related Client Access Licenses (“CALs”).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•Office Consumer, including Office 365 subscriptions and Office licensed on-premises, and Office Consumer Services, including Skype, Outlook.com, and OneDrive.</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•LinkedIn, including Talent Solutions, Marketing Solutions, and Premium Subscriptions.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•Dynamics business solutions, including Dynamics ERP on-premises, Dynamics CRM on-premises, and Dynamics 365, a set of cloud-based applications across ERP and CRM.</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Intelligent Cloud</a:t>
          </a:r>
        </a:p>
        <a:p>
          <a:r>
            <a:rPr lang="en-US" sz="800" b="0" i="0">
              <a:solidFill>
                <a:schemeClr val="dk1"/>
              </a:solidFill>
              <a:effectLst/>
              <a:latin typeface="Arial" panose="020B0604020202020204" pitchFamily="34" charset="0"/>
              <a:ea typeface="+mn-ea"/>
              <a:cs typeface="Arial" panose="020B0604020202020204" pitchFamily="34" charset="0"/>
            </a:rPr>
            <a:t>Our Intelligent Cloud segment consists of our public, private, and hybrid server products and cloud services that can power modern business. This segment primarily comprises: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•Server products and cloud services, including Microsoft SQL Server, Windows Server, Visual Studio, System Center, and related CALs, and Azure.</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•Enterprise Services, including Premier Support Services and Microsoft Consulting Services.</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More Personal Computing</a:t>
          </a:r>
        </a:p>
        <a:p>
          <a:r>
            <a:rPr lang="en-US" sz="800" b="0" i="0">
              <a:solidFill>
                <a:schemeClr val="dk1"/>
              </a:solidFill>
              <a:effectLst/>
              <a:latin typeface="Arial" panose="020B0604020202020204" pitchFamily="34" charset="0"/>
              <a:ea typeface="+mn-ea"/>
              <a:cs typeface="Arial" panose="020B0604020202020204" pitchFamily="34" charset="0"/>
            </a:rPr>
            <a:t>Our More Personal Computing segment consists of products and services geared towards harmonizing the interests of end users, developers, and IT professionals across all devices. This segment primarily comprises: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•Windows, including Windows OEM licensing and other non-volume licensing of the Windows operating system; Windows Commercial, comprising volume licensing of the Windows operating system, Windows cloud services, and other Windows commercial offerings; patent licensing; Windows Internet of Things (“IoT”); and MSN advertising.</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•Devices, including Microsoft Surface, PC accessories, and other intelligent devices.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•Gaming, including Xbox hardware and Xbox software and services, comprising Xbox Live transactions, subscriptions, and advertising (“Xbox Live”), video games, and third-party video game royalties.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•Search.</a:t>
          </a:r>
        </a:p>
      </xdr:txBody>
    </xdr:sp>
    <xdr:clientData/>
  </xdr:twoCellAnchor>
  <xdr:twoCellAnchor>
    <xdr:from>
      <xdr:col>14</xdr:col>
      <xdr:colOff>567204</xdr:colOff>
      <xdr:row>4</xdr:row>
      <xdr:rowOff>142314</xdr:rowOff>
    </xdr:from>
    <xdr:to>
      <xdr:col>14</xdr:col>
      <xdr:colOff>567204</xdr:colOff>
      <xdr:row>1419</xdr:row>
      <xdr:rowOff>41461</xdr:rowOff>
    </xdr:to>
    <xdr:cxnSp macro="">
      <xdr:nvCxnSpPr>
        <xdr:cNvPr id="9" name="Straight Connector 8">
          <a:extLst>
            <a:ext uri="{FF2B5EF4-FFF2-40B4-BE49-F238E27FC236}">
              <a16:creationId xmlns:a16="http://schemas.microsoft.com/office/drawing/2014/main" id="{88C151CD-6EF3-48BA-8F09-ED6C224A218D}"/>
            </a:ext>
          </a:extLst>
        </xdr:cNvPr>
        <xdr:cNvCxnSpPr/>
      </xdr:nvCxnSpPr>
      <xdr:spPr>
        <a:xfrm>
          <a:off x="4529604" y="723339"/>
          <a:ext cx="0" cy="84671647"/>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2704</xdr:colOff>
      <xdr:row>4</xdr:row>
      <xdr:rowOff>142314</xdr:rowOff>
    </xdr:from>
    <xdr:to>
      <xdr:col>23</xdr:col>
      <xdr:colOff>2704</xdr:colOff>
      <xdr:row>1419</xdr:row>
      <xdr:rowOff>41461</xdr:rowOff>
    </xdr:to>
    <xdr:cxnSp macro="">
      <xdr:nvCxnSpPr>
        <xdr:cNvPr id="14" name="Straight Connector 13">
          <a:extLst>
            <a:ext uri="{FF2B5EF4-FFF2-40B4-BE49-F238E27FC236}">
              <a16:creationId xmlns:a16="http://schemas.microsoft.com/office/drawing/2014/main" id="{D2EBF312-79DE-4F0D-8D09-BF20E02F9E2A}"/>
            </a:ext>
          </a:extLst>
        </xdr:cNvPr>
        <xdr:cNvCxnSpPr/>
      </xdr:nvCxnSpPr>
      <xdr:spPr>
        <a:xfrm>
          <a:off x="14262990" y="686600"/>
          <a:ext cx="0" cy="92545647"/>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606717</xdr:colOff>
      <xdr:row>4</xdr:row>
      <xdr:rowOff>142314</xdr:rowOff>
    </xdr:from>
    <xdr:to>
      <xdr:col>66</xdr:col>
      <xdr:colOff>606717</xdr:colOff>
      <xdr:row>1419</xdr:row>
      <xdr:rowOff>41461</xdr:rowOff>
    </xdr:to>
    <xdr:cxnSp macro="">
      <xdr:nvCxnSpPr>
        <xdr:cNvPr id="15" name="Straight Connector 14">
          <a:extLst>
            <a:ext uri="{FF2B5EF4-FFF2-40B4-BE49-F238E27FC236}">
              <a16:creationId xmlns:a16="http://schemas.microsoft.com/office/drawing/2014/main" id="{93AC25A3-C3AE-474E-8259-EF4216C89294}"/>
            </a:ext>
          </a:extLst>
        </xdr:cNvPr>
        <xdr:cNvCxnSpPr/>
      </xdr:nvCxnSpPr>
      <xdr:spPr>
        <a:xfrm>
          <a:off x="21688717" y="665255"/>
          <a:ext cx="0" cy="112294147"/>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47623</xdr:colOff>
      <xdr:row>1124</xdr:row>
      <xdr:rowOff>47625</xdr:rowOff>
    </xdr:from>
    <xdr:to>
      <xdr:col>34</xdr:col>
      <xdr:colOff>433294</xdr:colOff>
      <xdr:row>1136</xdr:row>
      <xdr:rowOff>71437</xdr:rowOff>
    </xdr:to>
    <xdr:sp macro="" textlink="">
      <xdr:nvSpPr>
        <xdr:cNvPr id="11" name="TextBox 10">
          <a:extLst>
            <a:ext uri="{FF2B5EF4-FFF2-40B4-BE49-F238E27FC236}">
              <a16:creationId xmlns:a16="http://schemas.microsoft.com/office/drawing/2014/main" id="{F96158CC-A0A1-4595-A055-71D9E868756D}"/>
            </a:ext>
          </a:extLst>
        </xdr:cNvPr>
        <xdr:cNvSpPr txBox="1"/>
      </xdr:nvSpPr>
      <xdr:spPr>
        <a:xfrm>
          <a:off x="264270" y="77958390"/>
          <a:ext cx="6608671" cy="15478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i="0" u="sng">
              <a:solidFill>
                <a:schemeClr val="dk1"/>
              </a:solidFill>
              <a:effectLst/>
              <a:latin typeface="Arial" panose="020B0604020202020204" pitchFamily="34" charset="0"/>
              <a:ea typeface="+mn-ea"/>
              <a:cs typeface="Arial" panose="020B0604020202020204" pitchFamily="34" charset="0"/>
            </a:rPr>
            <a:t>Segment Description</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Product revenue </a:t>
          </a:r>
          <a:r>
            <a:rPr lang="en-US" sz="800" b="0" i="0">
              <a:solidFill>
                <a:schemeClr val="dk1"/>
              </a:solidFill>
              <a:effectLst/>
              <a:latin typeface="Arial" panose="020B0604020202020204" pitchFamily="34" charset="0"/>
              <a:ea typeface="+mn-ea"/>
              <a:cs typeface="Arial" panose="020B0604020202020204" pitchFamily="34" charset="0"/>
            </a:rPr>
            <a:t>includes sales from operating systems; cross-device productivity applications; server applications; business solution applications; desktop and server management tools; software development tools; video games; and hardware such as PCs, tablets, gaming and entertainment consoles, other intelligent devices, and related accessories.</a:t>
          </a:r>
        </a:p>
        <a:p>
          <a:endParaRPr lang="en-US" sz="800" b="0"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Service and other revenue </a:t>
          </a:r>
          <a:r>
            <a:rPr lang="en-US" sz="800" b="0" i="0">
              <a:solidFill>
                <a:schemeClr val="dk1"/>
              </a:solidFill>
              <a:effectLst/>
              <a:latin typeface="Arial" panose="020B0604020202020204" pitchFamily="34" charset="0"/>
              <a:ea typeface="+mn-ea"/>
              <a:cs typeface="Arial" panose="020B0604020202020204" pitchFamily="34" charset="0"/>
            </a:rPr>
            <a:t>includes sales from cloud-based solutions that provide customers with software, services, platforms, and content such as Microsoft Office 365, Microsoft Azure, Microsoft Dynamics 365, and Xbox Live; solution support; and consulting services. Service and other revenue also includes sales from online advertising and LinkedIn.</a:t>
          </a:r>
        </a:p>
        <a:p>
          <a:endParaRPr lang="en-US" sz="800" b="1" i="0">
            <a:solidFill>
              <a:schemeClr val="dk1"/>
            </a:solidFill>
            <a:effectLst/>
            <a:latin typeface="Arial" panose="020B0604020202020204" pitchFamily="34" charset="0"/>
            <a:ea typeface="+mn-ea"/>
            <a:cs typeface="Arial" panose="020B0604020202020204" pitchFamily="34" charset="0"/>
          </a:endParaRPr>
        </a:p>
      </xdr:txBody>
    </xdr:sp>
    <xdr:clientData/>
  </xdr:twoCellAnchor>
  <xdr:twoCellAnchor>
    <xdr:from>
      <xdr:col>26</xdr:col>
      <xdr:colOff>625488</xdr:colOff>
      <xdr:row>4</xdr:row>
      <xdr:rowOff>142314</xdr:rowOff>
    </xdr:from>
    <xdr:to>
      <xdr:col>26</xdr:col>
      <xdr:colOff>625488</xdr:colOff>
      <xdr:row>1419</xdr:row>
      <xdr:rowOff>41461</xdr:rowOff>
    </xdr:to>
    <xdr:cxnSp macro="">
      <xdr:nvCxnSpPr>
        <xdr:cNvPr id="12" name="Straight Connector 11">
          <a:extLst>
            <a:ext uri="{FF2B5EF4-FFF2-40B4-BE49-F238E27FC236}">
              <a16:creationId xmlns:a16="http://schemas.microsoft.com/office/drawing/2014/main" id="{67A101C6-4CBF-43B0-8D4F-A6B8F6C21634}"/>
            </a:ext>
          </a:extLst>
        </xdr:cNvPr>
        <xdr:cNvCxnSpPr/>
      </xdr:nvCxnSpPr>
      <xdr:spPr>
        <a:xfrm>
          <a:off x="12463702" y="704743"/>
          <a:ext cx="0" cy="79591647"/>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5432</xdr:colOff>
      <xdr:row>4</xdr:row>
      <xdr:rowOff>142314</xdr:rowOff>
    </xdr:from>
    <xdr:to>
      <xdr:col>31</xdr:col>
      <xdr:colOff>5432</xdr:colOff>
      <xdr:row>1419</xdr:row>
      <xdr:rowOff>41461</xdr:rowOff>
    </xdr:to>
    <xdr:cxnSp macro="">
      <xdr:nvCxnSpPr>
        <xdr:cNvPr id="18" name="Straight Connector 17">
          <a:extLst>
            <a:ext uri="{FF2B5EF4-FFF2-40B4-BE49-F238E27FC236}">
              <a16:creationId xmlns:a16="http://schemas.microsoft.com/office/drawing/2014/main" id="{B1FB9445-C63C-4F8D-BAFC-68A53B027AB2}"/>
            </a:ext>
          </a:extLst>
        </xdr:cNvPr>
        <xdr:cNvCxnSpPr/>
      </xdr:nvCxnSpPr>
      <xdr:spPr>
        <a:xfrm>
          <a:off x="13579491" y="680196"/>
          <a:ext cx="0" cy="75830206"/>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478117</xdr:colOff>
      <xdr:row>1431</xdr:row>
      <xdr:rowOff>59764</xdr:rowOff>
    </xdr:from>
    <xdr:to>
      <xdr:col>25</xdr:col>
      <xdr:colOff>448236</xdr:colOff>
      <xdr:row>1453</xdr:row>
      <xdr:rowOff>8964</xdr:rowOff>
    </xdr:to>
    <xdr:graphicFrame macro="">
      <xdr:nvGraphicFramePr>
        <xdr:cNvPr id="6" name="Chart 5">
          <a:extLst>
            <a:ext uri="{FF2B5EF4-FFF2-40B4-BE49-F238E27FC236}">
              <a16:creationId xmlns:a16="http://schemas.microsoft.com/office/drawing/2014/main" id="{1F5B69D3-1653-4014-95BF-7940414068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560293</xdr:colOff>
      <xdr:row>1431</xdr:row>
      <xdr:rowOff>59764</xdr:rowOff>
    </xdr:from>
    <xdr:to>
      <xdr:col>34</xdr:col>
      <xdr:colOff>358588</xdr:colOff>
      <xdr:row>1453</xdr:row>
      <xdr:rowOff>8964</xdr:rowOff>
    </xdr:to>
    <xdr:graphicFrame macro="">
      <xdr:nvGraphicFramePr>
        <xdr:cNvPr id="7" name="Chart 6">
          <a:extLst>
            <a:ext uri="{FF2B5EF4-FFF2-40B4-BE49-F238E27FC236}">
              <a16:creationId xmlns:a16="http://schemas.microsoft.com/office/drawing/2014/main" id="{3072E601-CA24-49E6-21AD-38506B5EB6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604146</xdr:colOff>
      <xdr:row>4</xdr:row>
      <xdr:rowOff>142314</xdr:rowOff>
    </xdr:from>
    <xdr:to>
      <xdr:col>34</xdr:col>
      <xdr:colOff>604146</xdr:colOff>
      <xdr:row>1419</xdr:row>
      <xdr:rowOff>41461</xdr:rowOff>
    </xdr:to>
    <xdr:cxnSp macro="">
      <xdr:nvCxnSpPr>
        <xdr:cNvPr id="3" name="Straight Connector 2">
          <a:extLst>
            <a:ext uri="{FF2B5EF4-FFF2-40B4-BE49-F238E27FC236}">
              <a16:creationId xmlns:a16="http://schemas.microsoft.com/office/drawing/2014/main" id="{B7344724-5F2A-AF80-52DC-EEA9B8CECA21}"/>
            </a:ext>
          </a:extLst>
        </xdr:cNvPr>
        <xdr:cNvCxnSpPr/>
      </xdr:nvCxnSpPr>
      <xdr:spPr>
        <a:xfrm>
          <a:off x="13975432" y="686600"/>
          <a:ext cx="0" cy="79709575"/>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10235</xdr:colOff>
      <xdr:row>5</xdr:row>
      <xdr:rowOff>374</xdr:rowOff>
    </xdr:from>
    <xdr:to>
      <xdr:col>39</xdr:col>
      <xdr:colOff>10235</xdr:colOff>
      <xdr:row>1419</xdr:row>
      <xdr:rowOff>71345</xdr:rowOff>
    </xdr:to>
    <xdr:cxnSp macro="">
      <xdr:nvCxnSpPr>
        <xdr:cNvPr id="10" name="Straight Connector 9">
          <a:extLst>
            <a:ext uri="{FF2B5EF4-FFF2-40B4-BE49-F238E27FC236}">
              <a16:creationId xmlns:a16="http://schemas.microsoft.com/office/drawing/2014/main" id="{0678DF26-9972-228F-C1FF-00F503B21EA0}"/>
            </a:ext>
          </a:extLst>
        </xdr:cNvPr>
        <xdr:cNvCxnSpPr/>
      </xdr:nvCxnSpPr>
      <xdr:spPr>
        <a:xfrm>
          <a:off x="9512823" y="695139"/>
          <a:ext cx="0" cy="106033794"/>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80</xdr:col>
      <xdr:colOff>358588</xdr:colOff>
      <xdr:row>63</xdr:row>
      <xdr:rowOff>96868</xdr:rowOff>
    </xdr:from>
    <xdr:to>
      <xdr:col>99</xdr:col>
      <xdr:colOff>320720</xdr:colOff>
      <xdr:row>116</xdr:row>
      <xdr:rowOff>80042</xdr:rowOff>
    </xdr:to>
    <xdr:pic>
      <xdr:nvPicPr>
        <xdr:cNvPr id="16" name="Picture 15">
          <a:extLst>
            <a:ext uri="{FF2B5EF4-FFF2-40B4-BE49-F238E27FC236}">
              <a16:creationId xmlns:a16="http://schemas.microsoft.com/office/drawing/2014/main" id="{098FB1AC-3295-D793-DE3F-29330766C74A}"/>
            </a:ext>
          </a:extLst>
        </xdr:cNvPr>
        <xdr:cNvPicPr>
          <a:picLocks noChangeAspect="1"/>
        </xdr:cNvPicPr>
      </xdr:nvPicPr>
      <xdr:blipFill>
        <a:blip xmlns:r="http://schemas.openxmlformats.org/officeDocument/2006/relationships" r:embed="rId3"/>
        <a:stretch>
          <a:fillRect/>
        </a:stretch>
      </xdr:blipFill>
      <xdr:spPr>
        <a:xfrm>
          <a:off x="31555764" y="8030633"/>
          <a:ext cx="9610394" cy="5350255"/>
        </a:xfrm>
        <a:prstGeom prst="rect">
          <a:avLst/>
        </a:prstGeom>
      </xdr:spPr>
    </xdr:pic>
    <xdr:clientData/>
  </xdr:twoCellAnchor>
  <xdr:twoCellAnchor editAs="oneCell">
    <xdr:from>
      <xdr:col>68</xdr:col>
      <xdr:colOff>48559</xdr:colOff>
      <xdr:row>538</xdr:row>
      <xdr:rowOff>0</xdr:rowOff>
    </xdr:from>
    <xdr:to>
      <xdr:col>77</xdr:col>
      <xdr:colOff>30734</xdr:colOff>
      <xdr:row>584</xdr:row>
      <xdr:rowOff>3076</xdr:rowOff>
    </xdr:to>
    <xdr:pic>
      <xdr:nvPicPr>
        <xdr:cNvPr id="5" name="Picture 4">
          <a:extLst>
            <a:ext uri="{FF2B5EF4-FFF2-40B4-BE49-F238E27FC236}">
              <a16:creationId xmlns:a16="http://schemas.microsoft.com/office/drawing/2014/main" id="{7CB70E6E-2B78-E57B-54B9-948EABC82DB2}"/>
            </a:ext>
          </a:extLst>
        </xdr:cNvPr>
        <xdr:cNvPicPr>
          <a:picLocks noChangeAspect="1"/>
        </xdr:cNvPicPr>
      </xdr:nvPicPr>
      <xdr:blipFill>
        <a:blip xmlns:r="http://schemas.openxmlformats.org/officeDocument/2006/relationships" r:embed="rId4"/>
        <a:stretch>
          <a:fillRect/>
        </a:stretch>
      </xdr:blipFill>
      <xdr:spPr>
        <a:xfrm>
          <a:off x="22500345" y="42387623"/>
          <a:ext cx="7284675" cy="5922904"/>
        </a:xfrm>
        <a:prstGeom prst="rect">
          <a:avLst/>
        </a:prstGeom>
      </xdr:spPr>
    </xdr:pic>
    <xdr:clientData/>
  </xdr:twoCellAnchor>
  <xdr:twoCellAnchor>
    <xdr:from>
      <xdr:col>46</xdr:col>
      <xdr:colOff>190500</xdr:colOff>
      <xdr:row>149</xdr:row>
      <xdr:rowOff>0</xdr:rowOff>
    </xdr:from>
    <xdr:to>
      <xdr:col>52</xdr:col>
      <xdr:colOff>222250</xdr:colOff>
      <xdr:row>215</xdr:row>
      <xdr:rowOff>0</xdr:rowOff>
    </xdr:to>
    <xdr:sp macro="" textlink="">
      <xdr:nvSpPr>
        <xdr:cNvPr id="13" name="TextBox 12">
          <a:extLst>
            <a:ext uri="{FF2B5EF4-FFF2-40B4-BE49-F238E27FC236}">
              <a16:creationId xmlns:a16="http://schemas.microsoft.com/office/drawing/2014/main" id="{44B51874-A59B-471F-8353-B11736569386}"/>
            </a:ext>
          </a:extLst>
        </xdr:cNvPr>
        <xdr:cNvSpPr txBox="1"/>
      </xdr:nvSpPr>
      <xdr:spPr>
        <a:xfrm>
          <a:off x="17516929" y="24211643"/>
          <a:ext cx="0" cy="7157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i="0" u="sng">
              <a:solidFill>
                <a:schemeClr val="dk1"/>
              </a:solidFill>
              <a:effectLst/>
              <a:latin typeface="Arial" panose="020B0604020202020204" pitchFamily="34" charset="0"/>
              <a:ea typeface="+mn-ea"/>
              <a:cs typeface="Arial" panose="020B0604020202020204" pitchFamily="34" charset="0"/>
            </a:rPr>
            <a:t>Segment Description</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Productivity and Business Processes</a:t>
          </a:r>
        </a:p>
        <a:p>
          <a:r>
            <a:rPr lang="en-US" sz="800" b="0" i="0">
              <a:solidFill>
                <a:schemeClr val="dk1"/>
              </a:solidFill>
              <a:effectLst/>
              <a:latin typeface="Arial" panose="020B0604020202020204" pitchFamily="34" charset="0"/>
              <a:ea typeface="+mn-ea"/>
              <a:cs typeface="Arial" panose="020B0604020202020204" pitchFamily="34" charset="0"/>
            </a:rPr>
            <a:t>Our Productivity and Business Processes segment consists of products and services in our portfolio of productivity, communication, and information services, spanning a variety of devices and platforms. This segment primarily comprises: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•Office Commercial, including Office 365 subscriptions and Office licensed on-premises, comprising Office, Exchange, SharePoint, Skype for Business, and Microsoft Teams, and related Client Access Licenses (“CALs”).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•Office Consumer, including Office 365 subscriptions and Office licensed on-premises, and Office Consumer Services, including Skype, Outlook.com, and OneDrive.</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•LinkedIn, including Talent Solutions, Marketing Solutions, and Premium Subscriptions.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•Dynamics business solutions, including Dynamics ERP on-premises, Dynamics CRM on-premises, and Dynamics 365, a set of cloud-based applications across ERP and CRM.</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Intelligent Cloud</a:t>
          </a:r>
        </a:p>
        <a:p>
          <a:r>
            <a:rPr lang="en-US" sz="800" b="0" i="0">
              <a:solidFill>
                <a:schemeClr val="dk1"/>
              </a:solidFill>
              <a:effectLst/>
              <a:latin typeface="Arial" panose="020B0604020202020204" pitchFamily="34" charset="0"/>
              <a:ea typeface="+mn-ea"/>
              <a:cs typeface="Arial" panose="020B0604020202020204" pitchFamily="34" charset="0"/>
            </a:rPr>
            <a:t>Our Intelligent Cloud segment consists of our public, private, and hybrid server products and cloud services that can power modern business. This segment primarily comprises: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•Server products and cloud services, including Microsoft SQL Server, Windows Server, Visual Studio, System Center, and related CALs, and Azure.</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•Enterprise Services, including Premier Support Services and Microsoft Consulting Services.</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More Personal Computing</a:t>
          </a:r>
        </a:p>
        <a:p>
          <a:r>
            <a:rPr lang="en-US" sz="800" b="0" i="0">
              <a:solidFill>
                <a:schemeClr val="dk1"/>
              </a:solidFill>
              <a:effectLst/>
              <a:latin typeface="Arial" panose="020B0604020202020204" pitchFamily="34" charset="0"/>
              <a:ea typeface="+mn-ea"/>
              <a:cs typeface="Arial" panose="020B0604020202020204" pitchFamily="34" charset="0"/>
            </a:rPr>
            <a:t>Our More Personal Computing segment consists of products and services geared towards harmonizing the interests of end users, developers, and IT professionals across all devices. This segment primarily comprises: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•Windows, including Windows OEM licensing and other non-volume licensing of the Windows operating system; Windows Commercial, comprising volume licensing of the Windows operating system, Windows cloud services, and other Windows commercial offerings; patent licensing; Windows Internet of Things (“IoT”); and MSN advertising.</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•Devices, including Microsoft Surface, PC accessories, and other intelligent devices.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•Gaming, including Xbox hardware and Xbox software and services, comprising Xbox Live transactions, subscriptions, and advertising (“Xbox Live”), video games, and third-party video game royalties.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•Search.</a:t>
          </a:r>
        </a:p>
      </xdr:txBody>
    </xdr:sp>
    <xdr:clientData/>
  </xdr:twoCellAnchor>
  <xdr:twoCellAnchor editAs="oneCell">
    <xdr:from>
      <xdr:col>69</xdr:col>
      <xdr:colOff>1088571</xdr:colOff>
      <xdr:row>105</xdr:row>
      <xdr:rowOff>70447</xdr:rowOff>
    </xdr:from>
    <xdr:to>
      <xdr:col>82</xdr:col>
      <xdr:colOff>369975</xdr:colOff>
      <xdr:row>139</xdr:row>
      <xdr:rowOff>46421</xdr:rowOff>
    </xdr:to>
    <xdr:pic>
      <xdr:nvPicPr>
        <xdr:cNvPr id="17" name="Picture 16">
          <a:extLst>
            <a:ext uri="{FF2B5EF4-FFF2-40B4-BE49-F238E27FC236}">
              <a16:creationId xmlns:a16="http://schemas.microsoft.com/office/drawing/2014/main" id="{58384851-0C4C-48F0-A324-36F49CBCD609}"/>
            </a:ext>
          </a:extLst>
        </xdr:cNvPr>
        <xdr:cNvPicPr>
          <a:picLocks noChangeAspect="1"/>
        </xdr:cNvPicPr>
      </xdr:nvPicPr>
      <xdr:blipFill>
        <a:blip xmlns:r="http://schemas.openxmlformats.org/officeDocument/2006/relationships" r:embed="rId5"/>
        <a:stretch>
          <a:fillRect/>
        </a:stretch>
      </xdr:blipFill>
      <xdr:spPr>
        <a:xfrm>
          <a:off x="24728714" y="11173876"/>
          <a:ext cx="7980904" cy="3250759"/>
        </a:xfrm>
        <a:prstGeom prst="rect">
          <a:avLst/>
        </a:prstGeom>
      </xdr:spPr>
    </xdr:pic>
    <xdr:clientData/>
  </xdr:twoCellAnchor>
  <xdr:twoCellAnchor>
    <xdr:from>
      <xdr:col>40</xdr:col>
      <xdr:colOff>8634</xdr:colOff>
      <xdr:row>5</xdr:row>
      <xdr:rowOff>374</xdr:rowOff>
    </xdr:from>
    <xdr:to>
      <xdr:col>40</xdr:col>
      <xdr:colOff>8634</xdr:colOff>
      <xdr:row>1419</xdr:row>
      <xdr:rowOff>71345</xdr:rowOff>
    </xdr:to>
    <xdr:cxnSp macro="">
      <xdr:nvCxnSpPr>
        <xdr:cNvPr id="19" name="Straight Connector 18">
          <a:extLst>
            <a:ext uri="{FF2B5EF4-FFF2-40B4-BE49-F238E27FC236}">
              <a16:creationId xmlns:a16="http://schemas.microsoft.com/office/drawing/2014/main" id="{FAE4C9F0-1743-6DDB-4831-B2164484B1E2}"/>
            </a:ext>
          </a:extLst>
        </xdr:cNvPr>
        <xdr:cNvCxnSpPr/>
      </xdr:nvCxnSpPr>
      <xdr:spPr>
        <a:xfrm>
          <a:off x="15024516" y="695139"/>
          <a:ext cx="0" cy="111718912"/>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34683</xdr:colOff>
      <xdr:row>601</xdr:row>
      <xdr:rowOff>44824</xdr:rowOff>
    </xdr:from>
    <xdr:to>
      <xdr:col>43</xdr:col>
      <xdr:colOff>98184</xdr:colOff>
      <xdr:row>668</xdr:row>
      <xdr:rowOff>89647</xdr:rowOff>
    </xdr:to>
    <xdr:sp macro="" textlink="">
      <xdr:nvSpPr>
        <xdr:cNvPr id="21" name="Rectangle 20">
          <a:extLst>
            <a:ext uri="{FF2B5EF4-FFF2-40B4-BE49-F238E27FC236}">
              <a16:creationId xmlns:a16="http://schemas.microsoft.com/office/drawing/2014/main" id="{663EDD63-D8F1-0EB0-040C-E1F308B796AE}"/>
            </a:ext>
          </a:extLst>
        </xdr:cNvPr>
        <xdr:cNvSpPr/>
      </xdr:nvSpPr>
      <xdr:spPr>
        <a:xfrm>
          <a:off x="14523889" y="50314412"/>
          <a:ext cx="2528795" cy="10029264"/>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Resegmentation</a:t>
          </a:r>
        </a:p>
      </xdr:txBody>
    </xdr:sp>
    <xdr:clientData/>
  </xdr:twoCellAnchor>
  <xdr:twoCellAnchor>
    <xdr:from>
      <xdr:col>39</xdr:col>
      <xdr:colOff>34683</xdr:colOff>
      <xdr:row>415</xdr:row>
      <xdr:rowOff>59764</xdr:rowOff>
    </xdr:from>
    <xdr:to>
      <xdr:col>43</xdr:col>
      <xdr:colOff>98184</xdr:colOff>
      <xdr:row>537</xdr:row>
      <xdr:rowOff>54429</xdr:rowOff>
    </xdr:to>
    <xdr:sp macro="" textlink="">
      <xdr:nvSpPr>
        <xdr:cNvPr id="22" name="Rectangle 21">
          <a:extLst>
            <a:ext uri="{FF2B5EF4-FFF2-40B4-BE49-F238E27FC236}">
              <a16:creationId xmlns:a16="http://schemas.microsoft.com/office/drawing/2014/main" id="{8109CBAF-9495-43BC-B44A-CEAF934E79CB}"/>
            </a:ext>
          </a:extLst>
        </xdr:cNvPr>
        <xdr:cNvSpPr/>
      </xdr:nvSpPr>
      <xdr:spPr>
        <a:xfrm>
          <a:off x="14530826" y="39828907"/>
          <a:ext cx="2530929" cy="11860093"/>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Resegmentation</a:t>
          </a:r>
        </a:p>
      </xdr:txBody>
    </xdr:sp>
    <xdr:clientData/>
  </xdr:twoCellAnchor>
  <xdr:twoCellAnchor>
    <xdr:from>
      <xdr:col>66</xdr:col>
      <xdr:colOff>598715</xdr:colOff>
      <xdr:row>415</xdr:row>
      <xdr:rowOff>18144</xdr:rowOff>
    </xdr:from>
    <xdr:to>
      <xdr:col>67</xdr:col>
      <xdr:colOff>598714</xdr:colOff>
      <xdr:row>537</xdr:row>
      <xdr:rowOff>90716</xdr:rowOff>
    </xdr:to>
    <xdr:sp macro="" textlink="">
      <xdr:nvSpPr>
        <xdr:cNvPr id="26" name="Rectangle 25">
          <a:extLst>
            <a:ext uri="{FF2B5EF4-FFF2-40B4-BE49-F238E27FC236}">
              <a16:creationId xmlns:a16="http://schemas.microsoft.com/office/drawing/2014/main" id="{9B93B3AA-9D71-58BB-8F25-FA4E399514E3}"/>
            </a:ext>
          </a:extLst>
        </xdr:cNvPr>
        <xdr:cNvSpPr/>
      </xdr:nvSpPr>
      <xdr:spPr>
        <a:xfrm>
          <a:off x="21816786" y="39787287"/>
          <a:ext cx="616857" cy="11938000"/>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ysClr val="windowText" lastClr="000000"/>
            </a:solidFill>
          </a:endParaRPr>
        </a:p>
      </xdr:txBody>
    </xdr:sp>
    <xdr:clientData/>
  </xdr:twoCellAnchor>
  <xdr:twoCellAnchor>
    <xdr:from>
      <xdr:col>67</xdr:col>
      <xdr:colOff>18142</xdr:colOff>
      <xdr:row>602</xdr:row>
      <xdr:rowOff>2</xdr:rowOff>
    </xdr:from>
    <xdr:to>
      <xdr:col>67</xdr:col>
      <xdr:colOff>589642</xdr:colOff>
      <xdr:row>668</xdr:row>
      <xdr:rowOff>100854</xdr:rowOff>
    </xdr:to>
    <xdr:sp macro="" textlink="">
      <xdr:nvSpPr>
        <xdr:cNvPr id="27" name="Rectangle 26">
          <a:extLst>
            <a:ext uri="{FF2B5EF4-FFF2-40B4-BE49-F238E27FC236}">
              <a16:creationId xmlns:a16="http://schemas.microsoft.com/office/drawing/2014/main" id="{E7D6073C-DF1D-5E4B-2C35-AB688DFA88A0}"/>
            </a:ext>
          </a:extLst>
        </xdr:cNvPr>
        <xdr:cNvSpPr/>
      </xdr:nvSpPr>
      <xdr:spPr>
        <a:xfrm>
          <a:off x="21835995" y="64624326"/>
          <a:ext cx="571500" cy="9939616"/>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ysClr val="windowText" lastClr="000000"/>
            </a:solidFill>
          </a:endParaRPr>
        </a:p>
      </xdr:txBody>
    </xdr:sp>
    <xdr:clientData/>
  </xdr:twoCellAnchor>
  <xdr:twoCellAnchor>
    <xdr:from>
      <xdr:col>39</xdr:col>
      <xdr:colOff>34683</xdr:colOff>
      <xdr:row>794</xdr:row>
      <xdr:rowOff>123264</xdr:rowOff>
    </xdr:from>
    <xdr:to>
      <xdr:col>43</xdr:col>
      <xdr:colOff>98184</xdr:colOff>
      <xdr:row>897</xdr:row>
      <xdr:rowOff>112059</xdr:rowOff>
    </xdr:to>
    <xdr:sp macro="" textlink="">
      <xdr:nvSpPr>
        <xdr:cNvPr id="4" name="Rectangle 3">
          <a:extLst>
            <a:ext uri="{FF2B5EF4-FFF2-40B4-BE49-F238E27FC236}">
              <a16:creationId xmlns:a16="http://schemas.microsoft.com/office/drawing/2014/main" id="{109F742C-725E-055D-7708-7EAC3165F2D8}"/>
            </a:ext>
          </a:extLst>
        </xdr:cNvPr>
        <xdr:cNvSpPr/>
      </xdr:nvSpPr>
      <xdr:spPr>
        <a:xfrm>
          <a:off x="14523889" y="89378117"/>
          <a:ext cx="2528795" cy="14007354"/>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Resegmentated</a:t>
          </a:r>
        </a:p>
      </xdr:txBody>
    </xdr:sp>
    <xdr:clientData/>
  </xdr:twoCellAnchor>
  <xdr:twoCellAnchor>
    <xdr:from>
      <xdr:col>67</xdr:col>
      <xdr:colOff>22412</xdr:colOff>
      <xdr:row>794</xdr:row>
      <xdr:rowOff>123264</xdr:rowOff>
    </xdr:from>
    <xdr:to>
      <xdr:col>67</xdr:col>
      <xdr:colOff>580037</xdr:colOff>
      <xdr:row>897</xdr:row>
      <xdr:rowOff>112059</xdr:rowOff>
    </xdr:to>
    <xdr:sp macro="" textlink="">
      <xdr:nvSpPr>
        <xdr:cNvPr id="8" name="Rectangle 7">
          <a:extLst>
            <a:ext uri="{FF2B5EF4-FFF2-40B4-BE49-F238E27FC236}">
              <a16:creationId xmlns:a16="http://schemas.microsoft.com/office/drawing/2014/main" id="{54C570F5-24A8-C2CE-AA61-F623E2B8EE61}"/>
            </a:ext>
          </a:extLst>
        </xdr:cNvPr>
        <xdr:cNvSpPr/>
      </xdr:nvSpPr>
      <xdr:spPr>
        <a:xfrm>
          <a:off x="21840265" y="89378117"/>
          <a:ext cx="557625" cy="14007354"/>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27</xdr:col>
      <xdr:colOff>134470</xdr:colOff>
      <xdr:row>2</xdr:row>
      <xdr:rowOff>22412</xdr:rowOff>
    </xdr:from>
    <xdr:to>
      <xdr:col>53</xdr:col>
      <xdr:colOff>29391</xdr:colOff>
      <xdr:row>54</xdr:row>
      <xdr:rowOff>6680</xdr:rowOff>
    </xdr:to>
    <xdr:pic>
      <xdr:nvPicPr>
        <xdr:cNvPr id="2" name="Picture 1">
          <a:extLst>
            <a:ext uri="{FF2B5EF4-FFF2-40B4-BE49-F238E27FC236}">
              <a16:creationId xmlns:a16="http://schemas.microsoft.com/office/drawing/2014/main" id="{4C2848C2-881A-6BF2-5BB6-AC4191EDD97A}"/>
            </a:ext>
          </a:extLst>
        </xdr:cNvPr>
        <xdr:cNvPicPr>
          <a:picLocks noChangeAspect="1"/>
        </xdr:cNvPicPr>
      </xdr:nvPicPr>
      <xdr:blipFill>
        <a:blip xmlns:r="http://schemas.openxmlformats.org/officeDocument/2006/relationships" r:embed="rId1"/>
        <a:stretch>
          <a:fillRect/>
        </a:stretch>
      </xdr:blipFill>
      <xdr:spPr>
        <a:xfrm>
          <a:off x="17010529" y="313765"/>
          <a:ext cx="13879862" cy="771632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21</xdr:col>
      <xdr:colOff>9071</xdr:colOff>
      <xdr:row>4</xdr:row>
      <xdr:rowOff>0</xdr:rowOff>
    </xdr:from>
    <xdr:to>
      <xdr:col>21</xdr:col>
      <xdr:colOff>9071</xdr:colOff>
      <xdr:row>220</xdr:row>
      <xdr:rowOff>33618</xdr:rowOff>
    </xdr:to>
    <xdr:cxnSp macro="">
      <xdr:nvCxnSpPr>
        <xdr:cNvPr id="2" name="Straight Connector 1">
          <a:extLst>
            <a:ext uri="{FF2B5EF4-FFF2-40B4-BE49-F238E27FC236}">
              <a16:creationId xmlns:a16="http://schemas.microsoft.com/office/drawing/2014/main" id="{BD0CAF63-5C62-4860-BDC6-70C9A2C466F1}"/>
            </a:ext>
          </a:extLst>
        </xdr:cNvPr>
        <xdr:cNvCxnSpPr/>
      </xdr:nvCxnSpPr>
      <xdr:spPr>
        <a:xfrm>
          <a:off x="5506357" y="535214"/>
          <a:ext cx="0" cy="14883547"/>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21</xdr:col>
      <xdr:colOff>0</xdr:colOff>
      <xdr:row>4</xdr:row>
      <xdr:rowOff>0</xdr:rowOff>
    </xdr:from>
    <xdr:to>
      <xdr:col>21</xdr:col>
      <xdr:colOff>0</xdr:colOff>
      <xdr:row>218</xdr:row>
      <xdr:rowOff>33618</xdr:rowOff>
    </xdr:to>
    <xdr:cxnSp macro="">
      <xdr:nvCxnSpPr>
        <xdr:cNvPr id="3" name="Straight Connector 2">
          <a:extLst>
            <a:ext uri="{FF2B5EF4-FFF2-40B4-BE49-F238E27FC236}">
              <a16:creationId xmlns:a16="http://schemas.microsoft.com/office/drawing/2014/main" id="{2FBBF15D-2F40-4427-833E-514FBE682951}"/>
            </a:ext>
          </a:extLst>
        </xdr:cNvPr>
        <xdr:cNvCxnSpPr/>
      </xdr:nvCxnSpPr>
      <xdr:spPr>
        <a:xfrm>
          <a:off x="5453529" y="530412"/>
          <a:ext cx="0" cy="14840324"/>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9071</xdr:colOff>
      <xdr:row>4</xdr:row>
      <xdr:rowOff>0</xdr:rowOff>
    </xdr:from>
    <xdr:to>
      <xdr:col>21</xdr:col>
      <xdr:colOff>9071</xdr:colOff>
      <xdr:row>220</xdr:row>
      <xdr:rowOff>33618</xdr:rowOff>
    </xdr:to>
    <xdr:cxnSp macro="">
      <xdr:nvCxnSpPr>
        <xdr:cNvPr id="2" name="Straight Connector 1">
          <a:extLst>
            <a:ext uri="{FF2B5EF4-FFF2-40B4-BE49-F238E27FC236}">
              <a16:creationId xmlns:a16="http://schemas.microsoft.com/office/drawing/2014/main" id="{2D5C9EE8-B1BD-4492-BC93-95307848B2D7}"/>
            </a:ext>
          </a:extLst>
        </xdr:cNvPr>
        <xdr:cNvCxnSpPr/>
      </xdr:nvCxnSpPr>
      <xdr:spPr>
        <a:xfrm>
          <a:off x="5657396" y="571500"/>
          <a:ext cx="0" cy="16607118"/>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21</xdr:col>
      <xdr:colOff>7471</xdr:colOff>
      <xdr:row>4</xdr:row>
      <xdr:rowOff>0</xdr:rowOff>
    </xdr:from>
    <xdr:to>
      <xdr:col>21</xdr:col>
      <xdr:colOff>7471</xdr:colOff>
      <xdr:row>218</xdr:row>
      <xdr:rowOff>33618</xdr:rowOff>
    </xdr:to>
    <xdr:cxnSp macro="">
      <xdr:nvCxnSpPr>
        <xdr:cNvPr id="4" name="Straight Connector 3">
          <a:extLst>
            <a:ext uri="{FF2B5EF4-FFF2-40B4-BE49-F238E27FC236}">
              <a16:creationId xmlns:a16="http://schemas.microsoft.com/office/drawing/2014/main" id="{602FAFC2-EBD3-4BB0-8F87-62CDD49AB4F5}"/>
            </a:ext>
          </a:extLst>
        </xdr:cNvPr>
        <xdr:cNvCxnSpPr/>
      </xdr:nvCxnSpPr>
      <xdr:spPr>
        <a:xfrm>
          <a:off x="5461000" y="530412"/>
          <a:ext cx="0" cy="14862735"/>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4</xdr:row>
      <xdr:rowOff>0</xdr:rowOff>
    </xdr:from>
    <xdr:to>
      <xdr:col>21</xdr:col>
      <xdr:colOff>0</xdr:colOff>
      <xdr:row>218</xdr:row>
      <xdr:rowOff>33618</xdr:rowOff>
    </xdr:to>
    <xdr:cxnSp macro="">
      <xdr:nvCxnSpPr>
        <xdr:cNvPr id="2" name="Straight Connector 1">
          <a:extLst>
            <a:ext uri="{FF2B5EF4-FFF2-40B4-BE49-F238E27FC236}">
              <a16:creationId xmlns:a16="http://schemas.microsoft.com/office/drawing/2014/main" id="{96703836-D09B-480F-B5F8-58A1A4A28653}"/>
            </a:ext>
          </a:extLst>
        </xdr:cNvPr>
        <xdr:cNvCxnSpPr/>
      </xdr:nvCxnSpPr>
      <xdr:spPr>
        <a:xfrm>
          <a:off x="5648325" y="571500"/>
          <a:ext cx="0" cy="16321368"/>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9071</xdr:colOff>
      <xdr:row>4</xdr:row>
      <xdr:rowOff>0</xdr:rowOff>
    </xdr:from>
    <xdr:to>
      <xdr:col>21</xdr:col>
      <xdr:colOff>9071</xdr:colOff>
      <xdr:row>220</xdr:row>
      <xdr:rowOff>33618</xdr:rowOff>
    </xdr:to>
    <xdr:cxnSp macro="">
      <xdr:nvCxnSpPr>
        <xdr:cNvPr id="3" name="Straight Connector 2">
          <a:extLst>
            <a:ext uri="{FF2B5EF4-FFF2-40B4-BE49-F238E27FC236}">
              <a16:creationId xmlns:a16="http://schemas.microsoft.com/office/drawing/2014/main" id="{09E5216D-BA0E-4A10-955B-4B9AB81D8B85}"/>
            </a:ext>
          </a:extLst>
        </xdr:cNvPr>
        <xdr:cNvCxnSpPr/>
      </xdr:nvCxnSpPr>
      <xdr:spPr>
        <a:xfrm>
          <a:off x="5657396" y="571500"/>
          <a:ext cx="0" cy="16607118"/>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69</xdr:col>
      <xdr:colOff>420228</xdr:colOff>
      <xdr:row>63</xdr:row>
      <xdr:rowOff>26733</xdr:rowOff>
    </xdr:from>
    <xdr:to>
      <xdr:col>75</xdr:col>
      <xdr:colOff>326571</xdr:colOff>
      <xdr:row>78</xdr:row>
      <xdr:rowOff>40821</xdr:rowOff>
    </xdr:to>
    <xdr:graphicFrame macro="">
      <xdr:nvGraphicFramePr>
        <xdr:cNvPr id="3" name="Chart 2">
          <a:extLst>
            <a:ext uri="{FF2B5EF4-FFF2-40B4-BE49-F238E27FC236}">
              <a16:creationId xmlns:a16="http://schemas.microsoft.com/office/drawing/2014/main" id="{B47F3B3A-6729-39F6-D222-6EAAB72F34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148085</xdr:colOff>
      <xdr:row>63</xdr:row>
      <xdr:rowOff>26733</xdr:rowOff>
    </xdr:from>
    <xdr:to>
      <xdr:col>69</xdr:col>
      <xdr:colOff>163285</xdr:colOff>
      <xdr:row>78</xdr:row>
      <xdr:rowOff>40821</xdr:rowOff>
    </xdr:to>
    <xdr:graphicFrame macro="">
      <xdr:nvGraphicFramePr>
        <xdr:cNvPr id="5" name="Chart 4">
          <a:extLst>
            <a:ext uri="{FF2B5EF4-FFF2-40B4-BE49-F238E27FC236}">
              <a16:creationId xmlns:a16="http://schemas.microsoft.com/office/drawing/2014/main" id="{8BBAE5B3-0F2D-3A3C-9A1D-48DB2D210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176098</xdr:colOff>
      <xdr:row>63</xdr:row>
      <xdr:rowOff>26733</xdr:rowOff>
    </xdr:from>
    <xdr:to>
      <xdr:col>28</xdr:col>
      <xdr:colOff>313765</xdr:colOff>
      <xdr:row>82</xdr:row>
      <xdr:rowOff>108857</xdr:rowOff>
    </xdr:to>
    <xdr:graphicFrame macro="">
      <xdr:nvGraphicFramePr>
        <xdr:cNvPr id="6" name="Chart 5">
          <a:extLst>
            <a:ext uri="{FF2B5EF4-FFF2-40B4-BE49-F238E27FC236}">
              <a16:creationId xmlns:a16="http://schemas.microsoft.com/office/drawing/2014/main" id="{0A3FE3DD-3A03-7A3A-8F73-E1FA3E2D3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442640</xdr:colOff>
      <xdr:row>63</xdr:row>
      <xdr:rowOff>26733</xdr:rowOff>
    </xdr:from>
    <xdr:to>
      <xdr:col>36</xdr:col>
      <xdr:colOff>22413</xdr:colOff>
      <xdr:row>82</xdr:row>
      <xdr:rowOff>108857</xdr:rowOff>
    </xdr:to>
    <xdr:graphicFrame macro="">
      <xdr:nvGraphicFramePr>
        <xdr:cNvPr id="7" name="Chart 6">
          <a:extLst>
            <a:ext uri="{FF2B5EF4-FFF2-40B4-BE49-F238E27FC236}">
              <a16:creationId xmlns:a16="http://schemas.microsoft.com/office/drawing/2014/main" id="{53CA968E-33AB-0E55-213F-4292F66AFD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156882</xdr:colOff>
      <xdr:row>63</xdr:row>
      <xdr:rowOff>26733</xdr:rowOff>
    </xdr:from>
    <xdr:to>
      <xdr:col>43</xdr:col>
      <xdr:colOff>358587</xdr:colOff>
      <xdr:row>82</xdr:row>
      <xdr:rowOff>108857</xdr:rowOff>
    </xdr:to>
    <xdr:graphicFrame macro="">
      <xdr:nvGraphicFramePr>
        <xdr:cNvPr id="9" name="Chart 8">
          <a:extLst>
            <a:ext uri="{FF2B5EF4-FFF2-40B4-BE49-F238E27FC236}">
              <a16:creationId xmlns:a16="http://schemas.microsoft.com/office/drawing/2014/main" id="{91EACBB6-4BDD-FB5F-D915-4DB590394A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376206</xdr:colOff>
      <xdr:row>63</xdr:row>
      <xdr:rowOff>26733</xdr:rowOff>
    </xdr:from>
    <xdr:to>
      <xdr:col>50</xdr:col>
      <xdr:colOff>560294</xdr:colOff>
      <xdr:row>82</xdr:row>
      <xdr:rowOff>108857</xdr:rowOff>
    </xdr:to>
    <xdr:graphicFrame macro="">
      <xdr:nvGraphicFramePr>
        <xdr:cNvPr id="10" name="Chart 9">
          <a:extLst>
            <a:ext uri="{FF2B5EF4-FFF2-40B4-BE49-F238E27FC236}">
              <a16:creationId xmlns:a16="http://schemas.microsoft.com/office/drawing/2014/main" id="{915C6BEE-C931-E203-C186-50666A548A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197969</xdr:colOff>
      <xdr:row>65</xdr:row>
      <xdr:rowOff>108857</xdr:rowOff>
    </xdr:from>
    <xdr:to>
      <xdr:col>34</xdr:col>
      <xdr:colOff>197969</xdr:colOff>
      <xdr:row>78</xdr:row>
      <xdr:rowOff>40821</xdr:rowOff>
    </xdr:to>
    <xdr:cxnSp macro="">
      <xdr:nvCxnSpPr>
        <xdr:cNvPr id="13" name="Straight Connector 12">
          <a:extLst>
            <a:ext uri="{FF2B5EF4-FFF2-40B4-BE49-F238E27FC236}">
              <a16:creationId xmlns:a16="http://schemas.microsoft.com/office/drawing/2014/main" id="{56FEF082-D1FD-AB37-0077-FB69D130E355}"/>
            </a:ext>
          </a:extLst>
        </xdr:cNvPr>
        <xdr:cNvCxnSpPr/>
      </xdr:nvCxnSpPr>
      <xdr:spPr>
        <a:xfrm flipV="1">
          <a:off x="7885204" y="9611445"/>
          <a:ext cx="0" cy="1825758"/>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32551</xdr:colOff>
      <xdr:row>65</xdr:row>
      <xdr:rowOff>108857</xdr:rowOff>
    </xdr:from>
    <xdr:to>
      <xdr:col>42</xdr:col>
      <xdr:colOff>32551</xdr:colOff>
      <xdr:row>78</xdr:row>
      <xdr:rowOff>0</xdr:rowOff>
    </xdr:to>
    <xdr:cxnSp macro="">
      <xdr:nvCxnSpPr>
        <xdr:cNvPr id="15" name="Straight Connector 14">
          <a:extLst>
            <a:ext uri="{FF2B5EF4-FFF2-40B4-BE49-F238E27FC236}">
              <a16:creationId xmlns:a16="http://schemas.microsoft.com/office/drawing/2014/main" id="{05411107-A111-FC22-A705-0A42A08BD491}"/>
            </a:ext>
          </a:extLst>
        </xdr:cNvPr>
        <xdr:cNvCxnSpPr/>
      </xdr:nvCxnSpPr>
      <xdr:spPr>
        <a:xfrm flipV="1">
          <a:off x="12381433" y="9611445"/>
          <a:ext cx="0" cy="1784937"/>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244662</xdr:colOff>
      <xdr:row>65</xdr:row>
      <xdr:rowOff>108857</xdr:rowOff>
    </xdr:from>
    <xdr:to>
      <xdr:col>49</xdr:col>
      <xdr:colOff>244662</xdr:colOff>
      <xdr:row>78</xdr:row>
      <xdr:rowOff>2722</xdr:rowOff>
    </xdr:to>
    <xdr:cxnSp macro="">
      <xdr:nvCxnSpPr>
        <xdr:cNvPr id="16" name="Straight Connector 15">
          <a:extLst>
            <a:ext uri="{FF2B5EF4-FFF2-40B4-BE49-F238E27FC236}">
              <a16:creationId xmlns:a16="http://schemas.microsoft.com/office/drawing/2014/main" id="{98BEB315-526D-AD87-0021-2B79D3BAF1AD}"/>
            </a:ext>
          </a:extLst>
        </xdr:cNvPr>
        <xdr:cNvCxnSpPr/>
      </xdr:nvCxnSpPr>
      <xdr:spPr>
        <a:xfrm flipV="1">
          <a:off x="16706103" y="9611445"/>
          <a:ext cx="0" cy="1787659"/>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564029</xdr:colOff>
      <xdr:row>65</xdr:row>
      <xdr:rowOff>108857</xdr:rowOff>
    </xdr:from>
    <xdr:to>
      <xdr:col>26</xdr:col>
      <xdr:colOff>564029</xdr:colOff>
      <xdr:row>78</xdr:row>
      <xdr:rowOff>40821</xdr:rowOff>
    </xdr:to>
    <xdr:cxnSp macro="">
      <xdr:nvCxnSpPr>
        <xdr:cNvPr id="2" name="Straight Connector 1">
          <a:extLst>
            <a:ext uri="{FF2B5EF4-FFF2-40B4-BE49-F238E27FC236}">
              <a16:creationId xmlns:a16="http://schemas.microsoft.com/office/drawing/2014/main" id="{30C96BA3-DF8F-D39C-4BCC-EB592CC3E3CA}"/>
            </a:ext>
          </a:extLst>
        </xdr:cNvPr>
        <xdr:cNvCxnSpPr/>
      </xdr:nvCxnSpPr>
      <xdr:spPr>
        <a:xfrm flipV="1">
          <a:off x="3589617" y="9611445"/>
          <a:ext cx="0" cy="1825758"/>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26</xdr:col>
      <xdr:colOff>372842</xdr:colOff>
      <xdr:row>97</xdr:row>
      <xdr:rowOff>112687</xdr:rowOff>
    </xdr:from>
    <xdr:to>
      <xdr:col>38</xdr:col>
      <xdr:colOff>148322</xdr:colOff>
      <xdr:row>121</xdr:row>
      <xdr:rowOff>115790</xdr:rowOff>
    </xdr:to>
    <xdr:graphicFrame macro="">
      <xdr:nvGraphicFramePr>
        <xdr:cNvPr id="3" name="Chart 2">
          <a:extLst>
            <a:ext uri="{FF2B5EF4-FFF2-40B4-BE49-F238E27FC236}">
              <a16:creationId xmlns:a16="http://schemas.microsoft.com/office/drawing/2014/main" id="{BC8FD471-9ACB-0342-A807-ED2D65408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362860</xdr:colOff>
      <xdr:row>97</xdr:row>
      <xdr:rowOff>117223</xdr:rowOff>
    </xdr:from>
    <xdr:to>
      <xdr:col>24</xdr:col>
      <xdr:colOff>443816</xdr:colOff>
      <xdr:row>121</xdr:row>
      <xdr:rowOff>116398</xdr:rowOff>
    </xdr:to>
    <xdr:graphicFrame macro="">
      <xdr:nvGraphicFramePr>
        <xdr:cNvPr id="14" name="Chart 1">
          <a:extLst>
            <a:ext uri="{FF2B5EF4-FFF2-40B4-BE49-F238E27FC236}">
              <a16:creationId xmlns:a16="http://schemas.microsoft.com/office/drawing/2014/main" id="{A4157F1D-577D-562B-FEF6-6F582B31D6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217713</xdr:colOff>
      <xdr:row>150</xdr:row>
      <xdr:rowOff>99786</xdr:rowOff>
    </xdr:from>
    <xdr:to>
      <xdr:col>41</xdr:col>
      <xdr:colOff>217713</xdr:colOff>
      <xdr:row>164</xdr:row>
      <xdr:rowOff>36286</xdr:rowOff>
    </xdr:to>
    <xdr:cxnSp macro="">
      <xdr:nvCxnSpPr>
        <xdr:cNvPr id="5" name="Straight Connector 4">
          <a:extLst>
            <a:ext uri="{FF2B5EF4-FFF2-40B4-BE49-F238E27FC236}">
              <a16:creationId xmlns:a16="http://schemas.microsoft.com/office/drawing/2014/main" id="{EC14C08C-A6E5-04ED-ECCF-38C89B10E626}"/>
            </a:ext>
          </a:extLst>
        </xdr:cNvPr>
        <xdr:cNvCxnSpPr/>
      </xdr:nvCxnSpPr>
      <xdr:spPr>
        <a:xfrm>
          <a:off x="18142856" y="7293429"/>
          <a:ext cx="0" cy="171450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244042</xdr:colOff>
      <xdr:row>101</xdr:row>
      <xdr:rowOff>104586</xdr:rowOff>
    </xdr:from>
    <xdr:to>
      <xdr:col>22</xdr:col>
      <xdr:colOff>244042</xdr:colOff>
      <xdr:row>120</xdr:row>
      <xdr:rowOff>104586</xdr:rowOff>
    </xdr:to>
    <xdr:cxnSp macro="">
      <xdr:nvCxnSpPr>
        <xdr:cNvPr id="16" name="Straight Connector 7">
          <a:extLst>
            <a:ext uri="{FF2B5EF4-FFF2-40B4-BE49-F238E27FC236}">
              <a16:creationId xmlns:a16="http://schemas.microsoft.com/office/drawing/2014/main" id="{6991CE6D-CC74-A119-1818-27EC0ED37D20}"/>
            </a:ext>
          </a:extLst>
        </xdr:cNvPr>
        <xdr:cNvCxnSpPr/>
      </xdr:nvCxnSpPr>
      <xdr:spPr>
        <a:xfrm>
          <a:off x="8506513" y="11444939"/>
          <a:ext cx="0" cy="241300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178754</xdr:colOff>
      <xdr:row>101</xdr:row>
      <xdr:rowOff>120461</xdr:rowOff>
    </xdr:from>
    <xdr:to>
      <xdr:col>36</xdr:col>
      <xdr:colOff>178754</xdr:colOff>
      <xdr:row>120</xdr:row>
      <xdr:rowOff>120461</xdr:rowOff>
    </xdr:to>
    <xdr:cxnSp macro="">
      <xdr:nvCxnSpPr>
        <xdr:cNvPr id="9" name="Straight Connector 8">
          <a:extLst>
            <a:ext uri="{FF2B5EF4-FFF2-40B4-BE49-F238E27FC236}">
              <a16:creationId xmlns:a16="http://schemas.microsoft.com/office/drawing/2014/main" id="{B7FF7826-0365-EDDF-7576-D5CDA02C7D0E}"/>
            </a:ext>
          </a:extLst>
        </xdr:cNvPr>
        <xdr:cNvCxnSpPr/>
      </xdr:nvCxnSpPr>
      <xdr:spPr>
        <a:xfrm>
          <a:off x="15575636" y="11460814"/>
          <a:ext cx="0" cy="241300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362860</xdr:colOff>
      <xdr:row>66</xdr:row>
      <xdr:rowOff>38786</xdr:rowOff>
    </xdr:from>
    <xdr:to>
      <xdr:col>24</xdr:col>
      <xdr:colOff>443816</xdr:colOff>
      <xdr:row>97</xdr:row>
      <xdr:rowOff>37961</xdr:rowOff>
    </xdr:to>
    <xdr:graphicFrame macro="">
      <xdr:nvGraphicFramePr>
        <xdr:cNvPr id="7" name="Chart 9">
          <a:extLst>
            <a:ext uri="{FF2B5EF4-FFF2-40B4-BE49-F238E27FC236}">
              <a16:creationId xmlns:a16="http://schemas.microsoft.com/office/drawing/2014/main" id="{D8E218F7-7DC4-FB59-734E-DB5624C28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372842</xdr:colOff>
      <xdr:row>66</xdr:row>
      <xdr:rowOff>34250</xdr:rowOff>
    </xdr:from>
    <xdr:to>
      <xdr:col>38</xdr:col>
      <xdr:colOff>148322</xdr:colOff>
      <xdr:row>97</xdr:row>
      <xdr:rowOff>37353</xdr:rowOff>
    </xdr:to>
    <xdr:graphicFrame macro="">
      <xdr:nvGraphicFramePr>
        <xdr:cNvPr id="11" name="Chart 10">
          <a:extLst>
            <a:ext uri="{FF2B5EF4-FFF2-40B4-BE49-F238E27FC236}">
              <a16:creationId xmlns:a16="http://schemas.microsoft.com/office/drawing/2014/main" id="{BE638C7E-ACC6-940E-94DE-1E68714BE7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277660</xdr:colOff>
      <xdr:row>78</xdr:row>
      <xdr:rowOff>40821</xdr:rowOff>
    </xdr:from>
    <xdr:to>
      <xdr:col>22</xdr:col>
      <xdr:colOff>277660</xdr:colOff>
      <xdr:row>97</xdr:row>
      <xdr:rowOff>40821</xdr:rowOff>
    </xdr:to>
    <xdr:cxnSp macro="">
      <xdr:nvCxnSpPr>
        <xdr:cNvPr id="15" name="Straight Connector 11">
          <a:extLst>
            <a:ext uri="{FF2B5EF4-FFF2-40B4-BE49-F238E27FC236}">
              <a16:creationId xmlns:a16="http://schemas.microsoft.com/office/drawing/2014/main" id="{F918783D-DCD1-BD56-24F4-D88BCF93207F}"/>
            </a:ext>
          </a:extLst>
        </xdr:cNvPr>
        <xdr:cNvCxnSpPr/>
      </xdr:nvCxnSpPr>
      <xdr:spPr>
        <a:xfrm>
          <a:off x="8906189" y="9027939"/>
          <a:ext cx="0" cy="2767853"/>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172606</xdr:colOff>
      <xdr:row>78</xdr:row>
      <xdr:rowOff>40821</xdr:rowOff>
    </xdr:from>
    <xdr:to>
      <xdr:col>36</xdr:col>
      <xdr:colOff>172606</xdr:colOff>
      <xdr:row>97</xdr:row>
      <xdr:rowOff>40821</xdr:rowOff>
    </xdr:to>
    <xdr:cxnSp macro="">
      <xdr:nvCxnSpPr>
        <xdr:cNvPr id="2" name="Straight Connector 11">
          <a:extLst>
            <a:ext uri="{FF2B5EF4-FFF2-40B4-BE49-F238E27FC236}">
              <a16:creationId xmlns:a16="http://schemas.microsoft.com/office/drawing/2014/main" id="{C81DBCE6-BB5D-1413-D8E8-0889782A864C}"/>
            </a:ext>
          </a:extLst>
        </xdr:cNvPr>
        <xdr:cNvCxnSpPr/>
      </xdr:nvCxnSpPr>
      <xdr:spPr>
        <a:xfrm>
          <a:off x="16331488" y="9027939"/>
          <a:ext cx="0" cy="2767853"/>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0</xdr:colOff>
      <xdr:row>5</xdr:row>
      <xdr:rowOff>0</xdr:rowOff>
    </xdr:from>
    <xdr:to>
      <xdr:col>7</xdr:col>
      <xdr:colOff>0</xdr:colOff>
      <xdr:row>76</xdr:row>
      <xdr:rowOff>0</xdr:rowOff>
    </xdr:to>
    <xdr:cxnSp macro="">
      <xdr:nvCxnSpPr>
        <xdr:cNvPr id="2" name="Straight Connector 1">
          <a:extLst>
            <a:ext uri="{FF2B5EF4-FFF2-40B4-BE49-F238E27FC236}">
              <a16:creationId xmlns:a16="http://schemas.microsoft.com/office/drawing/2014/main" id="{178DF785-C56A-4780-89C6-8B93C37D972D}"/>
            </a:ext>
          </a:extLst>
        </xdr:cNvPr>
        <xdr:cNvCxnSpPr/>
      </xdr:nvCxnSpPr>
      <xdr:spPr>
        <a:xfrm>
          <a:off x="3733800" y="714375"/>
          <a:ext cx="0" cy="186309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5</xdr:row>
      <xdr:rowOff>0</xdr:rowOff>
    </xdr:from>
    <xdr:to>
      <xdr:col>11</xdr:col>
      <xdr:colOff>0</xdr:colOff>
      <xdr:row>76</xdr:row>
      <xdr:rowOff>0</xdr:rowOff>
    </xdr:to>
    <xdr:cxnSp macro="">
      <xdr:nvCxnSpPr>
        <xdr:cNvPr id="3" name="Straight Connector 2">
          <a:extLst>
            <a:ext uri="{FF2B5EF4-FFF2-40B4-BE49-F238E27FC236}">
              <a16:creationId xmlns:a16="http://schemas.microsoft.com/office/drawing/2014/main" id="{E9C120B9-A338-4418-849E-D209C933FFEB}"/>
            </a:ext>
          </a:extLst>
        </xdr:cNvPr>
        <xdr:cNvCxnSpPr/>
      </xdr:nvCxnSpPr>
      <xdr:spPr>
        <a:xfrm>
          <a:off x="5981700" y="714375"/>
          <a:ext cx="0" cy="186309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5</xdr:row>
      <xdr:rowOff>0</xdr:rowOff>
    </xdr:from>
    <xdr:to>
      <xdr:col>15</xdr:col>
      <xdr:colOff>0</xdr:colOff>
      <xdr:row>76</xdr:row>
      <xdr:rowOff>0</xdr:rowOff>
    </xdr:to>
    <xdr:cxnSp macro="">
      <xdr:nvCxnSpPr>
        <xdr:cNvPr id="4" name="Straight Connector 3">
          <a:extLst>
            <a:ext uri="{FF2B5EF4-FFF2-40B4-BE49-F238E27FC236}">
              <a16:creationId xmlns:a16="http://schemas.microsoft.com/office/drawing/2014/main" id="{DECCC4F2-EAD5-4C34-9D76-5A0F40059C67}"/>
            </a:ext>
          </a:extLst>
        </xdr:cNvPr>
        <xdr:cNvCxnSpPr/>
      </xdr:nvCxnSpPr>
      <xdr:spPr>
        <a:xfrm>
          <a:off x="8229600" y="714375"/>
          <a:ext cx="0" cy="186309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14941</xdr:colOff>
      <xdr:row>5</xdr:row>
      <xdr:rowOff>0</xdr:rowOff>
    </xdr:from>
    <xdr:to>
      <xdr:col>28</xdr:col>
      <xdr:colOff>14941</xdr:colOff>
      <xdr:row>76</xdr:row>
      <xdr:rowOff>0</xdr:rowOff>
    </xdr:to>
    <xdr:cxnSp macro="">
      <xdr:nvCxnSpPr>
        <xdr:cNvPr id="5" name="Straight Connector 4">
          <a:extLst>
            <a:ext uri="{FF2B5EF4-FFF2-40B4-BE49-F238E27FC236}">
              <a16:creationId xmlns:a16="http://schemas.microsoft.com/office/drawing/2014/main" id="{FFD9884D-2242-4551-9778-3DC255E8655C}"/>
            </a:ext>
          </a:extLst>
        </xdr:cNvPr>
        <xdr:cNvCxnSpPr/>
      </xdr:nvCxnSpPr>
      <xdr:spPr>
        <a:xfrm>
          <a:off x="14530294" y="657412"/>
          <a:ext cx="0" cy="940547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36</xdr:col>
      <xdr:colOff>112058</xdr:colOff>
      <xdr:row>111</xdr:row>
      <xdr:rowOff>0</xdr:rowOff>
    </xdr:from>
    <xdr:to>
      <xdr:col>44</xdr:col>
      <xdr:colOff>222250</xdr:colOff>
      <xdr:row>161</xdr:row>
      <xdr:rowOff>0</xdr:rowOff>
    </xdr:to>
    <xdr:sp macro="" textlink="">
      <xdr:nvSpPr>
        <xdr:cNvPr id="2" name="TextBox 1">
          <a:extLst>
            <a:ext uri="{FF2B5EF4-FFF2-40B4-BE49-F238E27FC236}">
              <a16:creationId xmlns:a16="http://schemas.microsoft.com/office/drawing/2014/main" id="{A6ED0570-3F5A-4776-87B8-859D3BB406E5}"/>
            </a:ext>
          </a:extLst>
        </xdr:cNvPr>
        <xdr:cNvSpPr txBox="1"/>
      </xdr:nvSpPr>
      <xdr:spPr>
        <a:xfrm>
          <a:off x="2633382" y="15105529"/>
          <a:ext cx="4816662" cy="65106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i="0" u="sng">
              <a:solidFill>
                <a:schemeClr val="dk1"/>
              </a:solidFill>
              <a:effectLst/>
              <a:latin typeface="Arial" panose="020B0604020202020204" pitchFamily="34" charset="0"/>
              <a:ea typeface="+mn-ea"/>
              <a:cs typeface="Arial" panose="020B0604020202020204" pitchFamily="34" charset="0"/>
            </a:rPr>
            <a:t>Segment Description</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Productivity and Business Processes</a:t>
          </a:r>
        </a:p>
        <a:p>
          <a:r>
            <a:rPr lang="en-US" sz="800" b="0" i="0">
              <a:solidFill>
                <a:schemeClr val="dk1"/>
              </a:solidFill>
              <a:effectLst/>
              <a:latin typeface="Arial" panose="020B0604020202020204" pitchFamily="34" charset="0"/>
              <a:ea typeface="+mn-ea"/>
              <a:cs typeface="Arial" panose="020B0604020202020204" pitchFamily="34" charset="0"/>
            </a:rPr>
            <a:t>Our Productivity and Business Processes segment consists of products and services in our portfolio of productivity, communication, and information services, spanning a variety of devices and platforms. This segment primarily comprises: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•Office Commercial, including Office 365 subscriptions and Office licensed on-premises, comprising Office, Exchange, SharePoint, Skype for Business, and Microsoft Teams, and related Client Access Licenses (“CALs”).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•Office Consumer, including Office 365 subscriptions and Office licensed on-premises, and Office Consumer Services, including Skype, Outlook.com, and OneDrive.</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•LinkedIn, including Talent Solutions, Marketing Solutions, and Premium Subscriptions.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•Dynamics business solutions, including Dynamics ERP on-premises, Dynamics CRM on-premises, and Dynamics 365, a set of cloud-based applications across ERP and CRM.</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Intelligent Cloud</a:t>
          </a:r>
        </a:p>
        <a:p>
          <a:r>
            <a:rPr lang="en-US" sz="800" b="0" i="0">
              <a:solidFill>
                <a:schemeClr val="dk1"/>
              </a:solidFill>
              <a:effectLst/>
              <a:latin typeface="Arial" panose="020B0604020202020204" pitchFamily="34" charset="0"/>
              <a:ea typeface="+mn-ea"/>
              <a:cs typeface="Arial" panose="020B0604020202020204" pitchFamily="34" charset="0"/>
            </a:rPr>
            <a:t>Our Intelligent Cloud segment consists of our public, private, and hybrid server products and cloud services that can power modern business. This segment primarily comprises: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•Server products and cloud services, including Microsoft SQL Server, Windows Server, Visual Studio, System Center, and related CALs, and Azure.</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•Enterprise Services, including Premier Support Services and Microsoft Consulting Services.</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More Personal Computing</a:t>
          </a:r>
        </a:p>
        <a:p>
          <a:r>
            <a:rPr lang="en-US" sz="800" b="0" i="0">
              <a:solidFill>
                <a:schemeClr val="dk1"/>
              </a:solidFill>
              <a:effectLst/>
              <a:latin typeface="Arial" panose="020B0604020202020204" pitchFamily="34" charset="0"/>
              <a:ea typeface="+mn-ea"/>
              <a:cs typeface="Arial" panose="020B0604020202020204" pitchFamily="34" charset="0"/>
            </a:rPr>
            <a:t>Our More Personal Computing segment consists of products and services geared towards harmonizing the interests of end users, developers, and IT professionals across all devices. This segment primarily comprises: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•Windows, including Windows OEM licensing and other non-volume licensing of the Windows operating system; Windows Commercial, comprising volume licensing of the Windows operating system, Windows cloud services, and other Windows commercial offerings; patent licensing; Windows Internet of Things (“IoT”); and MSN advertising.</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•Devices, including Microsoft Surface, PC accessories, and other intelligent devices.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•Gaming, including Xbox hardware and Xbox software and services, comprising Xbox Live transactions, subscriptions, and advertising (“Xbox Live”), video games, and third-party video game royalties.</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b="0" i="0">
              <a:solidFill>
                <a:schemeClr val="dk1"/>
              </a:solidFill>
              <a:effectLst/>
              <a:latin typeface="Arial" panose="020B0604020202020204" pitchFamily="34" charset="0"/>
              <a:ea typeface="+mn-ea"/>
              <a:cs typeface="Arial" panose="020B0604020202020204" pitchFamily="34" charset="0"/>
            </a:rPr>
            <a:t>•Search.</a:t>
          </a:r>
        </a:p>
      </xdr:txBody>
    </xdr:sp>
    <xdr:clientData/>
  </xdr:twoCellAnchor>
  <xdr:twoCellAnchor>
    <xdr:from>
      <xdr:col>36</xdr:col>
      <xdr:colOff>78441</xdr:colOff>
      <xdr:row>200</xdr:row>
      <xdr:rowOff>56028</xdr:rowOff>
    </xdr:from>
    <xdr:to>
      <xdr:col>42</xdr:col>
      <xdr:colOff>358588</xdr:colOff>
      <xdr:row>244</xdr:row>
      <xdr:rowOff>100852</xdr:rowOff>
    </xdr:to>
    <xdr:sp macro="" textlink="">
      <xdr:nvSpPr>
        <xdr:cNvPr id="3" name="TextBox 2">
          <a:extLst>
            <a:ext uri="{FF2B5EF4-FFF2-40B4-BE49-F238E27FC236}">
              <a16:creationId xmlns:a16="http://schemas.microsoft.com/office/drawing/2014/main" id="{8C505E0A-2922-40E0-AC5E-28188892C766}"/>
            </a:ext>
          </a:extLst>
        </xdr:cNvPr>
        <xdr:cNvSpPr txBox="1"/>
      </xdr:nvSpPr>
      <xdr:spPr>
        <a:xfrm>
          <a:off x="14573250" y="28898850"/>
          <a:ext cx="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i="0" u="sng">
              <a:solidFill>
                <a:schemeClr val="dk1"/>
              </a:solidFill>
              <a:effectLst/>
              <a:latin typeface="Arial" panose="020B0604020202020204" pitchFamily="34" charset="0"/>
              <a:ea typeface="+mn-ea"/>
              <a:cs typeface="Arial" panose="020B0604020202020204" pitchFamily="34" charset="0"/>
            </a:rPr>
            <a:t>Segment Description</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0" i="1">
              <a:solidFill>
                <a:schemeClr val="dk1"/>
              </a:solidFill>
              <a:effectLst/>
              <a:latin typeface="Arial" panose="020B0604020202020204" pitchFamily="34" charset="0"/>
              <a:ea typeface="+mn-ea"/>
              <a:cs typeface="Arial" panose="020B0604020202020204" pitchFamily="34" charset="0"/>
            </a:rPr>
            <a:t>Devices and Consumer (“D&amp;C”)</a:t>
          </a:r>
          <a:endParaRPr lang="en-US" sz="800" b="0" i="0">
            <a:solidFill>
              <a:schemeClr val="dk1"/>
            </a:solidFill>
            <a:effectLst/>
            <a:latin typeface="Arial" panose="020B0604020202020204" pitchFamily="34" charset="0"/>
            <a:ea typeface="+mn-ea"/>
            <a:cs typeface="Arial" panose="020B0604020202020204" pitchFamily="34" charset="0"/>
          </a:endParaRPr>
        </a:p>
        <a:p>
          <a:r>
            <a:rPr lang="en-US" sz="800" b="0" i="0">
              <a:solidFill>
                <a:schemeClr val="dk1"/>
              </a:solidFill>
              <a:effectLst/>
              <a:latin typeface="Arial" panose="020B0604020202020204" pitchFamily="34" charset="0"/>
              <a:ea typeface="+mn-ea"/>
              <a:cs typeface="Arial" panose="020B0604020202020204" pitchFamily="34" charset="0"/>
            </a:rPr>
            <a:t>Our D&amp;C segments develop, manufacture, market, and support products and services designed to entertain and connect people, increase personal productivity, help people simplify tasks and make more informed decisions online, and help advertisers connect with audiences. Our D&amp;C segments are:</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a:solidFill>
                <a:schemeClr val="dk1"/>
              </a:solidFill>
              <a:effectLst/>
              <a:latin typeface="Arial" panose="020B0604020202020204" pitchFamily="34" charset="0"/>
              <a:ea typeface="+mn-ea"/>
              <a:cs typeface="Arial" panose="020B0604020202020204" pitchFamily="34" charset="0"/>
            </a:rPr>
            <a:t>•</a:t>
          </a:r>
          <a:r>
            <a:rPr lang="en-US" sz="800" b="1">
              <a:solidFill>
                <a:schemeClr val="dk1"/>
              </a:solidFill>
              <a:effectLst/>
              <a:latin typeface="Arial" panose="020B0604020202020204" pitchFamily="34" charset="0"/>
              <a:ea typeface="+mn-ea"/>
              <a:cs typeface="Arial" panose="020B0604020202020204" pitchFamily="34" charset="0"/>
            </a:rPr>
            <a:t>D&amp;C Licensing</a:t>
          </a:r>
          <a:r>
            <a:rPr lang="en-US" sz="800">
              <a:solidFill>
                <a:schemeClr val="dk1"/>
              </a:solidFill>
              <a:effectLst/>
              <a:latin typeface="Arial" panose="020B0604020202020204" pitchFamily="34" charset="0"/>
              <a:ea typeface="+mn-ea"/>
              <a:cs typeface="Arial" panose="020B0604020202020204" pitchFamily="34" charset="0"/>
            </a:rPr>
            <a:t>, comprising: Windows, including all OEM licensing (“Windows OEM”) and other non-volume licensing and academic volume licensing of the Windows operating system and related software; non-volume licensing of Microsoft Office, comprising the core Office product set, for consumers (“Office Consumer”); Windows Phone operating system, including related patent licensing; and certain other patent licensing revenue;</a:t>
          </a:r>
          <a:endParaRPr lang="en-US" sz="800">
            <a:latin typeface="Arial" panose="020B0604020202020204" pitchFamily="34" charset="0"/>
            <a:cs typeface="Arial" panose="020B0604020202020204" pitchFamily="34" charset="0"/>
          </a:endParaRP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a:solidFill>
                <a:schemeClr val="dk1"/>
              </a:solidFill>
              <a:effectLst/>
              <a:latin typeface="Arial" panose="020B0604020202020204" pitchFamily="34" charset="0"/>
              <a:ea typeface="+mn-ea"/>
              <a:cs typeface="Arial" panose="020B0604020202020204" pitchFamily="34" charset="0"/>
            </a:rPr>
            <a:t>•</a:t>
          </a:r>
          <a:r>
            <a:rPr lang="en-US" sz="800" b="1">
              <a:solidFill>
                <a:schemeClr val="dk1"/>
              </a:solidFill>
              <a:effectLst/>
              <a:latin typeface="Arial" panose="020B0604020202020204" pitchFamily="34" charset="0"/>
              <a:ea typeface="+mn-ea"/>
              <a:cs typeface="Arial" panose="020B0604020202020204" pitchFamily="34" charset="0"/>
            </a:rPr>
            <a:t>Computing and Gaming Hardware</a:t>
          </a:r>
          <a:r>
            <a:rPr lang="en-US" sz="800">
              <a:solidFill>
                <a:schemeClr val="dk1"/>
              </a:solidFill>
              <a:effectLst/>
              <a:latin typeface="Arial" panose="020B0604020202020204" pitchFamily="34" charset="0"/>
              <a:ea typeface="+mn-ea"/>
              <a:cs typeface="Arial" panose="020B0604020202020204" pitchFamily="34" charset="0"/>
            </a:rPr>
            <a:t>, comprising: Xbox gaming and entertainment consoles and accessories, second-party and third-party video game royalties, and Xbox Live subscriptions (“Xbox Platform”); Surface devices and accessories; and Microsoft PC accessories;</a:t>
          </a:r>
          <a:endParaRPr lang="en-US" sz="800">
            <a:latin typeface="Arial" panose="020B0604020202020204" pitchFamily="34" charset="0"/>
            <a:cs typeface="Arial" panose="020B0604020202020204" pitchFamily="34" charset="0"/>
          </a:endParaRP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a:solidFill>
                <a:schemeClr val="dk1"/>
              </a:solidFill>
              <a:effectLst/>
              <a:latin typeface="Arial" panose="020B0604020202020204" pitchFamily="34" charset="0"/>
              <a:ea typeface="+mn-ea"/>
              <a:cs typeface="Arial" panose="020B0604020202020204" pitchFamily="34" charset="0"/>
            </a:rPr>
            <a:t>•</a:t>
          </a:r>
          <a:r>
            <a:rPr lang="en-US" sz="800" b="1">
              <a:solidFill>
                <a:schemeClr val="dk1"/>
              </a:solidFill>
              <a:effectLst/>
              <a:latin typeface="Arial" panose="020B0604020202020204" pitchFamily="34" charset="0"/>
              <a:ea typeface="+mn-ea"/>
              <a:cs typeface="Arial" panose="020B0604020202020204" pitchFamily="34" charset="0"/>
            </a:rPr>
            <a:t>Phone Hardware,</a:t>
          </a:r>
          <a:r>
            <a:rPr lang="en-US" sz="800">
              <a:solidFill>
                <a:schemeClr val="dk1"/>
              </a:solidFill>
              <a:effectLst/>
              <a:latin typeface="Arial" panose="020B0604020202020204" pitchFamily="34" charset="0"/>
              <a:ea typeface="+mn-ea"/>
              <a:cs typeface="Arial" panose="020B0604020202020204" pitchFamily="34" charset="0"/>
            </a:rPr>
            <a:t> comprising: Lumia Smartphones and other non-Lumia phones, beginning with our acquisition of NDS; and</a:t>
          </a:r>
          <a:endParaRPr lang="en-US" sz="800">
            <a:latin typeface="Arial" panose="020B0604020202020204" pitchFamily="34" charset="0"/>
            <a:cs typeface="Arial" panose="020B0604020202020204" pitchFamily="34" charset="0"/>
          </a:endParaRP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a:solidFill>
                <a:schemeClr val="dk1"/>
              </a:solidFill>
              <a:effectLst/>
              <a:latin typeface="Arial" panose="020B0604020202020204" pitchFamily="34" charset="0"/>
              <a:ea typeface="+mn-ea"/>
              <a:cs typeface="Arial" panose="020B0604020202020204" pitchFamily="34" charset="0"/>
            </a:rPr>
            <a:t>•</a:t>
          </a:r>
          <a:r>
            <a:rPr lang="en-US" sz="800" b="1">
              <a:solidFill>
                <a:schemeClr val="dk1"/>
              </a:solidFill>
              <a:effectLst/>
              <a:latin typeface="Arial" panose="020B0604020202020204" pitchFamily="34" charset="0"/>
              <a:ea typeface="+mn-ea"/>
              <a:cs typeface="Arial" panose="020B0604020202020204" pitchFamily="34" charset="0"/>
            </a:rPr>
            <a:t>D&amp;C Other</a:t>
          </a:r>
          <a:r>
            <a:rPr lang="en-US" sz="800">
              <a:solidFill>
                <a:schemeClr val="dk1"/>
              </a:solidFill>
              <a:effectLst/>
              <a:latin typeface="Arial" panose="020B0604020202020204" pitchFamily="34" charset="0"/>
              <a:ea typeface="+mn-ea"/>
              <a:cs typeface="Arial" panose="020B0604020202020204" pitchFamily="34" charset="0"/>
            </a:rPr>
            <a:t>, comprising: Resale, including Windows Store, Xbox Live transactions, and Windows Phone Store; search advertising; display advertising; Office 365 Consumer, comprising Office 365 Home and Office 365 Personal; Studios, comprising first-party video games; our retail stores; and certain other consumer products and services not included in the categories above.</a:t>
          </a:r>
          <a:endParaRPr lang="en-US" sz="800">
            <a:latin typeface="Arial" panose="020B0604020202020204" pitchFamily="34" charset="0"/>
            <a:cs typeface="Arial" panose="020B0604020202020204" pitchFamily="34" charset="0"/>
          </a:endParaRPr>
        </a:p>
        <a:p>
          <a:endParaRPr lang="en-US" sz="800" b="0" i="1">
            <a:solidFill>
              <a:schemeClr val="dk1"/>
            </a:solidFill>
            <a:effectLst/>
            <a:latin typeface="Arial" panose="020B0604020202020204" pitchFamily="34" charset="0"/>
            <a:ea typeface="+mn-ea"/>
            <a:cs typeface="Arial" panose="020B0604020202020204" pitchFamily="34" charset="0"/>
          </a:endParaRPr>
        </a:p>
        <a:p>
          <a:r>
            <a:rPr lang="en-US" sz="800" b="0" i="1">
              <a:solidFill>
                <a:schemeClr val="dk1"/>
              </a:solidFill>
              <a:effectLst/>
              <a:latin typeface="Arial" panose="020B0604020202020204" pitchFamily="34" charset="0"/>
              <a:ea typeface="+mn-ea"/>
              <a:cs typeface="Arial" panose="020B0604020202020204" pitchFamily="34" charset="0"/>
            </a:rPr>
            <a:t>Commercial</a:t>
          </a:r>
          <a:endParaRPr lang="en-US" sz="800" b="0" i="0">
            <a:solidFill>
              <a:schemeClr val="dk1"/>
            </a:solidFill>
            <a:effectLst/>
            <a:latin typeface="Arial" panose="020B0604020202020204" pitchFamily="34" charset="0"/>
            <a:ea typeface="+mn-ea"/>
            <a:cs typeface="Arial" panose="020B0604020202020204" pitchFamily="34" charset="0"/>
          </a:endParaRPr>
        </a:p>
        <a:p>
          <a:r>
            <a:rPr lang="en-US" sz="800" b="0" i="0">
              <a:solidFill>
                <a:schemeClr val="dk1"/>
              </a:solidFill>
              <a:effectLst/>
              <a:latin typeface="Arial" panose="020B0604020202020204" pitchFamily="34" charset="0"/>
              <a:ea typeface="+mn-ea"/>
              <a:cs typeface="Arial" panose="020B0604020202020204" pitchFamily="34" charset="0"/>
            </a:rPr>
            <a:t>Our Commercial segments develop, market, and support software and services designed to increase individual, team, and organizational productivity and efficiency, including simplifying everyday tasks through seamless operations across the user’s hardware and software. Our Commercial segments are:</a:t>
          </a: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a:solidFill>
                <a:schemeClr val="dk1"/>
              </a:solidFill>
              <a:effectLst/>
              <a:latin typeface="Arial" panose="020B0604020202020204" pitchFamily="34" charset="0"/>
              <a:ea typeface="+mn-ea"/>
              <a:cs typeface="Arial" panose="020B0604020202020204" pitchFamily="34" charset="0"/>
            </a:rPr>
            <a:t>•</a:t>
          </a:r>
          <a:r>
            <a:rPr lang="en-US" sz="800" b="1">
              <a:solidFill>
                <a:schemeClr val="dk1"/>
              </a:solidFill>
              <a:effectLst/>
              <a:latin typeface="Arial" panose="020B0604020202020204" pitchFamily="34" charset="0"/>
              <a:ea typeface="+mn-ea"/>
              <a:cs typeface="Arial" panose="020B0604020202020204" pitchFamily="34" charset="0"/>
            </a:rPr>
            <a:t>Commercial Licensing</a:t>
          </a:r>
          <a:r>
            <a:rPr lang="en-US" sz="800">
              <a:solidFill>
                <a:schemeClr val="dk1"/>
              </a:solidFill>
              <a:effectLst/>
              <a:latin typeface="Arial" panose="020B0604020202020204" pitchFamily="34" charset="0"/>
              <a:ea typeface="+mn-ea"/>
              <a:cs typeface="Arial" panose="020B0604020202020204" pitchFamily="34" charset="0"/>
            </a:rPr>
            <a:t>, comprising: server products, including Windows Server, Microsoft SQL Server, Visual Studio, System Center, and related Client Access Licenses (“CALs”); Windows Embedded; volume licensing of the Windows operating system, excluding academic (“Windows Commercial”); Microsoft Office for business, including Office, Exchange, SharePoint, Lync, and related CALs (“Office Commercial”); Microsoft Dynamics business solutions, excluding Dynamics CRM Online; and Skype; and</a:t>
          </a:r>
          <a:endParaRPr lang="en-US" sz="800">
            <a:latin typeface="Arial" panose="020B0604020202020204" pitchFamily="34" charset="0"/>
            <a:cs typeface="Arial" panose="020B0604020202020204" pitchFamily="34" charset="0"/>
          </a:endParaRPr>
        </a:p>
        <a:p>
          <a:r>
            <a:rPr lang="en-US" sz="800" b="0" i="0">
              <a:solidFill>
                <a:schemeClr val="dk1"/>
              </a:solidFill>
              <a:effectLst/>
              <a:latin typeface="Arial" panose="020B0604020202020204" pitchFamily="34" charset="0"/>
              <a:ea typeface="+mn-ea"/>
              <a:cs typeface="Arial" panose="020B0604020202020204" pitchFamily="34" charset="0"/>
            </a:rPr>
            <a:t> </a:t>
          </a:r>
        </a:p>
        <a:p>
          <a:r>
            <a:rPr lang="en-US" sz="800">
              <a:solidFill>
                <a:schemeClr val="dk1"/>
              </a:solidFill>
              <a:effectLst/>
              <a:latin typeface="Arial" panose="020B0604020202020204" pitchFamily="34" charset="0"/>
              <a:ea typeface="+mn-ea"/>
              <a:cs typeface="Arial" panose="020B0604020202020204" pitchFamily="34" charset="0"/>
            </a:rPr>
            <a:t>•</a:t>
          </a:r>
          <a:r>
            <a:rPr lang="en-US" sz="800" b="1">
              <a:solidFill>
                <a:schemeClr val="dk1"/>
              </a:solidFill>
              <a:effectLst/>
              <a:latin typeface="Arial" panose="020B0604020202020204" pitchFamily="34" charset="0"/>
              <a:ea typeface="+mn-ea"/>
              <a:cs typeface="Arial" panose="020B0604020202020204" pitchFamily="34" charset="0"/>
            </a:rPr>
            <a:t>Commercial Other</a:t>
          </a:r>
          <a:r>
            <a:rPr lang="en-US" sz="800">
              <a:solidFill>
                <a:schemeClr val="dk1"/>
              </a:solidFill>
              <a:effectLst/>
              <a:latin typeface="Arial" panose="020B0604020202020204" pitchFamily="34" charset="0"/>
              <a:ea typeface="+mn-ea"/>
              <a:cs typeface="Arial" panose="020B0604020202020204" pitchFamily="34" charset="0"/>
            </a:rPr>
            <a:t>, comprising: Enterprise Services, including Premier Support Services and Microsoft Consulting Services; Commercial Cloud, comprising Office 365 Commercial, other Microsoft Office online offerings, Dynamics CRM Online, and Microsoft Azure; and certain other commercial products and online services not included in the categories above.</a:t>
          </a:r>
          <a:endParaRPr lang="en-US" sz="800">
            <a:latin typeface="Arial" panose="020B0604020202020204" pitchFamily="34" charset="0"/>
            <a:cs typeface="Arial" panose="020B0604020202020204" pitchFamily="34" charset="0"/>
          </a:endParaRPr>
        </a:p>
      </xdr:txBody>
    </xdr:sp>
    <xdr:clientData/>
  </xdr:twoCellAnchor>
  <xdr:twoCellAnchor>
    <xdr:from>
      <xdr:col>14</xdr:col>
      <xdr:colOff>567204</xdr:colOff>
      <xdr:row>4</xdr:row>
      <xdr:rowOff>142314</xdr:rowOff>
    </xdr:from>
    <xdr:to>
      <xdr:col>14</xdr:col>
      <xdr:colOff>567204</xdr:colOff>
      <xdr:row>723</xdr:row>
      <xdr:rowOff>0</xdr:rowOff>
    </xdr:to>
    <xdr:cxnSp macro="">
      <xdr:nvCxnSpPr>
        <xdr:cNvPr id="4" name="Straight Connector 3">
          <a:extLst>
            <a:ext uri="{FF2B5EF4-FFF2-40B4-BE49-F238E27FC236}">
              <a16:creationId xmlns:a16="http://schemas.microsoft.com/office/drawing/2014/main" id="{3501772B-4FE7-441A-880F-5E0B90D2D170}"/>
            </a:ext>
          </a:extLst>
        </xdr:cNvPr>
        <xdr:cNvCxnSpPr/>
      </xdr:nvCxnSpPr>
      <xdr:spPr>
        <a:xfrm>
          <a:off x="2400300" y="723339"/>
          <a:ext cx="0" cy="8959607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510053</xdr:colOff>
      <xdr:row>4</xdr:row>
      <xdr:rowOff>142314</xdr:rowOff>
    </xdr:from>
    <xdr:to>
      <xdr:col>18</xdr:col>
      <xdr:colOff>510053</xdr:colOff>
      <xdr:row>723</xdr:row>
      <xdr:rowOff>0</xdr:rowOff>
    </xdr:to>
    <xdr:cxnSp macro="">
      <xdr:nvCxnSpPr>
        <xdr:cNvPr id="5" name="Straight Connector 4">
          <a:extLst>
            <a:ext uri="{FF2B5EF4-FFF2-40B4-BE49-F238E27FC236}">
              <a16:creationId xmlns:a16="http://schemas.microsoft.com/office/drawing/2014/main" id="{EB06DFBD-93A0-4CB4-A902-8D4DDEB8698B}"/>
            </a:ext>
          </a:extLst>
        </xdr:cNvPr>
        <xdr:cNvCxnSpPr/>
      </xdr:nvCxnSpPr>
      <xdr:spPr>
        <a:xfrm>
          <a:off x="4586753" y="723339"/>
          <a:ext cx="0" cy="8959607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519780</xdr:colOff>
      <xdr:row>4</xdr:row>
      <xdr:rowOff>142314</xdr:rowOff>
    </xdr:from>
    <xdr:to>
      <xdr:col>22</xdr:col>
      <xdr:colOff>519780</xdr:colOff>
      <xdr:row>723</xdr:row>
      <xdr:rowOff>0</xdr:rowOff>
    </xdr:to>
    <xdr:cxnSp macro="">
      <xdr:nvCxnSpPr>
        <xdr:cNvPr id="6" name="Straight Connector 5">
          <a:extLst>
            <a:ext uri="{FF2B5EF4-FFF2-40B4-BE49-F238E27FC236}">
              <a16:creationId xmlns:a16="http://schemas.microsoft.com/office/drawing/2014/main" id="{83703553-866E-4A0E-A684-DA113C62D7CE}"/>
            </a:ext>
          </a:extLst>
        </xdr:cNvPr>
        <xdr:cNvCxnSpPr/>
      </xdr:nvCxnSpPr>
      <xdr:spPr>
        <a:xfrm>
          <a:off x="6682455" y="723339"/>
          <a:ext cx="0" cy="89596072"/>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9068</xdr:colOff>
      <xdr:row>5</xdr:row>
      <xdr:rowOff>8964</xdr:rowOff>
    </xdr:from>
    <xdr:to>
      <xdr:col>57</xdr:col>
      <xdr:colOff>9068</xdr:colOff>
      <xdr:row>723</xdr:row>
      <xdr:rowOff>38100</xdr:rowOff>
    </xdr:to>
    <xdr:cxnSp macro="">
      <xdr:nvCxnSpPr>
        <xdr:cNvPr id="7" name="Straight Connector 6">
          <a:extLst>
            <a:ext uri="{FF2B5EF4-FFF2-40B4-BE49-F238E27FC236}">
              <a16:creationId xmlns:a16="http://schemas.microsoft.com/office/drawing/2014/main" id="{62425A46-3E47-4631-9F28-104F6AEC0630}"/>
            </a:ext>
          </a:extLst>
        </xdr:cNvPr>
        <xdr:cNvCxnSpPr/>
      </xdr:nvCxnSpPr>
      <xdr:spPr>
        <a:xfrm>
          <a:off x="13353593" y="761439"/>
          <a:ext cx="0" cy="87744861"/>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562</xdr:row>
      <xdr:rowOff>47625</xdr:rowOff>
    </xdr:from>
    <xdr:to>
      <xdr:col>57</xdr:col>
      <xdr:colOff>526676</xdr:colOff>
      <xdr:row>573</xdr:row>
      <xdr:rowOff>71437</xdr:rowOff>
    </xdr:to>
    <xdr:sp macro="" textlink="">
      <xdr:nvSpPr>
        <xdr:cNvPr id="8" name="TextBox 7">
          <a:extLst>
            <a:ext uri="{FF2B5EF4-FFF2-40B4-BE49-F238E27FC236}">
              <a16:creationId xmlns:a16="http://schemas.microsoft.com/office/drawing/2014/main" id="{739CE975-E19A-4521-ABA6-01B5DB6ACC87}"/>
            </a:ext>
          </a:extLst>
        </xdr:cNvPr>
        <xdr:cNvSpPr txBox="1"/>
      </xdr:nvSpPr>
      <xdr:spPr>
        <a:xfrm>
          <a:off x="271742" y="63988390"/>
          <a:ext cx="13533905" cy="17495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i="0" u="sng">
              <a:solidFill>
                <a:schemeClr val="dk1"/>
              </a:solidFill>
              <a:effectLst/>
              <a:latin typeface="Arial" panose="020B0604020202020204" pitchFamily="34" charset="0"/>
              <a:ea typeface="+mn-ea"/>
              <a:cs typeface="Arial" panose="020B0604020202020204" pitchFamily="34" charset="0"/>
            </a:rPr>
            <a:t>Segment Description</a:t>
          </a:r>
        </a:p>
        <a:p>
          <a:endParaRPr lang="en-US" sz="800" b="1"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Product revenue </a:t>
          </a:r>
          <a:r>
            <a:rPr lang="en-US" sz="800" b="0" i="0">
              <a:solidFill>
                <a:schemeClr val="dk1"/>
              </a:solidFill>
              <a:effectLst/>
              <a:latin typeface="Arial" panose="020B0604020202020204" pitchFamily="34" charset="0"/>
              <a:ea typeface="+mn-ea"/>
              <a:cs typeface="Arial" panose="020B0604020202020204" pitchFamily="34" charset="0"/>
            </a:rPr>
            <a:t>includes sales from operating systems; cross-device productivity applications; server applications; business solution applications; desktop and server management tools; software development tools; video games; and hardware such as PCs, tablets, gaming and entertainment consoles, other intelligent devices, and related accessories.</a:t>
          </a:r>
        </a:p>
        <a:p>
          <a:endParaRPr lang="en-US" sz="800" b="0" i="0">
            <a:solidFill>
              <a:schemeClr val="dk1"/>
            </a:solidFill>
            <a:effectLst/>
            <a:latin typeface="Arial" panose="020B0604020202020204" pitchFamily="34" charset="0"/>
            <a:ea typeface="+mn-ea"/>
            <a:cs typeface="Arial" panose="020B0604020202020204" pitchFamily="34" charset="0"/>
          </a:endParaRPr>
        </a:p>
        <a:p>
          <a:r>
            <a:rPr lang="en-US" sz="800" b="1" i="0">
              <a:solidFill>
                <a:schemeClr val="dk1"/>
              </a:solidFill>
              <a:effectLst/>
              <a:latin typeface="Arial" panose="020B0604020202020204" pitchFamily="34" charset="0"/>
              <a:ea typeface="+mn-ea"/>
              <a:cs typeface="Arial" panose="020B0604020202020204" pitchFamily="34" charset="0"/>
            </a:rPr>
            <a:t>Service and other revenue </a:t>
          </a:r>
          <a:r>
            <a:rPr lang="en-US" sz="800" b="0" i="0">
              <a:solidFill>
                <a:schemeClr val="dk1"/>
              </a:solidFill>
              <a:effectLst/>
              <a:latin typeface="Arial" panose="020B0604020202020204" pitchFamily="34" charset="0"/>
              <a:ea typeface="+mn-ea"/>
              <a:cs typeface="Arial" panose="020B0604020202020204" pitchFamily="34" charset="0"/>
            </a:rPr>
            <a:t>includes sales from cloud-based solutions that provide customers with software, services, platforms, and content such as Microsoft Office 365, Microsoft Azure, Microsoft Dynamics 365, and Xbox Live; solution support; and consulting services. Service and other revenue also includes sales from online advertising and LinkedIn.</a:t>
          </a:r>
        </a:p>
        <a:p>
          <a:endParaRPr lang="en-US" sz="800" b="1" i="0">
            <a:solidFill>
              <a:schemeClr val="dk1"/>
            </a:solidFill>
            <a:effectLst/>
            <a:latin typeface="Arial" panose="020B0604020202020204" pitchFamily="34" charset="0"/>
            <a:ea typeface="+mn-ea"/>
            <a:cs typeface="Arial" panose="020B0604020202020204" pitchFamily="34" charset="0"/>
          </a:endParaRPr>
        </a:p>
      </xdr:txBody>
    </xdr:sp>
    <xdr:clientData/>
  </xdr:twoCellAnchor>
  <xdr:twoCellAnchor>
    <xdr:from>
      <xdr:col>26</xdr:col>
      <xdr:colOff>625488</xdr:colOff>
      <xdr:row>4</xdr:row>
      <xdr:rowOff>142314</xdr:rowOff>
    </xdr:from>
    <xdr:to>
      <xdr:col>26</xdr:col>
      <xdr:colOff>625488</xdr:colOff>
      <xdr:row>723</xdr:row>
      <xdr:rowOff>0</xdr:rowOff>
    </xdr:to>
    <xdr:cxnSp macro="">
      <xdr:nvCxnSpPr>
        <xdr:cNvPr id="9" name="Straight Connector 8">
          <a:extLst>
            <a:ext uri="{FF2B5EF4-FFF2-40B4-BE49-F238E27FC236}">
              <a16:creationId xmlns:a16="http://schemas.microsoft.com/office/drawing/2014/main" id="{9BDEED9B-F93F-41E2-8DEB-7DD2083BD318}"/>
            </a:ext>
          </a:extLst>
        </xdr:cNvPr>
        <xdr:cNvCxnSpPr/>
      </xdr:nvCxnSpPr>
      <xdr:spPr>
        <a:xfrm>
          <a:off x="9083688" y="723339"/>
          <a:ext cx="0" cy="89596072"/>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5432</xdr:colOff>
      <xdr:row>4</xdr:row>
      <xdr:rowOff>142314</xdr:rowOff>
    </xdr:from>
    <xdr:to>
      <xdr:col>31</xdr:col>
      <xdr:colOff>5432</xdr:colOff>
      <xdr:row>723</xdr:row>
      <xdr:rowOff>0</xdr:rowOff>
    </xdr:to>
    <xdr:cxnSp macro="">
      <xdr:nvCxnSpPr>
        <xdr:cNvPr id="10" name="Straight Connector 9">
          <a:extLst>
            <a:ext uri="{FF2B5EF4-FFF2-40B4-BE49-F238E27FC236}">
              <a16:creationId xmlns:a16="http://schemas.microsoft.com/office/drawing/2014/main" id="{2DD1D3DB-5D8C-424E-B1F8-348E02C4F3CB}"/>
            </a:ext>
          </a:extLst>
        </xdr:cNvPr>
        <xdr:cNvCxnSpPr/>
      </xdr:nvCxnSpPr>
      <xdr:spPr>
        <a:xfrm>
          <a:off x="11587832" y="723339"/>
          <a:ext cx="0" cy="89596072"/>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5432</xdr:colOff>
      <xdr:row>4</xdr:row>
      <xdr:rowOff>142314</xdr:rowOff>
    </xdr:from>
    <xdr:to>
      <xdr:col>32</xdr:col>
      <xdr:colOff>5432</xdr:colOff>
      <xdr:row>723</xdr:row>
      <xdr:rowOff>0</xdr:rowOff>
    </xdr:to>
    <xdr:cxnSp macro="">
      <xdr:nvCxnSpPr>
        <xdr:cNvPr id="14" name="Straight Connector 13">
          <a:extLst>
            <a:ext uri="{FF2B5EF4-FFF2-40B4-BE49-F238E27FC236}">
              <a16:creationId xmlns:a16="http://schemas.microsoft.com/office/drawing/2014/main" id="{94C0DC25-F525-4052-93F6-4C6BEF93309D}"/>
            </a:ext>
          </a:extLst>
        </xdr:cNvPr>
        <xdr:cNvCxnSpPr/>
      </xdr:nvCxnSpPr>
      <xdr:spPr>
        <a:xfrm>
          <a:off x="12197432" y="723339"/>
          <a:ext cx="0" cy="89596072"/>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58</xdr:col>
      <xdr:colOff>567766</xdr:colOff>
      <xdr:row>92</xdr:row>
      <xdr:rowOff>37562</xdr:rowOff>
    </xdr:from>
    <xdr:to>
      <xdr:col>65</xdr:col>
      <xdr:colOff>452630</xdr:colOff>
      <xdr:row>117</xdr:row>
      <xdr:rowOff>114291</xdr:rowOff>
    </xdr:to>
    <xdr:pic>
      <xdr:nvPicPr>
        <xdr:cNvPr id="15" name="Picture 14">
          <a:extLst>
            <a:ext uri="{FF2B5EF4-FFF2-40B4-BE49-F238E27FC236}">
              <a16:creationId xmlns:a16="http://schemas.microsoft.com/office/drawing/2014/main" id="{79949DA0-F084-4CC3-A416-474378B90E9C}"/>
            </a:ext>
          </a:extLst>
        </xdr:cNvPr>
        <xdr:cNvPicPr>
          <a:picLocks noChangeAspect="1"/>
        </xdr:cNvPicPr>
      </xdr:nvPicPr>
      <xdr:blipFill>
        <a:blip xmlns:r="http://schemas.openxmlformats.org/officeDocument/2006/relationships" r:embed="rId1"/>
        <a:stretch>
          <a:fillRect/>
        </a:stretch>
      </xdr:blipFill>
      <xdr:spPr>
        <a:xfrm>
          <a:off x="19408216" y="12153362"/>
          <a:ext cx="6257089" cy="364860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24094</xdr:colOff>
      <xdr:row>44</xdr:row>
      <xdr:rowOff>39782</xdr:rowOff>
    </xdr:from>
    <xdr:to>
      <xdr:col>10</xdr:col>
      <xdr:colOff>523875</xdr:colOff>
      <xdr:row>62</xdr:row>
      <xdr:rowOff>119117</xdr:rowOff>
    </xdr:to>
    <xdr:pic>
      <xdr:nvPicPr>
        <xdr:cNvPr id="2" name="Picture 1">
          <a:extLst>
            <a:ext uri="{FF2B5EF4-FFF2-40B4-BE49-F238E27FC236}">
              <a16:creationId xmlns:a16="http://schemas.microsoft.com/office/drawing/2014/main" id="{9BBD2291-1140-BB55-F04F-D48CCF893105}"/>
            </a:ext>
          </a:extLst>
        </xdr:cNvPr>
        <xdr:cNvPicPr>
          <a:picLocks noChangeAspect="1"/>
        </xdr:cNvPicPr>
      </xdr:nvPicPr>
      <xdr:blipFill>
        <a:blip xmlns:r="http://schemas.openxmlformats.org/officeDocument/2006/relationships" r:embed="rId1"/>
        <a:stretch>
          <a:fillRect/>
        </a:stretch>
      </xdr:blipFill>
      <xdr:spPr>
        <a:xfrm>
          <a:off x="1090894" y="3192557"/>
          <a:ext cx="4766981" cy="2651085"/>
        </a:xfrm>
        <a:prstGeom prst="rect">
          <a:avLst/>
        </a:prstGeom>
      </xdr:spPr>
    </xdr:pic>
    <xdr:clientData/>
  </xdr:twoCellAnchor>
  <xdr:twoCellAnchor editAs="oneCell">
    <xdr:from>
      <xdr:col>12</xdr:col>
      <xdr:colOff>35299</xdr:colOff>
      <xdr:row>44</xdr:row>
      <xdr:rowOff>4714</xdr:rowOff>
    </xdr:from>
    <xdr:to>
      <xdr:col>21</xdr:col>
      <xdr:colOff>115950</xdr:colOff>
      <xdr:row>63</xdr:row>
      <xdr:rowOff>0</xdr:rowOff>
    </xdr:to>
    <xdr:pic>
      <xdr:nvPicPr>
        <xdr:cNvPr id="3" name="Picture 2">
          <a:extLst>
            <a:ext uri="{FF2B5EF4-FFF2-40B4-BE49-F238E27FC236}">
              <a16:creationId xmlns:a16="http://schemas.microsoft.com/office/drawing/2014/main" id="{79421BD7-4FE8-8724-7F31-9ED887C8AB78}"/>
            </a:ext>
          </a:extLst>
        </xdr:cNvPr>
        <xdr:cNvPicPr>
          <a:picLocks noChangeAspect="1"/>
        </xdr:cNvPicPr>
      </xdr:nvPicPr>
      <xdr:blipFill>
        <a:blip xmlns:r="http://schemas.openxmlformats.org/officeDocument/2006/relationships" r:embed="rId2"/>
        <a:stretch>
          <a:fillRect/>
        </a:stretch>
      </xdr:blipFill>
      <xdr:spPr>
        <a:xfrm>
          <a:off x="6436099" y="3157489"/>
          <a:ext cx="4881251" cy="269086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6</xdr:col>
      <xdr:colOff>0</xdr:colOff>
      <xdr:row>5</xdr:row>
      <xdr:rowOff>2721</xdr:rowOff>
    </xdr:from>
    <xdr:to>
      <xdr:col>6</xdr:col>
      <xdr:colOff>0</xdr:colOff>
      <xdr:row>111</xdr:row>
      <xdr:rowOff>114300</xdr:rowOff>
    </xdr:to>
    <xdr:cxnSp macro="">
      <xdr:nvCxnSpPr>
        <xdr:cNvPr id="2" name="Straight Connector 1">
          <a:extLst>
            <a:ext uri="{FF2B5EF4-FFF2-40B4-BE49-F238E27FC236}">
              <a16:creationId xmlns:a16="http://schemas.microsoft.com/office/drawing/2014/main" id="{CEC509BE-954A-4114-BCA5-5495C4DD9D3B}"/>
            </a:ext>
          </a:extLst>
        </xdr:cNvPr>
        <xdr:cNvCxnSpPr/>
      </xdr:nvCxnSpPr>
      <xdr:spPr>
        <a:xfrm>
          <a:off x="4562475" y="536121"/>
          <a:ext cx="0" cy="13475154"/>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28</xdr:col>
      <xdr:colOff>0</xdr:colOff>
      <xdr:row>4</xdr:row>
      <xdr:rowOff>0</xdr:rowOff>
    </xdr:from>
    <xdr:to>
      <xdr:col>28</xdr:col>
      <xdr:colOff>0</xdr:colOff>
      <xdr:row>131</xdr:row>
      <xdr:rowOff>19610</xdr:rowOff>
    </xdr:to>
    <xdr:cxnSp macro="">
      <xdr:nvCxnSpPr>
        <xdr:cNvPr id="2" name="Straight Connector 1">
          <a:extLst>
            <a:ext uri="{FF2B5EF4-FFF2-40B4-BE49-F238E27FC236}">
              <a16:creationId xmlns:a16="http://schemas.microsoft.com/office/drawing/2014/main" id="{9705D8BE-019B-41F4-8576-596980D2CE79}"/>
            </a:ext>
          </a:extLst>
        </xdr:cNvPr>
        <xdr:cNvCxnSpPr/>
      </xdr:nvCxnSpPr>
      <xdr:spPr>
        <a:xfrm>
          <a:off x="13267765" y="582706"/>
          <a:ext cx="0" cy="18699816"/>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0</xdr:colOff>
      <xdr:row>131</xdr:row>
      <xdr:rowOff>19610</xdr:rowOff>
    </xdr:to>
    <xdr:cxnSp macro="">
      <xdr:nvCxnSpPr>
        <xdr:cNvPr id="3" name="Straight Connector 2">
          <a:extLst>
            <a:ext uri="{FF2B5EF4-FFF2-40B4-BE49-F238E27FC236}">
              <a16:creationId xmlns:a16="http://schemas.microsoft.com/office/drawing/2014/main" id="{B01AC360-49D4-4320-9834-34844F762E2D}"/>
            </a:ext>
          </a:extLst>
        </xdr:cNvPr>
        <xdr:cNvCxnSpPr/>
      </xdr:nvCxnSpPr>
      <xdr:spPr>
        <a:xfrm>
          <a:off x="6208059" y="582706"/>
          <a:ext cx="0" cy="18699816"/>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958850</xdr:colOff>
      <xdr:row>2</xdr:row>
      <xdr:rowOff>88900</xdr:rowOff>
    </xdr:to>
    <xdr:pic>
      <xdr:nvPicPr>
        <xdr:cNvPr id="2" name="Picture 2">
          <a:extLst>
            <a:ext uri="{FF2B5EF4-FFF2-40B4-BE49-F238E27FC236}">
              <a16:creationId xmlns:a16="http://schemas.microsoft.com/office/drawing/2014/main" id="{C962C618-4BAA-45AF-B5C7-44521AE5BC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588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Dan Berring" id="{4278B1C6-E86A-4359-9082-D890D57A3D72}" userId="Dan Berring" providerId="None"/>
  <person displayName="Dan Berring" id="{611737AC-4E77-4165-8EE6-5F4CCA24C1DF}" userId="S::dberring@catrockcap.com::0657c977-a13c-4668-bf06-1540a84f18b4"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16" dT="2022-07-27T11:57:35.03" personId="{611737AC-4E77-4165-8EE6-5F4CCA24C1DF}" id="{1B51892E-A1B3-4157-BFEB-B0EF403C8A0F}">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s>
</file>

<file path=xl/threadedComments/threadedComment2.xml><?xml version="1.0" encoding="utf-8"?>
<ThreadedComments xmlns="http://schemas.microsoft.com/office/spreadsheetml/2018/threadedcomments" xmlns:x="http://schemas.openxmlformats.org/spreadsheetml/2006/main">
  <threadedComment ref="I16" dT="2022-07-27T11:57:35.03" personId="{611737AC-4E77-4165-8EE6-5F4CCA24C1DF}" id="{48D3445A-EC74-4C55-899B-80FC96F2B798}">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s>
</file>

<file path=xl/threadedComments/threadedComment3.xml><?xml version="1.0" encoding="utf-8"?>
<ThreadedComments xmlns="http://schemas.microsoft.com/office/spreadsheetml/2018/threadedcomments" xmlns:x="http://schemas.openxmlformats.org/spreadsheetml/2006/main">
  <threadedComment ref="I16" dT="2022-07-27T11:57:35.03" personId="{611737AC-4E77-4165-8EE6-5F4CCA24C1DF}" id="{C78BC37E-5CCB-474E-9329-7F687E402888}">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s>
</file>

<file path=xl/threadedComments/threadedComment4.xml><?xml version="1.0" encoding="utf-8"?>
<ThreadedComments xmlns="http://schemas.microsoft.com/office/spreadsheetml/2018/threadedcomments" xmlns:x="http://schemas.openxmlformats.org/spreadsheetml/2006/main">
  <threadedComment ref="I16" dT="2022-07-27T11:57:35.03" personId="{611737AC-4E77-4165-8EE6-5F4CCA24C1DF}" id="{12E105FC-7EE4-4533-A399-47FD0BE4F005}">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s>
</file>

<file path=xl/threadedComments/threadedComment5.xml><?xml version="1.0" encoding="utf-8"?>
<ThreadedComments xmlns="http://schemas.microsoft.com/office/spreadsheetml/2018/threadedcomments" xmlns:x="http://schemas.openxmlformats.org/spreadsheetml/2006/main">
  <threadedComment ref="BG9" dT="2024-01-31T17:00:44.97" personId="{611737AC-4E77-4165-8EE6-5F4CCA24C1DF}" id="{D8F42EAC-573E-4580-BF63-D83C0F647240}">
    <text>Growth rates reflect previous policy period; margins reflect current period</text>
  </threadedComment>
  <threadedComment ref="X12" dT="2020-07-22T22:13:17.77" personId="{4278B1C6-E86A-4359-9082-D890D57A3D72}" id="{F596A33E-D6AF-4DC5-95CA-A37E863DBB31}">
    <text>35.150-36.050 Q4 guide</text>
  </threadedComment>
  <threadedComment ref="AF14" dT="2022-07-27T11:59:20.61" personId="{611737AC-4E77-4165-8EE6-5F4CCA24C1DF}" id="{E437CC59-0D1C-4CAF-B772-87FCE632ACC4}">
    <text>Q4 22 call: "Second, on FX. Assuming current rates remain stable, we expect a roughly 4-point impact to full-year revenue growth, with headwinds in H1 greater than in H2."
"With the stronger US dollar and based on current rates, we expect FX to decrease total revenue growth by approximately 5 points and to decrease total COGS and operating expense growth by approximately 3 points. Within the segments, we anticipate roughly 6 points of negative FX impact on revenue growth in Productivity and Business Processes and Intelligent Cloud and 3 points in More Personal Computing."</text>
  </threadedComment>
  <threadedComment ref="AG14" dT="2022-07-27T11:59:20.61" personId="{611737AC-4E77-4165-8EE6-5F4CCA24C1DF}" id="{C47B6BEA-B231-4054-88F5-13DC121F54A3}">
    <text>Q1 Guidance: 5ppt headwind</text>
  </threadedComment>
  <threadedComment ref="AO16" dT="2024-01-31T13:35:58.40" personId="{611737AC-4E77-4165-8EE6-5F4CCA24C1DF}" id="{48564B6D-BCA8-4B88-AB41-F7734C8CA6A3}">
    <text>Includes $700m of ATVI amort.</text>
  </threadedComment>
  <threadedComment ref="W22" dT="2020-06-09T15:31:13.15" personId="{4278B1C6-E86A-4359-9082-D890D57A3D72}" id="{F8F0B695-20FD-440C-965F-A912F0369B0E}">
    <text>11.55-11.75 COGS guide</text>
  </threadedComment>
  <threadedComment ref="X22" dT="2020-07-22T22:10:41.49" personId="{4278B1C6-E86A-4359-9082-D890D57A3D72}" id="{DC2B7D1F-83AA-4E9B-8AE2-3A0A148A0952}">
    <text>10.75-10.95 COGS guide</text>
  </threadedComment>
  <threadedComment ref="AK22" dT="2023-10-27T21:23:23.50" personId="{611737AC-4E77-4165-8EE6-5F4CCA24C1DF}" id="{B93B932F-2189-48B7-9689-56CA0DCE3900}">
    <text>Includes 580M PPA from ATVI</text>
  </threadedComment>
  <threadedComment ref="AL22" dT="2023-10-27T21:23:23.50" personId="{611737AC-4E77-4165-8EE6-5F4CCA24C1DF}" id="{B63D6ADF-8551-492B-B6C6-BCCD35519D4E}">
    <text>Includes 670M PPA from ATVI</text>
  </threadedComment>
  <threadedComment ref="AM22" dT="2023-10-27T21:23:23.50" personId="{611737AC-4E77-4165-8EE6-5F4CCA24C1DF}" id="{EC6670D8-4441-4E53-A34D-F99A21160B29}">
    <text>Includes 690M PPA from ATVI</text>
  </threadedComment>
  <threadedComment ref="AN22" dT="2023-10-27T21:23:23.50" personId="{611737AC-4E77-4165-8EE6-5F4CCA24C1DF}" id="{025DDB88-E0C2-4A96-AE89-A8A2687A5960}">
    <text>Includes 680M PPA from ATVI</text>
  </threadedComment>
  <threadedComment ref="AI24" dT="2023-04-27T15:56:45.86" personId="{611737AC-4E77-4165-8EE6-5F4CCA24C1DF}" id="{8A07C5F8-54F9-4134-B7E8-3BB604EE9324}">
    <text>Q3 guide of no FX impact on COGS growth</text>
  </threadedComment>
  <threadedComment ref="AO28" dT="2024-01-31T13:36:24.14" personId="{611737AC-4E77-4165-8EE6-5F4CCA24C1DF}" id="{0E7A72A8-4157-478C-A6FA-07D35FB6BA43}">
    <text>Includes $300m of ATVI costs</text>
  </threadedComment>
  <threadedComment ref="AK31" dT="2023-10-27T21:22:57.97" personId="{611737AC-4E77-4165-8EE6-5F4CCA24C1DF}" id="{5C0A8AE5-2930-460C-9266-63AA266F641B}">
    <text>Includes 400M deal costs</text>
  </threadedComment>
  <threadedComment ref="AL31" dT="2023-10-27T21:22:57.97" personId="{611737AC-4E77-4165-8EE6-5F4CCA24C1DF}" id="{5B255260-65BC-4F65-8D6D-D30729DCE61B}">
    <text>Includes 270M deal costs</text>
  </threadedComment>
  <threadedComment ref="AM31" dT="2023-10-27T21:22:57.97" personId="{611737AC-4E77-4165-8EE6-5F4CCA24C1DF}" id="{07C3E7B5-5EF3-4822-9A00-82E19BA6084F}">
    <text>Includes 250M deal costs</text>
  </threadedComment>
  <threadedComment ref="AN31" dT="2023-10-27T21:22:57.97" personId="{611737AC-4E77-4165-8EE6-5F4CCA24C1DF}" id="{3E93EA3B-FD4C-4038-8D1B-91CDF9DCAEEF}">
    <text>Includes 230M deal costs</text>
  </threadedComment>
  <threadedComment ref="BA31" dT="2020-06-09T17:14:08.64" personId="{4278B1C6-E86A-4359-9082-D890D57A3D72}" id="{896E3A96-78A0-45E6-B06D-1CEB860F3BB7}">
    <text>Excl. EU fine</text>
  </threadedComment>
  <threadedComment ref="W32" dT="2020-06-09T15:31:13.15" personId="{4278B1C6-E86A-4359-9082-D890D57A3D72}" id="{10834FB4-F158-4FCD-BB7A-D4413C4D89DE}">
    <text>11.8-11.9 guide</text>
  </threadedComment>
  <threadedComment ref="AI39" dT="2022-10-26T12:16:25.65" personId="{611737AC-4E77-4165-8EE6-5F4CCA24C1DF}" id="{6F62FA5F-654E-4BEB-A420-E0342F1E6258}">
    <text>Q2 guide - LSD growth in CC
Q1 guide - opex growth to moderate materially through the year</text>
  </threadedComment>
  <threadedComment ref="AI40" dT="2023-04-27T15:56:45.86" personId="{611737AC-4E77-4165-8EE6-5F4CCA24C1DF}" id="{12C32A32-AA93-401A-A48D-6FBA6A5DD6B3}">
    <text>Q3 guide of no FX impact on opex growth</text>
  </threadedComment>
  <threadedComment ref="AO48" dT="2024-01-31T13:37:18.43" personId="{611737AC-4E77-4165-8EE6-5F4CCA24C1DF}" id="{97D0B22F-0137-4524-A03C-72FC19E83F3A}">
    <text>Includes 1B of ATVI deal costs</text>
  </threadedComment>
  <threadedComment ref="BN53" dT="2022-10-26T12:16:53.71" personId="{611737AC-4E77-4165-8EE6-5F4CCA24C1DF}" id="{9A6F7DBD-06F6-47D0-9349-4E465C09090E}">
    <text>Q1 guide - EBIT margins to decline ~1ppt</text>
  </threadedComment>
  <threadedComment ref="B59" dT="2021-07-10T18:02:08.19" personId="{611737AC-4E77-4165-8EE6-5F4CCA24C1DF}" id="{C483DB4D-9C4B-4739-A87A-285DFA2EB5BC}">
    <text>Q4 FY20 earnings call: Now before we turn to our outlook, I'd like to update you on a change in accounting estimate to the useful life of server and networking equipment assets in our cloud infrastructure. Effective at the start of fiscal year '21, we are extending the depreciable life for these assets to 4 years, which will apply to the asset balances on our balance sheet as of June 30, 2020, as well as future asset purchases. This change will not impact historical depreciation expense, the total depreciation expense over the life of the asset or cash flow, but it will impact the timing of depreciation expense in the future for these assets.
 As a result, based on the outstanding balances as of June 30, we expect fiscal year '21 operating income to be favorably impacted by approximately $900 million in the first quarter and approximately $2.7 billion for the full fiscal year. This has been included in the guidance we'll provide on today's call, and you will find additional details on the mechanics of the change in our earnings material</text>
  </threadedComment>
  <threadedComment ref="X59" dT="2021-07-10T18:21:09.70" personId="{611737AC-4E77-4165-8EE6-5F4CCA24C1DF}" id="{C3D9752B-44FF-4E67-BB6C-0D9A75137CC8}">
    <text>"And operating margins expanded 4 points yearover-year to 43%, including roughly 2 points of favorable impact from the change in accounting estimate."</text>
  </threadedComment>
  <threadedComment ref="Y59" dT="2021-07-10T18:18:01.59" personId="{611737AC-4E77-4165-8EE6-5F4CCA24C1DF}" id="{6809C394-527A-4D13-99B6-6644CF333E09}">
    <text>"Operating income increased 29% and 26% in constant currency, and operating margins expanded 4 points
year-over-year to 42%, including roughly 2 points of favorable impact from the change in accounting
estimate"</text>
  </threadedComment>
  <threadedComment ref="Z59" dT="2021-07-10T18:16:23.76" personId="{611737AC-4E77-4165-8EE6-5F4CCA24C1DF}" id="{C63893AF-80C2-495A-AC7F-F1DECCF6328A}">
    <text>"Year-over-year growth in operating expense includes roughly 2 points of impact from continued COVIDrelated savings. Operating income increased 31% and 27% in constant currency, and operating margins
expanded 4 points year-over-year to 41%, including nearly 2 points of favorable impact from the change
in accounting estimate"</text>
  </threadedComment>
  <threadedComment ref="AA59" dT="2021-07-27T22:06:55.35" personId="{611737AC-4E77-4165-8EE6-5F4CCA24C1DF}" id="{AC52CA9D-B09A-41DF-B9F2-40A16CA0E496}">
    <text>"Operating income increased 42% and 35% in constant currency, and operating margins expanded 6 points year-over-year to 41%, including roughly 2 points of impact from the retail stores charge and increase in bad debt expense in the prior year and nearly 1 point of favorable impact from the change in accounting estimate"</text>
  </threadedComment>
  <threadedComment ref="AB59" dT="2021-10-27T02:16:31.27" personId="{611737AC-4E77-4165-8EE6-5F4CCA24C1DF}" id="{21A9C06B-6014-4F2F-962A-409C6C0D809C}">
    <text>"Operating income increased 27% and 24% in constant currency, and operating margins expanded 2 points year-over-year to 45%. Excluding the impact of the change in accounting estimate, operating margins expanded roughly 4 points year-over-year."</text>
  </threadedComment>
  <threadedComment ref="AC59" dT="2021-10-27T02:16:31.27" personId="{611737AC-4E77-4165-8EE6-5F4CCA24C1DF}" id="{7DAA0DF8-66F3-41CA-8029-77910CBF5BEF}">
    <text>"Operating income increased 24% and operating margins expanded 1 point year-over-year to 43%. Excluding the impact of the change in accounting estimate, operating margins expanded roughly 3 points year-over-year."</text>
  </threadedComment>
  <threadedComment ref="AH59" dT="2022-07-27T11:54:36.99" personId="{611737AC-4E77-4165-8EE6-5F4CCA24C1DF}" id="{F41BBB2E-CF7E-4CD1-85C8-747CD3ECB950}">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I59" dT="2022-07-27T11:54:36.99" personId="{611737AC-4E77-4165-8EE6-5F4CCA24C1DF}" id="{119432E9-17B4-42B0-BED9-A2D59C7B0738}">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H62" dT="2022-07-27T11:57:35.03" personId="{611737AC-4E77-4165-8EE6-5F4CCA24C1DF}" id="{7BDDF774-BE0D-4AC9-8F5E-CE20875283A6}">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ext>
  </threadedComment>
  <threadedComment ref="AI62" dT="2022-07-27T11:57:35.03" personId="{611737AC-4E77-4165-8EE6-5F4CCA24C1DF}" id="{649592A7-F42C-4A2C-9491-D5A88268BF3A}">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ext>
  </threadedComment>
  <threadedComment ref="AH63" dT="2022-07-27T11:57:35.03" personId="{611737AC-4E77-4165-8EE6-5F4CCA24C1DF}" id="{ADE922F7-3D6B-4968-B687-08625096A464}">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 ref="AI63" dT="2022-07-27T11:57:35.03" personId="{611737AC-4E77-4165-8EE6-5F4CCA24C1DF}" id="{B9DA14C8-AE97-4D5E-A0C3-636B4DF979BA}">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 ref="BN63" dT="2022-07-27T11:57:35.03" personId="{611737AC-4E77-4165-8EE6-5F4CCA24C1DF}" id="{BE797D14-A9F0-4BB5-B456-E3B8CCFCB4D3}">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 ref="Z88" dT="2020-07-22T22:20:06.67" personId="{4278B1C6-E86A-4359-9082-D890D57A3D72}" id="{F2CECCAB-ACF5-4202-A5BF-FD0AF958D66B}">
    <text>D&amp;A change means 900M less Q1 and 2.7B less in FY21</text>
  </threadedComment>
  <threadedComment ref="AA88" dT="2020-07-22T22:20:06.67" personId="{4278B1C6-E86A-4359-9082-D890D57A3D72}" id="{A197E2F0-EC52-46B8-99BE-F952D5FF21ED}">
    <text>D&amp;A change means 900M less Q1 and 2.7B less in FY21</text>
  </threadedComment>
  <threadedComment ref="AF88" dT="2022-07-27T12:05:06.94" personId="{611737AC-4E77-4165-8EE6-5F4CCA24C1DF}" id="{60D051EE-5BD9-42F2-AFFF-74345913620F}">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G88" dT="2022-07-27T12:05:06.94" personId="{611737AC-4E77-4165-8EE6-5F4CCA24C1DF}" id="{DD073FED-4631-412F-BB32-BE12DF260871}">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H88" dT="2022-07-27T12:05:06.94" personId="{611737AC-4E77-4165-8EE6-5F4CCA24C1DF}" id="{A98F01C4-16DE-4A04-8485-F0048262A296}">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I88" dT="2022-07-27T12:05:06.94" personId="{611737AC-4E77-4165-8EE6-5F4CCA24C1DF}" id="{F1C44B2D-A037-4998-959F-D186FC9F5930}">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BL88" dT="2020-07-22T22:20:06.67" personId="{4278B1C6-E86A-4359-9082-D890D57A3D72}" id="{EC7F1674-E69A-4306-AD93-2825A8B797C8}">
    <text>D&amp;A change means 900M less Q1 and 2.7B less in FY21</text>
  </threadedComment>
  <threadedComment ref="AD109" dT="2022-01-26T12:26:02.21" personId="{611737AC-4E77-4165-8EE6-5F4CCA24C1DF}" id="{3549B366-A8EE-4F9A-BFCA-85289DAE846F}">
    <text>"And, on a dollar basis, we expect capital expenditures to be slightly down sequentially with normal quarterly variability in the timing of cloud infrastructure buildout." Q2 Call</text>
  </threadedComment>
  <threadedComment ref="AE109" dT="2022-04-26T22:24:52.43" personId="{611737AC-4E77-4165-8EE6-5F4CCA24C1DF}" id="{AE475268-E05B-4DCE-AE09-95A63DCBAEC1}">
    <text>"Capital expenditures, we expect a sequential increase on a dollar basis as we continue to invest to meet growing global demand for our cloud services"</text>
  </threadedComment>
  <threadedComment ref="AF109" dT="2022-07-27T12:55:58.40" personId="{611737AC-4E77-4165-8EE6-5F4CCA24C1DF}" id="{FDED9A05-1939-4634-898F-89D6B8DFF2B9}">
    <text>4Q22 call: "In capital expenditures, we expect a sequential decrease on a dollar basis with normal quarterly spend variability in the timing of our cloud infrastructure buildout."</text>
  </threadedComment>
  <threadedComment ref="AG109" dT="2022-10-26T12:33:14.26" personId="{611737AC-4E77-4165-8EE6-5F4CCA24C1DF}" id="{4FE7B39A-A01C-4108-AD60-3FB3D22185A1}">
    <text>Q1 guide of sequential decrease</text>
  </threadedComment>
  <threadedComment ref="AH114" dT="2023-02-08T18:17:35.35" personId="{611737AC-4E77-4165-8EE6-5F4CCA24C1DF}" id="{4BC7CE88-8F78-442E-A233-E5DBAAE5CB6A}">
    <text xml:space="preserve">In capital expenditures, we expect a sequential increase on a dollar basis with normal quarterly spend variability in the timing of our cloud infrastructure buildout </text>
  </threadedComment>
  <threadedComment ref="AI114" dT="2023-04-25T22:19:18.88" personId="{611737AC-4E77-4165-8EE6-5F4CCA24C1DF}" id="{925C8706-9C4D-4599-86BD-7BFB20B1BA29}">
    <text xml:space="preserve">Q3 call: We expect capital expenditures to have a material sequential increase on a dollar basis </text>
  </threadedComment>
  <threadedComment ref="AL114" dT="2024-01-31T13:31:26.31" personId="{611737AC-4E77-4165-8EE6-5F4CCA24C1DF}" id="{2D84EC84-7715-479A-84F2-6DC0BF1410E3}">
    <text xml:space="preserve">Q2 call: We expect capital expenditures to increase materially on a sequential basis, driven by investments in our cloud and AI infrastructure and the slip of a delivery date from Q2 to Q3 from a third-party provider noted earlier. As a reminder, there can be normal quarterly spend variability in the timing of our cloud infrastructure build-out </text>
  </threadedComment>
  <threadedComment ref="AO152" dT="2024-10-31T15:04:45.53" personId="{611737AC-4E77-4165-8EE6-5F4CCA24C1DF}" id="{56396E21-6F37-46DF-A883-6C193FA1B1D6}">
    <text>28.7-29.0</text>
  </threadedComment>
  <threadedComment ref="AO153" dT="2024-10-31T15:04:45.53" personId="{611737AC-4E77-4165-8EE6-5F4CCA24C1DF}" id="{AF65A772-09C4-4CBB-B3D3-E1ADF9C9B2DD}">
    <text>25.5-25.85</text>
  </threadedComment>
  <threadedComment ref="AO154" dT="2024-10-31T15:04:45.53" personId="{611737AC-4E77-4165-8EE6-5F4CCA24C1DF}" id="{3FD48382-6D22-4DA8-83F3-8D30A8D373B9}">
    <text>13.85-14.25</text>
  </threadedComment>
  <threadedComment ref="W223" dT="2020-06-09T15:29:33.78" personId="{4278B1C6-E86A-4359-9082-D890D57A3D72}" id="{17C67246-C2FF-4E39-A15D-DB819C50912A}">
    <text>11.65-11.95 guide</text>
  </threadedComment>
  <threadedComment ref="X223" dT="2020-07-22T22:07:43.84" personId="{4278B1C6-E86A-4359-9082-D890D57A3D72}" id="{159149FB-FDDE-479C-AAA6-3C8663D8398F}">
    <text>11.65-11.90 Q4 guide</text>
  </threadedComment>
  <threadedComment ref="Y223" dT="2020-10-27T22:03:00.79" personId="{611737AC-4E77-4165-8EE6-5F4CCA24C1DF}" id="{F1FB888E-B62D-403D-BDDB-5119CF80C0A0}">
    <text>$12.75-13 Q1 guide</text>
  </threadedComment>
  <threadedComment ref="Z223" dT="2021-01-26T23:06:19.30" personId="{611737AC-4E77-4165-8EE6-5F4CCA24C1DF}" id="{39921FC8-9610-4A9F-8C95-EDC125651A6A}">
    <text>Q1 guide of 13.35-13.6</text>
  </threadedComment>
  <threadedComment ref="AA223" dT="2021-04-27T22:04:04.00" personId="{611737AC-4E77-4165-8EE6-5F4CCA24C1DF}" id="{0199869F-0275-4255-AC81-765B6B87EDEB}">
    <text>Q3 guide of 13.8-14.05</text>
  </threadedComment>
  <threadedComment ref="AB223" dT="2021-04-27T22:04:04.00" personId="{611737AC-4E77-4165-8EE6-5F4CCA24C1DF}" id="{5BA45022-B214-42AA-9968-537DA625E0BD}">
    <text>Q4 guide of 14.5-14.75</text>
  </threadedComment>
  <threadedComment ref="AC223" dT="2021-10-27T12:21:35.53" personId="{611737AC-4E77-4165-8EE6-5F4CCA24C1DF}" id="{3A3213AD-E6BF-4E5F-8A06-FF607E9ED65E}">
    <text>Q1 guide of 15.7-15.95</text>
  </threadedComment>
  <threadedComment ref="AD223" dT="2022-01-26T12:14:23.10" personId="{611737AC-4E77-4165-8EE6-5F4CCA24C1DF}" id="{6CE095D5-DB2E-42A1-A44F-A2B7A71A9520}">
    <text>Q2 Guide of 15.6-15.85</text>
  </threadedComment>
  <threadedComment ref="AE223" dT="2022-01-26T12:14:23.10" personId="{611737AC-4E77-4165-8EE6-5F4CCA24C1DF}" id="{9549F028-C06A-4BE2-B67F-BCDE172C29BC}">
    <text>Q3 Guide of 16.65-16.90;
Updated 6.2.22 guide of 16.48-16.73</text>
  </threadedComment>
  <threadedComment ref="AF223" dT="2022-01-26T12:14:23.10" personId="{611737AC-4E77-4165-8EE6-5F4CCA24C1DF}" id="{851725EB-A30A-4D48-81A2-C3292345C0E3}">
    <text>Q4 Guide of 15.96-16.25</text>
  </threadedComment>
  <threadedComment ref="AG223" dT="2022-10-26T12:10:10.57" personId="{611737AC-4E77-4165-8EE6-5F4CCA24C1DF}" id="{5339DCA6-9F42-4AB3-86A7-C91790E0D35B}">
    <text>Q1 guide 16.6-16.9</text>
  </threadedComment>
  <threadedComment ref="AH223" dT="2022-10-26T12:10:10.57" personId="{611737AC-4E77-4165-8EE6-5F4CCA24C1DF}" id="{554736C5-5995-4666-8CAE-56492CDB40AD}">
    <text>Q2 guide 16.9-17.2</text>
  </threadedComment>
  <threadedComment ref="AI223" dT="2022-10-26T12:10:10.57" personId="{611737AC-4E77-4165-8EE6-5F4CCA24C1DF}" id="{3B48BC2B-37F8-4CA5-8EC5-4F71F00B4C3D}">
    <text>Q3 guide 17.9-18.2</text>
  </threadedComment>
  <threadedComment ref="AJ223" dT="2022-10-26T12:10:10.57" personId="{611737AC-4E77-4165-8EE6-5F4CCA24C1DF}" id="{8634CFF2-2EBF-4B37-9B15-AF5C9A2092B5}">
    <text>Q4 guide 18.0-18.3</text>
  </threadedComment>
  <threadedComment ref="AK223" dT="2022-10-26T12:10:10.57" personId="{611737AC-4E77-4165-8EE6-5F4CCA24C1DF}" id="{63ECFAA4-F9BF-45C6-8AFE-2974ADEA102E}">
    <text>Q1 guide 18.8-19.1</text>
  </threadedComment>
  <threadedComment ref="AL223" dT="2022-10-26T12:10:10.57" personId="{611737AC-4E77-4165-8EE6-5F4CCA24C1DF}" id="{3025E75C-475B-40F8-805D-92CBDAAC8518}">
    <text>Q2 guide 19.3-19.6</text>
  </threadedComment>
  <threadedComment ref="AM223" dT="2022-10-26T12:10:10.57" personId="{611737AC-4E77-4165-8EE6-5F4CCA24C1DF}" id="{1A040C9B-22A0-4521-AAE3-98284A459A6C}">
    <text>Q3 guide 19.9-20.2</text>
  </threadedComment>
  <threadedComment ref="AN223" dT="2022-10-26T12:10:10.57" personId="{611737AC-4E77-4165-8EE6-5F4CCA24C1DF}" id="{5AC0A2F0-B9B2-478A-B882-D5E27C800655}">
    <text>Q4 guide 20.3-20.6</text>
  </threadedComment>
  <threadedComment ref="W224" dT="2020-06-09T15:29:53.55" personId="{4278B1C6-E86A-4359-9082-D890D57A3D72}" id="{EB1E5059-A7ED-4001-BF49-0BB918E4D177}">
    <text>12.9-13.15 guide</text>
  </threadedComment>
  <threadedComment ref="X224" dT="2020-07-22T22:05:32.17" personId="{4278B1C6-E86A-4359-9082-D890D57A3D72}" id="{2C5D6C16-77CB-4A9F-AFAE-DEE2B09D290E}">
    <text>12.55-12.80 Q4 guide</text>
  </threadedComment>
  <threadedComment ref="Y224" dT="2020-10-27T22:03:50.30" personId="{611737AC-4E77-4165-8EE6-5F4CCA24C1DF}" id="{3C311589-3136-4371-ADD8-1BE1D5D44D4D}">
    <text>$13.55-13.8 Q1 guide</text>
  </threadedComment>
  <threadedComment ref="Z224" dT="2021-01-26T23:06:19.30" personId="{611737AC-4E77-4165-8EE6-5F4CCA24C1DF}" id="{169CF63E-77F1-465F-AFFE-117355FC5801}">
    <text>Q1 guide of 14.7-14.95</text>
  </threadedComment>
  <threadedComment ref="AA224" dT="2021-04-27T22:04:18.67" personId="{611737AC-4E77-4165-8EE6-5F4CCA24C1DF}" id="{2FA29D50-945C-45B1-94A5-DC273577AB6D}">
    <text>Q3 guide of 16.2-16.45</text>
  </threadedComment>
  <threadedComment ref="AB224" dT="2021-04-27T22:04:18.67" personId="{611737AC-4E77-4165-8EE6-5F4CCA24C1DF}" id="{4FE9C3E6-5703-4A8B-82B6-F0ED706435B4}">
    <text>Q4 guide of 16.4-16.65</text>
  </threadedComment>
  <threadedComment ref="AC224" dT="2021-10-27T12:21:35.53" personId="{611737AC-4E77-4165-8EE6-5F4CCA24C1DF}" id="{F96F8D84-B644-4767-84BA-D51B88FB26DB}">
    <text>Q1 guide of 18.1-18.35</text>
  </threadedComment>
  <threadedComment ref="AD224" dT="2022-01-26T12:14:23.10" personId="{611737AC-4E77-4165-8EE6-5F4CCA24C1DF}" id="{5970214F-E8ED-4821-97D0-D0ED5E895F8B}">
    <text>Q2 Guide of 18.75-19.0</text>
  </threadedComment>
  <threadedComment ref="AE224" dT="2022-01-26T12:14:23.10" personId="{611737AC-4E77-4165-8EE6-5F4CCA24C1DF}" id="{D3419850-CB8E-49C4-B5F5-075B34D6D5D7}">
    <text>Q3 Guide of 21.10-21.35;
updated 6.2.22 guide of 20.92-21.17</text>
  </threadedComment>
  <threadedComment ref="AF224" dT="2022-01-26T12:14:23.10" personId="{611737AC-4E77-4165-8EE6-5F4CCA24C1DF}" id="{62EAF508-B7E4-4608-8337-CCB83D3408C0}">
    <text>Q4 Guide of 20.3-20.6; revised 20.2-20.5 after FY23e investor metrics reallocate HoloLens</text>
  </threadedComment>
  <threadedComment ref="AG224" dT="2022-10-26T12:10:10.57" personId="{611737AC-4E77-4165-8EE6-5F4CCA24C1DF}" id="{8CD57D4E-44E1-4AAA-BF7D-8421E58459E2}">
    <text>Q1 guide 21.25-21.55</text>
  </threadedComment>
  <threadedComment ref="AH224" dT="2022-10-26T12:10:10.57" personId="{611737AC-4E77-4165-8EE6-5F4CCA24C1DF}" id="{82365E60-DEF0-4509-BCEE-41C43E6FB73A}">
    <text>Q2 guide 21.7-22.0</text>
  </threadedComment>
  <threadedComment ref="AI224" dT="2022-10-26T12:10:10.57" personId="{611737AC-4E77-4165-8EE6-5F4CCA24C1DF}" id="{FB0B37B1-379C-4079-93BB-802CDE06935B}">
    <text>Q3 guide 23.6-23.9</text>
  </threadedComment>
  <threadedComment ref="AJ224" dT="2022-10-26T12:10:10.57" personId="{611737AC-4E77-4165-8EE6-5F4CCA24C1DF}" id="{2F7AE5C4-D7E4-440D-875A-BF53E9059A30}">
    <text>Q4 guide 23.3-23.6</text>
  </threadedComment>
  <threadedComment ref="AK224" dT="2022-10-26T12:10:10.57" personId="{611737AC-4E77-4165-8EE6-5F4CCA24C1DF}" id="{B84FFBB7-8420-475F-AF59-6771F9EAC7B3}">
    <text>Q1 guide 25.1-25.4</text>
  </threadedComment>
  <threadedComment ref="AL224" dT="2022-10-26T12:10:10.57" personId="{611737AC-4E77-4165-8EE6-5F4CCA24C1DF}" id="{B9E90561-FEFF-4F8E-BBA8-8D720C0D0500}">
    <text>Q2 guide 26.0-26.3</text>
  </threadedComment>
  <threadedComment ref="AM224" dT="2022-10-26T12:10:10.57" personId="{611737AC-4E77-4165-8EE6-5F4CCA24C1DF}" id="{9C7115EF-65D9-4F41-834C-3B5AF01A0F70}">
    <text>Q3 guide 28.4-28.7</text>
  </threadedComment>
  <threadedComment ref="AN224" dT="2022-10-26T12:10:10.57" personId="{611737AC-4E77-4165-8EE6-5F4CCA24C1DF}" id="{A93FF644-D47B-4F82-9E5D-60DB2E610972}">
    <text>Q4 guide 28.6-28.9</text>
  </threadedComment>
  <threadedComment ref="W225" dT="2020-06-09T15:29:43.88" personId="{4278B1C6-E86A-4359-9082-D890D57A3D72}" id="{2B180CE2-CD14-4C52-9FBD-582848BCDDEE}">
    <text>11.3-11.7 guide</text>
  </threadedComment>
  <threadedComment ref="X225" dT="2020-07-22T22:06:09.21" personId="{4278B1C6-E86A-4359-9082-D890D57A3D72}" id="{423C43BF-0BB5-4E3E-9704-DF661089F256}">
    <text>10.95-11.35 Q4 guide</text>
  </threadedComment>
  <threadedComment ref="Y225" dT="2020-10-27T22:04:28.82" personId="{611737AC-4E77-4165-8EE6-5F4CCA24C1DF}" id="{B3351666-2D5F-4B01-908C-6C8CA539E530}">
    <text>$13.2-13.6 Q1 guide</text>
  </threadedComment>
  <threadedComment ref="Z225" dT="2021-01-26T23:06:19.30" personId="{611737AC-4E77-4165-8EE6-5F4CCA24C1DF}" id="{B72E91DE-0D22-48BC-A4B8-97CD50869B10}">
    <text>Q1 guide of 12.3-12.7</text>
  </threadedComment>
  <threadedComment ref="AA225" dT="2021-04-27T22:04:33.29" personId="{611737AC-4E77-4165-8EE6-5F4CCA24C1DF}" id="{7EC46D6E-7BFB-412D-B24C-81FA00271491}">
    <text>Q3 guide of 13.6-14.0</text>
  </threadedComment>
  <threadedComment ref="AB225" dT="2021-04-27T22:04:33.29" personId="{611737AC-4E77-4165-8EE6-5F4CCA24C1DF}" id="{119823E9-53F0-4172-8123-8C3C9CFB592C}">
    <text>Q4 guide of 12.4-12.8</text>
  </threadedComment>
  <threadedComment ref="AC225" dT="2021-10-27T12:21:35.53" personId="{611737AC-4E77-4165-8EE6-5F4CCA24C1DF}" id="{C1CEFE63-AF9B-4099-8C84-3796882DA414}">
    <text>Q1 guide of 16.35-16.75</text>
  </threadedComment>
  <threadedComment ref="AD225" dT="2022-01-26T12:14:23.10" personId="{611737AC-4E77-4165-8EE6-5F4CCA24C1DF}" id="{82F9CDC3-1E33-47CD-8A3B-2F578149F380}">
    <text>Q2 Guide of 14.15-14.45</text>
  </threadedComment>
  <threadedComment ref="AE225" dT="2022-01-26T12:14:23.10" personId="{611737AC-4E77-4165-8EE6-5F4CCA24C1DF}" id="{23DA28FB-F44E-45BA-B7BA-A0A057E9DC03}">
    <text>Q3 Guide of 14.65-14.95; 
updated 6.2.22 guide of 14.54-14.84</text>
  </threadedComment>
  <threadedComment ref="AF225" dT="2022-01-26T12:14:23.10" personId="{611737AC-4E77-4165-8EE6-5F4CCA24C1DF}" id="{FCC995E8-575B-4CEA-9570-F119CD0D4660}">
    <text>Q4 Guide of 13.0-13.4; revised 13.1-13.5 after FY23e investor metrics reallocate HoloLens</text>
  </threadedComment>
  <threadedComment ref="AG225" dT="2022-10-26T12:10:10.57" personId="{611737AC-4E77-4165-8EE6-5F4CCA24C1DF}" id="{3F38A7FF-B11B-4128-9FAE-295C4389DFF6}">
    <text>Q1 guide 14.5-14.9</text>
  </threadedComment>
  <threadedComment ref="AH225" dT="2023-02-08T18:38:38.35" personId="{611737AC-4E77-4165-8EE6-5F4CCA24C1DF}" id="{E11D095A-4274-4723-B87F-2AD6EB53B324}">
    <text>Q2 guide 11.9-12.3</text>
  </threadedComment>
  <threadedComment ref="AI225" dT="2022-10-26T12:10:10.57" personId="{611737AC-4E77-4165-8EE6-5F4CCA24C1DF}" id="{91F508C9-E291-433D-AD38-287E09F7019F}">
    <text>Q3 guide 13.35-13.75</text>
  </threadedComment>
  <threadedComment ref="AJ225" dT="2022-10-26T12:10:10.57" personId="{611737AC-4E77-4165-8EE6-5F4CCA24C1DF}" id="{126E8A4B-3827-4D60-A568-79C78AE1B50E}">
    <text>Q4 guide 12.5-12.9</text>
  </threadedComment>
  <threadedComment ref="AK225" dT="2022-10-26T12:10:10.57" personId="{611737AC-4E77-4165-8EE6-5F4CCA24C1DF}" id="{7CD7C127-E8C9-4FE3-887D-6D7D120EC35B}">
    <text>Q1 guide 16.5-16.9</text>
  </threadedComment>
  <threadedComment ref="AL225" dT="2022-10-26T12:10:10.57" personId="{611737AC-4E77-4165-8EE6-5F4CCA24C1DF}" id="{38D5A870-1C3F-47C7-BE0F-A9EC3D639967}">
    <text>Q2 guide 14.7-15.1</text>
  </threadedComment>
  <threadedComment ref="AM225" dT="2022-10-26T12:10:10.57" personId="{611737AC-4E77-4165-8EE6-5F4CCA24C1DF}" id="{2BC05321-107C-4431-8643-4BC6E9EC8E59}">
    <text>Q3 guide 15.2-15.6</text>
  </threadedComment>
  <threadedComment ref="AN225" dT="2022-10-26T12:10:10.57" personId="{611737AC-4E77-4165-8EE6-5F4CCA24C1DF}" id="{A294FDA8-0005-4ACB-A747-233FBEE1352D}">
    <text>Q4 guide 14.9-15.3</text>
  </threadedComment>
  <threadedComment ref="AE230" dT="2021-07-28T13:27:58.13" personId="{611737AC-4E77-4165-8EE6-5F4CCA24C1DF}" id="{AB64590A-8181-4A1E-8E22-736ED5ADA5D2}">
    <text>10.27.21 - gradually reduce off Q3 three year stack level</text>
  </threadedComment>
  <threadedComment ref="AF230" dT="2021-07-28T13:27:58.13" personId="{611737AC-4E77-4165-8EE6-5F4CCA24C1DF}" id="{C7B0B29E-F0BD-49C3-81A0-E5F134A7C946}">
    <text>4.22.22 - gradually reduce off Q4 three year stack level</text>
  </threadedComment>
  <threadedComment ref="AG230" dT="2021-07-28T13:27:58.13" personId="{611737AC-4E77-4165-8EE6-5F4CCA24C1DF}" id="{B0F3BAD2-E896-46E7-B808-929778ECB3E5}">
    <text>4.22.22 - gradually reduce off Q4 three year stack level</text>
  </threadedComment>
  <threadedComment ref="AD231" dT="2022-03-07T15:31:22.23" personId="{611737AC-4E77-4165-8EE6-5F4CCA24C1DF}" id="{5E0EE1F7-2B46-487C-BFF4-059C7B993F7F}">
    <text>Adding 350 per quarter for NUAN (only March in FQ3)</text>
  </threadedComment>
  <threadedComment ref="AE231" dT="2021-07-28T13:27:58.13" personId="{611737AC-4E77-4165-8EE6-5F4CCA24C1DF}" id="{4E40657B-E3B4-4207-8EC7-35231709C283}">
    <text>10.27.21 - gradually reduce off Q3 three year stack level</text>
  </threadedComment>
  <threadedComment ref="AF231" dT="2021-07-28T13:27:58.13" personId="{611737AC-4E77-4165-8EE6-5F4CCA24C1DF}" id="{ECD5094A-81E9-416A-9708-80AC57073844}">
    <text>4.22.22 - gradually reduce off Q4 three year stack level</text>
  </threadedComment>
  <threadedComment ref="AG231" dT="2021-07-28T13:27:58.13" personId="{611737AC-4E77-4165-8EE6-5F4CCA24C1DF}" id="{DC160D33-A66A-4BA0-8705-8DD610FFFA43}">
    <text>4.22.22 - gradually reduce off Q4 three year stack level</text>
  </threadedComment>
  <threadedComment ref="AE232" dT="2021-07-28T13:27:58.13" personId="{611737AC-4E77-4165-8EE6-5F4CCA24C1DF}" id="{F92F7468-363B-44B2-ABEE-E8CAB3DB1ADD}">
    <text>10.27.21 - gradually reduce off Q3 three year stack level</text>
  </threadedComment>
  <threadedComment ref="AF232" dT="2021-07-28T13:27:58.13" personId="{611737AC-4E77-4165-8EE6-5F4CCA24C1DF}" id="{AA241C3D-FEB9-4CC7-BC17-2C80C3B99ED2}">
    <text>4.22.22 - gradually reduce off Q4 three year stack level</text>
  </threadedComment>
  <threadedComment ref="AG232" dT="2021-07-28T13:27:58.13" personId="{611737AC-4E77-4165-8EE6-5F4CCA24C1DF}" id="{204B2B01-04DB-4797-9E8F-BFF5006BBE22}">
    <text>4.22.22 - gradually reduce off Q4 three year stack level</text>
  </threadedComment>
  <threadedComment ref="AG255" dT="2024-01-31T13:53:06.57" personId="{611737AC-4E77-4165-8EE6-5F4CCA24C1DF}" id="{1C447D6F-42C3-4977-B91F-A90A05D86931}">
    <text>Op Income grew +6% (+17% cc) including 3 points of negative impact from Q2 charge</text>
  </threadedComment>
  <threadedComment ref="AG256" dT="2024-01-31T13:53:06.57" personId="{611737AC-4E77-4165-8EE6-5F4CCA24C1DF}" id="{DA6B8991-559E-44FD-9FFF-37B049F61568}">
    <text>Op Income grew +7% (+15% cc) including 7 points of negative impact from Q2 charge</text>
  </threadedComment>
  <threadedComment ref="AG257" dT="2024-01-31T13:53:06.57" personId="{611737AC-4E77-4165-8EE6-5F4CCA24C1DF}" id="{D578B69B-BBA0-4E9F-BB17-F7E4C7B88D85}">
    <text>Op Income decreased -47% (-40% cc) including 6 points of negative impact from Q2 charge</text>
  </threadedComment>
  <threadedComment ref="X259" dT="2020-07-22T22:14:53.62" personId="{4278B1C6-E86A-4359-9082-D890D57A3D72}" id="{81F9AE90-997E-4DC6-9DB7-DAE812E82D9C}">
    <text>13.7 - 14.3 Q4 implied guide</text>
  </threadedComment>
  <threadedComment ref="Z259" dT="2021-01-26T23:08:32.49" personId="{611737AC-4E77-4165-8EE6-5F4CCA24C1DF}" id="{A0B89729-102D-47C0-8D04-6B92A188E61E}">
    <text>Q1 midpoint guide of 15.65</text>
  </threadedComment>
  <threadedComment ref="AJ378" dT="2023-10-24T20:44:53.50" personId="{611737AC-4E77-4165-8EE6-5F4CCA24C1DF}" id="{F4153E28-B3C6-448F-A70E-EA9366166916}">
    <text>Disclosed as 76.7 in presentation and 18% growth</text>
  </threadedComment>
  <threadedComment ref="AN396" dT="2024-08-23T13:50:32.74" personId="{611737AC-4E77-4165-8EE6-5F4CCA24C1DF}" id="{F0AF7BB2-325A-478A-9E09-348B697F3943}">
    <text>27.75-28.05</text>
  </threadedComment>
  <threadedComment ref="AJ478" dT="2023-10-24T20:44:53.50" personId="{611737AC-4E77-4165-8EE6-5F4CCA24C1DF}" id="{C5C93D43-584D-4233-9F0F-79B713E3D78C}">
    <text>Disclosed as 76.7 in presentation and 18% growth</text>
  </threadedComment>
  <threadedComment ref="R483" dT="2020-06-04T16:37:22.21" personId="{4278B1C6-E86A-4359-9082-D890D57A3D72}" id="{3995CA94-1B51-49C2-BCD2-18E87CBF1BA8}">
    <text>MAUs surpassed 180M</text>
  </threadedComment>
  <threadedComment ref="AH514" dT="2023-02-08T18:18:27.72" personId="{611737AC-4E77-4165-8EE6-5F4CCA24C1DF}" id="{606C3099-A90B-42B2-B244-BFA3BD87C016}">
    <text xml:space="preserve">In Office Commercial, revenue growth will again be driven by Office 365 with seat growth across customer segments and ARPU growth thru E5. We expect Office 365 revenue growth to be sequentially lower by roughly one point on a constant currency basis. In our on-premises business, we expect revenue to decline in the mid 20s </text>
  </threadedComment>
  <threadedComment ref="AH515" dT="2023-02-08T18:20:48.30" personId="{611737AC-4E77-4165-8EE6-5F4CCA24C1DF}" id="{A4463A9A-EE03-4B06-8653-E9483B5425F8}">
    <text xml:space="preserve">In Office consumer, we expect revenue growth in the low-single digits, driven by Microsoft 365 subscriptions. </text>
  </threadedComment>
  <threadedComment ref="AH518" dT="2023-02-08T18:12:26.21" personId="{611737AC-4E77-4165-8EE6-5F4CCA24C1DF}" id="{562B30C3-B8B1-4335-94A8-EF085A6120AD}">
    <text xml:space="preserve">LinkedIn and Search will be impacted as ad market spending remains a bit cautious. 
For LinkedIn, we expect mid-single digits revenue growth with continued strong engagement on the platform, although impacted by the advertising trends noted earlier and a slowdown in hiring, particularly in the technology industry where we have significant exposure. </text>
  </threadedComment>
  <threadedComment ref="AH519" dT="2023-02-08T18:23:37.32" personId="{611737AC-4E77-4165-8EE6-5F4CCA24C1DF}" id="{65E53EBD-A2FD-4500-B4BC-DEB9C5A39AD3}">
    <text xml:space="preserve">And in Dynamics, we expect revenue growth in the low to mid-teens driven by continued growth in Dynamics 365 which is now over 80 percent of total Dynamics revenue </text>
  </threadedComment>
  <threadedComment ref="AN520" dT="2024-08-23T13:49:16.08" personId="{611737AC-4E77-4165-8EE6-5F4CCA24C1DF}" id="{1EBF5000-E6B8-4BD3-AC7E-C5AD5AD87478}">
    <text>20.3-20.6</text>
  </threadedComment>
  <threadedComment ref="AI523" dT="2023-04-25T22:22:36.19" personId="{611737AC-4E77-4165-8EE6-5F4CCA24C1DF}" id="{3CB1448C-8DCF-468A-85B8-6EFB40BBCC75}">
    <text>Q3 call: +16% YoY cc</text>
  </threadedComment>
  <threadedComment ref="AI524" dT="2023-04-25T22:22:36.19" personId="{611737AC-4E77-4165-8EE6-5F4CCA24C1DF}" id="{B955D955-2B35-4660-AA4A-62C35BC8E359}">
    <text>Q3 call: +MSD% YoY</text>
  </threadedComment>
  <threadedComment ref="AI526" dT="2023-04-25T22:22:36.19" personId="{611737AC-4E77-4165-8EE6-5F4CCA24C1DF}" id="{DEB41D76-D985-418E-8259-D1A568402546}">
    <text>Q3 call: +MSD% YoY</text>
  </threadedComment>
  <threadedComment ref="AI527" dT="2023-04-25T22:22:36.19" personId="{611737AC-4E77-4165-8EE6-5F4CCA24C1DF}" id="{C2EF436D-27EA-428B-BF7A-F2F9920E23F8}">
    <text>Q3 call: +High Teens% YoY</text>
  </threadedComment>
  <threadedComment ref="AH645" dT="2023-02-08T18:25:38.07" personId="{611737AC-4E77-4165-8EE6-5F4CCA24C1DF}" id="{38B046E4-7D16-459F-8707-AFBCDBFA8D3C}">
    <text xml:space="preserve">we exited Q2 with Azure growth in the mid 30s in constant currency and from that, we expect Q3 growth to decelerate roughly 4 to 5 points in constant currency. FX impact in Azure is about a point more than at the segment level. </text>
  </threadedComment>
  <threadedComment ref="AH646" dT="2023-02-08T18:26:16.43" personId="{611737AC-4E77-4165-8EE6-5F4CCA24C1DF}" id="{134A20E5-D4B1-4C49-8D3E-8F069C0DFE18}">
    <text>In our on-premises server business, we expect revenue to decline low-single digits as demand for our hybrid solutions will be more than offset by unfavorable FX impact</text>
  </threadedComment>
  <threadedComment ref="AH648" dT="2023-02-08T18:26:48.54" personId="{611737AC-4E77-4165-8EE6-5F4CCA24C1DF}" id="{487D3926-A418-494C-BD8F-B013685323C5}">
    <text xml:space="preserve">And in Enterprise Services, revenue should decline low to mid-single digits, driven by Microsoft Consulting Services. </text>
  </threadedComment>
  <threadedComment ref="AN650" dT="2024-08-23T13:07:59.64" personId="{611737AC-4E77-4165-8EE6-5F4CCA24C1DF}" id="{0478858E-126E-47B4-931D-FFEBCF537E06}">
    <text>28.6-28.9</text>
  </threadedComment>
  <threadedComment ref="AI655" dT="2023-04-25T22:22:36.19" personId="{611737AC-4E77-4165-8EE6-5F4CCA24C1DF}" id="{F479B80A-04A1-44F9-BDB2-5F3CAE1FC3AB}">
    <text>Q3 call: +25-26% YoY cc</text>
  </threadedComment>
  <threadedComment ref="AI656" dT="2023-04-25T22:22:36.19" personId="{611737AC-4E77-4165-8EE6-5F4CCA24C1DF}" id="{8395CFD7-3503-41AF-B0AB-F590E62A3559}">
    <text>Q3 call: decline LSD%</text>
  </threadedComment>
  <threadedComment ref="AI658" dT="2023-04-25T22:24:22.51" personId="{611737AC-4E77-4165-8EE6-5F4CCA24C1DF}" id="{8DD40CD5-1FAA-4AEA-B2BE-514142561DEB}">
    <text>Q3: Relatively unchanged YoY</text>
  </threadedComment>
  <threadedComment ref="AH672" dT="2023-02-08T18:26:16.43" personId="{611737AC-4E77-4165-8EE6-5F4CCA24C1DF}" id="{13F09FCD-E5CF-4B1C-9CBD-C36A0208FF93}">
    <text>In our on-premises server business, we expect revenue to decline low-single digits as demand for our hybrid solutions will be more than offset by unfavorable FX impact</text>
  </threadedComment>
  <threadedComment ref="AH674" dT="2023-02-08T18:26:48.54" personId="{611737AC-4E77-4165-8EE6-5F4CCA24C1DF}" id="{4977E416-5E33-4C8B-A7C8-658ACCAC9316}">
    <text xml:space="preserve">And in Enterprise Services, revenue should decline low to mid-single digits, driven by Microsoft Consulting Services. </text>
  </threadedComment>
  <threadedComment ref="AN676" dT="2024-08-22T21:21:48.94" personId="{611737AC-4E77-4165-8EE6-5F4CCA24C1DF}" id="{8954FBA8-D9DB-4364-9101-BCFD72C2CCFD}">
    <text>23.8-24.1</text>
  </threadedComment>
  <threadedComment ref="AM699" dT="2023-10-13T15:53:23.22" personId="{611737AC-4E77-4165-8EE6-5F4CCA24C1DF}" id="{E31D2AE9-B35B-4C88-ACF9-0BFFE8DA4952}">
    <text>45% contribution to growth per call</text>
  </threadedComment>
  <threadedComment ref="AK707" dT="2024-01-30T22:08:36.54" personId="{611737AC-4E77-4165-8EE6-5F4CCA24C1DF}" id="{BD37BF62-661F-4D80-A5E1-165BD4F48DEE}">
    <text xml:space="preserve">Add back 580 of ATVI deal costs </text>
  </threadedComment>
  <threadedComment ref="AL707" dT="2024-01-30T22:08:36.54" personId="{611737AC-4E77-4165-8EE6-5F4CCA24C1DF}" id="{14AC0011-C561-4503-BEF9-96B519C84647}">
    <text>Add back 670 of ATVI deal costs (PPA)</text>
  </threadedComment>
  <threadedComment ref="AM707" dT="2024-01-30T22:08:36.54" personId="{611737AC-4E77-4165-8EE6-5F4CCA24C1DF}" id="{92FF4FD7-51F5-46D5-90A9-8181A09BA2B2}">
    <text>Add back 690 of ATVI deal costs (PPA)</text>
  </threadedComment>
  <threadedComment ref="AN707" dT="2024-01-30T22:08:36.54" personId="{611737AC-4E77-4165-8EE6-5F4CCA24C1DF}" id="{25788F53-E9AE-4F2E-9E7A-CD64E5476313}">
    <text>Add back 680 of ATVI deal costs (PPA)</text>
  </threadedComment>
  <threadedComment ref="AK714" dT="2024-01-30T22:08:36.54" personId="{611737AC-4E77-4165-8EE6-5F4CCA24C1DF}" id="{E75DA4F4-20CD-4CCA-BDEB-02DC5774FE05}">
    <text xml:space="preserve">Add back 550 of ATVI deal costs </text>
  </threadedComment>
  <threadedComment ref="AL714" dT="2024-01-30T22:08:36.54" personId="{611737AC-4E77-4165-8EE6-5F4CCA24C1DF}" id="{6FD9E7E9-0A80-4CD9-BE92-1B704D35BC39}">
    <text xml:space="preserve">Add back 270 of ATVI deal costs </text>
  </threadedComment>
  <threadedComment ref="AM714" dT="2024-01-30T22:08:36.54" personId="{611737AC-4E77-4165-8EE6-5F4CCA24C1DF}" id="{51C1F3E9-2C6B-41C0-A3DE-F885CC164152}">
    <text xml:space="preserve">Add back 250 of ATVI deal costs </text>
  </threadedComment>
  <threadedComment ref="AN714" dT="2024-01-30T22:08:36.54" personId="{611737AC-4E77-4165-8EE6-5F4CCA24C1DF}" id="{427A1348-C469-4873-A362-1EA22DCC1800}">
    <text xml:space="preserve">Add back 230 of ATVI deal costs </text>
  </threadedComment>
  <threadedComment ref="B770" dT="2023-11-06T15:20:22.93" personId="{611737AC-4E77-4165-8EE6-5F4CCA24C1DF}" id="{0F3D4D4E-CE9D-4FE4-A662-BC624CA9624A}">
    <text>GS history and estimates</text>
  </threadedComment>
  <threadedComment ref="B777" dT="2023-11-06T15:20:22.93" personId="{611737AC-4E77-4165-8EE6-5F4CCA24C1DF}" id="{A9C368BA-29BA-43C3-917D-AA4F26B6B5F4}">
    <text>GS history and estimates</text>
  </threadedComment>
  <threadedComment ref="B780" dT="2023-11-06T15:20:22.93" personId="{611737AC-4E77-4165-8EE6-5F4CCA24C1DF}" id="{AC6D0CC0-177E-4233-8361-5BE476D74B5A}">
    <text>GS history and estimates</text>
  </threadedComment>
  <threadedComment ref="B788" dT="2023-11-06T15:20:22.93" personId="{611737AC-4E77-4165-8EE6-5F4CCA24C1DF}" id="{94FF27F9-B31B-4CE3-B1AE-C0DEBF25B13B}">
    <text>GS history and estimates</text>
  </threadedComment>
  <threadedComment ref="AK805" dT="2024-01-30T22:08:36.54" personId="{611737AC-4E77-4165-8EE6-5F4CCA24C1DF}" id="{B94F0CE3-3A28-4889-9F20-D53F0061CA10}">
    <text xml:space="preserve">Add back 580 of ATVI deal costs </text>
  </threadedComment>
  <threadedComment ref="AL805" dT="2024-01-30T22:08:36.54" personId="{611737AC-4E77-4165-8EE6-5F4CCA24C1DF}" id="{7DDE7E06-85CF-4679-B103-A78E0AE07B30}">
    <text>Add back 670 of ATVI deal costs (PPA)</text>
  </threadedComment>
  <threadedComment ref="AM805" dT="2024-01-30T22:08:36.54" personId="{611737AC-4E77-4165-8EE6-5F4CCA24C1DF}" id="{30F80D6A-ED2E-49E1-A26C-91B54BF133D4}">
    <text>Add back 690 of ATVI deal costs (PPA)</text>
  </threadedComment>
  <threadedComment ref="AN805" dT="2024-01-30T22:08:36.54" personId="{611737AC-4E77-4165-8EE6-5F4CCA24C1DF}" id="{6B19A769-02FE-4956-8577-5E079922BFA5}">
    <text>Add back 680 of ATVI deal costs (PPA)</text>
  </threadedComment>
  <threadedComment ref="AK813" dT="2023-10-25T18:24:53.74" personId="{611737AC-4E77-4165-8EE6-5F4CCA24C1DF}" id="{6CCA5FB0-E321-4DA2-A2F7-52B66AA954F5}">
    <text xml:space="preserve">$400 million from purchase accounting adjustments, integration and transaction-related costs from the Activision acquisition </text>
  </threadedComment>
  <threadedComment ref="BR813" dT="2023-10-25T18:24:53.74" personId="{611737AC-4E77-4165-8EE6-5F4CCA24C1DF}" id="{6AC7D8F2-1619-4667-A778-1521B64D1F9D}">
    <text xml:space="preserve">$400 million from purchase accounting adjustments, integration and transaction-related costs from the Activision acquisition </text>
  </threadedComment>
  <threadedComment ref="AK814" dT="2024-01-30T22:08:36.54" personId="{611737AC-4E77-4165-8EE6-5F4CCA24C1DF}" id="{E57F3BC7-2785-4253-A2F6-AD20612D199D}">
    <text xml:space="preserve">Add back 550 of ATVI deal costs </text>
  </threadedComment>
  <threadedComment ref="AL814" dT="2024-01-30T22:08:36.54" personId="{611737AC-4E77-4165-8EE6-5F4CCA24C1DF}" id="{86A2A3EB-BF20-485A-A2AB-8FCEF5F2E03A}">
    <text xml:space="preserve">Add back 270 of ATVI deal costs </text>
  </threadedComment>
  <threadedComment ref="AM814" dT="2024-01-30T22:08:36.54" personId="{611737AC-4E77-4165-8EE6-5F4CCA24C1DF}" id="{E888A63D-98E1-41DF-8486-5C3E6025E8CB}">
    <text xml:space="preserve">Add back 250 of ATVI deal costs </text>
  </threadedComment>
  <threadedComment ref="AN814" dT="2024-01-30T22:08:36.54" personId="{611737AC-4E77-4165-8EE6-5F4CCA24C1DF}" id="{316F6916-2FC8-4F14-BEE2-00FE6A03C550}">
    <text xml:space="preserve">Add back 230 of ATVI deal costs </text>
  </threadedComment>
  <threadedComment ref="AK823" dT="2023-10-25T18:24:53.74" personId="{611737AC-4E77-4165-8EE6-5F4CCA24C1DF}" id="{C3585ACF-921F-4F27-B7B0-D986E1478671}">
    <text xml:space="preserve">$400 million from purchase accounting adjustments, integration and transaction-related costs from the Activision acquisition </text>
  </threadedComment>
  <threadedComment ref="AL823" dT="2023-10-25T18:24:53.74" personId="{611737AC-4E77-4165-8EE6-5F4CCA24C1DF}" id="{E1417AD0-A45D-40BE-87BB-5FC7A3E5F65A}">
    <text xml:space="preserve">$400 million from purchase accounting adjustments, integration and transaction-related costs from the Activision acquisition </text>
  </threadedComment>
  <threadedComment ref="AM823" dT="2023-10-25T18:24:53.74" personId="{611737AC-4E77-4165-8EE6-5F4CCA24C1DF}" id="{883F696D-5629-41B9-BD91-13F496D48BD4}">
    <text xml:space="preserve">$400 million from purchase accounting adjustments, integration and transaction-related costs from the Activision acquisition </text>
  </threadedComment>
  <threadedComment ref="AH861" dT="2023-02-08T18:06:30.43" personId="{611737AC-4E77-4165-8EE6-5F4CCA24C1DF}" id="{DB99AAC7-932C-4753-ACC0-73BB790DD287}">
    <text xml:space="preserve">In our consumer business, Windows OEM and Devices will see continued declines as the PC market returns to pre-pandemic levels. </text>
  </threadedComment>
  <threadedComment ref="AH862" dT="2023-02-08T18:28:45.96" personId="{611737AC-4E77-4165-8EE6-5F4CCA24C1DF}" id="{C5F4CE0D-705A-4584-A290-108564FC54B3}">
    <text xml:space="preserve">Windows OEM revenue should decline in the mid-to-high 30s in line with the PC market. We expect Q3 PC units to be similar to pre-pandemic levels. </text>
  </threadedComment>
  <threadedComment ref="AH864" dT="2023-02-08T18:33:01.81" personId="{611737AC-4E77-4165-8EE6-5F4CCA24C1DF}" id="{B2EBB012-641D-4208-8B53-D21BABD2F1F5}">
    <text xml:space="preserve">And in Gaming, on a prior year comparable that benefited from increased console supply, we expect revenue to decline in the high-single digits </text>
  </threadedComment>
  <threadedComment ref="AH865" dT="2023-02-08T18:09:49.12" personId="{611737AC-4E77-4165-8EE6-5F4CCA24C1DF}" id="{C005B130-A559-45C3-ABCD-04F49BA23201}">
    <text xml:space="preserve">LinkedIn and Search will be impacted as ad market spending remains a bit cautious. 
Search and news advertising ex-TAC should grow high-single digits, roughly 7 points faster than overall Search and news advertising revenue, driven by continued volume strength supported by Edge browser share gains and the inclusion of Xandr. </text>
  </threadedComment>
  <threadedComment ref="AH866" dT="2023-02-08T18:29:07.23" personId="{611737AC-4E77-4165-8EE6-5F4CCA24C1DF}" id="{62EC320A-38ED-4906-9941-0D2C98E591DC}">
    <text xml:space="preserve">In Devices, revenue should decline in the mid 40s, as we work through the execution challenges noted earlier. </text>
  </threadedComment>
  <threadedComment ref="AI866" dT="2023-02-08T18:29:07.23" personId="{611737AC-4E77-4165-8EE6-5F4CCA24C1DF}" id="{7BEB556E-2E15-4606-8F93-C4773FD49236}">
    <text xml:space="preserve">In Devices, revenue should decline in the mid 40s, as we work through the execution challenges noted earlier. </text>
  </threadedComment>
  <threadedComment ref="AM867" dT="2023-10-13T15:53:23.22" personId="{611737AC-4E77-4165-8EE6-5F4CCA24C1DF}" id="{6B991CDA-943D-4F8E-A722-A860A8AE1563}">
    <text>45% contribution to growth per call</text>
  </threadedComment>
  <threadedComment ref="AN868" dT="2024-08-23T13:22:21.41" personId="{611737AC-4E77-4165-8EE6-5F4CCA24C1DF}" id="{5BD67FEC-EE0D-4ED4-89DA-6DAED9278509}">
    <text>14.9-15.3</text>
  </threadedComment>
  <threadedComment ref="AN869" dT="2024-08-24T11:41:57.94" personId="{611737AC-4E77-4165-8EE6-5F4CCA24C1DF}" id="{04D5F9D7-02E6-4D3B-8882-312758732C16}">
    <text>12.25-12.65</text>
  </threadedComment>
  <threadedComment ref="AI873" dT="2023-04-25T22:25:43.11" personId="{611737AC-4E77-4165-8EE6-5F4CCA24C1DF}" id="{45801B4D-0426-4F09-AD4E-75E9E1FC92CE}">
    <text>Q3 Call: Decline Low to Mid 20s</text>
  </threadedComment>
  <threadedComment ref="AI875" dT="2023-04-25T22:26:53.54" personId="{611737AC-4E77-4165-8EE6-5F4CCA24C1DF}" id="{20B568C9-4DFC-41FA-A157-A447ADD952D2}">
    <text xml:space="preserve">Q3 Call: Mid-to-High SD growth </text>
  </threadedComment>
  <threadedComment ref="AI876" dT="2023-04-25T22:27:07.64" personId="{611737AC-4E77-4165-8EE6-5F4CCA24C1DF}" id="{0D588F50-24DC-4274-84EA-D21923770750}">
    <text>Q3: ~10% YoY</text>
  </threadedComment>
  <threadedComment ref="AI877" dT="2023-04-25T22:27:39.22" personId="{611737AC-4E77-4165-8EE6-5F4CCA24C1DF}" id="{91DAFE70-5E7C-48B8-884D-EE451D393C32}">
    <text>Q3: Decline Low to Mid 20s</text>
  </threadedComment>
  <threadedComment ref="W905" dT="2020-06-09T15:31:13.15" personId="{4278B1C6-E86A-4359-9082-D890D57A3D72}" id="{88CEAB99-648E-46F6-B7F0-A70A3DE3DA04}">
    <text>11.8-11.9 guide</text>
  </threadedComment>
  <threadedComment ref="AG924" dT="2024-12-02T20:19:40.12" personId="{611737AC-4E77-4165-8EE6-5F4CCA24C1DF}" id="{A8292145-08FA-4975-8C4C-8F97EF8F0BE1}">
    <text>“Sequentially &lt;1%”</text>
  </threadedComment>
  <threadedComment ref="H1166" dT="2020-10-27T20:43:18.46" personId="{611737AC-4E77-4165-8EE6-5F4CCA24C1DF}" id="{96F22923-95B5-49FD-A8D0-AF1B1859E1F1}">
    <text>Securities lending payable</text>
  </threadedComment>
  <threadedComment ref="I1166" dT="2020-10-27T20:43:18.46" personId="{611737AC-4E77-4165-8EE6-5F4CCA24C1DF}" id="{3E2DE43E-5A53-490D-B8CD-79339B87C49E}">
    <text>Securities lending payable</text>
  </threadedComment>
  <threadedComment ref="J1166" dT="2020-10-27T20:43:18.46" personId="{611737AC-4E77-4165-8EE6-5F4CCA24C1DF}" id="{71AADB76-C982-4789-A8E9-E48863D7BDE8}">
    <text>Securities lending payable</text>
  </threadedComment>
  <threadedComment ref="K1166" dT="2020-10-27T20:43:18.46" personId="{611737AC-4E77-4165-8EE6-5F4CCA24C1DF}" id="{4CEA7E78-AAD9-4F7A-B967-0B7B1D17021F}">
    <text>Securities lending payable</text>
  </threadedComment>
  <threadedComment ref="L1166" dT="2020-10-27T20:43:18.46" personId="{611737AC-4E77-4165-8EE6-5F4CCA24C1DF}" id="{9A51D814-3896-4D3F-8FE2-14FB7A5FC1A5}">
    <text>Securities lending payable</text>
  </threadedComment>
  <threadedComment ref="M1166" dT="2020-10-27T20:43:18.46" personId="{611737AC-4E77-4165-8EE6-5F4CCA24C1DF}" id="{E96C3756-9FD4-4357-8135-A2DB47306BFB}">
    <text>Securities lending payable</text>
  </threadedComment>
  <threadedComment ref="N1166" dT="2020-10-27T20:43:18.46" personId="{611737AC-4E77-4165-8EE6-5F4CCA24C1DF}" id="{A3B48793-19D3-4E10-BA79-94D9A1B30003}">
    <text>Securities lending payable</text>
  </threadedComment>
  <threadedComment ref="O1166" dT="2020-10-27T20:43:18.46" personId="{611737AC-4E77-4165-8EE6-5F4CCA24C1DF}" id="{A084B67C-10CD-4F0C-98FD-14CB0B6BC806}">
    <text>Securities lending payable</text>
  </threadedComment>
  <threadedComment ref="P1166" dT="2020-10-27T20:43:18.46" personId="{611737AC-4E77-4165-8EE6-5F4CCA24C1DF}" id="{436A7C3A-6CB1-4C88-8D02-D0D4758C06AE}">
    <text>Securities lending payable</text>
  </threadedComment>
  <threadedComment ref="Q1166" dT="2020-10-27T20:43:18.46" personId="{611737AC-4E77-4165-8EE6-5F4CCA24C1DF}" id="{6599CFE0-641E-4DD9-A865-BC2DED8AE64C}">
    <text>Securities lending payable</text>
  </threadedComment>
  <threadedComment ref="R1166" dT="2020-10-27T20:43:18.46" personId="{611737AC-4E77-4165-8EE6-5F4CCA24C1DF}" id="{8A8AE4C5-16B5-4C8F-A523-923010E3975D}">
    <text>Securities lending payable</text>
  </threadedComment>
  <threadedComment ref="S1166" dT="2020-10-27T20:43:18.46" personId="{611737AC-4E77-4165-8EE6-5F4CCA24C1DF}" id="{BB70CABD-64F3-4F58-9A26-88D383E5547A}">
    <text>Securities lending payable</text>
  </threadedComment>
  <threadedComment ref="T1166" dT="2020-10-27T20:43:18.46" personId="{611737AC-4E77-4165-8EE6-5F4CCA24C1DF}" id="{9019D5D0-17E9-4033-9647-A73C89F2AB02}">
    <text>Securities lending payable</text>
  </threadedComment>
  <threadedComment ref="U1166" dT="2020-10-27T20:43:18.46" personId="{611737AC-4E77-4165-8EE6-5F4CCA24C1DF}" id="{AFAD4310-D6B9-49B4-B0F3-677FCF888181}">
    <text>Securities lending payable</text>
  </threadedComment>
  <threadedComment ref="V1166" dT="2020-10-27T20:43:18.46" personId="{611737AC-4E77-4165-8EE6-5F4CCA24C1DF}" id="{84F3A8D7-8BAF-4506-B348-9896962DD6E2}">
    <text>Securities lending payable</text>
  </threadedComment>
  <threadedComment ref="W1166" dT="2020-10-27T20:43:18.46" personId="{611737AC-4E77-4165-8EE6-5F4CCA24C1DF}" id="{F23A66A4-BE57-43AB-A154-B372B000CE7E}">
    <text>Securities lending payable</text>
  </threadedComment>
</ThreadedComments>
</file>

<file path=xl/threadedComments/threadedComment6.xml><?xml version="1.0" encoding="utf-8"?>
<ThreadedComments xmlns="http://schemas.microsoft.com/office/spreadsheetml/2018/threadedcomments" xmlns:x="http://schemas.openxmlformats.org/spreadsheetml/2006/main">
  <threadedComment ref="N15" dT="2021-07-10T18:21:09.70" personId="{611737AC-4E77-4165-8EE6-5F4CCA24C1DF}" id="{24849539-4734-4ACE-9FF2-6A0BDAA128E6}">
    <text>"And operating margins expanded 4 points yearover-year to 43%, including roughly 2 points of favorable impact from the change in accounting estimate."</text>
  </threadedComment>
  <threadedComment ref="O15" dT="2021-07-10T18:18:01.59" personId="{611737AC-4E77-4165-8EE6-5F4CCA24C1DF}" id="{7B42998B-14DB-4217-A393-7C0D9ADE7EBA}">
    <text>"Operating income increased 29% and 26% in constant currency, and operating margins expanded 4 points
year-over-year to 42%, including roughly 2 points of favorable impact from the change in accounting
estimate"</text>
  </threadedComment>
  <threadedComment ref="P15" dT="2021-07-10T18:16:23.76" personId="{611737AC-4E77-4165-8EE6-5F4CCA24C1DF}" id="{2ABCE714-69CC-4C2F-B1A5-4C5177CD1BEB}">
    <text>"Year-over-year growth in operating expense includes roughly 2 points of impact from continued COVIDrelated savings. Operating income increased 31% and 27% in constant currency, and operating margins
expanded 4 points year-over-year to 41%, including nearly 2 points of favorable impact from the change
in accounting estimate"</text>
  </threadedComment>
  <threadedComment ref="Q15" dT="2021-07-27T22:06:55.35" personId="{611737AC-4E77-4165-8EE6-5F4CCA24C1DF}" id="{65B46C8F-3FED-4EC2-81E8-10824251AFEA}">
    <text>"Operating income increased 42% and 35% in constant currency, and operating margins expanded 6 points year-over-year to 41%, including roughly 2 points of impact from the retail stores charge and increase in bad debt expense in the prior year and nearly 1 point of favorable impact from the change in accounting estimate"</text>
  </threadedComment>
  <threadedComment ref="R15" dT="2021-10-27T02:16:31.27" personId="{611737AC-4E77-4165-8EE6-5F4CCA24C1DF}" id="{6B182B20-BAC8-409D-B183-F520EC807C90}">
    <text>"Operating income increased 27% and 24% in constant currency, and operating margins expanded 2 points year-over-year to 45%. Excluding the impact of the change in accounting estimate, operating margins expanded roughly 4 points year-over-year."</text>
  </threadedComment>
  <threadedComment ref="S15" dT="2021-10-27T02:16:31.27" personId="{611737AC-4E77-4165-8EE6-5F4CCA24C1DF}" id="{502B9DDF-06A7-427F-A05F-0A596703B96F}">
    <text>"Operating income increased 24% and operating margins expanded 1 point year-over-year to 43%. Excluding the impact of the change in accounting estimate, operating margins expanded roughly 3 points year-over-year."</text>
  </threadedComment>
  <threadedComment ref="T15" dT="2022-04-26T22:12:42.05" personId="{611737AC-4E77-4165-8EE6-5F4CCA24C1DF}" id="{12F4006B-79DA-47C4-AAE4-61E18CC12D4D}">
    <text>"Operating income increased 19% and 23% in constant currency, and operating margins increased slightly year-over-year to 41%. Excluding the impact of the change in accounting estimate, operating margins expanded roughly 2 points year-over-year."</text>
  </threadedComment>
</ThreadedComments>
</file>

<file path=xl/threadedComments/threadedComment7.xml><?xml version="1.0" encoding="utf-8"?>
<ThreadedComments xmlns="http://schemas.microsoft.com/office/spreadsheetml/2018/threadedcomments" xmlns:x="http://schemas.openxmlformats.org/spreadsheetml/2006/main">
  <threadedComment ref="AP14" dT="2023-02-08T16:04:47.70" personId="{611737AC-4E77-4165-8EE6-5F4CCA24C1DF}" id="{58B786EC-52DE-4720-A5F8-12D5C3EBC1A0}">
    <text>Mid-teens in Jan</text>
  </threadedComment>
  <threadedComment ref="AV25" dT="2024-10-09T21:12:29.75" personId="{611737AC-4E77-4165-8EE6-5F4CCA24C1DF}" id="{0FF52E78-1BC6-4008-B6FE-F6047F901120}">
    <text>28-29%cc guide</text>
  </threadedComment>
</ThreadedComments>
</file>

<file path=xl/threadedComments/threadedComment8.xml><?xml version="1.0" encoding="utf-8"?>
<ThreadedComments xmlns="http://schemas.microsoft.com/office/spreadsheetml/2018/threadedcomments" xmlns:x="http://schemas.openxmlformats.org/spreadsheetml/2006/main">
  <threadedComment ref="AK39" dT="2023-02-02T18:27:01.97" personId="{611737AC-4E77-4165-8EE6-5F4CCA24C1DF}" id="{0EEE35B2-B6D7-435E-8F71-1B3B3E8C471C}">
    <text>https://www.gartner.com/en/newsroom/press-releases/2023-10-09-gartner-says-worldwide-pc-shipments-declined-9-percent-in-third-quarter-of-2023</text>
    <extLst>
      <x:ext xmlns:xltc2="http://schemas.microsoft.com/office/spreadsheetml/2020/threadedcomments2" uri="{F7C98A9C-CBB3-438F-8F68-D28B6AF4A901}">
        <xltc2:checksum>16080915</xltc2:checksum>
        <xltc2:hyperlink startIndex="0" length="141" url="https://www.gartner.com/en/newsroom/press-releases/2023-10-09-gartner-says-worldwide-pc-shipments-declined-9-percent-in-third-quarter-of-2023"/>
      </x:ext>
    </extLst>
  </threadedComment>
  <threadedComment ref="AL39" dT="2024-01-31T14:13:15.16" personId="{611737AC-4E77-4165-8EE6-5F4CCA24C1DF}" id="{E0DA8FD9-FA0A-4DA8-852D-9985FBA422EF}">
    <text>https://www.gartner.com/en/newsroom/press-releases/01-10-2024-gartner-says-worldwide-pc-shipments-increased-zero-point-three-percent-in-fourth-quarter-of-2023-but-declined-fourteen-point-eight-percent-for-the-year</text>
    <extLst>
      <x:ext xmlns:xltc2="http://schemas.microsoft.com/office/spreadsheetml/2020/threadedcomments2" uri="{F7C98A9C-CBB3-438F-8F68-D28B6AF4A901}">
        <xltc2:checksum>3675818862</xltc2:checksum>
        <xltc2:hyperlink startIndex="0" length="213" url="https://www.gartner.com/en/newsroom/press-releases/01-10-2024-gartner-says-worldwide-pc-shipments-increased-zero-point-three-percent-in-fourth-quarter-of-2023-but-declined-fourteen-point-eight-percent-for-the-year"/>
      </x:ext>
    </extLst>
  </threadedComment>
</ThreadedComments>
</file>

<file path=xl/threadedComments/threadedComment9.xml><?xml version="1.0" encoding="utf-8"?>
<ThreadedComments xmlns="http://schemas.microsoft.com/office/spreadsheetml/2018/threadedcomments" xmlns:x="http://schemas.openxmlformats.org/spreadsheetml/2006/main">
  <threadedComment ref="X12" dT="2020-07-22T22:13:17.77" personId="{4278B1C6-E86A-4359-9082-D890D57A3D72}" id="{AAD717D9-F634-49BE-BE9A-06509A4CDD6B}">
    <text>35.150-36.050 Q4 guide</text>
  </threadedComment>
  <threadedComment ref="AF14" dT="2022-07-27T11:59:20.61" personId="{611737AC-4E77-4165-8EE6-5F4CCA24C1DF}" id="{64ABB4BB-F02E-42EA-9190-9877401F8392}">
    <text>Q4 22 call: "Second, on FX. Assuming current rates remain stable, we expect a roughly 4-point impact to full-year revenue growth, with headwinds in H1 greater than in H2."
"With the stronger US dollar and based on current rates, we expect FX to decrease total revenue growth by approximately 5 points and to decrease total COGS and operating expense growth by approximately 3 points. Within the segments, we anticipate roughly 6 points of negative FX impact on revenue growth in Productivity and Business Processes and Intelligent Cloud and 3 points in More Personal Computing."</text>
  </threadedComment>
  <threadedComment ref="AG14" dT="2022-07-27T11:59:20.61" personId="{611737AC-4E77-4165-8EE6-5F4CCA24C1DF}" id="{2AEACFC6-DBFE-409C-92CD-020F2CB46F29}">
    <text>Q1 Guidance: 5ppt headwind</text>
  </threadedComment>
  <threadedComment ref="AH14" dT="2022-07-27T11:59:20.61" personId="{611737AC-4E77-4165-8EE6-5F4CCA24C1DF}" id="{009E5C14-0911-4B0E-BF7F-C9EBDD211216}">
    <text>Q4 22 call: "Second, on FX. Assuming current rates remain stable, we expect a roughly 4-point impact to full-year revenue growth, with headwinds in H1 greater than in H2."</text>
  </threadedComment>
  <threadedComment ref="AI14" dT="2022-07-27T11:59:20.61" personId="{611737AC-4E77-4165-8EE6-5F4CCA24C1DF}" id="{B92D370F-1211-4291-AC8A-09B6E6CC1CCD}">
    <text>Q4 22 call: "Second, on FX. Assuming current rates remain stable, we expect a roughly 4-point impact to full-year revenue growth, with headwinds in H1 greater than in H2."</text>
  </threadedComment>
  <threadedComment ref="W21" dT="2020-06-09T15:31:13.15" personId="{4278B1C6-E86A-4359-9082-D890D57A3D72}" id="{76966A13-D0BC-4B80-9D54-454D6732C4FC}">
    <text>11.55-11.75 COGS guide</text>
  </threadedComment>
  <threadedComment ref="X21" dT="2020-07-22T22:10:41.49" personId="{4278B1C6-E86A-4359-9082-D890D57A3D72}" id="{DC9E0CB3-03B7-49F0-A575-27015768E07A}">
    <text>10.75-10.95 COGS guide</text>
  </threadedComment>
  <threadedComment ref="AS29" dT="2020-06-09T17:14:08.64" personId="{4278B1C6-E86A-4359-9082-D890D57A3D72}" id="{982DBD27-F589-4D06-9B3A-717D6296557C}">
    <text>Excl. EU fine</text>
  </threadedComment>
  <threadedComment ref="W30" dT="2020-06-09T15:31:13.15" personId="{4278B1C6-E86A-4359-9082-D890D57A3D72}" id="{625F7680-EA30-4663-9834-9E9A4F86AAAB}">
    <text>11.8-11.9 guide</text>
  </threadedComment>
  <threadedComment ref="AI36" dT="2022-10-26T12:16:25.65" personId="{611737AC-4E77-4165-8EE6-5F4CCA24C1DF}" id="{4EC26EAA-1A02-483E-BF03-B09EDBAB1147}">
    <text>Q1 guide - opex growth to moderate materially through the year</text>
  </threadedComment>
  <threadedComment ref="BF46" dT="2022-10-26T12:16:53.71" personId="{611737AC-4E77-4165-8EE6-5F4CCA24C1DF}" id="{E072D60C-234B-4F4E-BE29-9BA26CFE8C7D}">
    <text>Q1 guide - EBIT margins to decline ~1ppt</text>
  </threadedComment>
  <threadedComment ref="B52" dT="2021-07-10T18:02:08.19" personId="{611737AC-4E77-4165-8EE6-5F4CCA24C1DF}" id="{D59D2238-E1CE-462E-A48B-EB0950591A54}">
    <text>Q4 FY20 earnings call: Now before we turn to our outlook, I'd like to update you on a change in accounting estimate to the useful life of server and networking equipment assets in our cloud infrastructure. Effective at the start of fiscal year '21, we are extending the depreciable life for these assets to 4 years, which will apply to the asset balances on our balance sheet as of June 30, 2020, as well as future asset purchases. This change will not impact historical depreciation expense, the total depreciation expense over the life of the asset or cash flow, but it will impact the timing of depreciation expense in the future for these assets.
 As a result, based on the outstanding balances as of June 30, we expect fiscal year '21 operating income to be favorably impacted by approximately $900 million in the first quarter and approximately $2.7 billion for the full fiscal year. This has been included in the guidance we'll provide on today's call, and you will find additional details on the mechanics of the change in our earnings material</text>
  </threadedComment>
  <threadedComment ref="X52" dT="2021-07-10T18:21:09.70" personId="{611737AC-4E77-4165-8EE6-5F4CCA24C1DF}" id="{15544C64-16BE-447C-B5B9-F27A93C7C2E9}">
    <text>"And operating margins expanded 4 points yearover-year to 43%, including roughly 2 points of favorable impact from the change in accounting estimate."</text>
  </threadedComment>
  <threadedComment ref="Y52" dT="2021-07-10T18:18:01.59" personId="{611737AC-4E77-4165-8EE6-5F4CCA24C1DF}" id="{234D39A8-5A5E-4EA0-8942-2110BDC44390}">
    <text>"Operating income increased 29% and 26% in constant currency, and operating margins expanded 4 points
year-over-year to 42%, including roughly 2 points of favorable impact from the change in accounting
estimate"</text>
  </threadedComment>
  <threadedComment ref="Z52" dT="2021-07-10T18:16:23.76" personId="{611737AC-4E77-4165-8EE6-5F4CCA24C1DF}" id="{1105B808-920E-42ED-8C8C-05D9BB685135}">
    <text>"Year-over-year growth in operating expense includes roughly 2 points of impact from continued COVIDrelated savings. Operating income increased 31% and 27% in constant currency, and operating margins
expanded 4 points year-over-year to 41%, including nearly 2 points of favorable impact from the change
in accounting estimate"</text>
  </threadedComment>
  <threadedComment ref="AA52" dT="2021-07-27T22:06:55.35" personId="{611737AC-4E77-4165-8EE6-5F4CCA24C1DF}" id="{8309A102-7C11-4263-8B0D-FDEE23D76EB0}">
    <text>"Operating income increased 42% and 35% in constant currency, and operating margins expanded 6 points year-over-year to 41%, including roughly 2 points of impact from the retail stores charge and increase in bad debt expense in the prior year and nearly 1 point of favorable impact from the change in accounting estimate"</text>
  </threadedComment>
  <threadedComment ref="AB52" dT="2021-10-27T02:16:31.27" personId="{611737AC-4E77-4165-8EE6-5F4CCA24C1DF}" id="{A18CC879-1D07-43CF-98EB-3B59EEA71E01}">
    <text>"Operating income increased 27% and 24% in constant currency, and operating margins expanded 2 points year-over-year to 45%. Excluding the impact of the change in accounting estimate, operating margins expanded roughly 4 points year-over-year."</text>
  </threadedComment>
  <threadedComment ref="AC52" dT="2021-10-27T02:16:31.27" personId="{611737AC-4E77-4165-8EE6-5F4CCA24C1DF}" id="{ACBD8EEE-94F7-4951-9954-EE6ED8D8F762}">
    <text>"Operating income increased 24% and operating margins expanded 1 point year-over-year to 43%. Excluding the impact of the change in accounting estimate, operating margins expanded roughly 3 points year-over-year."</text>
  </threadedComment>
  <threadedComment ref="AG52" dT="2022-07-27T11:54:36.99" personId="{611737AC-4E77-4165-8EE6-5F4CCA24C1DF}" id="{25C467B2-E7DE-499E-A5E5-A611232A7F1E}">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H52" dT="2022-07-27T11:54:36.99" personId="{611737AC-4E77-4165-8EE6-5F4CCA24C1DF}" id="{7A5E2854-E694-4474-88AB-829840852CCB}">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I52" dT="2022-07-27T11:54:36.99" personId="{611737AC-4E77-4165-8EE6-5F4CCA24C1DF}" id="{8D915AD3-8130-493C-9F44-5DE1E6719BC3}">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G54" dT="2022-07-27T11:57:35.03" personId="{611737AC-4E77-4165-8EE6-5F4CCA24C1DF}" id="{C8D8ECD7-B41C-40D2-A180-7F4B93C5CE59}">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ext>
  </threadedComment>
  <threadedComment ref="AH54" dT="2022-07-27T11:57:35.03" personId="{611737AC-4E77-4165-8EE6-5F4CCA24C1DF}" id="{6F821223-A261-4C46-9EFA-EBF617D220EA}">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ext>
  </threadedComment>
  <threadedComment ref="AI54" dT="2022-07-27T11:57:35.03" personId="{611737AC-4E77-4165-8EE6-5F4CCA24C1DF}" id="{88C1C917-D856-490C-8A1D-EDB9386C4622}">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text>
  </threadedComment>
  <threadedComment ref="AG55" dT="2022-07-27T11:57:35.03" personId="{611737AC-4E77-4165-8EE6-5F4CCA24C1DF}" id="{64DF6A0A-0505-45D0-AA2E-9E24B3E40ACF}">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 ref="AH55" dT="2022-07-27T11:57:35.03" personId="{611737AC-4E77-4165-8EE6-5F4CCA24C1DF}" id="{EF07325D-FB13-42EA-81A0-6DF758900F8D}">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 ref="AI55" dT="2022-07-27T11:57:35.03" personId="{611737AC-4E77-4165-8EE6-5F4CCA24C1DF}" id="{E64E492C-390F-49CE-BD31-A0105B8D131D}">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 ref="BF55" dT="2022-07-27T11:57:35.03" personId="{611737AC-4E77-4165-8EE6-5F4CCA24C1DF}" id="{7EBFA325-F554-492E-9D28-D2C441B45685}">
    <text>4Q22 call: "And, even with this significant level of investment in our future, we expect operating margins based on constant currency to be approximately flat year-over-year in FY23, excluding the benefit from the latest change in useful life. And in US dollars, we expect FY23 full year margins to be
roughly flat as the useful life benefit is mostly offset by the FX headwind mentioned earlier."
1Q23 call: "we expect operating margins based on constant currency to be approximately flat year-over-year in FY23, excluding the benefit from the latest change in useful life."</text>
  </threadedComment>
  <threadedComment ref="Z73" dT="2020-07-22T22:20:06.67" personId="{4278B1C6-E86A-4359-9082-D890D57A3D72}" id="{AC57B851-5476-49BC-8711-24ABBD02C7B8}">
    <text>D&amp;A change means 900M less Q1 and 2.7B less in FY21</text>
  </threadedComment>
  <threadedComment ref="AA73" dT="2020-07-22T22:20:06.67" personId="{4278B1C6-E86A-4359-9082-D890D57A3D72}" id="{D4FA7C14-6E0B-4E95-9D15-CBBB9E858B5F}">
    <text>D&amp;A change means 900M less Q1 and 2.7B less in FY21</text>
  </threadedComment>
  <threadedComment ref="AF73" dT="2022-07-27T12:05:06.94" personId="{611737AC-4E77-4165-8EE6-5F4CCA24C1DF}" id="{103CBC3E-EC99-4C4E-9571-998797F85A77}">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G73" dT="2022-07-27T12:05:06.94" personId="{611737AC-4E77-4165-8EE6-5F4CCA24C1DF}" id="{54B62CC3-D4F5-4B05-8D5C-913470225264}">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H73" dT="2022-07-27T12:05:06.94" personId="{611737AC-4E77-4165-8EE6-5F4CCA24C1DF}" id="{1C044D2A-374E-4120-937F-207C1B97A41E}">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AI73" dT="2022-07-27T12:05:06.94" personId="{611737AC-4E77-4165-8EE6-5F4CCA24C1DF}" id="{85970624-4471-455C-8ABD-F1067DF27242}">
    <text>Q4 22 call: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text>
  </threadedComment>
  <threadedComment ref="BD73" dT="2020-07-22T22:20:06.67" personId="{4278B1C6-E86A-4359-9082-D890D57A3D72}" id="{A275D6EF-D7C4-4047-8068-E8C491B7F562}">
    <text>D&amp;A change means 900M less Q1 and 2.7B less in FY21</text>
  </threadedComment>
  <threadedComment ref="AD79" dT="2022-01-26T12:26:02.21" personId="{611737AC-4E77-4165-8EE6-5F4CCA24C1DF}" id="{8871302A-9BD9-46B1-A8CB-C76A90D51258}">
    <text>"And, on a dollar basis, we expect capital expenditures to be slightly down sequentially with normal quarterly variability in the timing of cloud infrastructure buildout." Q2 Call</text>
  </threadedComment>
  <threadedComment ref="AE79" dT="2022-04-26T22:24:52.43" personId="{611737AC-4E77-4165-8EE6-5F4CCA24C1DF}" id="{46813019-3E59-4FC8-A16F-E809F8F67B21}">
    <text>"Capital expenditures, we expect a sequential increase on a dollar basis as we continue to invest to meet growing global demand for our cloud services"</text>
  </threadedComment>
  <threadedComment ref="AF79" dT="2022-07-27T12:55:58.40" personId="{611737AC-4E77-4165-8EE6-5F4CCA24C1DF}" id="{382BB08A-3755-43A1-88FE-D9A9F668C8DB}">
    <text>4Q22 call: "In capital expenditures, we expect a sequential decrease on a dollar basis with normal quarterly spend variability in the timing of our cloud infrastructure buildout."</text>
  </threadedComment>
  <threadedComment ref="AG79" dT="2022-10-26T12:33:14.26" personId="{611737AC-4E77-4165-8EE6-5F4CCA24C1DF}" id="{B6B17B0E-2767-4EF5-AE1F-FBDEADE7D2BB}">
    <text>Q1 guide of sequential decrease</text>
  </threadedComment>
  <threadedComment ref="W114" dT="2020-06-09T15:29:33.78" personId="{4278B1C6-E86A-4359-9082-D890D57A3D72}" id="{EB1AC7BC-78B8-44E6-92A3-10F327188AC6}">
    <text>11.65-11.95 guide</text>
  </threadedComment>
  <threadedComment ref="X114" dT="2020-07-22T22:07:43.84" personId="{4278B1C6-E86A-4359-9082-D890D57A3D72}" id="{1C05113E-0CDB-414F-AB3F-94257FFD7F54}">
    <text>11.65-11.90 Q4 guide</text>
  </threadedComment>
  <threadedComment ref="Y114" dT="2020-10-27T22:03:00.79" personId="{611737AC-4E77-4165-8EE6-5F4CCA24C1DF}" id="{3EDDCF45-6C30-4F64-91A6-73F09704FA61}">
    <text>$12.75-13 Q1 guide</text>
  </threadedComment>
  <threadedComment ref="Z114" dT="2021-01-26T23:06:19.30" personId="{611737AC-4E77-4165-8EE6-5F4CCA24C1DF}" id="{9685F24A-A7E1-4318-A2E5-76872B9436AE}">
    <text>Q1 guide of 13.35-13.6</text>
  </threadedComment>
  <threadedComment ref="AA114" dT="2021-04-27T22:04:04.00" personId="{611737AC-4E77-4165-8EE6-5F4CCA24C1DF}" id="{B5B6ED67-311D-4228-B457-EAFB72ACD482}">
    <text>Q3 guide of 13.8-14.05</text>
  </threadedComment>
  <threadedComment ref="AB114" dT="2021-04-27T22:04:04.00" personId="{611737AC-4E77-4165-8EE6-5F4CCA24C1DF}" id="{3BED3A54-4B15-42E6-A174-90B327372562}">
    <text>Q4 guide of 14.5-14.75</text>
  </threadedComment>
  <threadedComment ref="AC114" dT="2021-10-27T12:21:35.53" personId="{611737AC-4E77-4165-8EE6-5F4CCA24C1DF}" id="{0822F084-60B1-4CCA-BC53-41CDB6111521}">
    <text>Q1 guide of 15.7-15.95</text>
  </threadedComment>
  <threadedComment ref="AD114" dT="2022-01-26T12:14:23.10" personId="{611737AC-4E77-4165-8EE6-5F4CCA24C1DF}" id="{8A00680B-A0A9-45CC-9EC2-24C87AAF0BDD}">
    <text>Q2 Guide of 15.6-15.85</text>
  </threadedComment>
  <threadedComment ref="AE114" dT="2022-01-26T12:14:23.10" personId="{611737AC-4E77-4165-8EE6-5F4CCA24C1DF}" id="{F8C7EC10-DDCF-4A27-ACF4-A6D2F47EA426}">
    <text>Q3 Guide of 16.65-16.90;
Updated 6.2.22 guide of 16.48-16.73</text>
  </threadedComment>
  <threadedComment ref="AF114" dT="2022-01-26T12:14:23.10" personId="{611737AC-4E77-4165-8EE6-5F4CCA24C1DF}" id="{0F552A18-48C7-45BE-B971-AE210B086F65}">
    <text>Q4 Guide of 15.96-16.25</text>
  </threadedComment>
  <threadedComment ref="AG114" dT="2022-10-26T12:10:10.57" personId="{611737AC-4E77-4165-8EE6-5F4CCA24C1DF}" id="{87581234-D30B-4C4D-8625-20A2E2B3B9FF}">
    <text>Q1 guide 16.6-16.9</text>
  </threadedComment>
  <threadedComment ref="W115" dT="2020-06-09T15:29:53.55" personId="{4278B1C6-E86A-4359-9082-D890D57A3D72}" id="{78307713-C009-447D-A550-657247252C5A}">
    <text>12.9-13.15 guide</text>
  </threadedComment>
  <threadedComment ref="X115" dT="2020-07-22T22:05:32.17" personId="{4278B1C6-E86A-4359-9082-D890D57A3D72}" id="{388D9D9F-C72E-48F5-B650-65CDAF52C435}">
    <text>12.55-12.80 Q4 guide</text>
  </threadedComment>
  <threadedComment ref="Y115" dT="2020-10-27T22:03:50.30" personId="{611737AC-4E77-4165-8EE6-5F4CCA24C1DF}" id="{BB61DBB3-9E45-4B0E-9203-757B1881CB20}">
    <text>$13.55-13.8 Q1 guide</text>
  </threadedComment>
  <threadedComment ref="Z115" dT="2021-01-26T23:06:19.30" personId="{611737AC-4E77-4165-8EE6-5F4CCA24C1DF}" id="{86CC0559-E496-4208-A144-A86438E836A2}">
    <text>Q1 guide of 14.7-14.95</text>
  </threadedComment>
  <threadedComment ref="AA115" dT="2021-04-27T22:04:18.67" personId="{611737AC-4E77-4165-8EE6-5F4CCA24C1DF}" id="{B284F14B-0FD6-445D-B72E-CF8ADE3D8FE1}">
    <text>Q3 guide of 16.2-16.45</text>
  </threadedComment>
  <threadedComment ref="AB115" dT="2021-04-27T22:04:18.67" personId="{611737AC-4E77-4165-8EE6-5F4CCA24C1DF}" id="{BC5100C3-DD1E-4368-8814-1ECA46E52C7B}">
    <text>Q4 guide of 16.4-16.65</text>
  </threadedComment>
  <threadedComment ref="AC115" dT="2021-10-27T12:21:35.53" personId="{611737AC-4E77-4165-8EE6-5F4CCA24C1DF}" id="{C575EC67-1546-4673-AD6C-7A60BAEF1BB4}">
    <text>Q1 guide of 18.1-18.35</text>
  </threadedComment>
  <threadedComment ref="AD115" dT="2022-01-26T12:14:23.10" personId="{611737AC-4E77-4165-8EE6-5F4CCA24C1DF}" id="{92DB0D52-F784-49B5-95F3-1B927F6C0509}">
    <text>Q2 Guide of 18.75-19.0</text>
  </threadedComment>
  <threadedComment ref="AE115" dT="2022-01-26T12:14:23.10" personId="{611737AC-4E77-4165-8EE6-5F4CCA24C1DF}" id="{217682A9-5151-4F80-932C-CE012E445FFF}">
    <text>Q3 Guide of 21.10-21.35;
updated 6.2.22 guide of 20.92-21.17</text>
  </threadedComment>
  <threadedComment ref="AF115" dT="2022-01-26T12:14:23.10" personId="{611737AC-4E77-4165-8EE6-5F4CCA24C1DF}" id="{0AD1B5A8-10EA-4843-9EF8-9995F6AABD92}">
    <text>Q4 Guide of 20.3-20.6; revised 20.2-20.5 after FY23e investor metrics reallocate HoloLens</text>
  </threadedComment>
  <threadedComment ref="AG115" dT="2022-10-26T12:10:10.57" personId="{611737AC-4E77-4165-8EE6-5F4CCA24C1DF}" id="{401D3B40-7386-41D9-8C25-6C7B958002A6}">
    <text>Q1 guide 21.25-21.55</text>
  </threadedComment>
  <threadedComment ref="BI115" dT="2021-07-28T13:27:58.13" personId="{611737AC-4E77-4165-8EE6-5F4CCA24C1DF}" id="{57E0618D-2E4A-4BC7-9085-EDE04E83A0B7}">
    <text>7.28.21 - maintain Q1 three year stack</text>
  </threadedComment>
  <threadedComment ref="BJ115" dT="2021-07-28T13:27:58.13" personId="{611737AC-4E77-4165-8EE6-5F4CCA24C1DF}" id="{44E70D50-E1B7-4B55-9B38-1C77836230B3}">
    <text>7.28.21 - maintain Q1 three year stack</text>
  </threadedComment>
  <threadedComment ref="BK115" dT="2021-07-28T13:27:58.13" personId="{611737AC-4E77-4165-8EE6-5F4CCA24C1DF}" id="{404711FE-CCC0-425F-BDB5-D6DEB5057807}">
    <text>7.28.21 - maintain Q1 three year stack</text>
  </threadedComment>
  <threadedComment ref="W116" dT="2020-06-09T15:29:43.88" personId="{4278B1C6-E86A-4359-9082-D890D57A3D72}" id="{F82FCC36-5A32-4A93-A37C-56ACC034A559}">
    <text>11.3-11.7 guide</text>
  </threadedComment>
  <threadedComment ref="X116" dT="2020-07-22T22:06:09.21" personId="{4278B1C6-E86A-4359-9082-D890D57A3D72}" id="{F11619A2-F0CA-4A4A-8A32-DB755F79A655}">
    <text>10.95-11.35 Q4 guide</text>
  </threadedComment>
  <threadedComment ref="Y116" dT="2020-10-27T22:04:28.82" personId="{611737AC-4E77-4165-8EE6-5F4CCA24C1DF}" id="{1951A8DC-F8D8-4106-A3EE-49E37DAEFD9A}">
    <text>$13.2-13.6 Q1 guide</text>
  </threadedComment>
  <threadedComment ref="Z116" dT="2021-01-26T23:06:19.30" personId="{611737AC-4E77-4165-8EE6-5F4CCA24C1DF}" id="{47434661-85AC-4C03-BB83-A99F51E068F4}">
    <text>Q1 guide of 12.3-12.7</text>
  </threadedComment>
  <threadedComment ref="AA116" dT="2021-04-27T22:04:33.29" personId="{611737AC-4E77-4165-8EE6-5F4CCA24C1DF}" id="{EE534BE6-5768-4AFF-BA2D-F00074D9A327}">
    <text>Q3 guide of 13.6-14.0</text>
  </threadedComment>
  <threadedComment ref="AB116" dT="2021-04-27T22:04:33.29" personId="{611737AC-4E77-4165-8EE6-5F4CCA24C1DF}" id="{FC3936FA-CA78-4154-BE21-D44ABD1852C7}">
    <text>Q4 guide of 12.4-12.8</text>
  </threadedComment>
  <threadedComment ref="AC116" dT="2021-10-27T12:21:35.53" personId="{611737AC-4E77-4165-8EE6-5F4CCA24C1DF}" id="{B071974C-15B6-4476-9266-EF51FFA6657D}">
    <text>Q1 guide of 16.35-16.75</text>
  </threadedComment>
  <threadedComment ref="AD116" dT="2022-01-26T12:14:23.10" personId="{611737AC-4E77-4165-8EE6-5F4CCA24C1DF}" id="{D8F30B00-1ACC-4D56-A734-0F4A8B62E026}">
    <text>Q2 Guide of 14.15-14.45</text>
  </threadedComment>
  <threadedComment ref="AE116" dT="2022-01-26T12:14:23.10" personId="{611737AC-4E77-4165-8EE6-5F4CCA24C1DF}" id="{81D68EF1-81A3-4F2E-B666-941A01174A6A}">
    <text>Q3 Guide of 14.65-14.95; 
updated 6.2.22 guide of 14.54-14.84</text>
  </threadedComment>
  <threadedComment ref="AF116" dT="2022-01-26T12:14:23.10" personId="{611737AC-4E77-4165-8EE6-5F4CCA24C1DF}" id="{0A16107F-1817-4E56-9463-64E5164EAD34}">
    <text>Q4 Guide of 13.0-13.4; revised 13.1-13.5 after FY23e investor metrics reallocate HoloLens</text>
  </threadedComment>
  <threadedComment ref="AG116" dT="2022-10-26T12:10:10.57" personId="{611737AC-4E77-4165-8EE6-5F4CCA24C1DF}" id="{965C1C82-392C-4E10-BA02-8BF86CAD6E0D}">
    <text>Q1 guide 14.5-14.9</text>
  </threadedComment>
  <threadedComment ref="BI116" dT="2021-07-28T13:27:58.13" personId="{611737AC-4E77-4165-8EE6-5F4CCA24C1DF}" id="{47116650-66AB-4A09-9E66-CCAB046D733C}">
    <text>7.28.21 - maintain Q1 three year stack</text>
  </threadedComment>
  <threadedComment ref="BJ116" dT="2021-07-28T13:27:58.13" personId="{611737AC-4E77-4165-8EE6-5F4CCA24C1DF}" id="{E27DCDD0-3965-4F3E-A447-9A051A1002C1}">
    <text>7.28.21 - maintain Q1 three year stack</text>
  </threadedComment>
  <threadedComment ref="BK116" dT="2021-07-28T13:27:58.13" personId="{611737AC-4E77-4165-8EE6-5F4CCA24C1DF}" id="{E4C0CB98-7DE9-4E33-AB36-D323BBDFE885}">
    <text>7.28.21 - maintain Q1 three year stack</text>
  </threadedComment>
  <threadedComment ref="BI117" dT="2021-07-28T13:27:58.13" personId="{611737AC-4E77-4165-8EE6-5F4CCA24C1DF}" id="{2C3AFD7E-4719-46FB-95C2-293B6D7A5D55}">
    <text>7.28.21 - maintain Q1 three year stack</text>
  </threadedComment>
  <threadedComment ref="BJ117" dT="2021-07-28T13:27:58.13" personId="{611737AC-4E77-4165-8EE6-5F4CCA24C1DF}" id="{BBB3AC65-C3FF-495F-82E7-9D36F3170DCF}">
    <text>7.28.21 - maintain Q1 three year stack</text>
  </threadedComment>
  <threadedComment ref="BK117" dT="2021-07-28T13:27:58.13" personId="{611737AC-4E77-4165-8EE6-5F4CCA24C1DF}" id="{E1199233-F2FF-4F72-A507-0D18383B6AF0}">
    <text>7.28.21 - maintain Q1 three year stack</text>
  </threadedComment>
  <threadedComment ref="AE121" dT="2021-07-28T13:27:58.13" personId="{611737AC-4E77-4165-8EE6-5F4CCA24C1DF}" id="{7F86B462-B734-4BDD-A4E0-2DC62DD05BFE}">
    <text>10.27.21 - gradually reduce off Q3 three year stack level</text>
  </threadedComment>
  <threadedComment ref="AF121" dT="2021-07-28T13:27:58.13" personId="{611737AC-4E77-4165-8EE6-5F4CCA24C1DF}" id="{9F46957A-1FA5-4D88-AD86-E9186BDFBA9A}">
    <text>4.22.22 - gradually reduce off Q4 three year stack level</text>
  </threadedComment>
  <threadedComment ref="AG121" dT="2021-07-28T13:27:58.13" personId="{611737AC-4E77-4165-8EE6-5F4CCA24C1DF}" id="{907C19CC-94A4-422F-9F06-46E2E4C499B4}">
    <text>4.22.22 - gradually reduce off Q4 three year stack level</text>
  </threadedComment>
  <threadedComment ref="AH121" dT="2021-07-28T13:27:58.13" personId="{611737AC-4E77-4165-8EE6-5F4CCA24C1DF}" id="{9424C4A2-86DD-4E6E-B894-CAEC5AED2194}">
    <text>4.22.22 - gradually reduce off Q4 three year stack level</text>
  </threadedComment>
  <threadedComment ref="AI121" dT="2021-07-28T13:27:58.13" personId="{611737AC-4E77-4165-8EE6-5F4CCA24C1DF}" id="{0200313A-FD1E-43B2-B5B4-69EADE9184E3}">
    <text>4.22.22 - gradually reduce off Q4 three year stack level</text>
  </threadedComment>
  <threadedComment ref="AD122" dT="2022-03-07T15:31:22.23" personId="{611737AC-4E77-4165-8EE6-5F4CCA24C1DF}" id="{27C4EFAE-7097-45BF-859A-A6F75B16D9EF}">
    <text>Adding 350 per quarter for NUAN (only March in FQ3)</text>
  </threadedComment>
  <threadedComment ref="AE122" dT="2021-07-28T13:27:58.13" personId="{611737AC-4E77-4165-8EE6-5F4CCA24C1DF}" id="{A5CD2D45-10CE-4C7D-A264-DADFBE914460}">
    <text>10.27.21 - gradually reduce off Q3 three year stack level</text>
  </threadedComment>
  <threadedComment ref="AF122" dT="2021-07-28T13:27:58.13" personId="{611737AC-4E77-4165-8EE6-5F4CCA24C1DF}" id="{BB394418-A0CA-49B8-B7C1-DF291A8180EC}">
    <text>4.22.22 - gradually reduce off Q4 three year stack level</text>
  </threadedComment>
  <threadedComment ref="AG122" dT="2021-07-28T13:27:58.13" personId="{611737AC-4E77-4165-8EE6-5F4CCA24C1DF}" id="{9B3DD0F8-F562-421E-A309-E2CB5EDE879E}">
    <text>4.22.22 - gradually reduce off Q4 three year stack level</text>
  </threadedComment>
  <threadedComment ref="AH122" dT="2021-07-28T13:27:58.13" personId="{611737AC-4E77-4165-8EE6-5F4CCA24C1DF}" id="{4E839CAB-C105-4244-8A65-A7C0ED7950E8}">
    <text>4.22.22 - gradually reduce off Q4 three year stack level</text>
  </threadedComment>
  <threadedComment ref="AI122" dT="2021-07-28T13:27:58.13" personId="{611737AC-4E77-4165-8EE6-5F4CCA24C1DF}" id="{EEF9F497-1053-4AD3-9E9D-A5E4E10B2D1B}">
    <text>4.22.22 - gradually reduce off Q4 three year stack level</text>
  </threadedComment>
  <threadedComment ref="AE123" dT="2021-07-28T13:27:58.13" personId="{611737AC-4E77-4165-8EE6-5F4CCA24C1DF}" id="{FCECF491-71A0-4A28-AF1F-57565C41E8CC}">
    <text>10.27.21 - gradually reduce off Q3 three year stack level</text>
  </threadedComment>
  <threadedComment ref="AF123" dT="2021-07-28T13:27:58.13" personId="{611737AC-4E77-4165-8EE6-5F4CCA24C1DF}" id="{BA0A2F9F-CA88-4631-A733-B13DA2ECD08E}">
    <text>4.22.22 - gradually reduce off Q4 three year stack level</text>
  </threadedComment>
  <threadedComment ref="AG123" dT="2021-07-28T13:27:58.13" personId="{611737AC-4E77-4165-8EE6-5F4CCA24C1DF}" id="{43633FCA-010D-4657-A13D-6316CB52BD04}">
    <text>4.22.22 - gradually reduce off Q4 three year stack level</text>
  </threadedComment>
  <threadedComment ref="AH123" dT="2021-07-28T13:27:58.13" personId="{611737AC-4E77-4165-8EE6-5F4CCA24C1DF}" id="{1427D541-53FD-4364-B771-E592614EE75E}">
    <text>4.22.22 - gradually reduce off Q4 three year stack level</text>
  </threadedComment>
  <threadedComment ref="AI123" dT="2021-07-28T13:27:58.13" personId="{611737AC-4E77-4165-8EE6-5F4CCA24C1DF}" id="{27A7C0A2-0DF0-4480-8818-002085F60FCC}">
    <text>4.22.22 - gradually reduce off Q4 three year stack level</text>
  </threadedComment>
  <threadedComment ref="X146" dT="2020-07-22T22:14:53.62" personId="{4278B1C6-E86A-4359-9082-D890D57A3D72}" id="{185106EB-5963-4F46-B3DD-4724237B3C8C}">
    <text>13.7 - 14.3 Q4 implied guide</text>
  </threadedComment>
  <threadedComment ref="Z146" dT="2021-01-26T23:08:32.49" personId="{611737AC-4E77-4165-8EE6-5F4CCA24C1DF}" id="{ABDA891E-46BF-448E-9EA7-E3B567DFD1E7}">
    <text>Q1 midpoint guide of 15.65</text>
  </threadedComment>
  <threadedComment ref="R386" dT="2020-06-04T16:37:22.21" personId="{4278B1C6-E86A-4359-9082-D890D57A3D72}" id="{5BD7F01D-F2BF-4C61-8A44-8D04F4E32B04}">
    <text>MAUs surpassed 180M</text>
  </threadedComment>
  <threadedComment ref="H603" dT="2020-10-27T20:43:18.46" personId="{611737AC-4E77-4165-8EE6-5F4CCA24C1DF}" id="{4E621AA6-7E1E-49F9-96E2-31C33A12C9BA}">
    <text>Securities lending payable</text>
  </threadedComment>
  <threadedComment ref="I603" dT="2020-10-27T20:43:18.46" personId="{611737AC-4E77-4165-8EE6-5F4CCA24C1DF}" id="{864C0A20-3FE9-4C12-9896-C047E5F122E4}">
    <text>Securities lending payable</text>
  </threadedComment>
  <threadedComment ref="J603" dT="2020-10-27T20:43:18.46" personId="{611737AC-4E77-4165-8EE6-5F4CCA24C1DF}" id="{6C7A4426-3C56-47B9-B7E3-44A1133AB703}">
    <text>Securities lending payable</text>
  </threadedComment>
  <threadedComment ref="K603" dT="2020-10-27T20:43:18.46" personId="{611737AC-4E77-4165-8EE6-5F4CCA24C1DF}" id="{E7C8205D-08A0-44BA-B48E-DC7AC6BF478E}">
    <text>Securities lending payable</text>
  </threadedComment>
  <threadedComment ref="L603" dT="2020-10-27T20:43:18.46" personId="{611737AC-4E77-4165-8EE6-5F4CCA24C1DF}" id="{0BFBB10D-8866-42C4-9185-5FD039DCBD6C}">
    <text>Securities lending payable</text>
  </threadedComment>
  <threadedComment ref="M603" dT="2020-10-27T20:43:18.46" personId="{611737AC-4E77-4165-8EE6-5F4CCA24C1DF}" id="{654B31CF-C79D-4CDA-9CA2-A0C1A5FD8B35}">
    <text>Securities lending payable</text>
  </threadedComment>
  <threadedComment ref="N603" dT="2020-10-27T20:43:18.46" personId="{611737AC-4E77-4165-8EE6-5F4CCA24C1DF}" id="{1F1E6E3B-7117-4710-A5EB-732D5F6B8D78}">
    <text>Securities lending payable</text>
  </threadedComment>
  <threadedComment ref="O603" dT="2020-10-27T20:43:18.46" personId="{611737AC-4E77-4165-8EE6-5F4CCA24C1DF}" id="{12CE43EC-608C-437C-9C89-8E5405D318BB}">
    <text>Securities lending payable</text>
  </threadedComment>
  <threadedComment ref="P603" dT="2020-10-27T20:43:18.46" personId="{611737AC-4E77-4165-8EE6-5F4CCA24C1DF}" id="{3EA4CBD1-A107-4F72-BC74-25A44EEF8CC7}">
    <text>Securities lending payable</text>
  </threadedComment>
  <threadedComment ref="Q603" dT="2020-10-27T20:43:18.46" personId="{611737AC-4E77-4165-8EE6-5F4CCA24C1DF}" id="{DF1B3E96-BF0D-4E4C-A74A-2D4F71F6A834}">
    <text>Securities lending payable</text>
  </threadedComment>
  <threadedComment ref="R603" dT="2020-10-27T20:43:18.46" personId="{611737AC-4E77-4165-8EE6-5F4CCA24C1DF}" id="{A7ABF591-F9DA-4DDA-8BAF-559AD5F1C52C}">
    <text>Securities lending payable</text>
  </threadedComment>
  <threadedComment ref="S603" dT="2020-10-27T20:43:18.46" personId="{611737AC-4E77-4165-8EE6-5F4CCA24C1DF}" id="{A8037976-1A27-4F9D-B91E-77B810E85FAE}">
    <text>Securities lending payable</text>
  </threadedComment>
  <threadedComment ref="T603" dT="2020-10-27T20:43:18.46" personId="{611737AC-4E77-4165-8EE6-5F4CCA24C1DF}" id="{689A739D-9F65-4CF4-8BC3-06F1203053BF}">
    <text>Securities lending payable</text>
  </threadedComment>
  <threadedComment ref="U603" dT="2020-10-27T20:43:18.46" personId="{611737AC-4E77-4165-8EE6-5F4CCA24C1DF}" id="{5940FD42-415A-40D6-909D-C7B4860983BC}">
    <text>Securities lending payable</text>
  </threadedComment>
  <threadedComment ref="V603" dT="2020-10-27T20:43:18.46" personId="{611737AC-4E77-4165-8EE6-5F4CCA24C1DF}" id="{BAB0F768-8C2E-4E44-97D4-5E3B01AD0AD9}">
    <text>Securities lending payable</text>
  </threadedComment>
  <threadedComment ref="W603" dT="2020-10-27T20:43:18.46" personId="{611737AC-4E77-4165-8EE6-5F4CCA24C1DF}" id="{E57BD4D9-9095-4536-8497-19948AA65431}">
    <text>Securities lending payable</text>
  </threadedComment>
</ThreadedComments>
</file>

<file path=xl/worksheets/_rels/sheet3.xml.rels><?xml version="1.0" encoding="UTF-8" standalone="yes"?>
<Relationships xmlns="http://schemas.openxmlformats.org/package/2006/relationships"><Relationship Id="rId8" Type="http://schemas.openxmlformats.org/officeDocument/2006/relationships/hyperlink" Target="javascript:click();" TargetMode="External"/><Relationship Id="rId13" Type="http://schemas.openxmlformats.org/officeDocument/2006/relationships/vmlDrawing" Target="../drawings/vmlDrawing1.vml"/><Relationship Id="rId3" Type="http://schemas.openxmlformats.org/officeDocument/2006/relationships/hyperlink" Target="javascript:click();" TargetMode="External"/><Relationship Id="rId7" Type="http://schemas.openxmlformats.org/officeDocument/2006/relationships/hyperlink" Target="javascript:click();" TargetMode="External"/><Relationship Id="rId12" Type="http://schemas.openxmlformats.org/officeDocument/2006/relationships/printerSettings" Target="../printerSettings/printerSettings1.bin"/><Relationship Id="rId2" Type="http://schemas.openxmlformats.org/officeDocument/2006/relationships/hyperlink" Target="javascript:click();" TargetMode="External"/><Relationship Id="rId1" Type="http://schemas.openxmlformats.org/officeDocument/2006/relationships/hyperlink" Target="javascript:click();" TargetMode="External"/><Relationship Id="rId6" Type="http://schemas.openxmlformats.org/officeDocument/2006/relationships/hyperlink" Target="javascript:click();" TargetMode="External"/><Relationship Id="rId11" Type="http://schemas.openxmlformats.org/officeDocument/2006/relationships/hyperlink" Target="javascript:click();" TargetMode="External"/><Relationship Id="rId5" Type="http://schemas.openxmlformats.org/officeDocument/2006/relationships/hyperlink" Target="javascript:click();" TargetMode="External"/><Relationship Id="rId15" Type="http://schemas.microsoft.com/office/2017/10/relationships/threadedComment" Target="../threadedComments/threadedComment1.xml"/><Relationship Id="rId10" Type="http://schemas.openxmlformats.org/officeDocument/2006/relationships/hyperlink" Target="javascript:click();" TargetMode="External"/><Relationship Id="rId4" Type="http://schemas.openxmlformats.org/officeDocument/2006/relationships/hyperlink" Target="javascript:click();" TargetMode="External"/><Relationship Id="rId9" Type="http://schemas.openxmlformats.org/officeDocument/2006/relationships/hyperlink" Target="javascript:click();" TargetMode="External"/><Relationship Id="rId1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8" Type="http://schemas.openxmlformats.org/officeDocument/2006/relationships/hyperlink" Target="javascript:click();" TargetMode="External"/><Relationship Id="rId13" Type="http://schemas.openxmlformats.org/officeDocument/2006/relationships/vmlDrawing" Target="../drawings/vmlDrawing2.vml"/><Relationship Id="rId3" Type="http://schemas.openxmlformats.org/officeDocument/2006/relationships/hyperlink" Target="javascript:click();" TargetMode="External"/><Relationship Id="rId7" Type="http://schemas.openxmlformats.org/officeDocument/2006/relationships/hyperlink" Target="javascript:click();" TargetMode="External"/><Relationship Id="rId12" Type="http://schemas.openxmlformats.org/officeDocument/2006/relationships/printerSettings" Target="../printerSettings/printerSettings2.bin"/><Relationship Id="rId2" Type="http://schemas.openxmlformats.org/officeDocument/2006/relationships/hyperlink" Target="javascript:click();" TargetMode="External"/><Relationship Id="rId1" Type="http://schemas.openxmlformats.org/officeDocument/2006/relationships/hyperlink" Target="javascript:click();" TargetMode="External"/><Relationship Id="rId6" Type="http://schemas.openxmlformats.org/officeDocument/2006/relationships/hyperlink" Target="javascript:click();" TargetMode="External"/><Relationship Id="rId11" Type="http://schemas.openxmlformats.org/officeDocument/2006/relationships/hyperlink" Target="javascript:click();" TargetMode="External"/><Relationship Id="rId5" Type="http://schemas.openxmlformats.org/officeDocument/2006/relationships/hyperlink" Target="javascript:click();" TargetMode="External"/><Relationship Id="rId15" Type="http://schemas.microsoft.com/office/2017/10/relationships/threadedComment" Target="../threadedComments/threadedComment2.xml"/><Relationship Id="rId10" Type="http://schemas.openxmlformats.org/officeDocument/2006/relationships/hyperlink" Target="javascript:click();" TargetMode="External"/><Relationship Id="rId4" Type="http://schemas.openxmlformats.org/officeDocument/2006/relationships/hyperlink" Target="javascript:click();" TargetMode="External"/><Relationship Id="rId9" Type="http://schemas.openxmlformats.org/officeDocument/2006/relationships/hyperlink" Target="javascript:click();" TargetMode="External"/><Relationship Id="rId1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8" Type="http://schemas.openxmlformats.org/officeDocument/2006/relationships/hyperlink" Target="javascript:void(0);" TargetMode="External"/><Relationship Id="rId13" Type="http://schemas.microsoft.com/office/2017/10/relationships/threadedComment" Target="../threadedComments/threadedComment5.xml"/><Relationship Id="rId3" Type="http://schemas.openxmlformats.org/officeDocument/2006/relationships/hyperlink" Target="javascript:void(0);" TargetMode="External"/><Relationship Id="rId7" Type="http://schemas.openxmlformats.org/officeDocument/2006/relationships/hyperlink" Target="javascript:void(0);" TargetMode="External"/><Relationship Id="rId12" Type="http://schemas.openxmlformats.org/officeDocument/2006/relationships/comments" Target="../comments5.xml"/><Relationship Id="rId2" Type="http://schemas.openxmlformats.org/officeDocument/2006/relationships/hyperlink" Target="javascript:void(0);" TargetMode="External"/><Relationship Id="rId1" Type="http://schemas.openxmlformats.org/officeDocument/2006/relationships/hyperlink" Target="javascript:void(0);" TargetMode="External"/><Relationship Id="rId6" Type="http://schemas.openxmlformats.org/officeDocument/2006/relationships/hyperlink" Target="javascript:void(0);" TargetMode="External"/><Relationship Id="rId11" Type="http://schemas.openxmlformats.org/officeDocument/2006/relationships/vmlDrawing" Target="../drawings/vmlDrawing5.vml"/><Relationship Id="rId5" Type="http://schemas.openxmlformats.org/officeDocument/2006/relationships/hyperlink" Target="javascript:void(0);" TargetMode="External"/><Relationship Id="rId10" Type="http://schemas.openxmlformats.org/officeDocument/2006/relationships/drawing" Target="../drawings/drawing1.xml"/><Relationship Id="rId4" Type="http://schemas.openxmlformats.org/officeDocument/2006/relationships/hyperlink" Target="javascript:void(0);" TargetMode="External"/><Relationship Id="rId9"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1.bin"/><Relationship Id="rId4" Type="http://schemas.microsoft.com/office/2017/10/relationships/threadedComment" Target="../threadedComments/threadedComment6.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2.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artner.com/en/newsroom/press-releases/2020-04-13-gartner-says-worldwide-pc-shipments-declined-12-point-3-percent-in-the-first-quarter-of-2020-due-to-coronavirus-pandemic" TargetMode="External"/><Relationship Id="rId13" Type="http://schemas.openxmlformats.org/officeDocument/2006/relationships/hyperlink" Target="https://www.gartner.com/en/newsroom/press-releases/2017-01-11-gartner-says-2016-marked-fifth-consecutive-year-of-worldwide-pc-shipment-decline" TargetMode="External"/><Relationship Id="rId18" Type="http://schemas.openxmlformats.org/officeDocument/2006/relationships/drawing" Target="../drawings/drawing7.xml"/><Relationship Id="rId3" Type="http://schemas.openxmlformats.org/officeDocument/2006/relationships/hyperlink" Target="https://www.gartner.com/en/newsroom/press-releases/2022-04-11-gartner-says-worldwide-pc-shipments-declined-7-percent-in-first-quarter-of-2022" TargetMode="External"/><Relationship Id="rId21" Type="http://schemas.microsoft.com/office/2017/10/relationships/threadedComment" Target="../threadedComments/threadedComment8.xml"/><Relationship Id="rId7" Type="http://schemas.openxmlformats.org/officeDocument/2006/relationships/hyperlink" Target="https://www.gartner.com/en/newsroom/press-releases/2020-07-09-gartner-says-worldwide-pc-shipments-grew-2point8-percent-in-second-quarter-of-2020" TargetMode="External"/><Relationship Id="rId12" Type="http://schemas.openxmlformats.org/officeDocument/2006/relationships/hyperlink" Target="https://www.gartner.com/en/newsroom/press-releases/2018-04-11-gartner-says-worldwide-pc-shipments-declined-1-percent-in-first-quarter-of-2018" TargetMode="External"/><Relationship Id="rId17" Type="http://schemas.openxmlformats.org/officeDocument/2006/relationships/printerSettings" Target="../printerSettings/printerSettings13.bin"/><Relationship Id="rId2" Type="http://schemas.openxmlformats.org/officeDocument/2006/relationships/hyperlink" Target="https://www.gartner.com/en/newsroom/press-releases/2022-07-11-gartner-says-worldwide-pc-shipments-experienced-the-sharpest-decline-in-nine-years-in-second-quarter-of-2022" TargetMode="External"/><Relationship Id="rId16" Type="http://schemas.openxmlformats.org/officeDocument/2006/relationships/hyperlink" Target="https://www.gartner.com/en/newsroom/press-releases/2016-04-11-gartner-says-worldwide-pc-shipments-declined-9-percent-in-first-quarter-of-2016" TargetMode="External"/><Relationship Id="rId20" Type="http://schemas.openxmlformats.org/officeDocument/2006/relationships/comments" Target="../comments8.xml"/><Relationship Id="rId1" Type="http://schemas.openxmlformats.org/officeDocument/2006/relationships/hyperlink" Target="https://www.gartner.com/en/newsroom/press-releases/2022-10-10-gartner-says-worldwide-pc-shipments-declined-19-percent-in-third-quarter-of-2022" TargetMode="External"/><Relationship Id="rId6" Type="http://schemas.openxmlformats.org/officeDocument/2006/relationships/hyperlink" Target="https://www.gartner.com/en/newsroom/press-releases/2020-10-12-gartner-says-worldwide-pc-shipments-grew-3-point-six-percent-in-the-third-quarter-of-2020" TargetMode="External"/><Relationship Id="rId11" Type="http://schemas.openxmlformats.org/officeDocument/2006/relationships/hyperlink" Target="https://www.gartner.com/en/newsroom/press-releases/2018-07-12--gartner-says-worldwide-pc-shipments-grew-for-the-first-time-in-six-years-during-the-second-quarter-of-2018" TargetMode="External"/><Relationship Id="rId5" Type="http://schemas.openxmlformats.org/officeDocument/2006/relationships/hyperlink" Target="https://www.gartner.com/en/newsroom/press-releases/2021-01-11-gartner-says-worldwide-pc-shipments-grew-10-point-7-percent-in-the-fourth-quarter-of-2020-and-4-point-8-percent-for-the-year" TargetMode="External"/><Relationship Id="rId15" Type="http://schemas.openxmlformats.org/officeDocument/2006/relationships/hyperlink" Target="https://www.businesswire.com/news/home/20160711006385/en/Gartner-Worldwide-PC-Shipments-Declined-5.2-Percent" TargetMode="External"/><Relationship Id="rId10" Type="http://schemas.openxmlformats.org/officeDocument/2006/relationships/hyperlink" Target="https://www.gartner.com/en/newsroom/press-releases/2018-10-10-gartner-says-worldwide-pc-shipments-experienced-flat-growth-in-the-third-quarter-of-2018" TargetMode="External"/><Relationship Id="rId19" Type="http://schemas.openxmlformats.org/officeDocument/2006/relationships/vmlDrawing" Target="../drawings/vmlDrawing8.vml"/><Relationship Id="rId4" Type="http://schemas.openxmlformats.org/officeDocument/2006/relationships/hyperlink" Target="https://www.gartner.com/en/newsroom/press-releases/2023-01-11-gartner-says-worldwide-pc-shipments-declined-28-percent-in-fourth-quarter-of-2022-and-16-percent-for-the-year" TargetMode="External"/><Relationship Id="rId9" Type="http://schemas.openxmlformats.org/officeDocument/2006/relationships/hyperlink" Target="https://www.gartner.com/en/newsroom/press-releases/2019-01-10-gartner-says-worldwide-pc-shipments-declined-4-3-perc" TargetMode="External"/><Relationship Id="rId14" Type="http://schemas.openxmlformats.org/officeDocument/2006/relationships/hyperlink" Target="https://www.gartner.com/en/newsroom/press-releases/2016-10-11-gartner-says-worldwide-pc-shipments-declined-5-percent-in-third-quarter-of-2016"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16.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807D2-8375-4B02-B113-41356272AF2D}">
  <dimension ref="A1"/>
  <sheetViews>
    <sheetView workbookViewId="0"/>
  </sheetViews>
  <sheetFormatPr defaultRowHeight="9.9499999999999993"/>
  <sheetData>
    <row r="1" spans="1:1">
      <c r="A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3D6DF-44CD-419B-8D44-2246FB7FE28B}">
  <dimension ref="A1:BH1"/>
  <sheetViews>
    <sheetView workbookViewId="0"/>
  </sheetViews>
  <sheetFormatPr defaultRowHeight="9.9499999999999993"/>
  <sheetData>
    <row r="1" spans="1:60">
      <c r="A1">
        <v>60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3133D-A4CC-4903-A910-A4134F7BDC8E}">
  <sheetPr>
    <pageSetUpPr fitToPage="1"/>
  </sheetPr>
  <dimension ref="A1:AP163"/>
  <sheetViews>
    <sheetView tabSelected="1" view="pageBreakPreview" zoomScale="55" zoomScaleNormal="75" zoomScaleSheetLayoutView="55" workbookViewId="0">
      <pane xSplit="1" ySplit="5" topLeftCell="B6" activePane="bottomRight" state="frozen"/>
      <selection pane="bottomRight" activeCell="B6" sqref="B6"/>
      <selection pane="bottomLeft" activeCell="D83" sqref="D83"/>
      <selection pane="topRight" activeCell="D83" sqref="D83"/>
    </sheetView>
  </sheetViews>
  <sheetFormatPr defaultColWidth="4.5" defaultRowHeight="14.1" outlineLevelRow="1" outlineLevelCol="1"/>
  <cols>
    <col min="1" max="1" width="43.5" style="1354" customWidth="1"/>
    <col min="2" max="2" width="4.1640625" style="1354" customWidth="1"/>
    <col min="3" max="3" width="14.83203125" style="1354" hidden="1" customWidth="1" outlineLevel="1"/>
    <col min="4" max="4" width="22.5" style="1354" customWidth="1" collapsed="1"/>
    <col min="5" max="22" width="22.5" style="1354" customWidth="1"/>
    <col min="23" max="24" width="10.6640625" style="1354" customWidth="1"/>
    <col min="25" max="25" width="30" style="1354" bestFit="1" customWidth="1"/>
    <col min="26" max="30" width="11.1640625" style="1354" customWidth="1"/>
    <col min="31" max="44" width="12.1640625" style="1354" customWidth="1"/>
    <col min="45" max="256" width="4.5" style="1354"/>
    <col min="257" max="257" width="11.83203125" style="1354" customWidth="1"/>
    <col min="258" max="258" width="2.1640625" style="1354" customWidth="1"/>
    <col min="259" max="274" width="10.6640625" style="1354" customWidth="1"/>
    <col min="275" max="276" width="14" style="1354" customWidth="1"/>
    <col min="277" max="277" width="54" style="1354" customWidth="1"/>
    <col min="278" max="280" width="10.6640625" style="1354" customWidth="1"/>
    <col min="281" max="287" width="11.1640625" style="1354" customWidth="1"/>
    <col min="288" max="512" width="4.5" style="1354"/>
    <col min="513" max="513" width="11.83203125" style="1354" customWidth="1"/>
    <col min="514" max="514" width="2.1640625" style="1354" customWidth="1"/>
    <col min="515" max="530" width="10.6640625" style="1354" customWidth="1"/>
    <col min="531" max="532" width="14" style="1354" customWidth="1"/>
    <col min="533" max="533" width="54" style="1354" customWidth="1"/>
    <col min="534" max="536" width="10.6640625" style="1354" customWidth="1"/>
    <col min="537" max="543" width="11.1640625" style="1354" customWidth="1"/>
    <col min="544" max="768" width="4.5" style="1354"/>
    <col min="769" max="769" width="11.83203125" style="1354" customWidth="1"/>
    <col min="770" max="770" width="2.1640625" style="1354" customWidth="1"/>
    <col min="771" max="786" width="10.6640625" style="1354" customWidth="1"/>
    <col min="787" max="788" width="14" style="1354" customWidth="1"/>
    <col min="789" max="789" width="54" style="1354" customWidth="1"/>
    <col min="790" max="792" width="10.6640625" style="1354" customWidth="1"/>
    <col min="793" max="799" width="11.1640625" style="1354" customWidth="1"/>
    <col min="800" max="1024" width="4.5" style="1354"/>
    <col min="1025" max="1025" width="11.83203125" style="1354" customWidth="1"/>
    <col min="1026" max="1026" width="2.1640625" style="1354" customWidth="1"/>
    <col min="1027" max="1042" width="10.6640625" style="1354" customWidth="1"/>
    <col min="1043" max="1044" width="14" style="1354" customWidth="1"/>
    <col min="1045" max="1045" width="54" style="1354" customWidth="1"/>
    <col min="1046" max="1048" width="10.6640625" style="1354" customWidth="1"/>
    <col min="1049" max="1055" width="11.1640625" style="1354" customWidth="1"/>
    <col min="1056" max="1280" width="4.5" style="1354"/>
    <col min="1281" max="1281" width="11.83203125" style="1354" customWidth="1"/>
    <col min="1282" max="1282" width="2.1640625" style="1354" customWidth="1"/>
    <col min="1283" max="1298" width="10.6640625" style="1354" customWidth="1"/>
    <col min="1299" max="1300" width="14" style="1354" customWidth="1"/>
    <col min="1301" max="1301" width="54" style="1354" customWidth="1"/>
    <col min="1302" max="1304" width="10.6640625" style="1354" customWidth="1"/>
    <col min="1305" max="1311" width="11.1640625" style="1354" customWidth="1"/>
    <col min="1312" max="1536" width="4.5" style="1354"/>
    <col min="1537" max="1537" width="11.83203125" style="1354" customWidth="1"/>
    <col min="1538" max="1538" width="2.1640625" style="1354" customWidth="1"/>
    <col min="1539" max="1554" width="10.6640625" style="1354" customWidth="1"/>
    <col min="1555" max="1556" width="14" style="1354" customWidth="1"/>
    <col min="1557" max="1557" width="54" style="1354" customWidth="1"/>
    <col min="1558" max="1560" width="10.6640625" style="1354" customWidth="1"/>
    <col min="1561" max="1567" width="11.1640625" style="1354" customWidth="1"/>
    <col min="1568" max="1792" width="4.5" style="1354"/>
    <col min="1793" max="1793" width="11.83203125" style="1354" customWidth="1"/>
    <col min="1794" max="1794" width="2.1640625" style="1354" customWidth="1"/>
    <col min="1795" max="1810" width="10.6640625" style="1354" customWidth="1"/>
    <col min="1811" max="1812" width="14" style="1354" customWidth="1"/>
    <col min="1813" max="1813" width="54" style="1354" customWidth="1"/>
    <col min="1814" max="1816" width="10.6640625" style="1354" customWidth="1"/>
    <col min="1817" max="1823" width="11.1640625" style="1354" customWidth="1"/>
    <col min="1824" max="2048" width="4.5" style="1354"/>
    <col min="2049" max="2049" width="11.83203125" style="1354" customWidth="1"/>
    <col min="2050" max="2050" width="2.1640625" style="1354" customWidth="1"/>
    <col min="2051" max="2066" width="10.6640625" style="1354" customWidth="1"/>
    <col min="2067" max="2068" width="14" style="1354" customWidth="1"/>
    <col min="2069" max="2069" width="54" style="1354" customWidth="1"/>
    <col min="2070" max="2072" width="10.6640625" style="1354" customWidth="1"/>
    <col min="2073" max="2079" width="11.1640625" style="1354" customWidth="1"/>
    <col min="2080" max="2304" width="4.5" style="1354"/>
    <col min="2305" max="2305" width="11.83203125" style="1354" customWidth="1"/>
    <col min="2306" max="2306" width="2.1640625" style="1354" customWidth="1"/>
    <col min="2307" max="2322" width="10.6640625" style="1354" customWidth="1"/>
    <col min="2323" max="2324" width="14" style="1354" customWidth="1"/>
    <col min="2325" max="2325" width="54" style="1354" customWidth="1"/>
    <col min="2326" max="2328" width="10.6640625" style="1354" customWidth="1"/>
    <col min="2329" max="2335" width="11.1640625" style="1354" customWidth="1"/>
    <col min="2336" max="2560" width="4.5" style="1354"/>
    <col min="2561" max="2561" width="11.83203125" style="1354" customWidth="1"/>
    <col min="2562" max="2562" width="2.1640625" style="1354" customWidth="1"/>
    <col min="2563" max="2578" width="10.6640625" style="1354" customWidth="1"/>
    <col min="2579" max="2580" width="14" style="1354" customWidth="1"/>
    <col min="2581" max="2581" width="54" style="1354" customWidth="1"/>
    <col min="2582" max="2584" width="10.6640625" style="1354" customWidth="1"/>
    <col min="2585" max="2591" width="11.1640625" style="1354" customWidth="1"/>
    <col min="2592" max="2816" width="4.5" style="1354"/>
    <col min="2817" max="2817" width="11.83203125" style="1354" customWidth="1"/>
    <col min="2818" max="2818" width="2.1640625" style="1354" customWidth="1"/>
    <col min="2819" max="2834" width="10.6640625" style="1354" customWidth="1"/>
    <col min="2835" max="2836" width="14" style="1354" customWidth="1"/>
    <col min="2837" max="2837" width="54" style="1354" customWidth="1"/>
    <col min="2838" max="2840" width="10.6640625" style="1354" customWidth="1"/>
    <col min="2841" max="2847" width="11.1640625" style="1354" customWidth="1"/>
    <col min="2848" max="3072" width="4.5" style="1354"/>
    <col min="3073" max="3073" width="11.83203125" style="1354" customWidth="1"/>
    <col min="3074" max="3074" width="2.1640625" style="1354" customWidth="1"/>
    <col min="3075" max="3090" width="10.6640625" style="1354" customWidth="1"/>
    <col min="3091" max="3092" width="14" style="1354" customWidth="1"/>
    <col min="3093" max="3093" width="54" style="1354" customWidth="1"/>
    <col min="3094" max="3096" width="10.6640625" style="1354" customWidth="1"/>
    <col min="3097" max="3103" width="11.1640625" style="1354" customWidth="1"/>
    <col min="3104" max="3328" width="4.5" style="1354"/>
    <col min="3329" max="3329" width="11.83203125" style="1354" customWidth="1"/>
    <col min="3330" max="3330" width="2.1640625" style="1354" customWidth="1"/>
    <col min="3331" max="3346" width="10.6640625" style="1354" customWidth="1"/>
    <col min="3347" max="3348" width="14" style="1354" customWidth="1"/>
    <col min="3349" max="3349" width="54" style="1354" customWidth="1"/>
    <col min="3350" max="3352" width="10.6640625" style="1354" customWidth="1"/>
    <col min="3353" max="3359" width="11.1640625" style="1354" customWidth="1"/>
    <col min="3360" max="3584" width="4.5" style="1354"/>
    <col min="3585" max="3585" width="11.83203125" style="1354" customWidth="1"/>
    <col min="3586" max="3586" width="2.1640625" style="1354" customWidth="1"/>
    <col min="3587" max="3602" width="10.6640625" style="1354" customWidth="1"/>
    <col min="3603" max="3604" width="14" style="1354" customWidth="1"/>
    <col min="3605" max="3605" width="54" style="1354" customWidth="1"/>
    <col min="3606" max="3608" width="10.6640625" style="1354" customWidth="1"/>
    <col min="3609" max="3615" width="11.1640625" style="1354" customWidth="1"/>
    <col min="3616" max="3840" width="4.5" style="1354"/>
    <col min="3841" max="3841" width="11.83203125" style="1354" customWidth="1"/>
    <col min="3842" max="3842" width="2.1640625" style="1354" customWidth="1"/>
    <col min="3843" max="3858" width="10.6640625" style="1354" customWidth="1"/>
    <col min="3859" max="3860" width="14" style="1354" customWidth="1"/>
    <col min="3861" max="3861" width="54" style="1354" customWidth="1"/>
    <col min="3862" max="3864" width="10.6640625" style="1354" customWidth="1"/>
    <col min="3865" max="3871" width="11.1640625" style="1354" customWidth="1"/>
    <col min="3872" max="4096" width="4.5" style="1354"/>
    <col min="4097" max="4097" width="11.83203125" style="1354" customWidth="1"/>
    <col min="4098" max="4098" width="2.1640625" style="1354" customWidth="1"/>
    <col min="4099" max="4114" width="10.6640625" style="1354" customWidth="1"/>
    <col min="4115" max="4116" width="14" style="1354" customWidth="1"/>
    <col min="4117" max="4117" width="54" style="1354" customWidth="1"/>
    <col min="4118" max="4120" width="10.6640625" style="1354" customWidth="1"/>
    <col min="4121" max="4127" width="11.1640625" style="1354" customWidth="1"/>
    <col min="4128" max="4352" width="4.5" style="1354"/>
    <col min="4353" max="4353" width="11.83203125" style="1354" customWidth="1"/>
    <col min="4354" max="4354" width="2.1640625" style="1354" customWidth="1"/>
    <col min="4355" max="4370" width="10.6640625" style="1354" customWidth="1"/>
    <col min="4371" max="4372" width="14" style="1354" customWidth="1"/>
    <col min="4373" max="4373" width="54" style="1354" customWidth="1"/>
    <col min="4374" max="4376" width="10.6640625" style="1354" customWidth="1"/>
    <col min="4377" max="4383" width="11.1640625" style="1354" customWidth="1"/>
    <col min="4384" max="4608" width="4.5" style="1354"/>
    <col min="4609" max="4609" width="11.83203125" style="1354" customWidth="1"/>
    <col min="4610" max="4610" width="2.1640625" style="1354" customWidth="1"/>
    <col min="4611" max="4626" width="10.6640625" style="1354" customWidth="1"/>
    <col min="4627" max="4628" width="14" style="1354" customWidth="1"/>
    <col min="4629" max="4629" width="54" style="1354" customWidth="1"/>
    <col min="4630" max="4632" width="10.6640625" style="1354" customWidth="1"/>
    <col min="4633" max="4639" width="11.1640625" style="1354" customWidth="1"/>
    <col min="4640" max="4864" width="4.5" style="1354"/>
    <col min="4865" max="4865" width="11.83203125" style="1354" customWidth="1"/>
    <col min="4866" max="4866" width="2.1640625" style="1354" customWidth="1"/>
    <col min="4867" max="4882" width="10.6640625" style="1354" customWidth="1"/>
    <col min="4883" max="4884" width="14" style="1354" customWidth="1"/>
    <col min="4885" max="4885" width="54" style="1354" customWidth="1"/>
    <col min="4886" max="4888" width="10.6640625" style="1354" customWidth="1"/>
    <col min="4889" max="4895" width="11.1640625" style="1354" customWidth="1"/>
    <col min="4896" max="5120" width="4.5" style="1354"/>
    <col min="5121" max="5121" width="11.83203125" style="1354" customWidth="1"/>
    <col min="5122" max="5122" width="2.1640625" style="1354" customWidth="1"/>
    <col min="5123" max="5138" width="10.6640625" style="1354" customWidth="1"/>
    <col min="5139" max="5140" width="14" style="1354" customWidth="1"/>
    <col min="5141" max="5141" width="54" style="1354" customWidth="1"/>
    <col min="5142" max="5144" width="10.6640625" style="1354" customWidth="1"/>
    <col min="5145" max="5151" width="11.1640625" style="1354" customWidth="1"/>
    <col min="5152" max="5376" width="4.5" style="1354"/>
    <col min="5377" max="5377" width="11.83203125" style="1354" customWidth="1"/>
    <col min="5378" max="5378" width="2.1640625" style="1354" customWidth="1"/>
    <col min="5379" max="5394" width="10.6640625" style="1354" customWidth="1"/>
    <col min="5395" max="5396" width="14" style="1354" customWidth="1"/>
    <col min="5397" max="5397" width="54" style="1354" customWidth="1"/>
    <col min="5398" max="5400" width="10.6640625" style="1354" customWidth="1"/>
    <col min="5401" max="5407" width="11.1640625" style="1354" customWidth="1"/>
    <col min="5408" max="5632" width="4.5" style="1354"/>
    <col min="5633" max="5633" width="11.83203125" style="1354" customWidth="1"/>
    <col min="5634" max="5634" width="2.1640625" style="1354" customWidth="1"/>
    <col min="5635" max="5650" width="10.6640625" style="1354" customWidth="1"/>
    <col min="5651" max="5652" width="14" style="1354" customWidth="1"/>
    <col min="5653" max="5653" width="54" style="1354" customWidth="1"/>
    <col min="5654" max="5656" width="10.6640625" style="1354" customWidth="1"/>
    <col min="5657" max="5663" width="11.1640625" style="1354" customWidth="1"/>
    <col min="5664" max="5888" width="4.5" style="1354"/>
    <col min="5889" max="5889" width="11.83203125" style="1354" customWidth="1"/>
    <col min="5890" max="5890" width="2.1640625" style="1354" customWidth="1"/>
    <col min="5891" max="5906" width="10.6640625" style="1354" customWidth="1"/>
    <col min="5907" max="5908" width="14" style="1354" customWidth="1"/>
    <col min="5909" max="5909" width="54" style="1354" customWidth="1"/>
    <col min="5910" max="5912" width="10.6640625" style="1354" customWidth="1"/>
    <col min="5913" max="5919" width="11.1640625" style="1354" customWidth="1"/>
    <col min="5920" max="6144" width="4.5" style="1354"/>
    <col min="6145" max="6145" width="11.83203125" style="1354" customWidth="1"/>
    <col min="6146" max="6146" width="2.1640625" style="1354" customWidth="1"/>
    <col min="6147" max="6162" width="10.6640625" style="1354" customWidth="1"/>
    <col min="6163" max="6164" width="14" style="1354" customWidth="1"/>
    <col min="6165" max="6165" width="54" style="1354" customWidth="1"/>
    <col min="6166" max="6168" width="10.6640625" style="1354" customWidth="1"/>
    <col min="6169" max="6175" width="11.1640625" style="1354" customWidth="1"/>
    <col min="6176" max="6400" width="4.5" style="1354"/>
    <col min="6401" max="6401" width="11.83203125" style="1354" customWidth="1"/>
    <col min="6402" max="6402" width="2.1640625" style="1354" customWidth="1"/>
    <col min="6403" max="6418" width="10.6640625" style="1354" customWidth="1"/>
    <col min="6419" max="6420" width="14" style="1354" customWidth="1"/>
    <col min="6421" max="6421" width="54" style="1354" customWidth="1"/>
    <col min="6422" max="6424" width="10.6640625" style="1354" customWidth="1"/>
    <col min="6425" max="6431" width="11.1640625" style="1354" customWidth="1"/>
    <col min="6432" max="6656" width="4.5" style="1354"/>
    <col min="6657" max="6657" width="11.83203125" style="1354" customWidth="1"/>
    <col min="6658" max="6658" width="2.1640625" style="1354" customWidth="1"/>
    <col min="6659" max="6674" width="10.6640625" style="1354" customWidth="1"/>
    <col min="6675" max="6676" width="14" style="1354" customWidth="1"/>
    <col min="6677" max="6677" width="54" style="1354" customWidth="1"/>
    <col min="6678" max="6680" width="10.6640625" style="1354" customWidth="1"/>
    <col min="6681" max="6687" width="11.1640625" style="1354" customWidth="1"/>
    <col min="6688" max="6912" width="4.5" style="1354"/>
    <col min="6913" max="6913" width="11.83203125" style="1354" customWidth="1"/>
    <col min="6914" max="6914" width="2.1640625" style="1354" customWidth="1"/>
    <col min="6915" max="6930" width="10.6640625" style="1354" customWidth="1"/>
    <col min="6931" max="6932" width="14" style="1354" customWidth="1"/>
    <col min="6933" max="6933" width="54" style="1354" customWidth="1"/>
    <col min="6934" max="6936" width="10.6640625" style="1354" customWidth="1"/>
    <col min="6937" max="6943" width="11.1640625" style="1354" customWidth="1"/>
    <col min="6944" max="7168" width="4.5" style="1354"/>
    <col min="7169" max="7169" width="11.83203125" style="1354" customWidth="1"/>
    <col min="7170" max="7170" width="2.1640625" style="1354" customWidth="1"/>
    <col min="7171" max="7186" width="10.6640625" style="1354" customWidth="1"/>
    <col min="7187" max="7188" width="14" style="1354" customWidth="1"/>
    <col min="7189" max="7189" width="54" style="1354" customWidth="1"/>
    <col min="7190" max="7192" width="10.6640625" style="1354" customWidth="1"/>
    <col min="7193" max="7199" width="11.1640625" style="1354" customWidth="1"/>
    <col min="7200" max="7424" width="4.5" style="1354"/>
    <col min="7425" max="7425" width="11.83203125" style="1354" customWidth="1"/>
    <col min="7426" max="7426" width="2.1640625" style="1354" customWidth="1"/>
    <col min="7427" max="7442" width="10.6640625" style="1354" customWidth="1"/>
    <col min="7443" max="7444" width="14" style="1354" customWidth="1"/>
    <col min="7445" max="7445" width="54" style="1354" customWidth="1"/>
    <col min="7446" max="7448" width="10.6640625" style="1354" customWidth="1"/>
    <col min="7449" max="7455" width="11.1640625" style="1354" customWidth="1"/>
    <col min="7456" max="7680" width="4.5" style="1354"/>
    <col min="7681" max="7681" width="11.83203125" style="1354" customWidth="1"/>
    <col min="7682" max="7682" width="2.1640625" style="1354" customWidth="1"/>
    <col min="7683" max="7698" width="10.6640625" style="1354" customWidth="1"/>
    <col min="7699" max="7700" width="14" style="1354" customWidth="1"/>
    <col min="7701" max="7701" width="54" style="1354" customWidth="1"/>
    <col min="7702" max="7704" width="10.6640625" style="1354" customWidth="1"/>
    <col min="7705" max="7711" width="11.1640625" style="1354" customWidth="1"/>
    <col min="7712" max="7936" width="4.5" style="1354"/>
    <col min="7937" max="7937" width="11.83203125" style="1354" customWidth="1"/>
    <col min="7938" max="7938" width="2.1640625" style="1354" customWidth="1"/>
    <col min="7939" max="7954" width="10.6640625" style="1354" customWidth="1"/>
    <col min="7955" max="7956" width="14" style="1354" customWidth="1"/>
    <col min="7957" max="7957" width="54" style="1354" customWidth="1"/>
    <col min="7958" max="7960" width="10.6640625" style="1354" customWidth="1"/>
    <col min="7961" max="7967" width="11.1640625" style="1354" customWidth="1"/>
    <col min="7968" max="8192" width="4.5" style="1354"/>
    <col min="8193" max="8193" width="11.83203125" style="1354" customWidth="1"/>
    <col min="8194" max="8194" width="2.1640625" style="1354" customWidth="1"/>
    <col min="8195" max="8210" width="10.6640625" style="1354" customWidth="1"/>
    <col min="8211" max="8212" width="14" style="1354" customWidth="1"/>
    <col min="8213" max="8213" width="54" style="1354" customWidth="1"/>
    <col min="8214" max="8216" width="10.6640625" style="1354" customWidth="1"/>
    <col min="8217" max="8223" width="11.1640625" style="1354" customWidth="1"/>
    <col min="8224" max="8448" width="4.5" style="1354"/>
    <col min="8449" max="8449" width="11.83203125" style="1354" customWidth="1"/>
    <col min="8450" max="8450" width="2.1640625" style="1354" customWidth="1"/>
    <col min="8451" max="8466" width="10.6640625" style="1354" customWidth="1"/>
    <col min="8467" max="8468" width="14" style="1354" customWidth="1"/>
    <col min="8469" max="8469" width="54" style="1354" customWidth="1"/>
    <col min="8470" max="8472" width="10.6640625" style="1354" customWidth="1"/>
    <col min="8473" max="8479" width="11.1640625" style="1354" customWidth="1"/>
    <col min="8480" max="8704" width="4.5" style="1354"/>
    <col min="8705" max="8705" width="11.83203125" style="1354" customWidth="1"/>
    <col min="8706" max="8706" width="2.1640625" style="1354" customWidth="1"/>
    <col min="8707" max="8722" width="10.6640625" style="1354" customWidth="1"/>
    <col min="8723" max="8724" width="14" style="1354" customWidth="1"/>
    <col min="8725" max="8725" width="54" style="1354" customWidth="1"/>
    <col min="8726" max="8728" width="10.6640625" style="1354" customWidth="1"/>
    <col min="8729" max="8735" width="11.1640625" style="1354" customWidth="1"/>
    <col min="8736" max="8960" width="4.5" style="1354"/>
    <col min="8961" max="8961" width="11.83203125" style="1354" customWidth="1"/>
    <col min="8962" max="8962" width="2.1640625" style="1354" customWidth="1"/>
    <col min="8963" max="8978" width="10.6640625" style="1354" customWidth="1"/>
    <col min="8979" max="8980" width="14" style="1354" customWidth="1"/>
    <col min="8981" max="8981" width="54" style="1354" customWidth="1"/>
    <col min="8982" max="8984" width="10.6640625" style="1354" customWidth="1"/>
    <col min="8985" max="8991" width="11.1640625" style="1354" customWidth="1"/>
    <col min="8992" max="9216" width="4.5" style="1354"/>
    <col min="9217" max="9217" width="11.83203125" style="1354" customWidth="1"/>
    <col min="9218" max="9218" width="2.1640625" style="1354" customWidth="1"/>
    <col min="9219" max="9234" width="10.6640625" style="1354" customWidth="1"/>
    <col min="9235" max="9236" width="14" style="1354" customWidth="1"/>
    <col min="9237" max="9237" width="54" style="1354" customWidth="1"/>
    <col min="9238" max="9240" width="10.6640625" style="1354" customWidth="1"/>
    <col min="9241" max="9247" width="11.1640625" style="1354" customWidth="1"/>
    <col min="9248" max="9472" width="4.5" style="1354"/>
    <col min="9473" max="9473" width="11.83203125" style="1354" customWidth="1"/>
    <col min="9474" max="9474" width="2.1640625" style="1354" customWidth="1"/>
    <col min="9475" max="9490" width="10.6640625" style="1354" customWidth="1"/>
    <col min="9491" max="9492" width="14" style="1354" customWidth="1"/>
    <col min="9493" max="9493" width="54" style="1354" customWidth="1"/>
    <col min="9494" max="9496" width="10.6640625" style="1354" customWidth="1"/>
    <col min="9497" max="9503" width="11.1640625" style="1354" customWidth="1"/>
    <col min="9504" max="9728" width="4.5" style="1354"/>
    <col min="9729" max="9729" width="11.83203125" style="1354" customWidth="1"/>
    <col min="9730" max="9730" width="2.1640625" style="1354" customWidth="1"/>
    <col min="9731" max="9746" width="10.6640625" style="1354" customWidth="1"/>
    <col min="9747" max="9748" width="14" style="1354" customWidth="1"/>
    <col min="9749" max="9749" width="54" style="1354" customWidth="1"/>
    <col min="9750" max="9752" width="10.6640625" style="1354" customWidth="1"/>
    <col min="9753" max="9759" width="11.1640625" style="1354" customWidth="1"/>
    <col min="9760" max="9984" width="4.5" style="1354"/>
    <col min="9985" max="9985" width="11.83203125" style="1354" customWidth="1"/>
    <col min="9986" max="9986" width="2.1640625" style="1354" customWidth="1"/>
    <col min="9987" max="10002" width="10.6640625" style="1354" customWidth="1"/>
    <col min="10003" max="10004" width="14" style="1354" customWidth="1"/>
    <col min="10005" max="10005" width="54" style="1354" customWidth="1"/>
    <col min="10006" max="10008" width="10.6640625" style="1354" customWidth="1"/>
    <col min="10009" max="10015" width="11.1640625" style="1354" customWidth="1"/>
    <col min="10016" max="10240" width="4.5" style="1354"/>
    <col min="10241" max="10241" width="11.83203125" style="1354" customWidth="1"/>
    <col min="10242" max="10242" width="2.1640625" style="1354" customWidth="1"/>
    <col min="10243" max="10258" width="10.6640625" style="1354" customWidth="1"/>
    <col min="10259" max="10260" width="14" style="1354" customWidth="1"/>
    <col min="10261" max="10261" width="54" style="1354" customWidth="1"/>
    <col min="10262" max="10264" width="10.6640625" style="1354" customWidth="1"/>
    <col min="10265" max="10271" width="11.1640625" style="1354" customWidth="1"/>
    <col min="10272" max="10496" width="4.5" style="1354"/>
    <col min="10497" max="10497" width="11.83203125" style="1354" customWidth="1"/>
    <col min="10498" max="10498" width="2.1640625" style="1354" customWidth="1"/>
    <col min="10499" max="10514" width="10.6640625" style="1354" customWidth="1"/>
    <col min="10515" max="10516" width="14" style="1354" customWidth="1"/>
    <col min="10517" max="10517" width="54" style="1354" customWidth="1"/>
    <col min="10518" max="10520" width="10.6640625" style="1354" customWidth="1"/>
    <col min="10521" max="10527" width="11.1640625" style="1354" customWidth="1"/>
    <col min="10528" max="10752" width="4.5" style="1354"/>
    <col min="10753" max="10753" width="11.83203125" style="1354" customWidth="1"/>
    <col min="10754" max="10754" width="2.1640625" style="1354" customWidth="1"/>
    <col min="10755" max="10770" width="10.6640625" style="1354" customWidth="1"/>
    <col min="10771" max="10772" width="14" style="1354" customWidth="1"/>
    <col min="10773" max="10773" width="54" style="1354" customWidth="1"/>
    <col min="10774" max="10776" width="10.6640625" style="1354" customWidth="1"/>
    <col min="10777" max="10783" width="11.1640625" style="1354" customWidth="1"/>
    <col min="10784" max="11008" width="4.5" style="1354"/>
    <col min="11009" max="11009" width="11.83203125" style="1354" customWidth="1"/>
    <col min="11010" max="11010" width="2.1640625" style="1354" customWidth="1"/>
    <col min="11011" max="11026" width="10.6640625" style="1354" customWidth="1"/>
    <col min="11027" max="11028" width="14" style="1354" customWidth="1"/>
    <col min="11029" max="11029" width="54" style="1354" customWidth="1"/>
    <col min="11030" max="11032" width="10.6640625" style="1354" customWidth="1"/>
    <col min="11033" max="11039" width="11.1640625" style="1354" customWidth="1"/>
    <col min="11040" max="11264" width="4.5" style="1354"/>
    <col min="11265" max="11265" width="11.83203125" style="1354" customWidth="1"/>
    <col min="11266" max="11266" width="2.1640625" style="1354" customWidth="1"/>
    <col min="11267" max="11282" width="10.6640625" style="1354" customWidth="1"/>
    <col min="11283" max="11284" width="14" style="1354" customWidth="1"/>
    <col min="11285" max="11285" width="54" style="1354" customWidth="1"/>
    <col min="11286" max="11288" width="10.6640625" style="1354" customWidth="1"/>
    <col min="11289" max="11295" width="11.1640625" style="1354" customWidth="1"/>
    <col min="11296" max="11520" width="4.5" style="1354"/>
    <col min="11521" max="11521" width="11.83203125" style="1354" customWidth="1"/>
    <col min="11522" max="11522" width="2.1640625" style="1354" customWidth="1"/>
    <col min="11523" max="11538" width="10.6640625" style="1354" customWidth="1"/>
    <col min="11539" max="11540" width="14" style="1354" customWidth="1"/>
    <col min="11541" max="11541" width="54" style="1354" customWidth="1"/>
    <col min="11542" max="11544" width="10.6640625" style="1354" customWidth="1"/>
    <col min="11545" max="11551" width="11.1640625" style="1354" customWidth="1"/>
    <col min="11552" max="11776" width="4.5" style="1354"/>
    <col min="11777" max="11777" width="11.83203125" style="1354" customWidth="1"/>
    <col min="11778" max="11778" width="2.1640625" style="1354" customWidth="1"/>
    <col min="11779" max="11794" width="10.6640625" style="1354" customWidth="1"/>
    <col min="11795" max="11796" width="14" style="1354" customWidth="1"/>
    <col min="11797" max="11797" width="54" style="1354" customWidth="1"/>
    <col min="11798" max="11800" width="10.6640625" style="1354" customWidth="1"/>
    <col min="11801" max="11807" width="11.1640625" style="1354" customWidth="1"/>
    <col min="11808" max="12032" width="4.5" style="1354"/>
    <col min="12033" max="12033" width="11.83203125" style="1354" customWidth="1"/>
    <col min="12034" max="12034" width="2.1640625" style="1354" customWidth="1"/>
    <col min="12035" max="12050" width="10.6640625" style="1354" customWidth="1"/>
    <col min="12051" max="12052" width="14" style="1354" customWidth="1"/>
    <col min="12053" max="12053" width="54" style="1354" customWidth="1"/>
    <col min="12054" max="12056" width="10.6640625" style="1354" customWidth="1"/>
    <col min="12057" max="12063" width="11.1640625" style="1354" customWidth="1"/>
    <col min="12064" max="12288" width="4.5" style="1354"/>
    <col min="12289" max="12289" width="11.83203125" style="1354" customWidth="1"/>
    <col min="12290" max="12290" width="2.1640625" style="1354" customWidth="1"/>
    <col min="12291" max="12306" width="10.6640625" style="1354" customWidth="1"/>
    <col min="12307" max="12308" width="14" style="1354" customWidth="1"/>
    <col min="12309" max="12309" width="54" style="1354" customWidth="1"/>
    <col min="12310" max="12312" width="10.6640625" style="1354" customWidth="1"/>
    <col min="12313" max="12319" width="11.1640625" style="1354" customWidth="1"/>
    <col min="12320" max="12544" width="4.5" style="1354"/>
    <col min="12545" max="12545" width="11.83203125" style="1354" customWidth="1"/>
    <col min="12546" max="12546" width="2.1640625" style="1354" customWidth="1"/>
    <col min="12547" max="12562" width="10.6640625" style="1354" customWidth="1"/>
    <col min="12563" max="12564" width="14" style="1354" customWidth="1"/>
    <col min="12565" max="12565" width="54" style="1354" customWidth="1"/>
    <col min="12566" max="12568" width="10.6640625" style="1354" customWidth="1"/>
    <col min="12569" max="12575" width="11.1640625" style="1354" customWidth="1"/>
    <col min="12576" max="12800" width="4.5" style="1354"/>
    <col min="12801" max="12801" width="11.83203125" style="1354" customWidth="1"/>
    <col min="12802" max="12802" width="2.1640625" style="1354" customWidth="1"/>
    <col min="12803" max="12818" width="10.6640625" style="1354" customWidth="1"/>
    <col min="12819" max="12820" width="14" style="1354" customWidth="1"/>
    <col min="12821" max="12821" width="54" style="1354" customWidth="1"/>
    <col min="12822" max="12824" width="10.6640625" style="1354" customWidth="1"/>
    <col min="12825" max="12831" width="11.1640625" style="1354" customWidth="1"/>
    <col min="12832" max="13056" width="4.5" style="1354"/>
    <col min="13057" max="13057" width="11.83203125" style="1354" customWidth="1"/>
    <col min="13058" max="13058" width="2.1640625" style="1354" customWidth="1"/>
    <col min="13059" max="13074" width="10.6640625" style="1354" customWidth="1"/>
    <col min="13075" max="13076" width="14" style="1354" customWidth="1"/>
    <col min="13077" max="13077" width="54" style="1354" customWidth="1"/>
    <col min="13078" max="13080" width="10.6640625" style="1354" customWidth="1"/>
    <col min="13081" max="13087" width="11.1640625" style="1354" customWidth="1"/>
    <col min="13088" max="13312" width="4.5" style="1354"/>
    <col min="13313" max="13313" width="11.83203125" style="1354" customWidth="1"/>
    <col min="13314" max="13314" width="2.1640625" style="1354" customWidth="1"/>
    <col min="13315" max="13330" width="10.6640625" style="1354" customWidth="1"/>
    <col min="13331" max="13332" width="14" style="1354" customWidth="1"/>
    <col min="13333" max="13333" width="54" style="1354" customWidth="1"/>
    <col min="13334" max="13336" width="10.6640625" style="1354" customWidth="1"/>
    <col min="13337" max="13343" width="11.1640625" style="1354" customWidth="1"/>
    <col min="13344" max="13568" width="4.5" style="1354"/>
    <col min="13569" max="13569" width="11.83203125" style="1354" customWidth="1"/>
    <col min="13570" max="13570" width="2.1640625" style="1354" customWidth="1"/>
    <col min="13571" max="13586" width="10.6640625" style="1354" customWidth="1"/>
    <col min="13587" max="13588" width="14" style="1354" customWidth="1"/>
    <col min="13589" max="13589" width="54" style="1354" customWidth="1"/>
    <col min="13590" max="13592" width="10.6640625" style="1354" customWidth="1"/>
    <col min="13593" max="13599" width="11.1640625" style="1354" customWidth="1"/>
    <col min="13600" max="13824" width="4.5" style="1354"/>
    <col min="13825" max="13825" width="11.83203125" style="1354" customWidth="1"/>
    <col min="13826" max="13826" width="2.1640625" style="1354" customWidth="1"/>
    <col min="13827" max="13842" width="10.6640625" style="1354" customWidth="1"/>
    <col min="13843" max="13844" width="14" style="1354" customWidth="1"/>
    <col min="13845" max="13845" width="54" style="1354" customWidth="1"/>
    <col min="13846" max="13848" width="10.6640625" style="1354" customWidth="1"/>
    <col min="13849" max="13855" width="11.1640625" style="1354" customWidth="1"/>
    <col min="13856" max="14080" width="4.5" style="1354"/>
    <col min="14081" max="14081" width="11.83203125" style="1354" customWidth="1"/>
    <col min="14082" max="14082" width="2.1640625" style="1354" customWidth="1"/>
    <col min="14083" max="14098" width="10.6640625" style="1354" customWidth="1"/>
    <col min="14099" max="14100" width="14" style="1354" customWidth="1"/>
    <col min="14101" max="14101" width="54" style="1354" customWidth="1"/>
    <col min="14102" max="14104" width="10.6640625" style="1354" customWidth="1"/>
    <col min="14105" max="14111" width="11.1640625" style="1354" customWidth="1"/>
    <col min="14112" max="14336" width="4.5" style="1354"/>
    <col min="14337" max="14337" width="11.83203125" style="1354" customWidth="1"/>
    <col min="14338" max="14338" width="2.1640625" style="1354" customWidth="1"/>
    <col min="14339" max="14354" width="10.6640625" style="1354" customWidth="1"/>
    <col min="14355" max="14356" width="14" style="1354" customWidth="1"/>
    <col min="14357" max="14357" width="54" style="1354" customWidth="1"/>
    <col min="14358" max="14360" width="10.6640625" style="1354" customWidth="1"/>
    <col min="14361" max="14367" width="11.1640625" style="1354" customWidth="1"/>
    <col min="14368" max="14592" width="4.5" style="1354"/>
    <col min="14593" max="14593" width="11.83203125" style="1354" customWidth="1"/>
    <col min="14594" max="14594" width="2.1640625" style="1354" customWidth="1"/>
    <col min="14595" max="14610" width="10.6640625" style="1354" customWidth="1"/>
    <col min="14611" max="14612" width="14" style="1354" customWidth="1"/>
    <col min="14613" max="14613" width="54" style="1354" customWidth="1"/>
    <col min="14614" max="14616" width="10.6640625" style="1354" customWidth="1"/>
    <col min="14617" max="14623" width="11.1640625" style="1354" customWidth="1"/>
    <col min="14624" max="14848" width="4.5" style="1354"/>
    <col min="14849" max="14849" width="11.83203125" style="1354" customWidth="1"/>
    <col min="14850" max="14850" width="2.1640625" style="1354" customWidth="1"/>
    <col min="14851" max="14866" width="10.6640625" style="1354" customWidth="1"/>
    <col min="14867" max="14868" width="14" style="1354" customWidth="1"/>
    <col min="14869" max="14869" width="54" style="1354" customWidth="1"/>
    <col min="14870" max="14872" width="10.6640625" style="1354" customWidth="1"/>
    <col min="14873" max="14879" width="11.1640625" style="1354" customWidth="1"/>
    <col min="14880" max="15104" width="4.5" style="1354"/>
    <col min="15105" max="15105" width="11.83203125" style="1354" customWidth="1"/>
    <col min="15106" max="15106" width="2.1640625" style="1354" customWidth="1"/>
    <col min="15107" max="15122" width="10.6640625" style="1354" customWidth="1"/>
    <col min="15123" max="15124" width="14" style="1354" customWidth="1"/>
    <col min="15125" max="15125" width="54" style="1354" customWidth="1"/>
    <col min="15126" max="15128" width="10.6640625" style="1354" customWidth="1"/>
    <col min="15129" max="15135" width="11.1640625" style="1354" customWidth="1"/>
    <col min="15136" max="15360" width="4.5" style="1354"/>
    <col min="15361" max="15361" width="11.83203125" style="1354" customWidth="1"/>
    <col min="15362" max="15362" width="2.1640625" style="1354" customWidth="1"/>
    <col min="15363" max="15378" width="10.6640625" style="1354" customWidth="1"/>
    <col min="15379" max="15380" width="14" style="1354" customWidth="1"/>
    <col min="15381" max="15381" width="54" style="1354" customWidth="1"/>
    <col min="15382" max="15384" width="10.6640625" style="1354" customWidth="1"/>
    <col min="15385" max="15391" width="11.1640625" style="1354" customWidth="1"/>
    <col min="15392" max="15616" width="4.5" style="1354"/>
    <col min="15617" max="15617" width="11.83203125" style="1354" customWidth="1"/>
    <col min="15618" max="15618" width="2.1640625" style="1354" customWidth="1"/>
    <col min="15619" max="15634" width="10.6640625" style="1354" customWidth="1"/>
    <col min="15635" max="15636" width="14" style="1354" customWidth="1"/>
    <col min="15637" max="15637" width="54" style="1354" customWidth="1"/>
    <col min="15638" max="15640" width="10.6640625" style="1354" customWidth="1"/>
    <col min="15641" max="15647" width="11.1640625" style="1354" customWidth="1"/>
    <col min="15648" max="15872" width="4.5" style="1354"/>
    <col min="15873" max="15873" width="11.83203125" style="1354" customWidth="1"/>
    <col min="15874" max="15874" width="2.1640625" style="1354" customWidth="1"/>
    <col min="15875" max="15890" width="10.6640625" style="1354" customWidth="1"/>
    <col min="15891" max="15892" width="14" style="1354" customWidth="1"/>
    <col min="15893" max="15893" width="54" style="1354" customWidth="1"/>
    <col min="15894" max="15896" width="10.6640625" style="1354" customWidth="1"/>
    <col min="15897" max="15903" width="11.1640625" style="1354" customWidth="1"/>
    <col min="15904" max="16128" width="4.5" style="1354"/>
    <col min="16129" max="16129" width="11.83203125" style="1354" customWidth="1"/>
    <col min="16130" max="16130" width="2.1640625" style="1354" customWidth="1"/>
    <col min="16131" max="16146" width="10.6640625" style="1354" customWidth="1"/>
    <col min="16147" max="16148" width="14" style="1354" customWidth="1"/>
    <col min="16149" max="16149" width="54" style="1354" customWidth="1"/>
    <col min="16150" max="16152" width="10.6640625" style="1354" customWidth="1"/>
    <col min="16153" max="16159" width="11.1640625" style="1354" customWidth="1"/>
    <col min="16160" max="16384" width="4.5" style="1354"/>
  </cols>
  <sheetData>
    <row r="1" spans="1:31" ht="14.45">
      <c r="A1" s="1353" t="s">
        <v>60</v>
      </c>
      <c r="G1" s="1355"/>
      <c r="H1" s="1356" t="s">
        <v>61</v>
      </c>
      <c r="I1" s="1355"/>
      <c r="J1" s="1355"/>
      <c r="K1" s="1357"/>
      <c r="L1" s="1357"/>
      <c r="M1" s="1357"/>
      <c r="P1" s="1358"/>
      <c r="R1" s="1358"/>
      <c r="S1" s="1358"/>
      <c r="T1" s="1358"/>
      <c r="U1" s="1358"/>
      <c r="V1" s="1607">
        <v>45657</v>
      </c>
      <c r="X1" s="1355"/>
      <c r="Y1" s="1356"/>
      <c r="Z1" s="1355"/>
      <c r="AA1" s="1355"/>
      <c r="AB1" s="1357"/>
      <c r="AC1" s="1357"/>
      <c r="AD1" s="1357"/>
    </row>
    <row r="2" spans="1:31">
      <c r="A2" s="1359" t="s">
        <v>62</v>
      </c>
      <c r="B2" s="1360"/>
      <c r="C2" s="1360"/>
      <c r="D2" s="1360"/>
      <c r="E2" s="1360"/>
      <c r="F2" s="1360"/>
      <c r="G2" s="1360"/>
      <c r="H2" s="1360"/>
      <c r="I2" s="1360"/>
      <c r="J2" s="1360"/>
      <c r="K2" s="1360"/>
      <c r="L2" s="1360"/>
      <c r="M2" s="1360"/>
      <c r="N2" s="1360"/>
      <c r="O2" s="1360"/>
      <c r="P2" s="1360"/>
      <c r="Q2" s="1360"/>
      <c r="R2" s="1360"/>
      <c r="S2" s="1360"/>
      <c r="T2" s="1360"/>
      <c r="U2" s="1360"/>
      <c r="V2" s="1360"/>
      <c r="W2" s="1360"/>
      <c r="X2" s="1360"/>
      <c r="Y2" s="1360"/>
      <c r="Z2" s="1360"/>
      <c r="AA2" s="1360"/>
      <c r="AB2" s="1360"/>
      <c r="AC2" s="1360"/>
      <c r="AD2" s="1360"/>
      <c r="AE2" s="1360"/>
    </row>
    <row r="3" spans="1:31" ht="14.45">
      <c r="A3" s="1361" t="s">
        <v>63</v>
      </c>
      <c r="C3" s="1362"/>
      <c r="D3" s="1362"/>
      <c r="E3" s="1362"/>
      <c r="F3" s="1362"/>
      <c r="G3" s="1362"/>
      <c r="H3" s="1362"/>
      <c r="I3" s="1362"/>
      <c r="J3" s="1362"/>
      <c r="K3" s="1362">
        <f>+V1</f>
        <v>45657</v>
      </c>
      <c r="L3" s="1362">
        <v>46203</v>
      </c>
      <c r="M3" s="1362">
        <v>46568</v>
      </c>
      <c r="N3" s="1362">
        <v>46934</v>
      </c>
      <c r="O3" s="1362">
        <v>47299</v>
      </c>
      <c r="P3" s="1362">
        <v>47664</v>
      </c>
      <c r="Q3" s="1362">
        <v>48029</v>
      </c>
      <c r="R3" s="1362">
        <v>48395</v>
      </c>
      <c r="S3" s="1362">
        <v>48760</v>
      </c>
      <c r="T3" s="1362">
        <v>49125</v>
      </c>
      <c r="U3" s="1362">
        <v>49490</v>
      </c>
      <c r="V3" s="1362">
        <v>49856</v>
      </c>
    </row>
    <row r="4" spans="1:31" ht="17.100000000000001">
      <c r="A4" s="1363"/>
      <c r="C4" s="1364"/>
      <c r="D4" s="1364" t="str">
        <f>+'Historical Financials'!D5</f>
        <v>FYE June 30th</v>
      </c>
      <c r="E4" s="1365"/>
      <c r="F4" s="1365"/>
      <c r="G4" s="1365"/>
      <c r="H4" s="1365"/>
      <c r="I4" s="1365"/>
      <c r="J4" s="1365"/>
      <c r="K4" s="1365"/>
      <c r="L4" s="1365"/>
      <c r="M4" s="1365"/>
      <c r="N4" s="1365"/>
      <c r="O4" s="1365"/>
      <c r="P4" s="1365"/>
      <c r="Q4" s="1365"/>
      <c r="R4" s="1365"/>
      <c r="S4" s="1365"/>
      <c r="T4" s="1365"/>
      <c r="U4" s="1365"/>
      <c r="V4" s="1365"/>
    </row>
    <row r="5" spans="1:31" ht="17.100000000000001">
      <c r="C5" s="1366" t="s">
        <v>64</v>
      </c>
      <c r="D5" s="1366" t="s">
        <v>65</v>
      </c>
      <c r="E5" s="1366" t="s">
        <v>66</v>
      </c>
      <c r="F5" s="1366" t="s">
        <v>67</v>
      </c>
      <c r="G5" s="1366" t="s">
        <v>68</v>
      </c>
      <c r="H5" s="1366" t="s">
        <v>69</v>
      </c>
      <c r="I5" s="1366" t="s">
        <v>70</v>
      </c>
      <c r="J5" s="1366" t="s">
        <v>71</v>
      </c>
      <c r="K5" s="1367" t="s">
        <v>72</v>
      </c>
      <c r="L5" s="1366" t="s">
        <v>73</v>
      </c>
      <c r="M5" s="1366" t="s">
        <v>74</v>
      </c>
      <c r="N5" s="1366" t="s">
        <v>75</v>
      </c>
      <c r="O5" s="1366" t="s">
        <v>76</v>
      </c>
      <c r="P5" s="1366" t="s">
        <v>77</v>
      </c>
      <c r="Q5" s="1366" t="s">
        <v>78</v>
      </c>
      <c r="R5" s="1366" t="s">
        <v>79</v>
      </c>
      <c r="S5" s="1366" t="s">
        <v>80</v>
      </c>
      <c r="T5" s="1366" t="s">
        <v>81</v>
      </c>
      <c r="U5" s="1366" t="s">
        <v>82</v>
      </c>
      <c r="V5" s="1366" t="s">
        <v>83</v>
      </c>
    </row>
    <row r="6" spans="1:31" ht="17.100000000000001">
      <c r="A6" s="1368" t="s">
        <v>84</v>
      </c>
      <c r="B6" s="1369"/>
      <c r="C6" s="1366"/>
      <c r="D6" s="1366"/>
      <c r="E6" s="1366"/>
      <c r="F6" s="1366"/>
      <c r="G6" s="1366"/>
      <c r="H6" s="1366"/>
      <c r="I6" s="1366"/>
      <c r="J6" s="1366"/>
      <c r="K6" s="1367"/>
      <c r="L6" s="1366"/>
      <c r="M6" s="1366"/>
      <c r="N6" s="1366"/>
      <c r="O6" s="1366"/>
      <c r="P6" s="1366"/>
      <c r="Q6" s="1366"/>
      <c r="R6" s="1366"/>
      <c r="S6" s="1366"/>
      <c r="T6" s="1366"/>
      <c r="U6" s="1366"/>
      <c r="V6" s="1366"/>
    </row>
    <row r="7" spans="1:31" ht="17.100000000000001">
      <c r="C7" s="1370"/>
      <c r="D7" s="1371"/>
      <c r="E7" s="1372"/>
      <c r="F7" s="1373"/>
      <c r="G7" s="1373"/>
      <c r="H7" s="1373"/>
      <c r="I7" s="1373"/>
      <c r="J7" s="1371"/>
      <c r="K7" s="1374" t="s">
        <v>85</v>
      </c>
      <c r="L7" s="1375"/>
      <c r="M7" s="1366"/>
      <c r="N7" s="1366"/>
      <c r="O7" s="1366"/>
      <c r="P7" s="1366"/>
      <c r="Q7" s="1366"/>
      <c r="R7" s="1366"/>
      <c r="S7" s="1366"/>
      <c r="T7" s="1366"/>
      <c r="U7" s="1366"/>
      <c r="V7" s="1366"/>
    </row>
    <row r="8" spans="1:31">
      <c r="A8" s="1354" t="s">
        <v>86</v>
      </c>
      <c r="B8" s="1376"/>
      <c r="C8" s="1377">
        <f>+'Historical Financials'!BH12</f>
        <v>96571</v>
      </c>
      <c r="D8" s="1377">
        <f>+'Historical Financials'!BI12</f>
        <v>110360</v>
      </c>
      <c r="E8" s="1377">
        <f>+'Historical Financials'!BJ12</f>
        <v>125843</v>
      </c>
      <c r="F8" s="1378">
        <f>+'Historical Financials'!BK12</f>
        <v>143015</v>
      </c>
      <c r="G8" s="1378">
        <f>+'Historical Financials'!BL12</f>
        <v>168088</v>
      </c>
      <c r="H8" s="1378">
        <f>+'Historical Financials'!BM12</f>
        <v>198270</v>
      </c>
      <c r="I8" s="1378">
        <f>+'Historical Financials'!BN12</f>
        <v>211915</v>
      </c>
      <c r="J8" s="1378">
        <f>+'Historical Financials'!BO12</f>
        <v>245122</v>
      </c>
      <c r="K8" s="1379">
        <f>+'Historical Financials'!BP12</f>
        <v>277944.15064726153</v>
      </c>
      <c r="L8" s="1380">
        <f t="shared" ref="L8:N8" si="0">K8*(1+L9)</f>
        <v>314076.8902314055</v>
      </c>
      <c r="M8" s="1380">
        <f t="shared" si="0"/>
        <v>354906.88596148818</v>
      </c>
      <c r="N8" s="1380">
        <f t="shared" si="0"/>
        <v>401044.78113648162</v>
      </c>
      <c r="O8" s="1380">
        <f>N8*(1+O9)</f>
        <v>453180.6026842242</v>
      </c>
      <c r="P8" s="1380">
        <f>O8*(1+P9)</f>
        <v>512094.08103317331</v>
      </c>
      <c r="Q8" s="1380">
        <f>P8*(1+Q9)</f>
        <v>578666.3115674858</v>
      </c>
      <c r="R8" s="1380">
        <f>Q8*(1+R9)</f>
        <v>653892.9320712589</v>
      </c>
      <c r="S8" s="1380">
        <f>R8*(1+S9)</f>
        <v>738899.01324052247</v>
      </c>
      <c r="T8" s="1380">
        <f t="shared" ref="T8" si="1">S8*(1+T9)</f>
        <v>834955.88496179029</v>
      </c>
      <c r="U8" s="1380">
        <f t="shared" ref="U8" si="2">T8*(1+U9)</f>
        <v>943500.15000682289</v>
      </c>
      <c r="V8" s="1380">
        <f t="shared" ref="V8" si="3">U8*(1+V9)</f>
        <v>1066155.1695077098</v>
      </c>
    </row>
    <row r="9" spans="1:31" ht="17.100000000000001">
      <c r="A9" s="1381" t="s">
        <v>87</v>
      </c>
      <c r="C9" s="1382"/>
      <c r="D9" s="1383">
        <f>D8/C8-1</f>
        <v>0.14278613662486661</v>
      </c>
      <c r="E9" s="1383">
        <f>E8/D8-1</f>
        <v>0.14029539688292858</v>
      </c>
      <c r="F9" s="1383">
        <f t="shared" ref="F9:I9" si="4">F8/E8-1</f>
        <v>0.13645574247276371</v>
      </c>
      <c r="G9" s="1383">
        <f t="shared" si="4"/>
        <v>0.17531727441177503</v>
      </c>
      <c r="H9" s="1383">
        <f t="shared" si="4"/>
        <v>0.17956070629670173</v>
      </c>
      <c r="I9" s="1382">
        <f t="shared" si="4"/>
        <v>6.8820295556564215E-2</v>
      </c>
      <c r="J9" s="1382">
        <f t="shared" ref="J9:K9" si="5">J8/I8-1</f>
        <v>0.1566996201307127</v>
      </c>
      <c r="K9" s="1384">
        <f t="shared" si="5"/>
        <v>0.13390128445125904</v>
      </c>
      <c r="L9" s="1385">
        <v>0.13</v>
      </c>
      <c r="M9" s="1385">
        <f t="shared" ref="M9:O9" si="6">+L9</f>
        <v>0.13</v>
      </c>
      <c r="N9" s="1385">
        <f t="shared" si="6"/>
        <v>0.13</v>
      </c>
      <c r="O9" s="1385">
        <f t="shared" si="6"/>
        <v>0.13</v>
      </c>
      <c r="P9" s="1385">
        <f t="shared" ref="P9" si="7">+O9</f>
        <v>0.13</v>
      </c>
      <c r="Q9" s="1385">
        <f t="shared" ref="Q9" si="8">+P9</f>
        <v>0.13</v>
      </c>
      <c r="R9" s="1385">
        <f t="shared" ref="R9" si="9">+Q9</f>
        <v>0.13</v>
      </c>
      <c r="S9" s="1385">
        <f t="shared" ref="S9" si="10">+R9</f>
        <v>0.13</v>
      </c>
      <c r="T9" s="1385">
        <f t="shared" ref="T9" si="11">+S9</f>
        <v>0.13</v>
      </c>
      <c r="U9" s="1385">
        <f t="shared" ref="U9" si="12">+T9</f>
        <v>0.13</v>
      </c>
      <c r="V9" s="1385">
        <f t="shared" ref="V9" si="13">+U9</f>
        <v>0.13</v>
      </c>
      <c r="Y9" s="1386" t="s">
        <v>60</v>
      </c>
      <c r="AA9" s="1366" t="s">
        <v>88</v>
      </c>
    </row>
    <row r="10" spans="1:31" ht="14.45">
      <c r="A10" s="1381" t="s">
        <v>89</v>
      </c>
      <c r="C10" s="1382"/>
      <c r="D10" s="1383">
        <f>+'Historical Financials'!BI15</f>
        <v>0.12866916569156372</v>
      </c>
      <c r="E10" s="1383">
        <f>+'Historical Financials'!BJ15</f>
        <v>0.1508835628851033</v>
      </c>
      <c r="F10" s="1383">
        <f>+'Historical Financials'!BK15</f>
        <v>0.15208497890228301</v>
      </c>
      <c r="G10" s="1383">
        <f>+'Historical Financials'!BL15</f>
        <v>0.1534946089571024</v>
      </c>
      <c r="H10" s="1383">
        <f>+'Historical Financials'!BM15</f>
        <v>0.18958755731124965</v>
      </c>
      <c r="I10" s="1383">
        <f>+'Historical Financials'!BN15</f>
        <v>0.10029775894823553</v>
      </c>
      <c r="J10" s="1382">
        <f>+'Historical Financials'!BO15</f>
        <v>0.12805103366915982</v>
      </c>
      <c r="K10" s="1384">
        <f>+'Historical Financials'!BP15</f>
        <v>0.13614750371620046</v>
      </c>
      <c r="L10" s="1383">
        <f t="shared" ref="L10:T10" si="14">+L9</f>
        <v>0.13</v>
      </c>
      <c r="M10" s="1383">
        <f t="shared" si="14"/>
        <v>0.13</v>
      </c>
      <c r="N10" s="1383">
        <f t="shared" si="14"/>
        <v>0.13</v>
      </c>
      <c r="O10" s="1383">
        <f t="shared" si="14"/>
        <v>0.13</v>
      </c>
      <c r="P10" s="1383">
        <f t="shared" si="14"/>
        <v>0.13</v>
      </c>
      <c r="Q10" s="1383">
        <f t="shared" si="14"/>
        <v>0.13</v>
      </c>
      <c r="R10" s="1383">
        <f t="shared" si="14"/>
        <v>0.13</v>
      </c>
      <c r="S10" s="1383">
        <f t="shared" si="14"/>
        <v>0.13</v>
      </c>
      <c r="T10" s="1383">
        <f t="shared" si="14"/>
        <v>0.13</v>
      </c>
      <c r="U10" s="1383">
        <f t="shared" ref="U10:V10" si="15">+U9</f>
        <v>0.13</v>
      </c>
      <c r="V10" s="1383">
        <f t="shared" si="15"/>
        <v>0.13</v>
      </c>
      <c r="Y10" s="1387" t="s">
        <v>90</v>
      </c>
      <c r="AA10" s="1388"/>
    </row>
    <row r="11" spans="1:31" ht="14.45">
      <c r="A11" s="1381"/>
      <c r="C11" s="1382"/>
      <c r="D11" s="1383"/>
      <c r="E11" s="1383"/>
      <c r="F11" s="1383"/>
      <c r="G11" s="1389"/>
      <c r="H11" s="1389"/>
      <c r="I11" s="1390"/>
      <c r="J11" s="1382"/>
      <c r="K11" s="1391"/>
      <c r="L11" s="1389"/>
      <c r="M11" s="1389"/>
      <c r="N11" s="1389"/>
      <c r="O11" s="1389"/>
      <c r="P11" s="1389"/>
      <c r="Q11" s="1389"/>
      <c r="R11" s="1389"/>
      <c r="S11" s="1389"/>
      <c r="T11" s="1389"/>
      <c r="U11" s="1389"/>
      <c r="V11" s="1389"/>
      <c r="Y11" s="1354" t="s">
        <v>91</v>
      </c>
      <c r="AA11" s="1388" t="s">
        <v>92</v>
      </c>
    </row>
    <row r="12" spans="1:31" ht="14.45">
      <c r="A12" s="1381"/>
      <c r="C12" s="1382"/>
      <c r="D12" s="1383"/>
      <c r="E12" s="1383"/>
      <c r="F12" s="1373"/>
      <c r="G12" s="1373"/>
      <c r="H12" s="1373"/>
      <c r="I12" s="1373"/>
      <c r="J12" s="1371"/>
      <c r="K12" s="1374" t="s">
        <v>93</v>
      </c>
      <c r="L12" s="1389"/>
      <c r="M12" s="1389"/>
      <c r="N12" s="1389"/>
      <c r="O12" s="1389"/>
      <c r="P12" s="1389"/>
      <c r="Q12" s="1389"/>
      <c r="R12" s="1389"/>
      <c r="S12" s="1389"/>
      <c r="T12" s="1389"/>
      <c r="U12" s="1389"/>
      <c r="V12" s="1389"/>
      <c r="Y12" s="1354" t="s">
        <v>94</v>
      </c>
      <c r="AA12" s="1392">
        <v>0.04</v>
      </c>
    </row>
    <row r="13" spans="1:31" ht="14.45">
      <c r="A13" s="1393" t="s">
        <v>95</v>
      </c>
      <c r="B13" s="1376"/>
      <c r="C13" s="1377">
        <f>+'Historical Financials'!BH49</f>
        <v>29331</v>
      </c>
      <c r="D13" s="1377">
        <f>+'Historical Financials'!BI49</f>
        <v>35058</v>
      </c>
      <c r="E13" s="1378">
        <f>+'Historical Financials'!BJ49</f>
        <v>42959</v>
      </c>
      <c r="F13" s="1378">
        <f>+'Historical Financials'!BK49</f>
        <v>52959</v>
      </c>
      <c r="G13" s="1394">
        <f>+'Historical Financials'!BL49</f>
        <v>69916</v>
      </c>
      <c r="H13" s="1394">
        <f>+'Historical Financials'!BM49</f>
        <v>83383</v>
      </c>
      <c r="I13" s="1394">
        <f>+'Historical Financials'!BN49</f>
        <v>89694</v>
      </c>
      <c r="J13" s="1378">
        <f>+'Historical Financials'!BO49</f>
        <v>112443</v>
      </c>
      <c r="K13" s="1379">
        <f>+'Historical Financials'!BP49</f>
        <v>129601.02612378589</v>
      </c>
      <c r="L13" s="1380">
        <f>K13+(L8-K8)*L18</f>
        <v>150558.01508258941</v>
      </c>
      <c r="M13" s="1380">
        <f t="shared" ref="M13:U13" si="16">L13+(M8-L8)*M18</f>
        <v>174239.41260603737</v>
      </c>
      <c r="N13" s="1380">
        <f t="shared" si="16"/>
        <v>200999.39180753357</v>
      </c>
      <c r="O13" s="1380">
        <f t="shared" si="16"/>
        <v>231238.16830522427</v>
      </c>
      <c r="P13" s="1380">
        <f t="shared" si="16"/>
        <v>265407.98574761476</v>
      </c>
      <c r="Q13" s="1380">
        <f t="shared" si="16"/>
        <v>304019.87945751601</v>
      </c>
      <c r="R13" s="1380">
        <f t="shared" si="16"/>
        <v>347651.31934970443</v>
      </c>
      <c r="S13" s="1380">
        <f t="shared" si="16"/>
        <v>396954.84642787732</v>
      </c>
      <c r="T13" s="1380">
        <f t="shared" si="16"/>
        <v>452667.83202621265</v>
      </c>
      <c r="U13" s="1380">
        <f t="shared" si="16"/>
        <v>515623.50575233158</v>
      </c>
      <c r="V13" s="1380">
        <f t="shared" ref="V13" si="17">U13+(V8-U8)*V18</f>
        <v>586763.41706284601</v>
      </c>
      <c r="Y13" s="1354" t="s">
        <v>96</v>
      </c>
      <c r="AA13" s="1388" t="s">
        <v>97</v>
      </c>
    </row>
    <row r="14" spans="1:31" ht="14.45">
      <c r="A14" s="1381" t="s">
        <v>87</v>
      </c>
      <c r="C14" s="1382"/>
      <c r="D14" s="1383">
        <f>D13/C13-1</f>
        <v>0.19525416794517736</v>
      </c>
      <c r="E14" s="1383">
        <f>E13/D13-1</f>
        <v>0.22536938787152727</v>
      </c>
      <c r="F14" s="1383">
        <f>F13/E13-1</f>
        <v>0.23278009264647692</v>
      </c>
      <c r="G14" s="1382">
        <f t="shared" ref="G14:H14" si="18">G13/F13-1</f>
        <v>0.3201910912215109</v>
      </c>
      <c r="H14" s="1382">
        <f t="shared" si="18"/>
        <v>0.19261685451112753</v>
      </c>
      <c r="I14" s="1382">
        <f t="shared" ref="I14" si="19">I13/H13-1</f>
        <v>7.5686890613194446E-2</v>
      </c>
      <c r="J14" s="1382">
        <f t="shared" ref="J14:K14" si="20">J13/I13-1</f>
        <v>0.25362900528463439</v>
      </c>
      <c r="K14" s="1384">
        <f t="shared" si="20"/>
        <v>0.15259310160513229</v>
      </c>
      <c r="L14" s="1383">
        <f t="shared" ref="L14" si="21">L13/K13-1</f>
        <v>0.16170388140898551</v>
      </c>
      <c r="M14" s="1383">
        <f t="shared" ref="M14" si="22">M13/L13-1</f>
        <v>0.15729084572785723</v>
      </c>
      <c r="N14" s="1383">
        <f t="shared" ref="N14" si="23">N13/M13-1</f>
        <v>0.15358166560169506</v>
      </c>
      <c r="O14" s="1383">
        <f t="shared" ref="O14" si="24">O13/N13-1</f>
        <v>0.15044212933064882</v>
      </c>
      <c r="P14" s="1383">
        <f t="shared" ref="P14" si="25">P13/O13-1</f>
        <v>0.14776893318618489</v>
      </c>
      <c r="Q14" s="1383">
        <f t="shared" ref="Q14" si="26">Q13/P13-1</f>
        <v>0.14548128083311918</v>
      </c>
      <c r="R14" s="1383">
        <f t="shared" ref="R14" si="27">R13/Q13-1</f>
        <v>0.14351508845422556</v>
      </c>
      <c r="S14" s="1383">
        <f t="shared" ref="S14" si="28">S13/R13-1</f>
        <v>0.14181889822940152</v>
      </c>
      <c r="T14" s="1383">
        <f t="shared" ref="T14" si="29">T13/S13-1</f>
        <v>0.14035093940705368</v>
      </c>
      <c r="U14" s="1383">
        <f t="shared" ref="U14" si="30">U13/T13-1</f>
        <v>0.13907697713866574</v>
      </c>
      <c r="V14" s="1383">
        <f t="shared" ref="V14" si="31">V13/U13-1</f>
        <v>0.1379687126689777</v>
      </c>
      <c r="AA14" s="1388"/>
    </row>
    <row r="15" spans="1:31" ht="14.45">
      <c r="A15" s="1381" t="s">
        <v>89</v>
      </c>
      <c r="C15" s="1382" t="str">
        <f>+'Historical Financials'!BH52</f>
        <v>NA</v>
      </c>
      <c r="D15" s="1383">
        <f>+'Historical Financials'!BI52</f>
        <v>0.17249565306331185</v>
      </c>
      <c r="E15" s="1383">
        <f>+'Historical Financials'!BJ52</f>
        <v>0.24103656797307321</v>
      </c>
      <c r="F15" s="1383">
        <f>+'Historical Financials'!BK52</f>
        <v>0.29050722782187671</v>
      </c>
      <c r="G15" s="1382">
        <f>+'Historical Financials'!BL52</f>
        <v>0.28283879982628074</v>
      </c>
      <c r="H15" s="1382">
        <f>+'Historical Financials'!BM52</f>
        <v>0.21025030036043252</v>
      </c>
      <c r="I15" s="1382">
        <f>+'Historical Financials'!BN52</f>
        <v>0.14076322511782977</v>
      </c>
      <c r="J15" s="1382">
        <f>+'Historical Financials'!BO52</f>
        <v>0.23278034205186526</v>
      </c>
      <c r="K15" s="1384">
        <f>+'Historical Financials'!BP52</f>
        <v>0.15344578957730942</v>
      </c>
      <c r="L15" s="1383">
        <f>+L14</f>
        <v>0.16170388140898551</v>
      </c>
      <c r="M15" s="1383">
        <f t="shared" ref="M15:V15" si="32">+M14</f>
        <v>0.15729084572785723</v>
      </c>
      <c r="N15" s="1383">
        <f t="shared" si="32"/>
        <v>0.15358166560169506</v>
      </c>
      <c r="O15" s="1383">
        <f t="shared" si="32"/>
        <v>0.15044212933064882</v>
      </c>
      <c r="P15" s="1383">
        <f t="shared" si="32"/>
        <v>0.14776893318618489</v>
      </c>
      <c r="Q15" s="1383">
        <f t="shared" si="32"/>
        <v>0.14548128083311918</v>
      </c>
      <c r="R15" s="1383">
        <f t="shared" si="32"/>
        <v>0.14351508845422556</v>
      </c>
      <c r="S15" s="1383">
        <f t="shared" si="32"/>
        <v>0.14181889822940152</v>
      </c>
      <c r="T15" s="1383">
        <f t="shared" si="32"/>
        <v>0.14035093940705368</v>
      </c>
      <c r="U15" s="1383">
        <f t="shared" si="32"/>
        <v>0.13907697713866574</v>
      </c>
      <c r="V15" s="1383">
        <f t="shared" si="32"/>
        <v>0.1379687126689777</v>
      </c>
      <c r="AA15" s="1388"/>
    </row>
    <row r="16" spans="1:31" s="1363" customFormat="1" ht="14.45">
      <c r="A16" s="1381" t="s">
        <v>98</v>
      </c>
      <c r="C16" s="1382"/>
      <c r="D16" s="1395">
        <f>+D25</f>
        <v>0.17249565306331185</v>
      </c>
      <c r="E16" s="1395">
        <f>+E25</f>
        <v>0.24103656797307321</v>
      </c>
      <c r="F16" s="1395">
        <f>+F25</f>
        <v>0.29050722782187671</v>
      </c>
      <c r="G16" s="1396">
        <f>+'Historical Financials'!BL63</f>
        <v>0.22807492588606293</v>
      </c>
      <c r="H16" s="1396">
        <f>+'Historical Financials'!BM63</f>
        <v>0.25276367406485195</v>
      </c>
      <c r="I16" s="1396">
        <f>+'Historical Financials'!BN63</f>
        <v>9.6498489478974617E-2</v>
      </c>
      <c r="J16" s="1396">
        <f>+'Historical Financials'!BO63</f>
        <v>0.2726341594082406</v>
      </c>
      <c r="K16" s="1391"/>
      <c r="L16" s="1389"/>
      <c r="M16" s="1389"/>
      <c r="N16" s="1389"/>
      <c r="O16" s="1389"/>
      <c r="P16" s="1389"/>
      <c r="Q16" s="1389"/>
      <c r="R16" s="1389"/>
      <c r="S16" s="1389"/>
      <c r="T16" s="1389"/>
      <c r="U16" s="1389"/>
      <c r="V16" s="1389"/>
      <c r="X16" s="1381"/>
      <c r="Y16" s="1381"/>
    </row>
    <row r="17" spans="1:42" ht="14.45">
      <c r="A17" s="1381" t="s">
        <v>99</v>
      </c>
      <c r="C17" s="1382"/>
      <c r="D17" s="1383">
        <f>+D13/D8</f>
        <v>0.31766944545125048</v>
      </c>
      <c r="E17" s="1383">
        <f t="shared" ref="E17:F17" si="33">+E13/E8</f>
        <v>0.3413698020549415</v>
      </c>
      <c r="F17" s="1383">
        <f t="shared" si="33"/>
        <v>0.37030381428521486</v>
      </c>
      <c r="G17" s="1382">
        <f t="shared" ref="G17:H17" si="34">+G13/G8</f>
        <v>0.41594878872971303</v>
      </c>
      <c r="H17" s="1382">
        <f t="shared" si="34"/>
        <v>0.4205527815604983</v>
      </c>
      <c r="I17" s="1382">
        <f t="shared" ref="I17:J17" si="35">+I13/I8</f>
        <v>0.42325460679989618</v>
      </c>
      <c r="J17" s="1382">
        <f t="shared" si="35"/>
        <v>0.45872259527908554</v>
      </c>
      <c r="K17" s="1397">
        <f t="shared" ref="K17:L17" si="36">+K13/K8</f>
        <v>0.46628441657065972</v>
      </c>
      <c r="L17" s="1382">
        <f t="shared" si="36"/>
        <v>0.47936674032801746</v>
      </c>
      <c r="M17" s="1382">
        <f t="shared" ref="M17:U17" si="37">+M13/M8</f>
        <v>0.49094401798939602</v>
      </c>
      <c r="N17" s="1382">
        <f t="shared" si="37"/>
        <v>0.50118939645079297</v>
      </c>
      <c r="O17" s="1382">
        <f t="shared" si="37"/>
        <v>0.51025610305379909</v>
      </c>
      <c r="P17" s="1382">
        <f t="shared" si="37"/>
        <v>0.51827973721575138</v>
      </c>
      <c r="Q17" s="1382">
        <f t="shared" si="37"/>
        <v>0.52538029842101897</v>
      </c>
      <c r="R17" s="1382">
        <f t="shared" si="37"/>
        <v>0.5316639809035566</v>
      </c>
      <c r="S17" s="1382">
        <f t="shared" si="37"/>
        <v>0.53722476186155455</v>
      </c>
      <c r="T17" s="1382">
        <f t="shared" si="37"/>
        <v>0.54214580695712788</v>
      </c>
      <c r="U17" s="1382">
        <f t="shared" si="37"/>
        <v>0.54650071412135215</v>
      </c>
      <c r="V17" s="1382">
        <f t="shared" ref="V17" si="38">+V13/V8</f>
        <v>0.55035461426668331</v>
      </c>
      <c r="Y17" s="1354" t="s">
        <v>100</v>
      </c>
      <c r="AA17" s="1388" t="s">
        <v>92</v>
      </c>
    </row>
    <row r="18" spans="1:42" ht="14.45">
      <c r="A18" s="1381" t="s">
        <v>101</v>
      </c>
      <c r="C18" s="1383"/>
      <c r="D18" s="1383">
        <f>(D13-C13)/(D8-C8)</f>
        <v>0.41533106099064471</v>
      </c>
      <c r="E18" s="1383">
        <f>(E13-D13)/(E8-D8)</f>
        <v>0.51030162113285538</v>
      </c>
      <c r="F18" s="1383">
        <f>(F13-E13)/(F8-E8)</f>
        <v>0.58234334963894707</v>
      </c>
      <c r="G18" s="1382">
        <f t="shared" ref="G18:H18" si="39">(G13-F13)/(G8-F8)</f>
        <v>0.67630518884856217</v>
      </c>
      <c r="H18" s="1382">
        <f t="shared" si="39"/>
        <v>0.44619309522231793</v>
      </c>
      <c r="I18" s="1382">
        <f t="shared" ref="I18" si="40">(I13-H13)/(I8-H8)</f>
        <v>0.46251374129717843</v>
      </c>
      <c r="J18" s="1382">
        <f t="shared" ref="J18:K18" si="41">(J13-I13)/(J8-I8)</f>
        <v>0.68506640166230015</v>
      </c>
      <c r="K18" s="1397">
        <f t="shared" si="41"/>
        <v>0.52275752153424015</v>
      </c>
      <c r="L18" s="1385">
        <v>0.57999999999999996</v>
      </c>
      <c r="M18" s="1385">
        <v>0.57999999999999996</v>
      </c>
      <c r="N18" s="1385">
        <v>0.57999999999999996</v>
      </c>
      <c r="O18" s="1385">
        <v>0.57999999999999996</v>
      </c>
      <c r="P18" s="1385">
        <v>0.57999999999999996</v>
      </c>
      <c r="Q18" s="1385">
        <v>0.57999999999999996</v>
      </c>
      <c r="R18" s="1385">
        <v>0.57999999999999996</v>
      </c>
      <c r="S18" s="1385">
        <v>0.57999999999999996</v>
      </c>
      <c r="T18" s="1385">
        <v>0.57999999999999996</v>
      </c>
      <c r="U18" s="1385">
        <v>0.57999999999999996</v>
      </c>
      <c r="V18" s="1385">
        <v>0.57999999999999996</v>
      </c>
      <c r="Y18" s="1354" t="s">
        <v>102</v>
      </c>
      <c r="AA18" s="1388" t="s">
        <v>103</v>
      </c>
    </row>
    <row r="19" spans="1:42" ht="14.45">
      <c r="A19" s="1381" t="s">
        <v>104</v>
      </c>
      <c r="C19" s="1383"/>
      <c r="D19" s="1383">
        <f>+'Historical Financials'!BI55</f>
        <v>0.40717753754111435</v>
      </c>
      <c r="E19" s="1383">
        <f>+'Historical Financials'!BJ55</f>
        <v>0.50747709967444388</v>
      </c>
      <c r="F19" s="1383">
        <f>+'Historical Financials'!BK55</f>
        <v>0.65080049690651331</v>
      </c>
      <c r="G19" s="1382">
        <f>+'Historical Financials'!BL55</f>
        <v>0.55022789120906668</v>
      </c>
      <c r="H19" s="1382">
        <f>+'Historical Financials'!BM55</f>
        <v>0.54843620075989441</v>
      </c>
      <c r="I19" s="1382">
        <f>+'Historical Financials'!BN55</f>
        <v>0.38351640596561781</v>
      </c>
      <c r="J19" s="1382">
        <f>+'Historical Financials'!BO55</f>
        <v>0.74404237830967546</v>
      </c>
      <c r="K19" s="1391"/>
      <c r="L19" s="1398"/>
      <c r="M19" s="1398"/>
      <c r="N19" s="1398"/>
      <c r="O19" s="1398"/>
      <c r="P19" s="1385"/>
      <c r="Q19" s="1385"/>
      <c r="R19" s="1385"/>
      <c r="S19" s="1385"/>
      <c r="T19" s="1385"/>
      <c r="U19" s="1385"/>
      <c r="V19" s="1385"/>
      <c r="Y19" s="1354" t="s">
        <v>105</v>
      </c>
      <c r="AA19" s="1388" t="s">
        <v>103</v>
      </c>
    </row>
    <row r="20" spans="1:42" ht="14.45" hidden="1" outlineLevel="1">
      <c r="A20" s="1381"/>
      <c r="C20" s="1382"/>
      <c r="D20" s="1383"/>
      <c r="E20" s="1383"/>
      <c r="F20" s="1383"/>
      <c r="G20" s="1389"/>
      <c r="H20" s="1389"/>
      <c r="I20" s="1389"/>
      <c r="J20" s="1389"/>
      <c r="K20" s="1391"/>
      <c r="L20" s="1389"/>
      <c r="M20" s="1389"/>
      <c r="N20" s="1389"/>
      <c r="O20" s="1389"/>
      <c r="P20" s="1389"/>
      <c r="Q20" s="1389"/>
      <c r="R20" s="1389"/>
      <c r="S20" s="1389"/>
      <c r="T20" s="1389"/>
      <c r="U20" s="1389"/>
      <c r="V20" s="1389"/>
    </row>
    <row r="21" spans="1:42" ht="17.100000000000001" hidden="1" outlineLevel="1">
      <c r="A21" s="1399" t="s">
        <v>106</v>
      </c>
      <c r="C21" s="1400"/>
      <c r="D21" s="1401"/>
      <c r="E21" s="1401"/>
      <c r="F21" s="1401"/>
      <c r="G21" s="1402"/>
      <c r="H21" s="1402"/>
      <c r="I21" s="1402"/>
      <c r="J21" s="1402"/>
      <c r="K21" s="1403"/>
      <c r="L21" s="1402"/>
      <c r="M21" s="1402"/>
      <c r="N21" s="1402"/>
      <c r="O21" s="1402"/>
      <c r="P21" s="1402"/>
      <c r="Q21" s="1402"/>
      <c r="R21" s="1402"/>
      <c r="S21" s="1402"/>
      <c r="T21" s="1402"/>
      <c r="U21" s="1402"/>
      <c r="V21" s="1402"/>
      <c r="X21" s="1399"/>
      <c r="Z21" s="1364" t="s">
        <v>107</v>
      </c>
      <c r="AA21" s="1365"/>
      <c r="AB21" s="1363"/>
    </row>
    <row r="22" spans="1:42" s="1363" customFormat="1" ht="17.100000000000001" hidden="1" outlineLevel="1">
      <c r="A22" s="1381" t="s">
        <v>108</v>
      </c>
      <c r="C22" s="1382"/>
      <c r="D22" s="1383">
        <f>+D14</f>
        <v>0.19525416794517736</v>
      </c>
      <c r="E22" s="1383">
        <f t="shared" ref="E22:H22" si="42">+E14</f>
        <v>0.22536938787152727</v>
      </c>
      <c r="F22" s="1383">
        <f t="shared" si="42"/>
        <v>0.23278009264647692</v>
      </c>
      <c r="G22" s="1382">
        <f t="shared" si="42"/>
        <v>0.3201910912215109</v>
      </c>
      <c r="H22" s="1382">
        <f t="shared" si="42"/>
        <v>0.19261685451112753</v>
      </c>
      <c r="I22" s="1382">
        <f t="shared" ref="I22:J22" si="43">+I14</f>
        <v>7.5686890613194446E-2</v>
      </c>
      <c r="J22" s="1389">
        <f t="shared" si="43"/>
        <v>0.25362900528463439</v>
      </c>
      <c r="K22" s="1391"/>
      <c r="L22" s="1389"/>
      <c r="M22" s="1389"/>
      <c r="N22" s="1389"/>
      <c r="O22" s="1389"/>
      <c r="P22" s="1389"/>
      <c r="Q22" s="1389"/>
      <c r="R22" s="1389"/>
      <c r="S22" s="1389"/>
      <c r="T22" s="1389"/>
      <c r="U22" s="1389"/>
      <c r="V22" s="1389"/>
      <c r="X22" s="1381"/>
      <c r="Z22" s="1366" t="s">
        <v>109</v>
      </c>
      <c r="AA22" s="1366" t="s">
        <v>88</v>
      </c>
    </row>
    <row r="23" spans="1:42" s="1363" customFormat="1" ht="14.45" hidden="1" outlineLevel="1">
      <c r="A23" s="1381" t="s">
        <v>110</v>
      </c>
      <c r="C23" s="1382"/>
      <c r="D23" s="1395">
        <f>+D22</f>
        <v>0.19525416794517736</v>
      </c>
      <c r="E23" s="1395">
        <f t="shared" ref="E23:F23" si="44">+E22</f>
        <v>0.22536938787152727</v>
      </c>
      <c r="F23" s="1395">
        <f t="shared" si="44"/>
        <v>0.23278009264647692</v>
      </c>
      <c r="G23" s="1396">
        <f>+'Historical Financials'!BL59</f>
        <v>0.26542721728129309</v>
      </c>
      <c r="H23" s="1396">
        <f>+'Historical Financials'!BM59</f>
        <v>0.23513022821554716</v>
      </c>
      <c r="I23" s="1396">
        <f>+'Historical Financials'!BN59</f>
        <v>3.1422154974339353E-2</v>
      </c>
      <c r="J23" s="1389">
        <f>+'Historical Financials'!BO59</f>
        <v>0.27951577913754239</v>
      </c>
      <c r="K23" s="1391"/>
      <c r="L23" s="1389"/>
      <c r="M23" s="1389"/>
      <c r="N23" s="1389"/>
      <c r="O23" s="1389"/>
      <c r="P23" s="1389"/>
      <c r="Q23" s="1389"/>
      <c r="R23" s="1389"/>
      <c r="S23" s="1389"/>
      <c r="T23" s="1389"/>
      <c r="U23" s="1389"/>
      <c r="V23" s="1389"/>
      <c r="X23" s="1381"/>
      <c r="Y23" s="1404" t="s">
        <v>111</v>
      </c>
    </row>
    <row r="24" spans="1:42" s="1363" customFormat="1" ht="14.45" hidden="1" outlineLevel="1">
      <c r="A24" s="1381"/>
      <c r="C24" s="1382"/>
      <c r="D24" s="1395"/>
      <c r="E24" s="1395"/>
      <c r="F24" s="1395"/>
      <c r="G24" s="1396"/>
      <c r="H24" s="1396"/>
      <c r="I24" s="1396"/>
      <c r="J24" s="1389"/>
      <c r="K24" s="1391"/>
      <c r="L24" s="1389"/>
      <c r="M24" s="1389"/>
      <c r="N24" s="1389"/>
      <c r="O24" s="1389"/>
      <c r="P24" s="1389"/>
      <c r="Q24" s="1389"/>
      <c r="R24" s="1389"/>
      <c r="S24" s="1389"/>
      <c r="T24" s="1389"/>
      <c r="U24" s="1389"/>
      <c r="V24" s="1389"/>
      <c r="X24" s="1381"/>
      <c r="Y24" s="1354" t="s">
        <v>86</v>
      </c>
      <c r="Z24" s="1405">
        <f>+H8</f>
        <v>198270</v>
      </c>
      <c r="AA24" s="1406">
        <f>+Z24*(1+AA25)</f>
        <v>218097.00000000003</v>
      </c>
    </row>
    <row r="25" spans="1:42" s="1363" customFormat="1" ht="14.45" hidden="1" outlineLevel="1">
      <c r="A25" s="1381" t="s">
        <v>112</v>
      </c>
      <c r="C25" s="1382"/>
      <c r="D25" s="1395">
        <f>+'Historical Financials'!BI62</f>
        <v>0.17249565306331185</v>
      </c>
      <c r="E25" s="1395">
        <f>+'Historical Financials'!BJ62</f>
        <v>0.24103656797307321</v>
      </c>
      <c r="F25" s="1395">
        <f>+'Historical Financials'!BK62</f>
        <v>0.29050722782187671</v>
      </c>
      <c r="G25" s="1396">
        <f>+'Historical Financials'!BL62</f>
        <v>0.28283879982628074</v>
      </c>
      <c r="H25" s="1396">
        <f>+'Historical Financials'!BM62</f>
        <v>0.21025030036043252</v>
      </c>
      <c r="I25" s="1396">
        <f>+'Historical Financials'!BN62</f>
        <v>0.14076322511782977</v>
      </c>
      <c r="J25" s="1389">
        <f>+'Historical Financials'!BO62</f>
        <v>0.24674738555533252</v>
      </c>
      <c r="K25" s="1391"/>
      <c r="L25" s="1389"/>
      <c r="M25" s="1389"/>
      <c r="N25" s="1389"/>
      <c r="O25" s="1389"/>
      <c r="P25" s="1389"/>
      <c r="Q25" s="1389"/>
      <c r="R25" s="1389"/>
      <c r="S25" s="1389"/>
      <c r="T25" s="1389"/>
      <c r="U25" s="1389"/>
      <c r="V25" s="1389"/>
      <c r="X25" s="1381"/>
      <c r="Y25" s="1381" t="s">
        <v>113</v>
      </c>
      <c r="AA25" s="1407">
        <v>0.1</v>
      </c>
    </row>
    <row r="26" spans="1:42" ht="14.45" collapsed="1">
      <c r="A26" s="1381"/>
      <c r="C26" s="1382"/>
      <c r="D26" s="1383"/>
      <c r="E26" s="1383"/>
      <c r="F26" s="1383"/>
      <c r="G26" s="1389"/>
      <c r="H26" s="1389"/>
      <c r="I26" s="1389"/>
      <c r="J26" s="1389"/>
      <c r="K26" s="1391"/>
      <c r="L26" s="1408"/>
      <c r="M26" s="1408"/>
      <c r="N26" s="1408"/>
      <c r="O26" s="1408"/>
      <c r="P26" s="1408"/>
      <c r="Q26" s="1408"/>
      <c r="R26" s="1408"/>
      <c r="S26" s="1408"/>
      <c r="T26" s="1408"/>
      <c r="U26" s="1408"/>
      <c r="V26" s="1408"/>
      <c r="Y26" s="1354" t="s">
        <v>95</v>
      </c>
      <c r="Z26" s="1405">
        <f>+H13</f>
        <v>83383</v>
      </c>
      <c r="AA26" s="1406" t="e">
        <f>+AA24*#REF!</f>
        <v>#REF!</v>
      </c>
    </row>
    <row r="27" spans="1:42" ht="14.45" hidden="1" outlineLevel="1">
      <c r="A27" s="1381" t="s">
        <v>114</v>
      </c>
      <c r="C27" s="1382"/>
      <c r="D27" s="1409">
        <f t="shared" ref="D27:J27" si="45">+D16*C13</f>
        <v>5059.47</v>
      </c>
      <c r="E27" s="1409">
        <f t="shared" si="45"/>
        <v>8450.26</v>
      </c>
      <c r="F27" s="1410">
        <f t="shared" si="45"/>
        <v>12479.900000000001</v>
      </c>
      <c r="G27" s="1410">
        <f t="shared" si="45"/>
        <v>12078.620000000006</v>
      </c>
      <c r="H27" s="1410">
        <f t="shared" si="45"/>
        <v>17672.225035918189</v>
      </c>
      <c r="I27" s="1410">
        <f t="shared" si="45"/>
        <v>8046.3335482253406</v>
      </c>
      <c r="J27" s="1389">
        <f t="shared" si="45"/>
        <v>24453.648293962731</v>
      </c>
      <c r="K27" s="1391"/>
      <c r="L27" s="1389"/>
      <c r="M27" s="1389"/>
      <c r="N27" s="1389"/>
      <c r="O27" s="1389"/>
      <c r="P27" s="1389"/>
      <c r="Q27" s="1389"/>
      <c r="R27" s="1389"/>
      <c r="S27" s="1389"/>
      <c r="T27" s="1389"/>
      <c r="U27" s="1389"/>
      <c r="V27" s="1389"/>
      <c r="Y27" s="1381" t="s">
        <v>113</v>
      </c>
      <c r="AA27" s="1411" t="e">
        <f>+AA26/Z26-1</f>
        <v>#REF!</v>
      </c>
    </row>
    <row r="28" spans="1:42" s="1417" customFormat="1" ht="17.100000000000001" collapsed="1">
      <c r="A28" s="1412" t="s">
        <v>115</v>
      </c>
      <c r="B28" s="1413"/>
      <c r="C28" s="1414">
        <f>+'Historical Financials'!BH88</f>
        <v>8778</v>
      </c>
      <c r="D28" s="1414">
        <f>+'Historical Financials'!BI88</f>
        <v>10261</v>
      </c>
      <c r="E28" s="1415">
        <f>+'Historical Financials'!BJ88</f>
        <v>11682</v>
      </c>
      <c r="F28" s="1415">
        <f>+'Historical Financials'!BK88</f>
        <v>12796</v>
      </c>
      <c r="G28" s="1415">
        <f>+'Historical Financials'!BL88</f>
        <v>11686</v>
      </c>
      <c r="H28" s="1415">
        <f>+'Historical Financials'!BM88</f>
        <v>14460</v>
      </c>
      <c r="I28" s="1415">
        <f>+'Historical Financials'!BN88</f>
        <v>13861</v>
      </c>
      <c r="J28" s="1415">
        <f>+'Historical Financials'!BO88</f>
        <v>20427</v>
      </c>
      <c r="K28" s="1416">
        <f>+'D&amp;A forecast - Case 1'!V52</f>
        <v>29970.842105263157</v>
      </c>
      <c r="L28" s="1414">
        <f>+'D&amp;A forecast - Case 1'!W52</f>
        <v>34074.15602074474</v>
      </c>
      <c r="M28" s="1414">
        <f>+'D&amp;A forecast - Case 1'!X52</f>
        <v>39084.924797674059</v>
      </c>
      <c r="N28" s="1414">
        <f>+'D&amp;A forecast - Case 1'!Y52</f>
        <v>43766.937904157821</v>
      </c>
      <c r="O28" s="1414">
        <f>+'D&amp;A forecast - Case 1'!Z52</f>
        <v>50568.843511325897</v>
      </c>
      <c r="P28" s="1414">
        <f>+'D&amp;A forecast - Case 1'!AA52</f>
        <v>55114.11686318506</v>
      </c>
      <c r="Q28" s="1414">
        <f>+'D&amp;A forecast - Case 1'!AB52</f>
        <v>60611.892757637062</v>
      </c>
      <c r="R28" s="1414">
        <f>+'D&amp;A forecast - Case 1'!AC52</f>
        <v>66194.877906253212</v>
      </c>
      <c r="S28" s="1414">
        <f>+'D&amp;A forecast - Case 1'!AD52</f>
        <v>70877.574882278597</v>
      </c>
      <c r="T28" s="1414">
        <f>+'D&amp;A forecast - Case 1'!AE52</f>
        <v>74368.1209826376</v>
      </c>
      <c r="U28" s="1414">
        <f>+'D&amp;A forecast - Case 1'!AF52</f>
        <v>78418.269405461775</v>
      </c>
      <c r="V28" s="1414">
        <f>+'D&amp;A forecast - Case 1'!AG52</f>
        <v>84521.259319090081</v>
      </c>
      <c r="Y28" s="1418" t="s">
        <v>116</v>
      </c>
      <c r="AD28" s="1417" t="s">
        <v>117</v>
      </c>
      <c r="AE28" s="1417">
        <v>27803.116747365937</v>
      </c>
      <c r="AF28" s="1417">
        <v>31393.792429408099</v>
      </c>
      <c r="AG28" s="1417">
        <v>34736.628799679245</v>
      </c>
      <c r="AH28" s="1417">
        <v>39262.132712688195</v>
      </c>
      <c r="AI28" s="1417">
        <v>44437.226236057206</v>
      </c>
      <c r="AJ28" s="1417">
        <v>49051.533717841638</v>
      </c>
      <c r="AK28" s="1417">
        <v>54218.727678179974</v>
      </c>
      <c r="AL28" s="1417">
        <v>59131.229073224946</v>
      </c>
      <c r="AM28" s="1417">
        <v>65006.163609478514</v>
      </c>
      <c r="AN28" s="1417">
        <v>70841.536981827419</v>
      </c>
      <c r="AO28" s="1417">
        <v>76198.391778398</v>
      </c>
      <c r="AP28" s="1417">
        <v>80886.390813203747</v>
      </c>
    </row>
    <row r="29" spans="1:42" s="1363" customFormat="1" ht="14.45" hidden="1" outlineLevel="1">
      <c r="A29" s="1419" t="s">
        <v>118</v>
      </c>
      <c r="C29" s="1382">
        <f t="shared" ref="C29:V29" si="46">+C28/C8</f>
        <v>9.0896853092543306E-2</v>
      </c>
      <c r="D29" s="1382">
        <f t="shared" si="46"/>
        <v>9.2977528089887643E-2</v>
      </c>
      <c r="E29" s="1382">
        <f t="shared" si="46"/>
        <v>9.2829954784930432E-2</v>
      </c>
      <c r="F29" s="1382">
        <f t="shared" si="46"/>
        <v>8.9473132188931229E-2</v>
      </c>
      <c r="G29" s="1382">
        <f t="shared" si="46"/>
        <v>6.9523106943981727E-2</v>
      </c>
      <c r="H29" s="1382">
        <f t="shared" si="46"/>
        <v>7.2930851868663937E-2</v>
      </c>
      <c r="I29" s="1382">
        <f t="shared" si="46"/>
        <v>6.5408300497841118E-2</v>
      </c>
      <c r="J29" s="1382">
        <f t="shared" si="46"/>
        <v>8.333401326686303E-2</v>
      </c>
      <c r="K29" s="1397">
        <f t="shared" si="46"/>
        <v>0.10783044735954564</v>
      </c>
      <c r="L29" s="1382">
        <f t="shared" si="46"/>
        <v>0.10848985417436982</v>
      </c>
      <c r="M29" s="1382">
        <f t="shared" si="46"/>
        <v>0.11012726532985685</v>
      </c>
      <c r="N29" s="1382">
        <f t="shared" si="46"/>
        <v>0.10913229634887897</v>
      </c>
      <c r="O29" s="1382">
        <f t="shared" si="46"/>
        <v>0.11158651365879889</v>
      </c>
      <c r="P29" s="1382">
        <f t="shared" si="46"/>
        <v>0.1076249831905688</v>
      </c>
      <c r="Q29" s="1382">
        <f t="shared" si="46"/>
        <v>0.10474411858096964</v>
      </c>
      <c r="R29" s="1382">
        <f t="shared" si="46"/>
        <v>0.10123198257637618</v>
      </c>
      <c r="S29" s="1382">
        <f t="shared" si="46"/>
        <v>9.5923223082187148E-2</v>
      </c>
      <c r="T29" s="1382">
        <f t="shared" si="46"/>
        <v>8.9068323634895849E-2</v>
      </c>
      <c r="U29" s="1382">
        <f t="shared" si="46"/>
        <v>8.3114209790952021E-2</v>
      </c>
      <c r="V29" s="1382">
        <f t="shared" si="46"/>
        <v>7.9276696053649703E-2</v>
      </c>
      <c r="Y29" s="1354" t="s">
        <v>119</v>
      </c>
      <c r="Z29" s="1405">
        <f>+Z24</f>
        <v>198270</v>
      </c>
      <c r="AA29" s="1406">
        <f>+Z29*(1+AA30)</f>
        <v>226027.80000000002</v>
      </c>
    </row>
    <row r="30" spans="1:42" s="1363" customFormat="1" ht="14.45" hidden="1" outlineLevel="1">
      <c r="A30" s="1420"/>
      <c r="C30" s="1361"/>
      <c r="D30" s="1361"/>
      <c r="E30" s="1361"/>
      <c r="F30" s="1361"/>
      <c r="G30" s="1361"/>
      <c r="H30" s="1361"/>
      <c r="I30" s="1361"/>
      <c r="J30" s="1361"/>
      <c r="K30" s="1421"/>
      <c r="L30" s="1361"/>
      <c r="M30" s="1361"/>
      <c r="N30" s="1361"/>
      <c r="O30" s="1361"/>
      <c r="P30" s="1361"/>
      <c r="Q30" s="1361"/>
      <c r="R30" s="1361"/>
      <c r="S30" s="1361"/>
      <c r="T30" s="1361"/>
      <c r="U30" s="1361"/>
      <c r="V30" s="1361"/>
      <c r="Y30" s="1381" t="s">
        <v>120</v>
      </c>
      <c r="AA30" s="1407">
        <f>+AA25+4%</f>
        <v>0.14000000000000001</v>
      </c>
    </row>
    <row r="31" spans="1:42" s="1363" customFormat="1" ht="14.45" hidden="1" outlineLevel="1">
      <c r="A31" s="1422"/>
      <c r="C31" s="1396"/>
      <c r="D31" s="1395"/>
      <c r="E31" s="1395"/>
      <c r="F31" s="1373"/>
      <c r="G31" s="1373"/>
      <c r="H31" s="1373"/>
      <c r="I31" s="1373"/>
      <c r="J31" s="1371"/>
      <c r="K31" s="1391"/>
      <c r="L31" s="1389"/>
      <c r="M31" s="1389"/>
      <c r="N31" s="1389"/>
      <c r="O31" s="1389"/>
      <c r="P31" s="1389"/>
      <c r="Q31" s="1389"/>
      <c r="R31" s="1389"/>
      <c r="S31" s="1389"/>
      <c r="T31" s="1389"/>
      <c r="U31" s="1389"/>
      <c r="V31" s="1389"/>
      <c r="Y31" s="1381"/>
      <c r="AA31" s="1411"/>
    </row>
    <row r="32" spans="1:42" collapsed="1">
      <c r="A32" s="1423" t="s">
        <v>121</v>
      </c>
      <c r="B32" s="1380"/>
      <c r="C32" s="1380">
        <f t="shared" ref="C32:V32" si="47">+C13+C28</f>
        <v>38109</v>
      </c>
      <c r="D32" s="1380">
        <f t="shared" si="47"/>
        <v>45319</v>
      </c>
      <c r="E32" s="1424">
        <f t="shared" si="47"/>
        <v>54641</v>
      </c>
      <c r="F32" s="1424">
        <f t="shared" si="47"/>
        <v>65755</v>
      </c>
      <c r="G32" s="1424">
        <f t="shared" si="47"/>
        <v>81602</v>
      </c>
      <c r="H32" s="1424">
        <f t="shared" si="47"/>
        <v>97843</v>
      </c>
      <c r="I32" s="1424">
        <f t="shared" si="47"/>
        <v>103555</v>
      </c>
      <c r="J32" s="1424">
        <f t="shared" si="47"/>
        <v>132870</v>
      </c>
      <c r="K32" s="1425">
        <f t="shared" si="47"/>
        <v>159571.86822904905</v>
      </c>
      <c r="L32" s="1380">
        <f t="shared" si="47"/>
        <v>184632.17110333414</v>
      </c>
      <c r="M32" s="1380">
        <f t="shared" si="47"/>
        <v>213324.33740371143</v>
      </c>
      <c r="N32" s="1380">
        <f t="shared" si="47"/>
        <v>244766.32971169139</v>
      </c>
      <c r="O32" s="1380">
        <f t="shared" si="47"/>
        <v>281807.01181655016</v>
      </c>
      <c r="P32" s="1380">
        <f t="shared" si="47"/>
        <v>320522.10261079983</v>
      </c>
      <c r="Q32" s="1380">
        <f t="shared" si="47"/>
        <v>364631.77221515309</v>
      </c>
      <c r="R32" s="1380">
        <f t="shared" si="47"/>
        <v>413846.19725595764</v>
      </c>
      <c r="S32" s="1380">
        <f t="shared" si="47"/>
        <v>467832.42131015589</v>
      </c>
      <c r="T32" s="1380">
        <f t="shared" si="47"/>
        <v>527035.95300885022</v>
      </c>
      <c r="U32" s="1380">
        <f t="shared" si="47"/>
        <v>594041.77515779331</v>
      </c>
      <c r="V32" s="1380">
        <f t="shared" si="47"/>
        <v>671284.67638193606</v>
      </c>
      <c r="Y32" s="1354" t="s">
        <v>122</v>
      </c>
      <c r="Z32" s="1405">
        <f>+Z26</f>
        <v>83383</v>
      </c>
      <c r="AA32" s="1406">
        <f>+AA29*AA34</f>
        <v>95056.62000000001</v>
      </c>
      <c r="AE32" s="1406">
        <f>+K28-AE28</f>
        <v>2167.7253578972195</v>
      </c>
      <c r="AF32" s="1406">
        <f t="shared" ref="AF32:AP32" si="48">+L28-AF28</f>
        <v>2680.3635913366415</v>
      </c>
      <c r="AG32" s="1406">
        <f t="shared" si="48"/>
        <v>4348.2959979948137</v>
      </c>
      <c r="AH32" s="1406">
        <f t="shared" si="48"/>
        <v>4504.8051914696262</v>
      </c>
      <c r="AI32" s="1406">
        <f t="shared" si="48"/>
        <v>6131.6172752686907</v>
      </c>
      <c r="AJ32" s="1406">
        <f t="shared" si="48"/>
        <v>6062.5831453434221</v>
      </c>
      <c r="AK32" s="1406">
        <f t="shared" si="48"/>
        <v>6393.1650794570887</v>
      </c>
      <c r="AL32" s="1406">
        <f t="shared" si="48"/>
        <v>7063.6488330282664</v>
      </c>
      <c r="AM32" s="1406">
        <f t="shared" si="48"/>
        <v>5871.4112728000837</v>
      </c>
      <c r="AN32" s="1406">
        <f t="shared" si="48"/>
        <v>3526.5840008101804</v>
      </c>
      <c r="AO32" s="1406">
        <f t="shared" si="48"/>
        <v>2219.8776270637754</v>
      </c>
      <c r="AP32" s="1406">
        <f t="shared" si="48"/>
        <v>3634.8685058863339</v>
      </c>
    </row>
    <row r="33" spans="1:42" s="1363" customFormat="1" ht="14.45">
      <c r="A33" s="1419" t="s">
        <v>87</v>
      </c>
      <c r="C33" s="1382"/>
      <c r="D33" s="1382">
        <f t="shared" ref="D33:F33" si="49">+D32/C32-1</f>
        <v>0.18919415361200764</v>
      </c>
      <c r="E33" s="1382">
        <f t="shared" si="49"/>
        <v>0.2056973896158345</v>
      </c>
      <c r="F33" s="1382">
        <f t="shared" si="49"/>
        <v>0.20340037700627733</v>
      </c>
      <c r="G33" s="1382">
        <f t="shared" ref="G33" si="50">+G32/F32-1</f>
        <v>0.24100068435860389</v>
      </c>
      <c r="H33" s="1382">
        <f t="shared" ref="H33:P33" si="51">+H32/G32-1</f>
        <v>0.1990269846327295</v>
      </c>
      <c r="I33" s="1382">
        <f t="shared" ref="I33" si="52">+I32/H32-1</f>
        <v>5.8379240211358985E-2</v>
      </c>
      <c r="J33" s="1382">
        <f t="shared" si="51"/>
        <v>0.28308628265173086</v>
      </c>
      <c r="K33" s="1397">
        <f t="shared" si="51"/>
        <v>0.20096235590463651</v>
      </c>
      <c r="L33" s="1382">
        <f t="shared" si="51"/>
        <v>0.15704712335832016</v>
      </c>
      <c r="M33" s="1382">
        <f t="shared" si="51"/>
        <v>0.15540177060648319</v>
      </c>
      <c r="N33" s="1382">
        <f t="shared" si="51"/>
        <v>0.14739055417046343</v>
      </c>
      <c r="O33" s="1382">
        <f t="shared" si="51"/>
        <v>0.15133079026224205</v>
      </c>
      <c r="P33" s="1382">
        <f t="shared" si="51"/>
        <v>0.13738157381070515</v>
      </c>
      <c r="Q33" s="1382">
        <f t="shared" ref="Q33" si="53">+Q32/P32-1</f>
        <v>0.13761818372293111</v>
      </c>
      <c r="R33" s="1382">
        <f t="shared" ref="R33" si="54">+R32/Q32-1</f>
        <v>0.13497020498741752</v>
      </c>
      <c r="S33" s="1382">
        <f t="shared" ref="S33" si="55">+S32/R32-1</f>
        <v>0.1304499700907209</v>
      </c>
      <c r="T33" s="1382">
        <f t="shared" ref="T33" si="56">+T32/S32-1</f>
        <v>0.1265485866347098</v>
      </c>
      <c r="U33" s="1382">
        <f t="shared" ref="U33" si="57">+U32/T32-1</f>
        <v>0.12713709902788728</v>
      </c>
      <c r="V33" s="1382">
        <f t="shared" ref="V33" si="58">+V32/U32-1</f>
        <v>0.1300294094697716</v>
      </c>
      <c r="Y33" s="1381" t="s">
        <v>113</v>
      </c>
      <c r="Z33" s="1400"/>
      <c r="AA33" s="1411">
        <f>+AA32/Z32-1</f>
        <v>0.14000000000000012</v>
      </c>
      <c r="AE33" s="1426">
        <f>+AE32/K8</f>
        <v>7.7991400533133585E-3</v>
      </c>
      <c r="AF33" s="1426">
        <f>+AF32/L8</f>
        <v>8.5341000076822084E-3</v>
      </c>
      <c r="AG33" s="1426">
        <f t="shared" ref="AG33:AO33" si="59">+AG32/M8</f>
        <v>1.2251934718636759E-2</v>
      </c>
      <c r="AH33" s="1426">
        <f t="shared" si="59"/>
        <v>1.1232673764520508E-2</v>
      </c>
      <c r="AI33" s="1426">
        <f t="shared" si="59"/>
        <v>1.3530184740808943E-2</v>
      </c>
      <c r="AJ33" s="1426">
        <f t="shared" si="59"/>
        <v>1.1838807301017584E-2</v>
      </c>
      <c r="AK33" s="1426">
        <f t="shared" si="59"/>
        <v>1.1048103115143067E-2</v>
      </c>
      <c r="AL33" s="1426">
        <f t="shared" si="59"/>
        <v>1.0802454785148978E-2</v>
      </c>
      <c r="AM33" s="1426">
        <f t="shared" si="59"/>
        <v>7.9461620161737218E-3</v>
      </c>
      <c r="AN33" s="1426">
        <f t="shared" si="59"/>
        <v>4.2236770401008266E-3</v>
      </c>
      <c r="AO33" s="1426">
        <f t="shared" si="59"/>
        <v>2.3528111013524718E-3</v>
      </c>
      <c r="AP33" s="1426">
        <f>+AP32/V8</f>
        <v>3.4093240926315735E-3</v>
      </c>
    </row>
    <row r="34" spans="1:42" s="1363" customFormat="1" ht="14.45">
      <c r="A34" s="1419" t="s">
        <v>99</v>
      </c>
      <c r="C34" s="1382">
        <f t="shared" ref="C34:V34" si="60">+C32/C8</f>
        <v>0.39462157376438062</v>
      </c>
      <c r="D34" s="1383">
        <f t="shared" si="60"/>
        <v>0.41064697354113811</v>
      </c>
      <c r="E34" s="1383">
        <f t="shared" si="60"/>
        <v>0.43419975683987189</v>
      </c>
      <c r="F34" s="1383">
        <f t="shared" si="60"/>
        <v>0.45977694647414608</v>
      </c>
      <c r="G34" s="1382">
        <f t="shared" si="60"/>
        <v>0.48547189567369475</v>
      </c>
      <c r="H34" s="1382">
        <f t="shared" si="60"/>
        <v>0.49348363342916224</v>
      </c>
      <c r="I34" s="1382">
        <f t="shared" si="60"/>
        <v>0.48866290729773731</v>
      </c>
      <c r="J34" s="1382">
        <f t="shared" si="60"/>
        <v>0.5420566085459485</v>
      </c>
      <c r="K34" s="1397">
        <f t="shared" si="60"/>
        <v>0.57411486393020539</v>
      </c>
      <c r="L34" s="1382">
        <f t="shared" si="60"/>
        <v>0.58785659450238725</v>
      </c>
      <c r="M34" s="1382">
        <f t="shared" si="60"/>
        <v>0.60107128331925286</v>
      </c>
      <c r="N34" s="1382">
        <f t="shared" si="60"/>
        <v>0.61032169279967197</v>
      </c>
      <c r="O34" s="1382">
        <f t="shared" si="60"/>
        <v>0.621842616712598</v>
      </c>
      <c r="P34" s="1382">
        <f t="shared" si="60"/>
        <v>0.62590472040632028</v>
      </c>
      <c r="Q34" s="1382">
        <f t="shared" si="60"/>
        <v>0.63012441700198862</v>
      </c>
      <c r="R34" s="1382">
        <f t="shared" si="60"/>
        <v>0.63289596347993282</v>
      </c>
      <c r="S34" s="1382">
        <f t="shared" si="60"/>
        <v>0.63314798494374169</v>
      </c>
      <c r="T34" s="1382">
        <f t="shared" si="60"/>
        <v>0.63121413059202369</v>
      </c>
      <c r="U34" s="1382">
        <f t="shared" si="60"/>
        <v>0.62961492391230411</v>
      </c>
      <c r="V34" s="1382">
        <f t="shared" si="60"/>
        <v>0.62963131032033304</v>
      </c>
      <c r="Y34" s="1381" t="s">
        <v>123</v>
      </c>
      <c r="Z34" s="1411">
        <f>+Z32/Z29</f>
        <v>0.4205527815604983</v>
      </c>
      <c r="AA34" s="1407">
        <f>+Z34</f>
        <v>0.4205527815604983</v>
      </c>
    </row>
    <row r="35" spans="1:42" s="1363" customFormat="1" ht="14.45">
      <c r="A35" s="1419" t="s">
        <v>101</v>
      </c>
      <c r="C35" s="1383"/>
      <c r="D35" s="1383">
        <f t="shared" ref="D35:V35" si="61">(D32-C32)/(D8-C8)</f>
        <v>0.52288055696569724</v>
      </c>
      <c r="E35" s="1383">
        <f t="shared" si="61"/>
        <v>0.60207970031647617</v>
      </c>
      <c r="F35" s="1383">
        <f t="shared" si="61"/>
        <v>0.64721639878872583</v>
      </c>
      <c r="G35" s="1383">
        <f t="shared" si="61"/>
        <v>0.63203445937861447</v>
      </c>
      <c r="H35" s="1383">
        <f t="shared" si="61"/>
        <v>0.53810218010734878</v>
      </c>
      <c r="I35" s="1383">
        <f t="shared" si="61"/>
        <v>0.41861487724441188</v>
      </c>
      <c r="J35" s="1383">
        <f t="shared" si="61"/>
        <v>0.88279579606709424</v>
      </c>
      <c r="K35" s="1384">
        <f t="shared" si="61"/>
        <v>0.81353195029823211</v>
      </c>
      <c r="L35" s="1383">
        <f t="shared" si="61"/>
        <v>0.69356221428840203</v>
      </c>
      <c r="M35" s="1383">
        <f t="shared" si="61"/>
        <v>0.70272273575668054</v>
      </c>
      <c r="N35" s="1383">
        <f t="shared" si="61"/>
        <v>0.68147868880289542</v>
      </c>
      <c r="O35" s="1383">
        <f t="shared" si="61"/>
        <v>0.71046510835049048</v>
      </c>
      <c r="P35" s="1383">
        <f t="shared" si="61"/>
        <v>0.65715167189649171</v>
      </c>
      <c r="Q35" s="1383">
        <f t="shared" si="61"/>
        <v>0.66258362158405315</v>
      </c>
      <c r="R35" s="1383">
        <f t="shared" si="61"/>
        <v>0.65421555177181101</v>
      </c>
      <c r="S35" s="1383">
        <f t="shared" si="61"/>
        <v>0.63508661158842528</v>
      </c>
      <c r="T35" s="1383">
        <f t="shared" si="61"/>
        <v>0.61633832788650111</v>
      </c>
      <c r="U35" s="1383">
        <f t="shared" si="61"/>
        <v>0.61731333406830713</v>
      </c>
      <c r="V35" s="1383">
        <f t="shared" si="61"/>
        <v>0.62975735961286294</v>
      </c>
    </row>
    <row r="36" spans="1:42" hidden="1" outlineLevel="1">
      <c r="C36" s="1353"/>
      <c r="D36" s="1353"/>
      <c r="E36" s="1353"/>
      <c r="F36" s="1353"/>
      <c r="G36" s="1353"/>
      <c r="H36" s="1353"/>
      <c r="I36" s="1353"/>
      <c r="J36" s="1353"/>
      <c r="K36" s="1427"/>
      <c r="L36" s="1353"/>
      <c r="M36" s="1353"/>
      <c r="N36" s="1353"/>
      <c r="O36" s="1353"/>
      <c r="P36" s="1353"/>
      <c r="Q36" s="1353"/>
      <c r="R36" s="1353"/>
      <c r="S36" s="1353"/>
      <c r="T36" s="1353"/>
      <c r="U36" s="1353"/>
      <c r="V36" s="1353"/>
    </row>
    <row r="37" spans="1:42" hidden="1" outlineLevel="1">
      <c r="A37" s="1399" t="s">
        <v>124</v>
      </c>
      <c r="C37" s="1353"/>
      <c r="D37" s="1353"/>
      <c r="E37" s="1353"/>
      <c r="F37" s="1353"/>
      <c r="G37" s="1353"/>
      <c r="H37" s="1353"/>
      <c r="I37" s="1353"/>
      <c r="J37" s="1353"/>
      <c r="K37" s="1427"/>
      <c r="L37" s="1353"/>
      <c r="M37" s="1353"/>
      <c r="N37" s="1353"/>
      <c r="O37" s="1353"/>
      <c r="P37" s="1353"/>
      <c r="Q37" s="1353"/>
      <c r="R37" s="1353"/>
      <c r="S37" s="1353"/>
      <c r="T37" s="1353"/>
      <c r="U37" s="1353"/>
      <c r="V37" s="1353"/>
    </row>
    <row r="38" spans="1:42" hidden="1" outlineLevel="1">
      <c r="A38" s="1428" t="s">
        <v>125</v>
      </c>
      <c r="C38" s="1353"/>
      <c r="D38" s="1353"/>
      <c r="E38" s="1353"/>
      <c r="F38" s="1353"/>
      <c r="G38" s="1353"/>
      <c r="H38" s="1353"/>
      <c r="I38" s="1353"/>
      <c r="J38" s="1429">
        <f>+'D&amp;A forecast - Case 1'!U53</f>
        <v>2287</v>
      </c>
      <c r="K38" s="1430">
        <f>+'D&amp;A forecast - Case 1'!V53</f>
        <v>2287</v>
      </c>
      <c r="L38" s="1431">
        <f>+'D&amp;A forecast - Case 1'!W53</f>
        <v>2287</v>
      </c>
      <c r="M38" s="1431">
        <f>+'D&amp;A forecast - Case 1'!X53</f>
        <v>2287</v>
      </c>
      <c r="N38" s="1431">
        <f>+'D&amp;A forecast - Case 1'!Y53</f>
        <v>2287</v>
      </c>
      <c r="O38" s="1431">
        <f>+'D&amp;A forecast - Case 1'!Z53</f>
        <v>2287</v>
      </c>
      <c r="P38" s="1431">
        <f>+'D&amp;A forecast - Case 1'!AA53</f>
        <v>2287</v>
      </c>
      <c r="Q38" s="1431">
        <f>+'D&amp;A forecast - Case 1'!AB53</f>
        <v>2287</v>
      </c>
      <c r="R38" s="1431">
        <f>+'D&amp;A forecast - Case 1'!AC53</f>
        <v>2287</v>
      </c>
      <c r="S38" s="1431">
        <f>+'D&amp;A forecast - Case 1'!AD53</f>
        <v>2287</v>
      </c>
      <c r="T38" s="1431">
        <f>+'D&amp;A forecast - Case 1'!AE53</f>
        <v>2287</v>
      </c>
      <c r="U38" s="1431">
        <f>+'D&amp;A forecast - Case 1'!AF53</f>
        <v>2287</v>
      </c>
      <c r="V38" s="1431">
        <f>+'D&amp;A forecast - Case 1'!AH53</f>
        <v>0</v>
      </c>
    </row>
    <row r="39" spans="1:42" collapsed="1">
      <c r="C39" s="1353"/>
      <c r="D39" s="1353"/>
      <c r="E39" s="1353"/>
      <c r="F39" s="1353"/>
      <c r="G39" s="1353"/>
      <c r="H39" s="1353"/>
      <c r="I39" s="1353"/>
      <c r="J39" s="1353"/>
      <c r="K39" s="1427"/>
      <c r="L39" s="1353"/>
      <c r="M39" s="1353"/>
      <c r="N39" s="1353"/>
      <c r="O39" s="1353"/>
      <c r="P39" s="1353"/>
      <c r="Q39" s="1353"/>
      <c r="R39" s="1353"/>
      <c r="S39" s="1353"/>
      <c r="T39" s="1353"/>
      <c r="U39" s="1353"/>
      <c r="V39" s="1353"/>
      <c r="X39" s="1387" t="s">
        <v>126</v>
      </c>
    </row>
    <row r="40" spans="1:42" ht="14.45">
      <c r="A40" s="1422" t="s">
        <v>127</v>
      </c>
      <c r="C40" s="1353"/>
      <c r="D40" s="1353"/>
      <c r="E40" s="1353"/>
      <c r="F40" s="1353"/>
      <c r="G40" s="1353"/>
      <c r="H40" s="1353"/>
      <c r="I40" s="1353"/>
      <c r="J40" s="1432"/>
      <c r="K40" s="1427"/>
      <c r="L40" s="1353"/>
      <c r="M40" s="1353"/>
      <c r="N40" s="1353"/>
      <c r="O40" s="1353"/>
      <c r="P40" s="1353"/>
      <c r="Q40" s="1353"/>
      <c r="R40" s="1353"/>
      <c r="S40" s="1353"/>
      <c r="T40" s="1353"/>
      <c r="U40" s="1353"/>
      <c r="V40" s="1353"/>
      <c r="X40" s="1354" t="s">
        <v>128</v>
      </c>
    </row>
    <row r="41" spans="1:42" ht="14.45">
      <c r="A41" s="1381" t="s">
        <v>129</v>
      </c>
      <c r="C41" s="1382"/>
      <c r="D41" s="1383">
        <f t="shared" ref="D41:U41" si="62">+D28/C28-1</f>
        <v>0.16894508999772162</v>
      </c>
      <c r="E41" s="1383">
        <f t="shared" si="62"/>
        <v>0.13848552772634237</v>
      </c>
      <c r="F41" s="1383">
        <f t="shared" si="62"/>
        <v>9.5360383495976642E-2</v>
      </c>
      <c r="G41" s="1382">
        <f t="shared" si="62"/>
        <v>-8.6745858080650162E-2</v>
      </c>
      <c r="H41" s="1382">
        <f t="shared" si="62"/>
        <v>0.23737805921615607</v>
      </c>
      <c r="I41" s="1382">
        <f t="shared" si="62"/>
        <v>-4.1424619640387239E-2</v>
      </c>
      <c r="J41" s="1382">
        <f t="shared" si="62"/>
        <v>0.47370319601760325</v>
      </c>
      <c r="K41" s="1384">
        <f t="shared" si="62"/>
        <v>0.4672170218467302</v>
      </c>
      <c r="L41" s="1383">
        <f t="shared" si="62"/>
        <v>0.13691019762040657</v>
      </c>
      <c r="M41" s="1383">
        <f t="shared" si="62"/>
        <v>0.14705481696681511</v>
      </c>
      <c r="N41" s="1383">
        <f t="shared" si="62"/>
        <v>0.11979076666311994</v>
      </c>
      <c r="O41" s="1383">
        <f t="shared" si="62"/>
        <v>0.15541196009789626</v>
      </c>
      <c r="P41" s="1383">
        <f t="shared" si="62"/>
        <v>8.9882881162610673E-2</v>
      </c>
      <c r="Q41" s="1383">
        <f t="shared" si="62"/>
        <v>9.9752589850975015E-2</v>
      </c>
      <c r="R41" s="1383">
        <f t="shared" si="62"/>
        <v>9.2110391123080282E-2</v>
      </c>
      <c r="S41" s="1383">
        <f t="shared" si="62"/>
        <v>7.074107731805368E-2</v>
      </c>
      <c r="T41" s="1383">
        <f t="shared" si="62"/>
        <v>4.9247538536081326E-2</v>
      </c>
      <c r="U41" s="1383">
        <f t="shared" si="62"/>
        <v>5.4460814248214584E-2</v>
      </c>
      <c r="V41" s="1383">
        <f>+V28/U28-1</f>
        <v>7.7826123426325333E-2</v>
      </c>
      <c r="AA41" s="1388"/>
    </row>
    <row r="42" spans="1:42" ht="14.45">
      <c r="A42" s="1381" t="s">
        <v>130</v>
      </c>
      <c r="C42" s="1382"/>
      <c r="D42" s="1383">
        <f t="shared" ref="D42:V42" si="63">D28/D8</f>
        <v>9.2977528089887643E-2</v>
      </c>
      <c r="E42" s="1383">
        <f t="shared" si="63"/>
        <v>9.2829954784930432E-2</v>
      </c>
      <c r="F42" s="1383">
        <f t="shared" si="63"/>
        <v>8.9473132188931229E-2</v>
      </c>
      <c r="G42" s="1382">
        <f t="shared" si="63"/>
        <v>6.9523106943981727E-2</v>
      </c>
      <c r="H42" s="1382">
        <f t="shared" si="63"/>
        <v>7.2930851868663937E-2</v>
      </c>
      <c r="I42" s="1382">
        <f t="shared" si="63"/>
        <v>6.5408300497841118E-2</v>
      </c>
      <c r="J42" s="1382">
        <f t="shared" si="63"/>
        <v>8.333401326686303E-2</v>
      </c>
      <c r="K42" s="1384">
        <f t="shared" si="63"/>
        <v>0.10783044735954564</v>
      </c>
      <c r="L42" s="1383">
        <f t="shared" si="63"/>
        <v>0.10848985417436982</v>
      </c>
      <c r="M42" s="1383">
        <f t="shared" si="63"/>
        <v>0.11012726532985685</v>
      </c>
      <c r="N42" s="1383">
        <f t="shared" si="63"/>
        <v>0.10913229634887897</v>
      </c>
      <c r="O42" s="1383">
        <f t="shared" si="63"/>
        <v>0.11158651365879889</v>
      </c>
      <c r="P42" s="1383">
        <f t="shared" si="63"/>
        <v>0.1076249831905688</v>
      </c>
      <c r="Q42" s="1383">
        <f t="shared" si="63"/>
        <v>0.10474411858096964</v>
      </c>
      <c r="R42" s="1383">
        <f t="shared" si="63"/>
        <v>0.10123198257637618</v>
      </c>
      <c r="S42" s="1383">
        <f t="shared" si="63"/>
        <v>9.5923223082187148E-2</v>
      </c>
      <c r="T42" s="1383">
        <f t="shared" si="63"/>
        <v>8.9068323634895849E-2</v>
      </c>
      <c r="U42" s="1383">
        <f t="shared" si="63"/>
        <v>8.3114209790952021E-2</v>
      </c>
      <c r="V42" s="1383">
        <f t="shared" si="63"/>
        <v>7.9276696053649703E-2</v>
      </c>
      <c r="AA42" s="1388"/>
    </row>
    <row r="43" spans="1:42">
      <c r="C43" s="1353"/>
      <c r="D43" s="1353"/>
      <c r="E43" s="1353"/>
      <c r="F43" s="1353"/>
      <c r="G43" s="1353"/>
      <c r="H43" s="1353"/>
      <c r="I43" s="1353"/>
      <c r="J43" s="1353"/>
      <c r="K43" s="1427"/>
      <c r="L43" s="1353"/>
      <c r="M43" s="1353"/>
      <c r="N43" s="1353"/>
      <c r="O43" s="1353"/>
      <c r="P43" s="1353"/>
      <c r="Q43" s="1353"/>
      <c r="R43" s="1353"/>
      <c r="S43" s="1353"/>
      <c r="T43" s="1353"/>
      <c r="U43" s="1353"/>
      <c r="V43" s="1353"/>
    </row>
    <row r="44" spans="1:42" ht="14.45">
      <c r="A44" s="1422" t="s">
        <v>127</v>
      </c>
      <c r="C44" s="1353"/>
      <c r="D44" s="1353"/>
      <c r="E44" s="1353"/>
      <c r="F44" s="1353"/>
      <c r="G44" s="1353"/>
      <c r="H44" s="1353"/>
      <c r="I44" s="1353"/>
      <c r="J44" s="1353"/>
      <c r="K44" s="1427"/>
      <c r="L44" s="1353"/>
      <c r="M44" s="1353"/>
      <c r="N44" s="1353"/>
      <c r="O44" s="1353"/>
      <c r="P44" s="1353"/>
      <c r="Q44" s="1353"/>
      <c r="R44" s="1353"/>
      <c r="S44" s="1353"/>
      <c r="T44" s="1353"/>
      <c r="U44" s="1353"/>
      <c r="V44" s="1353"/>
    </row>
    <row r="45" spans="1:42" ht="14.45">
      <c r="A45" s="1381" t="s">
        <v>131</v>
      </c>
      <c r="B45" s="1433"/>
      <c r="C45" s="1433">
        <f t="shared" ref="C45:V45" si="64">+C8-C32</f>
        <v>58462</v>
      </c>
      <c r="D45" s="1433">
        <f t="shared" si="64"/>
        <v>65041</v>
      </c>
      <c r="E45" s="1433">
        <f t="shared" si="64"/>
        <v>71202</v>
      </c>
      <c r="F45" s="1433">
        <f t="shared" si="64"/>
        <v>77260</v>
      </c>
      <c r="G45" s="1433">
        <f t="shared" si="64"/>
        <v>86486</v>
      </c>
      <c r="H45" s="1433">
        <f t="shared" si="64"/>
        <v>100427</v>
      </c>
      <c r="I45" s="1424">
        <f t="shared" si="64"/>
        <v>108360</v>
      </c>
      <c r="J45" s="1424">
        <f t="shared" si="64"/>
        <v>112252</v>
      </c>
      <c r="K45" s="1425">
        <f t="shared" si="64"/>
        <v>118372.28241821248</v>
      </c>
      <c r="L45" s="1433">
        <f t="shared" si="64"/>
        <v>129444.71912807136</v>
      </c>
      <c r="M45" s="1433">
        <f t="shared" si="64"/>
        <v>141582.54855777675</v>
      </c>
      <c r="N45" s="1433">
        <f t="shared" si="64"/>
        <v>156278.45142479023</v>
      </c>
      <c r="O45" s="1433">
        <f t="shared" si="64"/>
        <v>171373.59086767404</v>
      </c>
      <c r="P45" s="1433">
        <f t="shared" si="64"/>
        <v>191571.97842237348</v>
      </c>
      <c r="Q45" s="1433">
        <f t="shared" si="64"/>
        <v>214034.53935233271</v>
      </c>
      <c r="R45" s="1433">
        <f t="shared" si="64"/>
        <v>240046.73481530126</v>
      </c>
      <c r="S45" s="1433">
        <f t="shared" si="64"/>
        <v>271066.59193036659</v>
      </c>
      <c r="T45" s="1433">
        <f t="shared" si="64"/>
        <v>307919.93195294007</v>
      </c>
      <c r="U45" s="1433">
        <f t="shared" si="64"/>
        <v>349458.37484902958</v>
      </c>
      <c r="V45" s="1433">
        <f t="shared" si="64"/>
        <v>394870.49312577373</v>
      </c>
    </row>
    <row r="46" spans="1:42" ht="14.45">
      <c r="A46" s="1419" t="s">
        <v>132</v>
      </c>
      <c r="C46" s="1353"/>
      <c r="D46" s="1382">
        <f t="shared" ref="D46" si="65">+D45/C45-1</f>
        <v>0.11253463788443785</v>
      </c>
      <c r="E46" s="1382">
        <f t="shared" ref="E46" si="66">+E45/D45-1</f>
        <v>9.4724865853845985E-2</v>
      </c>
      <c r="F46" s="1382">
        <f t="shared" ref="F46" si="67">+F45/E45-1</f>
        <v>8.5081879722479714E-2</v>
      </c>
      <c r="G46" s="1382">
        <f t="shared" ref="G46" si="68">+G45/F45-1</f>
        <v>0.11941496246440586</v>
      </c>
      <c r="H46" s="1382">
        <f t="shared" ref="H46" si="69">+H45/G45-1</f>
        <v>0.16119371921467063</v>
      </c>
      <c r="I46" s="1382">
        <f t="shared" ref="I46" si="70">+I45/H45-1</f>
        <v>7.8992701166021195E-2</v>
      </c>
      <c r="J46" s="1382">
        <f t="shared" ref="J46" si="71">+J45/I45-1</f>
        <v>3.5917312661498668E-2</v>
      </c>
      <c r="K46" s="1397">
        <f t="shared" ref="K46" si="72">+K45/J45-1</f>
        <v>5.4522702653070576E-2</v>
      </c>
      <c r="L46" s="1382">
        <f t="shared" ref="L46" si="73">+L45/K45-1</f>
        <v>9.3539099556597671E-2</v>
      </c>
      <c r="M46" s="1382">
        <f t="shared" ref="M46" si="74">+M45/L45-1</f>
        <v>9.3768440392661745E-2</v>
      </c>
      <c r="N46" s="1382">
        <f t="shared" ref="N46" si="75">+N45/M45-1</f>
        <v>0.10379741724324454</v>
      </c>
      <c r="O46" s="1382">
        <f t="shared" ref="O46" si="76">+O45/N45-1</f>
        <v>9.6591304209002971E-2</v>
      </c>
      <c r="P46" s="1382">
        <f t="shared" ref="P46" si="77">+P45/O45-1</f>
        <v>0.11786172800857986</v>
      </c>
      <c r="Q46" s="1382">
        <f t="shared" ref="Q46" si="78">+Q45/P45-1</f>
        <v>0.117253896498549</v>
      </c>
      <c r="R46" s="1382">
        <f t="shared" ref="R46" si="79">+R45/Q45-1</f>
        <v>0.12153270001038763</v>
      </c>
      <c r="S46" s="1382">
        <f t="shared" ref="S46" si="80">+S45/R45-1</f>
        <v>0.12922424101678742</v>
      </c>
      <c r="T46" s="1382">
        <f t="shared" ref="T46" si="81">+T45/S45-1</f>
        <v>0.13595677637781578</v>
      </c>
      <c r="U46" s="1382">
        <f t="shared" ref="U46" si="82">+U45/T45-1</f>
        <v>0.13490014313993126</v>
      </c>
      <c r="V46" s="1382">
        <f t="shared" ref="V46" si="83">+V45/U45-1</f>
        <v>0.12995000705409554</v>
      </c>
    </row>
    <row r="47" spans="1:42" ht="14.45">
      <c r="A47" s="1419" t="s">
        <v>118</v>
      </c>
      <c r="C47" s="1353"/>
      <c r="D47" s="1382">
        <f t="shared" ref="D47:V47" si="84">+D45/D8</f>
        <v>0.58935302645886189</v>
      </c>
      <c r="E47" s="1382">
        <f t="shared" si="84"/>
        <v>0.56580024316012811</v>
      </c>
      <c r="F47" s="1382">
        <f t="shared" si="84"/>
        <v>0.54022305352585398</v>
      </c>
      <c r="G47" s="1382">
        <f t="shared" si="84"/>
        <v>0.51452810432630525</v>
      </c>
      <c r="H47" s="1382">
        <f t="shared" si="84"/>
        <v>0.50651636657083776</v>
      </c>
      <c r="I47" s="1382">
        <f t="shared" si="84"/>
        <v>0.51133709270226269</v>
      </c>
      <c r="J47" s="1382">
        <f t="shared" si="84"/>
        <v>0.45794339145405144</v>
      </c>
      <c r="K47" s="1397">
        <f t="shared" si="84"/>
        <v>0.42588513606979461</v>
      </c>
      <c r="L47" s="1382">
        <f t="shared" si="84"/>
        <v>0.41214340549761275</v>
      </c>
      <c r="M47" s="1382">
        <f t="shared" si="84"/>
        <v>0.39892871668074714</v>
      </c>
      <c r="N47" s="1382">
        <f t="shared" si="84"/>
        <v>0.38967830720032809</v>
      </c>
      <c r="O47" s="1382">
        <f t="shared" si="84"/>
        <v>0.37815738328740206</v>
      </c>
      <c r="P47" s="1382">
        <f t="shared" si="84"/>
        <v>0.37409527959367977</v>
      </c>
      <c r="Q47" s="1382">
        <f t="shared" si="84"/>
        <v>0.36987558299801138</v>
      </c>
      <c r="R47" s="1382">
        <f t="shared" si="84"/>
        <v>0.36710403652006723</v>
      </c>
      <c r="S47" s="1382">
        <f t="shared" si="84"/>
        <v>0.36685201505625836</v>
      </c>
      <c r="T47" s="1382">
        <f t="shared" si="84"/>
        <v>0.36878586940797631</v>
      </c>
      <c r="U47" s="1382">
        <f t="shared" si="84"/>
        <v>0.37038507608769589</v>
      </c>
      <c r="V47" s="1382">
        <f t="shared" si="84"/>
        <v>0.37036868967966702</v>
      </c>
    </row>
    <row r="48" spans="1:42" ht="14.45">
      <c r="A48" s="1434"/>
      <c r="C48" s="1353"/>
      <c r="D48" s="1353"/>
      <c r="E48" s="1353"/>
      <c r="F48" s="1353"/>
      <c r="G48" s="1353"/>
      <c r="H48" s="1353"/>
      <c r="I48" s="1353"/>
      <c r="J48" s="1353"/>
      <c r="K48" s="1427"/>
      <c r="L48" s="1353"/>
      <c r="M48" s="1353"/>
      <c r="N48" s="1353"/>
      <c r="O48" s="1353"/>
      <c r="P48" s="1353"/>
      <c r="Q48" s="1353"/>
      <c r="R48" s="1353"/>
      <c r="S48" s="1353"/>
      <c r="T48" s="1353"/>
      <c r="U48" s="1353"/>
      <c r="V48" s="1353"/>
    </row>
    <row r="49" spans="1:41">
      <c r="A49" s="1412" t="s">
        <v>133</v>
      </c>
      <c r="B49" s="1376"/>
      <c r="C49" s="1377">
        <f>+'Historical Financials'!BH114*-1</f>
        <v>10200</v>
      </c>
      <c r="D49" s="1377">
        <f>+'Historical Financials'!BI114*-1</f>
        <v>13600</v>
      </c>
      <c r="E49" s="1378">
        <f>+'Historical Financials'!BJ114*-1</f>
        <v>16900</v>
      </c>
      <c r="F49" s="1378">
        <f>+'Historical Financials'!BK114*-1</f>
        <v>19000</v>
      </c>
      <c r="G49" s="1378">
        <f>+'Historical Financials'!BL114*-1</f>
        <v>24200</v>
      </c>
      <c r="H49" s="1378">
        <f>+'Historical Financials'!BM114*-1</f>
        <v>29200</v>
      </c>
      <c r="I49" s="1378">
        <f>+'Historical Financials'!BN114*-1</f>
        <v>31900</v>
      </c>
      <c r="J49" s="1378">
        <f>+'Historical Financials'!BO114*-1</f>
        <v>55700</v>
      </c>
      <c r="K49" s="1379">
        <f>+'Historical Financials'!BP114*-1</f>
        <v>83000</v>
      </c>
      <c r="L49" s="1380">
        <f t="shared" ref="L49:V49" si="85">+L51*L8</f>
        <v>69096.915850909209</v>
      </c>
      <c r="M49" s="1380">
        <f t="shared" si="85"/>
        <v>70981.377192297645</v>
      </c>
      <c r="N49" s="1380">
        <f t="shared" si="85"/>
        <v>72188.060604566694</v>
      </c>
      <c r="O49" s="1380">
        <f t="shared" si="85"/>
        <v>72508.896429475877</v>
      </c>
      <c r="P49" s="1380">
        <f t="shared" si="85"/>
        <v>71693.171344644274</v>
      </c>
      <c r="Q49" s="1380">
        <f t="shared" si="85"/>
        <v>75226.620503773156</v>
      </c>
      <c r="R49" s="1380">
        <f t="shared" si="85"/>
        <v>78467.151848551061</v>
      </c>
      <c r="S49" s="1380">
        <f t="shared" si="85"/>
        <v>88667.8815888627</v>
      </c>
      <c r="T49" s="1380">
        <f t="shared" si="85"/>
        <v>100194.70619541484</v>
      </c>
      <c r="U49" s="1380">
        <f t="shared" si="85"/>
        <v>113220.01800081875</v>
      </c>
      <c r="V49" s="1380">
        <f t="shared" si="85"/>
        <v>127938.62034092518</v>
      </c>
    </row>
    <row r="50" spans="1:41" ht="14.45">
      <c r="A50" s="1381" t="s">
        <v>87</v>
      </c>
      <c r="C50" s="1382"/>
      <c r="D50" s="1383">
        <f>D49/C49-1</f>
        <v>0.33333333333333326</v>
      </c>
      <c r="E50" s="1383">
        <f>E49/D49-1</f>
        <v>0.24264705882352944</v>
      </c>
      <c r="F50" s="1383">
        <f>F49/E49-1</f>
        <v>0.12426035502958577</v>
      </c>
      <c r="G50" s="1382">
        <f t="shared" ref="G50" si="86">G49/F49-1</f>
        <v>0.27368421052631575</v>
      </c>
      <c r="H50" s="1382">
        <f t="shared" ref="H50" si="87">H49/G49-1</f>
        <v>0.20661157024793386</v>
      </c>
      <c r="I50" s="1382">
        <f t="shared" ref="I50" si="88">I49/H49-1</f>
        <v>9.2465753424657571E-2</v>
      </c>
      <c r="J50" s="1382">
        <f t="shared" ref="J50" si="89">J49/I49-1</f>
        <v>0.74608150470219425</v>
      </c>
      <c r="K50" s="1384">
        <f t="shared" ref="K50" si="90">K49/J49-1</f>
        <v>0.49012567324955114</v>
      </c>
      <c r="L50" s="1383">
        <f t="shared" ref="L50" si="91">L49/K49-1</f>
        <v>-0.16750703794085287</v>
      </c>
      <c r="M50" s="1383">
        <f t="shared" ref="M50" si="92">M49/L49-1</f>
        <v>2.7272727272727337E-2</v>
      </c>
      <c r="N50" s="1383">
        <f t="shared" ref="N50" si="93">N49/M49-1</f>
        <v>1.6999999999999904E-2</v>
      </c>
      <c r="O50" s="1383">
        <f t="shared" ref="O50" si="94">O49/N49-1</f>
        <v>4.4444444444444731E-3</v>
      </c>
      <c r="P50" s="1383">
        <f t="shared" ref="P50" si="95">P49/O49-1</f>
        <v>-1.1249999999999982E-2</v>
      </c>
      <c r="Q50" s="1383">
        <f t="shared" ref="Q50" si="96">Q49/P49-1</f>
        <v>4.9285714285714155E-2</v>
      </c>
      <c r="R50" s="1383">
        <f t="shared" ref="R50" si="97">R49/Q49-1</f>
        <v>4.3076923076922791E-2</v>
      </c>
      <c r="S50" s="1383">
        <f t="shared" ref="S50" si="98">S49/R49-1</f>
        <v>0.13000000000000012</v>
      </c>
      <c r="T50" s="1383">
        <f t="shared" ref="T50" si="99">T49/S49-1</f>
        <v>0.12999999999999989</v>
      </c>
      <c r="U50" s="1383">
        <f t="shared" ref="U50" si="100">U49/T49-1</f>
        <v>0.12999999999999989</v>
      </c>
      <c r="V50" s="1383">
        <f t="shared" ref="V50" si="101">V49/U49-1</f>
        <v>0.12999999999999989</v>
      </c>
      <c r="AA50" s="1388"/>
    </row>
    <row r="51" spans="1:41" s="1363" customFormat="1" ht="14.45">
      <c r="A51" s="1381" t="s">
        <v>118</v>
      </c>
      <c r="C51" s="1383">
        <f t="shared" ref="C51:K51" si="102">+C49/C8</f>
        <v>0.10562177051081588</v>
      </c>
      <c r="D51" s="1383">
        <f t="shared" si="102"/>
        <v>0.12323305545487495</v>
      </c>
      <c r="E51" s="1383">
        <f t="shared" si="102"/>
        <v>0.13429431911190928</v>
      </c>
      <c r="F51" s="1382">
        <f t="shared" si="102"/>
        <v>0.13285319721707514</v>
      </c>
      <c r="G51" s="1382">
        <f t="shared" si="102"/>
        <v>0.14397220503545763</v>
      </c>
      <c r="H51" s="1382">
        <f t="shared" si="102"/>
        <v>0.14727391940283452</v>
      </c>
      <c r="I51" s="1382">
        <f t="shared" si="102"/>
        <v>0.15053205294575656</v>
      </c>
      <c r="J51" s="1383">
        <f t="shared" si="102"/>
        <v>0.22723378562511728</v>
      </c>
      <c r="K51" s="1384">
        <f t="shared" si="102"/>
        <v>0.2986211431566882</v>
      </c>
      <c r="L51" s="1385">
        <v>0.22</v>
      </c>
      <c r="M51" s="1385">
        <v>0.2</v>
      </c>
      <c r="N51" s="1385">
        <v>0.18</v>
      </c>
      <c r="O51" s="1385">
        <v>0.16</v>
      </c>
      <c r="P51" s="1385">
        <v>0.14000000000000001</v>
      </c>
      <c r="Q51" s="1385">
        <v>0.13</v>
      </c>
      <c r="R51" s="1385">
        <v>0.12</v>
      </c>
      <c r="S51" s="1385">
        <f>+R51</f>
        <v>0.12</v>
      </c>
      <c r="T51" s="1385">
        <f t="shared" ref="T51:V51" si="103">+S51</f>
        <v>0.12</v>
      </c>
      <c r="U51" s="1385">
        <f t="shared" si="103"/>
        <v>0.12</v>
      </c>
      <c r="V51" s="1385">
        <f t="shared" si="103"/>
        <v>0.12</v>
      </c>
      <c r="Z51" s="1385"/>
      <c r="AA51" s="1385"/>
      <c r="AB51" s="1385"/>
      <c r="AC51" s="1385"/>
      <c r="AD51" s="1385"/>
      <c r="AE51" s="1385">
        <v>0.22</v>
      </c>
      <c r="AF51" s="1385">
        <v>0.2</v>
      </c>
      <c r="AG51" s="1385">
        <v>0.18</v>
      </c>
      <c r="AH51" s="1385">
        <v>0.16</v>
      </c>
      <c r="AI51" s="1385">
        <v>0.14000000000000001</v>
      </c>
      <c r="AJ51" s="1385">
        <v>0.13</v>
      </c>
      <c r="AK51" s="1385">
        <v>0.12</v>
      </c>
      <c r="AL51" s="1385">
        <f>+AK51</f>
        <v>0.12</v>
      </c>
      <c r="AM51" s="1385">
        <f t="shared" ref="AM51" si="104">+AL51</f>
        <v>0.12</v>
      </c>
      <c r="AN51" s="1385">
        <f t="shared" ref="AN51" si="105">+AM51</f>
        <v>0.12</v>
      </c>
      <c r="AO51" s="1385">
        <f t="shared" ref="AO51" si="106">+AN51</f>
        <v>0.12</v>
      </c>
    </row>
    <row r="52" spans="1:41" s="1363" customFormat="1" ht="14.45">
      <c r="A52" s="1381"/>
      <c r="C52" s="1361"/>
      <c r="D52" s="1361"/>
      <c r="E52" s="1361"/>
      <c r="F52" s="1361"/>
      <c r="G52" s="1361"/>
      <c r="H52" s="1361"/>
      <c r="I52" s="1361"/>
      <c r="J52" s="1361"/>
      <c r="K52" s="1374"/>
      <c r="L52" s="1382"/>
      <c r="M52" s="1382"/>
      <c r="N52" s="1382"/>
      <c r="O52" s="1382"/>
      <c r="P52" s="1382"/>
      <c r="Q52" s="1382"/>
      <c r="R52" s="1382"/>
      <c r="S52" s="1382"/>
      <c r="T52" s="1382"/>
      <c r="U52" s="1382"/>
      <c r="V52" s="1382"/>
      <c r="Z52" s="1363" t="s">
        <v>134</v>
      </c>
      <c r="AA52" s="1363" t="s">
        <v>135</v>
      </c>
      <c r="AB52" s="1363" t="s">
        <v>136</v>
      </c>
      <c r="AC52" s="1363" t="s">
        <v>137</v>
      </c>
    </row>
    <row r="53" spans="1:41">
      <c r="A53" s="1412" t="s">
        <v>138</v>
      </c>
      <c r="B53" s="1376"/>
      <c r="C53" s="1380">
        <f t="shared" ref="C53:Q53" si="107">+C32-C49</f>
        <v>27909</v>
      </c>
      <c r="D53" s="1380">
        <f t="shared" si="107"/>
        <v>31719</v>
      </c>
      <c r="E53" s="1424">
        <f t="shared" si="107"/>
        <v>37741</v>
      </c>
      <c r="F53" s="1424">
        <f t="shared" si="107"/>
        <v>46755</v>
      </c>
      <c r="G53" s="1424">
        <f t="shared" si="107"/>
        <v>57402</v>
      </c>
      <c r="H53" s="1424">
        <f t="shared" si="107"/>
        <v>68643</v>
      </c>
      <c r="I53" s="1424">
        <f t="shared" ref="I53" si="108">+I32-I49</f>
        <v>71655</v>
      </c>
      <c r="J53" s="1424">
        <f t="shared" si="107"/>
        <v>77170</v>
      </c>
      <c r="K53" s="1425">
        <f t="shared" si="107"/>
        <v>76571.868229049054</v>
      </c>
      <c r="L53" s="1380">
        <f t="shared" si="107"/>
        <v>115535.25525242493</v>
      </c>
      <c r="M53" s="1380">
        <f t="shared" si="107"/>
        <v>142342.9602114138</v>
      </c>
      <c r="N53" s="1380">
        <f t="shared" si="107"/>
        <v>172578.26910712471</v>
      </c>
      <c r="O53" s="1380">
        <f t="shared" si="107"/>
        <v>209298.1153870743</v>
      </c>
      <c r="P53" s="1380">
        <f t="shared" si="107"/>
        <v>248828.93126615556</v>
      </c>
      <c r="Q53" s="1380">
        <f t="shared" si="107"/>
        <v>289405.15171137993</v>
      </c>
      <c r="R53" s="1380">
        <f t="shared" ref="R53:S53" si="109">+R32-R49</f>
        <v>335379.04540740658</v>
      </c>
      <c r="S53" s="1380">
        <f t="shared" si="109"/>
        <v>379164.5397212932</v>
      </c>
      <c r="T53" s="1380">
        <f t="shared" ref="T53" si="110">+T32-T49</f>
        <v>426841.2468134354</v>
      </c>
      <c r="U53" s="1380">
        <f>+U32-U49</f>
        <v>480821.75715697458</v>
      </c>
      <c r="V53" s="1380">
        <f t="shared" ref="V53" si="111">+V32-V49</f>
        <v>543346.05604101089</v>
      </c>
      <c r="Z53" s="1435">
        <f>+SUM('Historical Financials'!V12:Y12)</f>
        <v>153284</v>
      </c>
      <c r="AA53" s="1435">
        <f>+SUM('Historical Financials'!Z12:AC12)</f>
        <v>184903</v>
      </c>
      <c r="AB53" s="1435">
        <f>+SUM('Historical Financials'!AD12:AG12)</f>
        <v>204094</v>
      </c>
      <c r="AC53" s="1435">
        <f>+SUM('Historical Financials'!AH12:AK12)</f>
        <v>227583</v>
      </c>
    </row>
    <row r="54" spans="1:41" s="1363" customFormat="1" ht="14.45">
      <c r="A54" s="1381" t="s">
        <v>87</v>
      </c>
      <c r="C54" s="1382"/>
      <c r="D54" s="1382">
        <f t="shared" ref="D54:N54" si="112">+D53/C53-1</f>
        <v>0.13651510265505751</v>
      </c>
      <c r="E54" s="1382">
        <f t="shared" si="112"/>
        <v>0.18985466124404926</v>
      </c>
      <c r="F54" s="1382">
        <f t="shared" si="112"/>
        <v>0.23883839855859668</v>
      </c>
      <c r="G54" s="1382">
        <f t="shared" si="112"/>
        <v>0.22771896053897978</v>
      </c>
      <c r="H54" s="1382">
        <f t="shared" si="112"/>
        <v>0.19582941360928197</v>
      </c>
      <c r="I54" s="1382">
        <f t="shared" ref="I54" si="113">+I53/H53-1</f>
        <v>4.3879201083868669E-2</v>
      </c>
      <c r="J54" s="1382">
        <f t="shared" si="112"/>
        <v>7.6966017723815394E-2</v>
      </c>
      <c r="K54" s="1397">
        <f t="shared" si="112"/>
        <v>-7.7508328489173106E-3</v>
      </c>
      <c r="L54" s="1382">
        <f t="shared" si="112"/>
        <v>0.50884728196555029</v>
      </c>
      <c r="M54" s="1382">
        <f t="shared" si="112"/>
        <v>0.2320305165762484</v>
      </c>
      <c r="N54" s="1382">
        <f t="shared" si="112"/>
        <v>0.21241169110719738</v>
      </c>
      <c r="O54" s="1382">
        <f>+O53/N53-1</f>
        <v>0.21277213214577118</v>
      </c>
      <c r="P54" s="1382">
        <f>+P53/O53-1</f>
        <v>0.18887325290040602</v>
      </c>
      <c r="Q54" s="1382">
        <f>+Q53/P53-1</f>
        <v>0.16306874059521137</v>
      </c>
      <c r="R54" s="1382">
        <f>+R53/Q53-1</f>
        <v>0.15885651455809535</v>
      </c>
      <c r="S54" s="1382">
        <f>+S53/R53-1</f>
        <v>0.13055524760259707</v>
      </c>
      <c r="T54" s="1382">
        <f t="shared" ref="T54" si="114">+T53/S53-1</f>
        <v>0.12574147130738345</v>
      </c>
      <c r="U54" s="1382">
        <f t="shared" ref="U54" si="115">+U53/T53-1</f>
        <v>0.12646507512225758</v>
      </c>
      <c r="V54" s="1382">
        <f t="shared" ref="V54" si="116">+V53/U53-1</f>
        <v>0.1300363345738198</v>
      </c>
      <c r="AA54" s="1436">
        <f>+AA53/Z53-1</f>
        <v>0.20627723702408596</v>
      </c>
      <c r="AB54" s="1436">
        <f t="shared" ref="AB54:AC54" si="117">+AB53/AA53-1</f>
        <v>0.10378955452318239</v>
      </c>
      <c r="AC54" s="1436">
        <f t="shared" si="117"/>
        <v>0.11508912559898876</v>
      </c>
    </row>
    <row r="55" spans="1:41" s="1363" customFormat="1" ht="14.45">
      <c r="A55" s="1381" t="s">
        <v>99</v>
      </c>
      <c r="C55" s="1382">
        <f t="shared" ref="C55:V55" si="118">+C53/C8</f>
        <v>0.28899980325356472</v>
      </c>
      <c r="D55" s="1382">
        <f t="shared" si="118"/>
        <v>0.28741391808626315</v>
      </c>
      <c r="E55" s="1382">
        <f t="shared" si="118"/>
        <v>0.29990543772796263</v>
      </c>
      <c r="F55" s="1382">
        <f t="shared" si="118"/>
        <v>0.32692374925707096</v>
      </c>
      <c r="G55" s="1382">
        <f t="shared" si="118"/>
        <v>0.3414996906382371</v>
      </c>
      <c r="H55" s="1382">
        <f t="shared" si="118"/>
        <v>0.34620971402632772</v>
      </c>
      <c r="I55" s="1382">
        <f t="shared" si="118"/>
        <v>0.33813085435198076</v>
      </c>
      <c r="J55" s="1382">
        <f t="shared" si="118"/>
        <v>0.31482282292083125</v>
      </c>
      <c r="K55" s="1397">
        <f t="shared" si="118"/>
        <v>0.27549372077351714</v>
      </c>
      <c r="L55" s="1382">
        <f t="shared" si="118"/>
        <v>0.36785659450238728</v>
      </c>
      <c r="M55" s="1382">
        <f t="shared" si="118"/>
        <v>0.40107128331925285</v>
      </c>
      <c r="N55" s="1382">
        <f t="shared" si="118"/>
        <v>0.43032169279967192</v>
      </c>
      <c r="O55" s="1382">
        <f t="shared" si="118"/>
        <v>0.46184261671259796</v>
      </c>
      <c r="P55" s="1382">
        <f t="shared" si="118"/>
        <v>0.48590472040632021</v>
      </c>
      <c r="Q55" s="1382">
        <f t="shared" si="118"/>
        <v>0.50012441700198862</v>
      </c>
      <c r="R55" s="1382">
        <f t="shared" si="118"/>
        <v>0.51289596347993283</v>
      </c>
      <c r="S55" s="1382">
        <f t="shared" si="118"/>
        <v>0.5131479849437417</v>
      </c>
      <c r="T55" s="1382">
        <f t="shared" si="118"/>
        <v>0.5112141305920237</v>
      </c>
      <c r="U55" s="1382">
        <f t="shared" si="118"/>
        <v>0.50961492391230412</v>
      </c>
      <c r="V55" s="1437">
        <f t="shared" si="118"/>
        <v>0.50963131032033304</v>
      </c>
    </row>
    <row r="56" spans="1:41" ht="14.45">
      <c r="A56" s="1381"/>
      <c r="C56" s="1383"/>
      <c r="D56" s="1383"/>
      <c r="E56" s="1383"/>
      <c r="F56" s="1383"/>
      <c r="G56" s="1383"/>
      <c r="H56" s="1383"/>
      <c r="I56" s="1383"/>
      <c r="J56" s="1383"/>
      <c r="K56" s="1384"/>
      <c r="L56" s="1383"/>
      <c r="M56" s="1383"/>
      <c r="N56" s="1383"/>
      <c r="O56" s="1383"/>
      <c r="P56" s="1383"/>
      <c r="Q56" s="1383"/>
      <c r="R56" s="1383"/>
      <c r="S56" s="1383"/>
      <c r="T56" s="1383"/>
      <c r="U56" s="1383"/>
      <c r="V56" s="1383"/>
    </row>
    <row r="57" spans="1:41">
      <c r="A57" s="1354" t="s">
        <v>139</v>
      </c>
      <c r="B57" s="1376"/>
      <c r="C57" s="1377">
        <f>+'Historical Financials'!BH71*-1</f>
        <v>-876</v>
      </c>
      <c r="D57" s="1377">
        <f>+'Historical Financials'!BI71*-1</f>
        <v>-1416</v>
      </c>
      <c r="E57" s="1378">
        <f>+'Historical Financials'!BJ71*-1</f>
        <v>-729</v>
      </c>
      <c r="F57" s="1378">
        <f>+'Historical Financials'!BK71*-1</f>
        <v>-77</v>
      </c>
      <c r="G57" s="1378">
        <f>+'Historical Financials'!BL71*-1</f>
        <v>-1186</v>
      </c>
      <c r="H57" s="1378">
        <f>+'Historical Financials'!BM71*-1</f>
        <v>-333</v>
      </c>
      <c r="I57" s="1378">
        <f>+'Historical Financials'!BN71*-1</f>
        <v>-788</v>
      </c>
      <c r="J57" s="1378">
        <f>+'Historical Financials'!BO71*-1</f>
        <v>1646</v>
      </c>
      <c r="K57" s="1379">
        <f>+'Historical Financials'!BP71*-1</f>
        <v>283</v>
      </c>
      <c r="L57" s="1380">
        <v>0</v>
      </c>
      <c r="M57" s="1380">
        <v>0</v>
      </c>
      <c r="N57" s="1380">
        <v>0</v>
      </c>
      <c r="O57" s="1380">
        <v>0</v>
      </c>
      <c r="P57" s="1380">
        <v>0</v>
      </c>
      <c r="Q57" s="1380">
        <v>0</v>
      </c>
      <c r="R57" s="1380">
        <v>0</v>
      </c>
      <c r="S57" s="1380">
        <v>0</v>
      </c>
      <c r="T57" s="1380">
        <v>0</v>
      </c>
      <c r="U57" s="1380">
        <v>0</v>
      </c>
      <c r="V57" s="1380">
        <v>0</v>
      </c>
      <c r="Y57" s="1354" t="s">
        <v>121</v>
      </c>
      <c r="Z57" s="1435">
        <f>+SUM('Historical Financials'!V89:Y89)</f>
        <v>72183</v>
      </c>
      <c r="AA57" s="1435">
        <f>+SUM('Historical Financials'!Z89:AC89)</f>
        <v>91616</v>
      </c>
      <c r="AB57" s="1435">
        <f>+SUM('Historical Financials'!AD89:AG89)</f>
        <v>98176</v>
      </c>
      <c r="AC57" s="1435">
        <f>+SUM('Historical Financials'!AH89:AK89)</f>
        <v>118466</v>
      </c>
    </row>
    <row r="58" spans="1:41" ht="14.45">
      <c r="A58" s="1381" t="s">
        <v>140</v>
      </c>
      <c r="C58" s="1438">
        <v>0.05</v>
      </c>
      <c r="D58" s="1385">
        <f>C58+0.25%</f>
        <v>5.2500000000000005E-2</v>
      </c>
      <c r="E58" s="1385">
        <f>D58+0.25%</f>
        <v>5.5000000000000007E-2</v>
      </c>
      <c r="F58" s="1385">
        <f>E58+0.25%</f>
        <v>5.7500000000000009E-2</v>
      </c>
      <c r="G58" s="1385">
        <f>F58+0.25%</f>
        <v>6.0000000000000012E-2</v>
      </c>
      <c r="H58" s="1385">
        <f>G58</f>
        <v>6.0000000000000012E-2</v>
      </c>
      <c r="I58" s="1385">
        <f t="shared" ref="I58" si="119">H58</f>
        <v>6.0000000000000012E-2</v>
      </c>
      <c r="J58" s="1385">
        <f t="shared" ref="J58:N58" si="120">I58</f>
        <v>6.0000000000000012E-2</v>
      </c>
      <c r="K58" s="1374">
        <f t="shared" si="120"/>
        <v>6.0000000000000012E-2</v>
      </c>
      <c r="L58" s="1385">
        <f t="shared" si="120"/>
        <v>6.0000000000000012E-2</v>
      </c>
      <c r="M58" s="1385">
        <f t="shared" si="120"/>
        <v>6.0000000000000012E-2</v>
      </c>
      <c r="N58" s="1385">
        <f t="shared" si="120"/>
        <v>6.0000000000000012E-2</v>
      </c>
      <c r="O58" s="1385">
        <f>N58</f>
        <v>6.0000000000000012E-2</v>
      </c>
      <c r="P58" s="1385">
        <f>O58</f>
        <v>6.0000000000000012E-2</v>
      </c>
      <c r="Q58" s="1385">
        <f>P58</f>
        <v>6.0000000000000012E-2</v>
      </c>
      <c r="R58" s="1385">
        <f>Q58</f>
        <v>6.0000000000000012E-2</v>
      </c>
      <c r="S58" s="1385">
        <f>R58</f>
        <v>6.0000000000000012E-2</v>
      </c>
      <c r="T58" s="1385">
        <f t="shared" ref="T58" si="121">S58</f>
        <v>6.0000000000000012E-2</v>
      </c>
      <c r="U58" s="1385">
        <f t="shared" ref="U58" si="122">T58</f>
        <v>6.0000000000000012E-2</v>
      </c>
      <c r="V58" s="1385">
        <f t="shared" ref="V58" si="123">U58</f>
        <v>6.0000000000000012E-2</v>
      </c>
      <c r="Y58" s="1354" t="s">
        <v>133</v>
      </c>
      <c r="Z58" s="1435">
        <f>+SUM('Historical Financials'!V114:Y114)</f>
        <v>-20600</v>
      </c>
      <c r="AA58" s="1435">
        <f>+SUM('Historical Financials'!Z114:AC114)</f>
        <v>-27500</v>
      </c>
      <c r="AB58" s="1435">
        <f>+SUM('Historical Financials'!AD114:AG114)</f>
        <v>-28400</v>
      </c>
      <c r="AC58" s="1435">
        <f>+SUM('Historical Financials'!AH114:AK114)</f>
        <v>-41200</v>
      </c>
    </row>
    <row r="59" spans="1:41">
      <c r="C59" s="1353"/>
      <c r="D59" s="1353"/>
      <c r="E59" s="1353"/>
      <c r="F59" s="1353"/>
      <c r="G59" s="1353"/>
      <c r="H59" s="1353"/>
      <c r="I59" s="1353"/>
      <c r="J59" s="1353"/>
      <c r="K59" s="1427"/>
      <c r="L59" s="1353"/>
      <c r="M59" s="1353"/>
      <c r="N59" s="1353"/>
      <c r="O59" s="1353"/>
      <c r="P59" s="1353"/>
      <c r="Q59" s="1353"/>
      <c r="R59" s="1353"/>
      <c r="S59" s="1353"/>
      <c r="T59" s="1353"/>
      <c r="U59" s="1353"/>
      <c r="V59" s="1353"/>
      <c r="Z59" s="1435">
        <f>+Z58+Z57</f>
        <v>51583</v>
      </c>
      <c r="AA59" s="1435">
        <f t="shared" ref="AA59:AC59" si="124">+AA58+AA57</f>
        <v>64116</v>
      </c>
      <c r="AB59" s="1435">
        <f t="shared" si="124"/>
        <v>69776</v>
      </c>
      <c r="AC59" s="1435">
        <f t="shared" si="124"/>
        <v>77266</v>
      </c>
    </row>
    <row r="60" spans="1:41">
      <c r="A60" s="1353" t="s">
        <v>141</v>
      </c>
      <c r="B60" s="1380"/>
      <c r="C60" s="1380">
        <f>+MAX((C32-C28-C57)*C61,0)</f>
        <v>10572.449999999999</v>
      </c>
      <c r="D60" s="1380">
        <f>+MAX((D32-D28-D57)*D61,0)</f>
        <v>10212.719999999999</v>
      </c>
      <c r="E60" s="1424">
        <f>+MAX((E32-E28-E57)*E61,0)</f>
        <v>9174.48</v>
      </c>
      <c r="F60" s="1378">
        <f>+'Historical Financials'!BK116*-1</f>
        <v>11137.559999999998</v>
      </c>
      <c r="G60" s="1378">
        <f>+'Historical Financials'!BL116*-1</f>
        <v>14931.419999999998</v>
      </c>
      <c r="H60" s="1378">
        <f>+'Historical Financials'!BM116*-1</f>
        <v>17580.359999999997</v>
      </c>
      <c r="I60" s="1378">
        <f>+'Historical Financials'!BN116*-1</f>
        <v>19001.22</v>
      </c>
      <c r="J60" s="1378">
        <f>+'Historical Financials'!BO116*-1</f>
        <v>22891.286250000001</v>
      </c>
      <c r="K60" s="1379">
        <f>+'Historical Financials'!BP116*-1</f>
        <v>26676.515485995042</v>
      </c>
      <c r="L60" s="1380">
        <f t="shared" ref="L60:U60" si="125">+MAX((L32-L28-L57-L38)*L61,0)</f>
        <v>31136.913167343781</v>
      </c>
      <c r="M60" s="1380">
        <f t="shared" si="125"/>
        <v>36110.006647267852</v>
      </c>
      <c r="N60" s="1380">
        <f t="shared" si="125"/>
        <v>41729.602279582054</v>
      </c>
      <c r="O60" s="1380">
        <f t="shared" si="125"/>
        <v>48079.7453440971</v>
      </c>
      <c r="P60" s="1380">
        <f t="shared" si="125"/>
        <v>55255.407006999107</v>
      </c>
      <c r="Q60" s="1380">
        <f t="shared" si="125"/>
        <v>63363.904686078371</v>
      </c>
      <c r="R60" s="1380">
        <f t="shared" si="125"/>
        <v>72526.507063437937</v>
      </c>
      <c r="S60" s="1380">
        <f t="shared" si="125"/>
        <v>82880.247749854243</v>
      </c>
      <c r="T60" s="1380">
        <f t="shared" si="125"/>
        <v>94579.974725504653</v>
      </c>
      <c r="U60" s="1380">
        <f t="shared" si="125"/>
        <v>107800.66620798963</v>
      </c>
      <c r="V60" s="1380">
        <f t="shared" ref="V60" si="126">+MAX((V32-V28-V57-V38)*V61,0)</f>
        <v>123220.31758319767</v>
      </c>
      <c r="W60" s="1353"/>
      <c r="X60" s="1353"/>
      <c r="Y60" s="1353"/>
      <c r="Z60" s="1432">
        <f>+Z59/Z53</f>
        <v>0.33651914094099838</v>
      </c>
      <c r="AA60" s="1432">
        <f t="shared" ref="AA60:AC60" si="127">+AA59/AA53</f>
        <v>0.34675478494129353</v>
      </c>
      <c r="AB60" s="1432">
        <f t="shared" si="127"/>
        <v>0.34188168197007263</v>
      </c>
      <c r="AC60" s="1432">
        <f t="shared" si="127"/>
        <v>0.33950690517305776</v>
      </c>
      <c r="AD60" s="1353"/>
      <c r="AE60" s="1353"/>
    </row>
    <row r="61" spans="1:41" ht="14.45">
      <c r="A61" s="1381" t="s">
        <v>140</v>
      </c>
      <c r="C61" s="1438">
        <v>0.35</v>
      </c>
      <c r="D61" s="1385">
        <f>+(0.35+0.21)/2</f>
        <v>0.27999999999999997</v>
      </c>
      <c r="E61" s="1385">
        <v>0.21</v>
      </c>
      <c r="F61" s="1383">
        <f>+F60/(F32-F28-F57)</f>
        <v>0.20999999999999996</v>
      </c>
      <c r="G61" s="1383">
        <f>+G60/(G32-G28-G57)</f>
        <v>0.20999999999999996</v>
      </c>
      <c r="H61" s="1383">
        <f>+H60/(H32-H28-H57)</f>
        <v>0.20999999999999996</v>
      </c>
      <c r="I61" s="1383">
        <f>+I60/(I32-I28-I57)</f>
        <v>0.21000000000000002</v>
      </c>
      <c r="J61" s="1383">
        <f>+J60/(J32-J28-J57-'Historical Financials'!BO98)</f>
        <v>0.21000000000000002</v>
      </c>
      <c r="K61" s="1397">
        <f>+K60/(K32-K28-K57-'Historical Financials'!BP98)</f>
        <v>0.21000000000000002</v>
      </c>
      <c r="L61" s="1385">
        <f t="shared" ref="L61:U61" si="128">K61</f>
        <v>0.21000000000000002</v>
      </c>
      <c r="M61" s="1385">
        <f t="shared" si="128"/>
        <v>0.21000000000000002</v>
      </c>
      <c r="N61" s="1385">
        <f t="shared" si="128"/>
        <v>0.21000000000000002</v>
      </c>
      <c r="O61" s="1385">
        <f t="shared" si="128"/>
        <v>0.21000000000000002</v>
      </c>
      <c r="P61" s="1385">
        <f t="shared" si="128"/>
        <v>0.21000000000000002</v>
      </c>
      <c r="Q61" s="1385">
        <f t="shared" si="128"/>
        <v>0.21000000000000002</v>
      </c>
      <c r="R61" s="1385">
        <f t="shared" si="128"/>
        <v>0.21000000000000002</v>
      </c>
      <c r="S61" s="1385">
        <f t="shared" si="128"/>
        <v>0.21000000000000002</v>
      </c>
      <c r="T61" s="1385">
        <f t="shared" si="128"/>
        <v>0.21000000000000002</v>
      </c>
      <c r="U61" s="1385">
        <f t="shared" si="128"/>
        <v>0.21000000000000002</v>
      </c>
      <c r="V61" s="1385">
        <f t="shared" ref="V61" si="129">U61</f>
        <v>0.21000000000000002</v>
      </c>
      <c r="Z61" s="1439"/>
      <c r="AA61" s="1376"/>
    </row>
    <row r="62" spans="1:41">
      <c r="C62" s="1353"/>
      <c r="D62" s="1353"/>
      <c r="E62" s="1440"/>
      <c r="F62" s="1353"/>
      <c r="G62" s="1353"/>
      <c r="H62" s="1353"/>
      <c r="I62" s="1353"/>
      <c r="J62" s="1353"/>
      <c r="K62" s="1427"/>
      <c r="L62" s="1353"/>
      <c r="M62" s="1353"/>
      <c r="N62" s="1353"/>
      <c r="O62" s="1353"/>
      <c r="P62" s="1353"/>
      <c r="Q62" s="1353"/>
      <c r="R62" s="1353"/>
      <c r="S62" s="1353"/>
      <c r="T62" s="1353"/>
      <c r="U62" s="1353"/>
      <c r="V62" s="1353"/>
      <c r="Y62" s="1354" t="s">
        <v>95</v>
      </c>
      <c r="Z62" s="1435">
        <f>+SUM('Historical Financials'!V49:Y49)</f>
        <v>60155</v>
      </c>
      <c r="AA62" s="1435">
        <f>+SUM('Historical Financials'!Z49:AC49)</f>
        <v>78628</v>
      </c>
      <c r="AB62" s="1435">
        <f>+SUM('Historical Financials'!AD49:AG49)</f>
        <v>83986</v>
      </c>
      <c r="AC62" s="1435">
        <f>+SUM('Historical Financials'!AH49:AK49)</f>
        <v>101663</v>
      </c>
    </row>
    <row r="63" spans="1:41" s="1353" customFormat="1">
      <c r="A63" s="1353" t="s">
        <v>142</v>
      </c>
      <c r="B63" s="1380"/>
      <c r="C63" s="1380">
        <f t="shared" ref="C63:V63" si="130">+C13-C57-C60</f>
        <v>19634.550000000003</v>
      </c>
      <c r="D63" s="1380">
        <f t="shared" si="130"/>
        <v>26261.279999999999</v>
      </c>
      <c r="E63" s="1424">
        <f t="shared" si="130"/>
        <v>34513.520000000004</v>
      </c>
      <c r="F63" s="1424">
        <f t="shared" si="130"/>
        <v>41898.44</v>
      </c>
      <c r="G63" s="1424">
        <f t="shared" si="130"/>
        <v>56170.58</v>
      </c>
      <c r="H63" s="1424">
        <f t="shared" si="130"/>
        <v>66135.64</v>
      </c>
      <c r="I63" s="1424">
        <f t="shared" si="130"/>
        <v>71480.78</v>
      </c>
      <c r="J63" s="1424">
        <f t="shared" si="130"/>
        <v>87905.713749999995</v>
      </c>
      <c r="K63" s="1425">
        <f t="shared" si="130"/>
        <v>102641.51063779085</v>
      </c>
      <c r="L63" s="1380">
        <f t="shared" si="130"/>
        <v>119421.10191524563</v>
      </c>
      <c r="M63" s="1380">
        <f t="shared" si="130"/>
        <v>138129.40595876952</v>
      </c>
      <c r="N63" s="1380">
        <f t="shared" si="130"/>
        <v>159269.78952795151</v>
      </c>
      <c r="O63" s="1380">
        <f t="shared" si="130"/>
        <v>183158.42296112719</v>
      </c>
      <c r="P63" s="1380">
        <f t="shared" si="130"/>
        <v>210152.57874061566</v>
      </c>
      <c r="Q63" s="1380">
        <f t="shared" si="130"/>
        <v>240655.97477143764</v>
      </c>
      <c r="R63" s="1380">
        <f t="shared" si="130"/>
        <v>275124.81228626647</v>
      </c>
      <c r="S63" s="1380">
        <f t="shared" si="130"/>
        <v>314074.59867802309</v>
      </c>
      <c r="T63" s="1380">
        <f t="shared" si="130"/>
        <v>358087.85730070801</v>
      </c>
      <c r="U63" s="1380">
        <f t="shared" si="130"/>
        <v>407822.83954434196</v>
      </c>
      <c r="V63" s="1380">
        <f t="shared" si="130"/>
        <v>463543.09947964834</v>
      </c>
      <c r="Z63" s="1432">
        <f>+Z62/Z53</f>
        <v>0.39244148117220323</v>
      </c>
      <c r="AA63" s="1432">
        <f t="shared" ref="AA63:AC63" si="131">+AA62/AA53</f>
        <v>0.42523917946166367</v>
      </c>
      <c r="AB63" s="1432">
        <f t="shared" si="131"/>
        <v>0.41150646270835989</v>
      </c>
      <c r="AC63" s="1432">
        <f t="shared" si="131"/>
        <v>0.44670735511879184</v>
      </c>
    </row>
    <row r="64" spans="1:41" ht="14.45">
      <c r="A64" s="1381" t="s">
        <v>87</v>
      </c>
      <c r="C64" s="1382"/>
      <c r="D64" s="1383">
        <f>D63/C63-1</f>
        <v>0.33750353331245142</v>
      </c>
      <c r="E64" s="1383">
        <f t="shared" ref="E64:P64" si="132">E63/D63-1</f>
        <v>0.31423601591392369</v>
      </c>
      <c r="F64" s="1382">
        <f t="shared" si="132"/>
        <v>0.21397180003662331</v>
      </c>
      <c r="G64" s="1382">
        <f t="shared" si="132"/>
        <v>0.34063654875933325</v>
      </c>
      <c r="H64" s="1382">
        <f t="shared" si="132"/>
        <v>0.17740710528536474</v>
      </c>
      <c r="I64" s="1382">
        <f t="shared" si="132"/>
        <v>8.0820870562377634E-2</v>
      </c>
      <c r="J64" s="1382">
        <f t="shared" si="132"/>
        <v>0.22978112088312397</v>
      </c>
      <c r="K64" s="1397">
        <f t="shared" si="132"/>
        <v>0.16763184392881247</v>
      </c>
      <c r="L64" s="1382">
        <f t="shared" si="132"/>
        <v>0.16347763369021195</v>
      </c>
      <c r="M64" s="1382">
        <f t="shared" si="132"/>
        <v>0.15665827683286127</v>
      </c>
      <c r="N64" s="1382">
        <f t="shared" si="132"/>
        <v>0.15304766875991782</v>
      </c>
      <c r="O64" s="1382">
        <f t="shared" si="132"/>
        <v>0.14998847869377818</v>
      </c>
      <c r="P64" s="1382">
        <f t="shared" si="132"/>
        <v>0.14738145995730489</v>
      </c>
      <c r="Q64" s="1382">
        <f t="shared" ref="Q64" si="133">Q63/P63-1</f>
        <v>0.14514880670805996</v>
      </c>
      <c r="R64" s="1382">
        <f t="shared" ref="R64" si="134">R63/Q63-1</f>
        <v>0.14322867964348496</v>
      </c>
      <c r="S64" s="1382">
        <f t="shared" ref="S64" si="135">S63/R63-1</f>
        <v>0.141571332909187</v>
      </c>
      <c r="T64" s="1382">
        <f t="shared" ref="T64" si="136">T63/S63-1</f>
        <v>0.14013632050456137</v>
      </c>
      <c r="U64" s="1382">
        <f t="shared" ref="U64" si="137">U63/T63-1</f>
        <v>0.13889044610040613</v>
      </c>
      <c r="V64" s="1382">
        <f t="shared" ref="V64" si="138">V63/U63-1</f>
        <v>0.13662859097730351</v>
      </c>
    </row>
    <row r="65" spans="1:31">
      <c r="C65" s="1353"/>
      <c r="D65" s="1353"/>
      <c r="E65" s="1440"/>
      <c r="F65" s="1353"/>
      <c r="G65" s="1353"/>
      <c r="H65" s="1353"/>
      <c r="I65" s="1353"/>
      <c r="J65" s="1353"/>
      <c r="K65" s="1427"/>
      <c r="L65" s="1353"/>
      <c r="M65" s="1353"/>
      <c r="N65" s="1353"/>
      <c r="O65" s="1353"/>
      <c r="P65" s="1353"/>
      <c r="Q65" s="1353"/>
      <c r="R65" s="1353"/>
      <c r="S65" s="1353"/>
      <c r="T65" s="1353"/>
      <c r="U65" s="1353"/>
      <c r="V65" s="1353"/>
    </row>
    <row r="66" spans="1:31" s="1353" customFormat="1">
      <c r="A66" s="1353" t="str">
        <f>+A28</f>
        <v>Adj. D&amp;A</v>
      </c>
      <c r="B66" s="1380"/>
      <c r="C66" s="1380">
        <f t="shared" ref="C66:U66" si="139">+C28</f>
        <v>8778</v>
      </c>
      <c r="D66" s="1380">
        <f t="shared" si="139"/>
        <v>10261</v>
      </c>
      <c r="E66" s="1424">
        <f t="shared" si="139"/>
        <v>11682</v>
      </c>
      <c r="F66" s="1424">
        <f t="shared" si="139"/>
        <v>12796</v>
      </c>
      <c r="G66" s="1424">
        <f t="shared" si="139"/>
        <v>11686</v>
      </c>
      <c r="H66" s="1424">
        <f t="shared" si="139"/>
        <v>14460</v>
      </c>
      <c r="I66" s="1424">
        <f t="shared" si="139"/>
        <v>13861</v>
      </c>
      <c r="J66" s="1424">
        <f t="shared" si="139"/>
        <v>20427</v>
      </c>
      <c r="K66" s="1425">
        <f t="shared" si="139"/>
        <v>29970.842105263157</v>
      </c>
      <c r="L66" s="1380">
        <f t="shared" si="139"/>
        <v>34074.15602074474</v>
      </c>
      <c r="M66" s="1380">
        <f t="shared" si="139"/>
        <v>39084.924797674059</v>
      </c>
      <c r="N66" s="1380">
        <f t="shared" si="139"/>
        <v>43766.937904157821</v>
      </c>
      <c r="O66" s="1380">
        <f t="shared" si="139"/>
        <v>50568.843511325897</v>
      </c>
      <c r="P66" s="1380">
        <f t="shared" si="139"/>
        <v>55114.11686318506</v>
      </c>
      <c r="Q66" s="1380">
        <f t="shared" si="139"/>
        <v>60611.892757637062</v>
      </c>
      <c r="R66" s="1380">
        <f t="shared" si="139"/>
        <v>66194.877906253212</v>
      </c>
      <c r="S66" s="1380">
        <f t="shared" si="139"/>
        <v>70877.574882278597</v>
      </c>
      <c r="T66" s="1380">
        <f t="shared" si="139"/>
        <v>74368.1209826376</v>
      </c>
      <c r="U66" s="1380">
        <f t="shared" si="139"/>
        <v>78418.269405461775</v>
      </c>
      <c r="V66" s="1380">
        <f t="shared" ref="V66" si="140">+V28</f>
        <v>84521.259319090081</v>
      </c>
    </row>
    <row r="67" spans="1:31" s="1444" customFormat="1" ht="17.100000000000001">
      <c r="A67" s="1353" t="str">
        <f>+A49</f>
        <v>Capex</v>
      </c>
      <c r="B67" s="1441"/>
      <c r="C67" s="1441">
        <f t="shared" ref="C67:P67" si="141">+C49*-1</f>
        <v>-10200</v>
      </c>
      <c r="D67" s="1441">
        <f t="shared" si="141"/>
        <v>-13600</v>
      </c>
      <c r="E67" s="1442">
        <f t="shared" si="141"/>
        <v>-16900</v>
      </c>
      <c r="F67" s="1442">
        <f t="shared" si="141"/>
        <v>-19000</v>
      </c>
      <c r="G67" s="1442">
        <f t="shared" si="141"/>
        <v>-24200</v>
      </c>
      <c r="H67" s="1442">
        <f t="shared" si="141"/>
        <v>-29200</v>
      </c>
      <c r="I67" s="1442">
        <f t="shared" si="141"/>
        <v>-31900</v>
      </c>
      <c r="J67" s="1442">
        <f t="shared" si="141"/>
        <v>-55700</v>
      </c>
      <c r="K67" s="1443">
        <f t="shared" si="141"/>
        <v>-83000</v>
      </c>
      <c r="L67" s="1441">
        <f t="shared" si="141"/>
        <v>-69096.915850909209</v>
      </c>
      <c r="M67" s="1441">
        <f t="shared" si="141"/>
        <v>-70981.377192297645</v>
      </c>
      <c r="N67" s="1441">
        <f t="shared" si="141"/>
        <v>-72188.060604566694</v>
      </c>
      <c r="O67" s="1441">
        <f t="shared" si="141"/>
        <v>-72508.896429475877</v>
      </c>
      <c r="P67" s="1441">
        <f t="shared" si="141"/>
        <v>-71693.171344644274</v>
      </c>
      <c r="Q67" s="1441">
        <f t="shared" ref="Q67" si="142">+Q49*-1</f>
        <v>-75226.620503773156</v>
      </c>
      <c r="R67" s="1441">
        <f t="shared" ref="R67:S67" si="143">+R49*-1</f>
        <v>-78467.151848551061</v>
      </c>
      <c r="S67" s="1441">
        <f t="shared" si="143"/>
        <v>-88667.8815888627</v>
      </c>
      <c r="T67" s="1441">
        <f t="shared" ref="T67:U67" si="144">+T49*-1</f>
        <v>-100194.70619541484</v>
      </c>
      <c r="U67" s="1441">
        <f t="shared" si="144"/>
        <v>-113220.01800081875</v>
      </c>
      <c r="V67" s="1441">
        <f t="shared" ref="V67" si="145">+V49*-1</f>
        <v>-127938.62034092518</v>
      </c>
      <c r="Z67" s="1435">
        <f>+SUM('Historical Financials'!V56:Y56)</f>
        <v>0</v>
      </c>
      <c r="AA67" s="1435">
        <f>+SUM('Historical Financials'!Z56:AC56)</f>
        <v>0</v>
      </c>
      <c r="AB67" s="1435">
        <f>+SUM('Historical Financials'!AD56:AG56)</f>
        <v>0</v>
      </c>
      <c r="AC67" s="1435">
        <f>+SUM('Historical Financials'!AH56:AK56)</f>
        <v>0</v>
      </c>
    </row>
    <row r="68" spans="1:31">
      <c r="A68" s="1428" t="s">
        <v>143</v>
      </c>
      <c r="B68" s="1376"/>
      <c r="C68" s="1380">
        <f t="shared" ref="C68" si="146">+C67+C66+C63</f>
        <v>18212.550000000003</v>
      </c>
      <c r="D68" s="1380">
        <f>+D67+D66+D63</f>
        <v>22922.28</v>
      </c>
      <c r="E68" s="1424">
        <f t="shared" ref="E68" si="147">+E67+E66+E63</f>
        <v>29295.520000000004</v>
      </c>
      <c r="F68" s="1424">
        <f t="shared" ref="F68" si="148">+F67+F66+F63</f>
        <v>35694.44</v>
      </c>
      <c r="G68" s="1424">
        <f t="shared" ref="G68" si="149">+G67+G66+G63</f>
        <v>43656.58</v>
      </c>
      <c r="H68" s="1424">
        <f t="shared" ref="H68" si="150">+H67+H66+H63</f>
        <v>51395.64</v>
      </c>
      <c r="I68" s="1424">
        <f t="shared" ref="I68" si="151">+I67+I66+I63</f>
        <v>53441.78</v>
      </c>
      <c r="J68" s="1424">
        <f t="shared" ref="J68" si="152">+J67+J66+J63</f>
        <v>52632.713749999995</v>
      </c>
      <c r="K68" s="1425">
        <f t="shared" ref="K68" si="153">+K67+K66+K63</f>
        <v>49612.352743054013</v>
      </c>
      <c r="L68" s="1380">
        <f t="shared" ref="L68" si="154">+L67+L66+L63</f>
        <v>84398.342085081153</v>
      </c>
      <c r="M68" s="1380">
        <f t="shared" ref="M68" si="155">+M67+M66+M63</f>
        <v>106232.95356414594</v>
      </c>
      <c r="N68" s="1380">
        <f t="shared" ref="N68" si="156">+N67+N66+N63</f>
        <v>130848.66682754263</v>
      </c>
      <c r="O68" s="1380">
        <f t="shared" ref="O68" si="157">+O67+O66+O63</f>
        <v>161218.37004297721</v>
      </c>
      <c r="P68" s="1380">
        <f t="shared" ref="P68:Q68" si="158">+P67+P66+P63</f>
        <v>193573.52425915643</v>
      </c>
      <c r="Q68" s="1380">
        <f t="shared" si="158"/>
        <v>226041.24702530156</v>
      </c>
      <c r="R68" s="1380">
        <f t="shared" ref="R68:S68" si="159">+R67+R66+R63</f>
        <v>262852.53834396863</v>
      </c>
      <c r="S68" s="1380">
        <f t="shared" si="159"/>
        <v>296284.29197143897</v>
      </c>
      <c r="T68" s="1380">
        <f t="shared" ref="T68:U68" si="160">+T67+T66+T63</f>
        <v>332261.27208793076</v>
      </c>
      <c r="U68" s="1380">
        <f t="shared" si="160"/>
        <v>373021.09094898496</v>
      </c>
      <c r="V68" s="1380">
        <f t="shared" ref="V68" si="161">+V67+V66+V63</f>
        <v>420125.73845781328</v>
      </c>
    </row>
    <row r="69" spans="1:31" ht="14.45">
      <c r="A69" s="1419" t="s">
        <v>87</v>
      </c>
      <c r="C69" s="1382"/>
      <c r="D69" s="1382">
        <f t="shared" ref="D69:E69" si="162">+D68/C68-1</f>
        <v>0.25859805463814767</v>
      </c>
      <c r="E69" s="1382">
        <f t="shared" si="162"/>
        <v>0.278036914303464</v>
      </c>
      <c r="F69" s="1382">
        <f t="shared" ref="F69" si="163">+F68/E68-1</f>
        <v>0.21842657170789237</v>
      </c>
      <c r="G69" s="1382">
        <f t="shared" ref="G69" si="164">+G68/F68-1</f>
        <v>0.22306387213246648</v>
      </c>
      <c r="H69" s="1382">
        <f t="shared" ref="H69" si="165">+H68/G68-1</f>
        <v>0.17727133000340367</v>
      </c>
      <c r="I69" s="1382">
        <f t="shared" ref="I69" si="166">+I68/H68-1</f>
        <v>3.9811548216930559E-2</v>
      </c>
      <c r="J69" s="1382">
        <f t="shared" ref="J69" si="167">+J68/I68-1</f>
        <v>-1.5139208499417522E-2</v>
      </c>
      <c r="K69" s="1397">
        <f t="shared" ref="K69" si="168">+K68/J68-1</f>
        <v>-5.7385621826235078E-2</v>
      </c>
      <c r="L69" s="1382">
        <f t="shared" ref="L69" si="169">+L68/K68-1</f>
        <v>0.70115580936437971</v>
      </c>
      <c r="M69" s="1382">
        <f t="shared" ref="M69" si="170">+M68/L68-1</f>
        <v>0.25870900943828401</v>
      </c>
      <c r="N69" s="1382">
        <f t="shared" ref="N69" si="171">+N68/M68-1</f>
        <v>0.2317144768881263</v>
      </c>
      <c r="O69" s="1382">
        <f t="shared" ref="O69" si="172">+O68/N68-1</f>
        <v>0.23209791854785622</v>
      </c>
      <c r="P69" s="1382">
        <f t="shared" ref="P69" si="173">+P68/O68-1</f>
        <v>0.20069148576278284</v>
      </c>
      <c r="Q69" s="1382">
        <f t="shared" ref="Q69" si="174">+Q68/P68-1</f>
        <v>0.16772811721233793</v>
      </c>
      <c r="R69" s="1382">
        <f t="shared" ref="R69" si="175">+R68/Q68-1</f>
        <v>0.16285209802681133</v>
      </c>
      <c r="S69" s="1382">
        <f t="shared" ref="S69" si="176">+S68/R68-1</f>
        <v>0.12718824721304989</v>
      </c>
      <c r="T69" s="1382">
        <f t="shared" ref="T69" si="177">+T68/S68-1</f>
        <v>0.12142722746827195</v>
      </c>
      <c r="U69" s="1382">
        <f t="shared" ref="U69" si="178">+U68/T68-1</f>
        <v>0.1226739987026455</v>
      </c>
      <c r="V69" s="1382">
        <f t="shared" ref="V69" si="179">+V68/U68-1</f>
        <v>0.12627877793449072</v>
      </c>
    </row>
    <row r="70" spans="1:31">
      <c r="A70" s="1353"/>
      <c r="B70" s="1376"/>
      <c r="C70" s="1445"/>
      <c r="D70" s="1380"/>
      <c r="E70" s="1424"/>
      <c r="F70" s="1424"/>
      <c r="G70" s="1424"/>
      <c r="H70" s="1424"/>
      <c r="I70" s="1424"/>
      <c r="J70" s="1424"/>
      <c r="K70" s="1425"/>
      <c r="L70" s="1380"/>
      <c r="M70" s="1380"/>
      <c r="N70" s="1380"/>
      <c r="O70" s="1380"/>
      <c r="P70" s="1380"/>
      <c r="Q70" s="1380"/>
      <c r="R70" s="1380"/>
      <c r="S70" s="1380"/>
      <c r="T70" s="1380"/>
      <c r="U70" s="1380"/>
      <c r="V70" s="1380"/>
      <c r="W70" s="1376"/>
      <c r="X70" s="1376"/>
      <c r="Y70" s="1376"/>
      <c r="Z70" s="1376"/>
      <c r="AA70" s="1376"/>
      <c r="AB70" s="1376"/>
      <c r="AC70" s="1376"/>
      <c r="AD70" s="1376"/>
      <c r="AE70" s="1376"/>
    </row>
    <row r="71" spans="1:31">
      <c r="A71" s="1353" t="s">
        <v>144</v>
      </c>
      <c r="C71" s="1377">
        <f>+'Historical Financials'!BH121</f>
        <v>3266</v>
      </c>
      <c r="D71" s="1377">
        <f>+'Historical Financials'!BI121</f>
        <v>3940</v>
      </c>
      <c r="E71" s="1378">
        <f>+'Historical Financials'!BJ121</f>
        <v>4652</v>
      </c>
      <c r="F71" s="1378">
        <f>+'Historical Financials'!BK121</f>
        <v>5289</v>
      </c>
      <c r="G71" s="1378">
        <f>+'Historical Financials'!BL121</f>
        <v>6118</v>
      </c>
      <c r="H71" s="1378">
        <f>+'Historical Financials'!BM121</f>
        <v>7502</v>
      </c>
      <c r="I71" s="1378">
        <f>+'Historical Financials'!BN121</f>
        <v>9611</v>
      </c>
      <c r="J71" s="1378">
        <f>+'Historical Financials'!BO121</f>
        <v>10734</v>
      </c>
      <c r="K71" s="1446">
        <v>0</v>
      </c>
      <c r="L71" s="1447">
        <v>0</v>
      </c>
      <c r="M71" s="1447">
        <v>0</v>
      </c>
      <c r="N71" s="1447">
        <v>0</v>
      </c>
      <c r="O71" s="1447">
        <v>0</v>
      </c>
      <c r="P71" s="1447">
        <v>0</v>
      </c>
      <c r="Q71" s="1447">
        <v>0</v>
      </c>
      <c r="R71" s="1447">
        <v>0</v>
      </c>
      <c r="S71" s="1447">
        <v>0</v>
      </c>
      <c r="T71" s="1447">
        <v>0</v>
      </c>
      <c r="U71" s="1447">
        <v>0</v>
      </c>
      <c r="V71" s="1447">
        <v>0</v>
      </c>
      <c r="W71" s="1376"/>
      <c r="Y71" s="1448"/>
    </row>
    <row r="72" spans="1:31">
      <c r="A72" s="1353" t="s">
        <v>145</v>
      </c>
      <c r="C72" s="1377"/>
      <c r="D72" s="1377">
        <v>0</v>
      </c>
      <c r="E72" s="1378">
        <v>0</v>
      </c>
      <c r="F72" s="1378">
        <v>0</v>
      </c>
      <c r="G72" s="1378">
        <v>0</v>
      </c>
      <c r="H72" s="1378">
        <v>0</v>
      </c>
      <c r="I72" s="1378">
        <v>0</v>
      </c>
      <c r="J72" s="1447">
        <f>+'D&amp;A forecast - Case 1'!U53*0.21</f>
        <v>480.27</v>
      </c>
      <c r="K72" s="1446">
        <f>+'D&amp;A forecast - Case 1'!V53*0.21</f>
        <v>480.27</v>
      </c>
      <c r="L72" s="1447">
        <f>+'D&amp;A forecast - Case 1'!W53*0.21</f>
        <v>480.27</v>
      </c>
      <c r="M72" s="1447">
        <f>+'D&amp;A forecast - Case 1'!X53*0.21</f>
        <v>480.27</v>
      </c>
      <c r="N72" s="1447">
        <f>+'D&amp;A forecast - Case 1'!Y53*0.21</f>
        <v>480.27</v>
      </c>
      <c r="O72" s="1447">
        <f>+'D&amp;A forecast - Case 1'!Z53*0.21</f>
        <v>480.27</v>
      </c>
      <c r="P72" s="1447">
        <f>+'D&amp;A forecast - Case 1'!AA53*0.21</f>
        <v>480.27</v>
      </c>
      <c r="Q72" s="1447">
        <f>+'D&amp;A forecast - Case 1'!AB53*0.21</f>
        <v>480.27</v>
      </c>
      <c r="R72" s="1447">
        <f>+'D&amp;A forecast - Case 1'!AC53*0.21</f>
        <v>480.27</v>
      </c>
      <c r="S72" s="1447">
        <f>+'D&amp;A forecast - Case 1'!AD53*0.21</f>
        <v>480.27</v>
      </c>
      <c r="T72" s="1447">
        <f>+'D&amp;A forecast - Case 1'!AE53*0.21</f>
        <v>480.27</v>
      </c>
      <c r="U72" s="1447">
        <f>+'D&amp;A forecast - Case 1'!AF53*0.21</f>
        <v>480.27</v>
      </c>
      <c r="V72" s="1447">
        <f>+'D&amp;A forecast - Case 1'!AG53*0.21</f>
        <v>480.27</v>
      </c>
      <c r="W72" s="1376"/>
      <c r="Y72" s="1448"/>
      <c r="Z72" s="1354">
        <f>1500/1600</f>
        <v>0.9375</v>
      </c>
    </row>
    <row r="73" spans="1:31" ht="17.100000000000001">
      <c r="A73" s="1353" t="s">
        <v>146</v>
      </c>
      <c r="C73" s="1449">
        <f t="shared" ref="C73:H73" si="180">C74-C68-SUM(C71:C71)</f>
        <v>7828.4499999999971</v>
      </c>
      <c r="D73" s="1449">
        <f t="shared" si="180"/>
        <v>3421.7200000000012</v>
      </c>
      <c r="E73" s="1449">
        <f t="shared" si="180"/>
        <v>1337.4799999999959</v>
      </c>
      <c r="F73" s="1449">
        <f t="shared" si="180"/>
        <v>691.55999999999767</v>
      </c>
      <c r="G73" s="1449">
        <f t="shared" si="180"/>
        <v>2765.4199999999983</v>
      </c>
      <c r="H73" s="1449">
        <f t="shared" si="180"/>
        <v>937.36000000000058</v>
      </c>
      <c r="I73" s="1449">
        <f>I74-I68-SUM(I71:I72)</f>
        <v>-7370.7799999999988</v>
      </c>
      <c r="J73" s="1449">
        <f t="shared" ref="J73" si="181">J74-J68-SUM(J71:J72)</f>
        <v>-998.98374999999578</v>
      </c>
      <c r="K73" s="1450">
        <v>0</v>
      </c>
      <c r="L73" s="1451">
        <v>0</v>
      </c>
      <c r="M73" s="1451">
        <v>0</v>
      </c>
      <c r="N73" s="1451">
        <v>0</v>
      </c>
      <c r="O73" s="1451">
        <v>0</v>
      </c>
      <c r="P73" s="1451">
        <v>0</v>
      </c>
      <c r="Q73" s="1451">
        <v>0</v>
      </c>
      <c r="R73" s="1451">
        <v>0</v>
      </c>
      <c r="S73" s="1451">
        <v>0</v>
      </c>
      <c r="T73" s="1451">
        <v>0</v>
      </c>
      <c r="U73" s="1451">
        <v>0</v>
      </c>
      <c r="V73" s="1451">
        <v>0</v>
      </c>
    </row>
    <row r="74" spans="1:31">
      <c r="A74" s="1452" t="s">
        <v>147</v>
      </c>
      <c r="B74" s="1377"/>
      <c r="C74" s="1377">
        <f>+'Historical Financials'!BH125</f>
        <v>29307</v>
      </c>
      <c r="D74" s="1377">
        <f>+'Historical Financials'!BI125</f>
        <v>30284</v>
      </c>
      <c r="E74" s="1378">
        <f>+'Historical Financials'!BJ125</f>
        <v>35285</v>
      </c>
      <c r="F74" s="1378">
        <f>+'Historical Financials'!BK125</f>
        <v>41675</v>
      </c>
      <c r="G74" s="1378">
        <f>+'Historical Financials'!BL125</f>
        <v>52540</v>
      </c>
      <c r="H74" s="1378">
        <f>+'Historical Financials'!BM125</f>
        <v>59835</v>
      </c>
      <c r="I74" s="1378">
        <f>+'Historical Financials'!BN125</f>
        <v>55682</v>
      </c>
      <c r="J74" s="1378">
        <f>+'Historical Financials'!BO125</f>
        <v>62848</v>
      </c>
      <c r="K74" s="1425">
        <f t="shared" ref="K74:U74" si="182">+K68+K73+K71+K70+K72</f>
        <v>50092.622743054009</v>
      </c>
      <c r="L74" s="1380">
        <f t="shared" si="182"/>
        <v>84878.612085081157</v>
      </c>
      <c r="M74" s="1380">
        <f t="shared" si="182"/>
        <v>106713.22356414594</v>
      </c>
      <c r="N74" s="1380">
        <f t="shared" si="182"/>
        <v>131328.93682754264</v>
      </c>
      <c r="O74" s="1380">
        <f t="shared" si="182"/>
        <v>161698.6400429772</v>
      </c>
      <c r="P74" s="1380">
        <f t="shared" si="182"/>
        <v>194053.79425915642</v>
      </c>
      <c r="Q74" s="1380">
        <f t="shared" si="182"/>
        <v>226521.51702530155</v>
      </c>
      <c r="R74" s="1380">
        <f t="shared" si="182"/>
        <v>263332.80834396865</v>
      </c>
      <c r="S74" s="1380">
        <f t="shared" si="182"/>
        <v>296764.56197143899</v>
      </c>
      <c r="T74" s="1380">
        <f t="shared" si="182"/>
        <v>332741.54208793078</v>
      </c>
      <c r="U74" s="1380">
        <f t="shared" si="182"/>
        <v>373501.36094898498</v>
      </c>
      <c r="V74" s="1380">
        <f t="shared" ref="V74" si="183">+V68+V73+V71+V70+V72</f>
        <v>420606.0084578133</v>
      </c>
      <c r="W74" s="1453"/>
      <c r="X74" s="1453"/>
      <c r="Y74" s="1453"/>
      <c r="Z74" s="1453"/>
      <c r="AA74" s="1453"/>
      <c r="AB74" s="1453"/>
      <c r="AC74" s="1453"/>
      <c r="AD74" s="1453"/>
      <c r="AE74" s="1453"/>
    </row>
    <row r="75" spans="1:31">
      <c r="C75" s="1353"/>
      <c r="D75" s="1353"/>
      <c r="E75" s="1353"/>
      <c r="F75" s="1353"/>
      <c r="G75" s="1353"/>
      <c r="H75" s="1353"/>
      <c r="I75" s="1353"/>
      <c r="J75" s="1432"/>
      <c r="K75" s="1427"/>
      <c r="L75" s="1353"/>
      <c r="M75" s="1353"/>
      <c r="N75" s="1353"/>
      <c r="O75" s="1353"/>
      <c r="P75" s="1353"/>
      <c r="Q75" s="1353"/>
      <c r="R75" s="1353"/>
      <c r="S75" s="1353"/>
      <c r="T75" s="1353"/>
      <c r="U75" s="1353"/>
      <c r="V75" s="1353"/>
    </row>
    <row r="76" spans="1:31">
      <c r="A76" s="1354" t="s">
        <v>148</v>
      </c>
      <c r="B76" s="1376"/>
      <c r="C76" s="1377">
        <f>+'Historical Financials'!BH139</f>
        <v>-38877</v>
      </c>
      <c r="D76" s="1377">
        <f>+'Historical Financials'!BI139</f>
        <v>-47659</v>
      </c>
      <c r="E76" s="1378">
        <f>+'Historical Financials'!BJ139</f>
        <v>-48879</v>
      </c>
      <c r="F76" s="1378">
        <f>+'Historical Financials'!BK139</f>
        <v>-56033</v>
      </c>
      <c r="G76" s="1378">
        <f>+'Historical Financials'!BL139</f>
        <v>-50018</v>
      </c>
      <c r="H76" s="1378">
        <f>+'Historical Financials'!BM139</f>
        <v>-28585</v>
      </c>
      <c r="I76" s="1378">
        <f>+'Historical Financials'!BN139</f>
        <v>-34230</v>
      </c>
      <c r="J76" s="1378">
        <f>+'Historical Financials'!BO139</f>
        <v>18729</v>
      </c>
      <c r="K76" s="1379">
        <f>+'Historical Financials'!BP139</f>
        <v>-23993.555243054016</v>
      </c>
      <c r="L76" s="1380">
        <f t="shared" ref="L76:U76" si="184">L77*L32</f>
        <v>0</v>
      </c>
      <c r="M76" s="1380">
        <f t="shared" si="184"/>
        <v>0</v>
      </c>
      <c r="N76" s="1380">
        <f t="shared" si="184"/>
        <v>0</v>
      </c>
      <c r="O76" s="1380">
        <f t="shared" si="184"/>
        <v>0</v>
      </c>
      <c r="P76" s="1380">
        <f t="shared" si="184"/>
        <v>0</v>
      </c>
      <c r="Q76" s="1380">
        <f t="shared" si="184"/>
        <v>0</v>
      </c>
      <c r="R76" s="1380">
        <f t="shared" si="184"/>
        <v>0</v>
      </c>
      <c r="S76" s="1380">
        <f t="shared" si="184"/>
        <v>0</v>
      </c>
      <c r="T76" s="1380">
        <f t="shared" si="184"/>
        <v>0</v>
      </c>
      <c r="U76" s="1380">
        <f t="shared" si="184"/>
        <v>0</v>
      </c>
      <c r="V76" s="1380">
        <f t="shared" ref="V76" si="185">V77*V32</f>
        <v>0</v>
      </c>
    </row>
    <row r="77" spans="1:31" ht="14.45">
      <c r="A77" s="1381" t="s">
        <v>149</v>
      </c>
      <c r="B77" s="1363"/>
      <c r="C77" s="1454">
        <f t="shared" ref="C77:J77" si="186">+C76/C32</f>
        <v>-1.0201527198299614</v>
      </c>
      <c r="D77" s="1454">
        <f t="shared" si="186"/>
        <v>-1.0516339725060129</v>
      </c>
      <c r="E77" s="1454">
        <f t="shared" si="186"/>
        <v>-0.89454804999908488</v>
      </c>
      <c r="F77" s="1454">
        <f t="shared" si="186"/>
        <v>-0.85214812561782372</v>
      </c>
      <c r="G77" s="1454">
        <f t="shared" si="186"/>
        <v>-0.61295066297394674</v>
      </c>
      <c r="H77" s="1454">
        <f t="shared" si="186"/>
        <v>-0.29215171243727195</v>
      </c>
      <c r="I77" s="1455">
        <f t="shared" si="186"/>
        <v>-0.33054898363188645</v>
      </c>
      <c r="J77" s="1455">
        <f t="shared" si="186"/>
        <v>0.14095732671031835</v>
      </c>
      <c r="K77" s="1456">
        <f t="shared" ref="K77" si="187">+K76/K32</f>
        <v>-0.15036206262004609</v>
      </c>
      <c r="L77" s="1457">
        <v>0</v>
      </c>
      <c r="M77" s="1457">
        <f t="shared" ref="M77:Q77" si="188">L77</f>
        <v>0</v>
      </c>
      <c r="N77" s="1457">
        <f t="shared" si="188"/>
        <v>0</v>
      </c>
      <c r="O77" s="1457">
        <f t="shared" si="188"/>
        <v>0</v>
      </c>
      <c r="P77" s="1457">
        <f t="shared" si="188"/>
        <v>0</v>
      </c>
      <c r="Q77" s="1457">
        <f t="shared" si="188"/>
        <v>0</v>
      </c>
      <c r="R77" s="1457">
        <f t="shared" ref="R77" si="189">Q77</f>
        <v>0</v>
      </c>
      <c r="S77" s="1457">
        <f t="shared" ref="S77" si="190">R77</f>
        <v>0</v>
      </c>
      <c r="T77" s="1457">
        <f t="shared" ref="T77" si="191">S77</f>
        <v>0</v>
      </c>
      <c r="U77" s="1457">
        <f t="shared" ref="U77" si="192">T77</f>
        <v>0</v>
      </c>
      <c r="V77" s="1457">
        <f t="shared" ref="V77" si="193">U77</f>
        <v>0</v>
      </c>
    </row>
    <row r="78" spans="1:31">
      <c r="C78" s="1353"/>
      <c r="D78" s="1353"/>
      <c r="E78" s="1353"/>
      <c r="F78" s="1353"/>
      <c r="G78" s="1353"/>
      <c r="H78" s="1353"/>
      <c r="I78" s="1353"/>
      <c r="J78" s="1353"/>
      <c r="K78" s="1427"/>
      <c r="L78" s="1353"/>
      <c r="M78" s="1353"/>
      <c r="N78" s="1353"/>
      <c r="O78" s="1353"/>
      <c r="P78" s="1353"/>
      <c r="Q78" s="1353"/>
      <c r="R78" s="1353"/>
      <c r="S78" s="1353"/>
      <c r="T78" s="1353"/>
      <c r="U78" s="1353"/>
      <c r="V78" s="1353"/>
    </row>
    <row r="79" spans="1:31">
      <c r="A79" s="1428" t="s">
        <v>150</v>
      </c>
      <c r="B79" s="1376"/>
      <c r="C79" s="1380"/>
      <c r="D79" s="1380"/>
      <c r="E79" s="1424"/>
      <c r="F79" s="1424"/>
      <c r="G79" s="1424"/>
      <c r="H79" s="1424"/>
      <c r="I79" s="1424"/>
      <c r="J79" s="1424"/>
      <c r="K79" s="1425"/>
      <c r="L79" s="1380">
        <f t="shared" ref="L79:N79" si="194">+L74+(L76-K76)</f>
        <v>108872.16732813517</v>
      </c>
      <c r="M79" s="1380">
        <f t="shared" si="194"/>
        <v>106713.22356414594</v>
      </c>
      <c r="N79" s="1380">
        <f t="shared" si="194"/>
        <v>131328.93682754264</v>
      </c>
      <c r="O79" s="1380">
        <f>+O74+(O76-N76)</f>
        <v>161698.6400429772</v>
      </c>
      <c r="P79" s="1380">
        <f>+P74+(P76-O76)</f>
        <v>194053.79425915642</v>
      </c>
      <c r="Q79" s="1380">
        <f>+Q74+(Q76-P76)</f>
        <v>226521.51702530155</v>
      </c>
      <c r="R79" s="1380">
        <f>+R74+(R76-Q76)</f>
        <v>263332.80834396865</v>
      </c>
      <c r="S79" s="1380">
        <f>+S74+(S76-R76)</f>
        <v>296764.56197143899</v>
      </c>
      <c r="T79" s="1380">
        <f t="shared" ref="T79" si="195">+T74+(T76-S76)</f>
        <v>332741.54208793078</v>
      </c>
      <c r="U79" s="1380">
        <f t="shared" ref="U79" si="196">+U74+(U76-T76)</f>
        <v>373501.36094898498</v>
      </c>
      <c r="V79" s="1380">
        <f t="shared" ref="V79" si="197">+V74+(V76-U76)</f>
        <v>420606.0084578133</v>
      </c>
    </row>
    <row r="80" spans="1:31" ht="14.45">
      <c r="A80" s="1419" t="s">
        <v>151</v>
      </c>
      <c r="C80" s="1382"/>
      <c r="D80" s="1382"/>
      <c r="E80" s="1382"/>
      <c r="F80" s="1382"/>
      <c r="G80" s="1382"/>
      <c r="H80" s="1382"/>
      <c r="I80" s="1382"/>
      <c r="J80" s="1382"/>
      <c r="K80" s="1397"/>
      <c r="L80" s="1382">
        <f t="shared" ref="L80:V80" si="198">+L79/$D$100</f>
        <v>3.4577905875184459E-2</v>
      </c>
      <c r="M80" s="1382">
        <f t="shared" si="198"/>
        <v>3.3892223243038089E-2</v>
      </c>
      <c r="N80" s="1382">
        <f t="shared" si="198"/>
        <v>4.1710197635950727E-2</v>
      </c>
      <c r="O80" s="1382">
        <f t="shared" si="198"/>
        <v>5.1355644815077532E-2</v>
      </c>
      <c r="P80" s="1382">
        <f t="shared" si="198"/>
        <v>6.163167315657455E-2</v>
      </c>
      <c r="Q80" s="1382">
        <f t="shared" si="198"/>
        <v>7.1943453378655486E-2</v>
      </c>
      <c r="R80" s="1382">
        <f t="shared" si="198"/>
        <v>8.3634755183317255E-2</v>
      </c>
      <c r="S80" s="1382">
        <f t="shared" si="198"/>
        <v>9.4252712541407699E-2</v>
      </c>
      <c r="T80" s="1382">
        <f t="shared" si="198"/>
        <v>0.1056790362995456</v>
      </c>
      <c r="U80" s="1382">
        <f t="shared" si="198"/>
        <v>0.11862439427904897</v>
      </c>
      <c r="V80" s="1382">
        <f t="shared" si="198"/>
        <v>0.13358487598724303</v>
      </c>
    </row>
    <row r="81" spans="1:26">
      <c r="C81" s="1353"/>
      <c r="D81" s="1353"/>
      <c r="E81" s="1353"/>
      <c r="F81" s="1353"/>
      <c r="G81" s="1353"/>
      <c r="H81" s="1353"/>
      <c r="I81" s="1353"/>
      <c r="J81" s="1353"/>
      <c r="K81" s="1427"/>
      <c r="L81" s="1353"/>
      <c r="M81" s="1353"/>
      <c r="N81" s="1353"/>
      <c r="O81" s="1353"/>
      <c r="P81" s="1353"/>
      <c r="Q81" s="1353"/>
      <c r="R81" s="1353"/>
      <c r="S81" s="1353"/>
      <c r="T81" s="1353"/>
      <c r="U81" s="1353"/>
      <c r="V81" s="1353"/>
    </row>
    <row r="82" spans="1:26">
      <c r="A82" s="1428" t="s">
        <v>152</v>
      </c>
      <c r="B82" s="1376"/>
      <c r="C82" s="1380"/>
      <c r="D82" s="1380"/>
      <c r="E82" s="1424"/>
      <c r="F82" s="1424"/>
      <c r="G82" s="1424"/>
      <c r="H82" s="1424"/>
      <c r="I82" s="1424"/>
      <c r="J82" s="1424"/>
      <c r="K82" s="1425"/>
      <c r="L82" s="1380">
        <f t="shared" ref="L82:N82" si="199">L79+K82</f>
        <v>108872.16732813517</v>
      </c>
      <c r="M82" s="1380">
        <f t="shared" si="199"/>
        <v>215585.39089228111</v>
      </c>
      <c r="N82" s="1380">
        <f t="shared" si="199"/>
        <v>346914.32771982375</v>
      </c>
      <c r="O82" s="1380">
        <f>O79+N82</f>
        <v>508612.96776280098</v>
      </c>
      <c r="P82" s="1380">
        <f>P79+O82</f>
        <v>702666.76202195743</v>
      </c>
      <c r="Q82" s="1380">
        <f>Q79+P82</f>
        <v>929188.27904725901</v>
      </c>
      <c r="R82" s="1380">
        <f>R79+Q82</f>
        <v>1192521.0873912277</v>
      </c>
      <c r="S82" s="1380">
        <f>S79+R82</f>
        <v>1489285.6493626668</v>
      </c>
      <c r="T82" s="1380">
        <f t="shared" ref="T82" si="200">T79+S82</f>
        <v>1822027.1914505975</v>
      </c>
      <c r="U82" s="1380">
        <f t="shared" ref="U82" si="201">U79+T82</f>
        <v>2195528.5523995822</v>
      </c>
      <c r="V82" s="1380">
        <f t="shared" ref="V82" si="202">V79+U82</f>
        <v>2616134.5608573956</v>
      </c>
    </row>
    <row r="83" spans="1:26" ht="14.45">
      <c r="A83" s="1419" t="s">
        <v>151</v>
      </c>
      <c r="C83" s="1382"/>
      <c r="D83" s="1382"/>
      <c r="E83" s="1382"/>
      <c r="F83" s="1382"/>
      <c r="G83" s="1382"/>
      <c r="H83" s="1382"/>
      <c r="I83" s="1382"/>
      <c r="J83" s="1382"/>
      <c r="K83" s="1397"/>
      <c r="L83" s="1382">
        <f t="shared" ref="L83:V83" si="203">L82/$D$100</f>
        <v>3.4577905875184459E-2</v>
      </c>
      <c r="M83" s="1382">
        <f t="shared" si="203"/>
        <v>6.8470129118222547E-2</v>
      </c>
      <c r="N83" s="1382">
        <f t="shared" si="203"/>
        <v>0.11018032675417327</v>
      </c>
      <c r="O83" s="1458">
        <f t="shared" si="203"/>
        <v>0.16153597156925081</v>
      </c>
      <c r="P83" s="1382">
        <f t="shared" si="203"/>
        <v>0.22316764472582537</v>
      </c>
      <c r="Q83" s="1382">
        <f t="shared" si="203"/>
        <v>0.29511109810448088</v>
      </c>
      <c r="R83" s="1382">
        <f t="shared" si="203"/>
        <v>0.37874585328779814</v>
      </c>
      <c r="S83" s="1382">
        <f t="shared" si="203"/>
        <v>0.47299856582920585</v>
      </c>
      <c r="T83" s="1382">
        <f t="shared" si="203"/>
        <v>0.57867760212875141</v>
      </c>
      <c r="U83" s="1382">
        <f t="shared" si="203"/>
        <v>0.69730199640780033</v>
      </c>
      <c r="V83" s="1382">
        <f t="shared" si="203"/>
        <v>0.83088687239504344</v>
      </c>
    </row>
    <row r="84" spans="1:26">
      <c r="C84" s="1353"/>
      <c r="D84" s="1353"/>
      <c r="E84" s="1353"/>
      <c r="F84" s="1353"/>
      <c r="G84" s="1353"/>
      <c r="H84" s="1353"/>
      <c r="I84" s="1353"/>
      <c r="J84" s="1353"/>
      <c r="K84" s="1427"/>
      <c r="L84" s="1353"/>
      <c r="M84" s="1353"/>
      <c r="N84" s="1353"/>
      <c r="O84" s="1353"/>
      <c r="P84" s="1353"/>
      <c r="Q84" s="1353"/>
      <c r="R84" s="1353"/>
      <c r="S84" s="1353"/>
      <c r="T84" s="1353"/>
      <c r="U84" s="1353"/>
      <c r="V84" s="1353"/>
    </row>
    <row r="85" spans="1:26" collapsed="1">
      <c r="A85" s="1354" t="s">
        <v>153</v>
      </c>
      <c r="C85" s="1353"/>
      <c r="D85" s="1353"/>
      <c r="E85" s="1353"/>
      <c r="F85" s="1353"/>
      <c r="G85" s="1459"/>
      <c r="H85" s="1460"/>
      <c r="I85" s="1459"/>
      <c r="J85" s="1459"/>
      <c r="K85" s="1461">
        <f>+D100/SUM('Historical Financials'!AK125:AN125)</f>
        <v>54.620608899297423</v>
      </c>
      <c r="L85" s="1353"/>
      <c r="M85" s="1353"/>
      <c r="N85" s="1353"/>
      <c r="O85" s="1353"/>
      <c r="P85" s="1353"/>
      <c r="Q85" s="1353"/>
      <c r="R85" s="1353"/>
      <c r="S85" s="1353"/>
      <c r="T85" s="1353"/>
      <c r="U85" s="1353"/>
      <c r="V85" s="1353"/>
      <c r="Z85" s="1435"/>
    </row>
    <row r="86" spans="1:26">
      <c r="A86" s="1353" t="s">
        <v>154</v>
      </c>
      <c r="B86" s="1353"/>
      <c r="C86" s="1459"/>
      <c r="D86" s="1459"/>
      <c r="E86" s="1459"/>
      <c r="F86" s="1459"/>
      <c r="G86" s="1459"/>
      <c r="H86" s="1459"/>
      <c r="I86" s="1459"/>
      <c r="J86" s="1459"/>
      <c r="K86" s="1461">
        <f t="shared" ref="K86:V86" si="204">+($D$100-K82)/(K8)</f>
        <v>11.328193065648968</v>
      </c>
      <c r="L86" s="1459">
        <f t="shared" si="204"/>
        <v>9.6783078514062311</v>
      </c>
      <c r="M86" s="1459">
        <f t="shared" si="204"/>
        <v>8.2641947088791845</v>
      </c>
      <c r="N86" s="1459">
        <f t="shared" si="204"/>
        <v>6.9859796313537323</v>
      </c>
      <c r="O86" s="1459">
        <f t="shared" si="204"/>
        <v>5.8254744722089153</v>
      </c>
      <c r="P86" s="1459">
        <f t="shared" si="204"/>
        <v>4.7763454579347018</v>
      </c>
      <c r="Q86" s="1459">
        <f t="shared" si="204"/>
        <v>3.8353999128458089</v>
      </c>
      <c r="R86" s="1459">
        <f t="shared" si="204"/>
        <v>2.9914437313349111</v>
      </c>
      <c r="S86" s="1459">
        <f t="shared" si="204"/>
        <v>2.2456645913765763</v>
      </c>
      <c r="T86" s="1459">
        <f t="shared" si="204"/>
        <v>1.5887998784631718</v>
      </c>
      <c r="U86" s="1459">
        <f t="shared" si="204"/>
        <v>1.010149757362016</v>
      </c>
      <c r="V86" s="1459">
        <f t="shared" si="204"/>
        <v>0.49943052791130688</v>
      </c>
    </row>
    <row r="87" spans="1:26">
      <c r="A87" s="1353" t="s">
        <v>155</v>
      </c>
      <c r="B87" s="1353"/>
      <c r="C87" s="1460">
        <f t="shared" ref="C87:V87" si="205">($D$100-C82)/C68</f>
        <v>172.88106278362994</v>
      </c>
      <c r="D87" s="1460">
        <f t="shared" si="205"/>
        <v>137.36002701301965</v>
      </c>
      <c r="E87" s="1460">
        <f t="shared" si="205"/>
        <v>107.47735489931564</v>
      </c>
      <c r="F87" s="1460">
        <f t="shared" si="205"/>
        <v>88.209956508632715</v>
      </c>
      <c r="G87" s="1460">
        <f t="shared" si="205"/>
        <v>72.122117673899325</v>
      </c>
      <c r="H87" s="1460">
        <f t="shared" si="205"/>
        <v>61.262103166727762</v>
      </c>
      <c r="I87" s="1460">
        <f t="shared" si="205"/>
        <v>58.916544321689884</v>
      </c>
      <c r="J87" s="1460">
        <f t="shared" si="205"/>
        <v>59.822205158479029</v>
      </c>
      <c r="K87" s="1461">
        <f t="shared" si="205"/>
        <v>63.464133948794057</v>
      </c>
      <c r="L87" s="1459">
        <f t="shared" si="205"/>
        <v>36.016499347908272</v>
      </c>
      <c r="M87" s="1459">
        <f t="shared" si="205"/>
        <v>27.609319996329511</v>
      </c>
      <c r="N87" s="1459">
        <f t="shared" si="205"/>
        <v>21.411686799780536</v>
      </c>
      <c r="O87" s="1459">
        <f t="shared" si="205"/>
        <v>16.375255695324523</v>
      </c>
      <c r="P87" s="1459">
        <f t="shared" si="205"/>
        <v>12.63570649622217</v>
      </c>
      <c r="Q87" s="1459">
        <f t="shared" si="205"/>
        <v>9.8186359797613125</v>
      </c>
      <c r="R87" s="1459">
        <f t="shared" si="205"/>
        <v>7.4417539390433518</v>
      </c>
      <c r="S87" s="1459">
        <f t="shared" si="205"/>
        <v>5.600429707550231</v>
      </c>
      <c r="T87" s="1459">
        <f t="shared" si="205"/>
        <v>3.9925742781070568</v>
      </c>
      <c r="U87" s="1459">
        <f t="shared" si="205"/>
        <v>2.5550202675557618</v>
      </c>
      <c r="V87" s="1459">
        <f t="shared" si="205"/>
        <v>1.2674073269045194</v>
      </c>
    </row>
    <row r="88" spans="1:26">
      <c r="A88" s="1353" t="s">
        <v>156</v>
      </c>
      <c r="B88" s="1353"/>
      <c r="C88" s="1460"/>
      <c r="D88" s="1460">
        <f t="shared" ref="D88:V88" si="206">($D$100-D82)/D63</f>
        <v>119.89533640401382</v>
      </c>
      <c r="E88" s="1460">
        <f t="shared" si="206"/>
        <v>91.228162181081487</v>
      </c>
      <c r="F88" s="1460">
        <f t="shared" si="206"/>
        <v>75.148501948998572</v>
      </c>
      <c r="G88" s="1460">
        <f t="shared" si="206"/>
        <v>56.05434375076775</v>
      </c>
      <c r="H88" s="1460">
        <f t="shared" si="206"/>
        <v>47.608294105870904</v>
      </c>
      <c r="I88" s="1460">
        <f t="shared" si="206"/>
        <v>44.048274235395866</v>
      </c>
      <c r="J88" s="1460">
        <f t="shared" si="206"/>
        <v>35.817978896735823</v>
      </c>
      <c r="K88" s="1461">
        <f t="shared" si="206"/>
        <v>30.675746882867266</v>
      </c>
      <c r="L88" s="1459">
        <f t="shared" si="206"/>
        <v>25.45390039047868</v>
      </c>
      <c r="M88" s="1459">
        <f t="shared" si="206"/>
        <v>21.233853781889142</v>
      </c>
      <c r="N88" s="1459">
        <f t="shared" si="206"/>
        <v>17.590848086030057</v>
      </c>
      <c r="O88" s="1459">
        <f t="shared" si="206"/>
        <v>14.413708032403733</v>
      </c>
      <c r="P88" s="1459">
        <f t="shared" si="206"/>
        <v>11.63886854320728</v>
      </c>
      <c r="Q88" s="1459">
        <f t="shared" si="206"/>
        <v>9.2223628482967275</v>
      </c>
      <c r="R88" s="1459">
        <f t="shared" si="206"/>
        <v>7.1098055328193128</v>
      </c>
      <c r="S88" s="1459">
        <f t="shared" si="206"/>
        <v>5.2832013719721473</v>
      </c>
      <c r="T88" s="1459">
        <f t="shared" si="206"/>
        <v>3.7046154498207264</v>
      </c>
      <c r="U88" s="1459">
        <f t="shared" si="206"/>
        <v>2.3369864440777381</v>
      </c>
      <c r="V88" s="1459">
        <f t="shared" si="206"/>
        <v>1.1486967225708475</v>
      </c>
    </row>
    <row r="89" spans="1:26">
      <c r="C89" s="1353"/>
      <c r="D89" s="1353"/>
      <c r="E89" s="1353"/>
      <c r="F89" s="1353"/>
      <c r="G89" s="1353"/>
      <c r="H89" s="1353"/>
      <c r="I89" s="1353"/>
      <c r="J89" s="1462"/>
      <c r="K89" s="1462"/>
      <c r="L89" s="1462"/>
    </row>
    <row r="90" spans="1:26">
      <c r="A90" s="1368" t="s">
        <v>157</v>
      </c>
      <c r="B90" s="1369"/>
      <c r="C90" s="1464"/>
      <c r="D90" s="1353"/>
      <c r="E90" s="1353"/>
      <c r="F90" s="1353"/>
      <c r="G90" s="1353"/>
      <c r="H90" s="1353"/>
      <c r="I90" s="1353"/>
      <c r="J90" s="1432"/>
      <c r="K90" s="1432"/>
      <c r="L90" s="1432"/>
    </row>
    <row r="91" spans="1:26" ht="7.5" customHeight="1">
      <c r="C91" s="1353"/>
      <c r="D91" s="1353"/>
      <c r="E91" s="1353"/>
      <c r="F91" s="1353"/>
      <c r="G91" s="1353"/>
      <c r="H91" s="1353"/>
      <c r="I91" s="1353"/>
      <c r="J91" s="1353"/>
      <c r="K91" s="1432"/>
      <c r="L91" s="1353"/>
    </row>
    <row r="92" spans="1:26">
      <c r="A92" s="1404" t="s">
        <v>158</v>
      </c>
      <c r="C92" s="1353"/>
      <c r="D92" s="1353"/>
      <c r="E92" s="1353"/>
      <c r="F92" s="1353"/>
      <c r="G92" s="1353"/>
      <c r="H92" s="1353"/>
      <c r="I92" s="1353"/>
      <c r="J92" s="1353"/>
      <c r="K92" s="1353"/>
      <c r="L92" s="1353"/>
      <c r="M92" s="1353"/>
      <c r="N92" s="1353"/>
      <c r="O92" s="1353"/>
    </row>
    <row r="93" spans="1:26" ht="17.100000000000001">
      <c r="A93" s="1354" t="s">
        <v>159</v>
      </c>
      <c r="C93" s="1353"/>
      <c r="D93" s="1353"/>
      <c r="E93" s="1353"/>
      <c r="F93" s="1353"/>
      <c r="G93" s="1353"/>
      <c r="H93" s="1353"/>
      <c r="I93" s="1353"/>
      <c r="J93" s="1353"/>
      <c r="K93" s="1353"/>
      <c r="L93" s="1353"/>
      <c r="M93" s="1353"/>
      <c r="N93" s="1353"/>
      <c r="O93" s="1353"/>
      <c r="P93" s="1353"/>
      <c r="Q93" s="1353"/>
      <c r="R93" s="1353"/>
      <c r="S93" s="1353"/>
      <c r="T93" s="1353"/>
      <c r="U93" s="1465">
        <v>15</v>
      </c>
      <c r="V93" s="1466"/>
    </row>
    <row r="94" spans="1:26">
      <c r="A94" s="1428" t="s">
        <v>160</v>
      </c>
      <c r="C94" s="1380"/>
      <c r="D94" s="1380"/>
      <c r="E94" s="1380"/>
      <c r="F94" s="1380"/>
      <c r="G94" s="1380"/>
      <c r="H94" s="1380"/>
      <c r="I94" s="1380"/>
      <c r="J94" s="1380"/>
      <c r="K94" s="1380"/>
      <c r="L94" s="1380"/>
      <c r="M94" s="1380"/>
      <c r="N94" s="1380"/>
      <c r="O94" s="1380"/>
      <c r="P94" s="1380"/>
      <c r="Q94" s="1380"/>
      <c r="R94" s="1380"/>
      <c r="S94" s="1380"/>
      <c r="T94" s="1380"/>
      <c r="U94" s="1380">
        <f>+U93*V68</f>
        <v>6301886.0768671995</v>
      </c>
      <c r="V94" s="1380"/>
    </row>
    <row r="95" spans="1:26">
      <c r="A95" s="1428" t="s">
        <v>161</v>
      </c>
      <c r="C95" s="1380"/>
      <c r="D95" s="1380"/>
      <c r="E95" s="1380"/>
      <c r="F95" s="1380"/>
      <c r="G95" s="1380"/>
      <c r="H95" s="1380"/>
      <c r="I95" s="1380"/>
      <c r="J95" s="1380"/>
      <c r="K95" s="1380">
        <f>-$D$100+K82</f>
        <v>-3148605</v>
      </c>
      <c r="L95" s="1380">
        <f t="shared" ref="L95:U95" si="207">+L79+L94</f>
        <v>108872.16732813517</v>
      </c>
      <c r="M95" s="1380">
        <f t="shared" si="207"/>
        <v>106713.22356414594</v>
      </c>
      <c r="N95" s="1380">
        <f t="shared" si="207"/>
        <v>131328.93682754264</v>
      </c>
      <c r="O95" s="1380">
        <f t="shared" si="207"/>
        <v>161698.6400429772</v>
      </c>
      <c r="P95" s="1380">
        <f t="shared" si="207"/>
        <v>194053.79425915642</v>
      </c>
      <c r="Q95" s="1380">
        <f t="shared" si="207"/>
        <v>226521.51702530155</v>
      </c>
      <c r="R95" s="1380">
        <f t="shared" si="207"/>
        <v>263332.80834396865</v>
      </c>
      <c r="S95" s="1380">
        <f t="shared" si="207"/>
        <v>296764.56197143899</v>
      </c>
      <c r="T95" s="1380">
        <f t="shared" si="207"/>
        <v>332741.54208793078</v>
      </c>
      <c r="U95" s="1380">
        <f t="shared" si="207"/>
        <v>6675387.437816184</v>
      </c>
      <c r="V95" s="1380"/>
    </row>
    <row r="96" spans="1:26">
      <c r="A96" s="1467" t="s">
        <v>162</v>
      </c>
      <c r="B96" s="1468"/>
      <c r="C96" s="1469"/>
      <c r="D96" s="1469"/>
      <c r="E96" s="1469"/>
      <c r="F96" s="1469"/>
      <c r="G96" s="1469"/>
      <c r="H96" s="1469"/>
      <c r="I96" s="1469"/>
      <c r="J96" s="1469"/>
      <c r="K96" s="1470">
        <f>XIRR(K95:U95,K3:U3)</f>
        <v>0.11156068444252015</v>
      </c>
      <c r="L96" s="1471"/>
      <c r="M96" s="1472"/>
      <c r="N96" s="1472"/>
      <c r="O96" s="1472"/>
      <c r="P96" s="1472"/>
      <c r="Q96" s="1472"/>
      <c r="R96" s="1472"/>
      <c r="S96" s="1472"/>
      <c r="T96" s="1472"/>
      <c r="U96" s="1472"/>
      <c r="V96" s="1472"/>
    </row>
    <row r="97" spans="1:25" ht="7.5" customHeight="1"/>
    <row r="98" spans="1:25">
      <c r="A98" s="1473" t="s">
        <v>163</v>
      </c>
      <c r="B98" s="1474"/>
      <c r="C98" s="1475"/>
      <c r="D98" s="1475"/>
      <c r="E98" s="1476"/>
      <c r="F98" s="1353"/>
      <c r="I98" s="1353"/>
      <c r="J98" s="1353"/>
      <c r="K98" s="1353"/>
    </row>
    <row r="99" spans="1:25">
      <c r="D99" s="1477" t="s">
        <v>164</v>
      </c>
      <c r="E99" s="1477" t="s">
        <v>165</v>
      </c>
      <c r="F99" s="1353"/>
      <c r="I99" s="1353"/>
      <c r="J99" s="1353"/>
      <c r="K99" s="1353"/>
    </row>
    <row r="100" spans="1:25">
      <c r="A100" s="1354" t="s">
        <v>166</v>
      </c>
      <c r="D100" s="1478">
        <f>+E100*E103</f>
        <v>3148605</v>
      </c>
      <c r="E100" s="1609">
        <f>_xll.SNL.Clients.Office.Excel.Functions.SPG($A$1, "SP_PRICE_CLOSE",$V$1)</f>
        <v>421.5</v>
      </c>
      <c r="F100" s="1353"/>
      <c r="I100" s="1353"/>
      <c r="J100" s="1353"/>
      <c r="K100" s="1353"/>
    </row>
    <row r="101" spans="1:25" ht="17.100000000000001">
      <c r="A101" s="1354" t="s">
        <v>148</v>
      </c>
      <c r="D101" s="1479">
        <f>+'Historical Financials'!AN139</f>
        <v>14401</v>
      </c>
      <c r="E101" s="1480">
        <f>+D101/E103</f>
        <v>1.9278447121820617</v>
      </c>
      <c r="F101" s="1361"/>
      <c r="I101" s="1353"/>
      <c r="J101" s="1353"/>
      <c r="K101" s="1353"/>
    </row>
    <row r="102" spans="1:25">
      <c r="A102" s="1481" t="s">
        <v>167</v>
      </c>
      <c r="B102" s="1386"/>
      <c r="D102" s="1478">
        <f>+D101+D100</f>
        <v>3163006</v>
      </c>
      <c r="E102" s="1463">
        <f>+D102/E103</f>
        <v>423.42784471218204</v>
      </c>
      <c r="F102" s="1353"/>
      <c r="I102" s="1353"/>
      <c r="J102" s="1353"/>
      <c r="K102" s="1353"/>
    </row>
    <row r="103" spans="1:25" ht="14.45">
      <c r="A103" s="1381" t="s">
        <v>168</v>
      </c>
      <c r="D103" s="1353"/>
      <c r="E103" s="1482">
        <f>+'Historical Financials'!AN75</f>
        <v>7470</v>
      </c>
      <c r="F103" s="1353"/>
      <c r="I103" s="1353"/>
      <c r="J103" s="1353"/>
      <c r="K103" s="1353"/>
    </row>
    <row r="105" spans="1:25">
      <c r="A105" s="1368" t="s">
        <v>169</v>
      </c>
      <c r="B105" s="1369"/>
    </row>
    <row r="107" spans="1:25">
      <c r="A107" s="1483" t="s">
        <v>170</v>
      </c>
      <c r="Y107" s="1354" t="s">
        <v>171</v>
      </c>
    </row>
    <row r="108" spans="1:25">
      <c r="A108" s="1354" t="s">
        <v>172</v>
      </c>
      <c r="B108" s="1433"/>
      <c r="C108" s="1433">
        <f>+'Historical Financials'!BH1263</f>
        <v>-26030</v>
      </c>
      <c r="D108" s="1433">
        <f>+'Historical Financials'!BI1263</f>
        <v>-16475</v>
      </c>
      <c r="E108" s="1433">
        <f>+'Historical Financials'!BJ1263</f>
        <v>-16506</v>
      </c>
      <c r="F108" s="1433">
        <f>+'Historical Financials'!BK1263</f>
        <v>-21043</v>
      </c>
      <c r="G108" s="1433">
        <f>+'Historical Financials'!BL1263</f>
        <v>-24339</v>
      </c>
      <c r="H108" s="1433">
        <f>+'Historical Financials'!BM1263</f>
        <v>-23339</v>
      </c>
      <c r="I108" s="1433">
        <f>+'Historical Financials'!BN1263</f>
        <v>-21755</v>
      </c>
      <c r="J108" s="1433">
        <f>+'Historical Financials'!BO1263</f>
        <v>-27136</v>
      </c>
      <c r="K108" s="1433">
        <f t="shared" ref="K108:V108" si="208">+K109*K8</f>
        <v>-35873.12074951543</v>
      </c>
      <c r="L108" s="1433">
        <f t="shared" si="208"/>
        <v>-40536.626446952432</v>
      </c>
      <c r="M108" s="1433">
        <f t="shared" si="208"/>
        <v>-45806.38788505624</v>
      </c>
      <c r="N108" s="1433">
        <f t="shared" si="208"/>
        <v>-51761.218310113545</v>
      </c>
      <c r="O108" s="1433">
        <f t="shared" si="208"/>
        <v>-58490.176690428307</v>
      </c>
      <c r="P108" s="1433">
        <f t="shared" si="208"/>
        <v>-66093.899660183975</v>
      </c>
      <c r="Q108" s="1433">
        <f t="shared" si="208"/>
        <v>-74686.106616007892</v>
      </c>
      <c r="R108" s="1433">
        <f t="shared" si="208"/>
        <v>-84395.300476088916</v>
      </c>
      <c r="S108" s="1433">
        <f t="shared" si="208"/>
        <v>-95366.689537980463</v>
      </c>
      <c r="T108" s="1433">
        <f t="shared" si="208"/>
        <v>-107764.35917791791</v>
      </c>
      <c r="U108" s="1433">
        <f t="shared" si="208"/>
        <v>-121773.72587104721</v>
      </c>
      <c r="V108" s="1433">
        <f t="shared" si="208"/>
        <v>-137604.31023428336</v>
      </c>
    </row>
    <row r="109" spans="1:25" s="1363" customFormat="1" ht="14.45">
      <c r="A109" s="1381" t="s">
        <v>173</v>
      </c>
      <c r="B109" s="1382"/>
      <c r="C109" s="1382">
        <f t="shared" ref="C109:J109" si="209">+C108/C8</f>
        <v>-0.269542616313386</v>
      </c>
      <c r="D109" s="1382">
        <f t="shared" si="209"/>
        <v>-0.14928416092787242</v>
      </c>
      <c r="E109" s="1382">
        <f t="shared" si="209"/>
        <v>-0.13116343380243636</v>
      </c>
      <c r="F109" s="1382">
        <f t="shared" si="209"/>
        <v>-0.14713841205467959</v>
      </c>
      <c r="G109" s="1382">
        <f t="shared" si="209"/>
        <v>-0.14479915282471087</v>
      </c>
      <c r="H109" s="1382">
        <f t="shared" si="209"/>
        <v>-0.11771321934735461</v>
      </c>
      <c r="I109" s="1382">
        <f t="shared" si="209"/>
        <v>-0.10265908501049949</v>
      </c>
      <c r="J109" s="1382">
        <f t="shared" si="209"/>
        <v>-0.11070405757133182</v>
      </c>
      <c r="K109" s="1385">
        <f>+AVERAGE(D109:J109)</f>
        <v>-0.12906593164841215</v>
      </c>
      <c r="L109" s="1385">
        <f>+K109</f>
        <v>-0.12906593164841215</v>
      </c>
      <c r="M109" s="1385">
        <f t="shared" ref="M109:V109" si="210">+L109</f>
        <v>-0.12906593164841215</v>
      </c>
      <c r="N109" s="1385">
        <f t="shared" si="210"/>
        <v>-0.12906593164841215</v>
      </c>
      <c r="O109" s="1385">
        <f t="shared" si="210"/>
        <v>-0.12906593164841215</v>
      </c>
      <c r="P109" s="1385">
        <f t="shared" si="210"/>
        <v>-0.12906593164841215</v>
      </c>
      <c r="Q109" s="1385">
        <f t="shared" si="210"/>
        <v>-0.12906593164841215</v>
      </c>
      <c r="R109" s="1385">
        <f t="shared" si="210"/>
        <v>-0.12906593164841215</v>
      </c>
      <c r="S109" s="1385">
        <f t="shared" si="210"/>
        <v>-0.12906593164841215</v>
      </c>
      <c r="T109" s="1385">
        <f t="shared" si="210"/>
        <v>-0.12906593164841215</v>
      </c>
      <c r="U109" s="1385">
        <f t="shared" si="210"/>
        <v>-0.12906593164841215</v>
      </c>
      <c r="V109" s="1385">
        <f t="shared" si="210"/>
        <v>-0.12906593164841215</v>
      </c>
      <c r="Y109" s="1363" t="s">
        <v>174</v>
      </c>
    </row>
    <row r="110" spans="1:25">
      <c r="Y110" s="1354" t="str">
        <f>+'D&amp;A forecast - Case 1'!AI8</f>
        <v>50%, then more, then ramp down in long lived and more short lived to drive more D&amp;A</v>
      </c>
    </row>
    <row r="111" spans="1:25">
      <c r="A111" s="1387" t="s">
        <v>175</v>
      </c>
      <c r="J111" s="1433"/>
    </row>
    <row r="112" spans="1:25" hidden="1" outlineLevel="1">
      <c r="A112" s="1484" t="s">
        <v>176</v>
      </c>
      <c r="B112" s="1433"/>
      <c r="C112" s="1433">
        <f>+'Historical Financials'!BH1221</f>
        <v>10106</v>
      </c>
      <c r="D112" s="1433">
        <f>+'Historical Financials'!BI1221</f>
        <v>8053</v>
      </c>
      <c r="E112" s="1433">
        <f>+'Historical Financials'!BJ1221</f>
        <v>7750</v>
      </c>
      <c r="F112" s="1433">
        <f>+'Historical Financials'!BK1221</f>
        <v>7038</v>
      </c>
      <c r="G112" s="1433">
        <f>+'Historical Financials'!BL1221</f>
        <v>7800</v>
      </c>
      <c r="H112" s="1433">
        <f>+'Historical Financials'!BM1221</f>
        <v>11298</v>
      </c>
      <c r="I112" s="1433">
        <f>+'Historical Financials'!BN1221</f>
        <v>9366</v>
      </c>
      <c r="J112" s="1433">
        <f>+'Historical Financials'!BO1221-J117</f>
        <v>5628</v>
      </c>
      <c r="K112" s="1435"/>
    </row>
    <row r="113" spans="1:22" hidden="1" outlineLevel="1">
      <c r="A113" s="1484" t="s">
        <v>177</v>
      </c>
      <c r="B113" s="1433"/>
      <c r="C113" s="1433">
        <f>+'Historical Financials'!BH1216</f>
        <v>6555</v>
      </c>
      <c r="D113" s="1433">
        <f>+'Historical Financials'!BI1216</f>
        <v>6686</v>
      </c>
      <c r="E113" s="1433">
        <f>+'Historical Financials'!BJ1216</f>
        <v>7379</v>
      </c>
      <c r="F113" s="1433">
        <f>+'Historical Financials'!BK1216</f>
        <v>8753</v>
      </c>
      <c r="G113" s="1433">
        <f>+'Historical Financials'!BL1216</f>
        <v>11088</v>
      </c>
      <c r="H113" s="1433">
        <f>+'Historical Financials'!BM1216</f>
        <v>13148</v>
      </c>
      <c r="I113" s="1433">
        <f>+'Historical Financials'!BN1216</f>
        <v>14346</v>
      </c>
      <c r="J113" s="1433">
        <f>+'Historical Financials'!BO1216</f>
        <v>18961</v>
      </c>
    </row>
    <row r="114" spans="1:22" s="1387" customFormat="1" hidden="1" outlineLevel="1">
      <c r="A114" s="1484" t="s">
        <v>178</v>
      </c>
      <c r="B114" s="1485"/>
      <c r="C114" s="1485">
        <f>+'Historical Financials'!BH1222</f>
        <v>6250</v>
      </c>
      <c r="D114" s="1485">
        <f>+'Historical Financials'!BI1222</f>
        <v>7442</v>
      </c>
      <c r="E114" s="1485">
        <f>+'Historical Financials'!BJ1222</f>
        <v>14723</v>
      </c>
      <c r="F114" s="1485">
        <f>+'Historical Financials'!BK1222</f>
        <v>13138</v>
      </c>
      <c r="G114" s="1485">
        <f>+'Historical Financials'!BL1222</f>
        <v>15075</v>
      </c>
      <c r="H114" s="1485">
        <f>+'Historical Financials'!BM1222</f>
        <v>21897</v>
      </c>
      <c r="I114" s="1485">
        <f>+'Historical Financials'!BN1222</f>
        <v>30601</v>
      </c>
      <c r="J114" s="1485">
        <f>+'Historical Financials'!BO1222</f>
        <v>36460</v>
      </c>
    </row>
    <row r="115" spans="1:22" collapsed="1">
      <c r="A115" s="1484" t="s">
        <v>179</v>
      </c>
      <c r="B115" s="1433"/>
      <c r="C115" s="1433">
        <f t="shared" ref="C115:J115" si="211">+SUM(C112:C114)</f>
        <v>22911</v>
      </c>
      <c r="D115" s="1433">
        <f t="shared" si="211"/>
        <v>22181</v>
      </c>
      <c r="E115" s="1433">
        <f t="shared" si="211"/>
        <v>29852</v>
      </c>
      <c r="F115" s="1433">
        <f t="shared" si="211"/>
        <v>28929</v>
      </c>
      <c r="G115" s="1433">
        <f t="shared" si="211"/>
        <v>33963</v>
      </c>
      <c r="H115" s="1433">
        <f t="shared" si="211"/>
        <v>46343</v>
      </c>
      <c r="I115" s="1433">
        <f t="shared" si="211"/>
        <v>54313</v>
      </c>
      <c r="J115" s="1433">
        <f t="shared" si="211"/>
        <v>61049</v>
      </c>
      <c r="K115" s="1433">
        <f t="shared" ref="K115:V115" si="212">+K120*K8</f>
        <v>69223.539514464908</v>
      </c>
      <c r="L115" s="1433">
        <f t="shared" si="212"/>
        <v>78222.599651345343</v>
      </c>
      <c r="M115" s="1433">
        <f t="shared" si="212"/>
        <v>88391.53760602024</v>
      </c>
      <c r="N115" s="1433">
        <f t="shared" si="212"/>
        <v>99882.437494802856</v>
      </c>
      <c r="O115" s="1433">
        <f t="shared" si="212"/>
        <v>112867.15436912722</v>
      </c>
      <c r="P115" s="1433">
        <f t="shared" si="212"/>
        <v>127539.88443711375</v>
      </c>
      <c r="Q115" s="1433">
        <f t="shared" si="212"/>
        <v>144120.06941393853</v>
      </c>
      <c r="R115" s="1433">
        <f t="shared" si="212"/>
        <v>162855.67843775052</v>
      </c>
      <c r="S115" s="1433">
        <f t="shared" si="212"/>
        <v>184026.91663465806</v>
      </c>
      <c r="T115" s="1433">
        <f t="shared" si="212"/>
        <v>207950.41579716359</v>
      </c>
      <c r="U115" s="1433">
        <f t="shared" si="212"/>
        <v>234983.96985079482</v>
      </c>
      <c r="V115" s="1433">
        <f t="shared" si="212"/>
        <v>265531.88593139814</v>
      </c>
    </row>
    <row r="116" spans="1:22">
      <c r="A116" s="1484" t="s">
        <v>180</v>
      </c>
      <c r="B116" s="1433"/>
      <c r="C116" s="1433">
        <f>+'Historical Financials'!BH1220</f>
        <v>35122</v>
      </c>
      <c r="D116" s="1433">
        <f>+'Historical Financials'!BI1220</f>
        <v>35683</v>
      </c>
      <c r="E116" s="1433">
        <f>+'Historical Financials'!BJ1220</f>
        <v>42026</v>
      </c>
      <c r="F116" s="1433">
        <f>+'Historical Financials'!BK1220</f>
        <v>43351</v>
      </c>
      <c r="G116" s="1433">
        <f>+'Historical Financials'!BL1220</f>
        <v>49711</v>
      </c>
      <c r="H116" s="1433">
        <f>+'Historical Financials'!BM1220</f>
        <v>67524</v>
      </c>
      <c r="I116" s="1433">
        <f>+'Historical Financials'!BN1220</f>
        <v>67886</v>
      </c>
      <c r="J116" s="1433">
        <f>+'Historical Financials'!BO1220</f>
        <v>119220</v>
      </c>
      <c r="K116" s="1486">
        <f>+J116</f>
        <v>119220</v>
      </c>
      <c r="L116" s="1486">
        <f t="shared" ref="L116:V116" si="213">+K116</f>
        <v>119220</v>
      </c>
      <c r="M116" s="1486">
        <f t="shared" si="213"/>
        <v>119220</v>
      </c>
      <c r="N116" s="1486">
        <f t="shared" si="213"/>
        <v>119220</v>
      </c>
      <c r="O116" s="1486">
        <f t="shared" si="213"/>
        <v>119220</v>
      </c>
      <c r="P116" s="1486">
        <f t="shared" si="213"/>
        <v>119220</v>
      </c>
      <c r="Q116" s="1486">
        <f t="shared" si="213"/>
        <v>119220</v>
      </c>
      <c r="R116" s="1486">
        <f t="shared" si="213"/>
        <v>119220</v>
      </c>
      <c r="S116" s="1486">
        <f t="shared" si="213"/>
        <v>119220</v>
      </c>
      <c r="T116" s="1486">
        <f t="shared" si="213"/>
        <v>119220</v>
      </c>
      <c r="U116" s="1486">
        <f t="shared" si="213"/>
        <v>119220</v>
      </c>
      <c r="V116" s="1486">
        <f t="shared" si="213"/>
        <v>119220</v>
      </c>
    </row>
    <row r="117" spans="1:22">
      <c r="A117" s="1484" t="s">
        <v>181</v>
      </c>
      <c r="B117" s="1433"/>
      <c r="C117" s="1433">
        <v>0</v>
      </c>
      <c r="D117" s="1433">
        <v>0</v>
      </c>
      <c r="E117" s="1433">
        <v>0</v>
      </c>
      <c r="F117" s="1433">
        <v>0</v>
      </c>
      <c r="G117" s="1433">
        <v>0</v>
      </c>
      <c r="H117" s="1433">
        <v>0</v>
      </c>
      <c r="I117" s="1433">
        <v>0</v>
      </c>
      <c r="J117" s="1405">
        <v>21969</v>
      </c>
      <c r="K117" s="1486">
        <f>MAX(J117-$J$117/15,0)</f>
        <v>20504.400000000001</v>
      </c>
      <c r="L117" s="1486">
        <f t="shared" ref="L117:V117" si="214">MAX(K117-$J$117/15,0)</f>
        <v>19039.800000000003</v>
      </c>
      <c r="M117" s="1486">
        <f t="shared" si="214"/>
        <v>17575.200000000004</v>
      </c>
      <c r="N117" s="1486">
        <f t="shared" si="214"/>
        <v>16110.600000000004</v>
      </c>
      <c r="O117" s="1486">
        <f t="shared" si="214"/>
        <v>14646.000000000004</v>
      </c>
      <c r="P117" s="1486">
        <f t="shared" si="214"/>
        <v>13181.400000000003</v>
      </c>
      <c r="Q117" s="1486">
        <f t="shared" si="214"/>
        <v>11716.800000000003</v>
      </c>
      <c r="R117" s="1486">
        <f t="shared" si="214"/>
        <v>10252.200000000003</v>
      </c>
      <c r="S117" s="1486">
        <f t="shared" si="214"/>
        <v>8787.6000000000022</v>
      </c>
      <c r="T117" s="1486">
        <f t="shared" si="214"/>
        <v>7323.0000000000018</v>
      </c>
      <c r="U117" s="1486">
        <f t="shared" si="214"/>
        <v>5858.4000000000015</v>
      </c>
      <c r="V117" s="1486">
        <f t="shared" si="214"/>
        <v>4393.8000000000011</v>
      </c>
    </row>
    <row r="118" spans="1:22" s="1387" customFormat="1">
      <c r="A118" s="1484" t="s">
        <v>182</v>
      </c>
      <c r="B118" s="1485"/>
      <c r="C118" s="1485">
        <f>+'Historical Financials'!BH1217</f>
        <v>23734</v>
      </c>
      <c r="D118" s="1485">
        <f>+'Historical Financials'!BI1217</f>
        <v>29460</v>
      </c>
      <c r="E118" s="1485">
        <f>+'Historical Financials'!BJ1217</f>
        <v>36477</v>
      </c>
      <c r="F118" s="1485">
        <f>+'Historical Financials'!BK1217</f>
        <v>44151</v>
      </c>
      <c r="G118" s="1485">
        <f>+'Historical Financials'!BL1217</f>
        <v>59715</v>
      </c>
      <c r="H118" s="1485">
        <f>+'Historical Financials'!BM1217</f>
        <v>74398</v>
      </c>
      <c r="I118" s="1485">
        <f>+'Historical Financials'!BN1217</f>
        <v>95641</v>
      </c>
      <c r="J118" s="1485">
        <f>+'Historical Financials'!BO1217</f>
        <v>135591</v>
      </c>
      <c r="K118" s="1487">
        <f>+'D&amp;A forecast - Case 1'!V200</f>
        <v>192578.13695944205</v>
      </c>
      <c r="L118" s="1487">
        <f>+'D&amp;A forecast - Case 1'!W200</f>
        <v>228422.02300885966</v>
      </c>
      <c r="M118" s="1487">
        <f>+'D&amp;A forecast - Case 1'!X200</f>
        <v>258942.39893580636</v>
      </c>
      <c r="N118" s="1487">
        <f>+'D&amp;A forecast - Case 1'!Y200</f>
        <v>285092.78112581937</v>
      </c>
      <c r="O118" s="1487">
        <f>+'D&amp;A forecast - Case 1'!Z200</f>
        <v>304944.12900382758</v>
      </c>
      <c r="P118" s="1487">
        <f>+'D&amp;A forecast - Case 1'!AA200</f>
        <v>320142.16936501075</v>
      </c>
      <c r="Q118" s="1487">
        <f>+'D&amp;A forecast - Case 1'!AB200</f>
        <v>334380.90972548467</v>
      </c>
      <c r="R118" s="1487">
        <f>+'D&amp;A forecast - Case 1'!AC200</f>
        <v>347454.30910969275</v>
      </c>
      <c r="S118" s="1487">
        <f>+'D&amp;A forecast - Case 1'!AD200</f>
        <v>367396.15009855747</v>
      </c>
      <c r="T118" s="1487">
        <f>+'D&amp;A forecast - Case 1'!AE200</f>
        <v>396463.02057012776</v>
      </c>
      <c r="U118" s="1487">
        <f>+'D&amp;A forecast - Case 1'!AF200</f>
        <v>435154.35437241674</v>
      </c>
      <c r="V118" s="1487">
        <f>+'D&amp;A forecast - Case 1'!AG200</f>
        <v>482681.60353778175</v>
      </c>
    </row>
    <row r="119" spans="1:22">
      <c r="A119" s="1428" t="s">
        <v>183</v>
      </c>
      <c r="B119" s="1433"/>
      <c r="C119" s="1433">
        <f>+SUM(C115:C118)</f>
        <v>81767</v>
      </c>
      <c r="D119" s="1433">
        <f t="shared" ref="D119:K119" si="215">+SUM(D115:D118)</f>
        <v>87324</v>
      </c>
      <c r="E119" s="1433">
        <f t="shared" si="215"/>
        <v>108355</v>
      </c>
      <c r="F119" s="1433">
        <f t="shared" si="215"/>
        <v>116431</v>
      </c>
      <c r="G119" s="1433">
        <f t="shared" si="215"/>
        <v>143389</v>
      </c>
      <c r="H119" s="1433">
        <f t="shared" si="215"/>
        <v>188265</v>
      </c>
      <c r="I119" s="1433">
        <f t="shared" si="215"/>
        <v>217840</v>
      </c>
      <c r="J119" s="1433">
        <f t="shared" si="215"/>
        <v>337829</v>
      </c>
      <c r="K119" s="1433">
        <f t="shared" si="215"/>
        <v>401526.07647390699</v>
      </c>
      <c r="L119" s="1433">
        <f t="shared" ref="L119" si="216">+SUM(L115:L118)</f>
        <v>444904.42266020499</v>
      </c>
      <c r="M119" s="1433">
        <f t="shared" ref="M119" si="217">+SUM(M115:M118)</f>
        <v>484129.13654182659</v>
      </c>
      <c r="N119" s="1433">
        <f t="shared" ref="N119" si="218">+SUM(N115:N118)</f>
        <v>520305.81862062227</v>
      </c>
      <c r="O119" s="1433">
        <f t="shared" ref="O119" si="219">+SUM(O115:O118)</f>
        <v>551677.28337295481</v>
      </c>
      <c r="P119" s="1433">
        <f t="shared" ref="P119" si="220">+SUM(P115:P118)</f>
        <v>580083.45380212448</v>
      </c>
      <c r="Q119" s="1433">
        <f t="shared" ref="Q119" si="221">+SUM(Q115:Q118)</f>
        <v>609437.77913942328</v>
      </c>
      <c r="R119" s="1433">
        <f t="shared" ref="R119" si="222">+SUM(R115:R118)</f>
        <v>639782.18754744332</v>
      </c>
      <c r="S119" s="1433">
        <f t="shared" ref="S119" si="223">+SUM(S115:S118)</f>
        <v>679430.66673321556</v>
      </c>
      <c r="T119" s="1433">
        <f t="shared" ref="T119" si="224">+SUM(T115:T118)</f>
        <v>730956.43636729138</v>
      </c>
      <c r="U119" s="1433">
        <f t="shared" ref="U119" si="225">+SUM(U115:U118)</f>
        <v>795216.72422321164</v>
      </c>
      <c r="V119" s="1433">
        <f t="shared" ref="V119" si="226">+SUM(V115:V118)</f>
        <v>871827.28946917993</v>
      </c>
    </row>
    <row r="120" spans="1:22" s="1363" customFormat="1" ht="14.45">
      <c r="A120" s="1419" t="s">
        <v>184</v>
      </c>
      <c r="B120" s="1382"/>
      <c r="C120" s="1382">
        <f t="shared" ref="C120:J120" si="227">+C115/C8</f>
        <v>0.23724513570326494</v>
      </c>
      <c r="D120" s="1382">
        <f t="shared" si="227"/>
        <v>0.20098767669445453</v>
      </c>
      <c r="E120" s="1382">
        <f t="shared" si="227"/>
        <v>0.23721621385377017</v>
      </c>
      <c r="F120" s="1382">
        <f t="shared" si="227"/>
        <v>0.20227948117330349</v>
      </c>
      <c r="G120" s="1382">
        <f t="shared" si="227"/>
        <v>0.20205487601732425</v>
      </c>
      <c r="H120" s="1382">
        <f t="shared" si="227"/>
        <v>0.23373682352347808</v>
      </c>
      <c r="I120" s="1382">
        <f t="shared" si="227"/>
        <v>0.2562961564778331</v>
      </c>
      <c r="J120" s="1382">
        <f t="shared" si="227"/>
        <v>0.24905557232724929</v>
      </c>
      <c r="K120" s="1385">
        <f>+J120</f>
        <v>0.24905557232724929</v>
      </c>
      <c r="L120" s="1385">
        <f t="shared" ref="L120:V120" si="228">+K120</f>
        <v>0.24905557232724929</v>
      </c>
      <c r="M120" s="1385">
        <f t="shared" si="228"/>
        <v>0.24905557232724929</v>
      </c>
      <c r="N120" s="1385">
        <f t="shared" si="228"/>
        <v>0.24905557232724929</v>
      </c>
      <c r="O120" s="1385">
        <f t="shared" si="228"/>
        <v>0.24905557232724929</v>
      </c>
      <c r="P120" s="1385">
        <f t="shared" si="228"/>
        <v>0.24905557232724929</v>
      </c>
      <c r="Q120" s="1385">
        <f t="shared" si="228"/>
        <v>0.24905557232724929</v>
      </c>
      <c r="R120" s="1385">
        <f t="shared" si="228"/>
        <v>0.24905557232724929</v>
      </c>
      <c r="S120" s="1385">
        <f t="shared" si="228"/>
        <v>0.24905557232724929</v>
      </c>
      <c r="T120" s="1385">
        <f t="shared" si="228"/>
        <v>0.24905557232724929</v>
      </c>
      <c r="U120" s="1385">
        <f t="shared" si="228"/>
        <v>0.24905557232724929</v>
      </c>
      <c r="V120" s="1385">
        <f t="shared" si="228"/>
        <v>0.24905557232724929</v>
      </c>
    </row>
    <row r="121" spans="1:22">
      <c r="A121" s="1412"/>
    </row>
    <row r="122" spans="1:22">
      <c r="A122" s="1412" t="s">
        <v>170</v>
      </c>
      <c r="B122" s="1435"/>
      <c r="C122" s="1435">
        <f t="shared" ref="C122:J122" si="229">+C119+C108</f>
        <v>55737</v>
      </c>
      <c r="D122" s="1435">
        <f t="shared" si="229"/>
        <v>70849</v>
      </c>
      <c r="E122" s="1435">
        <f t="shared" si="229"/>
        <v>91849</v>
      </c>
      <c r="F122" s="1435">
        <f t="shared" si="229"/>
        <v>95388</v>
      </c>
      <c r="G122" s="1435">
        <f t="shared" si="229"/>
        <v>119050</v>
      </c>
      <c r="H122" s="1435">
        <f t="shared" si="229"/>
        <v>164926</v>
      </c>
      <c r="I122" s="1435">
        <f t="shared" si="229"/>
        <v>196085</v>
      </c>
      <c r="J122" s="1435">
        <f t="shared" si="229"/>
        <v>310693</v>
      </c>
      <c r="K122" s="1435">
        <f t="shared" ref="K122:V122" si="230">+K119+K108</f>
        <v>365652.95572439156</v>
      </c>
      <c r="L122" s="1435">
        <f t="shared" si="230"/>
        <v>404367.79621325259</v>
      </c>
      <c r="M122" s="1435">
        <f t="shared" si="230"/>
        <v>438322.74865677033</v>
      </c>
      <c r="N122" s="1435">
        <f t="shared" si="230"/>
        <v>468544.60031050874</v>
      </c>
      <c r="O122" s="1435">
        <f t="shared" si="230"/>
        <v>493187.10668252653</v>
      </c>
      <c r="P122" s="1435">
        <f t="shared" si="230"/>
        <v>513989.55414194049</v>
      </c>
      <c r="Q122" s="1435">
        <f t="shared" si="230"/>
        <v>534751.67252341541</v>
      </c>
      <c r="R122" s="1435">
        <f t="shared" si="230"/>
        <v>555386.88707135443</v>
      </c>
      <c r="S122" s="1435">
        <f t="shared" si="230"/>
        <v>584063.97719523509</v>
      </c>
      <c r="T122" s="1435">
        <f t="shared" si="230"/>
        <v>623192.07718937343</v>
      </c>
      <c r="U122" s="1435">
        <f t="shared" si="230"/>
        <v>673442.9983521644</v>
      </c>
      <c r="V122" s="1435">
        <f t="shared" si="230"/>
        <v>734222.9792348966</v>
      </c>
    </row>
    <row r="123" spans="1:22" s="1386" customFormat="1">
      <c r="A123" s="1481" t="s">
        <v>185</v>
      </c>
      <c r="C123" s="1488">
        <f>+'Historical Financials'!BH1266</f>
        <v>33088.5</v>
      </c>
      <c r="D123" s="1488">
        <f>+'Historical Financials'!BI1266</f>
        <v>63293</v>
      </c>
      <c r="E123" s="1488">
        <f t="shared" ref="E123:I123" si="231">AVERAGE(D122:E122)</f>
        <v>81349</v>
      </c>
      <c r="F123" s="1488">
        <f t="shared" si="231"/>
        <v>93618.5</v>
      </c>
      <c r="G123" s="1488">
        <f t="shared" si="231"/>
        <v>107219</v>
      </c>
      <c r="H123" s="1488">
        <f t="shared" si="231"/>
        <v>141988</v>
      </c>
      <c r="I123" s="1488">
        <f t="shared" si="231"/>
        <v>180505.5</v>
      </c>
      <c r="J123" s="1488">
        <f>AVERAGE(I122:J122)</f>
        <v>253389</v>
      </c>
      <c r="K123" s="1488">
        <f t="shared" ref="K123:V123" si="232">AVERAGE(J122:K122)</f>
        <v>338172.97786219581</v>
      </c>
      <c r="L123" s="1488">
        <f t="shared" si="232"/>
        <v>385010.37596882205</v>
      </c>
      <c r="M123" s="1488">
        <f t="shared" si="232"/>
        <v>421345.27243501146</v>
      </c>
      <c r="N123" s="1488">
        <f t="shared" si="232"/>
        <v>453433.67448363954</v>
      </c>
      <c r="O123" s="1488">
        <f t="shared" si="232"/>
        <v>480865.85349651764</v>
      </c>
      <c r="P123" s="1488">
        <f t="shared" si="232"/>
        <v>503588.33041223348</v>
      </c>
      <c r="Q123" s="1488">
        <f t="shared" si="232"/>
        <v>524370.61333267798</v>
      </c>
      <c r="R123" s="1488">
        <f t="shared" si="232"/>
        <v>545069.27979738498</v>
      </c>
      <c r="S123" s="1488">
        <f t="shared" si="232"/>
        <v>569725.43213329476</v>
      </c>
      <c r="T123" s="1488">
        <f t="shared" si="232"/>
        <v>603628.02719230426</v>
      </c>
      <c r="U123" s="1488">
        <f t="shared" si="232"/>
        <v>648317.53777076886</v>
      </c>
      <c r="V123" s="1488">
        <f t="shared" si="232"/>
        <v>703832.9887935305</v>
      </c>
    </row>
    <row r="124" spans="1:22">
      <c r="A124" s="1428"/>
      <c r="C124" s="1435"/>
      <c r="D124" s="1435"/>
      <c r="E124" s="1435"/>
      <c r="F124" s="1435"/>
      <c r="G124" s="1435"/>
      <c r="H124" s="1435"/>
      <c r="I124" s="1435"/>
      <c r="J124" s="1435"/>
      <c r="K124" s="1435"/>
      <c r="L124" s="1435"/>
      <c r="M124" s="1435"/>
      <c r="N124" s="1435"/>
      <c r="O124" s="1435"/>
      <c r="P124" s="1435"/>
      <c r="Q124" s="1435"/>
      <c r="R124" s="1435"/>
      <c r="S124" s="1435"/>
      <c r="T124" s="1435"/>
      <c r="U124" s="1435"/>
      <c r="V124" s="1435"/>
    </row>
    <row r="125" spans="1:22">
      <c r="A125" s="1412" t="s">
        <v>186</v>
      </c>
      <c r="C125" s="1435">
        <f t="shared" ref="C125:V125" si="233">+C13</f>
        <v>29331</v>
      </c>
      <c r="D125" s="1435">
        <f t="shared" si="233"/>
        <v>35058</v>
      </c>
      <c r="E125" s="1435">
        <f t="shared" si="233"/>
        <v>42959</v>
      </c>
      <c r="F125" s="1435">
        <f t="shared" si="233"/>
        <v>52959</v>
      </c>
      <c r="G125" s="1435">
        <f t="shared" si="233"/>
        <v>69916</v>
      </c>
      <c r="H125" s="1435">
        <f t="shared" si="233"/>
        <v>83383</v>
      </c>
      <c r="I125" s="1435">
        <f t="shared" si="233"/>
        <v>89694</v>
      </c>
      <c r="J125" s="1435">
        <f t="shared" si="233"/>
        <v>112443</v>
      </c>
      <c r="K125" s="1435">
        <f t="shared" si="233"/>
        <v>129601.02612378589</v>
      </c>
      <c r="L125" s="1435">
        <f t="shared" si="233"/>
        <v>150558.01508258941</v>
      </c>
      <c r="M125" s="1435">
        <f t="shared" si="233"/>
        <v>174239.41260603737</v>
      </c>
      <c r="N125" s="1435">
        <f t="shared" si="233"/>
        <v>200999.39180753357</v>
      </c>
      <c r="O125" s="1435">
        <f t="shared" si="233"/>
        <v>231238.16830522427</v>
      </c>
      <c r="P125" s="1435">
        <f t="shared" si="233"/>
        <v>265407.98574761476</v>
      </c>
      <c r="Q125" s="1435">
        <f t="shared" si="233"/>
        <v>304019.87945751601</v>
      </c>
      <c r="R125" s="1435">
        <f t="shared" si="233"/>
        <v>347651.31934970443</v>
      </c>
      <c r="S125" s="1435">
        <f t="shared" si="233"/>
        <v>396954.84642787732</v>
      </c>
      <c r="T125" s="1435">
        <f t="shared" si="233"/>
        <v>452667.83202621265</v>
      </c>
      <c r="U125" s="1435">
        <f t="shared" si="233"/>
        <v>515623.50575233158</v>
      </c>
      <c r="V125" s="1435">
        <f t="shared" si="233"/>
        <v>586763.41706284601</v>
      </c>
    </row>
    <row r="126" spans="1:22" s="1491" customFormat="1">
      <c r="A126" s="1489" t="s">
        <v>169</v>
      </c>
      <c r="B126" s="1490"/>
      <c r="C126" s="1490">
        <f>+C125/C123</f>
        <v>0.88644090847273227</v>
      </c>
      <c r="D126" s="1490">
        <f t="shared" ref="D126:J126" si="234">+D125/D123</f>
        <v>0.5539001153366091</v>
      </c>
      <c r="E126" s="1490">
        <f t="shared" si="234"/>
        <v>0.52808270538052093</v>
      </c>
      <c r="F126" s="1490">
        <f t="shared" si="234"/>
        <v>0.56568947376853929</v>
      </c>
      <c r="G126" s="1490">
        <f t="shared" si="234"/>
        <v>0.6520859176078867</v>
      </c>
      <c r="H126" s="1490">
        <f t="shared" si="234"/>
        <v>0.58725385243823425</v>
      </c>
      <c r="I126" s="1490">
        <f t="shared" si="234"/>
        <v>0.49690452645487254</v>
      </c>
      <c r="J126" s="1490">
        <f t="shared" si="234"/>
        <v>0.44375643773013035</v>
      </c>
      <c r="K126" s="1490">
        <f t="shared" ref="K126" si="235">+K125/K123</f>
        <v>0.38323885883217379</v>
      </c>
      <c r="L126" s="1490">
        <f t="shared" ref="L126" si="236">+L125/L123</f>
        <v>0.39104924043600719</v>
      </c>
      <c r="M126" s="1490">
        <f t="shared" ref="M126" si="237">+M125/M123</f>
        <v>0.4135311916497465</v>
      </c>
      <c r="N126" s="1490">
        <f t="shared" ref="N126" si="238">+N125/N123</f>
        <v>0.44328289476168115</v>
      </c>
      <c r="O126" s="1490">
        <f t="shared" ref="O126" si="239">+O125/O123</f>
        <v>0.48087874533785929</v>
      </c>
      <c r="P126" s="1490">
        <f t="shared" ref="P126" si="240">+P125/P123</f>
        <v>0.52703362989041835</v>
      </c>
      <c r="Q126" s="1490">
        <f t="shared" ref="Q126" si="241">+Q125/Q123</f>
        <v>0.57978054400358969</v>
      </c>
      <c r="R126" s="1490">
        <f t="shared" ref="R126" si="242">+R125/R123</f>
        <v>0.63781125122100912</v>
      </c>
      <c r="S126" s="1490">
        <f t="shared" ref="S126" si="243">+S125/S123</f>
        <v>0.69674763322660394</v>
      </c>
      <c r="T126" s="1490">
        <f t="shared" ref="T126" si="244">+T125/T123</f>
        <v>0.74991188552283938</v>
      </c>
      <c r="U126" s="1490">
        <f t="shared" ref="U126" si="245">+U125/U123</f>
        <v>0.79532555532169635</v>
      </c>
      <c r="V126" s="1490">
        <f t="shared" ref="V126" si="246">+V125/V123</f>
        <v>0.83366853558347931</v>
      </c>
    </row>
    <row r="127" spans="1:22">
      <c r="A127" s="1484"/>
    </row>
    <row r="128" spans="1:22">
      <c r="C128" s="1492"/>
      <c r="D128" s="1492"/>
      <c r="E128" s="1492"/>
      <c r="H128" s="1492"/>
      <c r="I128" s="1492"/>
      <c r="J128" s="1492"/>
      <c r="K128" s="1492">
        <f>K96</f>
        <v>0.11156068444252015</v>
      </c>
    </row>
    <row r="129" spans="1:29">
      <c r="D129" s="1435"/>
      <c r="E129" s="1435"/>
      <c r="F129" s="1435"/>
      <c r="G129" s="1435"/>
      <c r="H129" s="1435"/>
      <c r="I129" s="1435"/>
      <c r="J129" s="1435"/>
    </row>
    <row r="130" spans="1:29">
      <c r="D130" s="1435"/>
      <c r="E130" s="1435"/>
      <c r="F130" s="1435"/>
      <c r="G130" s="1435"/>
      <c r="H130" s="1435"/>
      <c r="I130" s="1435"/>
      <c r="J130" s="1435"/>
    </row>
    <row r="131" spans="1:29">
      <c r="A131" s="1354" t="s">
        <v>187</v>
      </c>
      <c r="C131" s="1493">
        <f>+$E$100/C87</f>
        <v>2.438092369477912</v>
      </c>
      <c r="D131" s="1493">
        <f t="shared" ref="D131:N131" si="247">+$E$100/D88</f>
        <v>3.5155662650602411</v>
      </c>
      <c r="E131" s="1493">
        <f t="shared" si="247"/>
        <v>4.6202838018741641</v>
      </c>
      <c r="F131" s="1493">
        <f t="shared" si="247"/>
        <v>5.6088942436412319</v>
      </c>
      <c r="G131" s="1493">
        <f t="shared" si="247"/>
        <v>7.5194886211512717</v>
      </c>
      <c r="H131" s="1493">
        <f t="shared" si="247"/>
        <v>8.8534993306559571</v>
      </c>
      <c r="I131" s="1493">
        <f t="shared" si="247"/>
        <v>9.5690468540829983</v>
      </c>
      <c r="J131" s="1493">
        <f t="shared" si="247"/>
        <v>11.767833165997322</v>
      </c>
      <c r="K131" s="1493">
        <f t="shared" si="247"/>
        <v>13.740496738660088</v>
      </c>
      <c r="L131" s="1493">
        <f t="shared" si="247"/>
        <v>16.559348215162611</v>
      </c>
      <c r="M131" s="1493">
        <f t="shared" si="247"/>
        <v>19.850376871272768</v>
      </c>
      <c r="N131" s="1493">
        <f t="shared" si="247"/>
        <v>23.961323407410831</v>
      </c>
    </row>
    <row r="132" spans="1:29">
      <c r="A132" s="1354" t="s">
        <v>188</v>
      </c>
      <c r="C132" s="1493"/>
      <c r="D132" s="1493">
        <f t="shared" ref="D132:F132" si="248">AVERAGE(D131:E131)</f>
        <v>4.067925033467203</v>
      </c>
      <c r="E132" s="1493">
        <f t="shared" si="248"/>
        <v>5.1145890227576984</v>
      </c>
      <c r="F132" s="1493">
        <f t="shared" si="248"/>
        <v>6.5641914323962514</v>
      </c>
      <c r="G132" s="1493">
        <f>AVERAGE(G131:H131)</f>
        <v>8.1864939759036144</v>
      </c>
      <c r="H132" s="1493">
        <f>AVERAGE(H131:I131)</f>
        <v>9.2112730923694777</v>
      </c>
      <c r="I132" s="1493">
        <f>AVERAGE(I131:J131)</f>
        <v>10.668440010040161</v>
      </c>
      <c r="J132" s="1493">
        <f t="shared" ref="J132:M132" si="249">AVERAGE(J131:K131)</f>
        <v>12.754164952328704</v>
      </c>
      <c r="K132" s="1493">
        <f t="shared" si="249"/>
        <v>15.14992247691135</v>
      </c>
      <c r="L132" s="1493">
        <f t="shared" si="249"/>
        <v>18.20486254321769</v>
      </c>
      <c r="M132" s="1493">
        <f t="shared" si="249"/>
        <v>21.905850139341801</v>
      </c>
    </row>
    <row r="133" spans="1:29">
      <c r="C133" s="1494"/>
    </row>
    <row r="134" spans="1:29">
      <c r="F134" s="1435"/>
      <c r="I134" s="1495">
        <f>+AVERAGE(I88:J88)</f>
        <v>39.933126566065845</v>
      </c>
      <c r="J134" s="1495">
        <f>+AVERAGE(J88:K88)</f>
        <v>33.246862889801548</v>
      </c>
      <c r="K134" s="1495">
        <f>+AVERAGE(K88:L88)</f>
        <v>28.064823636672973</v>
      </c>
      <c r="L134" s="1495">
        <f>+AVERAGE(L88:M88)</f>
        <v>23.343877086183909</v>
      </c>
    </row>
    <row r="135" spans="1:29">
      <c r="Z135" s="1435"/>
      <c r="AA135" s="1435"/>
      <c r="AB135" s="1435"/>
      <c r="AC135" s="1435"/>
    </row>
    <row r="136" spans="1:29">
      <c r="H136" s="1435"/>
      <c r="I136" s="1435"/>
      <c r="K136" s="1435"/>
      <c r="L136" s="1435" t="s">
        <v>189</v>
      </c>
      <c r="M136" s="1435">
        <f>SUM('Historical Financials'!AK125:AN125)</f>
        <v>57645</v>
      </c>
    </row>
    <row r="137" spans="1:29">
      <c r="G137" s="1435"/>
      <c r="Z137" s="1435"/>
      <c r="AA137" s="1435"/>
      <c r="AB137" s="1435"/>
      <c r="AC137" s="1435"/>
    </row>
    <row r="139" spans="1:29" ht="17.100000000000001">
      <c r="K139" s="1364" t="str">
        <f>+D4</f>
        <v>FYE June 30th</v>
      </c>
      <c r="L139" s="1364"/>
      <c r="M139" s="1365"/>
      <c r="N139" s="1365"/>
      <c r="O139" s="1365"/>
      <c r="P139" s="1365"/>
    </row>
    <row r="140" spans="1:29" ht="17.100000000000001">
      <c r="J140" s="1363" t="s">
        <v>190</v>
      </c>
      <c r="K140" s="1366" t="s">
        <v>191</v>
      </c>
      <c r="L140" s="1366" t="s">
        <v>192</v>
      </c>
      <c r="M140" s="1366" t="s">
        <v>72</v>
      </c>
      <c r="N140" s="1366" t="s">
        <v>73</v>
      </c>
      <c r="O140" s="1366" t="s">
        <v>74</v>
      </c>
      <c r="P140" s="1366" t="s">
        <v>75</v>
      </c>
    </row>
    <row r="141" spans="1:29">
      <c r="J141" s="1387" t="s">
        <v>193</v>
      </c>
    </row>
    <row r="142" spans="1:29">
      <c r="J142" s="1354" t="s">
        <v>194</v>
      </c>
      <c r="K142" s="1406">
        <f t="shared" ref="K142:P142" si="250">+I8</f>
        <v>211915</v>
      </c>
      <c r="L142" s="1406">
        <f t="shared" si="250"/>
        <v>245122</v>
      </c>
      <c r="M142" s="1406">
        <f t="shared" si="250"/>
        <v>277944.15064726153</v>
      </c>
      <c r="N142" s="1406">
        <f t="shared" si="250"/>
        <v>314076.8902314055</v>
      </c>
      <c r="O142" s="1406">
        <f t="shared" si="250"/>
        <v>354906.88596148818</v>
      </c>
      <c r="P142" s="1406">
        <f t="shared" si="250"/>
        <v>401044.78113648162</v>
      </c>
    </row>
    <row r="143" spans="1:29">
      <c r="J143" s="1354" t="s">
        <v>195</v>
      </c>
      <c r="K143" s="1406">
        <f>+K142</f>
        <v>211915</v>
      </c>
      <c r="L143" s="1406">
        <v>244798.6</v>
      </c>
      <c r="M143" s="1406">
        <v>279863</v>
      </c>
      <c r="N143" s="1406">
        <f>+M143*(1+N147)</f>
        <v>319323.68300000002</v>
      </c>
      <c r="O143" s="1406">
        <f t="shared" ref="O143:P143" si="251">+N143*(1+O147)</f>
        <v>362049.19178539998</v>
      </c>
      <c r="P143" s="1406">
        <f t="shared" si="251"/>
        <v>406581.24237500416</v>
      </c>
    </row>
    <row r="144" spans="1:29">
      <c r="P144" s="1493"/>
    </row>
    <row r="145" spans="10:16" ht="14.45">
      <c r="J145" s="1422" t="s">
        <v>132</v>
      </c>
    </row>
    <row r="146" spans="10:16" ht="14.45">
      <c r="J146" s="1381" t="str">
        <f>+J142</f>
        <v>CRC</v>
      </c>
      <c r="K146" s="1382"/>
      <c r="L146" s="1382">
        <f>+L142/K142-1</f>
        <v>0.1566996201307127</v>
      </c>
      <c r="M146" s="1382">
        <f t="shared" ref="M146:P146" si="252">+M142/L142-1</f>
        <v>0.13390128445125904</v>
      </c>
      <c r="N146" s="1382">
        <f t="shared" si="252"/>
        <v>0.12999999999999989</v>
      </c>
      <c r="O146" s="1382">
        <f t="shared" si="252"/>
        <v>0.12999999999999989</v>
      </c>
      <c r="P146" s="1382">
        <f t="shared" si="252"/>
        <v>0.12999999999999989</v>
      </c>
    </row>
    <row r="147" spans="10:16" ht="14.45">
      <c r="J147" s="1381" t="str">
        <f>+J143</f>
        <v>VA Cons.</v>
      </c>
      <c r="K147" s="1382"/>
      <c r="L147" s="1382">
        <f t="shared" ref="L147:M147" si="253">+L143/K143-1</f>
        <v>0.15517353655946953</v>
      </c>
      <c r="M147" s="1382">
        <f t="shared" si="253"/>
        <v>0.1432377472746984</v>
      </c>
      <c r="N147" s="1382">
        <v>0.14099999999999999</v>
      </c>
      <c r="O147" s="1382">
        <v>0.1338</v>
      </c>
      <c r="P147" s="1382">
        <v>0.123</v>
      </c>
    </row>
    <row r="148" spans="10:16">
      <c r="P148" s="1493"/>
    </row>
    <row r="149" spans="10:16">
      <c r="J149" s="1387" t="s">
        <v>133</v>
      </c>
    </row>
    <row r="150" spans="10:16">
      <c r="J150" s="1354" t="s">
        <v>194</v>
      </c>
      <c r="K150" s="1406">
        <f t="shared" ref="K150:P150" si="254">+I49</f>
        <v>31900</v>
      </c>
      <c r="L150" s="1406">
        <f t="shared" si="254"/>
        <v>55700</v>
      </c>
      <c r="M150" s="1406">
        <f t="shared" si="254"/>
        <v>83000</v>
      </c>
      <c r="N150" s="1406">
        <f t="shared" si="254"/>
        <v>69096.915850909209</v>
      </c>
      <c r="O150" s="1406">
        <f t="shared" si="254"/>
        <v>70981.377192297645</v>
      </c>
      <c r="P150" s="1406">
        <f t="shared" si="254"/>
        <v>72188.060604566694</v>
      </c>
    </row>
    <row r="151" spans="10:16">
      <c r="J151" s="1354" t="s">
        <v>195</v>
      </c>
      <c r="K151" s="1406">
        <f>+K150</f>
        <v>31900</v>
      </c>
      <c r="L151" s="1406">
        <f>44553.4+9176</f>
        <v>53729.4</v>
      </c>
      <c r="M151" s="1406">
        <f>54362+10723</f>
        <v>65085</v>
      </c>
      <c r="N151" s="1406">
        <f>59652+11355</f>
        <v>71007</v>
      </c>
      <c r="O151" s="1406">
        <f>58250+12791</f>
        <v>71041</v>
      </c>
      <c r="P151" s="1406">
        <f>62875+14304</f>
        <v>77179</v>
      </c>
    </row>
    <row r="153" spans="10:16" ht="14.45">
      <c r="J153" s="1422" t="s">
        <v>118</v>
      </c>
    </row>
    <row r="154" spans="10:16" ht="14.45">
      <c r="J154" s="1381" t="str">
        <f>+J150</f>
        <v>CRC</v>
      </c>
      <c r="K154" s="1382">
        <f t="shared" ref="K154" si="255">+K150/K$142</f>
        <v>0.15053205294575656</v>
      </c>
      <c r="L154" s="1382">
        <f>+L150/L$142</f>
        <v>0.22723378562511728</v>
      </c>
      <c r="M154" s="1382">
        <f>+M150/M$142</f>
        <v>0.2986211431566882</v>
      </c>
      <c r="N154" s="1382">
        <f>+N150/N$142</f>
        <v>0.22</v>
      </c>
      <c r="O154" s="1382">
        <f>+O150/O$142</f>
        <v>0.2</v>
      </c>
      <c r="P154" s="1382">
        <f>+P150/P$142</f>
        <v>0.18000000000000002</v>
      </c>
    </row>
    <row r="155" spans="10:16" ht="14.45">
      <c r="J155" s="1381" t="str">
        <f>+J151</f>
        <v>VA Cons.</v>
      </c>
      <c r="K155" s="1382">
        <f t="shared" ref="K155" si="256">+K151/K$143</f>
        <v>0.15053205294575656</v>
      </c>
      <c r="L155" s="1382">
        <f>+L151/L$143</f>
        <v>0.21948409835677166</v>
      </c>
      <c r="M155" s="1382">
        <f>+M151/M$143</f>
        <v>0.2325602169632999</v>
      </c>
      <c r="N155" s="1382">
        <f>+N151/N$143</f>
        <v>0.22236684524273131</v>
      </c>
      <c r="O155" s="1382">
        <f>+O151/O$143</f>
        <v>0.19621919234143365</v>
      </c>
      <c r="P155" s="1382">
        <f>+P151/P$143</f>
        <v>0.18982430067153735</v>
      </c>
    </row>
    <row r="157" spans="10:16">
      <c r="J157" s="1387" t="s">
        <v>187</v>
      </c>
    </row>
    <row r="158" spans="10:16">
      <c r="J158" s="1354" t="s">
        <v>194</v>
      </c>
      <c r="K158" s="1406">
        <f t="shared" ref="K158:P158" si="257">+I28</f>
        <v>13861</v>
      </c>
      <c r="L158" s="1406">
        <f t="shared" si="257"/>
        <v>20427</v>
      </c>
      <c r="M158" s="1406">
        <f t="shared" si="257"/>
        <v>29970.842105263157</v>
      </c>
      <c r="N158" s="1406">
        <f t="shared" si="257"/>
        <v>34074.15602074474</v>
      </c>
      <c r="O158" s="1406">
        <f t="shared" si="257"/>
        <v>39084.924797674059</v>
      </c>
      <c r="P158" s="1406">
        <f t="shared" si="257"/>
        <v>43766.937904157821</v>
      </c>
    </row>
    <row r="159" spans="10:16">
      <c r="J159" s="1354" t="s">
        <v>195</v>
      </c>
      <c r="K159" s="1406">
        <f>+K158</f>
        <v>13861</v>
      </c>
      <c r="L159" s="1406">
        <v>21245</v>
      </c>
      <c r="M159" s="1406">
        <v>25745</v>
      </c>
      <c r="N159" s="1406">
        <v>29434</v>
      </c>
      <c r="O159" s="1406">
        <v>34816</v>
      </c>
      <c r="P159" s="1406">
        <v>38882</v>
      </c>
    </row>
    <row r="161" spans="10:16" ht="14.45">
      <c r="J161" s="1422" t="s">
        <v>118</v>
      </c>
    </row>
    <row r="162" spans="10:16" ht="14.45">
      <c r="J162" s="1381" t="str">
        <f>+J158</f>
        <v>CRC</v>
      </c>
      <c r="K162" s="1382">
        <f t="shared" ref="K162" si="258">+K158/K$142</f>
        <v>6.5408300497841118E-2</v>
      </c>
      <c r="L162" s="1382">
        <f>+L158/L$142</f>
        <v>8.333401326686303E-2</v>
      </c>
      <c r="M162" s="1382">
        <f>+M158/M$142</f>
        <v>0.10783044735954564</v>
      </c>
      <c r="N162" s="1382">
        <f>+N158/N$142</f>
        <v>0.10848985417436982</v>
      </c>
      <c r="O162" s="1382">
        <f>+O158/O$142</f>
        <v>0.11012726532985685</v>
      </c>
      <c r="P162" s="1382">
        <f>+P158/P$142</f>
        <v>0.10913229634887897</v>
      </c>
    </row>
    <row r="163" spans="10:16" ht="14.45">
      <c r="J163" s="1381" t="str">
        <f>+J159</f>
        <v>VA Cons.</v>
      </c>
      <c r="K163" s="1382">
        <f t="shared" ref="K163" si="259">+K159/K$143</f>
        <v>6.5408300497841118E-2</v>
      </c>
      <c r="L163" s="1382">
        <f>+L159/L$143</f>
        <v>8.6785627041984711E-2</v>
      </c>
      <c r="M163" s="1382">
        <f>+M159/M$143</f>
        <v>9.1991438668205514E-2</v>
      </c>
      <c r="N163" s="1382">
        <f>+N159/N$143</f>
        <v>9.2176063245518802E-2</v>
      </c>
      <c r="O163" s="1382">
        <f>+O159/O$143</f>
        <v>9.6163727995936907E-2</v>
      </c>
      <c r="P163" s="1382">
        <f>+P159/P$143</f>
        <v>9.5631563750640927E-2</v>
      </c>
    </row>
  </sheetData>
  <hyperlinks>
    <hyperlink ref="M143" r:id="rId1" tooltip="Revenue Final Est. - _x000a_Fiscal Year: 2025" display="javascript:click();" xr:uid="{10274E2D-4E89-4376-B1D6-1670873ACD32}"/>
    <hyperlink ref="M151" r:id="rId2" tooltip="Capital Expenditure Final Est. - _x000a_Fiscal Year: 2025" display="javascript:click();" xr:uid="{19260B5D-F711-456D-90BA-C1A92BE8424B}"/>
    <hyperlink ref="N151" r:id="rId3" tooltip="Capital Expenditure Final Est. - _x000a_Fiscal Year: 2026" display="javascript:click();" xr:uid="{84BA2DDB-ED7F-4901-BCB7-95D2F867EED1}"/>
    <hyperlink ref="O151" r:id="rId4" tooltip="Capital Expenditure Final Est. - _x000a_Fiscal Year: 2027" display="javascript:click();" xr:uid="{B827705D-5697-4F42-BBF7-4E3397CD1DAF}"/>
    <hyperlink ref="P151" r:id="rId5" tooltip="Capital Expenditure Final Est. - _x000a_Fiscal Year: 2028" display="javascript:click();" xr:uid="{D45C0AB4-0391-41C8-9DDF-AB7218790079}"/>
    <hyperlink ref="M159" r:id="rId6" tooltip="Depreciation &amp; Amortization Final Est. - _x000a_Fiscal Year: 2025" display="javascript:click();" xr:uid="{52F1F09D-7711-4CB2-8CF8-F0CD2A7AEF11}"/>
    <hyperlink ref="N159" r:id="rId7" tooltip="Depreciation &amp; Amortization Final Est. - _x000a_Fiscal Year: 2026" display="javascript:click();" xr:uid="{C2002AB6-2DD5-4C8B-AEFF-79EC80F7A2DF}"/>
    <hyperlink ref="O159" r:id="rId8" tooltip="Depreciation &amp; Amortization Final Est. - _x000a_Fiscal Year: 2027" display="javascript:click();" xr:uid="{37A12C65-31D1-48AB-86B9-232205CE3F49}"/>
    <hyperlink ref="P159" r:id="rId9" tooltip="Depreciation &amp; Amortization Final Est. - _x000a_Fiscal Year: 2028" display="javascript:click();" xr:uid="{02502027-3B5B-47B3-8076-76B1B62F8D5F}"/>
    <hyperlink ref="L151" r:id="rId10" tooltip="Capital Expenditure Final Est. - _x000a_Fiscal Year: 2024" display="javascript:click();" xr:uid="{0AF48ED6-FE11-48FC-99CE-70CD07472684}"/>
    <hyperlink ref="N143:P143" r:id="rId11" tooltip="Capital Expenditure Final Est. - _x000a_Fiscal Year: 2025" display="javascript:click();" xr:uid="{3B345132-7D0B-4444-A7B0-CF25D4172C8D}"/>
  </hyperlinks>
  <pageMargins left="0.3" right="0.3" top="0.3" bottom="0.3" header="0.3" footer="0.3"/>
  <pageSetup scale="36" fitToHeight="0" orientation="landscape" r:id="rId12"/>
  <headerFooter>
    <oddFooter>Page &amp;P</oddFooter>
  </headerFooter>
  <legacyDrawing r:id="rId1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B2178-9FF0-47C8-8DDF-B3E3E813E8B1}">
  <sheetPr>
    <pageSetUpPr fitToPage="1"/>
  </sheetPr>
  <dimension ref="A1:AJ164"/>
  <sheetViews>
    <sheetView view="pageBreakPreview" zoomScale="55" zoomScaleNormal="40" zoomScaleSheetLayoutView="55" workbookViewId="0">
      <pane xSplit="1" ySplit="5" topLeftCell="B6" activePane="bottomRight" state="frozen"/>
      <selection pane="bottomRight" activeCell="B6" sqref="B6"/>
      <selection pane="bottomLeft" activeCell="B6" sqref="B6"/>
      <selection pane="topRight" activeCell="B6" sqref="B6"/>
    </sheetView>
  </sheetViews>
  <sheetFormatPr defaultColWidth="4.5" defaultRowHeight="14.1" outlineLevelRow="1" outlineLevelCol="1"/>
  <cols>
    <col min="1" max="1" width="43.33203125" style="1354" customWidth="1"/>
    <col min="2" max="2" width="4.1640625" style="1354" customWidth="1"/>
    <col min="3" max="3" width="14.83203125" style="1354" hidden="1" customWidth="1" outlineLevel="1"/>
    <col min="4" max="4" width="22.83203125" style="1354" customWidth="1" collapsed="1"/>
    <col min="5" max="22" width="22.83203125" style="1354" customWidth="1"/>
    <col min="23" max="24" width="10.6640625" style="1354" customWidth="1"/>
    <col min="25" max="25" width="30" style="1354" bestFit="1" customWidth="1"/>
    <col min="26" max="31" width="11.1640625" style="1354" customWidth="1"/>
    <col min="32" max="256" width="4.5" style="1354"/>
    <col min="257" max="257" width="11.83203125" style="1354" customWidth="1"/>
    <col min="258" max="258" width="2.1640625" style="1354" customWidth="1"/>
    <col min="259" max="274" width="10.6640625" style="1354" customWidth="1"/>
    <col min="275" max="276" width="14" style="1354" customWidth="1"/>
    <col min="277" max="277" width="54" style="1354" customWidth="1"/>
    <col min="278" max="280" width="10.6640625" style="1354" customWidth="1"/>
    <col min="281" max="287" width="11.1640625" style="1354" customWidth="1"/>
    <col min="288" max="512" width="4.5" style="1354"/>
    <col min="513" max="513" width="11.83203125" style="1354" customWidth="1"/>
    <col min="514" max="514" width="2.1640625" style="1354" customWidth="1"/>
    <col min="515" max="530" width="10.6640625" style="1354" customWidth="1"/>
    <col min="531" max="532" width="14" style="1354" customWidth="1"/>
    <col min="533" max="533" width="54" style="1354" customWidth="1"/>
    <col min="534" max="536" width="10.6640625" style="1354" customWidth="1"/>
    <col min="537" max="543" width="11.1640625" style="1354" customWidth="1"/>
    <col min="544" max="768" width="4.5" style="1354"/>
    <col min="769" max="769" width="11.83203125" style="1354" customWidth="1"/>
    <col min="770" max="770" width="2.1640625" style="1354" customWidth="1"/>
    <col min="771" max="786" width="10.6640625" style="1354" customWidth="1"/>
    <col min="787" max="788" width="14" style="1354" customWidth="1"/>
    <col min="789" max="789" width="54" style="1354" customWidth="1"/>
    <col min="790" max="792" width="10.6640625" style="1354" customWidth="1"/>
    <col min="793" max="799" width="11.1640625" style="1354" customWidth="1"/>
    <col min="800" max="1024" width="4.5" style="1354"/>
    <col min="1025" max="1025" width="11.83203125" style="1354" customWidth="1"/>
    <col min="1026" max="1026" width="2.1640625" style="1354" customWidth="1"/>
    <col min="1027" max="1042" width="10.6640625" style="1354" customWidth="1"/>
    <col min="1043" max="1044" width="14" style="1354" customWidth="1"/>
    <col min="1045" max="1045" width="54" style="1354" customWidth="1"/>
    <col min="1046" max="1048" width="10.6640625" style="1354" customWidth="1"/>
    <col min="1049" max="1055" width="11.1640625" style="1354" customWidth="1"/>
    <col min="1056" max="1280" width="4.5" style="1354"/>
    <col min="1281" max="1281" width="11.83203125" style="1354" customWidth="1"/>
    <col min="1282" max="1282" width="2.1640625" style="1354" customWidth="1"/>
    <col min="1283" max="1298" width="10.6640625" style="1354" customWidth="1"/>
    <col min="1299" max="1300" width="14" style="1354" customWidth="1"/>
    <col min="1301" max="1301" width="54" style="1354" customWidth="1"/>
    <col min="1302" max="1304" width="10.6640625" style="1354" customWidth="1"/>
    <col min="1305" max="1311" width="11.1640625" style="1354" customWidth="1"/>
    <col min="1312" max="1536" width="4.5" style="1354"/>
    <col min="1537" max="1537" width="11.83203125" style="1354" customWidth="1"/>
    <col min="1538" max="1538" width="2.1640625" style="1354" customWidth="1"/>
    <col min="1539" max="1554" width="10.6640625" style="1354" customWidth="1"/>
    <col min="1555" max="1556" width="14" style="1354" customWidth="1"/>
    <col min="1557" max="1557" width="54" style="1354" customWidth="1"/>
    <col min="1558" max="1560" width="10.6640625" style="1354" customWidth="1"/>
    <col min="1561" max="1567" width="11.1640625" style="1354" customWidth="1"/>
    <col min="1568" max="1792" width="4.5" style="1354"/>
    <col min="1793" max="1793" width="11.83203125" style="1354" customWidth="1"/>
    <col min="1794" max="1794" width="2.1640625" style="1354" customWidth="1"/>
    <col min="1795" max="1810" width="10.6640625" style="1354" customWidth="1"/>
    <col min="1811" max="1812" width="14" style="1354" customWidth="1"/>
    <col min="1813" max="1813" width="54" style="1354" customWidth="1"/>
    <col min="1814" max="1816" width="10.6640625" style="1354" customWidth="1"/>
    <col min="1817" max="1823" width="11.1640625" style="1354" customWidth="1"/>
    <col min="1824" max="2048" width="4.5" style="1354"/>
    <col min="2049" max="2049" width="11.83203125" style="1354" customWidth="1"/>
    <col min="2050" max="2050" width="2.1640625" style="1354" customWidth="1"/>
    <col min="2051" max="2066" width="10.6640625" style="1354" customWidth="1"/>
    <col min="2067" max="2068" width="14" style="1354" customWidth="1"/>
    <col min="2069" max="2069" width="54" style="1354" customWidth="1"/>
    <col min="2070" max="2072" width="10.6640625" style="1354" customWidth="1"/>
    <col min="2073" max="2079" width="11.1640625" style="1354" customWidth="1"/>
    <col min="2080" max="2304" width="4.5" style="1354"/>
    <col min="2305" max="2305" width="11.83203125" style="1354" customWidth="1"/>
    <col min="2306" max="2306" width="2.1640625" style="1354" customWidth="1"/>
    <col min="2307" max="2322" width="10.6640625" style="1354" customWidth="1"/>
    <col min="2323" max="2324" width="14" style="1354" customWidth="1"/>
    <col min="2325" max="2325" width="54" style="1354" customWidth="1"/>
    <col min="2326" max="2328" width="10.6640625" style="1354" customWidth="1"/>
    <col min="2329" max="2335" width="11.1640625" style="1354" customWidth="1"/>
    <col min="2336" max="2560" width="4.5" style="1354"/>
    <col min="2561" max="2561" width="11.83203125" style="1354" customWidth="1"/>
    <col min="2562" max="2562" width="2.1640625" style="1354" customWidth="1"/>
    <col min="2563" max="2578" width="10.6640625" style="1354" customWidth="1"/>
    <col min="2579" max="2580" width="14" style="1354" customWidth="1"/>
    <col min="2581" max="2581" width="54" style="1354" customWidth="1"/>
    <col min="2582" max="2584" width="10.6640625" style="1354" customWidth="1"/>
    <col min="2585" max="2591" width="11.1640625" style="1354" customWidth="1"/>
    <col min="2592" max="2816" width="4.5" style="1354"/>
    <col min="2817" max="2817" width="11.83203125" style="1354" customWidth="1"/>
    <col min="2818" max="2818" width="2.1640625" style="1354" customWidth="1"/>
    <col min="2819" max="2834" width="10.6640625" style="1354" customWidth="1"/>
    <col min="2835" max="2836" width="14" style="1354" customWidth="1"/>
    <col min="2837" max="2837" width="54" style="1354" customWidth="1"/>
    <col min="2838" max="2840" width="10.6640625" style="1354" customWidth="1"/>
    <col min="2841" max="2847" width="11.1640625" style="1354" customWidth="1"/>
    <col min="2848" max="3072" width="4.5" style="1354"/>
    <col min="3073" max="3073" width="11.83203125" style="1354" customWidth="1"/>
    <col min="3074" max="3074" width="2.1640625" style="1354" customWidth="1"/>
    <col min="3075" max="3090" width="10.6640625" style="1354" customWidth="1"/>
    <col min="3091" max="3092" width="14" style="1354" customWidth="1"/>
    <col min="3093" max="3093" width="54" style="1354" customWidth="1"/>
    <col min="3094" max="3096" width="10.6640625" style="1354" customWidth="1"/>
    <col min="3097" max="3103" width="11.1640625" style="1354" customWidth="1"/>
    <col min="3104" max="3328" width="4.5" style="1354"/>
    <col min="3329" max="3329" width="11.83203125" style="1354" customWidth="1"/>
    <col min="3330" max="3330" width="2.1640625" style="1354" customWidth="1"/>
    <col min="3331" max="3346" width="10.6640625" style="1354" customWidth="1"/>
    <col min="3347" max="3348" width="14" style="1354" customWidth="1"/>
    <col min="3349" max="3349" width="54" style="1354" customWidth="1"/>
    <col min="3350" max="3352" width="10.6640625" style="1354" customWidth="1"/>
    <col min="3353" max="3359" width="11.1640625" style="1354" customWidth="1"/>
    <col min="3360" max="3584" width="4.5" style="1354"/>
    <col min="3585" max="3585" width="11.83203125" style="1354" customWidth="1"/>
    <col min="3586" max="3586" width="2.1640625" style="1354" customWidth="1"/>
    <col min="3587" max="3602" width="10.6640625" style="1354" customWidth="1"/>
    <col min="3603" max="3604" width="14" style="1354" customWidth="1"/>
    <col min="3605" max="3605" width="54" style="1354" customWidth="1"/>
    <col min="3606" max="3608" width="10.6640625" style="1354" customWidth="1"/>
    <col min="3609" max="3615" width="11.1640625" style="1354" customWidth="1"/>
    <col min="3616" max="3840" width="4.5" style="1354"/>
    <col min="3841" max="3841" width="11.83203125" style="1354" customWidth="1"/>
    <col min="3842" max="3842" width="2.1640625" style="1354" customWidth="1"/>
    <col min="3843" max="3858" width="10.6640625" style="1354" customWidth="1"/>
    <col min="3859" max="3860" width="14" style="1354" customWidth="1"/>
    <col min="3861" max="3861" width="54" style="1354" customWidth="1"/>
    <col min="3862" max="3864" width="10.6640625" style="1354" customWidth="1"/>
    <col min="3865" max="3871" width="11.1640625" style="1354" customWidth="1"/>
    <col min="3872" max="4096" width="4.5" style="1354"/>
    <col min="4097" max="4097" width="11.83203125" style="1354" customWidth="1"/>
    <col min="4098" max="4098" width="2.1640625" style="1354" customWidth="1"/>
    <col min="4099" max="4114" width="10.6640625" style="1354" customWidth="1"/>
    <col min="4115" max="4116" width="14" style="1354" customWidth="1"/>
    <col min="4117" max="4117" width="54" style="1354" customWidth="1"/>
    <col min="4118" max="4120" width="10.6640625" style="1354" customWidth="1"/>
    <col min="4121" max="4127" width="11.1640625" style="1354" customWidth="1"/>
    <col min="4128" max="4352" width="4.5" style="1354"/>
    <col min="4353" max="4353" width="11.83203125" style="1354" customWidth="1"/>
    <col min="4354" max="4354" width="2.1640625" style="1354" customWidth="1"/>
    <col min="4355" max="4370" width="10.6640625" style="1354" customWidth="1"/>
    <col min="4371" max="4372" width="14" style="1354" customWidth="1"/>
    <col min="4373" max="4373" width="54" style="1354" customWidth="1"/>
    <col min="4374" max="4376" width="10.6640625" style="1354" customWidth="1"/>
    <col min="4377" max="4383" width="11.1640625" style="1354" customWidth="1"/>
    <col min="4384" max="4608" width="4.5" style="1354"/>
    <col min="4609" max="4609" width="11.83203125" style="1354" customWidth="1"/>
    <col min="4610" max="4610" width="2.1640625" style="1354" customWidth="1"/>
    <col min="4611" max="4626" width="10.6640625" style="1354" customWidth="1"/>
    <col min="4627" max="4628" width="14" style="1354" customWidth="1"/>
    <col min="4629" max="4629" width="54" style="1354" customWidth="1"/>
    <col min="4630" max="4632" width="10.6640625" style="1354" customWidth="1"/>
    <col min="4633" max="4639" width="11.1640625" style="1354" customWidth="1"/>
    <col min="4640" max="4864" width="4.5" style="1354"/>
    <col min="4865" max="4865" width="11.83203125" style="1354" customWidth="1"/>
    <col min="4866" max="4866" width="2.1640625" style="1354" customWidth="1"/>
    <col min="4867" max="4882" width="10.6640625" style="1354" customWidth="1"/>
    <col min="4883" max="4884" width="14" style="1354" customWidth="1"/>
    <col min="4885" max="4885" width="54" style="1354" customWidth="1"/>
    <col min="4886" max="4888" width="10.6640625" style="1354" customWidth="1"/>
    <col min="4889" max="4895" width="11.1640625" style="1354" customWidth="1"/>
    <col min="4896" max="5120" width="4.5" style="1354"/>
    <col min="5121" max="5121" width="11.83203125" style="1354" customWidth="1"/>
    <col min="5122" max="5122" width="2.1640625" style="1354" customWidth="1"/>
    <col min="5123" max="5138" width="10.6640625" style="1354" customWidth="1"/>
    <col min="5139" max="5140" width="14" style="1354" customWidth="1"/>
    <col min="5141" max="5141" width="54" style="1354" customWidth="1"/>
    <col min="5142" max="5144" width="10.6640625" style="1354" customWidth="1"/>
    <col min="5145" max="5151" width="11.1640625" style="1354" customWidth="1"/>
    <col min="5152" max="5376" width="4.5" style="1354"/>
    <col min="5377" max="5377" width="11.83203125" style="1354" customWidth="1"/>
    <col min="5378" max="5378" width="2.1640625" style="1354" customWidth="1"/>
    <col min="5379" max="5394" width="10.6640625" style="1354" customWidth="1"/>
    <col min="5395" max="5396" width="14" style="1354" customWidth="1"/>
    <col min="5397" max="5397" width="54" style="1354" customWidth="1"/>
    <col min="5398" max="5400" width="10.6640625" style="1354" customWidth="1"/>
    <col min="5401" max="5407" width="11.1640625" style="1354" customWidth="1"/>
    <col min="5408" max="5632" width="4.5" style="1354"/>
    <col min="5633" max="5633" width="11.83203125" style="1354" customWidth="1"/>
    <col min="5634" max="5634" width="2.1640625" style="1354" customWidth="1"/>
    <col min="5635" max="5650" width="10.6640625" style="1354" customWidth="1"/>
    <col min="5651" max="5652" width="14" style="1354" customWidth="1"/>
    <col min="5653" max="5653" width="54" style="1354" customWidth="1"/>
    <col min="5654" max="5656" width="10.6640625" style="1354" customWidth="1"/>
    <col min="5657" max="5663" width="11.1640625" style="1354" customWidth="1"/>
    <col min="5664" max="5888" width="4.5" style="1354"/>
    <col min="5889" max="5889" width="11.83203125" style="1354" customWidth="1"/>
    <col min="5890" max="5890" width="2.1640625" style="1354" customWidth="1"/>
    <col min="5891" max="5906" width="10.6640625" style="1354" customWidth="1"/>
    <col min="5907" max="5908" width="14" style="1354" customWidth="1"/>
    <col min="5909" max="5909" width="54" style="1354" customWidth="1"/>
    <col min="5910" max="5912" width="10.6640625" style="1354" customWidth="1"/>
    <col min="5913" max="5919" width="11.1640625" style="1354" customWidth="1"/>
    <col min="5920" max="6144" width="4.5" style="1354"/>
    <col min="6145" max="6145" width="11.83203125" style="1354" customWidth="1"/>
    <col min="6146" max="6146" width="2.1640625" style="1354" customWidth="1"/>
    <col min="6147" max="6162" width="10.6640625" style="1354" customWidth="1"/>
    <col min="6163" max="6164" width="14" style="1354" customWidth="1"/>
    <col min="6165" max="6165" width="54" style="1354" customWidth="1"/>
    <col min="6166" max="6168" width="10.6640625" style="1354" customWidth="1"/>
    <col min="6169" max="6175" width="11.1640625" style="1354" customWidth="1"/>
    <col min="6176" max="6400" width="4.5" style="1354"/>
    <col min="6401" max="6401" width="11.83203125" style="1354" customWidth="1"/>
    <col min="6402" max="6402" width="2.1640625" style="1354" customWidth="1"/>
    <col min="6403" max="6418" width="10.6640625" style="1354" customWidth="1"/>
    <col min="6419" max="6420" width="14" style="1354" customWidth="1"/>
    <col min="6421" max="6421" width="54" style="1354" customWidth="1"/>
    <col min="6422" max="6424" width="10.6640625" style="1354" customWidth="1"/>
    <col min="6425" max="6431" width="11.1640625" style="1354" customWidth="1"/>
    <col min="6432" max="6656" width="4.5" style="1354"/>
    <col min="6657" max="6657" width="11.83203125" style="1354" customWidth="1"/>
    <col min="6658" max="6658" width="2.1640625" style="1354" customWidth="1"/>
    <col min="6659" max="6674" width="10.6640625" style="1354" customWidth="1"/>
    <col min="6675" max="6676" width="14" style="1354" customWidth="1"/>
    <col min="6677" max="6677" width="54" style="1354" customWidth="1"/>
    <col min="6678" max="6680" width="10.6640625" style="1354" customWidth="1"/>
    <col min="6681" max="6687" width="11.1640625" style="1354" customWidth="1"/>
    <col min="6688" max="6912" width="4.5" style="1354"/>
    <col min="6913" max="6913" width="11.83203125" style="1354" customWidth="1"/>
    <col min="6914" max="6914" width="2.1640625" style="1354" customWidth="1"/>
    <col min="6915" max="6930" width="10.6640625" style="1354" customWidth="1"/>
    <col min="6931" max="6932" width="14" style="1354" customWidth="1"/>
    <col min="6933" max="6933" width="54" style="1354" customWidth="1"/>
    <col min="6934" max="6936" width="10.6640625" style="1354" customWidth="1"/>
    <col min="6937" max="6943" width="11.1640625" style="1354" customWidth="1"/>
    <col min="6944" max="7168" width="4.5" style="1354"/>
    <col min="7169" max="7169" width="11.83203125" style="1354" customWidth="1"/>
    <col min="7170" max="7170" width="2.1640625" style="1354" customWidth="1"/>
    <col min="7171" max="7186" width="10.6640625" style="1354" customWidth="1"/>
    <col min="7187" max="7188" width="14" style="1354" customWidth="1"/>
    <col min="7189" max="7189" width="54" style="1354" customWidth="1"/>
    <col min="7190" max="7192" width="10.6640625" style="1354" customWidth="1"/>
    <col min="7193" max="7199" width="11.1640625" style="1354" customWidth="1"/>
    <col min="7200" max="7424" width="4.5" style="1354"/>
    <col min="7425" max="7425" width="11.83203125" style="1354" customWidth="1"/>
    <col min="7426" max="7426" width="2.1640625" style="1354" customWidth="1"/>
    <col min="7427" max="7442" width="10.6640625" style="1354" customWidth="1"/>
    <col min="7443" max="7444" width="14" style="1354" customWidth="1"/>
    <col min="7445" max="7445" width="54" style="1354" customWidth="1"/>
    <col min="7446" max="7448" width="10.6640625" style="1354" customWidth="1"/>
    <col min="7449" max="7455" width="11.1640625" style="1354" customWidth="1"/>
    <col min="7456" max="7680" width="4.5" style="1354"/>
    <col min="7681" max="7681" width="11.83203125" style="1354" customWidth="1"/>
    <col min="7682" max="7682" width="2.1640625" style="1354" customWidth="1"/>
    <col min="7683" max="7698" width="10.6640625" style="1354" customWidth="1"/>
    <col min="7699" max="7700" width="14" style="1354" customWidth="1"/>
    <col min="7701" max="7701" width="54" style="1354" customWidth="1"/>
    <col min="7702" max="7704" width="10.6640625" style="1354" customWidth="1"/>
    <col min="7705" max="7711" width="11.1640625" style="1354" customWidth="1"/>
    <col min="7712" max="7936" width="4.5" style="1354"/>
    <col min="7937" max="7937" width="11.83203125" style="1354" customWidth="1"/>
    <col min="7938" max="7938" width="2.1640625" style="1354" customWidth="1"/>
    <col min="7939" max="7954" width="10.6640625" style="1354" customWidth="1"/>
    <col min="7955" max="7956" width="14" style="1354" customWidth="1"/>
    <col min="7957" max="7957" width="54" style="1354" customWidth="1"/>
    <col min="7958" max="7960" width="10.6640625" style="1354" customWidth="1"/>
    <col min="7961" max="7967" width="11.1640625" style="1354" customWidth="1"/>
    <col min="7968" max="8192" width="4.5" style="1354"/>
    <col min="8193" max="8193" width="11.83203125" style="1354" customWidth="1"/>
    <col min="8194" max="8194" width="2.1640625" style="1354" customWidth="1"/>
    <col min="8195" max="8210" width="10.6640625" style="1354" customWidth="1"/>
    <col min="8211" max="8212" width="14" style="1354" customWidth="1"/>
    <col min="8213" max="8213" width="54" style="1354" customWidth="1"/>
    <col min="8214" max="8216" width="10.6640625" style="1354" customWidth="1"/>
    <col min="8217" max="8223" width="11.1640625" style="1354" customWidth="1"/>
    <col min="8224" max="8448" width="4.5" style="1354"/>
    <col min="8449" max="8449" width="11.83203125" style="1354" customWidth="1"/>
    <col min="8450" max="8450" width="2.1640625" style="1354" customWidth="1"/>
    <col min="8451" max="8466" width="10.6640625" style="1354" customWidth="1"/>
    <col min="8467" max="8468" width="14" style="1354" customWidth="1"/>
    <col min="8469" max="8469" width="54" style="1354" customWidth="1"/>
    <col min="8470" max="8472" width="10.6640625" style="1354" customWidth="1"/>
    <col min="8473" max="8479" width="11.1640625" style="1354" customWidth="1"/>
    <col min="8480" max="8704" width="4.5" style="1354"/>
    <col min="8705" max="8705" width="11.83203125" style="1354" customWidth="1"/>
    <col min="8706" max="8706" width="2.1640625" style="1354" customWidth="1"/>
    <col min="8707" max="8722" width="10.6640625" style="1354" customWidth="1"/>
    <col min="8723" max="8724" width="14" style="1354" customWidth="1"/>
    <col min="8725" max="8725" width="54" style="1354" customWidth="1"/>
    <col min="8726" max="8728" width="10.6640625" style="1354" customWidth="1"/>
    <col min="8729" max="8735" width="11.1640625" style="1354" customWidth="1"/>
    <col min="8736" max="8960" width="4.5" style="1354"/>
    <col min="8961" max="8961" width="11.83203125" style="1354" customWidth="1"/>
    <col min="8962" max="8962" width="2.1640625" style="1354" customWidth="1"/>
    <col min="8963" max="8978" width="10.6640625" style="1354" customWidth="1"/>
    <col min="8979" max="8980" width="14" style="1354" customWidth="1"/>
    <col min="8981" max="8981" width="54" style="1354" customWidth="1"/>
    <col min="8982" max="8984" width="10.6640625" style="1354" customWidth="1"/>
    <col min="8985" max="8991" width="11.1640625" style="1354" customWidth="1"/>
    <col min="8992" max="9216" width="4.5" style="1354"/>
    <col min="9217" max="9217" width="11.83203125" style="1354" customWidth="1"/>
    <col min="9218" max="9218" width="2.1640625" style="1354" customWidth="1"/>
    <col min="9219" max="9234" width="10.6640625" style="1354" customWidth="1"/>
    <col min="9235" max="9236" width="14" style="1354" customWidth="1"/>
    <col min="9237" max="9237" width="54" style="1354" customWidth="1"/>
    <col min="9238" max="9240" width="10.6640625" style="1354" customWidth="1"/>
    <col min="9241" max="9247" width="11.1640625" style="1354" customWidth="1"/>
    <col min="9248" max="9472" width="4.5" style="1354"/>
    <col min="9473" max="9473" width="11.83203125" style="1354" customWidth="1"/>
    <col min="9474" max="9474" width="2.1640625" style="1354" customWidth="1"/>
    <col min="9475" max="9490" width="10.6640625" style="1354" customWidth="1"/>
    <col min="9491" max="9492" width="14" style="1354" customWidth="1"/>
    <col min="9493" max="9493" width="54" style="1354" customWidth="1"/>
    <col min="9494" max="9496" width="10.6640625" style="1354" customWidth="1"/>
    <col min="9497" max="9503" width="11.1640625" style="1354" customWidth="1"/>
    <col min="9504" max="9728" width="4.5" style="1354"/>
    <col min="9729" max="9729" width="11.83203125" style="1354" customWidth="1"/>
    <col min="9730" max="9730" width="2.1640625" style="1354" customWidth="1"/>
    <col min="9731" max="9746" width="10.6640625" style="1354" customWidth="1"/>
    <col min="9747" max="9748" width="14" style="1354" customWidth="1"/>
    <col min="9749" max="9749" width="54" style="1354" customWidth="1"/>
    <col min="9750" max="9752" width="10.6640625" style="1354" customWidth="1"/>
    <col min="9753" max="9759" width="11.1640625" style="1354" customWidth="1"/>
    <col min="9760" max="9984" width="4.5" style="1354"/>
    <col min="9985" max="9985" width="11.83203125" style="1354" customWidth="1"/>
    <col min="9986" max="9986" width="2.1640625" style="1354" customWidth="1"/>
    <col min="9987" max="10002" width="10.6640625" style="1354" customWidth="1"/>
    <col min="10003" max="10004" width="14" style="1354" customWidth="1"/>
    <col min="10005" max="10005" width="54" style="1354" customWidth="1"/>
    <col min="10006" max="10008" width="10.6640625" style="1354" customWidth="1"/>
    <col min="10009" max="10015" width="11.1640625" style="1354" customWidth="1"/>
    <col min="10016" max="10240" width="4.5" style="1354"/>
    <col min="10241" max="10241" width="11.83203125" style="1354" customWidth="1"/>
    <col min="10242" max="10242" width="2.1640625" style="1354" customWidth="1"/>
    <col min="10243" max="10258" width="10.6640625" style="1354" customWidth="1"/>
    <col min="10259" max="10260" width="14" style="1354" customWidth="1"/>
    <col min="10261" max="10261" width="54" style="1354" customWidth="1"/>
    <col min="10262" max="10264" width="10.6640625" style="1354" customWidth="1"/>
    <col min="10265" max="10271" width="11.1640625" style="1354" customWidth="1"/>
    <col min="10272" max="10496" width="4.5" style="1354"/>
    <col min="10497" max="10497" width="11.83203125" style="1354" customWidth="1"/>
    <col min="10498" max="10498" width="2.1640625" style="1354" customWidth="1"/>
    <col min="10499" max="10514" width="10.6640625" style="1354" customWidth="1"/>
    <col min="10515" max="10516" width="14" style="1354" customWidth="1"/>
    <col min="10517" max="10517" width="54" style="1354" customWidth="1"/>
    <col min="10518" max="10520" width="10.6640625" style="1354" customWidth="1"/>
    <col min="10521" max="10527" width="11.1640625" style="1354" customWidth="1"/>
    <col min="10528" max="10752" width="4.5" style="1354"/>
    <col min="10753" max="10753" width="11.83203125" style="1354" customWidth="1"/>
    <col min="10754" max="10754" width="2.1640625" style="1354" customWidth="1"/>
    <col min="10755" max="10770" width="10.6640625" style="1354" customWidth="1"/>
    <col min="10771" max="10772" width="14" style="1354" customWidth="1"/>
    <col min="10773" max="10773" width="54" style="1354" customWidth="1"/>
    <col min="10774" max="10776" width="10.6640625" style="1354" customWidth="1"/>
    <col min="10777" max="10783" width="11.1640625" style="1354" customWidth="1"/>
    <col min="10784" max="11008" width="4.5" style="1354"/>
    <col min="11009" max="11009" width="11.83203125" style="1354" customWidth="1"/>
    <col min="11010" max="11010" width="2.1640625" style="1354" customWidth="1"/>
    <col min="11011" max="11026" width="10.6640625" style="1354" customWidth="1"/>
    <col min="11027" max="11028" width="14" style="1354" customWidth="1"/>
    <col min="11029" max="11029" width="54" style="1354" customWidth="1"/>
    <col min="11030" max="11032" width="10.6640625" style="1354" customWidth="1"/>
    <col min="11033" max="11039" width="11.1640625" style="1354" customWidth="1"/>
    <col min="11040" max="11264" width="4.5" style="1354"/>
    <col min="11265" max="11265" width="11.83203125" style="1354" customWidth="1"/>
    <col min="11266" max="11266" width="2.1640625" style="1354" customWidth="1"/>
    <col min="11267" max="11282" width="10.6640625" style="1354" customWidth="1"/>
    <col min="11283" max="11284" width="14" style="1354" customWidth="1"/>
    <col min="11285" max="11285" width="54" style="1354" customWidth="1"/>
    <col min="11286" max="11288" width="10.6640625" style="1354" customWidth="1"/>
    <col min="11289" max="11295" width="11.1640625" style="1354" customWidth="1"/>
    <col min="11296" max="11520" width="4.5" style="1354"/>
    <col min="11521" max="11521" width="11.83203125" style="1354" customWidth="1"/>
    <col min="11522" max="11522" width="2.1640625" style="1354" customWidth="1"/>
    <col min="11523" max="11538" width="10.6640625" style="1354" customWidth="1"/>
    <col min="11539" max="11540" width="14" style="1354" customWidth="1"/>
    <col min="11541" max="11541" width="54" style="1354" customWidth="1"/>
    <col min="11542" max="11544" width="10.6640625" style="1354" customWidth="1"/>
    <col min="11545" max="11551" width="11.1640625" style="1354" customWidth="1"/>
    <col min="11552" max="11776" width="4.5" style="1354"/>
    <col min="11777" max="11777" width="11.83203125" style="1354" customWidth="1"/>
    <col min="11778" max="11778" width="2.1640625" style="1354" customWidth="1"/>
    <col min="11779" max="11794" width="10.6640625" style="1354" customWidth="1"/>
    <col min="11795" max="11796" width="14" style="1354" customWidth="1"/>
    <col min="11797" max="11797" width="54" style="1354" customWidth="1"/>
    <col min="11798" max="11800" width="10.6640625" style="1354" customWidth="1"/>
    <col min="11801" max="11807" width="11.1640625" style="1354" customWidth="1"/>
    <col min="11808" max="12032" width="4.5" style="1354"/>
    <col min="12033" max="12033" width="11.83203125" style="1354" customWidth="1"/>
    <col min="12034" max="12034" width="2.1640625" style="1354" customWidth="1"/>
    <col min="12035" max="12050" width="10.6640625" style="1354" customWidth="1"/>
    <col min="12051" max="12052" width="14" style="1354" customWidth="1"/>
    <col min="12053" max="12053" width="54" style="1354" customWidth="1"/>
    <col min="12054" max="12056" width="10.6640625" style="1354" customWidth="1"/>
    <col min="12057" max="12063" width="11.1640625" style="1354" customWidth="1"/>
    <col min="12064" max="12288" width="4.5" style="1354"/>
    <col min="12289" max="12289" width="11.83203125" style="1354" customWidth="1"/>
    <col min="12290" max="12290" width="2.1640625" style="1354" customWidth="1"/>
    <col min="12291" max="12306" width="10.6640625" style="1354" customWidth="1"/>
    <col min="12307" max="12308" width="14" style="1354" customWidth="1"/>
    <col min="12309" max="12309" width="54" style="1354" customWidth="1"/>
    <col min="12310" max="12312" width="10.6640625" style="1354" customWidth="1"/>
    <col min="12313" max="12319" width="11.1640625" style="1354" customWidth="1"/>
    <col min="12320" max="12544" width="4.5" style="1354"/>
    <col min="12545" max="12545" width="11.83203125" style="1354" customWidth="1"/>
    <col min="12546" max="12546" width="2.1640625" style="1354" customWidth="1"/>
    <col min="12547" max="12562" width="10.6640625" style="1354" customWidth="1"/>
    <col min="12563" max="12564" width="14" style="1354" customWidth="1"/>
    <col min="12565" max="12565" width="54" style="1354" customWidth="1"/>
    <col min="12566" max="12568" width="10.6640625" style="1354" customWidth="1"/>
    <col min="12569" max="12575" width="11.1640625" style="1354" customWidth="1"/>
    <col min="12576" max="12800" width="4.5" style="1354"/>
    <col min="12801" max="12801" width="11.83203125" style="1354" customWidth="1"/>
    <col min="12802" max="12802" width="2.1640625" style="1354" customWidth="1"/>
    <col min="12803" max="12818" width="10.6640625" style="1354" customWidth="1"/>
    <col min="12819" max="12820" width="14" style="1354" customWidth="1"/>
    <col min="12821" max="12821" width="54" style="1354" customWidth="1"/>
    <col min="12822" max="12824" width="10.6640625" style="1354" customWidth="1"/>
    <col min="12825" max="12831" width="11.1640625" style="1354" customWidth="1"/>
    <col min="12832" max="13056" width="4.5" style="1354"/>
    <col min="13057" max="13057" width="11.83203125" style="1354" customWidth="1"/>
    <col min="13058" max="13058" width="2.1640625" style="1354" customWidth="1"/>
    <col min="13059" max="13074" width="10.6640625" style="1354" customWidth="1"/>
    <col min="13075" max="13076" width="14" style="1354" customWidth="1"/>
    <col min="13077" max="13077" width="54" style="1354" customWidth="1"/>
    <col min="13078" max="13080" width="10.6640625" style="1354" customWidth="1"/>
    <col min="13081" max="13087" width="11.1640625" style="1354" customWidth="1"/>
    <col min="13088" max="13312" width="4.5" style="1354"/>
    <col min="13313" max="13313" width="11.83203125" style="1354" customWidth="1"/>
    <col min="13314" max="13314" width="2.1640625" style="1354" customWidth="1"/>
    <col min="13315" max="13330" width="10.6640625" style="1354" customWidth="1"/>
    <col min="13331" max="13332" width="14" style="1354" customWidth="1"/>
    <col min="13333" max="13333" width="54" style="1354" customWidth="1"/>
    <col min="13334" max="13336" width="10.6640625" style="1354" customWidth="1"/>
    <col min="13337" max="13343" width="11.1640625" style="1354" customWidth="1"/>
    <col min="13344" max="13568" width="4.5" style="1354"/>
    <col min="13569" max="13569" width="11.83203125" style="1354" customWidth="1"/>
    <col min="13570" max="13570" width="2.1640625" style="1354" customWidth="1"/>
    <col min="13571" max="13586" width="10.6640625" style="1354" customWidth="1"/>
    <col min="13587" max="13588" width="14" style="1354" customWidth="1"/>
    <col min="13589" max="13589" width="54" style="1354" customWidth="1"/>
    <col min="13590" max="13592" width="10.6640625" style="1354" customWidth="1"/>
    <col min="13593" max="13599" width="11.1640625" style="1354" customWidth="1"/>
    <col min="13600" max="13824" width="4.5" style="1354"/>
    <col min="13825" max="13825" width="11.83203125" style="1354" customWidth="1"/>
    <col min="13826" max="13826" width="2.1640625" style="1354" customWidth="1"/>
    <col min="13827" max="13842" width="10.6640625" style="1354" customWidth="1"/>
    <col min="13843" max="13844" width="14" style="1354" customWidth="1"/>
    <col min="13845" max="13845" width="54" style="1354" customWidth="1"/>
    <col min="13846" max="13848" width="10.6640625" style="1354" customWidth="1"/>
    <col min="13849" max="13855" width="11.1640625" style="1354" customWidth="1"/>
    <col min="13856" max="14080" width="4.5" style="1354"/>
    <col min="14081" max="14081" width="11.83203125" style="1354" customWidth="1"/>
    <col min="14082" max="14082" width="2.1640625" style="1354" customWidth="1"/>
    <col min="14083" max="14098" width="10.6640625" style="1354" customWidth="1"/>
    <col min="14099" max="14100" width="14" style="1354" customWidth="1"/>
    <col min="14101" max="14101" width="54" style="1354" customWidth="1"/>
    <col min="14102" max="14104" width="10.6640625" style="1354" customWidth="1"/>
    <col min="14105" max="14111" width="11.1640625" style="1354" customWidth="1"/>
    <col min="14112" max="14336" width="4.5" style="1354"/>
    <col min="14337" max="14337" width="11.83203125" style="1354" customWidth="1"/>
    <col min="14338" max="14338" width="2.1640625" style="1354" customWidth="1"/>
    <col min="14339" max="14354" width="10.6640625" style="1354" customWidth="1"/>
    <col min="14355" max="14356" width="14" style="1354" customWidth="1"/>
    <col min="14357" max="14357" width="54" style="1354" customWidth="1"/>
    <col min="14358" max="14360" width="10.6640625" style="1354" customWidth="1"/>
    <col min="14361" max="14367" width="11.1640625" style="1354" customWidth="1"/>
    <col min="14368" max="14592" width="4.5" style="1354"/>
    <col min="14593" max="14593" width="11.83203125" style="1354" customWidth="1"/>
    <col min="14594" max="14594" width="2.1640625" style="1354" customWidth="1"/>
    <col min="14595" max="14610" width="10.6640625" style="1354" customWidth="1"/>
    <col min="14611" max="14612" width="14" style="1354" customWidth="1"/>
    <col min="14613" max="14613" width="54" style="1354" customWidth="1"/>
    <col min="14614" max="14616" width="10.6640625" style="1354" customWidth="1"/>
    <col min="14617" max="14623" width="11.1640625" style="1354" customWidth="1"/>
    <col min="14624" max="14848" width="4.5" style="1354"/>
    <col min="14849" max="14849" width="11.83203125" style="1354" customWidth="1"/>
    <col min="14850" max="14850" width="2.1640625" style="1354" customWidth="1"/>
    <col min="14851" max="14866" width="10.6640625" style="1354" customWidth="1"/>
    <col min="14867" max="14868" width="14" style="1354" customWidth="1"/>
    <col min="14869" max="14869" width="54" style="1354" customWidth="1"/>
    <col min="14870" max="14872" width="10.6640625" style="1354" customWidth="1"/>
    <col min="14873" max="14879" width="11.1640625" style="1354" customWidth="1"/>
    <col min="14880" max="15104" width="4.5" style="1354"/>
    <col min="15105" max="15105" width="11.83203125" style="1354" customWidth="1"/>
    <col min="15106" max="15106" width="2.1640625" style="1354" customWidth="1"/>
    <col min="15107" max="15122" width="10.6640625" style="1354" customWidth="1"/>
    <col min="15123" max="15124" width="14" style="1354" customWidth="1"/>
    <col min="15125" max="15125" width="54" style="1354" customWidth="1"/>
    <col min="15126" max="15128" width="10.6640625" style="1354" customWidth="1"/>
    <col min="15129" max="15135" width="11.1640625" style="1354" customWidth="1"/>
    <col min="15136" max="15360" width="4.5" style="1354"/>
    <col min="15361" max="15361" width="11.83203125" style="1354" customWidth="1"/>
    <col min="15362" max="15362" width="2.1640625" style="1354" customWidth="1"/>
    <col min="15363" max="15378" width="10.6640625" style="1354" customWidth="1"/>
    <col min="15379" max="15380" width="14" style="1354" customWidth="1"/>
    <col min="15381" max="15381" width="54" style="1354" customWidth="1"/>
    <col min="15382" max="15384" width="10.6640625" style="1354" customWidth="1"/>
    <col min="15385" max="15391" width="11.1640625" style="1354" customWidth="1"/>
    <col min="15392" max="15616" width="4.5" style="1354"/>
    <col min="15617" max="15617" width="11.83203125" style="1354" customWidth="1"/>
    <col min="15618" max="15618" width="2.1640625" style="1354" customWidth="1"/>
    <col min="15619" max="15634" width="10.6640625" style="1354" customWidth="1"/>
    <col min="15635" max="15636" width="14" style="1354" customWidth="1"/>
    <col min="15637" max="15637" width="54" style="1354" customWidth="1"/>
    <col min="15638" max="15640" width="10.6640625" style="1354" customWidth="1"/>
    <col min="15641" max="15647" width="11.1640625" style="1354" customWidth="1"/>
    <col min="15648" max="15872" width="4.5" style="1354"/>
    <col min="15873" max="15873" width="11.83203125" style="1354" customWidth="1"/>
    <col min="15874" max="15874" width="2.1640625" style="1354" customWidth="1"/>
    <col min="15875" max="15890" width="10.6640625" style="1354" customWidth="1"/>
    <col min="15891" max="15892" width="14" style="1354" customWidth="1"/>
    <col min="15893" max="15893" width="54" style="1354" customWidth="1"/>
    <col min="15894" max="15896" width="10.6640625" style="1354" customWidth="1"/>
    <col min="15897" max="15903" width="11.1640625" style="1354" customWidth="1"/>
    <col min="15904" max="16128" width="4.5" style="1354"/>
    <col min="16129" max="16129" width="11.83203125" style="1354" customWidth="1"/>
    <col min="16130" max="16130" width="2.1640625" style="1354" customWidth="1"/>
    <col min="16131" max="16146" width="10.6640625" style="1354" customWidth="1"/>
    <col min="16147" max="16148" width="14" style="1354" customWidth="1"/>
    <col min="16149" max="16149" width="54" style="1354" customWidth="1"/>
    <col min="16150" max="16152" width="10.6640625" style="1354" customWidth="1"/>
    <col min="16153" max="16159" width="11.1640625" style="1354" customWidth="1"/>
    <col min="16160" max="16384" width="4.5" style="1354"/>
  </cols>
  <sheetData>
    <row r="1" spans="1:31" ht="14.45">
      <c r="A1" s="1353" t="s">
        <v>60</v>
      </c>
      <c r="G1" s="1496"/>
      <c r="H1" s="1497" t="s">
        <v>196</v>
      </c>
      <c r="I1" s="1496"/>
      <c r="J1" s="1496"/>
      <c r="K1" s="1496"/>
      <c r="L1" s="1496"/>
      <c r="M1" s="1496"/>
      <c r="O1" s="1498"/>
      <c r="P1" s="1358"/>
      <c r="R1" s="1358"/>
      <c r="S1" s="1358"/>
      <c r="T1" s="1358"/>
      <c r="U1" s="1358"/>
      <c r="V1" s="1358">
        <f>+Base!V1</f>
        <v>45657</v>
      </c>
    </row>
    <row r="2" spans="1:31">
      <c r="A2" s="1359" t="s">
        <v>62</v>
      </c>
      <c r="B2" s="1360"/>
      <c r="C2" s="1360"/>
      <c r="D2" s="1360"/>
      <c r="E2" s="1360"/>
      <c r="F2" s="1360"/>
      <c r="G2" s="1360"/>
      <c r="H2" s="1360"/>
      <c r="I2" s="1360"/>
      <c r="J2" s="1360"/>
      <c r="K2" s="1360"/>
      <c r="L2" s="1360"/>
      <c r="M2" s="1360"/>
      <c r="N2" s="1360"/>
      <c r="O2" s="1360"/>
      <c r="P2" s="1360"/>
      <c r="Q2" s="1360"/>
      <c r="R2" s="1360"/>
      <c r="S2" s="1360"/>
      <c r="T2" s="1360"/>
      <c r="U2" s="1360"/>
      <c r="V2" s="1360"/>
      <c r="W2" s="1360"/>
      <c r="X2" s="1360"/>
      <c r="Y2" s="1360"/>
      <c r="Z2" s="1360"/>
      <c r="AA2" s="1360"/>
      <c r="AB2" s="1360"/>
      <c r="AC2" s="1360"/>
      <c r="AD2" s="1360"/>
      <c r="AE2" s="1360"/>
    </row>
    <row r="3" spans="1:31" ht="14.45">
      <c r="A3" s="1361" t="s">
        <v>63</v>
      </c>
      <c r="C3" s="1362"/>
      <c r="D3" s="1362"/>
      <c r="E3" s="1362"/>
      <c r="F3" s="1362"/>
      <c r="G3" s="1362"/>
      <c r="H3" s="1362"/>
      <c r="I3" s="1362"/>
      <c r="J3" s="1362"/>
      <c r="K3" s="1362">
        <f>+Base!K3</f>
        <v>45657</v>
      </c>
      <c r="L3" s="1362">
        <v>46203</v>
      </c>
      <c r="M3" s="1362">
        <v>46568</v>
      </c>
      <c r="N3" s="1362">
        <v>46934</v>
      </c>
      <c r="O3" s="1362">
        <v>47299</v>
      </c>
      <c r="P3" s="1362">
        <v>47664</v>
      </c>
      <c r="Q3" s="1362">
        <v>48029</v>
      </c>
      <c r="R3" s="1362">
        <v>48395</v>
      </c>
      <c r="S3" s="1362">
        <v>48760</v>
      </c>
      <c r="T3" s="1362">
        <v>49125</v>
      </c>
      <c r="U3" s="1362">
        <v>49490</v>
      </c>
      <c r="V3" s="1362">
        <v>49856</v>
      </c>
    </row>
    <row r="4" spans="1:31" ht="17.100000000000001">
      <c r="A4" s="1363"/>
      <c r="C4" s="1364"/>
      <c r="D4" s="1364" t="str">
        <f>+'Historical Financials'!D5</f>
        <v>FYE June 30th</v>
      </c>
      <c r="E4" s="1365"/>
      <c r="F4" s="1365"/>
      <c r="G4" s="1365"/>
      <c r="H4" s="1365"/>
      <c r="I4" s="1365"/>
      <c r="J4" s="1365"/>
      <c r="K4" s="1365"/>
      <c r="L4" s="1365"/>
      <c r="M4" s="1365"/>
      <c r="N4" s="1365"/>
      <c r="O4" s="1365"/>
      <c r="P4" s="1365"/>
      <c r="Q4" s="1365"/>
      <c r="R4" s="1365"/>
      <c r="S4" s="1365"/>
      <c r="T4" s="1365"/>
      <c r="U4" s="1365"/>
      <c r="V4" s="1365"/>
    </row>
    <row r="5" spans="1:31" ht="17.100000000000001">
      <c r="C5" s="1366" t="s">
        <v>64</v>
      </c>
      <c r="D5" s="1366" t="s">
        <v>65</v>
      </c>
      <c r="E5" s="1366" t="s">
        <v>66</v>
      </c>
      <c r="F5" s="1366" t="s">
        <v>67</v>
      </c>
      <c r="G5" s="1366" t="s">
        <v>68</v>
      </c>
      <c r="H5" s="1366" t="s">
        <v>69</v>
      </c>
      <c r="I5" s="1366" t="s">
        <v>70</v>
      </c>
      <c r="J5" s="1366" t="s">
        <v>71</v>
      </c>
      <c r="K5" s="1367" t="s">
        <v>72</v>
      </c>
      <c r="L5" s="1366" t="s">
        <v>73</v>
      </c>
      <c r="M5" s="1366" t="s">
        <v>74</v>
      </c>
      <c r="N5" s="1366" t="s">
        <v>75</v>
      </c>
      <c r="O5" s="1366" t="s">
        <v>76</v>
      </c>
      <c r="P5" s="1366" t="s">
        <v>77</v>
      </c>
      <c r="Q5" s="1366" t="s">
        <v>78</v>
      </c>
      <c r="R5" s="1366" t="s">
        <v>79</v>
      </c>
      <c r="S5" s="1366" t="s">
        <v>80</v>
      </c>
      <c r="T5" s="1366" t="s">
        <v>81</v>
      </c>
      <c r="U5" s="1366" t="s">
        <v>82</v>
      </c>
      <c r="V5" s="1366" t="s">
        <v>83</v>
      </c>
    </row>
    <row r="6" spans="1:31" ht="17.100000000000001">
      <c r="A6" s="1368" t="s">
        <v>84</v>
      </c>
      <c r="B6" s="1369"/>
      <c r="C6" s="1366"/>
      <c r="D6" s="1366"/>
      <c r="E6" s="1366"/>
      <c r="F6" s="1366"/>
      <c r="G6" s="1366"/>
      <c r="H6" s="1366"/>
      <c r="I6" s="1366"/>
      <c r="J6" s="1366"/>
      <c r="K6" s="1367"/>
      <c r="L6" s="1366"/>
      <c r="M6" s="1366"/>
      <c r="N6" s="1366"/>
      <c r="O6" s="1366"/>
      <c r="P6" s="1366"/>
      <c r="Q6" s="1366"/>
      <c r="R6" s="1366"/>
      <c r="S6" s="1366"/>
      <c r="T6" s="1366"/>
      <c r="U6" s="1366"/>
      <c r="V6" s="1366"/>
    </row>
    <row r="7" spans="1:31" ht="17.100000000000001">
      <c r="C7" s="1370"/>
      <c r="D7" s="1371"/>
      <c r="E7" s="1372"/>
      <c r="F7" s="1373"/>
      <c r="G7" s="1373"/>
      <c r="H7" s="1373"/>
      <c r="I7" s="1373"/>
      <c r="J7" s="1371"/>
      <c r="K7" s="1374" t="str">
        <f>+Base!K7</f>
        <v>c = 278,698</v>
      </c>
      <c r="L7" s="1375"/>
      <c r="M7" s="1366"/>
      <c r="N7" s="1366"/>
      <c r="O7" s="1366"/>
      <c r="P7" s="1366"/>
      <c r="Q7" s="1366"/>
      <c r="R7" s="1366"/>
      <c r="S7" s="1366"/>
      <c r="T7" s="1366"/>
      <c r="U7" s="1366"/>
      <c r="V7" s="1366"/>
    </row>
    <row r="8" spans="1:31">
      <c r="A8" s="1354" t="s">
        <v>86</v>
      </c>
      <c r="B8" s="1376"/>
      <c r="C8" s="1377">
        <f>+'Historical Financials'!BH12</f>
        <v>96571</v>
      </c>
      <c r="D8" s="1377">
        <f>+'Historical Financials'!BI12</f>
        <v>110360</v>
      </c>
      <c r="E8" s="1377">
        <f>+'Historical Financials'!BJ12</f>
        <v>125843</v>
      </c>
      <c r="F8" s="1378">
        <f>+'Historical Financials'!BK12</f>
        <v>143015</v>
      </c>
      <c r="G8" s="1378">
        <f>+'Historical Financials'!BL12</f>
        <v>168088</v>
      </c>
      <c r="H8" s="1378">
        <f>+'Historical Financials'!BM12</f>
        <v>198270</v>
      </c>
      <c r="I8" s="1378">
        <f>+'Historical Financials'!BN12</f>
        <v>211915</v>
      </c>
      <c r="J8" s="1378">
        <f>+'Historical Financials'!BO12</f>
        <v>245122</v>
      </c>
      <c r="K8" s="1379">
        <f>+'Historical Financials'!BP12</f>
        <v>277944.15064726153</v>
      </c>
      <c r="L8" s="1378">
        <f>+Base!L8</f>
        <v>314076.8902314055</v>
      </c>
      <c r="M8" s="1378">
        <f>+Base!M8</f>
        <v>354906.88596148818</v>
      </c>
      <c r="N8" s="1378">
        <f>+Base!N8</f>
        <v>401044.78113648162</v>
      </c>
      <c r="O8" s="1378">
        <f>+Base!O8</f>
        <v>453180.6026842242</v>
      </c>
      <c r="P8" s="1378">
        <f>+Base!P8</f>
        <v>512094.08103317331</v>
      </c>
      <c r="Q8" s="1378">
        <f>+Base!Q8</f>
        <v>578666.3115674858</v>
      </c>
      <c r="R8" s="1378">
        <f>+Base!R8</f>
        <v>653892.9320712589</v>
      </c>
      <c r="S8" s="1378">
        <f>+Base!S8</f>
        <v>738899.01324052247</v>
      </c>
      <c r="T8" s="1378">
        <f>+Base!T8</f>
        <v>834955.88496179029</v>
      </c>
      <c r="U8" s="1378">
        <f>+Base!U8</f>
        <v>943500.15000682289</v>
      </c>
      <c r="V8" s="1378">
        <f>+Base!V8</f>
        <v>1066155.1695077098</v>
      </c>
    </row>
    <row r="9" spans="1:31" ht="17.100000000000001">
      <c r="A9" s="1381" t="s">
        <v>87</v>
      </c>
      <c r="C9" s="1382"/>
      <c r="D9" s="1383">
        <f>D8/C8-1</f>
        <v>0.14278613662486661</v>
      </c>
      <c r="E9" s="1383">
        <f>E8/D8-1</f>
        <v>0.14029539688292858</v>
      </c>
      <c r="F9" s="1383">
        <f t="shared" ref="F9:K9" si="0">F8/E8-1</f>
        <v>0.13645574247276371</v>
      </c>
      <c r="G9" s="1383">
        <f t="shared" si="0"/>
        <v>0.17531727441177503</v>
      </c>
      <c r="H9" s="1383">
        <f t="shared" si="0"/>
        <v>0.17956070629670173</v>
      </c>
      <c r="I9" s="1382">
        <f t="shared" si="0"/>
        <v>6.8820295556564215E-2</v>
      </c>
      <c r="J9" s="1382">
        <f t="shared" si="0"/>
        <v>0.1566996201307127</v>
      </c>
      <c r="K9" s="1384">
        <f t="shared" si="0"/>
        <v>0.13390128445125904</v>
      </c>
      <c r="L9" s="1383">
        <f t="shared" ref="L9" si="1">L8/K8-1</f>
        <v>0.12999999999999989</v>
      </c>
      <c r="M9" s="1383">
        <f t="shared" ref="M9" si="2">M8/L8-1</f>
        <v>0.12999999999999989</v>
      </c>
      <c r="N9" s="1383">
        <f t="shared" ref="N9" si="3">N8/M8-1</f>
        <v>0.12999999999999989</v>
      </c>
      <c r="O9" s="1383">
        <f t="shared" ref="O9" si="4">O8/N8-1</f>
        <v>0.12999999999999989</v>
      </c>
      <c r="P9" s="1383">
        <f t="shared" ref="P9" si="5">P8/O8-1</f>
        <v>0.12999999999999989</v>
      </c>
      <c r="Q9" s="1383">
        <f t="shared" ref="Q9" si="6">Q8/P8-1</f>
        <v>0.12999999999999989</v>
      </c>
      <c r="R9" s="1383">
        <f t="shared" ref="R9" si="7">R8/Q8-1</f>
        <v>0.12999999999999989</v>
      </c>
      <c r="S9" s="1383">
        <f t="shared" ref="S9" si="8">S8/R8-1</f>
        <v>0.12999999999999989</v>
      </c>
      <c r="T9" s="1383">
        <f t="shared" ref="T9" si="9">T8/S8-1</f>
        <v>0.12999999999999989</v>
      </c>
      <c r="U9" s="1383">
        <f t="shared" ref="U9" si="10">U8/T8-1</f>
        <v>0.12999999999999989</v>
      </c>
      <c r="V9" s="1383">
        <f t="shared" ref="V9" si="11">V8/U8-1</f>
        <v>0.12999999999999989</v>
      </c>
      <c r="Y9" s="1386" t="s">
        <v>60</v>
      </c>
      <c r="AA9" s="1366" t="s">
        <v>88</v>
      </c>
    </row>
    <row r="10" spans="1:31" ht="14.45">
      <c r="A10" s="1381" t="s">
        <v>89</v>
      </c>
      <c r="C10" s="1382"/>
      <c r="D10" s="1383">
        <f>+'Historical Financials'!BI15</f>
        <v>0.12866916569156372</v>
      </c>
      <c r="E10" s="1383">
        <f>+'Historical Financials'!BJ15</f>
        <v>0.1508835628851033</v>
      </c>
      <c r="F10" s="1383">
        <f>+'Historical Financials'!BK15</f>
        <v>0.15208497890228301</v>
      </c>
      <c r="G10" s="1383">
        <f>+'Historical Financials'!BL15</f>
        <v>0.1534946089571024</v>
      </c>
      <c r="H10" s="1383">
        <f>+'Historical Financials'!BM15</f>
        <v>0.18958755731124965</v>
      </c>
      <c r="I10" s="1383">
        <f>+'Historical Financials'!BN15</f>
        <v>0.10029775894823553</v>
      </c>
      <c r="J10" s="1382">
        <f>+'Historical Financials'!BO15</f>
        <v>0.12805103366915982</v>
      </c>
      <c r="K10" s="1384">
        <f>+'Historical Financials'!BP15</f>
        <v>0.13614750371620046</v>
      </c>
      <c r="L10" s="1383">
        <f t="shared" ref="L10:V10" si="12">+L9</f>
        <v>0.12999999999999989</v>
      </c>
      <c r="M10" s="1383">
        <f t="shared" si="12"/>
        <v>0.12999999999999989</v>
      </c>
      <c r="N10" s="1383">
        <f t="shared" si="12"/>
        <v>0.12999999999999989</v>
      </c>
      <c r="O10" s="1383">
        <f t="shared" si="12"/>
        <v>0.12999999999999989</v>
      </c>
      <c r="P10" s="1383">
        <f t="shared" si="12"/>
        <v>0.12999999999999989</v>
      </c>
      <c r="Q10" s="1383">
        <f t="shared" si="12"/>
        <v>0.12999999999999989</v>
      </c>
      <c r="R10" s="1383">
        <f t="shared" si="12"/>
        <v>0.12999999999999989</v>
      </c>
      <c r="S10" s="1383">
        <f t="shared" si="12"/>
        <v>0.12999999999999989</v>
      </c>
      <c r="T10" s="1383">
        <f t="shared" si="12"/>
        <v>0.12999999999999989</v>
      </c>
      <c r="U10" s="1383">
        <f t="shared" si="12"/>
        <v>0.12999999999999989</v>
      </c>
      <c r="V10" s="1383">
        <f t="shared" si="12"/>
        <v>0.12999999999999989</v>
      </c>
      <c r="Y10" s="1387" t="s">
        <v>90</v>
      </c>
      <c r="AA10" s="1388"/>
    </row>
    <row r="11" spans="1:31" ht="14.45">
      <c r="A11" s="1381"/>
      <c r="C11" s="1382"/>
      <c r="D11" s="1383"/>
      <c r="E11" s="1383"/>
      <c r="F11" s="1383"/>
      <c r="G11" s="1389"/>
      <c r="H11" s="1389"/>
      <c r="I11" s="1390"/>
      <c r="J11" s="1382"/>
      <c r="K11" s="1391"/>
      <c r="L11" s="1389"/>
      <c r="M11" s="1389"/>
      <c r="N11" s="1389"/>
      <c r="O11" s="1389"/>
      <c r="P11" s="1389"/>
      <c r="Q11" s="1389"/>
      <c r="R11" s="1389"/>
      <c r="S11" s="1389"/>
      <c r="T11" s="1389"/>
      <c r="U11" s="1389"/>
      <c r="V11" s="1389"/>
      <c r="Y11" s="1354" t="s">
        <v>91</v>
      </c>
      <c r="AA11" s="1388" t="s">
        <v>92</v>
      </c>
    </row>
    <row r="12" spans="1:31" ht="14.45">
      <c r="A12" s="1381"/>
      <c r="C12" s="1382"/>
      <c r="D12" s="1383"/>
      <c r="E12" s="1383"/>
      <c r="F12" s="1373"/>
      <c r="G12" s="1373"/>
      <c r="H12" s="1373"/>
      <c r="I12" s="1373"/>
      <c r="J12" s="1371"/>
      <c r="K12" s="1374" t="str">
        <f>+Base!K12</f>
        <v>c = 123,262</v>
      </c>
      <c r="L12" s="1389"/>
      <c r="M12" s="1389"/>
      <c r="N12" s="1389"/>
      <c r="O12" s="1389"/>
      <c r="P12" s="1389"/>
      <c r="Q12" s="1389"/>
      <c r="R12" s="1389"/>
      <c r="S12" s="1389"/>
      <c r="T12" s="1389"/>
      <c r="U12" s="1389"/>
      <c r="V12" s="1389"/>
      <c r="Y12" s="1354" t="s">
        <v>94</v>
      </c>
      <c r="AA12" s="1392">
        <v>0.04</v>
      </c>
    </row>
    <row r="13" spans="1:31" ht="14.45">
      <c r="A13" s="1393" t="s">
        <v>95</v>
      </c>
      <c r="B13" s="1376"/>
      <c r="C13" s="1377">
        <f>+'Historical Financials'!BH49</f>
        <v>29331</v>
      </c>
      <c r="D13" s="1377">
        <f>+'Historical Financials'!BI49</f>
        <v>35058</v>
      </c>
      <c r="E13" s="1378">
        <f>+'Historical Financials'!BJ49</f>
        <v>42959</v>
      </c>
      <c r="F13" s="1378">
        <f>+'Historical Financials'!BK49</f>
        <v>52959</v>
      </c>
      <c r="G13" s="1394">
        <f>+'Historical Financials'!BL49</f>
        <v>69916</v>
      </c>
      <c r="H13" s="1394">
        <f>+'Historical Financials'!BM49</f>
        <v>83383</v>
      </c>
      <c r="I13" s="1394">
        <f>+'Historical Financials'!BN49</f>
        <v>89694</v>
      </c>
      <c r="J13" s="1378">
        <f>+'Historical Financials'!BO49</f>
        <v>112443</v>
      </c>
      <c r="K13" s="1379">
        <f>+'Historical Financials'!BP49</f>
        <v>129601.02612378589</v>
      </c>
      <c r="L13" s="1380">
        <f>+L126</f>
        <v>157854.25414721703</v>
      </c>
      <c r="M13" s="1380">
        <f>+M124*M127</f>
        <v>183285.19350922998</v>
      </c>
      <c r="N13" s="1380">
        <f t="shared" ref="N13:V13" si="13">+N124*N127</f>
        <v>208579.4902624742</v>
      </c>
      <c r="O13" s="1380">
        <f t="shared" si="13"/>
        <v>233219.93894581107</v>
      </c>
      <c r="P13" s="1380">
        <f t="shared" si="13"/>
        <v>256830.04851023908</v>
      </c>
      <c r="Q13" s="1380">
        <f t="shared" si="13"/>
        <v>280538.27813298273</v>
      </c>
      <c r="R13" s="1380">
        <f t="shared" si="13"/>
        <v>305238.79668653564</v>
      </c>
      <c r="S13" s="1380">
        <f t="shared" si="13"/>
        <v>333289.37779797747</v>
      </c>
      <c r="T13" s="1380">
        <f t="shared" si="13"/>
        <v>353122.39590749802</v>
      </c>
      <c r="U13" s="1380">
        <f t="shared" si="13"/>
        <v>379265.75959589984</v>
      </c>
      <c r="V13" s="1380">
        <f t="shared" si="13"/>
        <v>411742.29844421538</v>
      </c>
      <c r="Y13" s="1354" t="s">
        <v>96</v>
      </c>
      <c r="AA13" s="1388" t="s">
        <v>97</v>
      </c>
    </row>
    <row r="14" spans="1:31" ht="14.45">
      <c r="A14" s="1381" t="s">
        <v>87</v>
      </c>
      <c r="C14" s="1382"/>
      <c r="D14" s="1383">
        <f>D13/C13-1</f>
        <v>0.19525416794517736</v>
      </c>
      <c r="E14" s="1383">
        <f>E13/D13-1</f>
        <v>0.22536938787152727</v>
      </c>
      <c r="F14" s="1383">
        <f>F13/E13-1</f>
        <v>0.23278009264647692</v>
      </c>
      <c r="G14" s="1382">
        <f t="shared" ref="G14:M14" si="14">G13/F13-1</f>
        <v>0.3201910912215109</v>
      </c>
      <c r="H14" s="1382">
        <f t="shared" si="14"/>
        <v>0.19261685451112753</v>
      </c>
      <c r="I14" s="1382">
        <f t="shared" si="14"/>
        <v>7.5686890613194446E-2</v>
      </c>
      <c r="J14" s="1382">
        <f t="shared" si="14"/>
        <v>0.25362900528463439</v>
      </c>
      <c r="K14" s="1384">
        <f t="shared" si="14"/>
        <v>0.15259310160513229</v>
      </c>
      <c r="L14" s="1383">
        <f t="shared" si="14"/>
        <v>0.21800157659589536</v>
      </c>
      <c r="M14" s="1383">
        <f t="shared" si="14"/>
        <v>0.16110392145843422</v>
      </c>
      <c r="N14" s="1383">
        <f t="shared" ref="N14" si="15">N13/M13-1</f>
        <v>0.13800512888658645</v>
      </c>
      <c r="O14" s="1383">
        <f t="shared" ref="O14" si="16">O13/N13-1</f>
        <v>0.1181345713920845</v>
      </c>
      <c r="P14" s="1383">
        <f t="shared" ref="P14" si="17">P13/O13-1</f>
        <v>0.10123538180804448</v>
      </c>
      <c r="Q14" s="1383">
        <f t="shared" ref="Q14" si="18">Q13/P13-1</f>
        <v>9.2310965014666069E-2</v>
      </c>
      <c r="R14" s="1383">
        <f t="shared" ref="R14" si="19">R13/Q13-1</f>
        <v>8.8046874451279677E-2</v>
      </c>
      <c r="S14" s="1383">
        <f t="shared" ref="S14" si="20">S13/R13-1</f>
        <v>9.1897168433173748E-2</v>
      </c>
      <c r="T14" s="1383">
        <f t="shared" ref="T14" si="21">T13/S13-1</f>
        <v>5.9506901301673798E-2</v>
      </c>
      <c r="U14" s="1383">
        <f t="shared" ref="U14" si="22">U13/T13-1</f>
        <v>7.4034850214513614E-2</v>
      </c>
      <c r="V14" s="1383">
        <f t="shared" ref="V14" si="23">V13/U13-1</f>
        <v>8.5630031255441219E-2</v>
      </c>
      <c r="AA14" s="1388"/>
    </row>
    <row r="15" spans="1:31" ht="14.45">
      <c r="A15" s="1381" t="s">
        <v>89</v>
      </c>
      <c r="C15" s="1382" t="str">
        <f>+'Historical Financials'!BH52</f>
        <v>NA</v>
      </c>
      <c r="D15" s="1383">
        <f>+'Historical Financials'!BI52</f>
        <v>0.17249565306331185</v>
      </c>
      <c r="E15" s="1383">
        <f>+'Historical Financials'!BJ52</f>
        <v>0.24103656797307321</v>
      </c>
      <c r="F15" s="1383">
        <f>+'Historical Financials'!BK52</f>
        <v>0.29050722782187671</v>
      </c>
      <c r="G15" s="1382">
        <f>+'Historical Financials'!BL52</f>
        <v>0.28283879982628074</v>
      </c>
      <c r="H15" s="1382">
        <f>+'Historical Financials'!BM52</f>
        <v>0.21025030036043252</v>
      </c>
      <c r="I15" s="1382">
        <f>+'Historical Financials'!BN52</f>
        <v>0.14076322511782977</v>
      </c>
      <c r="J15" s="1382">
        <f>+'Historical Financials'!BO52</f>
        <v>0.23278034205186526</v>
      </c>
      <c r="K15" s="1384">
        <f>+'Historical Financials'!BP52</f>
        <v>0.15344578957730942</v>
      </c>
      <c r="L15" s="1383">
        <f>+L14</f>
        <v>0.21800157659589536</v>
      </c>
      <c r="M15" s="1383">
        <f t="shared" ref="M15:V15" si="24">+M14</f>
        <v>0.16110392145843422</v>
      </c>
      <c r="N15" s="1383">
        <f t="shared" si="24"/>
        <v>0.13800512888658645</v>
      </c>
      <c r="O15" s="1383">
        <f t="shared" si="24"/>
        <v>0.1181345713920845</v>
      </c>
      <c r="P15" s="1383">
        <f t="shared" si="24"/>
        <v>0.10123538180804448</v>
      </c>
      <c r="Q15" s="1383">
        <f t="shared" si="24"/>
        <v>9.2310965014666069E-2</v>
      </c>
      <c r="R15" s="1383">
        <f t="shared" si="24"/>
        <v>8.8046874451279677E-2</v>
      </c>
      <c r="S15" s="1383">
        <f t="shared" si="24"/>
        <v>9.1897168433173748E-2</v>
      </c>
      <c r="T15" s="1383">
        <f t="shared" si="24"/>
        <v>5.9506901301673798E-2</v>
      </c>
      <c r="U15" s="1383">
        <f t="shared" si="24"/>
        <v>7.4034850214513614E-2</v>
      </c>
      <c r="V15" s="1383">
        <f t="shared" si="24"/>
        <v>8.5630031255441219E-2</v>
      </c>
      <c r="AA15" s="1388"/>
    </row>
    <row r="16" spans="1:31" s="1363" customFormat="1" ht="14.45">
      <c r="A16" s="1381" t="s">
        <v>98</v>
      </c>
      <c r="C16" s="1382"/>
      <c r="D16" s="1395">
        <f>+D25</f>
        <v>0.17249565306331185</v>
      </c>
      <c r="E16" s="1395">
        <f>+E25</f>
        <v>0.24103656797307321</v>
      </c>
      <c r="F16" s="1395">
        <f>+F25</f>
        <v>0.29050722782187671</v>
      </c>
      <c r="G16" s="1396">
        <f>+'Historical Financials'!BL63</f>
        <v>0.22807492588606293</v>
      </c>
      <c r="H16" s="1396">
        <f>+'Historical Financials'!BM63</f>
        <v>0.25276367406485195</v>
      </c>
      <c r="I16" s="1396">
        <f>+'Historical Financials'!BN63</f>
        <v>9.6498489478974617E-2</v>
      </c>
      <c r="J16" s="1396">
        <f>+'Historical Financials'!BO63</f>
        <v>0.2726341594082406</v>
      </c>
      <c r="K16" s="1391"/>
      <c r="L16" s="1389"/>
      <c r="M16" s="1389"/>
      <c r="N16" s="1389"/>
      <c r="O16" s="1389"/>
      <c r="P16" s="1389"/>
      <c r="Q16" s="1389"/>
      <c r="R16" s="1389"/>
      <c r="S16" s="1389"/>
      <c r="T16" s="1389"/>
      <c r="U16" s="1389"/>
      <c r="V16" s="1389"/>
      <c r="X16" s="1381"/>
      <c r="Y16" s="1381"/>
    </row>
    <row r="17" spans="1:28" ht="14.45">
      <c r="A17" s="1381" t="s">
        <v>99</v>
      </c>
      <c r="C17" s="1382"/>
      <c r="D17" s="1383">
        <f>+D13/D8</f>
        <v>0.31766944545125048</v>
      </c>
      <c r="E17" s="1383">
        <f t="shared" ref="E17:V17" si="25">+E13/E8</f>
        <v>0.3413698020549415</v>
      </c>
      <c r="F17" s="1383">
        <f t="shared" si="25"/>
        <v>0.37030381428521486</v>
      </c>
      <c r="G17" s="1382">
        <f t="shared" si="25"/>
        <v>0.41594878872971303</v>
      </c>
      <c r="H17" s="1382">
        <f t="shared" si="25"/>
        <v>0.4205527815604983</v>
      </c>
      <c r="I17" s="1382">
        <f t="shared" si="25"/>
        <v>0.42325460679989618</v>
      </c>
      <c r="J17" s="1382">
        <f t="shared" si="25"/>
        <v>0.45872259527908554</v>
      </c>
      <c r="K17" s="1397">
        <f t="shared" si="25"/>
        <v>0.46628441657065972</v>
      </c>
      <c r="L17" s="1383">
        <f t="shared" si="25"/>
        <v>0.50259748188067321</v>
      </c>
      <c r="M17" s="1383">
        <f t="shared" si="25"/>
        <v>0.51643177621839298</v>
      </c>
      <c r="N17" s="1383">
        <f t="shared" si="25"/>
        <v>0.52009027438631961</v>
      </c>
      <c r="O17" s="1383">
        <f t="shared" si="25"/>
        <v>0.5146291292355214</v>
      </c>
      <c r="P17" s="1383">
        <f t="shared" si="25"/>
        <v>0.50152903152497419</v>
      </c>
      <c r="Q17" s="1383">
        <f t="shared" si="25"/>
        <v>0.48480146938753582</v>
      </c>
      <c r="R17" s="1383">
        <f t="shared" si="25"/>
        <v>0.4668024101738904</v>
      </c>
      <c r="S17" s="1383">
        <f t="shared" si="25"/>
        <v>0.45106215034216984</v>
      </c>
      <c r="T17" s="1383">
        <f t="shared" si="25"/>
        <v>0.42292341699424973</v>
      </c>
      <c r="U17" s="1383">
        <f t="shared" si="25"/>
        <v>0.4019774237377251</v>
      </c>
      <c r="V17" s="1383">
        <f t="shared" si="25"/>
        <v>0.38619359566050288</v>
      </c>
      <c r="Y17" s="1354" t="s">
        <v>100</v>
      </c>
      <c r="AA17" s="1388" t="s">
        <v>92</v>
      </c>
    </row>
    <row r="18" spans="1:28" ht="14.45">
      <c r="A18" s="1381" t="s">
        <v>101</v>
      </c>
      <c r="C18" s="1383"/>
      <c r="D18" s="1383">
        <f>(D13-C13)/(D8-C8)</f>
        <v>0.41533106099064471</v>
      </c>
      <c r="E18" s="1383">
        <f>(E13-D13)/(E8-D8)</f>
        <v>0.51030162113285538</v>
      </c>
      <c r="F18" s="1383">
        <f>(F13-E13)/(F8-E8)</f>
        <v>0.58234334963894707</v>
      </c>
      <c r="G18" s="1382">
        <f t="shared" ref="G18:K18" si="26">(G13-F13)/(G8-F8)</f>
        <v>0.67630518884856217</v>
      </c>
      <c r="H18" s="1382">
        <f t="shared" si="26"/>
        <v>0.44619309522231793</v>
      </c>
      <c r="I18" s="1382">
        <f t="shared" si="26"/>
        <v>0.46251374129717843</v>
      </c>
      <c r="J18" s="1382">
        <f t="shared" si="26"/>
        <v>0.68506640166230015</v>
      </c>
      <c r="K18" s="1397">
        <f t="shared" si="26"/>
        <v>0.52275752153424015</v>
      </c>
      <c r="L18" s="1383">
        <f t="shared" ref="L18" si="27">(L13-K13)/(L8-K8)</f>
        <v>0.7819287534961622</v>
      </c>
      <c r="M18" s="1383">
        <f t="shared" ref="M18" si="28">(M13-L13)/(M8-L8)</f>
        <v>0.62284942497008333</v>
      </c>
      <c r="N18" s="1383">
        <f t="shared" ref="N18" si="29">(N13-M13)/(N8-M8)</f>
        <v>0.5482325679857547</v>
      </c>
      <c r="O18" s="1383">
        <f t="shared" ref="O18" si="30">(O13-N13)/(O8-N8)</f>
        <v>0.47262032038322743</v>
      </c>
      <c r="P18" s="1383">
        <f t="shared" ref="P18" si="31">(P13-O13)/(P8-O8)</f>
        <v>0.40075904913615013</v>
      </c>
      <c r="Q18" s="1383">
        <f t="shared" ref="Q18" si="32">(Q13-P13)/(Q8-P8)</f>
        <v>0.35612791448416331</v>
      </c>
      <c r="R18" s="1383">
        <f t="shared" ref="R18" si="33">(R13-Q13)/(R8-Q8)</f>
        <v>0.32834810853046398</v>
      </c>
      <c r="S18" s="1383">
        <f t="shared" ref="S18" si="34">(S13-R13)/(S8-R8)</f>
        <v>0.32998322855970375</v>
      </c>
      <c r="T18" s="1383">
        <f t="shared" ref="T18" si="35">(T13-S13)/(T8-S8)</f>
        <v>0.20647162201024863</v>
      </c>
      <c r="U18" s="1383">
        <f t="shared" ref="U18" si="36">(U13-T13)/(U8-T8)</f>
        <v>0.24085439868753564</v>
      </c>
      <c r="V18" s="1383">
        <f t="shared" ref="V18" si="37">(V13-U13)/(V8-U8)</f>
        <v>0.26477953352802414</v>
      </c>
      <c r="Y18" s="1354" t="s">
        <v>102</v>
      </c>
      <c r="AA18" s="1388" t="s">
        <v>103</v>
      </c>
    </row>
    <row r="19" spans="1:28" ht="14.45">
      <c r="A19" s="1381" t="s">
        <v>104</v>
      </c>
      <c r="C19" s="1383"/>
      <c r="D19" s="1383">
        <f>+'Historical Financials'!BI55</f>
        <v>0.40717753754111435</v>
      </c>
      <c r="E19" s="1383">
        <f>+'Historical Financials'!BJ55</f>
        <v>0.50747709967444388</v>
      </c>
      <c r="F19" s="1383">
        <f>+'Historical Financials'!BK55</f>
        <v>0.65080049690651331</v>
      </c>
      <c r="G19" s="1382">
        <f>+'Historical Financials'!BL55</f>
        <v>0.55022789120906668</v>
      </c>
      <c r="H19" s="1382">
        <f>+'Historical Financials'!BM55</f>
        <v>0.54843620075989441</v>
      </c>
      <c r="I19" s="1382">
        <f>+'Historical Financials'!BN55</f>
        <v>0.38351640596561781</v>
      </c>
      <c r="J19" s="1382">
        <f>+'Historical Financials'!BO55</f>
        <v>0.74404237830967546</v>
      </c>
      <c r="K19" s="1374"/>
      <c r="L19" s="1385"/>
      <c r="M19" s="1385"/>
      <c r="N19" s="1385"/>
      <c r="O19" s="1385"/>
      <c r="P19" s="1385"/>
      <c r="Q19" s="1385"/>
      <c r="R19" s="1385"/>
      <c r="S19" s="1385"/>
      <c r="T19" s="1385"/>
      <c r="U19" s="1385"/>
      <c r="V19" s="1385"/>
      <c r="Y19" s="1354" t="s">
        <v>105</v>
      </c>
      <c r="AA19" s="1388" t="s">
        <v>103</v>
      </c>
    </row>
    <row r="20" spans="1:28" ht="14.45" hidden="1" outlineLevel="1">
      <c r="A20" s="1381"/>
      <c r="C20" s="1382"/>
      <c r="D20" s="1383"/>
      <c r="E20" s="1383"/>
      <c r="F20" s="1383"/>
      <c r="G20" s="1389"/>
      <c r="H20" s="1389"/>
      <c r="I20" s="1389"/>
      <c r="J20" s="1389"/>
      <c r="K20" s="1391"/>
      <c r="L20" s="1389"/>
      <c r="M20" s="1389"/>
      <c r="N20" s="1389"/>
      <c r="O20" s="1389"/>
      <c r="P20" s="1389"/>
      <c r="Q20" s="1389"/>
      <c r="R20" s="1389"/>
      <c r="S20" s="1389"/>
      <c r="T20" s="1389"/>
      <c r="U20" s="1389"/>
      <c r="V20" s="1389"/>
    </row>
    <row r="21" spans="1:28" ht="17.100000000000001" hidden="1" outlineLevel="1">
      <c r="A21" s="1399" t="s">
        <v>106</v>
      </c>
      <c r="C21" s="1400"/>
      <c r="D21" s="1401"/>
      <c r="E21" s="1401"/>
      <c r="F21" s="1401"/>
      <c r="G21" s="1402"/>
      <c r="H21" s="1402"/>
      <c r="I21" s="1402"/>
      <c r="J21" s="1402"/>
      <c r="K21" s="1403"/>
      <c r="L21" s="1402"/>
      <c r="M21" s="1402"/>
      <c r="N21" s="1402"/>
      <c r="O21" s="1402"/>
      <c r="P21" s="1402"/>
      <c r="Q21" s="1402"/>
      <c r="R21" s="1402"/>
      <c r="S21" s="1402"/>
      <c r="T21" s="1402"/>
      <c r="U21" s="1402"/>
      <c r="V21" s="1402"/>
      <c r="X21" s="1399"/>
      <c r="Z21" s="1364" t="s">
        <v>107</v>
      </c>
      <c r="AA21" s="1365"/>
      <c r="AB21" s="1363"/>
    </row>
    <row r="22" spans="1:28" s="1363" customFormat="1" ht="17.100000000000001" hidden="1" outlineLevel="1">
      <c r="A22" s="1381" t="s">
        <v>108</v>
      </c>
      <c r="C22" s="1382"/>
      <c r="D22" s="1383">
        <f>+D14</f>
        <v>0.19525416794517736</v>
      </c>
      <c r="E22" s="1383">
        <f t="shared" ref="E22:J22" si="38">+E14</f>
        <v>0.22536938787152727</v>
      </c>
      <c r="F22" s="1383">
        <f t="shared" si="38"/>
        <v>0.23278009264647692</v>
      </c>
      <c r="G22" s="1382">
        <f t="shared" si="38"/>
        <v>0.3201910912215109</v>
      </c>
      <c r="H22" s="1382">
        <f t="shared" si="38"/>
        <v>0.19261685451112753</v>
      </c>
      <c r="I22" s="1382">
        <f t="shared" si="38"/>
        <v>7.5686890613194446E-2</v>
      </c>
      <c r="J22" s="1389">
        <f t="shared" si="38"/>
        <v>0.25362900528463439</v>
      </c>
      <c r="K22" s="1391"/>
      <c r="L22" s="1389"/>
      <c r="M22" s="1389"/>
      <c r="N22" s="1389"/>
      <c r="O22" s="1389"/>
      <c r="P22" s="1389"/>
      <c r="Q22" s="1389"/>
      <c r="R22" s="1389"/>
      <c r="S22" s="1389"/>
      <c r="T22" s="1389"/>
      <c r="U22" s="1389"/>
      <c r="V22" s="1389"/>
      <c r="X22" s="1381"/>
      <c r="Z22" s="1366" t="s">
        <v>109</v>
      </c>
      <c r="AA22" s="1366" t="s">
        <v>88</v>
      </c>
    </row>
    <row r="23" spans="1:28" s="1363" customFormat="1" ht="14.45" hidden="1" outlineLevel="1">
      <c r="A23" s="1381" t="s">
        <v>110</v>
      </c>
      <c r="C23" s="1382"/>
      <c r="D23" s="1395">
        <f>+D22</f>
        <v>0.19525416794517736</v>
      </c>
      <c r="E23" s="1395">
        <f t="shared" ref="E23:F23" si="39">+E22</f>
        <v>0.22536938787152727</v>
      </c>
      <c r="F23" s="1395">
        <f t="shared" si="39"/>
        <v>0.23278009264647692</v>
      </c>
      <c r="G23" s="1396">
        <f>+'Historical Financials'!BL59</f>
        <v>0.26542721728129309</v>
      </c>
      <c r="H23" s="1396">
        <f>+'Historical Financials'!BM59</f>
        <v>0.23513022821554716</v>
      </c>
      <c r="I23" s="1396">
        <f>+'Historical Financials'!BN59</f>
        <v>3.1422154974339353E-2</v>
      </c>
      <c r="J23" s="1389">
        <f>+'Historical Financials'!BO59</f>
        <v>0.27951577913754239</v>
      </c>
      <c r="K23" s="1391"/>
      <c r="L23" s="1389"/>
      <c r="M23" s="1389"/>
      <c r="N23" s="1389"/>
      <c r="O23" s="1389"/>
      <c r="P23" s="1389"/>
      <c r="Q23" s="1389"/>
      <c r="R23" s="1389"/>
      <c r="S23" s="1389"/>
      <c r="T23" s="1389"/>
      <c r="U23" s="1389"/>
      <c r="V23" s="1389"/>
      <c r="X23" s="1381"/>
      <c r="Y23" s="1404" t="s">
        <v>111</v>
      </c>
    </row>
    <row r="24" spans="1:28" s="1363" customFormat="1" ht="14.45" hidden="1" outlineLevel="1">
      <c r="A24" s="1381"/>
      <c r="C24" s="1382"/>
      <c r="D24" s="1395"/>
      <c r="E24" s="1395"/>
      <c r="F24" s="1395"/>
      <c r="G24" s="1396"/>
      <c r="H24" s="1396"/>
      <c r="I24" s="1396"/>
      <c r="J24" s="1389"/>
      <c r="K24" s="1391"/>
      <c r="L24" s="1389"/>
      <c r="M24" s="1389"/>
      <c r="N24" s="1389"/>
      <c r="O24" s="1389"/>
      <c r="P24" s="1389"/>
      <c r="Q24" s="1389"/>
      <c r="R24" s="1389"/>
      <c r="S24" s="1389"/>
      <c r="T24" s="1389"/>
      <c r="U24" s="1389"/>
      <c r="V24" s="1389"/>
      <c r="X24" s="1381"/>
      <c r="Y24" s="1354" t="s">
        <v>86</v>
      </c>
      <c r="Z24" s="1405">
        <f>+H8</f>
        <v>198270</v>
      </c>
      <c r="AA24" s="1406">
        <f>+Z24*(1+AA25)</f>
        <v>218097.00000000003</v>
      </c>
    </row>
    <row r="25" spans="1:28" s="1363" customFormat="1" ht="14.45" hidden="1" outlineLevel="1">
      <c r="A25" s="1381" t="s">
        <v>112</v>
      </c>
      <c r="C25" s="1382"/>
      <c r="D25" s="1395">
        <f>+'Historical Financials'!BI62</f>
        <v>0.17249565306331185</v>
      </c>
      <c r="E25" s="1395">
        <f>+'Historical Financials'!BJ62</f>
        <v>0.24103656797307321</v>
      </c>
      <c r="F25" s="1395">
        <f>+'Historical Financials'!BK62</f>
        <v>0.29050722782187671</v>
      </c>
      <c r="G25" s="1396">
        <f>+'Historical Financials'!BL62</f>
        <v>0.28283879982628074</v>
      </c>
      <c r="H25" s="1396">
        <f>+'Historical Financials'!BM62</f>
        <v>0.21025030036043252</v>
      </c>
      <c r="I25" s="1396">
        <f>+'Historical Financials'!BN62</f>
        <v>0.14076322511782977</v>
      </c>
      <c r="J25" s="1389">
        <f>+'Historical Financials'!BO62</f>
        <v>0.24674738555533252</v>
      </c>
      <c r="K25" s="1391"/>
      <c r="L25" s="1389"/>
      <c r="M25" s="1389"/>
      <c r="N25" s="1389"/>
      <c r="O25" s="1389"/>
      <c r="P25" s="1389"/>
      <c r="Q25" s="1389"/>
      <c r="R25" s="1389"/>
      <c r="S25" s="1389"/>
      <c r="T25" s="1389"/>
      <c r="U25" s="1389"/>
      <c r="V25" s="1389"/>
      <c r="X25" s="1381"/>
      <c r="Y25" s="1381" t="s">
        <v>113</v>
      </c>
      <c r="AA25" s="1407">
        <v>0.1</v>
      </c>
    </row>
    <row r="26" spans="1:28" ht="14.45" collapsed="1">
      <c r="A26" s="1381"/>
      <c r="C26" s="1382"/>
      <c r="D26" s="1383"/>
      <c r="E26" s="1383"/>
      <c r="F26" s="1383"/>
      <c r="G26" s="1389"/>
      <c r="H26" s="1389"/>
      <c r="I26" s="1389"/>
      <c r="J26" s="1389"/>
      <c r="K26" s="1391"/>
      <c r="L26" s="1389"/>
      <c r="M26" s="1389"/>
      <c r="N26" s="1389"/>
      <c r="O26" s="1389"/>
      <c r="P26" s="1389"/>
      <c r="Q26" s="1389"/>
      <c r="R26" s="1389"/>
      <c r="S26" s="1389"/>
      <c r="T26" s="1389"/>
      <c r="U26" s="1389"/>
      <c r="V26" s="1389"/>
      <c r="Y26" s="1354" t="s">
        <v>95</v>
      </c>
      <c r="Z26" s="1405">
        <f>+H13</f>
        <v>83383</v>
      </c>
      <c r="AA26" s="1406">
        <f>+AA24*AA28</f>
        <v>91721.300000000017</v>
      </c>
    </row>
    <row r="27" spans="1:28" ht="14.45" hidden="1" outlineLevel="1">
      <c r="A27" s="1381" t="s">
        <v>114</v>
      </c>
      <c r="C27" s="1382"/>
      <c r="D27" s="1409">
        <f t="shared" ref="D27:J27" si="40">+D16*C13</f>
        <v>5059.47</v>
      </c>
      <c r="E27" s="1409">
        <f t="shared" si="40"/>
        <v>8450.26</v>
      </c>
      <c r="F27" s="1410">
        <f t="shared" si="40"/>
        <v>12479.900000000001</v>
      </c>
      <c r="G27" s="1410">
        <f t="shared" si="40"/>
        <v>12078.620000000006</v>
      </c>
      <c r="H27" s="1410">
        <f t="shared" si="40"/>
        <v>17672.225035918189</v>
      </c>
      <c r="I27" s="1410">
        <f t="shared" si="40"/>
        <v>8046.3335482253406</v>
      </c>
      <c r="J27" s="1389">
        <f t="shared" si="40"/>
        <v>24453.648293962731</v>
      </c>
      <c r="K27" s="1391"/>
      <c r="L27" s="1389"/>
      <c r="M27" s="1389"/>
      <c r="N27" s="1389"/>
      <c r="O27" s="1389"/>
      <c r="P27" s="1389"/>
      <c r="Q27" s="1389"/>
      <c r="R27" s="1389"/>
      <c r="S27" s="1389"/>
      <c r="T27" s="1389"/>
      <c r="U27" s="1389"/>
      <c r="V27" s="1389"/>
      <c r="Y27" s="1381" t="s">
        <v>113</v>
      </c>
      <c r="AA27" s="1411">
        <f>+AA26/Z26-1</f>
        <v>0.10000000000000031</v>
      </c>
    </row>
    <row r="28" spans="1:28" ht="14.45" hidden="1" outlineLevel="1">
      <c r="A28" s="1381"/>
      <c r="C28" s="1382"/>
      <c r="D28" s="1383"/>
      <c r="E28" s="1383"/>
      <c r="F28" s="1383"/>
      <c r="G28" s="1389"/>
      <c r="H28" s="1389"/>
      <c r="I28" s="1389"/>
      <c r="J28" s="1389"/>
      <c r="K28" s="1391"/>
      <c r="L28" s="1389"/>
      <c r="M28" s="1389"/>
      <c r="N28" s="1389"/>
      <c r="O28" s="1389"/>
      <c r="P28" s="1389"/>
      <c r="Q28" s="1389"/>
      <c r="R28" s="1389"/>
      <c r="S28" s="1389"/>
      <c r="T28" s="1389"/>
      <c r="U28" s="1389"/>
      <c r="V28" s="1389"/>
      <c r="Y28" s="1381" t="s">
        <v>123</v>
      </c>
      <c r="Z28" s="1411">
        <f>+Z26/Z24</f>
        <v>0.4205527815604983</v>
      </c>
      <c r="AA28" s="1407">
        <f>+Z28</f>
        <v>0.4205527815604983</v>
      </c>
    </row>
    <row r="29" spans="1:28" s="1417" customFormat="1" ht="17.100000000000001" collapsed="1">
      <c r="A29" s="1412" t="s">
        <v>115</v>
      </c>
      <c r="B29" s="1413"/>
      <c r="C29" s="1414">
        <f>+'Historical Financials'!BH88</f>
        <v>8778</v>
      </c>
      <c r="D29" s="1414">
        <f>+'Historical Financials'!BI88</f>
        <v>10261</v>
      </c>
      <c r="E29" s="1415">
        <f>+'Historical Financials'!BJ88</f>
        <v>11682</v>
      </c>
      <c r="F29" s="1415">
        <f>+'Historical Financials'!BK88</f>
        <v>12796</v>
      </c>
      <c r="G29" s="1415">
        <f>+'Historical Financials'!BL88</f>
        <v>11686</v>
      </c>
      <c r="H29" s="1415">
        <f>+'Historical Financials'!BM88</f>
        <v>14460</v>
      </c>
      <c r="I29" s="1415">
        <f>+'Historical Financials'!BN88</f>
        <v>13861</v>
      </c>
      <c r="J29" s="1415">
        <f>+'Historical Financials'!BO88</f>
        <v>20427</v>
      </c>
      <c r="K29" s="1416">
        <f>+'D&amp;A forecast - Case 1'!V52</f>
        <v>29970.842105263157</v>
      </c>
      <c r="L29" s="1414">
        <f>+'D&amp;A forecast - Case 1'!W52</f>
        <v>34074.15602074474</v>
      </c>
      <c r="M29" s="1414">
        <f>+'D&amp;A forecast - Case 1'!X52</f>
        <v>39084.924797674059</v>
      </c>
      <c r="N29" s="1414">
        <f>+'D&amp;A forecast - Case 1'!Y52</f>
        <v>43766.937904157821</v>
      </c>
      <c r="O29" s="1414">
        <f>+'D&amp;A forecast - Case 1'!Z52</f>
        <v>50568.843511325897</v>
      </c>
      <c r="P29" s="1414">
        <f>+'D&amp;A forecast - Case 1'!AA52</f>
        <v>55114.11686318506</v>
      </c>
      <c r="Q29" s="1414">
        <f>+'D&amp;A forecast - Case 1'!AB52</f>
        <v>60611.892757637062</v>
      </c>
      <c r="R29" s="1414">
        <f>+'D&amp;A forecast - Case 1'!AC52</f>
        <v>66194.877906253212</v>
      </c>
      <c r="S29" s="1414">
        <f>+'D&amp;A forecast - Case 1'!AD52</f>
        <v>70877.574882278597</v>
      </c>
      <c r="T29" s="1414">
        <f>+'D&amp;A forecast - Case 1'!AE52</f>
        <v>74368.1209826376</v>
      </c>
      <c r="U29" s="1414">
        <f>+'D&amp;A forecast - Case 1'!AF52</f>
        <v>78418.269405461775</v>
      </c>
      <c r="V29" s="1414">
        <f>+'D&amp;A forecast - Case 1'!AG52</f>
        <v>84521.259319090081</v>
      </c>
      <c r="Y29" s="1418" t="s">
        <v>116</v>
      </c>
    </row>
    <row r="30" spans="1:28" s="1363" customFormat="1" ht="14.45" hidden="1" outlineLevel="1">
      <c r="A30" s="1419" t="s">
        <v>118</v>
      </c>
      <c r="C30" s="1382">
        <f t="shared" ref="C30:V30" si="41">+C29/C8</f>
        <v>9.0896853092543306E-2</v>
      </c>
      <c r="D30" s="1382">
        <f t="shared" si="41"/>
        <v>9.2977528089887643E-2</v>
      </c>
      <c r="E30" s="1382">
        <f t="shared" si="41"/>
        <v>9.2829954784930432E-2</v>
      </c>
      <c r="F30" s="1382">
        <f t="shared" si="41"/>
        <v>8.9473132188931229E-2</v>
      </c>
      <c r="G30" s="1382">
        <f t="shared" si="41"/>
        <v>6.9523106943981727E-2</v>
      </c>
      <c r="H30" s="1382">
        <f t="shared" si="41"/>
        <v>7.2930851868663937E-2</v>
      </c>
      <c r="I30" s="1382">
        <f t="shared" si="41"/>
        <v>6.5408300497841118E-2</v>
      </c>
      <c r="J30" s="1382">
        <f t="shared" si="41"/>
        <v>8.333401326686303E-2</v>
      </c>
      <c r="K30" s="1397">
        <f t="shared" si="41"/>
        <v>0.10783044735954564</v>
      </c>
      <c r="L30" s="1382">
        <f t="shared" si="41"/>
        <v>0.10848985417436982</v>
      </c>
      <c r="M30" s="1382">
        <f t="shared" si="41"/>
        <v>0.11012726532985685</v>
      </c>
      <c r="N30" s="1382">
        <f t="shared" si="41"/>
        <v>0.10913229634887897</v>
      </c>
      <c r="O30" s="1382">
        <f t="shared" si="41"/>
        <v>0.11158651365879889</v>
      </c>
      <c r="P30" s="1382">
        <f t="shared" si="41"/>
        <v>0.1076249831905688</v>
      </c>
      <c r="Q30" s="1382">
        <f t="shared" si="41"/>
        <v>0.10474411858096964</v>
      </c>
      <c r="R30" s="1382">
        <f t="shared" si="41"/>
        <v>0.10123198257637618</v>
      </c>
      <c r="S30" s="1382">
        <f t="shared" si="41"/>
        <v>9.5923223082187148E-2</v>
      </c>
      <c r="T30" s="1382">
        <f t="shared" si="41"/>
        <v>8.9068323634895849E-2</v>
      </c>
      <c r="U30" s="1382">
        <f t="shared" si="41"/>
        <v>8.3114209790952021E-2</v>
      </c>
      <c r="V30" s="1382">
        <f t="shared" si="41"/>
        <v>7.9276696053649703E-2</v>
      </c>
      <c r="Y30" s="1354" t="s">
        <v>119</v>
      </c>
      <c r="Z30" s="1405">
        <f>+Z24</f>
        <v>198270</v>
      </c>
      <c r="AA30" s="1406">
        <f>+Z30*(1+AA31)</f>
        <v>226027.80000000002</v>
      </c>
    </row>
    <row r="31" spans="1:28" s="1363" customFormat="1" ht="14.45" hidden="1" outlineLevel="1">
      <c r="A31" s="1420"/>
      <c r="C31" s="1361"/>
      <c r="D31" s="1361"/>
      <c r="E31" s="1361"/>
      <c r="F31" s="1361"/>
      <c r="G31" s="1361"/>
      <c r="H31" s="1361"/>
      <c r="I31" s="1361"/>
      <c r="J31" s="1361"/>
      <c r="K31" s="1421"/>
      <c r="L31" s="1361"/>
      <c r="M31" s="1361"/>
      <c r="N31" s="1361"/>
      <c r="O31" s="1361"/>
      <c r="P31" s="1361"/>
      <c r="Q31" s="1361"/>
      <c r="R31" s="1361"/>
      <c r="S31" s="1361"/>
      <c r="T31" s="1361"/>
      <c r="U31" s="1361"/>
      <c r="V31" s="1361"/>
      <c r="Y31" s="1381" t="s">
        <v>120</v>
      </c>
      <c r="AA31" s="1407">
        <f>+AA25+4%</f>
        <v>0.14000000000000001</v>
      </c>
    </row>
    <row r="32" spans="1:28" s="1363" customFormat="1" ht="14.45" hidden="1" outlineLevel="1">
      <c r="A32" s="1422"/>
      <c r="C32" s="1396"/>
      <c r="D32" s="1395"/>
      <c r="E32" s="1395"/>
      <c r="F32" s="1373"/>
      <c r="G32" s="1373"/>
      <c r="H32" s="1373"/>
      <c r="I32" s="1373"/>
      <c r="J32" s="1371"/>
      <c r="K32" s="1391"/>
      <c r="L32" s="1389"/>
      <c r="M32" s="1389"/>
      <c r="N32" s="1389"/>
      <c r="O32" s="1389"/>
      <c r="P32" s="1389"/>
      <c r="Q32" s="1389"/>
      <c r="R32" s="1389"/>
      <c r="S32" s="1389"/>
      <c r="T32" s="1389"/>
      <c r="U32" s="1389"/>
      <c r="V32" s="1389"/>
      <c r="Y32" s="1381"/>
      <c r="AA32" s="1411"/>
    </row>
    <row r="33" spans="1:27" collapsed="1">
      <c r="A33" s="1423" t="s">
        <v>121</v>
      </c>
      <c r="B33" s="1380"/>
      <c r="C33" s="1380">
        <f t="shared" ref="C33:V33" si="42">+C13+C29</f>
        <v>38109</v>
      </c>
      <c r="D33" s="1380">
        <f t="shared" si="42"/>
        <v>45319</v>
      </c>
      <c r="E33" s="1424">
        <f t="shared" si="42"/>
        <v>54641</v>
      </c>
      <c r="F33" s="1424">
        <f t="shared" si="42"/>
        <v>65755</v>
      </c>
      <c r="G33" s="1424">
        <f t="shared" si="42"/>
        <v>81602</v>
      </c>
      <c r="H33" s="1424">
        <f t="shared" si="42"/>
        <v>97843</v>
      </c>
      <c r="I33" s="1424">
        <f t="shared" si="42"/>
        <v>103555</v>
      </c>
      <c r="J33" s="1424">
        <f t="shared" si="42"/>
        <v>132870</v>
      </c>
      <c r="K33" s="1425">
        <f t="shared" si="42"/>
        <v>159571.86822904905</v>
      </c>
      <c r="L33" s="1380">
        <f t="shared" si="42"/>
        <v>191928.41016796176</v>
      </c>
      <c r="M33" s="1380">
        <f t="shared" si="42"/>
        <v>222370.11830690404</v>
      </c>
      <c r="N33" s="1380">
        <f t="shared" si="42"/>
        <v>252346.42816663202</v>
      </c>
      <c r="O33" s="1380">
        <f t="shared" si="42"/>
        <v>283788.78245713696</v>
      </c>
      <c r="P33" s="1380">
        <f t="shared" si="42"/>
        <v>311944.16537342413</v>
      </c>
      <c r="Q33" s="1380">
        <f t="shared" si="42"/>
        <v>341150.1708906198</v>
      </c>
      <c r="R33" s="1380">
        <f t="shared" si="42"/>
        <v>371433.67459278886</v>
      </c>
      <c r="S33" s="1380">
        <f t="shared" si="42"/>
        <v>404166.9526802561</v>
      </c>
      <c r="T33" s="1380">
        <f t="shared" si="42"/>
        <v>427490.51689013559</v>
      </c>
      <c r="U33" s="1380">
        <f t="shared" si="42"/>
        <v>457684.02900136163</v>
      </c>
      <c r="V33" s="1380">
        <f t="shared" si="42"/>
        <v>496263.55776330549</v>
      </c>
      <c r="Y33" s="1354" t="s">
        <v>122</v>
      </c>
      <c r="Z33" s="1405">
        <f>+Z26</f>
        <v>83383</v>
      </c>
      <c r="AA33" s="1406">
        <f>+AA30*AA35</f>
        <v>95056.62000000001</v>
      </c>
    </row>
    <row r="34" spans="1:27" s="1363" customFormat="1" ht="14.45">
      <c r="A34" s="1419" t="s">
        <v>87</v>
      </c>
      <c r="C34" s="1382"/>
      <c r="D34" s="1382">
        <f t="shared" ref="D34:V34" si="43">+D33/C33-1</f>
        <v>0.18919415361200764</v>
      </c>
      <c r="E34" s="1382">
        <f t="shared" si="43"/>
        <v>0.2056973896158345</v>
      </c>
      <c r="F34" s="1382">
        <f t="shared" si="43"/>
        <v>0.20340037700627733</v>
      </c>
      <c r="G34" s="1382">
        <f t="shared" si="43"/>
        <v>0.24100068435860389</v>
      </c>
      <c r="H34" s="1382">
        <f t="shared" si="43"/>
        <v>0.1990269846327295</v>
      </c>
      <c r="I34" s="1382">
        <f t="shared" si="43"/>
        <v>5.8379240211358985E-2</v>
      </c>
      <c r="J34" s="1382">
        <f t="shared" si="43"/>
        <v>0.28308628265173086</v>
      </c>
      <c r="K34" s="1397">
        <f t="shared" si="43"/>
        <v>0.20096235590463651</v>
      </c>
      <c r="L34" s="1382">
        <f t="shared" si="43"/>
        <v>0.20277096644922521</v>
      </c>
      <c r="M34" s="1382">
        <f t="shared" si="43"/>
        <v>0.15860970302573718</v>
      </c>
      <c r="N34" s="1382">
        <f t="shared" si="43"/>
        <v>0.13480367815587613</v>
      </c>
      <c r="O34" s="1382">
        <f t="shared" si="43"/>
        <v>0.12459995776022081</v>
      </c>
      <c r="P34" s="1382">
        <f t="shared" si="43"/>
        <v>9.9212458901682288E-2</v>
      </c>
      <c r="Q34" s="1382">
        <f t="shared" si="43"/>
        <v>9.3625747037882734E-2</v>
      </c>
      <c r="R34" s="1382">
        <f t="shared" si="43"/>
        <v>8.8768836384017558E-2</v>
      </c>
      <c r="S34" s="1382">
        <f t="shared" si="43"/>
        <v>8.8126845589198366E-2</v>
      </c>
      <c r="T34" s="1382">
        <f t="shared" si="43"/>
        <v>5.7707746898176593E-2</v>
      </c>
      <c r="U34" s="1382">
        <f t="shared" si="43"/>
        <v>7.0629665263395092E-2</v>
      </c>
      <c r="V34" s="1382">
        <f t="shared" si="43"/>
        <v>8.4292932060841208E-2</v>
      </c>
      <c r="Y34" s="1381" t="s">
        <v>113</v>
      </c>
      <c r="Z34" s="1400"/>
      <c r="AA34" s="1411">
        <f>+AA33/Z33-1</f>
        <v>0.14000000000000012</v>
      </c>
    </row>
    <row r="35" spans="1:27" s="1363" customFormat="1" ht="14.45">
      <c r="A35" s="1419" t="s">
        <v>99</v>
      </c>
      <c r="C35" s="1382">
        <f t="shared" ref="C35:V35" si="44">+C33/C8</f>
        <v>0.39462157376438062</v>
      </c>
      <c r="D35" s="1383">
        <f t="shared" si="44"/>
        <v>0.41064697354113811</v>
      </c>
      <c r="E35" s="1383">
        <f t="shared" si="44"/>
        <v>0.43419975683987189</v>
      </c>
      <c r="F35" s="1383">
        <f t="shared" si="44"/>
        <v>0.45977694647414608</v>
      </c>
      <c r="G35" s="1382">
        <f t="shared" si="44"/>
        <v>0.48547189567369475</v>
      </c>
      <c r="H35" s="1382">
        <f t="shared" si="44"/>
        <v>0.49348363342916224</v>
      </c>
      <c r="I35" s="1382">
        <f t="shared" si="44"/>
        <v>0.48866290729773731</v>
      </c>
      <c r="J35" s="1382">
        <f t="shared" si="44"/>
        <v>0.5420566085459485</v>
      </c>
      <c r="K35" s="1397">
        <f t="shared" si="44"/>
        <v>0.57411486393020539</v>
      </c>
      <c r="L35" s="1382">
        <f t="shared" si="44"/>
        <v>0.61108733605504306</v>
      </c>
      <c r="M35" s="1382">
        <f t="shared" si="44"/>
        <v>0.62655904154824982</v>
      </c>
      <c r="N35" s="1382">
        <f t="shared" si="44"/>
        <v>0.62922257073519849</v>
      </c>
      <c r="O35" s="1382">
        <f t="shared" si="44"/>
        <v>0.62621564289432019</v>
      </c>
      <c r="P35" s="1382">
        <f t="shared" si="44"/>
        <v>0.60915401471554298</v>
      </c>
      <c r="Q35" s="1382">
        <f t="shared" si="44"/>
        <v>0.58954558796850554</v>
      </c>
      <c r="R35" s="1382">
        <f t="shared" si="44"/>
        <v>0.56803439275026657</v>
      </c>
      <c r="S35" s="1382">
        <f t="shared" si="44"/>
        <v>0.54698537342435705</v>
      </c>
      <c r="T35" s="1382">
        <f t="shared" si="44"/>
        <v>0.51199174062914554</v>
      </c>
      <c r="U35" s="1382">
        <f t="shared" si="44"/>
        <v>0.48509163352867712</v>
      </c>
      <c r="V35" s="1382">
        <f t="shared" si="44"/>
        <v>0.46547029171415261</v>
      </c>
      <c r="Y35" s="1381" t="s">
        <v>123</v>
      </c>
      <c r="Z35" s="1411">
        <f>+Z33/Z30</f>
        <v>0.4205527815604983</v>
      </c>
      <c r="AA35" s="1407">
        <f>+Z35</f>
        <v>0.4205527815604983</v>
      </c>
    </row>
    <row r="36" spans="1:27" s="1363" customFormat="1" ht="14.45">
      <c r="A36" s="1419" t="s">
        <v>101</v>
      </c>
      <c r="C36" s="1383"/>
      <c r="D36" s="1383">
        <f t="shared" ref="D36:V36" si="45">(D33-C33)/(D8-C8)</f>
        <v>0.52288055696569724</v>
      </c>
      <c r="E36" s="1383">
        <f t="shared" si="45"/>
        <v>0.60207970031647617</v>
      </c>
      <c r="F36" s="1383">
        <f t="shared" si="45"/>
        <v>0.64721639878872583</v>
      </c>
      <c r="G36" s="1383">
        <f t="shared" si="45"/>
        <v>0.63203445937861447</v>
      </c>
      <c r="H36" s="1383">
        <f t="shared" si="45"/>
        <v>0.53810218010734878</v>
      </c>
      <c r="I36" s="1383">
        <f t="shared" si="45"/>
        <v>0.41861487724441188</v>
      </c>
      <c r="J36" s="1383">
        <f t="shared" si="45"/>
        <v>0.88279579606709424</v>
      </c>
      <c r="K36" s="1384">
        <f t="shared" si="45"/>
        <v>0.81353195029823211</v>
      </c>
      <c r="L36" s="1383">
        <f t="shared" si="45"/>
        <v>0.89549096778456383</v>
      </c>
      <c r="M36" s="1383">
        <f t="shared" si="45"/>
        <v>0.7455721607267638</v>
      </c>
      <c r="N36" s="1383">
        <f t="shared" si="45"/>
        <v>0.64971125678864994</v>
      </c>
      <c r="O36" s="1383">
        <f t="shared" si="45"/>
        <v>0.60308542873371784</v>
      </c>
      <c r="P36" s="1383">
        <f t="shared" si="45"/>
        <v>0.47791072103264126</v>
      </c>
      <c r="Q36" s="1383">
        <f t="shared" si="45"/>
        <v>0.43871153606821678</v>
      </c>
      <c r="R36" s="1383">
        <f t="shared" si="45"/>
        <v>0.40256366030227475</v>
      </c>
      <c r="S36" s="1383">
        <f t="shared" si="45"/>
        <v>0.38506984014812951</v>
      </c>
      <c r="T36" s="1383">
        <f t="shared" si="45"/>
        <v>0.24280994989674909</v>
      </c>
      <c r="U36" s="1383">
        <f t="shared" si="45"/>
        <v>0.27816773275584317</v>
      </c>
      <c r="V36" s="1383">
        <f t="shared" si="45"/>
        <v>0.3145368931408869</v>
      </c>
    </row>
    <row r="37" spans="1:27" hidden="1" outlineLevel="1">
      <c r="C37" s="1353"/>
      <c r="D37" s="1353"/>
      <c r="E37" s="1353"/>
      <c r="F37" s="1353"/>
      <c r="G37" s="1353"/>
      <c r="H37" s="1353"/>
      <c r="I37" s="1353"/>
      <c r="J37" s="1353"/>
      <c r="K37" s="1427"/>
      <c r="L37" s="1353"/>
      <c r="M37" s="1353"/>
      <c r="N37" s="1353"/>
      <c r="O37" s="1353"/>
      <c r="P37" s="1353"/>
      <c r="Q37" s="1353"/>
      <c r="R37" s="1353"/>
      <c r="S37" s="1353"/>
      <c r="T37" s="1353"/>
      <c r="U37" s="1353"/>
      <c r="V37" s="1353"/>
    </row>
    <row r="38" spans="1:27" hidden="1" outlineLevel="1">
      <c r="A38" s="1399" t="s">
        <v>124</v>
      </c>
      <c r="C38" s="1353"/>
      <c r="D38" s="1353"/>
      <c r="E38" s="1353"/>
      <c r="F38" s="1353"/>
      <c r="G38" s="1353"/>
      <c r="H38" s="1353"/>
      <c r="I38" s="1353"/>
      <c r="J38" s="1353"/>
      <c r="K38" s="1427"/>
      <c r="L38" s="1353"/>
      <c r="M38" s="1353"/>
      <c r="N38" s="1353"/>
      <c r="O38" s="1353"/>
      <c r="P38" s="1353"/>
      <c r="Q38" s="1353"/>
      <c r="R38" s="1353"/>
      <c r="S38" s="1353"/>
      <c r="T38" s="1353"/>
      <c r="U38" s="1353"/>
      <c r="V38" s="1353"/>
    </row>
    <row r="39" spans="1:27" hidden="1" outlineLevel="1">
      <c r="A39" s="1428" t="s">
        <v>125</v>
      </c>
      <c r="C39" s="1353"/>
      <c r="D39" s="1353"/>
      <c r="E39" s="1353"/>
      <c r="F39" s="1353"/>
      <c r="G39" s="1353"/>
      <c r="H39" s="1353"/>
      <c r="I39" s="1353"/>
      <c r="J39" s="1429">
        <f>+'D&amp;A forecast - Case 1'!U53</f>
        <v>2287</v>
      </c>
      <c r="K39" s="1430">
        <f>+'D&amp;A forecast - Case 1'!V53</f>
        <v>2287</v>
      </c>
      <c r="L39" s="1431">
        <f>+'D&amp;A forecast - Case 1'!W53</f>
        <v>2287</v>
      </c>
      <c r="M39" s="1431">
        <f>+'D&amp;A forecast - Case 1'!X53</f>
        <v>2287</v>
      </c>
      <c r="N39" s="1431">
        <f>+'D&amp;A forecast - Case 1'!Y53</f>
        <v>2287</v>
      </c>
      <c r="O39" s="1431">
        <f>+'D&amp;A forecast - Case 1'!Z53</f>
        <v>2287</v>
      </c>
      <c r="P39" s="1431">
        <f>+'D&amp;A forecast - Case 1'!AA53</f>
        <v>2287</v>
      </c>
      <c r="Q39" s="1431">
        <f>+'D&amp;A forecast - Case 1'!AB53</f>
        <v>2287</v>
      </c>
      <c r="R39" s="1431">
        <f>+'D&amp;A forecast - Case 1'!AC53</f>
        <v>2287</v>
      </c>
      <c r="S39" s="1431">
        <f>+'D&amp;A forecast - Case 1'!AD53</f>
        <v>2287</v>
      </c>
      <c r="T39" s="1431">
        <f>+'D&amp;A forecast - Case 1'!AE53</f>
        <v>2287</v>
      </c>
      <c r="U39" s="1431">
        <f>+'D&amp;A forecast - Case 1'!AF53</f>
        <v>2287</v>
      </c>
      <c r="V39" s="1431">
        <f>+'D&amp;A forecast - Case 1'!AH53</f>
        <v>0</v>
      </c>
    </row>
    <row r="40" spans="1:27" collapsed="1">
      <c r="C40" s="1353"/>
      <c r="D40" s="1353"/>
      <c r="E40" s="1353"/>
      <c r="F40" s="1353"/>
      <c r="G40" s="1353"/>
      <c r="H40" s="1353"/>
      <c r="I40" s="1353"/>
      <c r="J40" s="1353"/>
      <c r="K40" s="1427"/>
      <c r="L40" s="1353"/>
      <c r="M40" s="1353"/>
      <c r="N40" s="1353"/>
      <c r="O40" s="1353"/>
      <c r="P40" s="1353"/>
      <c r="Q40" s="1353"/>
      <c r="R40" s="1353"/>
      <c r="S40" s="1353"/>
      <c r="T40" s="1353"/>
      <c r="U40" s="1353"/>
      <c r="V40" s="1353"/>
      <c r="X40" s="1387" t="s">
        <v>126</v>
      </c>
    </row>
    <row r="41" spans="1:27" ht="14.45">
      <c r="A41" s="1422" t="s">
        <v>127</v>
      </c>
      <c r="C41" s="1353"/>
      <c r="D41" s="1353"/>
      <c r="E41" s="1353"/>
      <c r="F41" s="1353"/>
      <c r="G41" s="1353"/>
      <c r="H41" s="1353"/>
      <c r="I41" s="1353"/>
      <c r="J41" s="1432"/>
      <c r="K41" s="1427"/>
      <c r="L41" s="1353"/>
      <c r="M41" s="1353"/>
      <c r="N41" s="1353"/>
      <c r="O41" s="1353"/>
      <c r="P41" s="1353"/>
      <c r="Q41" s="1353"/>
      <c r="R41" s="1353"/>
      <c r="S41" s="1353"/>
      <c r="T41" s="1353"/>
      <c r="U41" s="1353"/>
      <c r="V41" s="1353"/>
      <c r="X41" s="1354" t="s">
        <v>128</v>
      </c>
    </row>
    <row r="42" spans="1:27" ht="14.45">
      <c r="A42" s="1381" t="s">
        <v>129</v>
      </c>
      <c r="C42" s="1382"/>
      <c r="D42" s="1383">
        <f t="shared" ref="D42:U42" si="46">+D29/C29-1</f>
        <v>0.16894508999772162</v>
      </c>
      <c r="E42" s="1383">
        <f t="shared" si="46"/>
        <v>0.13848552772634237</v>
      </c>
      <c r="F42" s="1383">
        <f t="shared" si="46"/>
        <v>9.5360383495976642E-2</v>
      </c>
      <c r="G42" s="1382">
        <f t="shared" si="46"/>
        <v>-8.6745858080650162E-2</v>
      </c>
      <c r="H42" s="1382">
        <f t="shared" si="46"/>
        <v>0.23737805921615607</v>
      </c>
      <c r="I42" s="1382">
        <f t="shared" si="46"/>
        <v>-4.1424619640387239E-2</v>
      </c>
      <c r="J42" s="1382">
        <f t="shared" si="46"/>
        <v>0.47370319601760325</v>
      </c>
      <c r="K42" s="1384">
        <f t="shared" si="46"/>
        <v>0.4672170218467302</v>
      </c>
      <c r="L42" s="1383">
        <f t="shared" si="46"/>
        <v>0.13691019762040657</v>
      </c>
      <c r="M42" s="1383">
        <f t="shared" si="46"/>
        <v>0.14705481696681511</v>
      </c>
      <c r="N42" s="1383">
        <f t="shared" si="46"/>
        <v>0.11979076666311994</v>
      </c>
      <c r="O42" s="1383">
        <f t="shared" si="46"/>
        <v>0.15541196009789626</v>
      </c>
      <c r="P42" s="1383">
        <f t="shared" si="46"/>
        <v>8.9882881162610673E-2</v>
      </c>
      <c r="Q42" s="1383">
        <f t="shared" si="46"/>
        <v>9.9752589850975015E-2</v>
      </c>
      <c r="R42" s="1383">
        <f t="shared" si="46"/>
        <v>9.2110391123080282E-2</v>
      </c>
      <c r="S42" s="1383">
        <f t="shared" si="46"/>
        <v>7.074107731805368E-2</v>
      </c>
      <c r="T42" s="1383">
        <f t="shared" si="46"/>
        <v>4.9247538536081326E-2</v>
      </c>
      <c r="U42" s="1383">
        <f t="shared" si="46"/>
        <v>5.4460814248214584E-2</v>
      </c>
      <c r="V42" s="1383">
        <f>+V29/U29-1</f>
        <v>7.7826123426325333E-2</v>
      </c>
      <c r="AA42" s="1388"/>
    </row>
    <row r="43" spans="1:27" ht="14.45">
      <c r="A43" s="1381" t="s">
        <v>130</v>
      </c>
      <c r="C43" s="1382"/>
      <c r="D43" s="1383">
        <f>D29/D8</f>
        <v>9.2977528089887643E-2</v>
      </c>
      <c r="E43" s="1383">
        <f t="shared" ref="E43:V43" si="47">E29/E8</f>
        <v>9.2829954784930432E-2</v>
      </c>
      <c r="F43" s="1383">
        <f t="shared" si="47"/>
        <v>8.9473132188931229E-2</v>
      </c>
      <c r="G43" s="1382">
        <f t="shared" si="47"/>
        <v>6.9523106943981727E-2</v>
      </c>
      <c r="H43" s="1382">
        <f t="shared" si="47"/>
        <v>7.2930851868663937E-2</v>
      </c>
      <c r="I43" s="1382">
        <f t="shared" si="47"/>
        <v>6.5408300497841118E-2</v>
      </c>
      <c r="J43" s="1382">
        <f t="shared" si="47"/>
        <v>8.333401326686303E-2</v>
      </c>
      <c r="K43" s="1384">
        <f t="shared" si="47"/>
        <v>0.10783044735954564</v>
      </c>
      <c r="L43" s="1383">
        <f t="shared" si="47"/>
        <v>0.10848985417436982</v>
      </c>
      <c r="M43" s="1383">
        <f t="shared" si="47"/>
        <v>0.11012726532985685</v>
      </c>
      <c r="N43" s="1383">
        <f t="shared" si="47"/>
        <v>0.10913229634887897</v>
      </c>
      <c r="O43" s="1383">
        <f t="shared" si="47"/>
        <v>0.11158651365879889</v>
      </c>
      <c r="P43" s="1383">
        <f t="shared" si="47"/>
        <v>0.1076249831905688</v>
      </c>
      <c r="Q43" s="1383">
        <f t="shared" si="47"/>
        <v>0.10474411858096964</v>
      </c>
      <c r="R43" s="1383">
        <f t="shared" si="47"/>
        <v>0.10123198257637618</v>
      </c>
      <c r="S43" s="1383">
        <f t="shared" si="47"/>
        <v>9.5923223082187148E-2</v>
      </c>
      <c r="T43" s="1383">
        <f t="shared" si="47"/>
        <v>8.9068323634895849E-2</v>
      </c>
      <c r="U43" s="1383">
        <f t="shared" si="47"/>
        <v>8.3114209790952021E-2</v>
      </c>
      <c r="V43" s="1383">
        <f t="shared" si="47"/>
        <v>7.9276696053649703E-2</v>
      </c>
      <c r="AA43" s="1388"/>
    </row>
    <row r="44" spans="1:27">
      <c r="C44" s="1353"/>
      <c r="D44" s="1353"/>
      <c r="E44" s="1353"/>
      <c r="F44" s="1353"/>
      <c r="G44" s="1353"/>
      <c r="H44" s="1353"/>
      <c r="I44" s="1353"/>
      <c r="J44" s="1353"/>
      <c r="K44" s="1427"/>
      <c r="L44" s="1353"/>
      <c r="M44" s="1353"/>
      <c r="N44" s="1353"/>
      <c r="O44" s="1353"/>
      <c r="P44" s="1353"/>
      <c r="Q44" s="1353"/>
      <c r="R44" s="1353"/>
      <c r="S44" s="1353"/>
      <c r="T44" s="1353"/>
      <c r="U44" s="1353"/>
      <c r="V44" s="1353"/>
    </row>
    <row r="45" spans="1:27" ht="14.45">
      <c r="A45" s="1422" t="s">
        <v>127</v>
      </c>
      <c r="C45" s="1353"/>
      <c r="D45" s="1353"/>
      <c r="E45" s="1353"/>
      <c r="F45" s="1353"/>
      <c r="G45" s="1353"/>
      <c r="H45" s="1353"/>
      <c r="I45" s="1353"/>
      <c r="J45" s="1353"/>
      <c r="K45" s="1427"/>
      <c r="L45" s="1353"/>
      <c r="M45" s="1353"/>
      <c r="N45" s="1353"/>
      <c r="O45" s="1353"/>
      <c r="P45" s="1353"/>
      <c r="Q45" s="1353"/>
      <c r="R45" s="1353"/>
      <c r="S45" s="1353"/>
      <c r="T45" s="1353"/>
      <c r="U45" s="1353"/>
      <c r="V45" s="1353"/>
    </row>
    <row r="46" spans="1:27" ht="14.45">
      <c r="A46" s="1381" t="s">
        <v>131</v>
      </c>
      <c r="B46" s="1433"/>
      <c r="C46" s="1433">
        <f t="shared" ref="C46" si="48">+C8-C33</f>
        <v>58462</v>
      </c>
      <c r="D46" s="1433">
        <f>+D8-D33</f>
        <v>65041</v>
      </c>
      <c r="E46" s="1433">
        <f t="shared" ref="E46:V46" si="49">+E8-E33</f>
        <v>71202</v>
      </c>
      <c r="F46" s="1433">
        <f t="shared" si="49"/>
        <v>77260</v>
      </c>
      <c r="G46" s="1433">
        <f t="shared" si="49"/>
        <v>86486</v>
      </c>
      <c r="H46" s="1433">
        <f t="shared" si="49"/>
        <v>100427</v>
      </c>
      <c r="I46" s="1424">
        <f t="shared" si="49"/>
        <v>108360</v>
      </c>
      <c r="J46" s="1424">
        <f t="shared" si="49"/>
        <v>112252</v>
      </c>
      <c r="K46" s="1425">
        <f t="shared" si="49"/>
        <v>118372.28241821248</v>
      </c>
      <c r="L46" s="1433">
        <f t="shared" si="49"/>
        <v>122148.48006344374</v>
      </c>
      <c r="M46" s="1433">
        <f t="shared" si="49"/>
        <v>132536.76765458414</v>
      </c>
      <c r="N46" s="1433">
        <f t="shared" si="49"/>
        <v>148698.3529698496</v>
      </c>
      <c r="O46" s="1433">
        <f t="shared" si="49"/>
        <v>169391.82022708724</v>
      </c>
      <c r="P46" s="1433">
        <f t="shared" si="49"/>
        <v>200149.91565974918</v>
      </c>
      <c r="Q46" s="1433">
        <f t="shared" si="49"/>
        <v>237516.14067686599</v>
      </c>
      <c r="R46" s="1433">
        <f t="shared" si="49"/>
        <v>282459.25747847004</v>
      </c>
      <c r="S46" s="1433">
        <f t="shared" si="49"/>
        <v>334732.06056026637</v>
      </c>
      <c r="T46" s="1433">
        <f t="shared" si="49"/>
        <v>407465.3680716547</v>
      </c>
      <c r="U46" s="1433">
        <f t="shared" si="49"/>
        <v>485816.12100546126</v>
      </c>
      <c r="V46" s="1433">
        <f t="shared" si="49"/>
        <v>569891.6117444043</v>
      </c>
    </row>
    <row r="47" spans="1:27" ht="14.45">
      <c r="A47" s="1419" t="s">
        <v>132</v>
      </c>
      <c r="C47" s="1353"/>
      <c r="D47" s="1382">
        <f t="shared" ref="D47:V47" si="50">+D46/C46-1</f>
        <v>0.11253463788443785</v>
      </c>
      <c r="E47" s="1382">
        <f t="shared" si="50"/>
        <v>9.4724865853845985E-2</v>
      </c>
      <c r="F47" s="1382">
        <f t="shared" si="50"/>
        <v>8.5081879722479714E-2</v>
      </c>
      <c r="G47" s="1382">
        <f t="shared" si="50"/>
        <v>0.11941496246440586</v>
      </c>
      <c r="H47" s="1382">
        <f t="shared" si="50"/>
        <v>0.16119371921467063</v>
      </c>
      <c r="I47" s="1382">
        <f t="shared" si="50"/>
        <v>7.8992701166021195E-2</v>
      </c>
      <c r="J47" s="1382">
        <f t="shared" si="50"/>
        <v>3.5917312661498668E-2</v>
      </c>
      <c r="K47" s="1397">
        <f t="shared" si="50"/>
        <v>5.4522702653070576E-2</v>
      </c>
      <c r="L47" s="1382">
        <f t="shared" si="50"/>
        <v>3.1901029261984348E-2</v>
      </c>
      <c r="M47" s="1382">
        <f t="shared" si="50"/>
        <v>8.5046392601404008E-2</v>
      </c>
      <c r="N47" s="1382">
        <f t="shared" si="50"/>
        <v>0.12194039134397494</v>
      </c>
      <c r="O47" s="1382">
        <f t="shared" si="50"/>
        <v>0.13916406499427403</v>
      </c>
      <c r="P47" s="1382">
        <f t="shared" si="50"/>
        <v>0.18157957917582768</v>
      </c>
      <c r="Q47" s="1382">
        <f t="shared" si="50"/>
        <v>0.18669118542442287</v>
      </c>
      <c r="R47" s="1382">
        <f t="shared" si="50"/>
        <v>0.18922131638517947</v>
      </c>
      <c r="S47" s="1382">
        <f t="shared" si="50"/>
        <v>0.18506316113848986</v>
      </c>
      <c r="T47" s="1382">
        <f t="shared" si="50"/>
        <v>0.21728814201319424</v>
      </c>
      <c r="U47" s="1382">
        <f t="shared" si="50"/>
        <v>0.19228812820241492</v>
      </c>
      <c r="V47" s="1382">
        <f t="shared" si="50"/>
        <v>0.17306031459997162</v>
      </c>
    </row>
    <row r="48" spans="1:27" ht="14.45">
      <c r="A48" s="1419" t="s">
        <v>118</v>
      </c>
      <c r="C48" s="1353"/>
      <c r="D48" s="1382">
        <f>+D46/D8</f>
        <v>0.58935302645886189</v>
      </c>
      <c r="E48" s="1382">
        <f t="shared" ref="E48:V48" si="51">+E46/E8</f>
        <v>0.56580024316012811</v>
      </c>
      <c r="F48" s="1382">
        <f t="shared" si="51"/>
        <v>0.54022305352585398</v>
      </c>
      <c r="G48" s="1382">
        <f t="shared" si="51"/>
        <v>0.51452810432630525</v>
      </c>
      <c r="H48" s="1382">
        <f t="shared" si="51"/>
        <v>0.50651636657083776</v>
      </c>
      <c r="I48" s="1382">
        <f t="shared" si="51"/>
        <v>0.51133709270226269</v>
      </c>
      <c r="J48" s="1382">
        <f t="shared" si="51"/>
        <v>0.45794339145405144</v>
      </c>
      <c r="K48" s="1397">
        <f t="shared" si="51"/>
        <v>0.42588513606979461</v>
      </c>
      <c r="L48" s="1382">
        <f t="shared" si="51"/>
        <v>0.38891266394495694</v>
      </c>
      <c r="M48" s="1382">
        <f t="shared" si="51"/>
        <v>0.37344095845175018</v>
      </c>
      <c r="N48" s="1382">
        <f t="shared" si="51"/>
        <v>0.37077742926480145</v>
      </c>
      <c r="O48" s="1382">
        <f t="shared" si="51"/>
        <v>0.37378435710567975</v>
      </c>
      <c r="P48" s="1382">
        <f t="shared" si="51"/>
        <v>0.39084598528445702</v>
      </c>
      <c r="Q48" s="1382">
        <f t="shared" si="51"/>
        <v>0.41045441203149452</v>
      </c>
      <c r="R48" s="1382">
        <f t="shared" si="51"/>
        <v>0.43196560724973343</v>
      </c>
      <c r="S48" s="1382">
        <f t="shared" si="51"/>
        <v>0.45301462657564301</v>
      </c>
      <c r="T48" s="1382">
        <f t="shared" si="51"/>
        <v>0.48800825937085446</v>
      </c>
      <c r="U48" s="1382">
        <f t="shared" si="51"/>
        <v>0.51490836647132288</v>
      </c>
      <c r="V48" s="1382">
        <f t="shared" si="51"/>
        <v>0.53452970828584745</v>
      </c>
    </row>
    <row r="49" spans="1:36" ht="14.45">
      <c r="A49" s="1434"/>
      <c r="C49" s="1353"/>
      <c r="D49" s="1353"/>
      <c r="E49" s="1353"/>
      <c r="F49" s="1353"/>
      <c r="G49" s="1353"/>
      <c r="H49" s="1353"/>
      <c r="I49" s="1353"/>
      <c r="J49" s="1353"/>
      <c r="K49" s="1427"/>
      <c r="L49" s="1353"/>
      <c r="M49" s="1353"/>
      <c r="N49" s="1353"/>
      <c r="O49" s="1353"/>
      <c r="P49" s="1353"/>
      <c r="Q49" s="1353"/>
      <c r="R49" s="1353"/>
      <c r="S49" s="1353"/>
      <c r="T49" s="1353"/>
      <c r="U49" s="1353"/>
      <c r="V49" s="1353"/>
    </row>
    <row r="50" spans="1:36">
      <c r="A50" s="1412" t="s">
        <v>133</v>
      </c>
      <c r="B50" s="1376"/>
      <c r="C50" s="1377">
        <f>+'Historical Financials'!BH114*-1</f>
        <v>10200</v>
      </c>
      <c r="D50" s="1377">
        <f>+'Historical Financials'!BI114*-1</f>
        <v>13600</v>
      </c>
      <c r="E50" s="1378">
        <f>+'Historical Financials'!BJ114*-1</f>
        <v>16900</v>
      </c>
      <c r="F50" s="1378">
        <f>+'Historical Financials'!BK114*-1</f>
        <v>19000</v>
      </c>
      <c r="G50" s="1378">
        <f>+'Historical Financials'!BL114*-1</f>
        <v>24200</v>
      </c>
      <c r="H50" s="1378">
        <f>+'Historical Financials'!BM114*-1</f>
        <v>29200</v>
      </c>
      <c r="I50" s="1378">
        <f>+'Historical Financials'!BN114*-1</f>
        <v>31900</v>
      </c>
      <c r="J50" s="1378">
        <f>+'Historical Financials'!BO114*-1</f>
        <v>55700</v>
      </c>
      <c r="K50" s="1379">
        <f>+'Historical Financials'!BP114*-1</f>
        <v>83000</v>
      </c>
      <c r="L50" s="1380">
        <f t="shared" ref="L50:V50" si="52">+L52*L8</f>
        <v>69096.915850909209</v>
      </c>
      <c r="M50" s="1380">
        <f t="shared" si="52"/>
        <v>70981.377192297645</v>
      </c>
      <c r="N50" s="1380">
        <f t="shared" si="52"/>
        <v>72188.060604566694</v>
      </c>
      <c r="O50" s="1380">
        <f t="shared" si="52"/>
        <v>72508.896429475877</v>
      </c>
      <c r="P50" s="1380">
        <f t="shared" si="52"/>
        <v>71693.171344644274</v>
      </c>
      <c r="Q50" s="1380">
        <f t="shared" si="52"/>
        <v>75226.620503773156</v>
      </c>
      <c r="R50" s="1380">
        <f t="shared" si="52"/>
        <v>78467.151848551061</v>
      </c>
      <c r="S50" s="1380">
        <f t="shared" si="52"/>
        <v>88667.8815888627</v>
      </c>
      <c r="T50" s="1380">
        <f t="shared" si="52"/>
        <v>100194.70619541484</v>
      </c>
      <c r="U50" s="1380">
        <f t="shared" si="52"/>
        <v>113220.01800081875</v>
      </c>
      <c r="V50" s="1380">
        <f t="shared" si="52"/>
        <v>127938.62034092518</v>
      </c>
    </row>
    <row r="51" spans="1:36" ht="14.45">
      <c r="A51" s="1381" t="s">
        <v>87</v>
      </c>
      <c r="C51" s="1382"/>
      <c r="D51" s="1383">
        <f>D50/C50-1</f>
        <v>0.33333333333333326</v>
      </c>
      <c r="E51" s="1383">
        <f>E50/D50-1</f>
        <v>0.24264705882352944</v>
      </c>
      <c r="F51" s="1383">
        <f>F50/E50-1</f>
        <v>0.12426035502958577</v>
      </c>
      <c r="G51" s="1382">
        <f t="shared" ref="G51" si="53">G50/F50-1</f>
        <v>0.27368421052631575</v>
      </c>
      <c r="H51" s="1382">
        <f t="shared" ref="H51" si="54">H50/G50-1</f>
        <v>0.20661157024793386</v>
      </c>
      <c r="I51" s="1382">
        <f t="shared" ref="I51" si="55">I50/H50-1</f>
        <v>9.2465753424657571E-2</v>
      </c>
      <c r="J51" s="1382">
        <f t="shared" ref="J51" si="56">J50/I50-1</f>
        <v>0.74608150470219425</v>
      </c>
      <c r="K51" s="1384">
        <f t="shared" ref="K51" si="57">K50/J50-1</f>
        <v>0.49012567324955114</v>
      </c>
      <c r="L51" s="1383">
        <f t="shared" ref="L51" si="58">L50/K50-1</f>
        <v>-0.16750703794085287</v>
      </c>
      <c r="M51" s="1383">
        <f t="shared" ref="M51" si="59">M50/L50-1</f>
        <v>2.7272727272727337E-2</v>
      </c>
      <c r="N51" s="1383">
        <f t="shared" ref="N51" si="60">N50/M50-1</f>
        <v>1.6999999999999904E-2</v>
      </c>
      <c r="O51" s="1383">
        <f t="shared" ref="O51" si="61">O50/N50-1</f>
        <v>4.4444444444444731E-3</v>
      </c>
      <c r="P51" s="1383">
        <f t="shared" ref="P51" si="62">P50/O50-1</f>
        <v>-1.1249999999999982E-2</v>
      </c>
      <c r="Q51" s="1383">
        <f t="shared" ref="Q51" si="63">Q50/P50-1</f>
        <v>4.9285714285714155E-2</v>
      </c>
      <c r="R51" s="1383">
        <f t="shared" ref="R51" si="64">R50/Q50-1</f>
        <v>4.3076923076922791E-2</v>
      </c>
      <c r="S51" s="1383">
        <f t="shared" ref="S51" si="65">S50/R50-1</f>
        <v>0.13000000000000012</v>
      </c>
      <c r="T51" s="1383">
        <f t="shared" ref="T51" si="66">T50/S50-1</f>
        <v>0.12999999999999989</v>
      </c>
      <c r="U51" s="1383">
        <f t="shared" ref="U51" si="67">U50/T50-1</f>
        <v>0.12999999999999989</v>
      </c>
      <c r="V51" s="1383">
        <f t="shared" ref="V51" si="68">V50/U50-1</f>
        <v>0.12999999999999989</v>
      </c>
      <c r="AA51" s="1388"/>
    </row>
    <row r="52" spans="1:36" s="1363" customFormat="1" ht="14.45">
      <c r="A52" s="1381" t="s">
        <v>118</v>
      </c>
      <c r="C52" s="1383">
        <f t="shared" ref="C52:K52" si="69">+C50/C8</f>
        <v>0.10562177051081588</v>
      </c>
      <c r="D52" s="1383">
        <f t="shared" si="69"/>
        <v>0.12323305545487495</v>
      </c>
      <c r="E52" s="1383">
        <f t="shared" si="69"/>
        <v>0.13429431911190928</v>
      </c>
      <c r="F52" s="1382">
        <f t="shared" si="69"/>
        <v>0.13285319721707514</v>
      </c>
      <c r="G52" s="1382">
        <f t="shared" si="69"/>
        <v>0.14397220503545763</v>
      </c>
      <c r="H52" s="1382">
        <f t="shared" si="69"/>
        <v>0.14727391940283452</v>
      </c>
      <c r="I52" s="1382">
        <f t="shared" si="69"/>
        <v>0.15053205294575656</v>
      </c>
      <c r="J52" s="1383">
        <f t="shared" si="69"/>
        <v>0.22723378562511728</v>
      </c>
      <c r="K52" s="1384">
        <f t="shared" si="69"/>
        <v>0.2986211431566882</v>
      </c>
      <c r="L52" s="1385">
        <v>0.22</v>
      </c>
      <c r="M52" s="1385">
        <v>0.2</v>
      </c>
      <c r="N52" s="1385">
        <v>0.18</v>
      </c>
      <c r="O52" s="1385">
        <v>0.16</v>
      </c>
      <c r="P52" s="1385">
        <v>0.14000000000000001</v>
      </c>
      <c r="Q52" s="1385">
        <v>0.13</v>
      </c>
      <c r="R52" s="1385">
        <v>0.12</v>
      </c>
      <c r="S52" s="1385">
        <f>+R52</f>
        <v>0.12</v>
      </c>
      <c r="T52" s="1385">
        <f t="shared" ref="T52:V52" si="70">+S52</f>
        <v>0.12</v>
      </c>
      <c r="U52" s="1385">
        <f t="shared" si="70"/>
        <v>0.12</v>
      </c>
      <c r="V52" s="1385">
        <f t="shared" si="70"/>
        <v>0.12</v>
      </c>
      <c r="Z52" s="1385"/>
      <c r="AA52" s="1385"/>
      <c r="AB52" s="1385"/>
      <c r="AC52" s="1385"/>
      <c r="AD52" s="1385"/>
      <c r="AE52" s="1385"/>
      <c r="AF52" s="1385"/>
      <c r="AG52" s="1385"/>
      <c r="AH52" s="1385"/>
      <c r="AI52" s="1385"/>
      <c r="AJ52" s="1385"/>
    </row>
    <row r="53" spans="1:36" s="1363" customFormat="1" ht="14.45">
      <c r="A53" s="1381"/>
      <c r="C53" s="1361"/>
      <c r="D53" s="1361"/>
      <c r="E53" s="1361"/>
      <c r="F53" s="1361"/>
      <c r="G53" s="1361"/>
      <c r="H53" s="1361"/>
      <c r="I53" s="1361"/>
      <c r="J53" s="1361"/>
      <c r="K53" s="1374"/>
      <c r="L53" s="1382"/>
      <c r="M53" s="1382"/>
      <c r="N53" s="1382"/>
      <c r="O53" s="1382"/>
      <c r="P53" s="1382"/>
      <c r="Q53" s="1382"/>
      <c r="R53" s="1382"/>
      <c r="S53" s="1382"/>
      <c r="T53" s="1382"/>
      <c r="U53" s="1382"/>
      <c r="V53" s="1382"/>
      <c r="Z53" s="1363" t="s">
        <v>134</v>
      </c>
      <c r="AA53" s="1363" t="s">
        <v>135</v>
      </c>
      <c r="AB53" s="1363" t="s">
        <v>136</v>
      </c>
      <c r="AC53" s="1363" t="s">
        <v>137</v>
      </c>
    </row>
    <row r="54" spans="1:36">
      <c r="A54" s="1412" t="s">
        <v>138</v>
      </c>
      <c r="B54" s="1376"/>
      <c r="C54" s="1380">
        <f t="shared" ref="C54:T54" si="71">+C33-C50</f>
        <v>27909</v>
      </c>
      <c r="D54" s="1380">
        <f t="shared" si="71"/>
        <v>31719</v>
      </c>
      <c r="E54" s="1424">
        <f t="shared" si="71"/>
        <v>37741</v>
      </c>
      <c r="F54" s="1424">
        <f t="shared" si="71"/>
        <v>46755</v>
      </c>
      <c r="G54" s="1424">
        <f t="shared" si="71"/>
        <v>57402</v>
      </c>
      <c r="H54" s="1424">
        <f t="shared" si="71"/>
        <v>68643</v>
      </c>
      <c r="I54" s="1424">
        <f t="shared" si="71"/>
        <v>71655</v>
      </c>
      <c r="J54" s="1424">
        <f t="shared" si="71"/>
        <v>77170</v>
      </c>
      <c r="K54" s="1425">
        <f t="shared" si="71"/>
        <v>76571.868229049054</v>
      </c>
      <c r="L54" s="1380">
        <f t="shared" si="71"/>
        <v>122831.49431705255</v>
      </c>
      <c r="M54" s="1380">
        <f t="shared" si="71"/>
        <v>151388.74111460638</v>
      </c>
      <c r="N54" s="1380">
        <f t="shared" si="71"/>
        <v>180158.36756206531</v>
      </c>
      <c r="O54" s="1380">
        <f t="shared" si="71"/>
        <v>211279.88602766109</v>
      </c>
      <c r="P54" s="1380">
        <f t="shared" si="71"/>
        <v>240250.99402877985</v>
      </c>
      <c r="Q54" s="1380">
        <f t="shared" si="71"/>
        <v>265923.55038684665</v>
      </c>
      <c r="R54" s="1380">
        <f t="shared" si="71"/>
        <v>292966.52274423779</v>
      </c>
      <c r="S54" s="1380">
        <f t="shared" si="71"/>
        <v>315499.07109139342</v>
      </c>
      <c r="T54" s="1380">
        <f t="shared" si="71"/>
        <v>327295.81069472077</v>
      </c>
      <c r="U54" s="1380">
        <f>+U33-U50</f>
        <v>344464.0110005429</v>
      </c>
      <c r="V54" s="1380">
        <f t="shared" ref="V54" si="72">+V33-V50</f>
        <v>368324.93742238032</v>
      </c>
      <c r="Z54" s="1435">
        <f>+SUM('Historical Financials'!V12:Y12)</f>
        <v>153284</v>
      </c>
      <c r="AA54" s="1435">
        <f>+SUM('Historical Financials'!Z12:AC12)</f>
        <v>184903</v>
      </c>
      <c r="AB54" s="1435">
        <f>+SUM('Historical Financials'!AD12:AG12)</f>
        <v>204094</v>
      </c>
      <c r="AC54" s="1435">
        <f>+SUM('Historical Financials'!AH12:AK12)</f>
        <v>227583</v>
      </c>
    </row>
    <row r="55" spans="1:36" s="1363" customFormat="1" ht="14.45">
      <c r="A55" s="1381" t="s">
        <v>87</v>
      </c>
      <c r="C55" s="1382"/>
      <c r="D55" s="1382">
        <f t="shared" ref="D55:N55" si="73">+D54/C54-1</f>
        <v>0.13651510265505751</v>
      </c>
      <c r="E55" s="1382">
        <f t="shared" si="73"/>
        <v>0.18985466124404926</v>
      </c>
      <c r="F55" s="1382">
        <f t="shared" si="73"/>
        <v>0.23883839855859668</v>
      </c>
      <c r="G55" s="1382">
        <f t="shared" si="73"/>
        <v>0.22771896053897978</v>
      </c>
      <c r="H55" s="1382">
        <f t="shared" si="73"/>
        <v>0.19582941360928197</v>
      </c>
      <c r="I55" s="1382">
        <f t="shared" si="73"/>
        <v>4.3879201083868669E-2</v>
      </c>
      <c r="J55" s="1382">
        <f t="shared" si="73"/>
        <v>7.6966017723815394E-2</v>
      </c>
      <c r="K55" s="1397">
        <f t="shared" si="73"/>
        <v>-7.7508328489173106E-3</v>
      </c>
      <c r="L55" s="1382">
        <f t="shared" si="73"/>
        <v>0.60413343905397876</v>
      </c>
      <c r="M55" s="1382">
        <f t="shared" si="73"/>
        <v>0.23249124303447699</v>
      </c>
      <c r="N55" s="1382">
        <f t="shared" si="73"/>
        <v>0.19003808497013219</v>
      </c>
      <c r="O55" s="1382">
        <f>+O54/N54-1</f>
        <v>0.17274534004019704</v>
      </c>
      <c r="P55" s="1382">
        <f>+P54/O54-1</f>
        <v>0.13712194069115413</v>
      </c>
      <c r="Q55" s="1382">
        <f>+Q54/P54-1</f>
        <v>0.10685723262810498</v>
      </c>
      <c r="R55" s="1382">
        <f>+R54/Q54-1</f>
        <v>0.10169453708801246</v>
      </c>
      <c r="S55" s="1382">
        <f>+S54/R54-1</f>
        <v>7.6911683069081249E-2</v>
      </c>
      <c r="T55" s="1382">
        <f t="shared" ref="T55:V55" si="74">+T54/S54-1</f>
        <v>3.7390726896657345E-2</v>
      </c>
      <c r="U55" s="1382">
        <f t="shared" si="74"/>
        <v>5.2454690053565844E-2</v>
      </c>
      <c r="V55" s="1382">
        <f t="shared" si="74"/>
        <v>6.9269722408823231E-2</v>
      </c>
      <c r="AA55" s="1436">
        <f>+AA54/Z54-1</f>
        <v>0.20627723702408596</v>
      </c>
      <c r="AB55" s="1436">
        <f t="shared" ref="AB55:AC55" si="75">+AB54/AA54-1</f>
        <v>0.10378955452318239</v>
      </c>
      <c r="AC55" s="1436">
        <f t="shared" si="75"/>
        <v>0.11508912559898876</v>
      </c>
    </row>
    <row r="56" spans="1:36" s="1363" customFormat="1" ht="14.45">
      <c r="A56" s="1381" t="s">
        <v>99</v>
      </c>
      <c r="C56" s="1382">
        <f t="shared" ref="C56:V56" si="76">+C54/C8</f>
        <v>0.28899980325356472</v>
      </c>
      <c r="D56" s="1382">
        <f t="shared" si="76"/>
        <v>0.28741391808626315</v>
      </c>
      <c r="E56" s="1382">
        <f t="shared" si="76"/>
        <v>0.29990543772796263</v>
      </c>
      <c r="F56" s="1382">
        <f t="shared" si="76"/>
        <v>0.32692374925707096</v>
      </c>
      <c r="G56" s="1382">
        <f t="shared" si="76"/>
        <v>0.3414996906382371</v>
      </c>
      <c r="H56" s="1382">
        <f t="shared" si="76"/>
        <v>0.34620971402632772</v>
      </c>
      <c r="I56" s="1382">
        <f t="shared" si="76"/>
        <v>0.33813085435198076</v>
      </c>
      <c r="J56" s="1382">
        <f t="shared" si="76"/>
        <v>0.31482282292083125</v>
      </c>
      <c r="K56" s="1397">
        <f t="shared" si="76"/>
        <v>0.27549372077351714</v>
      </c>
      <c r="L56" s="1382">
        <f t="shared" si="76"/>
        <v>0.39108733605504303</v>
      </c>
      <c r="M56" s="1382">
        <f t="shared" si="76"/>
        <v>0.42655904154824975</v>
      </c>
      <c r="N56" s="1382">
        <f t="shared" si="76"/>
        <v>0.4492225707351985</v>
      </c>
      <c r="O56" s="1382">
        <f t="shared" si="76"/>
        <v>0.46621564289432021</v>
      </c>
      <c r="P56" s="1382">
        <f t="shared" si="76"/>
        <v>0.46915401471554297</v>
      </c>
      <c r="Q56" s="1382">
        <f t="shared" si="76"/>
        <v>0.45954558796850548</v>
      </c>
      <c r="R56" s="1382">
        <f t="shared" si="76"/>
        <v>0.44803439275026657</v>
      </c>
      <c r="S56" s="1382">
        <f t="shared" si="76"/>
        <v>0.42698537342435705</v>
      </c>
      <c r="T56" s="1382">
        <f t="shared" si="76"/>
        <v>0.39199174062914555</v>
      </c>
      <c r="U56" s="1382">
        <f t="shared" si="76"/>
        <v>0.36509163352867713</v>
      </c>
      <c r="V56" s="1437">
        <f t="shared" si="76"/>
        <v>0.34547029171415261</v>
      </c>
    </row>
    <row r="57" spans="1:36" ht="14.45">
      <c r="A57" s="1381"/>
      <c r="C57" s="1383"/>
      <c r="D57" s="1383"/>
      <c r="E57" s="1383"/>
      <c r="F57" s="1383"/>
      <c r="G57" s="1383"/>
      <c r="H57" s="1383"/>
      <c r="I57" s="1383"/>
      <c r="J57" s="1383"/>
      <c r="K57" s="1384"/>
      <c r="L57" s="1383"/>
      <c r="M57" s="1383"/>
      <c r="N57" s="1383"/>
      <c r="O57" s="1383"/>
      <c r="P57" s="1383"/>
      <c r="Q57" s="1383"/>
      <c r="R57" s="1383"/>
      <c r="S57" s="1383"/>
      <c r="T57" s="1383"/>
      <c r="U57" s="1383"/>
      <c r="V57" s="1383"/>
    </row>
    <row r="58" spans="1:36">
      <c r="A58" s="1354" t="s">
        <v>139</v>
      </c>
      <c r="B58" s="1376"/>
      <c r="C58" s="1377">
        <f>+'Historical Financials'!BH71*-1</f>
        <v>-876</v>
      </c>
      <c r="D58" s="1377">
        <f>+'Historical Financials'!BI71*-1</f>
        <v>-1416</v>
      </c>
      <c r="E58" s="1378">
        <f>+'Historical Financials'!BJ71*-1</f>
        <v>-729</v>
      </c>
      <c r="F58" s="1378">
        <f>+'Historical Financials'!BK71*-1</f>
        <v>-77</v>
      </c>
      <c r="G58" s="1378">
        <f>+'Historical Financials'!BL71*-1</f>
        <v>-1186</v>
      </c>
      <c r="H58" s="1378">
        <f>+'Historical Financials'!BM71*-1</f>
        <v>-333</v>
      </c>
      <c r="I58" s="1378">
        <f>+'Historical Financials'!BN71*-1</f>
        <v>-788</v>
      </c>
      <c r="J58" s="1378">
        <f>+'Historical Financials'!BO71*-1</f>
        <v>1646</v>
      </c>
      <c r="K58" s="1379">
        <f>+'Historical Financials'!BP71*-1</f>
        <v>283</v>
      </c>
      <c r="L58" s="1380">
        <v>0</v>
      </c>
      <c r="M58" s="1380">
        <v>0</v>
      </c>
      <c r="N58" s="1380">
        <v>0</v>
      </c>
      <c r="O58" s="1380">
        <v>0</v>
      </c>
      <c r="P58" s="1380">
        <v>0</v>
      </c>
      <c r="Q58" s="1380">
        <v>0</v>
      </c>
      <c r="R58" s="1380">
        <v>0</v>
      </c>
      <c r="S58" s="1380">
        <v>0</v>
      </c>
      <c r="T58" s="1380">
        <v>0</v>
      </c>
      <c r="U58" s="1380">
        <v>0</v>
      </c>
      <c r="V58" s="1380">
        <v>0</v>
      </c>
      <c r="Y58" s="1354" t="s">
        <v>121</v>
      </c>
      <c r="Z58" s="1435">
        <f>+SUM('Historical Financials'!V89:Y89)</f>
        <v>72183</v>
      </c>
      <c r="AA58" s="1435">
        <f>+SUM('Historical Financials'!Z89:AC89)</f>
        <v>91616</v>
      </c>
      <c r="AB58" s="1435">
        <f>+SUM('Historical Financials'!AD89:AG89)</f>
        <v>98176</v>
      </c>
      <c r="AC58" s="1435">
        <f>+SUM('Historical Financials'!AH89:AK89)</f>
        <v>118466</v>
      </c>
    </row>
    <row r="59" spans="1:36" ht="14.45">
      <c r="A59" s="1381" t="s">
        <v>140</v>
      </c>
      <c r="C59" s="1438">
        <v>0.05</v>
      </c>
      <c r="D59" s="1385">
        <f>C59+0.25%</f>
        <v>5.2500000000000005E-2</v>
      </c>
      <c r="E59" s="1385">
        <f>D59+0.25%</f>
        <v>5.5000000000000007E-2</v>
      </c>
      <c r="F59" s="1385">
        <f>E59+0.25%</f>
        <v>5.7500000000000009E-2</v>
      </c>
      <c r="G59" s="1385">
        <f>F59+0.25%</f>
        <v>6.0000000000000012E-2</v>
      </c>
      <c r="H59" s="1385">
        <f>G59</f>
        <v>6.0000000000000012E-2</v>
      </c>
      <c r="I59" s="1385">
        <f t="shared" ref="I59:N59" si="77">H59</f>
        <v>6.0000000000000012E-2</v>
      </c>
      <c r="J59" s="1385">
        <f t="shared" si="77"/>
        <v>6.0000000000000012E-2</v>
      </c>
      <c r="K59" s="1374">
        <f t="shared" si="77"/>
        <v>6.0000000000000012E-2</v>
      </c>
      <c r="L59" s="1385">
        <f t="shared" si="77"/>
        <v>6.0000000000000012E-2</v>
      </c>
      <c r="M59" s="1385">
        <f t="shared" si="77"/>
        <v>6.0000000000000012E-2</v>
      </c>
      <c r="N59" s="1385">
        <f t="shared" si="77"/>
        <v>6.0000000000000012E-2</v>
      </c>
      <c r="O59" s="1385">
        <f>N59</f>
        <v>6.0000000000000012E-2</v>
      </c>
      <c r="P59" s="1385">
        <f>O59</f>
        <v>6.0000000000000012E-2</v>
      </c>
      <c r="Q59" s="1385">
        <f>P59</f>
        <v>6.0000000000000012E-2</v>
      </c>
      <c r="R59" s="1385">
        <f>Q59</f>
        <v>6.0000000000000012E-2</v>
      </c>
      <c r="S59" s="1385">
        <f>R59</f>
        <v>6.0000000000000012E-2</v>
      </c>
      <c r="T59" s="1385">
        <f t="shared" ref="T59:V59" si="78">S59</f>
        <v>6.0000000000000012E-2</v>
      </c>
      <c r="U59" s="1385">
        <f t="shared" si="78"/>
        <v>6.0000000000000012E-2</v>
      </c>
      <c r="V59" s="1385">
        <f t="shared" si="78"/>
        <v>6.0000000000000012E-2</v>
      </c>
      <c r="Y59" s="1354" t="s">
        <v>133</v>
      </c>
      <c r="Z59" s="1435">
        <f>+SUM('Historical Financials'!V114:Y114)</f>
        <v>-20600</v>
      </c>
      <c r="AA59" s="1435">
        <f>+SUM('Historical Financials'!Z114:AC114)</f>
        <v>-27500</v>
      </c>
      <c r="AB59" s="1435">
        <f>+SUM('Historical Financials'!AD114:AG114)</f>
        <v>-28400</v>
      </c>
      <c r="AC59" s="1435">
        <f>+SUM('Historical Financials'!AH114:AK114)</f>
        <v>-41200</v>
      </c>
    </row>
    <row r="60" spans="1:36">
      <c r="C60" s="1353"/>
      <c r="D60" s="1353"/>
      <c r="E60" s="1353"/>
      <c r="F60" s="1353"/>
      <c r="G60" s="1353"/>
      <c r="H60" s="1353"/>
      <c r="I60" s="1353"/>
      <c r="J60" s="1353"/>
      <c r="K60" s="1427"/>
      <c r="L60" s="1353"/>
      <c r="M60" s="1353"/>
      <c r="N60" s="1353"/>
      <c r="O60" s="1353"/>
      <c r="P60" s="1353"/>
      <c r="Q60" s="1353"/>
      <c r="R60" s="1353"/>
      <c r="S60" s="1353"/>
      <c r="T60" s="1353"/>
      <c r="U60" s="1353"/>
      <c r="V60" s="1353"/>
      <c r="Z60" s="1435">
        <f>+Z59+Z58</f>
        <v>51583</v>
      </c>
      <c r="AA60" s="1435">
        <f t="shared" ref="AA60:AC60" si="79">+AA59+AA58</f>
        <v>64116</v>
      </c>
      <c r="AB60" s="1435">
        <f t="shared" si="79"/>
        <v>69776</v>
      </c>
      <c r="AC60" s="1435">
        <f t="shared" si="79"/>
        <v>77266</v>
      </c>
    </row>
    <row r="61" spans="1:36">
      <c r="A61" s="1353" t="s">
        <v>141</v>
      </c>
      <c r="B61" s="1380"/>
      <c r="C61" s="1380">
        <f>+MAX((C33-C29-C58)*C62,0)</f>
        <v>10572.449999999999</v>
      </c>
      <c r="D61" s="1380">
        <f>+MAX((D33-D29-D58)*D62,0)</f>
        <v>10212.719999999999</v>
      </c>
      <c r="E61" s="1424">
        <f>+MAX((E33-E29-E58)*E62,0)</f>
        <v>9174.48</v>
      </c>
      <c r="F61" s="1378">
        <f>+'Historical Financials'!BK116*-1</f>
        <v>11137.559999999998</v>
      </c>
      <c r="G61" s="1378">
        <f>+'Historical Financials'!BL116*-1</f>
        <v>14931.419999999998</v>
      </c>
      <c r="H61" s="1378">
        <f>+'Historical Financials'!BM116*-1</f>
        <v>17580.359999999997</v>
      </c>
      <c r="I61" s="1378">
        <f>+'Historical Financials'!BN116*-1</f>
        <v>19001.22</v>
      </c>
      <c r="J61" s="1378">
        <f>+'Historical Financials'!BO116*-1</f>
        <v>22891.286250000001</v>
      </c>
      <c r="K61" s="1379">
        <f>+'Historical Financials'!BP116*-1</f>
        <v>26676.515485995042</v>
      </c>
      <c r="L61" s="1380">
        <f t="shared" ref="L61:V61" si="80">+MAX((L33-L29-L58-L39)*L62,0)</f>
        <v>32669.123370915579</v>
      </c>
      <c r="M61" s="1380">
        <f t="shared" si="80"/>
        <v>38009.6206369383</v>
      </c>
      <c r="N61" s="1380">
        <f t="shared" si="80"/>
        <v>43321.422955119582</v>
      </c>
      <c r="O61" s="1380">
        <f t="shared" si="80"/>
        <v>48495.91717862033</v>
      </c>
      <c r="P61" s="1380">
        <f t="shared" si="80"/>
        <v>53454.040187150204</v>
      </c>
      <c r="Q61" s="1380">
        <f t="shared" si="80"/>
        <v>58432.768407926378</v>
      </c>
      <c r="R61" s="1380">
        <f t="shared" si="80"/>
        <v>63619.877304172493</v>
      </c>
      <c r="S61" s="1380">
        <f t="shared" si="80"/>
        <v>69510.499337575282</v>
      </c>
      <c r="T61" s="1380">
        <f t="shared" si="80"/>
        <v>73675.433140574576</v>
      </c>
      <c r="U61" s="1380">
        <f t="shared" si="80"/>
        <v>79165.539515138968</v>
      </c>
      <c r="V61" s="1380">
        <f t="shared" si="80"/>
        <v>86465.882673285247</v>
      </c>
      <c r="W61" s="1353"/>
      <c r="X61" s="1353"/>
      <c r="Y61" s="1353"/>
      <c r="Z61" s="1432">
        <f>+Z60/Z54</f>
        <v>0.33651914094099838</v>
      </c>
      <c r="AA61" s="1432">
        <f t="shared" ref="AA61:AC61" si="81">+AA60/AA54</f>
        <v>0.34675478494129353</v>
      </c>
      <c r="AB61" s="1432">
        <f t="shared" si="81"/>
        <v>0.34188168197007263</v>
      </c>
      <c r="AC61" s="1432">
        <f t="shared" si="81"/>
        <v>0.33950690517305776</v>
      </c>
      <c r="AD61" s="1353"/>
      <c r="AE61" s="1353"/>
    </row>
    <row r="62" spans="1:36" ht="14.45">
      <c r="A62" s="1381" t="s">
        <v>140</v>
      </c>
      <c r="C62" s="1438">
        <v>0.35</v>
      </c>
      <c r="D62" s="1385">
        <f>+(0.35+0.21)/2</f>
        <v>0.27999999999999997</v>
      </c>
      <c r="E62" s="1385">
        <v>0.21</v>
      </c>
      <c r="F62" s="1383">
        <f>+F61/(F33-F29-F58)</f>
        <v>0.20999999999999996</v>
      </c>
      <c r="G62" s="1383">
        <f>+G61/(G33-G29-G58)</f>
        <v>0.20999999999999996</v>
      </c>
      <c r="H62" s="1383">
        <f>+H61/(H33-H29-H58)</f>
        <v>0.20999999999999996</v>
      </c>
      <c r="I62" s="1383">
        <f>+I61/(I33-I29-I58)</f>
        <v>0.21000000000000002</v>
      </c>
      <c r="J62" s="1383">
        <f>+J61/(J33-J29-J58-'Historical Financials'!BO98)</f>
        <v>0.21000000000000002</v>
      </c>
      <c r="K62" s="1397">
        <f>+K61/(K33-K29-K58-'Historical Financials'!BP98)</f>
        <v>0.21000000000000002</v>
      </c>
      <c r="L62" s="1385">
        <f t="shared" ref="L62:V62" si="82">K62</f>
        <v>0.21000000000000002</v>
      </c>
      <c r="M62" s="1385">
        <f t="shared" si="82"/>
        <v>0.21000000000000002</v>
      </c>
      <c r="N62" s="1385">
        <f t="shared" si="82"/>
        <v>0.21000000000000002</v>
      </c>
      <c r="O62" s="1385">
        <f t="shared" si="82"/>
        <v>0.21000000000000002</v>
      </c>
      <c r="P62" s="1385">
        <f t="shared" si="82"/>
        <v>0.21000000000000002</v>
      </c>
      <c r="Q62" s="1385">
        <f t="shared" si="82"/>
        <v>0.21000000000000002</v>
      </c>
      <c r="R62" s="1385">
        <f t="shared" si="82"/>
        <v>0.21000000000000002</v>
      </c>
      <c r="S62" s="1385">
        <f t="shared" si="82"/>
        <v>0.21000000000000002</v>
      </c>
      <c r="T62" s="1385">
        <f t="shared" si="82"/>
        <v>0.21000000000000002</v>
      </c>
      <c r="U62" s="1385">
        <f t="shared" si="82"/>
        <v>0.21000000000000002</v>
      </c>
      <c r="V62" s="1385">
        <f t="shared" si="82"/>
        <v>0.21000000000000002</v>
      </c>
      <c r="Z62" s="1439"/>
      <c r="AA62" s="1376"/>
    </row>
    <row r="63" spans="1:36">
      <c r="C63" s="1353"/>
      <c r="D63" s="1353"/>
      <c r="E63" s="1440"/>
      <c r="F63" s="1353"/>
      <c r="G63" s="1353"/>
      <c r="H63" s="1353"/>
      <c r="I63" s="1353"/>
      <c r="J63" s="1353"/>
      <c r="K63" s="1427"/>
      <c r="L63" s="1353"/>
      <c r="M63" s="1353"/>
      <c r="N63" s="1353"/>
      <c r="O63" s="1353"/>
      <c r="P63" s="1353"/>
      <c r="Q63" s="1353"/>
      <c r="R63" s="1353"/>
      <c r="S63" s="1353"/>
      <c r="T63" s="1353"/>
      <c r="U63" s="1353"/>
      <c r="V63" s="1353"/>
      <c r="Y63" s="1354" t="s">
        <v>95</v>
      </c>
      <c r="Z63" s="1435">
        <f>+SUM('Historical Financials'!V49:Y49)</f>
        <v>60155</v>
      </c>
      <c r="AA63" s="1435">
        <f>+SUM('Historical Financials'!Z49:AC49)</f>
        <v>78628</v>
      </c>
      <c r="AB63" s="1435">
        <f>+SUM('Historical Financials'!AD49:AG49)</f>
        <v>83986</v>
      </c>
      <c r="AC63" s="1435">
        <f>+SUM('Historical Financials'!AH49:AK49)</f>
        <v>101663</v>
      </c>
    </row>
    <row r="64" spans="1:36" s="1353" customFormat="1">
      <c r="A64" s="1353" t="s">
        <v>142</v>
      </c>
      <c r="B64" s="1380"/>
      <c r="C64" s="1380">
        <f t="shared" ref="C64:V64" si="83">+C13-C58-C61</f>
        <v>19634.550000000003</v>
      </c>
      <c r="D64" s="1380">
        <f t="shared" si="83"/>
        <v>26261.279999999999</v>
      </c>
      <c r="E64" s="1424">
        <f t="shared" si="83"/>
        <v>34513.520000000004</v>
      </c>
      <c r="F64" s="1424">
        <f t="shared" si="83"/>
        <v>41898.44</v>
      </c>
      <c r="G64" s="1424">
        <f t="shared" si="83"/>
        <v>56170.58</v>
      </c>
      <c r="H64" s="1424">
        <f t="shared" si="83"/>
        <v>66135.64</v>
      </c>
      <c r="I64" s="1424">
        <f t="shared" si="83"/>
        <v>71480.78</v>
      </c>
      <c r="J64" s="1424">
        <f t="shared" si="83"/>
        <v>87905.713749999995</v>
      </c>
      <c r="K64" s="1425">
        <f t="shared" si="83"/>
        <v>102641.51063779085</v>
      </c>
      <c r="L64" s="1380">
        <f t="shared" si="83"/>
        <v>125185.13077630145</v>
      </c>
      <c r="M64" s="1380">
        <f t="shared" si="83"/>
        <v>145275.57287229167</v>
      </c>
      <c r="N64" s="1380">
        <f t="shared" si="83"/>
        <v>165258.06730735462</v>
      </c>
      <c r="O64" s="1380">
        <f t="shared" si="83"/>
        <v>184724.02176719074</v>
      </c>
      <c r="P64" s="1380">
        <f t="shared" si="83"/>
        <v>203376.00832308887</v>
      </c>
      <c r="Q64" s="1380">
        <f t="shared" si="83"/>
        <v>222105.50972505636</v>
      </c>
      <c r="R64" s="1380">
        <f t="shared" si="83"/>
        <v>241618.91938236315</v>
      </c>
      <c r="S64" s="1380">
        <f t="shared" si="83"/>
        <v>263778.87846040219</v>
      </c>
      <c r="T64" s="1380">
        <f t="shared" si="83"/>
        <v>279446.96276692348</v>
      </c>
      <c r="U64" s="1380">
        <f t="shared" si="83"/>
        <v>300100.22008076089</v>
      </c>
      <c r="V64" s="1380">
        <f t="shared" si="83"/>
        <v>325276.41577093012</v>
      </c>
      <c r="Z64" s="1432">
        <f>+Z63/Z54</f>
        <v>0.39244148117220323</v>
      </c>
      <c r="AA64" s="1432">
        <f t="shared" ref="AA64:AC64" si="84">+AA63/AA54</f>
        <v>0.42523917946166367</v>
      </c>
      <c r="AB64" s="1432">
        <f t="shared" si="84"/>
        <v>0.41150646270835989</v>
      </c>
      <c r="AC64" s="1432">
        <f t="shared" si="84"/>
        <v>0.44670735511879184</v>
      </c>
    </row>
    <row r="65" spans="1:31" ht="14.45">
      <c r="A65" s="1381" t="s">
        <v>87</v>
      </c>
      <c r="C65" s="1382"/>
      <c r="D65" s="1383">
        <f>D64/C64-1</f>
        <v>0.33750353331245142</v>
      </c>
      <c r="E65" s="1383">
        <f t="shared" ref="E65:V65" si="85">E64/D64-1</f>
        <v>0.31423601591392369</v>
      </c>
      <c r="F65" s="1382">
        <f t="shared" si="85"/>
        <v>0.21397180003662331</v>
      </c>
      <c r="G65" s="1382">
        <f t="shared" si="85"/>
        <v>0.34063654875933325</v>
      </c>
      <c r="H65" s="1382">
        <f t="shared" si="85"/>
        <v>0.17740710528536474</v>
      </c>
      <c r="I65" s="1382">
        <f t="shared" si="85"/>
        <v>8.0820870562377634E-2</v>
      </c>
      <c r="J65" s="1382">
        <f t="shared" si="85"/>
        <v>0.22978112088312397</v>
      </c>
      <c r="K65" s="1397">
        <f t="shared" si="85"/>
        <v>0.16763184392881247</v>
      </c>
      <c r="L65" s="1382">
        <f t="shared" si="85"/>
        <v>0.21963453186171655</v>
      </c>
      <c r="M65" s="1382">
        <f t="shared" si="85"/>
        <v>0.16048584980823866</v>
      </c>
      <c r="N65" s="1382">
        <f t="shared" si="85"/>
        <v>0.13754889442170093</v>
      </c>
      <c r="O65" s="1382">
        <f t="shared" si="85"/>
        <v>0.11779125084182684</v>
      </c>
      <c r="P65" s="1382">
        <f t="shared" si="85"/>
        <v>0.10097217664200375</v>
      </c>
      <c r="Q65" s="1382">
        <f t="shared" si="85"/>
        <v>9.2092973779942078E-2</v>
      </c>
      <c r="R65" s="1382">
        <f t="shared" si="85"/>
        <v>8.7856486232432474E-2</v>
      </c>
      <c r="S65" s="1382">
        <f t="shared" si="85"/>
        <v>9.1714502881998339E-2</v>
      </c>
      <c r="T65" s="1382">
        <f t="shared" si="85"/>
        <v>5.9398555327747182E-2</v>
      </c>
      <c r="U65" s="1382">
        <f t="shared" si="85"/>
        <v>7.3907610622569342E-2</v>
      </c>
      <c r="V65" s="1382">
        <f t="shared" si="85"/>
        <v>8.3892626547871219E-2</v>
      </c>
    </row>
    <row r="66" spans="1:31">
      <c r="C66" s="1353"/>
      <c r="D66" s="1353"/>
      <c r="E66" s="1440"/>
      <c r="F66" s="1353"/>
      <c r="G66" s="1353"/>
      <c r="H66" s="1353"/>
      <c r="I66" s="1353"/>
      <c r="J66" s="1353"/>
      <c r="K66" s="1427"/>
      <c r="L66" s="1353"/>
      <c r="M66" s="1353"/>
      <c r="N66" s="1353"/>
      <c r="O66" s="1353"/>
      <c r="P66" s="1353"/>
      <c r="Q66" s="1353"/>
      <c r="R66" s="1353"/>
      <c r="S66" s="1353"/>
      <c r="T66" s="1353"/>
      <c r="U66" s="1353"/>
      <c r="V66" s="1353"/>
    </row>
    <row r="67" spans="1:31" s="1353" customFormat="1">
      <c r="A67" s="1353" t="str">
        <f>+A29</f>
        <v>Adj. D&amp;A</v>
      </c>
      <c r="B67" s="1380"/>
      <c r="C67" s="1380">
        <f t="shared" ref="C67:V67" si="86">+C29</f>
        <v>8778</v>
      </c>
      <c r="D67" s="1380">
        <f t="shared" si="86"/>
        <v>10261</v>
      </c>
      <c r="E67" s="1424">
        <f t="shared" si="86"/>
        <v>11682</v>
      </c>
      <c r="F67" s="1424">
        <f t="shared" si="86"/>
        <v>12796</v>
      </c>
      <c r="G67" s="1424">
        <f t="shared" si="86"/>
        <v>11686</v>
      </c>
      <c r="H67" s="1424">
        <f t="shared" si="86"/>
        <v>14460</v>
      </c>
      <c r="I67" s="1424">
        <f t="shared" si="86"/>
        <v>13861</v>
      </c>
      <c r="J67" s="1424">
        <f t="shared" si="86"/>
        <v>20427</v>
      </c>
      <c r="K67" s="1425">
        <f t="shared" si="86"/>
        <v>29970.842105263157</v>
      </c>
      <c r="L67" s="1380">
        <f t="shared" si="86"/>
        <v>34074.15602074474</v>
      </c>
      <c r="M67" s="1380">
        <f t="shared" si="86"/>
        <v>39084.924797674059</v>
      </c>
      <c r="N67" s="1380">
        <f t="shared" si="86"/>
        <v>43766.937904157821</v>
      </c>
      <c r="O67" s="1380">
        <f t="shared" si="86"/>
        <v>50568.843511325897</v>
      </c>
      <c r="P67" s="1380">
        <f t="shared" si="86"/>
        <v>55114.11686318506</v>
      </c>
      <c r="Q67" s="1380">
        <f t="shared" si="86"/>
        <v>60611.892757637062</v>
      </c>
      <c r="R67" s="1380">
        <f t="shared" si="86"/>
        <v>66194.877906253212</v>
      </c>
      <c r="S67" s="1380">
        <f t="shared" si="86"/>
        <v>70877.574882278597</v>
      </c>
      <c r="T67" s="1380">
        <f t="shared" si="86"/>
        <v>74368.1209826376</v>
      </c>
      <c r="U67" s="1380">
        <f t="shared" si="86"/>
        <v>78418.269405461775</v>
      </c>
      <c r="V67" s="1380">
        <f t="shared" si="86"/>
        <v>84521.259319090081</v>
      </c>
    </row>
    <row r="68" spans="1:31" s="1444" customFormat="1" ht="17.100000000000001">
      <c r="A68" s="1353" t="str">
        <f>+A50</f>
        <v>Capex</v>
      </c>
      <c r="B68" s="1441"/>
      <c r="C68" s="1441">
        <f t="shared" ref="C68:V68" si="87">+C50*-1</f>
        <v>-10200</v>
      </c>
      <c r="D68" s="1441">
        <f t="shared" si="87"/>
        <v>-13600</v>
      </c>
      <c r="E68" s="1442">
        <f t="shared" si="87"/>
        <v>-16900</v>
      </c>
      <c r="F68" s="1442">
        <f t="shared" si="87"/>
        <v>-19000</v>
      </c>
      <c r="G68" s="1442">
        <f t="shared" si="87"/>
        <v>-24200</v>
      </c>
      <c r="H68" s="1442">
        <f t="shared" si="87"/>
        <v>-29200</v>
      </c>
      <c r="I68" s="1442">
        <f t="shared" si="87"/>
        <v>-31900</v>
      </c>
      <c r="J68" s="1442">
        <f t="shared" si="87"/>
        <v>-55700</v>
      </c>
      <c r="K68" s="1443">
        <f t="shared" si="87"/>
        <v>-83000</v>
      </c>
      <c r="L68" s="1441">
        <f t="shared" si="87"/>
        <v>-69096.915850909209</v>
      </c>
      <c r="M68" s="1441">
        <f t="shared" si="87"/>
        <v>-70981.377192297645</v>
      </c>
      <c r="N68" s="1441">
        <f t="shared" si="87"/>
        <v>-72188.060604566694</v>
      </c>
      <c r="O68" s="1441">
        <f t="shared" si="87"/>
        <v>-72508.896429475877</v>
      </c>
      <c r="P68" s="1441">
        <f t="shared" si="87"/>
        <v>-71693.171344644274</v>
      </c>
      <c r="Q68" s="1441">
        <f t="shared" si="87"/>
        <v>-75226.620503773156</v>
      </c>
      <c r="R68" s="1441">
        <f t="shared" si="87"/>
        <v>-78467.151848551061</v>
      </c>
      <c r="S68" s="1441">
        <f t="shared" si="87"/>
        <v>-88667.8815888627</v>
      </c>
      <c r="T68" s="1441">
        <f t="shared" si="87"/>
        <v>-100194.70619541484</v>
      </c>
      <c r="U68" s="1441">
        <f t="shared" si="87"/>
        <v>-113220.01800081875</v>
      </c>
      <c r="V68" s="1441">
        <f t="shared" si="87"/>
        <v>-127938.62034092518</v>
      </c>
      <c r="Z68" s="1435">
        <f>+SUM('Historical Financials'!V56:Y56)</f>
        <v>0</v>
      </c>
      <c r="AA68" s="1435">
        <f>+SUM('Historical Financials'!Z56:AC56)</f>
        <v>0</v>
      </c>
      <c r="AB68" s="1435">
        <f>+SUM('Historical Financials'!AD56:AG56)</f>
        <v>0</v>
      </c>
      <c r="AC68" s="1435">
        <f>+SUM('Historical Financials'!AH56:AK56)</f>
        <v>0</v>
      </c>
    </row>
    <row r="69" spans="1:31">
      <c r="A69" s="1428" t="s">
        <v>143</v>
      </c>
      <c r="B69" s="1376"/>
      <c r="C69" s="1380">
        <f t="shared" ref="C69" si="88">+C68+C67+C64</f>
        <v>18212.550000000003</v>
      </c>
      <c r="D69" s="1380">
        <f>+D68+D67+D64</f>
        <v>22922.28</v>
      </c>
      <c r="E69" s="1424">
        <f t="shared" ref="E69:V69" si="89">+E68+E67+E64</f>
        <v>29295.520000000004</v>
      </c>
      <c r="F69" s="1424">
        <f t="shared" si="89"/>
        <v>35694.44</v>
      </c>
      <c r="G69" s="1424">
        <f t="shared" si="89"/>
        <v>43656.58</v>
      </c>
      <c r="H69" s="1424">
        <f t="shared" si="89"/>
        <v>51395.64</v>
      </c>
      <c r="I69" s="1424">
        <f t="shared" si="89"/>
        <v>53441.78</v>
      </c>
      <c r="J69" s="1424">
        <f t="shared" si="89"/>
        <v>52632.713749999995</v>
      </c>
      <c r="K69" s="1425">
        <f t="shared" si="89"/>
        <v>49612.352743054013</v>
      </c>
      <c r="L69" s="1380">
        <f t="shared" si="89"/>
        <v>90162.370946136973</v>
      </c>
      <c r="M69" s="1380">
        <f t="shared" si="89"/>
        <v>113379.12047766808</v>
      </c>
      <c r="N69" s="1380">
        <f t="shared" si="89"/>
        <v>136836.94460694573</v>
      </c>
      <c r="O69" s="1380">
        <f t="shared" si="89"/>
        <v>162783.96884904077</v>
      </c>
      <c r="P69" s="1380">
        <f t="shared" si="89"/>
        <v>186796.95384162967</v>
      </c>
      <c r="Q69" s="1380">
        <f t="shared" si="89"/>
        <v>207490.78197892028</v>
      </c>
      <c r="R69" s="1380">
        <f t="shared" si="89"/>
        <v>229346.6454400653</v>
      </c>
      <c r="S69" s="1380">
        <f t="shared" si="89"/>
        <v>245988.57175381808</v>
      </c>
      <c r="T69" s="1380">
        <f t="shared" si="89"/>
        <v>253620.37755414622</v>
      </c>
      <c r="U69" s="1380">
        <f t="shared" si="89"/>
        <v>265298.47148540395</v>
      </c>
      <c r="V69" s="1380">
        <f t="shared" si="89"/>
        <v>281859.054749095</v>
      </c>
    </row>
    <row r="70" spans="1:31" ht="14.45">
      <c r="A70" s="1419" t="s">
        <v>87</v>
      </c>
      <c r="C70" s="1382"/>
      <c r="D70" s="1382">
        <f t="shared" ref="D70:V70" si="90">+D69/C69-1</f>
        <v>0.25859805463814767</v>
      </c>
      <c r="E70" s="1382">
        <f t="shared" si="90"/>
        <v>0.278036914303464</v>
      </c>
      <c r="F70" s="1382">
        <f t="shared" si="90"/>
        <v>0.21842657170789237</v>
      </c>
      <c r="G70" s="1382">
        <f t="shared" si="90"/>
        <v>0.22306387213246648</v>
      </c>
      <c r="H70" s="1382">
        <f t="shared" si="90"/>
        <v>0.17727133000340367</v>
      </c>
      <c r="I70" s="1382">
        <f t="shared" si="90"/>
        <v>3.9811548216930559E-2</v>
      </c>
      <c r="J70" s="1382">
        <f t="shared" si="90"/>
        <v>-1.5139208499417522E-2</v>
      </c>
      <c r="K70" s="1397">
        <f t="shared" si="90"/>
        <v>-5.7385621826235078E-2</v>
      </c>
      <c r="L70" s="1382">
        <f t="shared" si="90"/>
        <v>0.81733713402173169</v>
      </c>
      <c r="M70" s="1382">
        <f t="shared" si="90"/>
        <v>0.25749932358589822</v>
      </c>
      <c r="N70" s="1382">
        <f t="shared" si="90"/>
        <v>0.20689721379429882</v>
      </c>
      <c r="O70" s="1382">
        <f t="shared" si="90"/>
        <v>0.18962002050415538</v>
      </c>
      <c r="P70" s="1382">
        <f t="shared" si="90"/>
        <v>0.14751443377607765</v>
      </c>
      <c r="Q70" s="1382">
        <f t="shared" si="90"/>
        <v>0.11078247108266681</v>
      </c>
      <c r="R70" s="1382">
        <f t="shared" si="90"/>
        <v>0.1053341418481204</v>
      </c>
      <c r="S70" s="1382">
        <f t="shared" si="90"/>
        <v>7.2562327135069271E-2</v>
      </c>
      <c r="T70" s="1382">
        <f t="shared" si="90"/>
        <v>3.1025042122550195E-2</v>
      </c>
      <c r="U70" s="1382">
        <f t="shared" si="90"/>
        <v>4.6045566384998127E-2</v>
      </c>
      <c r="V70" s="1382">
        <f t="shared" si="90"/>
        <v>6.2422460148256809E-2</v>
      </c>
    </row>
    <row r="71" spans="1:31">
      <c r="A71" s="1353"/>
      <c r="B71" s="1376"/>
      <c r="C71" s="1445"/>
      <c r="D71" s="1380"/>
      <c r="E71" s="1424"/>
      <c r="F71" s="1424"/>
      <c r="G71" s="1424"/>
      <c r="H71" s="1424"/>
      <c r="I71" s="1424"/>
      <c r="J71" s="1424"/>
      <c r="K71" s="1425"/>
      <c r="L71" s="1380"/>
      <c r="M71" s="1380"/>
      <c r="N71" s="1380"/>
      <c r="O71" s="1380"/>
      <c r="P71" s="1380"/>
      <c r="Q71" s="1380"/>
      <c r="R71" s="1380"/>
      <c r="S71" s="1380"/>
      <c r="T71" s="1380"/>
      <c r="U71" s="1380"/>
      <c r="V71" s="1380"/>
      <c r="W71" s="1376"/>
      <c r="X71" s="1376"/>
      <c r="Y71" s="1376"/>
      <c r="Z71" s="1376"/>
      <c r="AA71" s="1376"/>
      <c r="AB71" s="1376"/>
      <c r="AC71" s="1376"/>
      <c r="AD71" s="1376"/>
      <c r="AE71" s="1376"/>
    </row>
    <row r="72" spans="1:31">
      <c r="A72" s="1353" t="s">
        <v>144</v>
      </c>
      <c r="C72" s="1377">
        <f>+'Historical Financials'!BH121</f>
        <v>3266</v>
      </c>
      <c r="D72" s="1377">
        <f>+'Historical Financials'!BI121</f>
        <v>3940</v>
      </c>
      <c r="E72" s="1378">
        <f>+'Historical Financials'!BJ121</f>
        <v>4652</v>
      </c>
      <c r="F72" s="1378">
        <f>+'Historical Financials'!BK121</f>
        <v>5289</v>
      </c>
      <c r="G72" s="1378">
        <f>+'Historical Financials'!BL121</f>
        <v>6118</v>
      </c>
      <c r="H72" s="1378">
        <f>+'Historical Financials'!BM121</f>
        <v>7502</v>
      </c>
      <c r="I72" s="1378">
        <f>+'Historical Financials'!BN121</f>
        <v>9611</v>
      </c>
      <c r="J72" s="1378">
        <f>+'Historical Financials'!BO121</f>
        <v>10734</v>
      </c>
      <c r="K72" s="1446">
        <v>0</v>
      </c>
      <c r="L72" s="1447">
        <v>0</v>
      </c>
      <c r="M72" s="1447">
        <v>0</v>
      </c>
      <c r="N72" s="1447">
        <v>0</v>
      </c>
      <c r="O72" s="1447">
        <v>0</v>
      </c>
      <c r="P72" s="1447">
        <v>0</v>
      </c>
      <c r="Q72" s="1447">
        <v>0</v>
      </c>
      <c r="R72" s="1447">
        <v>0</v>
      </c>
      <c r="S72" s="1447">
        <v>0</v>
      </c>
      <c r="T72" s="1447">
        <v>0</v>
      </c>
      <c r="U72" s="1447">
        <v>0</v>
      </c>
      <c r="V72" s="1447">
        <v>0</v>
      </c>
      <c r="W72" s="1376"/>
      <c r="Y72" s="1448"/>
    </row>
    <row r="73" spans="1:31">
      <c r="A73" s="1353" t="s">
        <v>145</v>
      </c>
      <c r="C73" s="1377"/>
      <c r="D73" s="1377">
        <v>0</v>
      </c>
      <c r="E73" s="1378">
        <v>0</v>
      </c>
      <c r="F73" s="1378">
        <v>0</v>
      </c>
      <c r="G73" s="1378">
        <v>0</v>
      </c>
      <c r="H73" s="1378">
        <v>0</v>
      </c>
      <c r="I73" s="1378">
        <v>0</v>
      </c>
      <c r="J73" s="1447">
        <f>+'D&amp;A forecast - Case 1'!U53*0.21</f>
        <v>480.27</v>
      </c>
      <c r="K73" s="1446">
        <f>+'D&amp;A forecast - Case 1'!V53*0.21</f>
        <v>480.27</v>
      </c>
      <c r="L73" s="1447">
        <f>+'D&amp;A forecast - Case 1'!W53*0.21</f>
        <v>480.27</v>
      </c>
      <c r="M73" s="1447">
        <f>+'D&amp;A forecast - Case 1'!X53*0.21</f>
        <v>480.27</v>
      </c>
      <c r="N73" s="1447">
        <f>+'D&amp;A forecast - Case 1'!Y53*0.21</f>
        <v>480.27</v>
      </c>
      <c r="O73" s="1447">
        <f>+'D&amp;A forecast - Case 1'!Z53*0.21</f>
        <v>480.27</v>
      </c>
      <c r="P73" s="1447">
        <f>+'D&amp;A forecast - Case 1'!AA53*0.21</f>
        <v>480.27</v>
      </c>
      <c r="Q73" s="1447">
        <f>+'D&amp;A forecast - Case 1'!AB53*0.21</f>
        <v>480.27</v>
      </c>
      <c r="R73" s="1447">
        <f>+'D&amp;A forecast - Case 1'!AC53*0.21</f>
        <v>480.27</v>
      </c>
      <c r="S73" s="1447">
        <f>+'D&amp;A forecast - Case 1'!AD53*0.21</f>
        <v>480.27</v>
      </c>
      <c r="T73" s="1447">
        <f>+'D&amp;A forecast - Case 1'!AE53*0.21</f>
        <v>480.27</v>
      </c>
      <c r="U73" s="1447">
        <f>+'D&amp;A forecast - Case 1'!AF53*0.21</f>
        <v>480.27</v>
      </c>
      <c r="V73" s="1447">
        <f>+'D&amp;A forecast - Case 1'!AG53*0.21</f>
        <v>480.27</v>
      </c>
      <c r="W73" s="1376"/>
      <c r="Y73" s="1448"/>
      <c r="Z73" s="1354">
        <f>1500/1600</f>
        <v>0.9375</v>
      </c>
    </row>
    <row r="74" spans="1:31" ht="17.100000000000001">
      <c r="A74" s="1353" t="s">
        <v>146</v>
      </c>
      <c r="C74" s="1449">
        <f t="shared" ref="C74:H74" si="91">C75-C69-SUM(C72:C72)</f>
        <v>7828.4499999999971</v>
      </c>
      <c r="D74" s="1449">
        <f t="shared" si="91"/>
        <v>3421.7200000000012</v>
      </c>
      <c r="E74" s="1449">
        <f t="shared" si="91"/>
        <v>1337.4799999999959</v>
      </c>
      <c r="F74" s="1449">
        <f t="shared" si="91"/>
        <v>691.55999999999767</v>
      </c>
      <c r="G74" s="1449">
        <f t="shared" si="91"/>
        <v>2765.4199999999983</v>
      </c>
      <c r="H74" s="1449">
        <f t="shared" si="91"/>
        <v>937.36000000000058</v>
      </c>
      <c r="I74" s="1449">
        <f>I75-I69-SUM(I72:I73)</f>
        <v>-7370.7799999999988</v>
      </c>
      <c r="J74" s="1449">
        <f t="shared" ref="J74" si="92">J75-J69-SUM(J72:J73)</f>
        <v>-998.98374999999578</v>
      </c>
      <c r="K74" s="1450">
        <v>0</v>
      </c>
      <c r="L74" s="1451">
        <v>0</v>
      </c>
      <c r="M74" s="1451">
        <v>0</v>
      </c>
      <c r="N74" s="1451">
        <v>0</v>
      </c>
      <c r="O74" s="1451">
        <v>0</v>
      </c>
      <c r="P74" s="1451">
        <v>0</v>
      </c>
      <c r="Q74" s="1451">
        <v>0</v>
      </c>
      <c r="R74" s="1451">
        <v>0</v>
      </c>
      <c r="S74" s="1451">
        <v>0</v>
      </c>
      <c r="T74" s="1451">
        <v>0</v>
      </c>
      <c r="U74" s="1451">
        <v>0</v>
      </c>
      <c r="V74" s="1451">
        <v>0</v>
      </c>
    </row>
    <row r="75" spans="1:31">
      <c r="A75" s="1452" t="s">
        <v>147</v>
      </c>
      <c r="B75" s="1377"/>
      <c r="C75" s="1377">
        <f>+'Historical Financials'!BH125</f>
        <v>29307</v>
      </c>
      <c r="D75" s="1377">
        <f>+'Historical Financials'!BI125</f>
        <v>30284</v>
      </c>
      <c r="E75" s="1378">
        <f>+'Historical Financials'!BJ125</f>
        <v>35285</v>
      </c>
      <c r="F75" s="1378">
        <f>+'Historical Financials'!BK125</f>
        <v>41675</v>
      </c>
      <c r="G75" s="1378">
        <f>+'Historical Financials'!BL125</f>
        <v>52540</v>
      </c>
      <c r="H75" s="1378">
        <f>+'Historical Financials'!BM125</f>
        <v>59835</v>
      </c>
      <c r="I75" s="1378">
        <f>+'Historical Financials'!BN125</f>
        <v>55682</v>
      </c>
      <c r="J75" s="1378">
        <f>+'Historical Financials'!BO125</f>
        <v>62848</v>
      </c>
      <c r="K75" s="1425">
        <f t="shared" ref="K75:V75" si="93">+K69+K74+K72+K71+K73</f>
        <v>50092.622743054009</v>
      </c>
      <c r="L75" s="1380">
        <f t="shared" si="93"/>
        <v>90642.640946136977</v>
      </c>
      <c r="M75" s="1380">
        <f t="shared" si="93"/>
        <v>113859.39047766809</v>
      </c>
      <c r="N75" s="1380">
        <f t="shared" si="93"/>
        <v>137317.21460694572</v>
      </c>
      <c r="O75" s="1380">
        <f t="shared" si="93"/>
        <v>163264.23884904076</v>
      </c>
      <c r="P75" s="1380">
        <f t="shared" si="93"/>
        <v>187277.22384162966</v>
      </c>
      <c r="Q75" s="1380">
        <f t="shared" si="93"/>
        <v>207971.05197892027</v>
      </c>
      <c r="R75" s="1380">
        <f t="shared" si="93"/>
        <v>229826.91544006529</v>
      </c>
      <c r="S75" s="1380">
        <f t="shared" si="93"/>
        <v>246468.84175381807</v>
      </c>
      <c r="T75" s="1380">
        <f t="shared" si="93"/>
        <v>254100.64755414621</v>
      </c>
      <c r="U75" s="1380">
        <f t="shared" si="93"/>
        <v>265778.74148540397</v>
      </c>
      <c r="V75" s="1380">
        <f t="shared" si="93"/>
        <v>282339.32474909502</v>
      </c>
      <c r="W75" s="1453"/>
      <c r="X75" s="1453"/>
      <c r="Y75" s="1453"/>
      <c r="Z75" s="1453"/>
      <c r="AA75" s="1453"/>
      <c r="AB75" s="1453"/>
      <c r="AC75" s="1453"/>
      <c r="AD75" s="1453"/>
      <c r="AE75" s="1453"/>
    </row>
    <row r="76" spans="1:31">
      <c r="C76" s="1353"/>
      <c r="D76" s="1353"/>
      <c r="E76" s="1353"/>
      <c r="F76" s="1353"/>
      <c r="G76" s="1353"/>
      <c r="H76" s="1353"/>
      <c r="I76" s="1353"/>
      <c r="J76" s="1353"/>
      <c r="K76" s="1427"/>
      <c r="L76" s="1353"/>
      <c r="M76" s="1353"/>
      <c r="N76" s="1353"/>
      <c r="O76" s="1353"/>
      <c r="P76" s="1353"/>
      <c r="Q76" s="1353"/>
      <c r="R76" s="1353"/>
      <c r="S76" s="1353"/>
      <c r="T76" s="1353"/>
      <c r="U76" s="1353"/>
      <c r="V76" s="1353"/>
    </row>
    <row r="77" spans="1:31">
      <c r="A77" s="1354" t="s">
        <v>148</v>
      </c>
      <c r="B77" s="1376"/>
      <c r="C77" s="1377">
        <f>+'Historical Financials'!BH139</f>
        <v>-38877</v>
      </c>
      <c r="D77" s="1377">
        <f>+'Historical Financials'!BI139</f>
        <v>-47659</v>
      </c>
      <c r="E77" s="1378">
        <f>+'Historical Financials'!BJ139</f>
        <v>-48879</v>
      </c>
      <c r="F77" s="1378">
        <f>+'Historical Financials'!BK139</f>
        <v>-56033</v>
      </c>
      <c r="G77" s="1378">
        <f>+'Historical Financials'!BL139</f>
        <v>-50018</v>
      </c>
      <c r="H77" s="1378">
        <f>+'Historical Financials'!BM139</f>
        <v>-28585</v>
      </c>
      <c r="I77" s="1378">
        <f>+'Historical Financials'!BN139</f>
        <v>-34230</v>
      </c>
      <c r="J77" s="1378">
        <f>+'Historical Financials'!BO139</f>
        <v>18729</v>
      </c>
      <c r="K77" s="1379">
        <f>+'Historical Financials'!BP139</f>
        <v>-23993.555243054016</v>
      </c>
      <c r="L77" s="1380">
        <f t="shared" ref="L77:V77" si="94">L78*L33</f>
        <v>0</v>
      </c>
      <c r="M77" s="1380">
        <f t="shared" si="94"/>
        <v>0</v>
      </c>
      <c r="N77" s="1380">
        <f t="shared" si="94"/>
        <v>0</v>
      </c>
      <c r="O77" s="1380">
        <f t="shared" si="94"/>
        <v>0</v>
      </c>
      <c r="P77" s="1380">
        <f t="shared" si="94"/>
        <v>0</v>
      </c>
      <c r="Q77" s="1380">
        <f t="shared" si="94"/>
        <v>0</v>
      </c>
      <c r="R77" s="1380">
        <f t="shared" si="94"/>
        <v>0</v>
      </c>
      <c r="S77" s="1380">
        <f t="shared" si="94"/>
        <v>0</v>
      </c>
      <c r="T77" s="1380">
        <f t="shared" si="94"/>
        <v>0</v>
      </c>
      <c r="U77" s="1380">
        <f t="shared" si="94"/>
        <v>0</v>
      </c>
      <c r="V77" s="1380">
        <f t="shared" si="94"/>
        <v>0</v>
      </c>
    </row>
    <row r="78" spans="1:31" ht="14.45">
      <c r="A78" s="1381" t="s">
        <v>149</v>
      </c>
      <c r="B78" s="1363"/>
      <c r="C78" s="1454">
        <f t="shared" ref="C78:K78" si="95">+C77/C33</f>
        <v>-1.0201527198299614</v>
      </c>
      <c r="D78" s="1454">
        <f t="shared" si="95"/>
        <v>-1.0516339725060129</v>
      </c>
      <c r="E78" s="1454">
        <f t="shared" si="95"/>
        <v>-0.89454804999908488</v>
      </c>
      <c r="F78" s="1454">
        <f t="shared" si="95"/>
        <v>-0.85214812561782372</v>
      </c>
      <c r="G78" s="1454">
        <f t="shared" si="95"/>
        <v>-0.61295066297394674</v>
      </c>
      <c r="H78" s="1454">
        <f t="shared" si="95"/>
        <v>-0.29215171243727195</v>
      </c>
      <c r="I78" s="1455">
        <f t="shared" si="95"/>
        <v>-0.33054898363188645</v>
      </c>
      <c r="J78" s="1455">
        <f t="shared" si="95"/>
        <v>0.14095732671031835</v>
      </c>
      <c r="K78" s="1456">
        <f t="shared" si="95"/>
        <v>-0.15036206262004609</v>
      </c>
      <c r="L78" s="1457">
        <v>0</v>
      </c>
      <c r="M78" s="1457">
        <f t="shared" ref="M78:V78" si="96">L78</f>
        <v>0</v>
      </c>
      <c r="N78" s="1457">
        <f t="shared" si="96"/>
        <v>0</v>
      </c>
      <c r="O78" s="1457">
        <f t="shared" si="96"/>
        <v>0</v>
      </c>
      <c r="P78" s="1457">
        <f t="shared" si="96"/>
        <v>0</v>
      </c>
      <c r="Q78" s="1457">
        <f t="shared" si="96"/>
        <v>0</v>
      </c>
      <c r="R78" s="1457">
        <f t="shared" si="96"/>
        <v>0</v>
      </c>
      <c r="S78" s="1457">
        <f t="shared" si="96"/>
        <v>0</v>
      </c>
      <c r="T78" s="1457">
        <f t="shared" si="96"/>
        <v>0</v>
      </c>
      <c r="U78" s="1457">
        <f t="shared" si="96"/>
        <v>0</v>
      </c>
      <c r="V78" s="1457">
        <f t="shared" si="96"/>
        <v>0</v>
      </c>
    </row>
    <row r="79" spans="1:31">
      <c r="C79" s="1353"/>
      <c r="D79" s="1353"/>
      <c r="E79" s="1353"/>
      <c r="F79" s="1353"/>
      <c r="G79" s="1353"/>
      <c r="H79" s="1353"/>
      <c r="I79" s="1353"/>
      <c r="J79" s="1353"/>
      <c r="K79" s="1427"/>
      <c r="L79" s="1353"/>
      <c r="M79" s="1353"/>
      <c r="N79" s="1353"/>
      <c r="O79" s="1353"/>
      <c r="P79" s="1353"/>
      <c r="Q79" s="1353"/>
      <c r="R79" s="1353"/>
      <c r="S79" s="1353"/>
      <c r="T79" s="1353"/>
      <c r="U79" s="1353"/>
      <c r="V79" s="1353"/>
    </row>
    <row r="80" spans="1:31">
      <c r="A80" s="1428" t="s">
        <v>150</v>
      </c>
      <c r="B80" s="1376"/>
      <c r="C80" s="1380"/>
      <c r="D80" s="1380"/>
      <c r="E80" s="1424"/>
      <c r="F80" s="1424"/>
      <c r="G80" s="1424"/>
      <c r="H80" s="1424"/>
      <c r="I80" s="1424"/>
      <c r="J80" s="1424"/>
      <c r="K80" s="1425"/>
      <c r="L80" s="1380">
        <f t="shared" ref="L80:N80" si="97">+L75+(L77-K77)</f>
        <v>114636.19618919099</v>
      </c>
      <c r="M80" s="1380">
        <f t="shared" si="97"/>
        <v>113859.39047766809</v>
      </c>
      <c r="N80" s="1380">
        <f t="shared" si="97"/>
        <v>137317.21460694572</v>
      </c>
      <c r="O80" s="1380">
        <f>+O75+(O77-N77)</f>
        <v>163264.23884904076</v>
      </c>
      <c r="P80" s="1380">
        <f>+P75+(P77-O77)</f>
        <v>187277.22384162966</v>
      </c>
      <c r="Q80" s="1380">
        <f>+Q75+(Q77-P77)</f>
        <v>207971.05197892027</v>
      </c>
      <c r="R80" s="1380">
        <f>+R75+(R77-Q77)</f>
        <v>229826.91544006529</v>
      </c>
      <c r="S80" s="1380">
        <f>+S75+(S77-R77)</f>
        <v>246468.84175381807</v>
      </c>
      <c r="T80" s="1380">
        <f t="shared" ref="T80:V80" si="98">+T75+(T77-S77)</f>
        <v>254100.64755414621</v>
      </c>
      <c r="U80" s="1380">
        <f t="shared" si="98"/>
        <v>265778.74148540397</v>
      </c>
      <c r="V80" s="1380">
        <f t="shared" si="98"/>
        <v>282339.32474909502</v>
      </c>
    </row>
    <row r="81" spans="1:26" ht="14.45">
      <c r="A81" s="1419" t="s">
        <v>151</v>
      </c>
      <c r="C81" s="1382"/>
      <c r="D81" s="1382"/>
      <c r="E81" s="1382"/>
      <c r="F81" s="1382"/>
      <c r="G81" s="1382"/>
      <c r="H81" s="1382"/>
      <c r="I81" s="1382"/>
      <c r="J81" s="1382"/>
      <c r="K81" s="1397"/>
      <c r="L81" s="1382">
        <f t="shared" ref="L81:V81" si="99">+L80/$D$101</f>
        <v>3.6408567028633626E-2</v>
      </c>
      <c r="M81" s="1382">
        <f t="shared" si="99"/>
        <v>3.6161852781682075E-2</v>
      </c>
      <c r="N81" s="1382">
        <f t="shared" si="99"/>
        <v>4.3612080463235538E-2</v>
      </c>
      <c r="O81" s="1382">
        <f t="shared" si="99"/>
        <v>5.1852880513446671E-2</v>
      </c>
      <c r="P81" s="1382">
        <f t="shared" si="99"/>
        <v>5.9479427823315299E-2</v>
      </c>
      <c r="Q81" s="1382">
        <f t="shared" si="99"/>
        <v>6.6051807698622178E-2</v>
      </c>
      <c r="R81" s="1382">
        <f t="shared" si="99"/>
        <v>7.2993251119167157E-2</v>
      </c>
      <c r="S81" s="1382">
        <f t="shared" si="99"/>
        <v>7.8278743047736396E-2</v>
      </c>
      <c r="T81" s="1382">
        <f t="shared" si="99"/>
        <v>8.070261196756856E-2</v>
      </c>
      <c r="U81" s="1382">
        <f t="shared" si="99"/>
        <v>8.4411585919924523E-2</v>
      </c>
      <c r="V81" s="1382">
        <f t="shared" si="99"/>
        <v>8.9671243216946875E-2</v>
      </c>
    </row>
    <row r="82" spans="1:26">
      <c r="C82" s="1353"/>
      <c r="D82" s="1353"/>
      <c r="E82" s="1353"/>
      <c r="F82" s="1353"/>
      <c r="G82" s="1353"/>
      <c r="H82" s="1353"/>
      <c r="I82" s="1353"/>
      <c r="J82" s="1353"/>
      <c r="K82" s="1427"/>
      <c r="L82" s="1353"/>
      <c r="M82" s="1353"/>
      <c r="N82" s="1353"/>
      <c r="O82" s="1353"/>
      <c r="P82" s="1353"/>
      <c r="Q82" s="1353"/>
      <c r="R82" s="1353"/>
      <c r="S82" s="1353"/>
      <c r="T82" s="1353"/>
      <c r="U82" s="1353"/>
      <c r="V82" s="1353"/>
    </row>
    <row r="83" spans="1:26">
      <c r="A83" s="1428" t="s">
        <v>152</v>
      </c>
      <c r="B83" s="1376"/>
      <c r="C83" s="1380"/>
      <c r="D83" s="1380"/>
      <c r="E83" s="1424"/>
      <c r="F83" s="1424"/>
      <c r="G83" s="1424"/>
      <c r="H83" s="1424"/>
      <c r="I83" s="1424"/>
      <c r="J83" s="1424"/>
      <c r="K83" s="1425"/>
      <c r="L83" s="1380">
        <f t="shared" ref="L83:N83" si="100">L80+K83</f>
        <v>114636.19618919099</v>
      </c>
      <c r="M83" s="1380">
        <f t="shared" si="100"/>
        <v>228495.58666685908</v>
      </c>
      <c r="N83" s="1380">
        <f t="shared" si="100"/>
        <v>365812.8012738048</v>
      </c>
      <c r="O83" s="1380">
        <f>O80+N83</f>
        <v>529077.04012284556</v>
      </c>
      <c r="P83" s="1380">
        <f>P80+O83</f>
        <v>716354.26396447525</v>
      </c>
      <c r="Q83" s="1380">
        <f>Q80+P83</f>
        <v>924325.31594339549</v>
      </c>
      <c r="R83" s="1380">
        <f>R80+Q83</f>
        <v>1154152.2313834608</v>
      </c>
      <c r="S83" s="1380">
        <f>S80+R83</f>
        <v>1400621.0731372789</v>
      </c>
      <c r="T83" s="1380">
        <f t="shared" ref="T83:V83" si="101">T80+S83</f>
        <v>1654721.720691425</v>
      </c>
      <c r="U83" s="1380">
        <f t="shared" si="101"/>
        <v>1920500.4621768291</v>
      </c>
      <c r="V83" s="1380">
        <f t="shared" si="101"/>
        <v>2202839.786925924</v>
      </c>
    </row>
    <row r="84" spans="1:26" ht="14.45">
      <c r="A84" s="1419" t="s">
        <v>151</v>
      </c>
      <c r="C84" s="1382"/>
      <c r="D84" s="1382"/>
      <c r="E84" s="1382"/>
      <c r="F84" s="1382"/>
      <c r="G84" s="1382"/>
      <c r="H84" s="1382"/>
      <c r="I84" s="1382"/>
      <c r="J84" s="1382"/>
      <c r="K84" s="1397"/>
      <c r="L84" s="1382">
        <f t="shared" ref="L84:V84" si="102">L83/$D$101</f>
        <v>3.6408567028633626E-2</v>
      </c>
      <c r="M84" s="1382">
        <f t="shared" si="102"/>
        <v>7.2570419810315701E-2</v>
      </c>
      <c r="N84" s="1382">
        <f t="shared" si="102"/>
        <v>0.11618250027355125</v>
      </c>
      <c r="O84" s="1458">
        <f t="shared" si="102"/>
        <v>0.16803538078699792</v>
      </c>
      <c r="P84" s="1382">
        <f t="shared" si="102"/>
        <v>0.22751480861031323</v>
      </c>
      <c r="Q84" s="1382">
        <f t="shared" si="102"/>
        <v>0.29356661630893538</v>
      </c>
      <c r="R84" s="1382">
        <f t="shared" si="102"/>
        <v>0.36655986742810254</v>
      </c>
      <c r="S84" s="1382">
        <f t="shared" si="102"/>
        <v>0.44483861047583895</v>
      </c>
      <c r="T84" s="1382">
        <f t="shared" si="102"/>
        <v>0.52554122244340751</v>
      </c>
      <c r="U84" s="1382">
        <f t="shared" si="102"/>
        <v>0.6099528083633321</v>
      </c>
      <c r="V84" s="1382">
        <f t="shared" si="102"/>
        <v>0.69962405158027885</v>
      </c>
    </row>
    <row r="85" spans="1:26">
      <c r="C85" s="1353"/>
      <c r="D85" s="1353"/>
      <c r="E85" s="1353"/>
      <c r="F85" s="1353"/>
      <c r="G85" s="1353"/>
      <c r="H85" s="1353"/>
      <c r="I85" s="1353"/>
      <c r="J85" s="1353"/>
      <c r="K85" s="1427"/>
      <c r="L85" s="1353"/>
      <c r="M85" s="1353"/>
      <c r="N85" s="1353"/>
      <c r="O85" s="1353"/>
      <c r="P85" s="1353"/>
      <c r="Q85" s="1353"/>
      <c r="R85" s="1353"/>
      <c r="S85" s="1353"/>
      <c r="T85" s="1353"/>
      <c r="U85" s="1353"/>
      <c r="V85" s="1353"/>
    </row>
    <row r="86" spans="1:26" collapsed="1">
      <c r="A86" s="1354" t="s">
        <v>153</v>
      </c>
      <c r="C86" s="1353"/>
      <c r="D86" s="1353"/>
      <c r="E86" s="1353"/>
      <c r="F86" s="1353"/>
      <c r="G86" s="1459"/>
      <c r="H86" s="1460"/>
      <c r="I86" s="1459"/>
      <c r="J86" s="1459"/>
      <c r="K86" s="1461">
        <f>+D101/SUM('Historical Financials'!AK125:AN125)</f>
        <v>54.620608899297423</v>
      </c>
      <c r="L86" s="1353"/>
      <c r="M86" s="1353"/>
      <c r="N86" s="1353"/>
      <c r="O86" s="1353"/>
      <c r="P86" s="1353"/>
      <c r="Q86" s="1353"/>
      <c r="R86" s="1353"/>
      <c r="S86" s="1353"/>
      <c r="T86" s="1353"/>
      <c r="U86" s="1353"/>
      <c r="V86" s="1353"/>
      <c r="Z86" s="1435"/>
    </row>
    <row r="87" spans="1:26">
      <c r="A87" s="1353" t="s">
        <v>154</v>
      </c>
      <c r="B87" s="1353"/>
      <c r="C87" s="1459"/>
      <c r="D87" s="1459"/>
      <c r="E87" s="1459"/>
      <c r="F87" s="1459"/>
      <c r="G87" s="1459"/>
      <c r="H87" s="1459"/>
      <c r="I87" s="1459"/>
      <c r="J87" s="1459"/>
      <c r="K87" s="1461">
        <f t="shared" ref="K87:V87" si="103">+($D$101-K83)/(K8)</f>
        <v>11.328193065648968</v>
      </c>
      <c r="L87" s="1459">
        <f t="shared" si="103"/>
        <v>9.659955565579633</v>
      </c>
      <c r="M87" s="1459">
        <f t="shared" si="103"/>
        <v>8.2278184189697825</v>
      </c>
      <c r="N87" s="1459">
        <f t="shared" si="103"/>
        <v>6.9388565307851966</v>
      </c>
      <c r="O87" s="1459">
        <f t="shared" si="103"/>
        <v>5.7803179226151453</v>
      </c>
      <c r="P87" s="1459">
        <f t="shared" si="103"/>
        <v>4.7496169671173458</v>
      </c>
      <c r="Q87" s="1459">
        <f t="shared" si="103"/>
        <v>3.8438036560854849</v>
      </c>
      <c r="R87" s="1459">
        <f t="shared" si="103"/>
        <v>3.0501213131314149</v>
      </c>
      <c r="S87" s="1459">
        <f t="shared" si="103"/>
        <v>2.365660118013619</v>
      </c>
      <c r="T87" s="1459">
        <f t="shared" si="103"/>
        <v>1.7891762980710519</v>
      </c>
      <c r="U87" s="1459">
        <f t="shared" si="103"/>
        <v>1.3016474219047978</v>
      </c>
      <c r="V87" s="1459">
        <f t="shared" si="103"/>
        <v>0.88708026760380188</v>
      </c>
    </row>
    <row r="88" spans="1:26">
      <c r="A88" s="1353" t="s">
        <v>155</v>
      </c>
      <c r="B88" s="1353"/>
      <c r="C88" s="1460">
        <f t="shared" ref="C88:V88" si="104">($D$101-C83)/C69</f>
        <v>172.88106278362994</v>
      </c>
      <c r="D88" s="1460">
        <f t="shared" si="104"/>
        <v>137.36002701301965</v>
      </c>
      <c r="E88" s="1460">
        <f t="shared" si="104"/>
        <v>107.47735489931564</v>
      </c>
      <c r="F88" s="1460">
        <f t="shared" si="104"/>
        <v>88.209956508632715</v>
      </c>
      <c r="G88" s="1460">
        <f t="shared" si="104"/>
        <v>72.122117673899325</v>
      </c>
      <c r="H88" s="1460">
        <f t="shared" si="104"/>
        <v>61.262103166727762</v>
      </c>
      <c r="I88" s="1460">
        <f t="shared" si="104"/>
        <v>58.916544321689884</v>
      </c>
      <c r="J88" s="1460">
        <f t="shared" si="104"/>
        <v>59.822205158479029</v>
      </c>
      <c r="K88" s="1461">
        <f t="shared" si="104"/>
        <v>63.464133948794057</v>
      </c>
      <c r="L88" s="1459">
        <f t="shared" si="104"/>
        <v>33.650055693669621</v>
      </c>
      <c r="M88" s="1459">
        <f t="shared" si="104"/>
        <v>25.755266058077293</v>
      </c>
      <c r="N88" s="1459">
        <f t="shared" si="104"/>
        <v>20.336556086658948</v>
      </c>
      <c r="O88" s="1459">
        <f t="shared" si="104"/>
        <v>16.092051191517502</v>
      </c>
      <c r="P88" s="1459">
        <f t="shared" si="104"/>
        <v>13.020826549974887</v>
      </c>
      <c r="Q88" s="1459">
        <f t="shared" si="104"/>
        <v>10.719896386927573</v>
      </c>
      <c r="R88" s="1459">
        <f t="shared" si="104"/>
        <v>8.6962369333531218</v>
      </c>
      <c r="S88" s="1459">
        <f t="shared" si="104"/>
        <v>7.1059558352657088</v>
      </c>
      <c r="T88" s="1459">
        <f t="shared" si="104"/>
        <v>5.8902336386185734</v>
      </c>
      <c r="U88" s="1459">
        <f t="shared" si="104"/>
        <v>4.6291429081631108</v>
      </c>
      <c r="V88" s="1459">
        <f t="shared" si="104"/>
        <v>3.3554544270929183</v>
      </c>
    </row>
    <row r="89" spans="1:26">
      <c r="A89" s="1353" t="s">
        <v>156</v>
      </c>
      <c r="B89" s="1353"/>
      <c r="C89" s="1460"/>
      <c r="D89" s="1460">
        <f t="shared" ref="D89:V89" si="105">($D$101-D83)/D64</f>
        <v>119.89533640401382</v>
      </c>
      <c r="E89" s="1460">
        <f t="shared" si="105"/>
        <v>91.228162181081487</v>
      </c>
      <c r="F89" s="1460">
        <f t="shared" si="105"/>
        <v>75.148501948998572</v>
      </c>
      <c r="G89" s="1460">
        <f t="shared" si="105"/>
        <v>56.05434375076775</v>
      </c>
      <c r="H89" s="1460">
        <f t="shared" si="105"/>
        <v>47.608294105870904</v>
      </c>
      <c r="I89" s="1460">
        <f t="shared" si="105"/>
        <v>44.048274235395866</v>
      </c>
      <c r="J89" s="1460">
        <f t="shared" si="105"/>
        <v>35.817978896735823</v>
      </c>
      <c r="K89" s="1461">
        <f t="shared" si="105"/>
        <v>30.675746882867266</v>
      </c>
      <c r="L89" s="1459">
        <f t="shared" si="105"/>
        <v>24.235856007790051</v>
      </c>
      <c r="M89" s="1459">
        <f t="shared" si="105"/>
        <v>20.100484586628614</v>
      </c>
      <c r="N89" s="1459">
        <f t="shared" si="105"/>
        <v>16.839070213441559</v>
      </c>
      <c r="O89" s="1459">
        <f t="shared" si="105"/>
        <v>14.180765093879169</v>
      </c>
      <c r="P89" s="1459">
        <f t="shared" si="105"/>
        <v>11.959378867204348</v>
      </c>
      <c r="Q89" s="1459">
        <f t="shared" si="105"/>
        <v>10.014518265710889</v>
      </c>
      <c r="R89" s="1459">
        <f t="shared" si="105"/>
        <v>8.2545388983397761</v>
      </c>
      <c r="S89" s="1459">
        <f t="shared" si="105"/>
        <v>6.6267016414095643</v>
      </c>
      <c r="T89" s="1459">
        <f t="shared" si="105"/>
        <v>5.3458562029696077</v>
      </c>
      <c r="U89" s="1459">
        <f t="shared" si="105"/>
        <v>4.0923146857162314</v>
      </c>
      <c r="V89" s="1459">
        <f t="shared" si="105"/>
        <v>2.9075738886034506</v>
      </c>
    </row>
    <row r="90" spans="1:26">
      <c r="C90" s="1353"/>
      <c r="D90" s="1353"/>
      <c r="E90" s="1353"/>
      <c r="F90" s="1353"/>
      <c r="G90" s="1353"/>
      <c r="H90" s="1353"/>
      <c r="I90" s="1353"/>
      <c r="J90" s="1462"/>
      <c r="K90" s="1353"/>
    </row>
    <row r="91" spans="1:26">
      <c r="A91" s="1368" t="s">
        <v>157</v>
      </c>
      <c r="B91" s="1369"/>
      <c r="C91" s="1464"/>
      <c r="D91" s="1353"/>
      <c r="E91" s="1353"/>
      <c r="F91" s="1353"/>
      <c r="G91" s="1353"/>
      <c r="H91" s="1353"/>
      <c r="I91" s="1353"/>
      <c r="J91" s="1353"/>
      <c r="K91" s="1353"/>
    </row>
    <row r="92" spans="1:26" ht="8.1" customHeight="1">
      <c r="C92" s="1353"/>
      <c r="D92" s="1353"/>
      <c r="E92" s="1353"/>
      <c r="F92" s="1353"/>
      <c r="G92" s="1353"/>
      <c r="H92" s="1353"/>
      <c r="I92" s="1353"/>
      <c r="J92" s="1353"/>
      <c r="K92" s="1432"/>
      <c r="L92" s="1353"/>
    </row>
    <row r="93" spans="1:26">
      <c r="A93" s="1404" t="s">
        <v>158</v>
      </c>
      <c r="C93" s="1353"/>
      <c r="D93" s="1353"/>
      <c r="E93" s="1353"/>
      <c r="F93" s="1353"/>
      <c r="G93" s="1353"/>
      <c r="H93" s="1353"/>
      <c r="I93" s="1353"/>
      <c r="J93" s="1353"/>
      <c r="K93" s="1353"/>
      <c r="L93" s="1353"/>
      <c r="M93" s="1353"/>
      <c r="N93" s="1353"/>
      <c r="O93" s="1353"/>
    </row>
    <row r="94" spans="1:26" ht="17.100000000000001">
      <c r="A94" s="1354" t="s">
        <v>159</v>
      </c>
      <c r="C94" s="1353"/>
      <c r="D94" s="1353"/>
      <c r="E94" s="1353"/>
      <c r="F94" s="1353"/>
      <c r="G94" s="1353"/>
      <c r="H94" s="1353"/>
      <c r="I94" s="1353"/>
      <c r="J94" s="1353"/>
      <c r="K94" s="1353"/>
      <c r="L94" s="1353"/>
      <c r="M94" s="1353"/>
      <c r="N94" s="1353"/>
      <c r="O94" s="1353"/>
      <c r="P94" s="1353"/>
      <c r="Q94" s="1353"/>
      <c r="R94" s="1353"/>
      <c r="S94" s="1353"/>
      <c r="T94" s="1353"/>
      <c r="U94" s="1465">
        <v>15</v>
      </c>
      <c r="V94" s="1466"/>
    </row>
    <row r="95" spans="1:26">
      <c r="A95" s="1428" t="s">
        <v>160</v>
      </c>
      <c r="C95" s="1380"/>
      <c r="D95" s="1380"/>
      <c r="E95" s="1380"/>
      <c r="F95" s="1380"/>
      <c r="G95" s="1380"/>
      <c r="H95" s="1380"/>
      <c r="I95" s="1380"/>
      <c r="J95" s="1380"/>
      <c r="K95" s="1380"/>
      <c r="L95" s="1380"/>
      <c r="M95" s="1380"/>
      <c r="N95" s="1380"/>
      <c r="O95" s="1380"/>
      <c r="P95" s="1380"/>
      <c r="Q95" s="1380"/>
      <c r="R95" s="1380"/>
      <c r="S95" s="1380"/>
      <c r="T95" s="1380"/>
      <c r="U95" s="1380">
        <f>+U94*V69</f>
        <v>4227885.8212364251</v>
      </c>
      <c r="V95" s="1380"/>
    </row>
    <row r="96" spans="1:26">
      <c r="A96" s="1428" t="s">
        <v>161</v>
      </c>
      <c r="C96" s="1380"/>
      <c r="D96" s="1380"/>
      <c r="E96" s="1380"/>
      <c r="F96" s="1380"/>
      <c r="G96" s="1380"/>
      <c r="H96" s="1380"/>
      <c r="I96" s="1380"/>
      <c r="J96" s="1380"/>
      <c r="K96" s="1380">
        <f>-$D$101+K83</f>
        <v>-3148605</v>
      </c>
      <c r="L96" s="1380">
        <f t="shared" ref="L96:U96" si="106">+L80+L95</f>
        <v>114636.19618919099</v>
      </c>
      <c r="M96" s="1380">
        <f t="shared" si="106"/>
        <v>113859.39047766809</v>
      </c>
      <c r="N96" s="1380">
        <f t="shared" si="106"/>
        <v>137317.21460694572</v>
      </c>
      <c r="O96" s="1380">
        <f t="shared" si="106"/>
        <v>163264.23884904076</v>
      </c>
      <c r="P96" s="1380">
        <f t="shared" si="106"/>
        <v>187277.22384162966</v>
      </c>
      <c r="Q96" s="1380">
        <f t="shared" si="106"/>
        <v>207971.05197892027</v>
      </c>
      <c r="R96" s="1380">
        <f t="shared" si="106"/>
        <v>229826.91544006529</v>
      </c>
      <c r="S96" s="1380">
        <f t="shared" si="106"/>
        <v>246468.84175381807</v>
      </c>
      <c r="T96" s="1380">
        <f t="shared" si="106"/>
        <v>254100.64755414621</v>
      </c>
      <c r="U96" s="1380">
        <f t="shared" si="106"/>
        <v>4493664.5627218289</v>
      </c>
      <c r="V96" s="1380"/>
    </row>
    <row r="97" spans="1:22">
      <c r="A97" s="1467" t="s">
        <v>162</v>
      </c>
      <c r="B97" s="1468"/>
      <c r="C97" s="1469"/>
      <c r="D97" s="1469"/>
      <c r="E97" s="1469"/>
      <c r="F97" s="1469"/>
      <c r="G97" s="1469"/>
      <c r="H97" s="1469"/>
      <c r="I97" s="1469"/>
      <c r="J97" s="1469"/>
      <c r="K97" s="1470">
        <f>XIRR(K96:U96,K3:U3)</f>
        <v>7.6033541560173043E-2</v>
      </c>
      <c r="L97" s="1471"/>
      <c r="M97" s="1472"/>
      <c r="N97" s="1472"/>
      <c r="O97" s="1472"/>
      <c r="P97" s="1472"/>
      <c r="Q97" s="1472"/>
      <c r="R97" s="1472"/>
      <c r="S97" s="1472"/>
      <c r="T97" s="1472"/>
      <c r="U97" s="1472"/>
      <c r="V97" s="1472"/>
    </row>
    <row r="99" spans="1:22">
      <c r="A99" s="1473" t="s">
        <v>163</v>
      </c>
      <c r="B99" s="1474"/>
      <c r="C99" s="1475"/>
      <c r="D99" s="1475"/>
      <c r="E99" s="1476"/>
      <c r="F99" s="1353"/>
      <c r="I99" s="1353"/>
      <c r="J99" s="1353"/>
      <c r="K99" s="1353"/>
    </row>
    <row r="100" spans="1:22">
      <c r="D100" s="1477" t="s">
        <v>164</v>
      </c>
      <c r="E100" s="1477" t="s">
        <v>165</v>
      </c>
      <c r="F100" s="1353"/>
      <c r="I100" s="1353"/>
      <c r="J100" s="1353"/>
      <c r="K100" s="1353"/>
    </row>
    <row r="101" spans="1:22">
      <c r="A101" s="1354" t="s">
        <v>166</v>
      </c>
      <c r="D101" s="1478">
        <f>+E101*E104</f>
        <v>3148605</v>
      </c>
      <c r="E101" s="1463">
        <f>+Base!E100</f>
        <v>421.5</v>
      </c>
      <c r="F101" s="1353"/>
      <c r="I101" s="1353"/>
      <c r="J101" s="1353"/>
      <c r="K101" s="1353"/>
    </row>
    <row r="102" spans="1:22" ht="17.100000000000001">
      <c r="A102" s="1354" t="s">
        <v>148</v>
      </c>
      <c r="D102" s="1499">
        <f>+Base!D101</f>
        <v>14401</v>
      </c>
      <c r="E102" s="1480">
        <f>+D102/E104</f>
        <v>1.9278447121820617</v>
      </c>
      <c r="F102" s="1361"/>
      <c r="I102" s="1353"/>
      <c r="J102" s="1353"/>
      <c r="K102" s="1353"/>
    </row>
    <row r="103" spans="1:22">
      <c r="A103" s="1481" t="s">
        <v>167</v>
      </c>
      <c r="B103" s="1386"/>
      <c r="D103" s="1453">
        <f>+D102+D101</f>
        <v>3163006</v>
      </c>
      <c r="E103" s="1500">
        <f>+D103/E104</f>
        <v>423.42784471218204</v>
      </c>
      <c r="F103" s="1353"/>
      <c r="I103" s="1353"/>
      <c r="J103" s="1353"/>
      <c r="K103" s="1353"/>
    </row>
    <row r="104" spans="1:22" ht="14.45">
      <c r="A104" s="1381" t="s">
        <v>168</v>
      </c>
      <c r="E104" s="1501">
        <f>+Base!E103</f>
        <v>7470</v>
      </c>
      <c r="F104" s="1353"/>
      <c r="I104" s="1353"/>
      <c r="J104" s="1353"/>
      <c r="K104" s="1353"/>
    </row>
    <row r="106" spans="1:22">
      <c r="A106" s="1368" t="s">
        <v>169</v>
      </c>
      <c r="B106" s="1369"/>
    </row>
    <row r="108" spans="1:22">
      <c r="A108" s="1483" t="s">
        <v>170</v>
      </c>
    </row>
    <row r="109" spans="1:22">
      <c r="A109" s="1354" t="s">
        <v>197</v>
      </c>
      <c r="B109" s="1433"/>
      <c r="C109" s="1433">
        <f>+'Historical Financials'!BH1263</f>
        <v>-26030</v>
      </c>
      <c r="D109" s="1433">
        <f>+'Historical Financials'!BI1263</f>
        <v>-16475</v>
      </c>
      <c r="E109" s="1433">
        <f>+'Historical Financials'!BJ1263</f>
        <v>-16506</v>
      </c>
      <c r="F109" s="1433">
        <f>+'Historical Financials'!BK1263</f>
        <v>-21043</v>
      </c>
      <c r="G109" s="1433">
        <f>+'Historical Financials'!BL1263</f>
        <v>-24339</v>
      </c>
      <c r="H109" s="1433">
        <f>+'Historical Financials'!BM1263</f>
        <v>-23339</v>
      </c>
      <c r="I109" s="1433">
        <f>+'Historical Financials'!BN1263</f>
        <v>-21755</v>
      </c>
      <c r="J109" s="1433">
        <f>+'Historical Financials'!BO1263</f>
        <v>-27136</v>
      </c>
      <c r="K109" s="1433">
        <f t="shared" ref="K109:V109" si="107">+K110*K8</f>
        <v>-35873.12074951543</v>
      </c>
      <c r="L109" s="1433">
        <f t="shared" si="107"/>
        <v>-40536.626446952432</v>
      </c>
      <c r="M109" s="1433">
        <f t="shared" si="107"/>
        <v>-45806.38788505624</v>
      </c>
      <c r="N109" s="1433">
        <f t="shared" si="107"/>
        <v>-51761.218310113545</v>
      </c>
      <c r="O109" s="1433">
        <f t="shared" si="107"/>
        <v>-58490.176690428307</v>
      </c>
      <c r="P109" s="1433">
        <f t="shared" si="107"/>
        <v>-66093.899660183975</v>
      </c>
      <c r="Q109" s="1433">
        <f t="shared" si="107"/>
        <v>-74686.106616007892</v>
      </c>
      <c r="R109" s="1433">
        <f t="shared" si="107"/>
        <v>-84395.300476088916</v>
      </c>
      <c r="S109" s="1433">
        <f t="shared" si="107"/>
        <v>-95366.689537980463</v>
      </c>
      <c r="T109" s="1433">
        <f t="shared" si="107"/>
        <v>-107764.35917791791</v>
      </c>
      <c r="U109" s="1433">
        <f t="shared" si="107"/>
        <v>-121773.72587104721</v>
      </c>
      <c r="V109" s="1433">
        <f t="shared" si="107"/>
        <v>-137604.31023428336</v>
      </c>
    </row>
    <row r="110" spans="1:22" s="1363" customFormat="1" ht="14.45">
      <c r="A110" s="1381" t="s">
        <v>173</v>
      </c>
      <c r="B110" s="1382"/>
      <c r="C110" s="1382">
        <f t="shared" ref="C110:J110" si="108">+C109/C8</f>
        <v>-0.269542616313386</v>
      </c>
      <c r="D110" s="1382">
        <f t="shared" si="108"/>
        <v>-0.14928416092787242</v>
      </c>
      <c r="E110" s="1382">
        <f t="shared" si="108"/>
        <v>-0.13116343380243636</v>
      </c>
      <c r="F110" s="1382">
        <f t="shared" si="108"/>
        <v>-0.14713841205467959</v>
      </c>
      <c r="G110" s="1382">
        <f t="shared" si="108"/>
        <v>-0.14479915282471087</v>
      </c>
      <c r="H110" s="1382">
        <f t="shared" si="108"/>
        <v>-0.11771321934735461</v>
      </c>
      <c r="I110" s="1382">
        <f t="shared" si="108"/>
        <v>-0.10265908501049949</v>
      </c>
      <c r="J110" s="1382">
        <f t="shared" si="108"/>
        <v>-0.11070405757133182</v>
      </c>
      <c r="K110" s="1385">
        <f>+AVERAGE(D110:J110)</f>
        <v>-0.12906593164841215</v>
      </c>
      <c r="L110" s="1385">
        <f>+K110</f>
        <v>-0.12906593164841215</v>
      </c>
      <c r="M110" s="1385">
        <f t="shared" ref="M110:V110" si="109">+L110</f>
        <v>-0.12906593164841215</v>
      </c>
      <c r="N110" s="1385">
        <f t="shared" si="109"/>
        <v>-0.12906593164841215</v>
      </c>
      <c r="O110" s="1385">
        <f t="shared" si="109"/>
        <v>-0.12906593164841215</v>
      </c>
      <c r="P110" s="1385">
        <f t="shared" si="109"/>
        <v>-0.12906593164841215</v>
      </c>
      <c r="Q110" s="1385">
        <f t="shared" si="109"/>
        <v>-0.12906593164841215</v>
      </c>
      <c r="R110" s="1385">
        <f t="shared" si="109"/>
        <v>-0.12906593164841215</v>
      </c>
      <c r="S110" s="1385">
        <f t="shared" si="109"/>
        <v>-0.12906593164841215</v>
      </c>
      <c r="T110" s="1385">
        <f t="shared" si="109"/>
        <v>-0.12906593164841215</v>
      </c>
      <c r="U110" s="1385">
        <f t="shared" si="109"/>
        <v>-0.12906593164841215</v>
      </c>
      <c r="V110" s="1385">
        <f t="shared" si="109"/>
        <v>-0.12906593164841215</v>
      </c>
    </row>
    <row r="112" spans="1:22">
      <c r="A112" s="1387" t="s">
        <v>175</v>
      </c>
      <c r="J112" s="1433"/>
    </row>
    <row r="113" spans="1:22" hidden="1" outlineLevel="1">
      <c r="A113" s="1484" t="s">
        <v>176</v>
      </c>
      <c r="B113" s="1433"/>
      <c r="C113" s="1433">
        <f>+'Historical Financials'!BH1221</f>
        <v>10106</v>
      </c>
      <c r="D113" s="1433">
        <f>+'Historical Financials'!BI1221</f>
        <v>8053</v>
      </c>
      <c r="E113" s="1433">
        <f>+'Historical Financials'!BJ1221</f>
        <v>7750</v>
      </c>
      <c r="F113" s="1433">
        <f>+'Historical Financials'!BK1221</f>
        <v>7038</v>
      </c>
      <c r="G113" s="1433">
        <f>+'Historical Financials'!BL1221</f>
        <v>7800</v>
      </c>
      <c r="H113" s="1433">
        <f>+'Historical Financials'!BM1221</f>
        <v>11298</v>
      </c>
      <c r="I113" s="1433">
        <f>+'Historical Financials'!BN1221</f>
        <v>9366</v>
      </c>
      <c r="J113" s="1433">
        <f>+'Historical Financials'!BO1221-J118</f>
        <v>5628</v>
      </c>
      <c r="K113" s="1435"/>
    </row>
    <row r="114" spans="1:22" hidden="1" outlineLevel="1">
      <c r="A114" s="1484" t="s">
        <v>177</v>
      </c>
      <c r="B114" s="1433"/>
      <c r="C114" s="1433">
        <f>+'Historical Financials'!BH1216</f>
        <v>6555</v>
      </c>
      <c r="D114" s="1433">
        <f>+'Historical Financials'!BI1216</f>
        <v>6686</v>
      </c>
      <c r="E114" s="1433">
        <f>+'Historical Financials'!BJ1216</f>
        <v>7379</v>
      </c>
      <c r="F114" s="1433">
        <f>+'Historical Financials'!BK1216</f>
        <v>8753</v>
      </c>
      <c r="G114" s="1433">
        <f>+'Historical Financials'!BL1216</f>
        <v>11088</v>
      </c>
      <c r="H114" s="1433">
        <f>+'Historical Financials'!BM1216</f>
        <v>13148</v>
      </c>
      <c r="I114" s="1433">
        <f>+'Historical Financials'!BN1216</f>
        <v>14346</v>
      </c>
      <c r="J114" s="1433">
        <f>+'Historical Financials'!BO1216</f>
        <v>18961</v>
      </c>
    </row>
    <row r="115" spans="1:22" s="1387" customFormat="1" hidden="1" outlineLevel="1">
      <c r="A115" s="1484" t="s">
        <v>178</v>
      </c>
      <c r="B115" s="1485"/>
      <c r="C115" s="1485">
        <f>+'Historical Financials'!BH1222</f>
        <v>6250</v>
      </c>
      <c r="D115" s="1485">
        <f>+'Historical Financials'!BI1222</f>
        <v>7442</v>
      </c>
      <c r="E115" s="1485">
        <f>+'Historical Financials'!BJ1222</f>
        <v>14723</v>
      </c>
      <c r="F115" s="1485">
        <f>+'Historical Financials'!BK1222</f>
        <v>13138</v>
      </c>
      <c r="G115" s="1485">
        <f>+'Historical Financials'!BL1222</f>
        <v>15075</v>
      </c>
      <c r="H115" s="1485">
        <f>+'Historical Financials'!BM1222</f>
        <v>21897</v>
      </c>
      <c r="I115" s="1485">
        <f>+'Historical Financials'!BN1222</f>
        <v>30601</v>
      </c>
      <c r="J115" s="1485">
        <f>+'Historical Financials'!BO1222</f>
        <v>36460</v>
      </c>
    </row>
    <row r="116" spans="1:22" collapsed="1">
      <c r="A116" s="1484" t="s">
        <v>179</v>
      </c>
      <c r="B116" s="1433"/>
      <c r="C116" s="1433">
        <f t="shared" ref="C116:J116" si="110">+SUM(C113:C115)</f>
        <v>22911</v>
      </c>
      <c r="D116" s="1433">
        <f t="shared" si="110"/>
        <v>22181</v>
      </c>
      <c r="E116" s="1433">
        <f t="shared" si="110"/>
        <v>29852</v>
      </c>
      <c r="F116" s="1433">
        <f t="shared" si="110"/>
        <v>28929</v>
      </c>
      <c r="G116" s="1433">
        <f t="shared" si="110"/>
        <v>33963</v>
      </c>
      <c r="H116" s="1433">
        <f t="shared" si="110"/>
        <v>46343</v>
      </c>
      <c r="I116" s="1433">
        <f t="shared" si="110"/>
        <v>54313</v>
      </c>
      <c r="J116" s="1433">
        <f t="shared" si="110"/>
        <v>61049</v>
      </c>
      <c r="K116" s="1433">
        <f t="shared" ref="K116:V116" si="111">+K121*K8</f>
        <v>69223.539514464908</v>
      </c>
      <c r="L116" s="1433">
        <f t="shared" si="111"/>
        <v>78222.599651345343</v>
      </c>
      <c r="M116" s="1433">
        <f t="shared" si="111"/>
        <v>88391.53760602024</v>
      </c>
      <c r="N116" s="1433">
        <f t="shared" si="111"/>
        <v>99882.437494802856</v>
      </c>
      <c r="O116" s="1433">
        <f t="shared" si="111"/>
        <v>112867.15436912722</v>
      </c>
      <c r="P116" s="1433">
        <f t="shared" si="111"/>
        <v>127539.88443711375</v>
      </c>
      <c r="Q116" s="1433">
        <f t="shared" si="111"/>
        <v>144120.06941393853</v>
      </c>
      <c r="R116" s="1433">
        <f t="shared" si="111"/>
        <v>162855.67843775052</v>
      </c>
      <c r="S116" s="1433">
        <f t="shared" si="111"/>
        <v>184026.91663465806</v>
      </c>
      <c r="T116" s="1433">
        <f t="shared" si="111"/>
        <v>207950.41579716359</v>
      </c>
      <c r="U116" s="1433">
        <f t="shared" si="111"/>
        <v>234983.96985079482</v>
      </c>
      <c r="V116" s="1433">
        <f t="shared" si="111"/>
        <v>265531.88593139814</v>
      </c>
    </row>
    <row r="117" spans="1:22">
      <c r="A117" s="1484" t="s">
        <v>180</v>
      </c>
      <c r="B117" s="1433"/>
      <c r="C117" s="1433">
        <f>+'Historical Financials'!BH1220</f>
        <v>35122</v>
      </c>
      <c r="D117" s="1433">
        <f>+'Historical Financials'!BI1220</f>
        <v>35683</v>
      </c>
      <c r="E117" s="1433">
        <f>+'Historical Financials'!BJ1220</f>
        <v>42026</v>
      </c>
      <c r="F117" s="1433">
        <f>+'Historical Financials'!BK1220</f>
        <v>43351</v>
      </c>
      <c r="G117" s="1433">
        <f>+'Historical Financials'!BL1220</f>
        <v>49711</v>
      </c>
      <c r="H117" s="1433">
        <f>+'Historical Financials'!BM1220</f>
        <v>67524</v>
      </c>
      <c r="I117" s="1433">
        <f>+'Historical Financials'!BN1220</f>
        <v>67886</v>
      </c>
      <c r="J117" s="1433">
        <f>+'Historical Financials'!BO1220</f>
        <v>119220</v>
      </c>
      <c r="K117" s="1486">
        <f>+J117</f>
        <v>119220</v>
      </c>
      <c r="L117" s="1486">
        <f t="shared" ref="L117:V117" si="112">+K117</f>
        <v>119220</v>
      </c>
      <c r="M117" s="1486">
        <f t="shared" si="112"/>
        <v>119220</v>
      </c>
      <c r="N117" s="1486">
        <f t="shared" si="112"/>
        <v>119220</v>
      </c>
      <c r="O117" s="1486">
        <f t="shared" si="112"/>
        <v>119220</v>
      </c>
      <c r="P117" s="1486">
        <f t="shared" si="112"/>
        <v>119220</v>
      </c>
      <c r="Q117" s="1486">
        <f t="shared" si="112"/>
        <v>119220</v>
      </c>
      <c r="R117" s="1486">
        <f t="shared" si="112"/>
        <v>119220</v>
      </c>
      <c r="S117" s="1486">
        <f t="shared" si="112"/>
        <v>119220</v>
      </c>
      <c r="T117" s="1486">
        <f t="shared" si="112"/>
        <v>119220</v>
      </c>
      <c r="U117" s="1486">
        <f t="shared" si="112"/>
        <v>119220</v>
      </c>
      <c r="V117" s="1486">
        <f t="shared" si="112"/>
        <v>119220</v>
      </c>
    </row>
    <row r="118" spans="1:22">
      <c r="A118" s="1484" t="s">
        <v>181</v>
      </c>
      <c r="B118" s="1433"/>
      <c r="C118" s="1433">
        <v>0</v>
      </c>
      <c r="D118" s="1433">
        <v>0</v>
      </c>
      <c r="E118" s="1433">
        <v>0</v>
      </c>
      <c r="F118" s="1433">
        <v>0</v>
      </c>
      <c r="G118" s="1433">
        <v>0</v>
      </c>
      <c r="H118" s="1433">
        <v>0</v>
      </c>
      <c r="I118" s="1433">
        <v>0</v>
      </c>
      <c r="J118" s="1405">
        <v>21969</v>
      </c>
      <c r="K118" s="1486">
        <f>MAX(J118-$J$118/15,0)</f>
        <v>20504.400000000001</v>
      </c>
      <c r="L118" s="1486">
        <f t="shared" ref="L118:V118" si="113">MAX(K118-$J$118/15,0)</f>
        <v>19039.800000000003</v>
      </c>
      <c r="M118" s="1486">
        <f t="shared" si="113"/>
        <v>17575.200000000004</v>
      </c>
      <c r="N118" s="1486">
        <f t="shared" si="113"/>
        <v>16110.600000000004</v>
      </c>
      <c r="O118" s="1486">
        <f t="shared" si="113"/>
        <v>14646.000000000004</v>
      </c>
      <c r="P118" s="1486">
        <f t="shared" si="113"/>
        <v>13181.400000000003</v>
      </c>
      <c r="Q118" s="1486">
        <f t="shared" si="113"/>
        <v>11716.800000000003</v>
      </c>
      <c r="R118" s="1486">
        <f t="shared" si="113"/>
        <v>10252.200000000003</v>
      </c>
      <c r="S118" s="1486">
        <f t="shared" si="113"/>
        <v>8787.6000000000022</v>
      </c>
      <c r="T118" s="1486">
        <f t="shared" si="113"/>
        <v>7323.0000000000018</v>
      </c>
      <c r="U118" s="1486">
        <f t="shared" si="113"/>
        <v>5858.4000000000015</v>
      </c>
      <c r="V118" s="1486">
        <f t="shared" si="113"/>
        <v>4393.8000000000011</v>
      </c>
    </row>
    <row r="119" spans="1:22" s="1387" customFormat="1">
      <c r="A119" s="1484" t="s">
        <v>182</v>
      </c>
      <c r="B119" s="1485"/>
      <c r="C119" s="1485">
        <f>+'Historical Financials'!BH1217</f>
        <v>23734</v>
      </c>
      <c r="D119" s="1485">
        <f>+'Historical Financials'!BI1217</f>
        <v>29460</v>
      </c>
      <c r="E119" s="1485">
        <f>+'Historical Financials'!BJ1217</f>
        <v>36477</v>
      </c>
      <c r="F119" s="1485">
        <f>+'Historical Financials'!BK1217</f>
        <v>44151</v>
      </c>
      <c r="G119" s="1485">
        <f>+'Historical Financials'!BL1217</f>
        <v>59715</v>
      </c>
      <c r="H119" s="1485">
        <f>+'Historical Financials'!BM1217</f>
        <v>74398</v>
      </c>
      <c r="I119" s="1485">
        <f>+'Historical Financials'!BN1217</f>
        <v>95641</v>
      </c>
      <c r="J119" s="1485">
        <f>+'Historical Financials'!BO1217</f>
        <v>135591</v>
      </c>
      <c r="K119" s="1487">
        <f>+'D&amp;A forecast - Case 1'!V200</f>
        <v>192578.13695944205</v>
      </c>
      <c r="L119" s="1487">
        <f>+'D&amp;A forecast - Case 1'!W200</f>
        <v>228422.02300885966</v>
      </c>
      <c r="M119" s="1487">
        <f>+'D&amp;A forecast - Case 1'!X200</f>
        <v>258942.39893580636</v>
      </c>
      <c r="N119" s="1487">
        <f>+'D&amp;A forecast - Case 1'!Y200</f>
        <v>285092.78112581937</v>
      </c>
      <c r="O119" s="1487">
        <f>+'D&amp;A forecast - Case 1'!Z200</f>
        <v>304944.12900382758</v>
      </c>
      <c r="P119" s="1487">
        <f>+'D&amp;A forecast - Case 1'!AA200</f>
        <v>320142.16936501075</v>
      </c>
      <c r="Q119" s="1487">
        <f>+'D&amp;A forecast - Case 1'!AB200</f>
        <v>334380.90972548467</v>
      </c>
      <c r="R119" s="1487">
        <f>+'D&amp;A forecast - Case 1'!AC200</f>
        <v>347454.30910969275</v>
      </c>
      <c r="S119" s="1487">
        <f>+'D&amp;A forecast - Case 1'!AD200</f>
        <v>367396.15009855747</v>
      </c>
      <c r="T119" s="1487">
        <f>+'D&amp;A forecast - Case 1'!AE200</f>
        <v>396463.02057012776</v>
      </c>
      <c r="U119" s="1487">
        <f>+'D&amp;A forecast - Case 1'!AF200</f>
        <v>435154.35437241674</v>
      </c>
      <c r="V119" s="1487">
        <f>+'D&amp;A forecast - Case 1'!AG200</f>
        <v>482681.60353778175</v>
      </c>
    </row>
    <row r="120" spans="1:22">
      <c r="A120" s="1428" t="s">
        <v>183</v>
      </c>
      <c r="B120" s="1433"/>
      <c r="C120" s="1433">
        <f>+SUM(C116:C119)</f>
        <v>81767</v>
      </c>
      <c r="D120" s="1433">
        <f t="shared" ref="D120:V120" si="114">+SUM(D116:D119)</f>
        <v>87324</v>
      </c>
      <c r="E120" s="1433">
        <f t="shared" si="114"/>
        <v>108355</v>
      </c>
      <c r="F120" s="1433">
        <f t="shared" si="114"/>
        <v>116431</v>
      </c>
      <c r="G120" s="1433">
        <f t="shared" si="114"/>
        <v>143389</v>
      </c>
      <c r="H120" s="1433">
        <f t="shared" si="114"/>
        <v>188265</v>
      </c>
      <c r="I120" s="1433">
        <f t="shared" si="114"/>
        <v>217840</v>
      </c>
      <c r="J120" s="1433">
        <f t="shared" si="114"/>
        <v>337829</v>
      </c>
      <c r="K120" s="1433">
        <f t="shared" si="114"/>
        <v>401526.07647390699</v>
      </c>
      <c r="L120" s="1433">
        <f t="shared" si="114"/>
        <v>444904.42266020499</v>
      </c>
      <c r="M120" s="1433">
        <f t="shared" si="114"/>
        <v>484129.13654182659</v>
      </c>
      <c r="N120" s="1433">
        <f t="shared" si="114"/>
        <v>520305.81862062227</v>
      </c>
      <c r="O120" s="1433">
        <f t="shared" si="114"/>
        <v>551677.28337295481</v>
      </c>
      <c r="P120" s="1433">
        <f t="shared" si="114"/>
        <v>580083.45380212448</v>
      </c>
      <c r="Q120" s="1433">
        <f t="shared" si="114"/>
        <v>609437.77913942328</v>
      </c>
      <c r="R120" s="1433">
        <f t="shared" si="114"/>
        <v>639782.18754744332</v>
      </c>
      <c r="S120" s="1433">
        <f t="shared" si="114"/>
        <v>679430.66673321556</v>
      </c>
      <c r="T120" s="1433">
        <f t="shared" si="114"/>
        <v>730956.43636729138</v>
      </c>
      <c r="U120" s="1433">
        <f t="shared" si="114"/>
        <v>795216.72422321164</v>
      </c>
      <c r="V120" s="1433">
        <f t="shared" si="114"/>
        <v>871827.28946917993</v>
      </c>
    </row>
    <row r="121" spans="1:22" s="1363" customFormat="1" ht="14.45">
      <c r="A121" s="1419" t="s">
        <v>184</v>
      </c>
      <c r="B121" s="1382"/>
      <c r="C121" s="1382">
        <f t="shared" ref="C121:J121" si="115">+C116/C8</f>
        <v>0.23724513570326494</v>
      </c>
      <c r="D121" s="1382">
        <f t="shared" si="115"/>
        <v>0.20098767669445453</v>
      </c>
      <c r="E121" s="1382">
        <f t="shared" si="115"/>
        <v>0.23721621385377017</v>
      </c>
      <c r="F121" s="1382">
        <f t="shared" si="115"/>
        <v>0.20227948117330349</v>
      </c>
      <c r="G121" s="1382">
        <f t="shared" si="115"/>
        <v>0.20205487601732425</v>
      </c>
      <c r="H121" s="1382">
        <f t="shared" si="115"/>
        <v>0.23373682352347808</v>
      </c>
      <c r="I121" s="1382">
        <f t="shared" si="115"/>
        <v>0.2562961564778331</v>
      </c>
      <c r="J121" s="1382">
        <f t="shared" si="115"/>
        <v>0.24905557232724929</v>
      </c>
      <c r="K121" s="1385">
        <f>+J121</f>
        <v>0.24905557232724929</v>
      </c>
      <c r="L121" s="1385">
        <f t="shared" ref="L121:V121" si="116">+K121</f>
        <v>0.24905557232724929</v>
      </c>
      <c r="M121" s="1385">
        <f t="shared" si="116"/>
        <v>0.24905557232724929</v>
      </c>
      <c r="N121" s="1385">
        <f t="shared" si="116"/>
        <v>0.24905557232724929</v>
      </c>
      <c r="O121" s="1385">
        <f t="shared" si="116"/>
        <v>0.24905557232724929</v>
      </c>
      <c r="P121" s="1385">
        <f t="shared" si="116"/>
        <v>0.24905557232724929</v>
      </c>
      <c r="Q121" s="1385">
        <f t="shared" si="116"/>
        <v>0.24905557232724929</v>
      </c>
      <c r="R121" s="1385">
        <f t="shared" si="116"/>
        <v>0.24905557232724929</v>
      </c>
      <c r="S121" s="1385">
        <f t="shared" si="116"/>
        <v>0.24905557232724929</v>
      </c>
      <c r="T121" s="1385">
        <f t="shared" si="116"/>
        <v>0.24905557232724929</v>
      </c>
      <c r="U121" s="1385">
        <f t="shared" si="116"/>
        <v>0.24905557232724929</v>
      </c>
      <c r="V121" s="1385">
        <f t="shared" si="116"/>
        <v>0.24905557232724929</v>
      </c>
    </row>
    <row r="122" spans="1:22">
      <c r="A122" s="1412"/>
    </row>
    <row r="123" spans="1:22">
      <c r="A123" s="1412" t="s">
        <v>170</v>
      </c>
      <c r="B123" s="1435"/>
      <c r="C123" s="1435">
        <f t="shared" ref="C123:J123" si="117">+C120+C109</f>
        <v>55737</v>
      </c>
      <c r="D123" s="1435">
        <f t="shared" si="117"/>
        <v>70849</v>
      </c>
      <c r="E123" s="1435">
        <f t="shared" si="117"/>
        <v>91849</v>
      </c>
      <c r="F123" s="1435">
        <f t="shared" si="117"/>
        <v>95388</v>
      </c>
      <c r="G123" s="1435">
        <f t="shared" si="117"/>
        <v>119050</v>
      </c>
      <c r="H123" s="1435">
        <f t="shared" si="117"/>
        <v>164926</v>
      </c>
      <c r="I123" s="1435">
        <f t="shared" si="117"/>
        <v>196085</v>
      </c>
      <c r="J123" s="1435">
        <f t="shared" si="117"/>
        <v>310693</v>
      </c>
      <c r="K123" s="1435">
        <f t="shared" ref="K123:V123" si="118">+K120+K109</f>
        <v>365652.95572439156</v>
      </c>
      <c r="L123" s="1435">
        <f t="shared" si="118"/>
        <v>404367.79621325259</v>
      </c>
      <c r="M123" s="1435">
        <f t="shared" si="118"/>
        <v>438322.74865677033</v>
      </c>
      <c r="N123" s="1435">
        <f t="shared" si="118"/>
        <v>468544.60031050874</v>
      </c>
      <c r="O123" s="1435">
        <f t="shared" si="118"/>
        <v>493187.10668252653</v>
      </c>
      <c r="P123" s="1435">
        <f t="shared" si="118"/>
        <v>513989.55414194049</v>
      </c>
      <c r="Q123" s="1435">
        <f t="shared" si="118"/>
        <v>534751.67252341541</v>
      </c>
      <c r="R123" s="1435">
        <f t="shared" si="118"/>
        <v>555386.88707135443</v>
      </c>
      <c r="S123" s="1435">
        <f t="shared" si="118"/>
        <v>584063.97719523509</v>
      </c>
      <c r="T123" s="1435">
        <f t="shared" si="118"/>
        <v>623192.07718937343</v>
      </c>
      <c r="U123" s="1435">
        <f t="shared" si="118"/>
        <v>673442.9983521644</v>
      </c>
      <c r="V123" s="1435">
        <f t="shared" si="118"/>
        <v>734222.9792348966</v>
      </c>
    </row>
    <row r="124" spans="1:22" s="1386" customFormat="1">
      <c r="A124" s="1481" t="s">
        <v>185</v>
      </c>
      <c r="C124" s="1488">
        <f>+'Historical Financials'!BH1266</f>
        <v>33088.5</v>
      </c>
      <c r="D124" s="1488">
        <f>+'Historical Financials'!BI1266</f>
        <v>63293</v>
      </c>
      <c r="E124" s="1488">
        <f t="shared" ref="E124:I124" si="119">AVERAGE(D123:E123)</f>
        <v>81349</v>
      </c>
      <c r="F124" s="1488">
        <f t="shared" si="119"/>
        <v>93618.5</v>
      </c>
      <c r="G124" s="1488">
        <f t="shared" si="119"/>
        <v>107219</v>
      </c>
      <c r="H124" s="1488">
        <f t="shared" si="119"/>
        <v>141988</v>
      </c>
      <c r="I124" s="1488">
        <f t="shared" si="119"/>
        <v>180505.5</v>
      </c>
      <c r="J124" s="1488">
        <f>AVERAGE(I123:J123)</f>
        <v>253389</v>
      </c>
      <c r="K124" s="1488">
        <f t="shared" ref="K124" si="120">AVERAGE(J123:K123)</f>
        <v>338172.97786219581</v>
      </c>
      <c r="L124" s="1488">
        <f t="shared" ref="L124" si="121">AVERAGE(K123:L123)</f>
        <v>385010.37596882205</v>
      </c>
      <c r="M124" s="1488">
        <f t="shared" ref="M124" si="122">AVERAGE(L123:M123)</f>
        <v>421345.27243501146</v>
      </c>
      <c r="N124" s="1488">
        <f t="shared" ref="N124" si="123">AVERAGE(M123:N123)</f>
        <v>453433.67448363954</v>
      </c>
      <c r="O124" s="1488">
        <f t="shared" ref="O124" si="124">AVERAGE(N123:O123)</f>
        <v>480865.85349651764</v>
      </c>
      <c r="P124" s="1488">
        <f t="shared" ref="P124" si="125">AVERAGE(O123:P123)</f>
        <v>503588.33041223348</v>
      </c>
      <c r="Q124" s="1488">
        <f t="shared" ref="Q124" si="126">AVERAGE(P123:Q123)</f>
        <v>524370.61333267798</v>
      </c>
      <c r="R124" s="1488">
        <f t="shared" ref="R124" si="127">AVERAGE(Q123:R123)</f>
        <v>545069.27979738498</v>
      </c>
      <c r="S124" s="1488">
        <f t="shared" ref="S124" si="128">AVERAGE(R123:S123)</f>
        <v>569725.43213329476</v>
      </c>
      <c r="T124" s="1488">
        <f t="shared" ref="T124" si="129">AVERAGE(S123:T123)</f>
        <v>603628.02719230426</v>
      </c>
      <c r="U124" s="1488">
        <f t="shared" ref="U124" si="130">AVERAGE(T123:U123)</f>
        <v>648317.53777076886</v>
      </c>
      <c r="V124" s="1488">
        <f t="shared" ref="V124" si="131">AVERAGE(U123:V123)</f>
        <v>703832.9887935305</v>
      </c>
    </row>
    <row r="125" spans="1:22">
      <c r="A125" s="1428"/>
      <c r="C125" s="1435"/>
      <c r="D125" s="1435"/>
      <c r="E125" s="1435"/>
      <c r="F125" s="1435"/>
      <c r="G125" s="1435"/>
      <c r="H125" s="1435"/>
      <c r="I125" s="1435"/>
      <c r="J125" s="1435"/>
      <c r="K125" s="1435"/>
      <c r="L125" s="1435"/>
      <c r="M125" s="1435"/>
      <c r="N125" s="1435"/>
      <c r="O125" s="1435"/>
      <c r="P125" s="1435"/>
      <c r="Q125" s="1435"/>
      <c r="R125" s="1435"/>
      <c r="S125" s="1435"/>
      <c r="T125" s="1435"/>
      <c r="U125" s="1435"/>
      <c r="V125" s="1435"/>
    </row>
    <row r="126" spans="1:22">
      <c r="A126" s="1412" t="s">
        <v>186</v>
      </c>
      <c r="C126" s="1435">
        <f t="shared" ref="C126:K126" si="132">+C13</f>
        <v>29331</v>
      </c>
      <c r="D126" s="1435">
        <f t="shared" si="132"/>
        <v>35058</v>
      </c>
      <c r="E126" s="1435">
        <f t="shared" si="132"/>
        <v>42959</v>
      </c>
      <c r="F126" s="1435">
        <f t="shared" si="132"/>
        <v>52959</v>
      </c>
      <c r="G126" s="1435">
        <f t="shared" si="132"/>
        <v>69916</v>
      </c>
      <c r="H126" s="1435">
        <f t="shared" si="132"/>
        <v>83383</v>
      </c>
      <c r="I126" s="1435">
        <f t="shared" si="132"/>
        <v>89694</v>
      </c>
      <c r="J126" s="1435">
        <f t="shared" si="132"/>
        <v>112443</v>
      </c>
      <c r="K126" s="1435">
        <f t="shared" si="132"/>
        <v>129601.02612378589</v>
      </c>
      <c r="L126" s="1435">
        <f>+L127*L124</f>
        <v>157854.25414721703</v>
      </c>
      <c r="M126" s="1435">
        <f t="shared" ref="M126:V126" si="133">+M127*M124</f>
        <v>183285.19350922998</v>
      </c>
      <c r="N126" s="1435">
        <f t="shared" si="133"/>
        <v>208579.4902624742</v>
      </c>
      <c r="O126" s="1435">
        <f t="shared" si="133"/>
        <v>233219.93894581107</v>
      </c>
      <c r="P126" s="1435">
        <f t="shared" si="133"/>
        <v>256830.04851023908</v>
      </c>
      <c r="Q126" s="1435">
        <f t="shared" si="133"/>
        <v>280538.27813298273</v>
      </c>
      <c r="R126" s="1435">
        <f t="shared" si="133"/>
        <v>305238.79668653564</v>
      </c>
      <c r="S126" s="1435">
        <f t="shared" si="133"/>
        <v>333289.37779797747</v>
      </c>
      <c r="T126" s="1435">
        <f t="shared" si="133"/>
        <v>353122.39590749802</v>
      </c>
      <c r="U126" s="1435">
        <f t="shared" si="133"/>
        <v>379265.75959589984</v>
      </c>
      <c r="V126" s="1435">
        <f t="shared" si="133"/>
        <v>411742.29844421538</v>
      </c>
    </row>
    <row r="127" spans="1:22" s="1491" customFormat="1">
      <c r="A127" s="1489" t="s">
        <v>198</v>
      </c>
      <c r="B127" s="1490"/>
      <c r="C127" s="1490">
        <f>+C126/C124</f>
        <v>0.88644090847273227</v>
      </c>
      <c r="D127" s="1490">
        <f t="shared" ref="D127:K127" si="134">+D126/D124</f>
        <v>0.5539001153366091</v>
      </c>
      <c r="E127" s="1490">
        <f t="shared" si="134"/>
        <v>0.52808270538052093</v>
      </c>
      <c r="F127" s="1490">
        <f t="shared" si="134"/>
        <v>0.56568947376853929</v>
      </c>
      <c r="G127" s="1490">
        <f t="shared" si="134"/>
        <v>0.6520859176078867</v>
      </c>
      <c r="H127" s="1490">
        <f t="shared" si="134"/>
        <v>0.58725385243823425</v>
      </c>
      <c r="I127" s="1490">
        <f t="shared" si="134"/>
        <v>0.49690452645487254</v>
      </c>
      <c r="J127" s="1490">
        <f t="shared" si="134"/>
        <v>0.44375643773013035</v>
      </c>
      <c r="K127" s="1490">
        <f t="shared" si="134"/>
        <v>0.38323885883217379</v>
      </c>
      <c r="L127" s="1502">
        <v>0.41</v>
      </c>
      <c r="M127" s="1502">
        <f t="shared" ref="M127:S127" si="135">+L127+2.5%</f>
        <v>0.435</v>
      </c>
      <c r="N127" s="1502">
        <f t="shared" si="135"/>
        <v>0.46</v>
      </c>
      <c r="O127" s="1502">
        <f t="shared" si="135"/>
        <v>0.48500000000000004</v>
      </c>
      <c r="P127" s="1502">
        <f t="shared" si="135"/>
        <v>0.51</v>
      </c>
      <c r="Q127" s="1502">
        <f t="shared" si="135"/>
        <v>0.53500000000000003</v>
      </c>
      <c r="R127" s="1502">
        <f t="shared" si="135"/>
        <v>0.56000000000000005</v>
      </c>
      <c r="S127" s="1502">
        <f t="shared" si="135"/>
        <v>0.58500000000000008</v>
      </c>
      <c r="T127" s="1490">
        <f t="shared" ref="T127:V127" si="136">+S127</f>
        <v>0.58500000000000008</v>
      </c>
      <c r="U127" s="1490">
        <f t="shared" si="136"/>
        <v>0.58500000000000008</v>
      </c>
      <c r="V127" s="1490">
        <f t="shared" si="136"/>
        <v>0.58500000000000008</v>
      </c>
    </row>
    <row r="128" spans="1:22">
      <c r="A128" s="1484"/>
    </row>
    <row r="129" spans="1:29">
      <c r="C129" s="1492"/>
      <c r="D129" s="1492"/>
      <c r="E129" s="1492"/>
      <c r="H129" s="1492"/>
      <c r="I129" s="1492"/>
      <c r="J129" s="1492"/>
      <c r="K129" s="1492">
        <f>K97</f>
        <v>7.6033541560173043E-2</v>
      </c>
    </row>
    <row r="132" spans="1:29">
      <c r="A132" s="1354" t="s">
        <v>187</v>
      </c>
      <c r="C132" s="1493">
        <f>+$E$101/C88</f>
        <v>2.438092369477912</v>
      </c>
      <c r="D132" s="1493">
        <f t="shared" ref="D132:N132" si="137">+$E$101/D89</f>
        <v>3.5155662650602411</v>
      </c>
      <c r="E132" s="1493">
        <f t="shared" si="137"/>
        <v>4.6202838018741641</v>
      </c>
      <c r="F132" s="1493">
        <f t="shared" si="137"/>
        <v>5.6088942436412319</v>
      </c>
      <c r="G132" s="1493">
        <f t="shared" si="137"/>
        <v>7.5194886211512717</v>
      </c>
      <c r="H132" s="1493">
        <f t="shared" si="137"/>
        <v>8.8534993306559571</v>
      </c>
      <c r="I132" s="1493">
        <f t="shared" si="137"/>
        <v>9.5690468540829983</v>
      </c>
      <c r="J132" s="1493">
        <f t="shared" si="137"/>
        <v>11.767833165997322</v>
      </c>
      <c r="K132" s="1493">
        <f t="shared" si="137"/>
        <v>13.740496738660088</v>
      </c>
      <c r="L132" s="1493">
        <f t="shared" si="137"/>
        <v>17.391587071012413</v>
      </c>
      <c r="M132" s="1493">
        <f t="shared" si="137"/>
        <v>20.969643701047545</v>
      </c>
      <c r="N132" s="1493">
        <f t="shared" si="137"/>
        <v>25.031073251511437</v>
      </c>
    </row>
    <row r="133" spans="1:29">
      <c r="A133" s="1354" t="s">
        <v>188</v>
      </c>
      <c r="C133" s="1493"/>
      <c r="D133" s="1493">
        <f t="shared" ref="D133:F133" si="138">AVERAGE(D132:E132)</f>
        <v>4.067925033467203</v>
      </c>
      <c r="E133" s="1493">
        <f t="shared" si="138"/>
        <v>5.1145890227576984</v>
      </c>
      <c r="F133" s="1493">
        <f t="shared" si="138"/>
        <v>6.5641914323962514</v>
      </c>
      <c r="G133" s="1493">
        <f>AVERAGE(G132:H132)</f>
        <v>8.1864939759036144</v>
      </c>
      <c r="H133" s="1493">
        <f>AVERAGE(H132:I132)</f>
        <v>9.2112730923694777</v>
      </c>
      <c r="I133" s="1493">
        <f>AVERAGE(I132:J132)</f>
        <v>10.668440010040161</v>
      </c>
      <c r="J133" s="1493">
        <f t="shared" ref="J133:M133" si="139">AVERAGE(J132:K132)</f>
        <v>12.754164952328704</v>
      </c>
      <c r="K133" s="1493">
        <f t="shared" si="139"/>
        <v>15.566041904836251</v>
      </c>
      <c r="L133" s="1493">
        <f t="shared" si="139"/>
        <v>19.180615386029977</v>
      </c>
      <c r="M133" s="1493">
        <f t="shared" si="139"/>
        <v>23.000358476279491</v>
      </c>
    </row>
    <row r="134" spans="1:29">
      <c r="C134" s="1494"/>
    </row>
    <row r="135" spans="1:29">
      <c r="F135" s="1435"/>
      <c r="I135" s="1495">
        <f>+AVERAGE(I89:J89)</f>
        <v>39.933126566065845</v>
      </c>
      <c r="J135" s="1495">
        <f>+AVERAGE(J89:K89)</f>
        <v>33.246862889801548</v>
      </c>
      <c r="K135" s="1495">
        <f>+AVERAGE(K89:L89)</f>
        <v>27.45580144532866</v>
      </c>
      <c r="L135" s="1495">
        <f>+AVERAGE(L89:M89)</f>
        <v>22.168170297209333</v>
      </c>
    </row>
    <row r="136" spans="1:29">
      <c r="Z136" s="1435"/>
      <c r="AA136" s="1435"/>
      <c r="AB136" s="1435"/>
      <c r="AC136" s="1435"/>
    </row>
    <row r="137" spans="1:29">
      <c r="H137" s="1435"/>
      <c r="I137" s="1435"/>
      <c r="K137" s="1435"/>
      <c r="L137" s="1435">
        <f>SUM('Historical Financials'!AI125:AL125)</f>
        <v>62723</v>
      </c>
    </row>
    <row r="138" spans="1:29">
      <c r="G138" s="1435"/>
      <c r="Z138" s="1435"/>
      <c r="AA138" s="1435"/>
      <c r="AB138" s="1435"/>
      <c r="AC138" s="1435"/>
    </row>
    <row r="140" spans="1:29" ht="17.100000000000001">
      <c r="K140" s="1364" t="str">
        <f>+D4</f>
        <v>FYE June 30th</v>
      </c>
      <c r="L140" s="1364"/>
      <c r="M140" s="1365"/>
      <c r="N140" s="1365"/>
      <c r="O140" s="1365"/>
      <c r="P140" s="1365"/>
    </row>
    <row r="141" spans="1:29" ht="17.100000000000001">
      <c r="J141" s="1363" t="s">
        <v>190</v>
      </c>
      <c r="K141" s="1366" t="s">
        <v>191</v>
      </c>
      <c r="L141" s="1366" t="s">
        <v>192</v>
      </c>
      <c r="M141" s="1366" t="s">
        <v>72</v>
      </c>
      <c r="N141" s="1366" t="s">
        <v>73</v>
      </c>
      <c r="O141" s="1366" t="s">
        <v>74</v>
      </c>
      <c r="P141" s="1366" t="s">
        <v>75</v>
      </c>
    </row>
    <row r="142" spans="1:29">
      <c r="J142" s="1387" t="s">
        <v>193</v>
      </c>
    </row>
    <row r="143" spans="1:29">
      <c r="J143" s="1354" t="s">
        <v>194</v>
      </c>
      <c r="K143" s="1406">
        <f t="shared" ref="K143:P143" si="140">+I8</f>
        <v>211915</v>
      </c>
      <c r="L143" s="1406">
        <f t="shared" si="140"/>
        <v>245122</v>
      </c>
      <c r="M143" s="1406">
        <f t="shared" si="140"/>
        <v>277944.15064726153</v>
      </c>
      <c r="N143" s="1406">
        <f t="shared" si="140"/>
        <v>314076.8902314055</v>
      </c>
      <c r="O143" s="1406">
        <f t="shared" si="140"/>
        <v>354906.88596148818</v>
      </c>
      <c r="P143" s="1406">
        <f t="shared" si="140"/>
        <v>401044.78113648162</v>
      </c>
    </row>
    <row r="144" spans="1:29">
      <c r="J144" s="1354" t="s">
        <v>195</v>
      </c>
      <c r="K144" s="1406">
        <f>+K143</f>
        <v>211915</v>
      </c>
      <c r="L144" s="1406">
        <v>244798.6</v>
      </c>
      <c r="M144" s="1406">
        <v>279863</v>
      </c>
      <c r="N144" s="1406">
        <f>+M144*(1+N148)</f>
        <v>319323.68300000002</v>
      </c>
      <c r="O144" s="1406">
        <f t="shared" ref="O144:P144" si="141">+N144*(1+O148)</f>
        <v>362049.19178539998</v>
      </c>
      <c r="P144" s="1406">
        <f t="shared" si="141"/>
        <v>406581.24237500416</v>
      </c>
    </row>
    <row r="145" spans="10:16">
      <c r="P145" s="1493"/>
    </row>
    <row r="146" spans="10:16" ht="14.45">
      <c r="J146" s="1422" t="s">
        <v>132</v>
      </c>
    </row>
    <row r="147" spans="10:16" ht="14.45">
      <c r="J147" s="1381" t="str">
        <f>+J143</f>
        <v>CRC</v>
      </c>
      <c r="K147" s="1382"/>
      <c r="L147" s="1382">
        <f>+L143/K143-1</f>
        <v>0.1566996201307127</v>
      </c>
      <c r="M147" s="1382">
        <f t="shared" ref="M147:P147" si="142">+M143/L143-1</f>
        <v>0.13390128445125904</v>
      </c>
      <c r="N147" s="1382">
        <f t="shared" si="142"/>
        <v>0.12999999999999989</v>
      </c>
      <c r="O147" s="1382">
        <f t="shared" si="142"/>
        <v>0.12999999999999989</v>
      </c>
      <c r="P147" s="1382">
        <f t="shared" si="142"/>
        <v>0.12999999999999989</v>
      </c>
    </row>
    <row r="148" spans="10:16" ht="14.45">
      <c r="J148" s="1381" t="str">
        <f>+J144</f>
        <v>VA Cons.</v>
      </c>
      <c r="K148" s="1382"/>
      <c r="L148" s="1382">
        <f t="shared" ref="L148:M148" si="143">+L144/K144-1</f>
        <v>0.15517353655946953</v>
      </c>
      <c r="M148" s="1382">
        <f t="shared" si="143"/>
        <v>0.1432377472746984</v>
      </c>
      <c r="N148" s="1382">
        <v>0.14099999999999999</v>
      </c>
      <c r="O148" s="1382">
        <v>0.1338</v>
      </c>
      <c r="P148" s="1382">
        <v>0.123</v>
      </c>
    </row>
    <row r="149" spans="10:16">
      <c r="P149" s="1493"/>
    </row>
    <row r="150" spans="10:16">
      <c r="J150" s="1387" t="s">
        <v>133</v>
      </c>
    </row>
    <row r="151" spans="10:16">
      <c r="J151" s="1354" t="s">
        <v>194</v>
      </c>
      <c r="K151" s="1406">
        <f t="shared" ref="K151:P151" si="144">+I50</f>
        <v>31900</v>
      </c>
      <c r="L151" s="1406">
        <f t="shared" si="144"/>
        <v>55700</v>
      </c>
      <c r="M151" s="1406">
        <f t="shared" si="144"/>
        <v>83000</v>
      </c>
      <c r="N151" s="1406">
        <f t="shared" si="144"/>
        <v>69096.915850909209</v>
      </c>
      <c r="O151" s="1406">
        <f t="shared" si="144"/>
        <v>70981.377192297645</v>
      </c>
      <c r="P151" s="1406">
        <f t="shared" si="144"/>
        <v>72188.060604566694</v>
      </c>
    </row>
    <row r="152" spans="10:16">
      <c r="J152" s="1354" t="s">
        <v>195</v>
      </c>
      <c r="K152" s="1406">
        <f>+K151</f>
        <v>31900</v>
      </c>
      <c r="L152" s="1406">
        <f>44553.4+9176</f>
        <v>53729.4</v>
      </c>
      <c r="M152" s="1406">
        <f>54362+10723</f>
        <v>65085</v>
      </c>
      <c r="N152" s="1406">
        <f>59652+11355</f>
        <v>71007</v>
      </c>
      <c r="O152" s="1406">
        <f>58250+12791</f>
        <v>71041</v>
      </c>
      <c r="P152" s="1406">
        <f>62875+14304</f>
        <v>77179</v>
      </c>
    </row>
    <row r="154" spans="10:16" ht="14.45">
      <c r="J154" s="1422" t="s">
        <v>118</v>
      </c>
    </row>
    <row r="155" spans="10:16" ht="14.45">
      <c r="J155" s="1381" t="str">
        <f>+J151</f>
        <v>CRC</v>
      </c>
      <c r="K155" s="1382">
        <f t="shared" ref="K155" si="145">+K151/K$143</f>
        <v>0.15053205294575656</v>
      </c>
      <c r="L155" s="1382">
        <f>+L151/L$143</f>
        <v>0.22723378562511728</v>
      </c>
      <c r="M155" s="1382">
        <f>+M151/M$143</f>
        <v>0.2986211431566882</v>
      </c>
      <c r="N155" s="1382">
        <f>+N151/N$143</f>
        <v>0.22</v>
      </c>
      <c r="O155" s="1382">
        <f>+O151/O$143</f>
        <v>0.2</v>
      </c>
      <c r="P155" s="1382">
        <f>+P151/P$143</f>
        <v>0.18000000000000002</v>
      </c>
    </row>
    <row r="156" spans="10:16" ht="14.45">
      <c r="J156" s="1381" t="str">
        <f>+J152</f>
        <v>VA Cons.</v>
      </c>
      <c r="K156" s="1382">
        <f t="shared" ref="K156" si="146">+K152/K$144</f>
        <v>0.15053205294575656</v>
      </c>
      <c r="L156" s="1382">
        <f>+L152/L$144</f>
        <v>0.21948409835677166</v>
      </c>
      <c r="M156" s="1382">
        <f>+M152/M$144</f>
        <v>0.2325602169632999</v>
      </c>
      <c r="N156" s="1382">
        <f>+N152/N$144</f>
        <v>0.22236684524273131</v>
      </c>
      <c r="O156" s="1382">
        <f>+O152/O$144</f>
        <v>0.19621919234143365</v>
      </c>
      <c r="P156" s="1382">
        <f>+P152/P$144</f>
        <v>0.18982430067153735</v>
      </c>
    </row>
    <row r="158" spans="10:16">
      <c r="J158" s="1387" t="s">
        <v>187</v>
      </c>
    </row>
    <row r="159" spans="10:16">
      <c r="J159" s="1354" t="s">
        <v>194</v>
      </c>
      <c r="K159" s="1406">
        <f t="shared" ref="K159:P159" si="147">+I29</f>
        <v>13861</v>
      </c>
      <c r="L159" s="1406">
        <f t="shared" si="147"/>
        <v>20427</v>
      </c>
      <c r="M159" s="1406">
        <f t="shared" si="147"/>
        <v>29970.842105263157</v>
      </c>
      <c r="N159" s="1406">
        <f t="shared" si="147"/>
        <v>34074.15602074474</v>
      </c>
      <c r="O159" s="1406">
        <f t="shared" si="147"/>
        <v>39084.924797674059</v>
      </c>
      <c r="P159" s="1406">
        <f t="shared" si="147"/>
        <v>43766.937904157821</v>
      </c>
    </row>
    <row r="160" spans="10:16">
      <c r="J160" s="1354" t="s">
        <v>195</v>
      </c>
      <c r="K160" s="1406">
        <f>+K159</f>
        <v>13861</v>
      </c>
      <c r="L160" s="1406">
        <v>21245</v>
      </c>
      <c r="M160" s="1406">
        <v>25745</v>
      </c>
      <c r="N160" s="1406">
        <v>29434</v>
      </c>
      <c r="O160" s="1406">
        <v>34816</v>
      </c>
      <c r="P160" s="1406">
        <v>38882</v>
      </c>
    </row>
    <row r="162" spans="10:16" ht="14.45">
      <c r="J162" s="1422" t="s">
        <v>118</v>
      </c>
    </row>
    <row r="163" spans="10:16" ht="14.45">
      <c r="J163" s="1381" t="str">
        <f>+J159</f>
        <v>CRC</v>
      </c>
      <c r="K163" s="1382">
        <f t="shared" ref="K163" si="148">+K159/K$143</f>
        <v>6.5408300497841118E-2</v>
      </c>
      <c r="L163" s="1382">
        <f>+L159/L$143</f>
        <v>8.333401326686303E-2</v>
      </c>
      <c r="M163" s="1382">
        <f>+M159/M$143</f>
        <v>0.10783044735954564</v>
      </c>
      <c r="N163" s="1382">
        <f>+N159/N$143</f>
        <v>0.10848985417436982</v>
      </c>
      <c r="O163" s="1382">
        <f>+O159/O$143</f>
        <v>0.11012726532985685</v>
      </c>
      <c r="P163" s="1382">
        <f>+P159/P$143</f>
        <v>0.10913229634887897</v>
      </c>
    </row>
    <row r="164" spans="10:16" ht="14.45">
      <c r="J164" s="1381" t="str">
        <f>+J160</f>
        <v>VA Cons.</v>
      </c>
      <c r="K164" s="1382">
        <f t="shared" ref="K164" si="149">+K160/K$144</f>
        <v>6.5408300497841118E-2</v>
      </c>
      <c r="L164" s="1382">
        <f>+L160/L$144</f>
        <v>8.6785627041984711E-2</v>
      </c>
      <c r="M164" s="1382">
        <f>+M160/M$144</f>
        <v>9.1991438668205514E-2</v>
      </c>
      <c r="N164" s="1382">
        <f>+N160/N$144</f>
        <v>9.2176063245518802E-2</v>
      </c>
      <c r="O164" s="1382">
        <f>+O160/O$144</f>
        <v>9.6163727995936907E-2</v>
      </c>
      <c r="P164" s="1382">
        <f>+P160/P$144</f>
        <v>9.5631563750640927E-2</v>
      </c>
    </row>
  </sheetData>
  <hyperlinks>
    <hyperlink ref="M144" r:id="rId1" tooltip="Revenue Final Est. - _x000a_Fiscal Year: 2025" display="javascript:click();" xr:uid="{1395C259-8900-4B00-8F28-E4EDF20A9AC7}"/>
    <hyperlink ref="M152" r:id="rId2" tooltip="Capital Expenditure Final Est. - _x000a_Fiscal Year: 2025" display="javascript:click();" xr:uid="{03856C5A-0D84-41A5-A727-3ACDFDF23686}"/>
    <hyperlink ref="N152" r:id="rId3" tooltip="Capital Expenditure Final Est. - _x000a_Fiscal Year: 2026" display="javascript:click();" xr:uid="{D115A329-5B30-4B90-9FD8-7C434F33665B}"/>
    <hyperlink ref="O152" r:id="rId4" tooltip="Capital Expenditure Final Est. - _x000a_Fiscal Year: 2027" display="javascript:click();" xr:uid="{9A43B5C8-E5FF-45E2-9BD3-A881F3F5945A}"/>
    <hyperlink ref="P152" r:id="rId5" tooltip="Capital Expenditure Final Est. - _x000a_Fiscal Year: 2028" display="javascript:click();" xr:uid="{F1CE60C6-54F9-4834-8EE8-53C938DAB1A9}"/>
    <hyperlink ref="M160" r:id="rId6" tooltip="Depreciation &amp; Amortization Final Est. - _x000a_Fiscal Year: 2025" display="javascript:click();" xr:uid="{4BB4637F-F3FE-4452-A834-DF1B8FC848A0}"/>
    <hyperlink ref="N160" r:id="rId7" tooltip="Depreciation &amp; Amortization Final Est. - _x000a_Fiscal Year: 2026" display="javascript:click();" xr:uid="{14A3C554-2032-4046-8B4C-188121FEBAEF}"/>
    <hyperlink ref="O160" r:id="rId8" tooltip="Depreciation &amp; Amortization Final Est. - _x000a_Fiscal Year: 2027" display="javascript:click();" xr:uid="{798D44CE-E7ED-4ED1-A2A7-15E273A28CD9}"/>
    <hyperlink ref="P160" r:id="rId9" tooltip="Depreciation &amp; Amortization Final Est. - _x000a_Fiscal Year: 2028" display="javascript:click();" xr:uid="{2DC735A8-8112-4446-A984-DB8E5D8E2B1A}"/>
    <hyperlink ref="L152" r:id="rId10" tooltip="Capital Expenditure Final Est. - _x000a_Fiscal Year: 2024" display="javascript:click();" xr:uid="{3A57B4FD-1B04-4DE3-8796-8B7B3D08D1C3}"/>
    <hyperlink ref="N144:P144" r:id="rId11" tooltip="Capital Expenditure Final Est. - _x000a_Fiscal Year: 2025" display="javascript:click();" xr:uid="{51416BD0-20C5-402A-9E04-A0E418C6947E}"/>
  </hyperlinks>
  <pageMargins left="0.3" right="0.3" top="0.3" bottom="0.3" header="0.3" footer="0.3"/>
  <pageSetup scale="33" fitToHeight="0" orientation="landscape" r:id="rId12"/>
  <headerFooter>
    <oddFooter>Page &amp;P</oddFooter>
  </headerFooter>
  <legacyDrawing r:id="rId1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2025D-8946-4111-AD86-5574D114474A}">
  <sheetPr>
    <pageSetUpPr fitToPage="1"/>
  </sheetPr>
  <dimension ref="A1:AE138"/>
  <sheetViews>
    <sheetView view="pageBreakPreview" zoomScale="55" zoomScaleNormal="85" zoomScaleSheetLayoutView="55" workbookViewId="0">
      <pane xSplit="1" ySplit="5" topLeftCell="B6" activePane="bottomRight" state="frozen"/>
      <selection pane="bottomRight" activeCell="B6" sqref="B6"/>
      <selection pane="bottomLeft" activeCell="B6" sqref="B6"/>
      <selection pane="topRight" activeCell="B6" sqref="B6"/>
    </sheetView>
  </sheetViews>
  <sheetFormatPr defaultColWidth="4.5" defaultRowHeight="14.1" outlineLevelRow="1" outlineLevelCol="1"/>
  <cols>
    <col min="1" max="1" width="41.6640625" style="1354" customWidth="1"/>
    <col min="2" max="2" width="5" style="1354" customWidth="1"/>
    <col min="3" max="3" width="1.83203125" style="1354" hidden="1" customWidth="1" outlineLevel="1"/>
    <col min="4" max="4" width="22.83203125" style="1354" customWidth="1" collapsed="1"/>
    <col min="5" max="22" width="22.83203125" style="1354" customWidth="1"/>
    <col min="23" max="24" width="10.6640625" style="1354" customWidth="1"/>
    <col min="25" max="25" width="30" style="1354" bestFit="1" customWidth="1"/>
    <col min="26" max="31" width="11.1640625" style="1354" customWidth="1"/>
    <col min="32" max="256" width="4.5" style="1354"/>
    <col min="257" max="257" width="11.83203125" style="1354" customWidth="1"/>
    <col min="258" max="258" width="2.1640625" style="1354" customWidth="1"/>
    <col min="259" max="274" width="10.6640625" style="1354" customWidth="1"/>
    <col min="275" max="276" width="14" style="1354" customWidth="1"/>
    <col min="277" max="277" width="54" style="1354" customWidth="1"/>
    <col min="278" max="280" width="10.6640625" style="1354" customWidth="1"/>
    <col min="281" max="287" width="11.1640625" style="1354" customWidth="1"/>
    <col min="288" max="512" width="4.5" style="1354"/>
    <col min="513" max="513" width="11.83203125" style="1354" customWidth="1"/>
    <col min="514" max="514" width="2.1640625" style="1354" customWidth="1"/>
    <col min="515" max="530" width="10.6640625" style="1354" customWidth="1"/>
    <col min="531" max="532" width="14" style="1354" customWidth="1"/>
    <col min="533" max="533" width="54" style="1354" customWidth="1"/>
    <col min="534" max="536" width="10.6640625" style="1354" customWidth="1"/>
    <col min="537" max="543" width="11.1640625" style="1354" customWidth="1"/>
    <col min="544" max="768" width="4.5" style="1354"/>
    <col min="769" max="769" width="11.83203125" style="1354" customWidth="1"/>
    <col min="770" max="770" width="2.1640625" style="1354" customWidth="1"/>
    <col min="771" max="786" width="10.6640625" style="1354" customWidth="1"/>
    <col min="787" max="788" width="14" style="1354" customWidth="1"/>
    <col min="789" max="789" width="54" style="1354" customWidth="1"/>
    <col min="790" max="792" width="10.6640625" style="1354" customWidth="1"/>
    <col min="793" max="799" width="11.1640625" style="1354" customWidth="1"/>
    <col min="800" max="1024" width="4.5" style="1354"/>
    <col min="1025" max="1025" width="11.83203125" style="1354" customWidth="1"/>
    <col min="1026" max="1026" width="2.1640625" style="1354" customWidth="1"/>
    <col min="1027" max="1042" width="10.6640625" style="1354" customWidth="1"/>
    <col min="1043" max="1044" width="14" style="1354" customWidth="1"/>
    <col min="1045" max="1045" width="54" style="1354" customWidth="1"/>
    <col min="1046" max="1048" width="10.6640625" style="1354" customWidth="1"/>
    <col min="1049" max="1055" width="11.1640625" style="1354" customWidth="1"/>
    <col min="1056" max="1280" width="4.5" style="1354"/>
    <col min="1281" max="1281" width="11.83203125" style="1354" customWidth="1"/>
    <col min="1282" max="1282" width="2.1640625" style="1354" customWidth="1"/>
    <col min="1283" max="1298" width="10.6640625" style="1354" customWidth="1"/>
    <col min="1299" max="1300" width="14" style="1354" customWidth="1"/>
    <col min="1301" max="1301" width="54" style="1354" customWidth="1"/>
    <col min="1302" max="1304" width="10.6640625" style="1354" customWidth="1"/>
    <col min="1305" max="1311" width="11.1640625" style="1354" customWidth="1"/>
    <col min="1312" max="1536" width="4.5" style="1354"/>
    <col min="1537" max="1537" width="11.83203125" style="1354" customWidth="1"/>
    <col min="1538" max="1538" width="2.1640625" style="1354" customWidth="1"/>
    <col min="1539" max="1554" width="10.6640625" style="1354" customWidth="1"/>
    <col min="1555" max="1556" width="14" style="1354" customWidth="1"/>
    <col min="1557" max="1557" width="54" style="1354" customWidth="1"/>
    <col min="1558" max="1560" width="10.6640625" style="1354" customWidth="1"/>
    <col min="1561" max="1567" width="11.1640625" style="1354" customWidth="1"/>
    <col min="1568" max="1792" width="4.5" style="1354"/>
    <col min="1793" max="1793" width="11.83203125" style="1354" customWidth="1"/>
    <col min="1794" max="1794" width="2.1640625" style="1354" customWidth="1"/>
    <col min="1795" max="1810" width="10.6640625" style="1354" customWidth="1"/>
    <col min="1811" max="1812" width="14" style="1354" customWidth="1"/>
    <col min="1813" max="1813" width="54" style="1354" customWidth="1"/>
    <col min="1814" max="1816" width="10.6640625" style="1354" customWidth="1"/>
    <col min="1817" max="1823" width="11.1640625" style="1354" customWidth="1"/>
    <col min="1824" max="2048" width="4.5" style="1354"/>
    <col min="2049" max="2049" width="11.83203125" style="1354" customWidth="1"/>
    <col min="2050" max="2050" width="2.1640625" style="1354" customWidth="1"/>
    <col min="2051" max="2066" width="10.6640625" style="1354" customWidth="1"/>
    <col min="2067" max="2068" width="14" style="1354" customWidth="1"/>
    <col min="2069" max="2069" width="54" style="1354" customWidth="1"/>
    <col min="2070" max="2072" width="10.6640625" style="1354" customWidth="1"/>
    <col min="2073" max="2079" width="11.1640625" style="1354" customWidth="1"/>
    <col min="2080" max="2304" width="4.5" style="1354"/>
    <col min="2305" max="2305" width="11.83203125" style="1354" customWidth="1"/>
    <col min="2306" max="2306" width="2.1640625" style="1354" customWidth="1"/>
    <col min="2307" max="2322" width="10.6640625" style="1354" customWidth="1"/>
    <col min="2323" max="2324" width="14" style="1354" customWidth="1"/>
    <col min="2325" max="2325" width="54" style="1354" customWidth="1"/>
    <col min="2326" max="2328" width="10.6640625" style="1354" customWidth="1"/>
    <col min="2329" max="2335" width="11.1640625" style="1354" customWidth="1"/>
    <col min="2336" max="2560" width="4.5" style="1354"/>
    <col min="2561" max="2561" width="11.83203125" style="1354" customWidth="1"/>
    <col min="2562" max="2562" width="2.1640625" style="1354" customWidth="1"/>
    <col min="2563" max="2578" width="10.6640625" style="1354" customWidth="1"/>
    <col min="2579" max="2580" width="14" style="1354" customWidth="1"/>
    <col min="2581" max="2581" width="54" style="1354" customWidth="1"/>
    <col min="2582" max="2584" width="10.6640625" style="1354" customWidth="1"/>
    <col min="2585" max="2591" width="11.1640625" style="1354" customWidth="1"/>
    <col min="2592" max="2816" width="4.5" style="1354"/>
    <col min="2817" max="2817" width="11.83203125" style="1354" customWidth="1"/>
    <col min="2818" max="2818" width="2.1640625" style="1354" customWidth="1"/>
    <col min="2819" max="2834" width="10.6640625" style="1354" customWidth="1"/>
    <col min="2835" max="2836" width="14" style="1354" customWidth="1"/>
    <col min="2837" max="2837" width="54" style="1354" customWidth="1"/>
    <col min="2838" max="2840" width="10.6640625" style="1354" customWidth="1"/>
    <col min="2841" max="2847" width="11.1640625" style="1354" customWidth="1"/>
    <col min="2848" max="3072" width="4.5" style="1354"/>
    <col min="3073" max="3073" width="11.83203125" style="1354" customWidth="1"/>
    <col min="3074" max="3074" width="2.1640625" style="1354" customWidth="1"/>
    <col min="3075" max="3090" width="10.6640625" style="1354" customWidth="1"/>
    <col min="3091" max="3092" width="14" style="1354" customWidth="1"/>
    <col min="3093" max="3093" width="54" style="1354" customWidth="1"/>
    <col min="3094" max="3096" width="10.6640625" style="1354" customWidth="1"/>
    <col min="3097" max="3103" width="11.1640625" style="1354" customWidth="1"/>
    <col min="3104" max="3328" width="4.5" style="1354"/>
    <col min="3329" max="3329" width="11.83203125" style="1354" customWidth="1"/>
    <col min="3330" max="3330" width="2.1640625" style="1354" customWidth="1"/>
    <col min="3331" max="3346" width="10.6640625" style="1354" customWidth="1"/>
    <col min="3347" max="3348" width="14" style="1354" customWidth="1"/>
    <col min="3349" max="3349" width="54" style="1354" customWidth="1"/>
    <col min="3350" max="3352" width="10.6640625" style="1354" customWidth="1"/>
    <col min="3353" max="3359" width="11.1640625" style="1354" customWidth="1"/>
    <col min="3360" max="3584" width="4.5" style="1354"/>
    <col min="3585" max="3585" width="11.83203125" style="1354" customWidth="1"/>
    <col min="3586" max="3586" width="2.1640625" style="1354" customWidth="1"/>
    <col min="3587" max="3602" width="10.6640625" style="1354" customWidth="1"/>
    <col min="3603" max="3604" width="14" style="1354" customWidth="1"/>
    <col min="3605" max="3605" width="54" style="1354" customWidth="1"/>
    <col min="3606" max="3608" width="10.6640625" style="1354" customWidth="1"/>
    <col min="3609" max="3615" width="11.1640625" style="1354" customWidth="1"/>
    <col min="3616" max="3840" width="4.5" style="1354"/>
    <col min="3841" max="3841" width="11.83203125" style="1354" customWidth="1"/>
    <col min="3842" max="3842" width="2.1640625" style="1354" customWidth="1"/>
    <col min="3843" max="3858" width="10.6640625" style="1354" customWidth="1"/>
    <col min="3859" max="3860" width="14" style="1354" customWidth="1"/>
    <col min="3861" max="3861" width="54" style="1354" customWidth="1"/>
    <col min="3862" max="3864" width="10.6640625" style="1354" customWidth="1"/>
    <col min="3865" max="3871" width="11.1640625" style="1354" customWidth="1"/>
    <col min="3872" max="4096" width="4.5" style="1354"/>
    <col min="4097" max="4097" width="11.83203125" style="1354" customWidth="1"/>
    <col min="4098" max="4098" width="2.1640625" style="1354" customWidth="1"/>
    <col min="4099" max="4114" width="10.6640625" style="1354" customWidth="1"/>
    <col min="4115" max="4116" width="14" style="1354" customWidth="1"/>
    <col min="4117" max="4117" width="54" style="1354" customWidth="1"/>
    <col min="4118" max="4120" width="10.6640625" style="1354" customWidth="1"/>
    <col min="4121" max="4127" width="11.1640625" style="1354" customWidth="1"/>
    <col min="4128" max="4352" width="4.5" style="1354"/>
    <col min="4353" max="4353" width="11.83203125" style="1354" customWidth="1"/>
    <col min="4354" max="4354" width="2.1640625" style="1354" customWidth="1"/>
    <col min="4355" max="4370" width="10.6640625" style="1354" customWidth="1"/>
    <col min="4371" max="4372" width="14" style="1354" customWidth="1"/>
    <col min="4373" max="4373" width="54" style="1354" customWidth="1"/>
    <col min="4374" max="4376" width="10.6640625" style="1354" customWidth="1"/>
    <col min="4377" max="4383" width="11.1640625" style="1354" customWidth="1"/>
    <col min="4384" max="4608" width="4.5" style="1354"/>
    <col min="4609" max="4609" width="11.83203125" style="1354" customWidth="1"/>
    <col min="4610" max="4610" width="2.1640625" style="1354" customWidth="1"/>
    <col min="4611" max="4626" width="10.6640625" style="1354" customWidth="1"/>
    <col min="4627" max="4628" width="14" style="1354" customWidth="1"/>
    <col min="4629" max="4629" width="54" style="1354" customWidth="1"/>
    <col min="4630" max="4632" width="10.6640625" style="1354" customWidth="1"/>
    <col min="4633" max="4639" width="11.1640625" style="1354" customWidth="1"/>
    <col min="4640" max="4864" width="4.5" style="1354"/>
    <col min="4865" max="4865" width="11.83203125" style="1354" customWidth="1"/>
    <col min="4866" max="4866" width="2.1640625" style="1354" customWidth="1"/>
    <col min="4867" max="4882" width="10.6640625" style="1354" customWidth="1"/>
    <col min="4883" max="4884" width="14" style="1354" customWidth="1"/>
    <col min="4885" max="4885" width="54" style="1354" customWidth="1"/>
    <col min="4886" max="4888" width="10.6640625" style="1354" customWidth="1"/>
    <col min="4889" max="4895" width="11.1640625" style="1354" customWidth="1"/>
    <col min="4896" max="5120" width="4.5" style="1354"/>
    <col min="5121" max="5121" width="11.83203125" style="1354" customWidth="1"/>
    <col min="5122" max="5122" width="2.1640625" style="1354" customWidth="1"/>
    <col min="5123" max="5138" width="10.6640625" style="1354" customWidth="1"/>
    <col min="5139" max="5140" width="14" style="1354" customWidth="1"/>
    <col min="5141" max="5141" width="54" style="1354" customWidth="1"/>
    <col min="5142" max="5144" width="10.6640625" style="1354" customWidth="1"/>
    <col min="5145" max="5151" width="11.1640625" style="1354" customWidth="1"/>
    <col min="5152" max="5376" width="4.5" style="1354"/>
    <col min="5377" max="5377" width="11.83203125" style="1354" customWidth="1"/>
    <col min="5378" max="5378" width="2.1640625" style="1354" customWidth="1"/>
    <col min="5379" max="5394" width="10.6640625" style="1354" customWidth="1"/>
    <col min="5395" max="5396" width="14" style="1354" customWidth="1"/>
    <col min="5397" max="5397" width="54" style="1354" customWidth="1"/>
    <col min="5398" max="5400" width="10.6640625" style="1354" customWidth="1"/>
    <col min="5401" max="5407" width="11.1640625" style="1354" customWidth="1"/>
    <col min="5408" max="5632" width="4.5" style="1354"/>
    <col min="5633" max="5633" width="11.83203125" style="1354" customWidth="1"/>
    <col min="5634" max="5634" width="2.1640625" style="1354" customWidth="1"/>
    <col min="5635" max="5650" width="10.6640625" style="1354" customWidth="1"/>
    <col min="5651" max="5652" width="14" style="1354" customWidth="1"/>
    <col min="5653" max="5653" width="54" style="1354" customWidth="1"/>
    <col min="5654" max="5656" width="10.6640625" style="1354" customWidth="1"/>
    <col min="5657" max="5663" width="11.1640625" style="1354" customWidth="1"/>
    <col min="5664" max="5888" width="4.5" style="1354"/>
    <col min="5889" max="5889" width="11.83203125" style="1354" customWidth="1"/>
    <col min="5890" max="5890" width="2.1640625" style="1354" customWidth="1"/>
    <col min="5891" max="5906" width="10.6640625" style="1354" customWidth="1"/>
    <col min="5907" max="5908" width="14" style="1354" customWidth="1"/>
    <col min="5909" max="5909" width="54" style="1354" customWidth="1"/>
    <col min="5910" max="5912" width="10.6640625" style="1354" customWidth="1"/>
    <col min="5913" max="5919" width="11.1640625" style="1354" customWidth="1"/>
    <col min="5920" max="6144" width="4.5" style="1354"/>
    <col min="6145" max="6145" width="11.83203125" style="1354" customWidth="1"/>
    <col min="6146" max="6146" width="2.1640625" style="1354" customWidth="1"/>
    <col min="6147" max="6162" width="10.6640625" style="1354" customWidth="1"/>
    <col min="6163" max="6164" width="14" style="1354" customWidth="1"/>
    <col min="6165" max="6165" width="54" style="1354" customWidth="1"/>
    <col min="6166" max="6168" width="10.6640625" style="1354" customWidth="1"/>
    <col min="6169" max="6175" width="11.1640625" style="1354" customWidth="1"/>
    <col min="6176" max="6400" width="4.5" style="1354"/>
    <col min="6401" max="6401" width="11.83203125" style="1354" customWidth="1"/>
    <col min="6402" max="6402" width="2.1640625" style="1354" customWidth="1"/>
    <col min="6403" max="6418" width="10.6640625" style="1354" customWidth="1"/>
    <col min="6419" max="6420" width="14" style="1354" customWidth="1"/>
    <col min="6421" max="6421" width="54" style="1354" customWidth="1"/>
    <col min="6422" max="6424" width="10.6640625" style="1354" customWidth="1"/>
    <col min="6425" max="6431" width="11.1640625" style="1354" customWidth="1"/>
    <col min="6432" max="6656" width="4.5" style="1354"/>
    <col min="6657" max="6657" width="11.83203125" style="1354" customWidth="1"/>
    <col min="6658" max="6658" width="2.1640625" style="1354" customWidth="1"/>
    <col min="6659" max="6674" width="10.6640625" style="1354" customWidth="1"/>
    <col min="6675" max="6676" width="14" style="1354" customWidth="1"/>
    <col min="6677" max="6677" width="54" style="1354" customWidth="1"/>
    <col min="6678" max="6680" width="10.6640625" style="1354" customWidth="1"/>
    <col min="6681" max="6687" width="11.1640625" style="1354" customWidth="1"/>
    <col min="6688" max="6912" width="4.5" style="1354"/>
    <col min="6913" max="6913" width="11.83203125" style="1354" customWidth="1"/>
    <col min="6914" max="6914" width="2.1640625" style="1354" customWidth="1"/>
    <col min="6915" max="6930" width="10.6640625" style="1354" customWidth="1"/>
    <col min="6931" max="6932" width="14" style="1354" customWidth="1"/>
    <col min="6933" max="6933" width="54" style="1354" customWidth="1"/>
    <col min="6934" max="6936" width="10.6640625" style="1354" customWidth="1"/>
    <col min="6937" max="6943" width="11.1640625" style="1354" customWidth="1"/>
    <col min="6944" max="7168" width="4.5" style="1354"/>
    <col min="7169" max="7169" width="11.83203125" style="1354" customWidth="1"/>
    <col min="7170" max="7170" width="2.1640625" style="1354" customWidth="1"/>
    <col min="7171" max="7186" width="10.6640625" style="1354" customWidth="1"/>
    <col min="7187" max="7188" width="14" style="1354" customWidth="1"/>
    <col min="7189" max="7189" width="54" style="1354" customWidth="1"/>
    <col min="7190" max="7192" width="10.6640625" style="1354" customWidth="1"/>
    <col min="7193" max="7199" width="11.1640625" style="1354" customWidth="1"/>
    <col min="7200" max="7424" width="4.5" style="1354"/>
    <col min="7425" max="7425" width="11.83203125" style="1354" customWidth="1"/>
    <col min="7426" max="7426" width="2.1640625" style="1354" customWidth="1"/>
    <col min="7427" max="7442" width="10.6640625" style="1354" customWidth="1"/>
    <col min="7443" max="7444" width="14" style="1354" customWidth="1"/>
    <col min="7445" max="7445" width="54" style="1354" customWidth="1"/>
    <col min="7446" max="7448" width="10.6640625" style="1354" customWidth="1"/>
    <col min="7449" max="7455" width="11.1640625" style="1354" customWidth="1"/>
    <col min="7456" max="7680" width="4.5" style="1354"/>
    <col min="7681" max="7681" width="11.83203125" style="1354" customWidth="1"/>
    <col min="7682" max="7682" width="2.1640625" style="1354" customWidth="1"/>
    <col min="7683" max="7698" width="10.6640625" style="1354" customWidth="1"/>
    <col min="7699" max="7700" width="14" style="1354" customWidth="1"/>
    <col min="7701" max="7701" width="54" style="1354" customWidth="1"/>
    <col min="7702" max="7704" width="10.6640625" style="1354" customWidth="1"/>
    <col min="7705" max="7711" width="11.1640625" style="1354" customWidth="1"/>
    <col min="7712" max="7936" width="4.5" style="1354"/>
    <col min="7937" max="7937" width="11.83203125" style="1354" customWidth="1"/>
    <col min="7938" max="7938" width="2.1640625" style="1354" customWidth="1"/>
    <col min="7939" max="7954" width="10.6640625" style="1354" customWidth="1"/>
    <col min="7955" max="7956" width="14" style="1354" customWidth="1"/>
    <col min="7957" max="7957" width="54" style="1354" customWidth="1"/>
    <col min="7958" max="7960" width="10.6640625" style="1354" customWidth="1"/>
    <col min="7961" max="7967" width="11.1640625" style="1354" customWidth="1"/>
    <col min="7968" max="8192" width="4.5" style="1354"/>
    <col min="8193" max="8193" width="11.83203125" style="1354" customWidth="1"/>
    <col min="8194" max="8194" width="2.1640625" style="1354" customWidth="1"/>
    <col min="8195" max="8210" width="10.6640625" style="1354" customWidth="1"/>
    <col min="8211" max="8212" width="14" style="1354" customWidth="1"/>
    <col min="8213" max="8213" width="54" style="1354" customWidth="1"/>
    <col min="8214" max="8216" width="10.6640625" style="1354" customWidth="1"/>
    <col min="8217" max="8223" width="11.1640625" style="1354" customWidth="1"/>
    <col min="8224" max="8448" width="4.5" style="1354"/>
    <col min="8449" max="8449" width="11.83203125" style="1354" customWidth="1"/>
    <col min="8450" max="8450" width="2.1640625" style="1354" customWidth="1"/>
    <col min="8451" max="8466" width="10.6640625" style="1354" customWidth="1"/>
    <col min="8467" max="8468" width="14" style="1354" customWidth="1"/>
    <col min="8469" max="8469" width="54" style="1354" customWidth="1"/>
    <col min="8470" max="8472" width="10.6640625" style="1354" customWidth="1"/>
    <col min="8473" max="8479" width="11.1640625" style="1354" customWidth="1"/>
    <col min="8480" max="8704" width="4.5" style="1354"/>
    <col min="8705" max="8705" width="11.83203125" style="1354" customWidth="1"/>
    <col min="8706" max="8706" width="2.1640625" style="1354" customWidth="1"/>
    <col min="8707" max="8722" width="10.6640625" style="1354" customWidth="1"/>
    <col min="8723" max="8724" width="14" style="1354" customWidth="1"/>
    <col min="8725" max="8725" width="54" style="1354" customWidth="1"/>
    <col min="8726" max="8728" width="10.6640625" style="1354" customWidth="1"/>
    <col min="8729" max="8735" width="11.1640625" style="1354" customWidth="1"/>
    <col min="8736" max="8960" width="4.5" style="1354"/>
    <col min="8961" max="8961" width="11.83203125" style="1354" customWidth="1"/>
    <col min="8962" max="8962" width="2.1640625" style="1354" customWidth="1"/>
    <col min="8963" max="8978" width="10.6640625" style="1354" customWidth="1"/>
    <col min="8979" max="8980" width="14" style="1354" customWidth="1"/>
    <col min="8981" max="8981" width="54" style="1354" customWidth="1"/>
    <col min="8982" max="8984" width="10.6640625" style="1354" customWidth="1"/>
    <col min="8985" max="8991" width="11.1640625" style="1354" customWidth="1"/>
    <col min="8992" max="9216" width="4.5" style="1354"/>
    <col min="9217" max="9217" width="11.83203125" style="1354" customWidth="1"/>
    <col min="9218" max="9218" width="2.1640625" style="1354" customWidth="1"/>
    <col min="9219" max="9234" width="10.6640625" style="1354" customWidth="1"/>
    <col min="9235" max="9236" width="14" style="1354" customWidth="1"/>
    <col min="9237" max="9237" width="54" style="1354" customWidth="1"/>
    <col min="9238" max="9240" width="10.6640625" style="1354" customWidth="1"/>
    <col min="9241" max="9247" width="11.1640625" style="1354" customWidth="1"/>
    <col min="9248" max="9472" width="4.5" style="1354"/>
    <col min="9473" max="9473" width="11.83203125" style="1354" customWidth="1"/>
    <col min="9474" max="9474" width="2.1640625" style="1354" customWidth="1"/>
    <col min="9475" max="9490" width="10.6640625" style="1354" customWidth="1"/>
    <col min="9491" max="9492" width="14" style="1354" customWidth="1"/>
    <col min="9493" max="9493" width="54" style="1354" customWidth="1"/>
    <col min="9494" max="9496" width="10.6640625" style="1354" customWidth="1"/>
    <col min="9497" max="9503" width="11.1640625" style="1354" customWidth="1"/>
    <col min="9504" max="9728" width="4.5" style="1354"/>
    <col min="9729" max="9729" width="11.83203125" style="1354" customWidth="1"/>
    <col min="9730" max="9730" width="2.1640625" style="1354" customWidth="1"/>
    <col min="9731" max="9746" width="10.6640625" style="1354" customWidth="1"/>
    <col min="9747" max="9748" width="14" style="1354" customWidth="1"/>
    <col min="9749" max="9749" width="54" style="1354" customWidth="1"/>
    <col min="9750" max="9752" width="10.6640625" style="1354" customWidth="1"/>
    <col min="9753" max="9759" width="11.1640625" style="1354" customWidth="1"/>
    <col min="9760" max="9984" width="4.5" style="1354"/>
    <col min="9985" max="9985" width="11.83203125" style="1354" customWidth="1"/>
    <col min="9986" max="9986" width="2.1640625" style="1354" customWidth="1"/>
    <col min="9987" max="10002" width="10.6640625" style="1354" customWidth="1"/>
    <col min="10003" max="10004" width="14" style="1354" customWidth="1"/>
    <col min="10005" max="10005" width="54" style="1354" customWidth="1"/>
    <col min="10006" max="10008" width="10.6640625" style="1354" customWidth="1"/>
    <col min="10009" max="10015" width="11.1640625" style="1354" customWidth="1"/>
    <col min="10016" max="10240" width="4.5" style="1354"/>
    <col min="10241" max="10241" width="11.83203125" style="1354" customWidth="1"/>
    <col min="10242" max="10242" width="2.1640625" style="1354" customWidth="1"/>
    <col min="10243" max="10258" width="10.6640625" style="1354" customWidth="1"/>
    <col min="10259" max="10260" width="14" style="1354" customWidth="1"/>
    <col min="10261" max="10261" width="54" style="1354" customWidth="1"/>
    <col min="10262" max="10264" width="10.6640625" style="1354" customWidth="1"/>
    <col min="10265" max="10271" width="11.1640625" style="1354" customWidth="1"/>
    <col min="10272" max="10496" width="4.5" style="1354"/>
    <col min="10497" max="10497" width="11.83203125" style="1354" customWidth="1"/>
    <col min="10498" max="10498" width="2.1640625" style="1354" customWidth="1"/>
    <col min="10499" max="10514" width="10.6640625" style="1354" customWidth="1"/>
    <col min="10515" max="10516" width="14" style="1354" customWidth="1"/>
    <col min="10517" max="10517" width="54" style="1354" customWidth="1"/>
    <col min="10518" max="10520" width="10.6640625" style="1354" customWidth="1"/>
    <col min="10521" max="10527" width="11.1640625" style="1354" customWidth="1"/>
    <col min="10528" max="10752" width="4.5" style="1354"/>
    <col min="10753" max="10753" width="11.83203125" style="1354" customWidth="1"/>
    <col min="10754" max="10754" width="2.1640625" style="1354" customWidth="1"/>
    <col min="10755" max="10770" width="10.6640625" style="1354" customWidth="1"/>
    <col min="10771" max="10772" width="14" style="1354" customWidth="1"/>
    <col min="10773" max="10773" width="54" style="1354" customWidth="1"/>
    <col min="10774" max="10776" width="10.6640625" style="1354" customWidth="1"/>
    <col min="10777" max="10783" width="11.1640625" style="1354" customWidth="1"/>
    <col min="10784" max="11008" width="4.5" style="1354"/>
    <col min="11009" max="11009" width="11.83203125" style="1354" customWidth="1"/>
    <col min="11010" max="11010" width="2.1640625" style="1354" customWidth="1"/>
    <col min="11011" max="11026" width="10.6640625" style="1354" customWidth="1"/>
    <col min="11027" max="11028" width="14" style="1354" customWidth="1"/>
    <col min="11029" max="11029" width="54" style="1354" customWidth="1"/>
    <col min="11030" max="11032" width="10.6640625" style="1354" customWidth="1"/>
    <col min="11033" max="11039" width="11.1640625" style="1354" customWidth="1"/>
    <col min="11040" max="11264" width="4.5" style="1354"/>
    <col min="11265" max="11265" width="11.83203125" style="1354" customWidth="1"/>
    <col min="11266" max="11266" width="2.1640625" style="1354" customWidth="1"/>
    <col min="11267" max="11282" width="10.6640625" style="1354" customWidth="1"/>
    <col min="11283" max="11284" width="14" style="1354" customWidth="1"/>
    <col min="11285" max="11285" width="54" style="1354" customWidth="1"/>
    <col min="11286" max="11288" width="10.6640625" style="1354" customWidth="1"/>
    <col min="11289" max="11295" width="11.1640625" style="1354" customWidth="1"/>
    <col min="11296" max="11520" width="4.5" style="1354"/>
    <col min="11521" max="11521" width="11.83203125" style="1354" customWidth="1"/>
    <col min="11522" max="11522" width="2.1640625" style="1354" customWidth="1"/>
    <col min="11523" max="11538" width="10.6640625" style="1354" customWidth="1"/>
    <col min="11539" max="11540" width="14" style="1354" customWidth="1"/>
    <col min="11541" max="11541" width="54" style="1354" customWidth="1"/>
    <col min="11542" max="11544" width="10.6640625" style="1354" customWidth="1"/>
    <col min="11545" max="11551" width="11.1640625" style="1354" customWidth="1"/>
    <col min="11552" max="11776" width="4.5" style="1354"/>
    <col min="11777" max="11777" width="11.83203125" style="1354" customWidth="1"/>
    <col min="11778" max="11778" width="2.1640625" style="1354" customWidth="1"/>
    <col min="11779" max="11794" width="10.6640625" style="1354" customWidth="1"/>
    <col min="11795" max="11796" width="14" style="1354" customWidth="1"/>
    <col min="11797" max="11797" width="54" style="1354" customWidth="1"/>
    <col min="11798" max="11800" width="10.6640625" style="1354" customWidth="1"/>
    <col min="11801" max="11807" width="11.1640625" style="1354" customWidth="1"/>
    <col min="11808" max="12032" width="4.5" style="1354"/>
    <col min="12033" max="12033" width="11.83203125" style="1354" customWidth="1"/>
    <col min="12034" max="12034" width="2.1640625" style="1354" customWidth="1"/>
    <col min="12035" max="12050" width="10.6640625" style="1354" customWidth="1"/>
    <col min="12051" max="12052" width="14" style="1354" customWidth="1"/>
    <col min="12053" max="12053" width="54" style="1354" customWidth="1"/>
    <col min="12054" max="12056" width="10.6640625" style="1354" customWidth="1"/>
    <col min="12057" max="12063" width="11.1640625" style="1354" customWidth="1"/>
    <col min="12064" max="12288" width="4.5" style="1354"/>
    <col min="12289" max="12289" width="11.83203125" style="1354" customWidth="1"/>
    <col min="12290" max="12290" width="2.1640625" style="1354" customWidth="1"/>
    <col min="12291" max="12306" width="10.6640625" style="1354" customWidth="1"/>
    <col min="12307" max="12308" width="14" style="1354" customWidth="1"/>
    <col min="12309" max="12309" width="54" style="1354" customWidth="1"/>
    <col min="12310" max="12312" width="10.6640625" style="1354" customWidth="1"/>
    <col min="12313" max="12319" width="11.1640625" style="1354" customWidth="1"/>
    <col min="12320" max="12544" width="4.5" style="1354"/>
    <col min="12545" max="12545" width="11.83203125" style="1354" customWidth="1"/>
    <col min="12546" max="12546" width="2.1640625" style="1354" customWidth="1"/>
    <col min="12547" max="12562" width="10.6640625" style="1354" customWidth="1"/>
    <col min="12563" max="12564" width="14" style="1354" customWidth="1"/>
    <col min="12565" max="12565" width="54" style="1354" customWidth="1"/>
    <col min="12566" max="12568" width="10.6640625" style="1354" customWidth="1"/>
    <col min="12569" max="12575" width="11.1640625" style="1354" customWidth="1"/>
    <col min="12576" max="12800" width="4.5" style="1354"/>
    <col min="12801" max="12801" width="11.83203125" style="1354" customWidth="1"/>
    <col min="12802" max="12802" width="2.1640625" style="1354" customWidth="1"/>
    <col min="12803" max="12818" width="10.6640625" style="1354" customWidth="1"/>
    <col min="12819" max="12820" width="14" style="1354" customWidth="1"/>
    <col min="12821" max="12821" width="54" style="1354" customWidth="1"/>
    <col min="12822" max="12824" width="10.6640625" style="1354" customWidth="1"/>
    <col min="12825" max="12831" width="11.1640625" style="1354" customWidth="1"/>
    <col min="12832" max="13056" width="4.5" style="1354"/>
    <col min="13057" max="13057" width="11.83203125" style="1354" customWidth="1"/>
    <col min="13058" max="13058" width="2.1640625" style="1354" customWidth="1"/>
    <col min="13059" max="13074" width="10.6640625" style="1354" customWidth="1"/>
    <col min="13075" max="13076" width="14" style="1354" customWidth="1"/>
    <col min="13077" max="13077" width="54" style="1354" customWidth="1"/>
    <col min="13078" max="13080" width="10.6640625" style="1354" customWidth="1"/>
    <col min="13081" max="13087" width="11.1640625" style="1354" customWidth="1"/>
    <col min="13088" max="13312" width="4.5" style="1354"/>
    <col min="13313" max="13313" width="11.83203125" style="1354" customWidth="1"/>
    <col min="13314" max="13314" width="2.1640625" style="1354" customWidth="1"/>
    <col min="13315" max="13330" width="10.6640625" style="1354" customWidth="1"/>
    <col min="13331" max="13332" width="14" style="1354" customWidth="1"/>
    <col min="13333" max="13333" width="54" style="1354" customWidth="1"/>
    <col min="13334" max="13336" width="10.6640625" style="1354" customWidth="1"/>
    <col min="13337" max="13343" width="11.1640625" style="1354" customWidth="1"/>
    <col min="13344" max="13568" width="4.5" style="1354"/>
    <col min="13569" max="13569" width="11.83203125" style="1354" customWidth="1"/>
    <col min="13570" max="13570" width="2.1640625" style="1354" customWidth="1"/>
    <col min="13571" max="13586" width="10.6640625" style="1354" customWidth="1"/>
    <col min="13587" max="13588" width="14" style="1354" customWidth="1"/>
    <col min="13589" max="13589" width="54" style="1354" customWidth="1"/>
    <col min="13590" max="13592" width="10.6640625" style="1354" customWidth="1"/>
    <col min="13593" max="13599" width="11.1640625" style="1354" customWidth="1"/>
    <col min="13600" max="13824" width="4.5" style="1354"/>
    <col min="13825" max="13825" width="11.83203125" style="1354" customWidth="1"/>
    <col min="13826" max="13826" width="2.1640625" style="1354" customWidth="1"/>
    <col min="13827" max="13842" width="10.6640625" style="1354" customWidth="1"/>
    <col min="13843" max="13844" width="14" style="1354" customWidth="1"/>
    <col min="13845" max="13845" width="54" style="1354" customWidth="1"/>
    <col min="13846" max="13848" width="10.6640625" style="1354" customWidth="1"/>
    <col min="13849" max="13855" width="11.1640625" style="1354" customWidth="1"/>
    <col min="13856" max="14080" width="4.5" style="1354"/>
    <col min="14081" max="14081" width="11.83203125" style="1354" customWidth="1"/>
    <col min="14082" max="14082" width="2.1640625" style="1354" customWidth="1"/>
    <col min="14083" max="14098" width="10.6640625" style="1354" customWidth="1"/>
    <col min="14099" max="14100" width="14" style="1354" customWidth="1"/>
    <col min="14101" max="14101" width="54" style="1354" customWidth="1"/>
    <col min="14102" max="14104" width="10.6640625" style="1354" customWidth="1"/>
    <col min="14105" max="14111" width="11.1640625" style="1354" customWidth="1"/>
    <col min="14112" max="14336" width="4.5" style="1354"/>
    <col min="14337" max="14337" width="11.83203125" style="1354" customWidth="1"/>
    <col min="14338" max="14338" width="2.1640625" style="1354" customWidth="1"/>
    <col min="14339" max="14354" width="10.6640625" style="1354" customWidth="1"/>
    <col min="14355" max="14356" width="14" style="1354" customWidth="1"/>
    <col min="14357" max="14357" width="54" style="1354" customWidth="1"/>
    <col min="14358" max="14360" width="10.6640625" style="1354" customWidth="1"/>
    <col min="14361" max="14367" width="11.1640625" style="1354" customWidth="1"/>
    <col min="14368" max="14592" width="4.5" style="1354"/>
    <col min="14593" max="14593" width="11.83203125" style="1354" customWidth="1"/>
    <col min="14594" max="14594" width="2.1640625" style="1354" customWidth="1"/>
    <col min="14595" max="14610" width="10.6640625" style="1354" customWidth="1"/>
    <col min="14611" max="14612" width="14" style="1354" customWidth="1"/>
    <col min="14613" max="14613" width="54" style="1354" customWidth="1"/>
    <col min="14614" max="14616" width="10.6640625" style="1354" customWidth="1"/>
    <col min="14617" max="14623" width="11.1640625" style="1354" customWidth="1"/>
    <col min="14624" max="14848" width="4.5" style="1354"/>
    <col min="14849" max="14849" width="11.83203125" style="1354" customWidth="1"/>
    <col min="14850" max="14850" width="2.1640625" style="1354" customWidth="1"/>
    <col min="14851" max="14866" width="10.6640625" style="1354" customWidth="1"/>
    <col min="14867" max="14868" width="14" style="1354" customWidth="1"/>
    <col min="14869" max="14869" width="54" style="1354" customWidth="1"/>
    <col min="14870" max="14872" width="10.6640625" style="1354" customWidth="1"/>
    <col min="14873" max="14879" width="11.1640625" style="1354" customWidth="1"/>
    <col min="14880" max="15104" width="4.5" style="1354"/>
    <col min="15105" max="15105" width="11.83203125" style="1354" customWidth="1"/>
    <col min="15106" max="15106" width="2.1640625" style="1354" customWidth="1"/>
    <col min="15107" max="15122" width="10.6640625" style="1354" customWidth="1"/>
    <col min="15123" max="15124" width="14" style="1354" customWidth="1"/>
    <col min="15125" max="15125" width="54" style="1354" customWidth="1"/>
    <col min="15126" max="15128" width="10.6640625" style="1354" customWidth="1"/>
    <col min="15129" max="15135" width="11.1640625" style="1354" customWidth="1"/>
    <col min="15136" max="15360" width="4.5" style="1354"/>
    <col min="15361" max="15361" width="11.83203125" style="1354" customWidth="1"/>
    <col min="15362" max="15362" width="2.1640625" style="1354" customWidth="1"/>
    <col min="15363" max="15378" width="10.6640625" style="1354" customWidth="1"/>
    <col min="15379" max="15380" width="14" style="1354" customWidth="1"/>
    <col min="15381" max="15381" width="54" style="1354" customWidth="1"/>
    <col min="15382" max="15384" width="10.6640625" style="1354" customWidth="1"/>
    <col min="15385" max="15391" width="11.1640625" style="1354" customWidth="1"/>
    <col min="15392" max="15616" width="4.5" style="1354"/>
    <col min="15617" max="15617" width="11.83203125" style="1354" customWidth="1"/>
    <col min="15618" max="15618" width="2.1640625" style="1354" customWidth="1"/>
    <col min="15619" max="15634" width="10.6640625" style="1354" customWidth="1"/>
    <col min="15635" max="15636" width="14" style="1354" customWidth="1"/>
    <col min="15637" max="15637" width="54" style="1354" customWidth="1"/>
    <col min="15638" max="15640" width="10.6640625" style="1354" customWidth="1"/>
    <col min="15641" max="15647" width="11.1640625" style="1354" customWidth="1"/>
    <col min="15648" max="15872" width="4.5" style="1354"/>
    <col min="15873" max="15873" width="11.83203125" style="1354" customWidth="1"/>
    <col min="15874" max="15874" width="2.1640625" style="1354" customWidth="1"/>
    <col min="15875" max="15890" width="10.6640625" style="1354" customWidth="1"/>
    <col min="15891" max="15892" width="14" style="1354" customWidth="1"/>
    <col min="15893" max="15893" width="54" style="1354" customWidth="1"/>
    <col min="15894" max="15896" width="10.6640625" style="1354" customWidth="1"/>
    <col min="15897" max="15903" width="11.1640625" style="1354" customWidth="1"/>
    <col min="15904" max="16128" width="4.5" style="1354"/>
    <col min="16129" max="16129" width="11.83203125" style="1354" customWidth="1"/>
    <col min="16130" max="16130" width="2.1640625" style="1354" customWidth="1"/>
    <col min="16131" max="16146" width="10.6640625" style="1354" customWidth="1"/>
    <col min="16147" max="16148" width="14" style="1354" customWidth="1"/>
    <col min="16149" max="16149" width="54" style="1354" customWidth="1"/>
    <col min="16150" max="16152" width="10.6640625" style="1354" customWidth="1"/>
    <col min="16153" max="16159" width="11.1640625" style="1354" customWidth="1"/>
    <col min="16160" max="16384" width="4.5" style="1354"/>
  </cols>
  <sheetData>
    <row r="1" spans="1:31" ht="14.45">
      <c r="A1" s="1353" t="s">
        <v>60</v>
      </c>
      <c r="G1" s="1503"/>
      <c r="H1" s="1504" t="s">
        <v>199</v>
      </c>
      <c r="I1" s="1503"/>
      <c r="J1" s="1503"/>
      <c r="K1" s="1503"/>
      <c r="L1" s="1503"/>
      <c r="M1" s="1503"/>
      <c r="O1" s="1498"/>
      <c r="P1" s="1358"/>
      <c r="R1" s="1358"/>
      <c r="S1" s="1358"/>
      <c r="T1" s="1358"/>
      <c r="U1" s="1358"/>
      <c r="V1" s="1358">
        <f>+Base!V1</f>
        <v>45657</v>
      </c>
    </row>
    <row r="2" spans="1:31">
      <c r="A2" s="1359" t="s">
        <v>62</v>
      </c>
      <c r="B2" s="1360"/>
      <c r="C2" s="1360"/>
      <c r="D2" s="1360"/>
      <c r="E2" s="1360"/>
      <c r="F2" s="1360"/>
      <c r="G2" s="1360"/>
      <c r="H2" s="1360"/>
      <c r="I2" s="1360"/>
      <c r="J2" s="1360"/>
      <c r="K2" s="1360"/>
      <c r="L2" s="1360"/>
      <c r="M2" s="1360"/>
      <c r="N2" s="1360"/>
      <c r="O2" s="1360"/>
      <c r="P2" s="1360"/>
      <c r="Q2" s="1360"/>
      <c r="R2" s="1360"/>
      <c r="S2" s="1360"/>
      <c r="T2" s="1360"/>
      <c r="U2" s="1360"/>
      <c r="V2" s="1360"/>
      <c r="W2" s="1360"/>
      <c r="X2" s="1360"/>
      <c r="Y2" s="1360"/>
      <c r="Z2" s="1360"/>
      <c r="AA2" s="1360"/>
      <c r="AB2" s="1360"/>
      <c r="AC2" s="1360"/>
      <c r="AD2" s="1360"/>
      <c r="AE2" s="1360"/>
    </row>
    <row r="3" spans="1:31" ht="14.45">
      <c r="A3" s="1361" t="s">
        <v>63</v>
      </c>
      <c r="C3" s="1362"/>
      <c r="D3" s="1362"/>
      <c r="E3" s="1362"/>
      <c r="F3" s="1362"/>
      <c r="G3" s="1362"/>
      <c r="H3" s="1362"/>
      <c r="I3" s="1362"/>
      <c r="J3" s="1362"/>
      <c r="K3" s="1362">
        <f>+Base!K3</f>
        <v>45657</v>
      </c>
      <c r="L3" s="1362">
        <v>46203</v>
      </c>
      <c r="M3" s="1362">
        <v>46568</v>
      </c>
      <c r="N3" s="1362">
        <v>46934</v>
      </c>
      <c r="O3" s="1362">
        <v>47299</v>
      </c>
      <c r="P3" s="1362">
        <v>47664</v>
      </c>
      <c r="Q3" s="1362">
        <v>48029</v>
      </c>
      <c r="R3" s="1362">
        <v>48395</v>
      </c>
      <c r="S3" s="1362">
        <v>48760</v>
      </c>
      <c r="T3" s="1362">
        <v>49125</v>
      </c>
      <c r="U3" s="1362">
        <v>49490</v>
      </c>
      <c r="V3" s="1362">
        <v>49856</v>
      </c>
    </row>
    <row r="4" spans="1:31" ht="17.100000000000001">
      <c r="A4" s="1363"/>
      <c r="C4" s="1364"/>
      <c r="D4" s="1364" t="str">
        <f>+'Historical Financials'!D5</f>
        <v>FYE June 30th</v>
      </c>
      <c r="E4" s="1365"/>
      <c r="F4" s="1365"/>
      <c r="G4" s="1365"/>
      <c r="H4" s="1365"/>
      <c r="I4" s="1365"/>
      <c r="J4" s="1365"/>
      <c r="K4" s="1365"/>
      <c r="L4" s="1365"/>
      <c r="M4" s="1365"/>
      <c r="N4" s="1365"/>
      <c r="O4" s="1365"/>
      <c r="P4" s="1365"/>
      <c r="Q4" s="1365"/>
      <c r="R4" s="1365"/>
      <c r="S4" s="1365"/>
      <c r="T4" s="1365"/>
      <c r="U4" s="1365"/>
      <c r="V4" s="1365"/>
    </row>
    <row r="5" spans="1:31" ht="17.100000000000001">
      <c r="C5" s="1366" t="s">
        <v>64</v>
      </c>
      <c r="D5" s="1366" t="s">
        <v>65</v>
      </c>
      <c r="E5" s="1366" t="s">
        <v>66</v>
      </c>
      <c r="F5" s="1366" t="s">
        <v>67</v>
      </c>
      <c r="G5" s="1366" t="s">
        <v>68</v>
      </c>
      <c r="H5" s="1366" t="s">
        <v>69</v>
      </c>
      <c r="I5" s="1366" t="s">
        <v>70</v>
      </c>
      <c r="J5" s="1366" t="s">
        <v>71</v>
      </c>
      <c r="K5" s="1367" t="s">
        <v>72</v>
      </c>
      <c r="L5" s="1366" t="s">
        <v>73</v>
      </c>
      <c r="M5" s="1366" t="s">
        <v>74</v>
      </c>
      <c r="N5" s="1366" t="s">
        <v>75</v>
      </c>
      <c r="O5" s="1366" t="s">
        <v>76</v>
      </c>
      <c r="P5" s="1366" t="s">
        <v>77</v>
      </c>
      <c r="Q5" s="1366" t="s">
        <v>78</v>
      </c>
      <c r="R5" s="1366" t="s">
        <v>79</v>
      </c>
      <c r="S5" s="1366" t="s">
        <v>80</v>
      </c>
      <c r="T5" s="1366" t="s">
        <v>81</v>
      </c>
      <c r="U5" s="1366" t="s">
        <v>82</v>
      </c>
      <c r="V5" s="1366" t="s">
        <v>83</v>
      </c>
    </row>
    <row r="6" spans="1:31" ht="17.100000000000001">
      <c r="A6" s="1368" t="s">
        <v>84</v>
      </c>
      <c r="B6" s="1369"/>
      <c r="C6" s="1366"/>
      <c r="D6" s="1366"/>
      <c r="E6" s="1366"/>
      <c r="F6" s="1366"/>
      <c r="G6" s="1366"/>
      <c r="H6" s="1366"/>
      <c r="I6" s="1366"/>
      <c r="J6" s="1366"/>
      <c r="K6" s="1367"/>
      <c r="L6" s="1366"/>
      <c r="M6" s="1366"/>
      <c r="N6" s="1366"/>
      <c r="O6" s="1366"/>
      <c r="P6" s="1366"/>
      <c r="Q6" s="1366"/>
      <c r="R6" s="1366"/>
      <c r="S6" s="1366"/>
      <c r="T6" s="1366"/>
      <c r="U6" s="1366"/>
      <c r="V6" s="1366"/>
    </row>
    <row r="7" spans="1:31" ht="17.100000000000001">
      <c r="C7" s="1370"/>
      <c r="D7" s="1371"/>
      <c r="E7" s="1372"/>
      <c r="F7" s="1373"/>
      <c r="G7" s="1373"/>
      <c r="H7" s="1373"/>
      <c r="I7" s="1373"/>
      <c r="J7" s="1371"/>
      <c r="K7" s="1374" t="str">
        <f>+Base!K7</f>
        <v>c = 278,698</v>
      </c>
      <c r="L7" s="1375"/>
      <c r="M7" s="1366"/>
      <c r="N7" s="1366"/>
      <c r="O7" s="1366"/>
      <c r="P7" s="1366"/>
      <c r="Q7" s="1366"/>
      <c r="R7" s="1366"/>
      <c r="S7" s="1366"/>
      <c r="T7" s="1366"/>
      <c r="U7" s="1366"/>
      <c r="V7" s="1366"/>
    </row>
    <row r="8" spans="1:31">
      <c r="A8" s="1354" t="s">
        <v>86</v>
      </c>
      <c r="B8" s="1376"/>
      <c r="C8" s="1377">
        <f>+'Historical Financials'!BH12</f>
        <v>96571</v>
      </c>
      <c r="D8" s="1377">
        <f>+'Historical Financials'!BI12</f>
        <v>110360</v>
      </c>
      <c r="E8" s="1377">
        <f>+'Historical Financials'!BJ12</f>
        <v>125843</v>
      </c>
      <c r="F8" s="1378">
        <f>+'Historical Financials'!BK12</f>
        <v>143015</v>
      </c>
      <c r="G8" s="1378">
        <f>+'Historical Financials'!BL12</f>
        <v>168088</v>
      </c>
      <c r="H8" s="1378">
        <f>+'Historical Financials'!BM12</f>
        <v>198270</v>
      </c>
      <c r="I8" s="1378">
        <f>+'Historical Financials'!BN12</f>
        <v>211915</v>
      </c>
      <c r="J8" s="1378">
        <f>+'Historical Financials'!BO12</f>
        <v>245122</v>
      </c>
      <c r="K8" s="1379">
        <f>+'Historical Financials'!BP12</f>
        <v>277944.15064726153</v>
      </c>
      <c r="L8" s="1380">
        <f t="shared" ref="L8:V8" si="0">K8*(1+L9)</f>
        <v>319635.77324435074</v>
      </c>
      <c r="M8" s="1380">
        <f t="shared" si="0"/>
        <v>367581.1392310033</v>
      </c>
      <c r="N8" s="1380">
        <f t="shared" si="0"/>
        <v>422718.31011565373</v>
      </c>
      <c r="O8" s="1380">
        <f t="shared" si="0"/>
        <v>486126.05663300178</v>
      </c>
      <c r="P8" s="1380">
        <f t="shared" si="0"/>
        <v>559044.96512795205</v>
      </c>
      <c r="Q8" s="1380">
        <f t="shared" si="0"/>
        <v>642901.70989714481</v>
      </c>
      <c r="R8" s="1380">
        <f t="shared" si="0"/>
        <v>739336.96638171643</v>
      </c>
      <c r="S8" s="1380">
        <f t="shared" si="0"/>
        <v>850237.51133897377</v>
      </c>
      <c r="T8" s="1380">
        <f t="shared" si="0"/>
        <v>977773.13803981978</v>
      </c>
      <c r="U8" s="1380">
        <f t="shared" si="0"/>
        <v>1124439.1087457926</v>
      </c>
      <c r="V8" s="1380">
        <f t="shared" si="0"/>
        <v>1293104.9750576615</v>
      </c>
    </row>
    <row r="9" spans="1:31" ht="17.100000000000001">
      <c r="A9" s="1381" t="s">
        <v>87</v>
      </c>
      <c r="C9" s="1382"/>
      <c r="D9" s="1383">
        <f t="shared" ref="D9:K9" si="1">D8/C8-1</f>
        <v>0.14278613662486661</v>
      </c>
      <c r="E9" s="1383">
        <f t="shared" si="1"/>
        <v>0.14029539688292858</v>
      </c>
      <c r="F9" s="1383">
        <f t="shared" si="1"/>
        <v>0.13645574247276371</v>
      </c>
      <c r="G9" s="1383">
        <f t="shared" si="1"/>
        <v>0.17531727441177503</v>
      </c>
      <c r="H9" s="1383">
        <f t="shared" si="1"/>
        <v>0.17956070629670173</v>
      </c>
      <c r="I9" s="1382">
        <f t="shared" si="1"/>
        <v>6.8820295556564215E-2</v>
      </c>
      <c r="J9" s="1382">
        <f t="shared" si="1"/>
        <v>0.1566996201307127</v>
      </c>
      <c r="K9" s="1384">
        <f t="shared" si="1"/>
        <v>0.13390128445125904</v>
      </c>
      <c r="L9" s="1385">
        <v>0.15</v>
      </c>
      <c r="M9" s="1385">
        <f t="shared" ref="M9:V9" si="2">+L9</f>
        <v>0.15</v>
      </c>
      <c r="N9" s="1385">
        <f t="shared" si="2"/>
        <v>0.15</v>
      </c>
      <c r="O9" s="1385">
        <f t="shared" si="2"/>
        <v>0.15</v>
      </c>
      <c r="P9" s="1385">
        <f t="shared" si="2"/>
        <v>0.15</v>
      </c>
      <c r="Q9" s="1385">
        <f t="shared" si="2"/>
        <v>0.15</v>
      </c>
      <c r="R9" s="1385">
        <f t="shared" si="2"/>
        <v>0.15</v>
      </c>
      <c r="S9" s="1385">
        <f t="shared" si="2"/>
        <v>0.15</v>
      </c>
      <c r="T9" s="1385">
        <f t="shared" si="2"/>
        <v>0.15</v>
      </c>
      <c r="U9" s="1385">
        <f t="shared" si="2"/>
        <v>0.15</v>
      </c>
      <c r="V9" s="1385">
        <f t="shared" si="2"/>
        <v>0.15</v>
      </c>
      <c r="Y9" s="1386" t="s">
        <v>60</v>
      </c>
      <c r="AA9" s="1366" t="s">
        <v>88</v>
      </c>
    </row>
    <row r="10" spans="1:31" ht="14.45">
      <c r="A10" s="1381" t="s">
        <v>89</v>
      </c>
      <c r="C10" s="1382"/>
      <c r="D10" s="1383">
        <f>+'Historical Financials'!BI15</f>
        <v>0.12866916569156372</v>
      </c>
      <c r="E10" s="1383">
        <f>+'Historical Financials'!BJ15</f>
        <v>0.1508835628851033</v>
      </c>
      <c r="F10" s="1383">
        <f>+'Historical Financials'!BK15</f>
        <v>0.15208497890228301</v>
      </c>
      <c r="G10" s="1383">
        <f>+'Historical Financials'!BL15</f>
        <v>0.1534946089571024</v>
      </c>
      <c r="H10" s="1383">
        <f>+'Historical Financials'!BM15</f>
        <v>0.18958755731124965</v>
      </c>
      <c r="I10" s="1383">
        <f>+'Historical Financials'!BN15</f>
        <v>0.10029775894823553</v>
      </c>
      <c r="J10" s="1382">
        <f>+'Historical Financials'!BO15</f>
        <v>0.12805103366915982</v>
      </c>
      <c r="K10" s="1384">
        <f>+'Historical Financials'!BP15</f>
        <v>0.13614750371620046</v>
      </c>
      <c r="L10" s="1383">
        <f t="shared" ref="L10:V10" si="3">+L9</f>
        <v>0.15</v>
      </c>
      <c r="M10" s="1383">
        <f t="shared" si="3"/>
        <v>0.15</v>
      </c>
      <c r="N10" s="1383">
        <f t="shared" si="3"/>
        <v>0.15</v>
      </c>
      <c r="O10" s="1383">
        <f t="shared" si="3"/>
        <v>0.15</v>
      </c>
      <c r="P10" s="1383">
        <f t="shared" si="3"/>
        <v>0.15</v>
      </c>
      <c r="Q10" s="1383">
        <f t="shared" si="3"/>
        <v>0.15</v>
      </c>
      <c r="R10" s="1383">
        <f t="shared" si="3"/>
        <v>0.15</v>
      </c>
      <c r="S10" s="1383">
        <f t="shared" si="3"/>
        <v>0.15</v>
      </c>
      <c r="T10" s="1383">
        <f t="shared" si="3"/>
        <v>0.15</v>
      </c>
      <c r="U10" s="1383">
        <f t="shared" si="3"/>
        <v>0.15</v>
      </c>
      <c r="V10" s="1383">
        <f t="shared" si="3"/>
        <v>0.15</v>
      </c>
      <c r="Y10" s="1387" t="s">
        <v>90</v>
      </c>
      <c r="AA10" s="1388"/>
    </row>
    <row r="11" spans="1:31" ht="14.45">
      <c r="A11" s="1381"/>
      <c r="C11" s="1382"/>
      <c r="D11" s="1383"/>
      <c r="E11" s="1383"/>
      <c r="F11" s="1383"/>
      <c r="G11" s="1389"/>
      <c r="H11" s="1389"/>
      <c r="I11" s="1390"/>
      <c r="J11" s="1390"/>
      <c r="K11" s="1391"/>
      <c r="L11" s="1389"/>
      <c r="M11" s="1389"/>
      <c r="N11" s="1389"/>
      <c r="O11" s="1389"/>
      <c r="P11" s="1389"/>
      <c r="Q11" s="1389"/>
      <c r="R11" s="1389"/>
      <c r="S11" s="1389"/>
      <c r="T11" s="1389"/>
      <c r="U11" s="1389"/>
      <c r="V11" s="1389"/>
      <c r="Y11" s="1354" t="s">
        <v>91</v>
      </c>
      <c r="AA11" s="1388" t="s">
        <v>92</v>
      </c>
    </row>
    <row r="12" spans="1:31" ht="14.45">
      <c r="A12" s="1381"/>
      <c r="C12" s="1382"/>
      <c r="D12" s="1383"/>
      <c r="E12" s="1383"/>
      <c r="F12" s="1373"/>
      <c r="G12" s="1373"/>
      <c r="H12" s="1373"/>
      <c r="I12" s="1373"/>
      <c r="J12" s="1371"/>
      <c r="K12" s="1374" t="str">
        <f>+Base!K12</f>
        <v>c = 123,262</v>
      </c>
      <c r="L12" s="1389"/>
      <c r="M12" s="1389"/>
      <c r="N12" s="1389"/>
      <c r="O12" s="1389"/>
      <c r="P12" s="1389"/>
      <c r="Q12" s="1389"/>
      <c r="R12" s="1389"/>
      <c r="S12" s="1389"/>
      <c r="T12" s="1389"/>
      <c r="U12" s="1389"/>
      <c r="V12" s="1389"/>
      <c r="Y12" s="1354" t="s">
        <v>94</v>
      </c>
      <c r="AA12" s="1392">
        <v>0.04</v>
      </c>
    </row>
    <row r="13" spans="1:31" ht="14.45">
      <c r="A13" s="1393" t="s">
        <v>95</v>
      </c>
      <c r="B13" s="1376"/>
      <c r="C13" s="1377">
        <f>+'Historical Financials'!BH49</f>
        <v>29331</v>
      </c>
      <c r="D13" s="1377">
        <f>+'Historical Financials'!BI49</f>
        <v>35058</v>
      </c>
      <c r="E13" s="1378">
        <f>+'Historical Financials'!BJ49</f>
        <v>42959</v>
      </c>
      <c r="F13" s="1378">
        <f>+'Historical Financials'!BK49</f>
        <v>52959</v>
      </c>
      <c r="G13" s="1394">
        <f>+'Historical Financials'!BL49</f>
        <v>69916</v>
      </c>
      <c r="H13" s="1394">
        <f>+'Historical Financials'!BM49</f>
        <v>83383</v>
      </c>
      <c r="I13" s="1394">
        <f>+'Historical Financials'!BN49</f>
        <v>89694</v>
      </c>
      <c r="J13" s="1378">
        <f>+'Historical Financials'!BO49</f>
        <v>112443</v>
      </c>
      <c r="K13" s="1379">
        <f>+'Historical Financials'!BP49</f>
        <v>129601.02612378589</v>
      </c>
      <c r="L13" s="1380">
        <f t="shared" ref="L13:V13" si="4">K13+(L8-K8)*L18</f>
        <v>156700.58081189389</v>
      </c>
      <c r="M13" s="1380">
        <f t="shared" si="4"/>
        <v>187865.06870321804</v>
      </c>
      <c r="N13" s="1380">
        <f t="shared" si="4"/>
        <v>223704.22977824084</v>
      </c>
      <c r="O13" s="1380">
        <f t="shared" si="4"/>
        <v>264919.26501451706</v>
      </c>
      <c r="P13" s="1380">
        <f t="shared" si="4"/>
        <v>312316.55553623475</v>
      </c>
      <c r="Q13" s="1380">
        <f t="shared" si="4"/>
        <v>366823.43963621004</v>
      </c>
      <c r="R13" s="1380">
        <f t="shared" si="4"/>
        <v>429506.35635118157</v>
      </c>
      <c r="S13" s="1380">
        <f t="shared" si="4"/>
        <v>501591.71057339886</v>
      </c>
      <c r="T13" s="1380">
        <f t="shared" si="4"/>
        <v>584489.86792894872</v>
      </c>
      <c r="U13" s="1380">
        <f t="shared" si="4"/>
        <v>679822.74888783111</v>
      </c>
      <c r="V13" s="1380">
        <f t="shared" si="4"/>
        <v>789455.56199054583</v>
      </c>
      <c r="Y13" s="1354" t="s">
        <v>96</v>
      </c>
      <c r="AA13" s="1388" t="s">
        <v>97</v>
      </c>
    </row>
    <row r="14" spans="1:31" ht="14.45">
      <c r="A14" s="1381" t="s">
        <v>87</v>
      </c>
      <c r="C14" s="1382"/>
      <c r="D14" s="1383">
        <f t="shared" ref="D14:V14" si="5">D13/C13-1</f>
        <v>0.19525416794517736</v>
      </c>
      <c r="E14" s="1383">
        <f t="shared" si="5"/>
        <v>0.22536938787152727</v>
      </c>
      <c r="F14" s="1383">
        <f t="shared" si="5"/>
        <v>0.23278009264647692</v>
      </c>
      <c r="G14" s="1382">
        <f t="shared" si="5"/>
        <v>0.3201910912215109</v>
      </c>
      <c r="H14" s="1382">
        <f t="shared" si="5"/>
        <v>0.19261685451112753</v>
      </c>
      <c r="I14" s="1382">
        <f t="shared" si="5"/>
        <v>7.5686890613194446E-2</v>
      </c>
      <c r="J14" s="1382">
        <f t="shared" si="5"/>
        <v>0.25362900528463439</v>
      </c>
      <c r="K14" s="1384">
        <f t="shared" si="5"/>
        <v>0.15259310160513229</v>
      </c>
      <c r="L14" s="1383">
        <f t="shared" si="5"/>
        <v>0.20909984664955039</v>
      </c>
      <c r="M14" s="1383">
        <f t="shared" si="5"/>
        <v>0.19887921110346451</v>
      </c>
      <c r="N14" s="1383">
        <f t="shared" si="5"/>
        <v>0.19077075542787636</v>
      </c>
      <c r="O14" s="1383">
        <f t="shared" si="5"/>
        <v>0.1842389626567762</v>
      </c>
      <c r="P14" s="1383">
        <f t="shared" si="5"/>
        <v>0.17891220753281356</v>
      </c>
      <c r="Q14" s="1383">
        <f t="shared" si="5"/>
        <v>0.17452447887813438</v>
      </c>
      <c r="R14" s="1383">
        <f t="shared" si="5"/>
        <v>0.17088034716957035</v>
      </c>
      <c r="S14" s="1383">
        <f t="shared" si="5"/>
        <v>0.16783303240168435</v>
      </c>
      <c r="T14" s="1383">
        <f t="shared" si="5"/>
        <v>0.16527019009302224</v>
      </c>
      <c r="U14" s="1383">
        <f t="shared" si="5"/>
        <v>0.16310442009316595</v>
      </c>
      <c r="V14" s="1383">
        <f t="shared" si="5"/>
        <v>0.16126676149344887</v>
      </c>
      <c r="AA14" s="1388"/>
    </row>
    <row r="15" spans="1:31" ht="14.45">
      <c r="A15" s="1381" t="s">
        <v>89</v>
      </c>
      <c r="C15" s="1382" t="str">
        <f>+'Historical Financials'!BH52</f>
        <v>NA</v>
      </c>
      <c r="D15" s="1383">
        <f>+'Historical Financials'!BI52</f>
        <v>0.17249565306331185</v>
      </c>
      <c r="E15" s="1383">
        <f>+'Historical Financials'!BJ52</f>
        <v>0.24103656797307321</v>
      </c>
      <c r="F15" s="1383">
        <f>+'Historical Financials'!BK52</f>
        <v>0.29050722782187671</v>
      </c>
      <c r="G15" s="1382">
        <f>+'Historical Financials'!BL52</f>
        <v>0.28283879982628074</v>
      </c>
      <c r="H15" s="1382">
        <f>+'Historical Financials'!BM52</f>
        <v>0.21025030036043252</v>
      </c>
      <c r="I15" s="1382">
        <f>+'Historical Financials'!BN52</f>
        <v>0.14076322511782977</v>
      </c>
      <c r="J15" s="1382">
        <f>+'Historical Financials'!BO52</f>
        <v>0.23278034205186526</v>
      </c>
      <c r="K15" s="1384">
        <f>+'Historical Financials'!BP52</f>
        <v>0.15344578957730942</v>
      </c>
      <c r="L15" s="1383">
        <f>+L14</f>
        <v>0.20909984664955039</v>
      </c>
      <c r="M15" s="1383">
        <f t="shared" ref="M15:V15" si="6">+M14</f>
        <v>0.19887921110346451</v>
      </c>
      <c r="N15" s="1383">
        <f t="shared" si="6"/>
        <v>0.19077075542787636</v>
      </c>
      <c r="O15" s="1383">
        <f t="shared" si="6"/>
        <v>0.1842389626567762</v>
      </c>
      <c r="P15" s="1383">
        <f t="shared" si="6"/>
        <v>0.17891220753281356</v>
      </c>
      <c r="Q15" s="1383">
        <f t="shared" si="6"/>
        <v>0.17452447887813438</v>
      </c>
      <c r="R15" s="1383">
        <f t="shared" si="6"/>
        <v>0.17088034716957035</v>
      </c>
      <c r="S15" s="1383">
        <f t="shared" si="6"/>
        <v>0.16783303240168435</v>
      </c>
      <c r="T15" s="1383">
        <f t="shared" si="6"/>
        <v>0.16527019009302224</v>
      </c>
      <c r="U15" s="1383">
        <f t="shared" si="6"/>
        <v>0.16310442009316595</v>
      </c>
      <c r="V15" s="1383">
        <f t="shared" si="6"/>
        <v>0.16126676149344887</v>
      </c>
      <c r="AA15" s="1388"/>
    </row>
    <row r="16" spans="1:31" s="1363" customFormat="1" ht="14.45">
      <c r="A16" s="1381" t="s">
        <v>98</v>
      </c>
      <c r="C16" s="1382"/>
      <c r="D16" s="1395">
        <f>+D25</f>
        <v>0.17249565306331185</v>
      </c>
      <c r="E16" s="1395">
        <f>+E25</f>
        <v>0.24103656797307321</v>
      </c>
      <c r="F16" s="1395">
        <f>+F25</f>
        <v>0.29050722782187671</v>
      </c>
      <c r="G16" s="1396">
        <f>+'Historical Financials'!BL63</f>
        <v>0.22807492588606293</v>
      </c>
      <c r="H16" s="1396">
        <f>+'Historical Financials'!BM63</f>
        <v>0.25276367406485195</v>
      </c>
      <c r="I16" s="1396">
        <f>+'Historical Financials'!BN63</f>
        <v>9.6498489478974617E-2</v>
      </c>
      <c r="J16" s="1396">
        <f>+'Historical Financials'!BO63</f>
        <v>0.2726341594082406</v>
      </c>
      <c r="K16" s="1391"/>
      <c r="L16" s="1389"/>
      <c r="M16" s="1389"/>
      <c r="N16" s="1389"/>
      <c r="O16" s="1389"/>
      <c r="P16" s="1389"/>
      <c r="Q16" s="1389"/>
      <c r="R16" s="1389"/>
      <c r="S16" s="1389"/>
      <c r="T16" s="1389"/>
      <c r="U16" s="1389"/>
      <c r="V16" s="1389"/>
      <c r="X16" s="1381"/>
      <c r="Y16" s="1381"/>
      <c r="AA16" s="1411"/>
    </row>
    <row r="17" spans="1:28" ht="14.45">
      <c r="A17" s="1381" t="s">
        <v>99</v>
      </c>
      <c r="C17" s="1382"/>
      <c r="D17" s="1383">
        <f t="shared" ref="D17:V17" si="7">+D13/D8</f>
        <v>0.31766944545125048</v>
      </c>
      <c r="E17" s="1383">
        <f t="shared" si="7"/>
        <v>0.3413698020549415</v>
      </c>
      <c r="F17" s="1383">
        <f t="shared" si="7"/>
        <v>0.37030381428521486</v>
      </c>
      <c r="G17" s="1382">
        <f t="shared" si="7"/>
        <v>0.41594878872971303</v>
      </c>
      <c r="H17" s="1382">
        <f t="shared" si="7"/>
        <v>0.4205527815604983</v>
      </c>
      <c r="I17" s="1382">
        <f t="shared" si="7"/>
        <v>0.42325460679989618</v>
      </c>
      <c r="J17" s="1382">
        <f t="shared" si="7"/>
        <v>0.45872259527908554</v>
      </c>
      <c r="K17" s="1397">
        <f t="shared" si="7"/>
        <v>0.46628441657065972</v>
      </c>
      <c r="L17" s="1382">
        <f t="shared" si="7"/>
        <v>0.49024731875709543</v>
      </c>
      <c r="M17" s="1382">
        <f t="shared" si="7"/>
        <v>0.51108462500616991</v>
      </c>
      <c r="N17" s="1382">
        <f t="shared" si="7"/>
        <v>0.52920402174449555</v>
      </c>
      <c r="O17" s="1382">
        <f t="shared" si="7"/>
        <v>0.54496001890825696</v>
      </c>
      <c r="P17" s="1382">
        <f t="shared" si="7"/>
        <v>0.55866088600718</v>
      </c>
      <c r="Q17" s="1382">
        <f t="shared" si="7"/>
        <v>0.57057468348450435</v>
      </c>
      <c r="R17" s="1382">
        <f t="shared" si="7"/>
        <v>0.58093450737782981</v>
      </c>
      <c r="S17" s="1382">
        <f t="shared" si="7"/>
        <v>0.58994304989376511</v>
      </c>
      <c r="T17" s="1382">
        <f t="shared" si="7"/>
        <v>0.59777656512501309</v>
      </c>
      <c r="U17" s="1382">
        <f t="shared" si="7"/>
        <v>0.60458831750001141</v>
      </c>
      <c r="V17" s="1382">
        <f t="shared" si="7"/>
        <v>0.61051158043479248</v>
      </c>
      <c r="Y17" s="1354" t="s">
        <v>100</v>
      </c>
      <c r="AA17" s="1388" t="s">
        <v>92</v>
      </c>
    </row>
    <row r="18" spans="1:28" ht="14.45">
      <c r="A18" s="1381" t="s">
        <v>101</v>
      </c>
      <c r="C18" s="1383"/>
      <c r="D18" s="1383">
        <f t="shared" ref="D18:K18" si="8">(D13-C13)/(D8-C8)</f>
        <v>0.41533106099064471</v>
      </c>
      <c r="E18" s="1383">
        <f t="shared" si="8"/>
        <v>0.51030162113285538</v>
      </c>
      <c r="F18" s="1383">
        <f t="shared" si="8"/>
        <v>0.58234334963894707</v>
      </c>
      <c r="G18" s="1382">
        <f t="shared" si="8"/>
        <v>0.67630518884856217</v>
      </c>
      <c r="H18" s="1382">
        <f t="shared" si="8"/>
        <v>0.44619309522231793</v>
      </c>
      <c r="I18" s="1382">
        <f t="shared" si="8"/>
        <v>0.46251374129717843</v>
      </c>
      <c r="J18" s="1382">
        <f t="shared" si="8"/>
        <v>0.68506640166230015</v>
      </c>
      <c r="K18" s="1397">
        <f t="shared" si="8"/>
        <v>0.52275752153424015</v>
      </c>
      <c r="L18" s="1385">
        <v>0.65</v>
      </c>
      <c r="M18" s="1385">
        <v>0.65</v>
      </c>
      <c r="N18" s="1385">
        <v>0.65</v>
      </c>
      <c r="O18" s="1385">
        <v>0.65</v>
      </c>
      <c r="P18" s="1385">
        <v>0.65</v>
      </c>
      <c r="Q18" s="1385">
        <v>0.65</v>
      </c>
      <c r="R18" s="1385">
        <v>0.65</v>
      </c>
      <c r="S18" s="1385">
        <v>0.65</v>
      </c>
      <c r="T18" s="1385">
        <v>0.65</v>
      </c>
      <c r="U18" s="1385">
        <v>0.65</v>
      </c>
      <c r="V18" s="1385">
        <v>0.65</v>
      </c>
      <c r="Y18" s="1354" t="s">
        <v>102</v>
      </c>
      <c r="AA18" s="1388" t="s">
        <v>103</v>
      </c>
    </row>
    <row r="19" spans="1:28" ht="14.45">
      <c r="A19" s="1381" t="s">
        <v>104</v>
      </c>
      <c r="C19" s="1383"/>
      <c r="D19" s="1383">
        <f>+'Historical Financials'!BI55</f>
        <v>0.40717753754111435</v>
      </c>
      <c r="E19" s="1383">
        <f>+'Historical Financials'!BJ55</f>
        <v>0.50747709967444388</v>
      </c>
      <c r="F19" s="1383">
        <f>+'Historical Financials'!BK55</f>
        <v>0.65080049690651331</v>
      </c>
      <c r="G19" s="1382">
        <f>+'Historical Financials'!BL55</f>
        <v>0.55022789120906668</v>
      </c>
      <c r="H19" s="1382">
        <f>+'Historical Financials'!BM55</f>
        <v>0.54843620075989441</v>
      </c>
      <c r="I19" s="1382">
        <f>+'Historical Financials'!BN55</f>
        <v>0.38351640596561781</v>
      </c>
      <c r="J19" s="1382">
        <f>+'Historical Financials'!BO55</f>
        <v>0.74404237830967546</v>
      </c>
      <c r="K19" s="1374"/>
      <c r="L19" s="1385"/>
      <c r="M19" s="1385"/>
      <c r="N19" s="1385"/>
      <c r="O19" s="1385"/>
      <c r="P19" s="1385"/>
      <c r="Q19" s="1385"/>
      <c r="R19" s="1385"/>
      <c r="S19" s="1385"/>
      <c r="T19" s="1385"/>
      <c r="U19" s="1385"/>
      <c r="V19" s="1385"/>
      <c r="Y19" s="1354" t="s">
        <v>105</v>
      </c>
      <c r="AA19" s="1388" t="s">
        <v>103</v>
      </c>
    </row>
    <row r="20" spans="1:28" ht="14.45">
      <c r="A20" s="1381"/>
      <c r="C20" s="1382"/>
      <c r="D20" s="1383"/>
      <c r="E20" s="1383"/>
      <c r="F20" s="1383"/>
      <c r="G20" s="1389"/>
      <c r="H20" s="1389"/>
      <c r="I20" s="1389"/>
      <c r="J20" s="1389"/>
      <c r="K20" s="1391"/>
      <c r="L20" s="1389"/>
      <c r="M20" s="1389"/>
      <c r="N20" s="1389"/>
      <c r="O20" s="1389"/>
      <c r="P20" s="1389"/>
      <c r="Q20" s="1389"/>
      <c r="R20" s="1389"/>
      <c r="S20" s="1389"/>
      <c r="T20" s="1389"/>
      <c r="U20" s="1389"/>
      <c r="V20" s="1389"/>
    </row>
    <row r="21" spans="1:28" ht="17.100000000000001" hidden="1" outlineLevel="1">
      <c r="A21" s="1399" t="s">
        <v>106</v>
      </c>
      <c r="C21" s="1400"/>
      <c r="D21" s="1401"/>
      <c r="E21" s="1401"/>
      <c r="F21" s="1401"/>
      <c r="G21" s="1402"/>
      <c r="H21" s="1402"/>
      <c r="I21" s="1402"/>
      <c r="J21" s="1402"/>
      <c r="K21" s="1403"/>
      <c r="L21" s="1402"/>
      <c r="M21" s="1402"/>
      <c r="N21" s="1402"/>
      <c r="O21" s="1402"/>
      <c r="P21" s="1402"/>
      <c r="Q21" s="1402"/>
      <c r="R21" s="1402"/>
      <c r="S21" s="1402"/>
      <c r="T21" s="1402"/>
      <c r="U21" s="1402"/>
      <c r="V21" s="1402"/>
      <c r="X21" s="1399"/>
      <c r="Z21" s="1364" t="s">
        <v>107</v>
      </c>
      <c r="AA21" s="1365"/>
      <c r="AB21" s="1363"/>
    </row>
    <row r="22" spans="1:28" s="1363" customFormat="1" ht="17.100000000000001" hidden="1" outlineLevel="1">
      <c r="A22" s="1381" t="s">
        <v>108</v>
      </c>
      <c r="C22" s="1382"/>
      <c r="D22" s="1383">
        <f t="shared" ref="D22:I22" si="9">+D14</f>
        <v>0.19525416794517736</v>
      </c>
      <c r="E22" s="1383">
        <f t="shared" si="9"/>
        <v>0.22536938787152727</v>
      </c>
      <c r="F22" s="1383">
        <f t="shared" si="9"/>
        <v>0.23278009264647692</v>
      </c>
      <c r="G22" s="1382">
        <f t="shared" si="9"/>
        <v>0.3201910912215109</v>
      </c>
      <c r="H22" s="1382">
        <f t="shared" si="9"/>
        <v>0.19261685451112753</v>
      </c>
      <c r="I22" s="1382">
        <f t="shared" si="9"/>
        <v>7.5686890613194446E-2</v>
      </c>
      <c r="J22" s="1389"/>
      <c r="K22" s="1391"/>
      <c r="L22" s="1389"/>
      <c r="M22" s="1389"/>
      <c r="N22" s="1389"/>
      <c r="O22" s="1389"/>
      <c r="P22" s="1389"/>
      <c r="Q22" s="1389"/>
      <c r="R22" s="1389"/>
      <c r="S22" s="1389"/>
      <c r="T22" s="1389"/>
      <c r="U22" s="1389"/>
      <c r="V22" s="1389"/>
      <c r="X22" s="1381"/>
      <c r="Z22" s="1366" t="s">
        <v>109</v>
      </c>
      <c r="AA22" s="1366" t="s">
        <v>88</v>
      </c>
    </row>
    <row r="23" spans="1:28" s="1363" customFormat="1" ht="14.45" hidden="1" outlineLevel="1">
      <c r="A23" s="1381" t="s">
        <v>110</v>
      </c>
      <c r="C23" s="1382"/>
      <c r="D23" s="1395">
        <f>+D22</f>
        <v>0.19525416794517736</v>
      </c>
      <c r="E23" s="1395">
        <f>+E22</f>
        <v>0.22536938787152727</v>
      </c>
      <c r="F23" s="1395">
        <f>+F22</f>
        <v>0.23278009264647692</v>
      </c>
      <c r="G23" s="1396">
        <f>+'Historical Financials'!BL59</f>
        <v>0.26542721728129309</v>
      </c>
      <c r="H23" s="1396">
        <f>+'Historical Financials'!BM59</f>
        <v>0.23513022821554716</v>
      </c>
      <c r="I23" s="1396">
        <f>+'Historical Financials'!BN59</f>
        <v>3.1422154974339353E-2</v>
      </c>
      <c r="J23" s="1389"/>
      <c r="K23" s="1391"/>
      <c r="L23" s="1389"/>
      <c r="M23" s="1389"/>
      <c r="N23" s="1389"/>
      <c r="O23" s="1389"/>
      <c r="P23" s="1389"/>
      <c r="Q23" s="1389"/>
      <c r="R23" s="1389"/>
      <c r="S23" s="1389"/>
      <c r="T23" s="1389"/>
      <c r="U23" s="1389"/>
      <c r="V23" s="1389"/>
      <c r="X23" s="1381"/>
      <c r="Y23" s="1404" t="s">
        <v>111</v>
      </c>
    </row>
    <row r="24" spans="1:28" s="1363" customFormat="1" ht="14.45" hidden="1" outlineLevel="1">
      <c r="A24" s="1381"/>
      <c r="C24" s="1382"/>
      <c r="D24" s="1395"/>
      <c r="E24" s="1395"/>
      <c r="F24" s="1395"/>
      <c r="G24" s="1396"/>
      <c r="H24" s="1396"/>
      <c r="I24" s="1396"/>
      <c r="J24" s="1389"/>
      <c r="K24" s="1391"/>
      <c r="L24" s="1389"/>
      <c r="M24" s="1389"/>
      <c r="N24" s="1389"/>
      <c r="O24" s="1389"/>
      <c r="P24" s="1389"/>
      <c r="Q24" s="1389"/>
      <c r="R24" s="1389"/>
      <c r="S24" s="1389"/>
      <c r="T24" s="1389"/>
      <c r="U24" s="1389"/>
      <c r="V24" s="1389"/>
      <c r="X24" s="1381"/>
      <c r="Y24" s="1354" t="s">
        <v>86</v>
      </c>
      <c r="Z24" s="1405">
        <f>+H8</f>
        <v>198270</v>
      </c>
      <c r="AA24" s="1406">
        <f>+Z24*(1+AA25)</f>
        <v>218097.00000000003</v>
      </c>
    </row>
    <row r="25" spans="1:28" s="1363" customFormat="1" ht="14.45" hidden="1" outlineLevel="1">
      <c r="A25" s="1381" t="s">
        <v>112</v>
      </c>
      <c r="C25" s="1382"/>
      <c r="D25" s="1395">
        <f>+'Historical Financials'!BI62</f>
        <v>0.17249565306331185</v>
      </c>
      <c r="E25" s="1395">
        <f>+'Historical Financials'!BJ62</f>
        <v>0.24103656797307321</v>
      </c>
      <c r="F25" s="1395">
        <f>+'Historical Financials'!BK62</f>
        <v>0.29050722782187671</v>
      </c>
      <c r="G25" s="1396">
        <f>+'Historical Financials'!BL62</f>
        <v>0.28283879982628074</v>
      </c>
      <c r="H25" s="1396">
        <f>+'Historical Financials'!BM62</f>
        <v>0.21025030036043252</v>
      </c>
      <c r="I25" s="1396">
        <f>+'Historical Financials'!BN62</f>
        <v>0.14076322511782977</v>
      </c>
      <c r="J25" s="1389"/>
      <c r="K25" s="1391"/>
      <c r="L25" s="1389"/>
      <c r="M25" s="1389"/>
      <c r="N25" s="1389"/>
      <c r="O25" s="1389"/>
      <c r="P25" s="1389"/>
      <c r="Q25" s="1389"/>
      <c r="R25" s="1389"/>
      <c r="S25" s="1389"/>
      <c r="T25" s="1389"/>
      <c r="U25" s="1389"/>
      <c r="V25" s="1389"/>
      <c r="X25" s="1381"/>
      <c r="Y25" s="1381" t="s">
        <v>113</v>
      </c>
      <c r="AA25" s="1407">
        <v>0.1</v>
      </c>
    </row>
    <row r="26" spans="1:28" ht="14.45" hidden="1" outlineLevel="1">
      <c r="A26" s="1381"/>
      <c r="C26" s="1382"/>
      <c r="D26" s="1383"/>
      <c r="E26" s="1383"/>
      <c r="F26" s="1383"/>
      <c r="G26" s="1389"/>
      <c r="H26" s="1389"/>
      <c r="I26" s="1389"/>
      <c r="J26" s="1389"/>
      <c r="K26" s="1391"/>
      <c r="L26" s="1389"/>
      <c r="M26" s="1389"/>
      <c r="N26" s="1389"/>
      <c r="O26" s="1389"/>
      <c r="P26" s="1389"/>
      <c r="Q26" s="1389"/>
      <c r="R26" s="1389"/>
      <c r="S26" s="1389"/>
      <c r="T26" s="1389"/>
      <c r="U26" s="1389"/>
      <c r="V26" s="1389"/>
      <c r="Y26" s="1354" t="s">
        <v>95</v>
      </c>
      <c r="Z26" s="1405">
        <f>+H13</f>
        <v>83383</v>
      </c>
      <c r="AA26" s="1406">
        <f>+AA24*AA28</f>
        <v>91721.300000000017</v>
      </c>
    </row>
    <row r="27" spans="1:28" ht="14.45" hidden="1" outlineLevel="1">
      <c r="A27" s="1381" t="s">
        <v>114</v>
      </c>
      <c r="C27" s="1382"/>
      <c r="D27" s="1409">
        <f t="shared" ref="D27:I27" si="10">+D16*C13</f>
        <v>5059.47</v>
      </c>
      <c r="E27" s="1409">
        <f t="shared" si="10"/>
        <v>8450.26</v>
      </c>
      <c r="F27" s="1410">
        <f t="shared" si="10"/>
        <v>12479.900000000001</v>
      </c>
      <c r="G27" s="1410">
        <f t="shared" si="10"/>
        <v>12078.620000000006</v>
      </c>
      <c r="H27" s="1410">
        <f t="shared" si="10"/>
        <v>17672.225035918189</v>
      </c>
      <c r="I27" s="1410">
        <f t="shared" si="10"/>
        <v>8046.3335482253406</v>
      </c>
      <c r="J27" s="1389"/>
      <c r="K27" s="1391"/>
      <c r="L27" s="1389"/>
      <c r="M27" s="1389"/>
      <c r="N27" s="1389"/>
      <c r="O27" s="1389"/>
      <c r="P27" s="1389"/>
      <c r="Q27" s="1389"/>
      <c r="R27" s="1389"/>
      <c r="S27" s="1389"/>
      <c r="T27" s="1389"/>
      <c r="U27" s="1389"/>
      <c r="V27" s="1389"/>
      <c r="Y27" s="1381" t="s">
        <v>113</v>
      </c>
      <c r="AA27" s="1505">
        <f>+AA26/Z26-1</f>
        <v>0.10000000000000031</v>
      </c>
    </row>
    <row r="28" spans="1:28" ht="14.45" hidden="1" outlineLevel="1">
      <c r="A28" s="1381"/>
      <c r="C28" s="1382"/>
      <c r="D28" s="1383"/>
      <c r="E28" s="1383"/>
      <c r="F28" s="1383"/>
      <c r="G28" s="1389"/>
      <c r="H28" s="1389"/>
      <c r="I28" s="1389"/>
      <c r="J28" s="1389"/>
      <c r="K28" s="1391"/>
      <c r="L28" s="1389"/>
      <c r="M28" s="1389"/>
      <c r="N28" s="1389"/>
      <c r="O28" s="1389"/>
      <c r="P28" s="1389"/>
      <c r="Q28" s="1389"/>
      <c r="R28" s="1389"/>
      <c r="S28" s="1389"/>
      <c r="T28" s="1389"/>
      <c r="U28" s="1389"/>
      <c r="V28" s="1389"/>
      <c r="Y28" s="1381" t="s">
        <v>123</v>
      </c>
      <c r="Z28" s="1505">
        <f>+Z26/Z24</f>
        <v>0.4205527815604983</v>
      </c>
      <c r="AA28" s="1506">
        <f>+Z28</f>
        <v>0.4205527815604983</v>
      </c>
    </row>
    <row r="29" spans="1:28" s="1387" customFormat="1" ht="17.100000000000001" collapsed="1">
      <c r="A29" s="1412" t="s">
        <v>115</v>
      </c>
      <c r="B29" s="1507"/>
      <c r="C29" s="1508">
        <f>+'Historical Financials'!BH88</f>
        <v>8778</v>
      </c>
      <c r="D29" s="1508">
        <f>+'Historical Financials'!BI88</f>
        <v>10261</v>
      </c>
      <c r="E29" s="1509">
        <f>+'Historical Financials'!BJ88</f>
        <v>11682</v>
      </c>
      <c r="F29" s="1509">
        <f>+'Historical Financials'!BK88</f>
        <v>12796</v>
      </c>
      <c r="G29" s="1509">
        <f>+'Historical Financials'!BL88</f>
        <v>11686</v>
      </c>
      <c r="H29" s="1509">
        <f>+'Historical Financials'!BM88</f>
        <v>14460</v>
      </c>
      <c r="I29" s="1509">
        <f>+'Historical Financials'!BN88</f>
        <v>13861</v>
      </c>
      <c r="J29" s="1509">
        <f>+'Historical Financials'!BO88</f>
        <v>20427</v>
      </c>
      <c r="K29" s="1416">
        <f>+'D&amp;A forecast - Case 2'!V52</f>
        <v>29970.842105263157</v>
      </c>
      <c r="L29" s="1414">
        <f>+'D&amp;A forecast - Case 2'!W52</f>
        <v>34192.307206331592</v>
      </c>
      <c r="M29" s="1414">
        <f>+'D&amp;A forecast - Case 2'!X52</f>
        <v>39450.164287926877</v>
      </c>
      <c r="N29" s="1414">
        <f>+'D&amp;A forecast - Case 2'!Y52</f>
        <v>44515.493817195886</v>
      </c>
      <c r="O29" s="1414">
        <f>+'D&amp;A forecast - Case 2'!Z52</f>
        <v>51839.023184768419</v>
      </c>
      <c r="P29" s="1414">
        <f>+'D&amp;A forecast - Case 2'!AA52</f>
        <v>57038.89201557012</v>
      </c>
      <c r="Q29" s="1414">
        <f>+'D&amp;A forecast - Case 2'!AB52</f>
        <v>63373.016709753821</v>
      </c>
      <c r="R29" s="1414">
        <f>+'D&amp;A forecast - Case 2'!AC52</f>
        <v>69988.150745561768</v>
      </c>
      <c r="S29" s="1414">
        <f>+'D&amp;A forecast - Case 2'!AD52</f>
        <v>76021.940329051184</v>
      </c>
      <c r="T29" s="1414">
        <f>+'D&amp;A forecast - Case 2'!AE52</f>
        <v>81252.665722328806</v>
      </c>
      <c r="U29" s="1414">
        <f>+'D&amp;A forecast - Case 2'!AF52</f>
        <v>87456.504319270171</v>
      </c>
      <c r="V29" s="1414">
        <f>+'D&amp;A forecast - Case 2'!AG52</f>
        <v>96161.451570911595</v>
      </c>
      <c r="Y29" s="1404" t="s">
        <v>116</v>
      </c>
    </row>
    <row r="30" spans="1:28" s="1363" customFormat="1" ht="14.45" hidden="1" outlineLevel="1">
      <c r="A30" s="1419" t="s">
        <v>118</v>
      </c>
      <c r="C30" s="1382">
        <f t="shared" ref="C30:V30" si="11">+C29/C8</f>
        <v>9.0896853092543306E-2</v>
      </c>
      <c r="D30" s="1382">
        <f t="shared" si="11"/>
        <v>9.2977528089887643E-2</v>
      </c>
      <c r="E30" s="1382">
        <f t="shared" si="11"/>
        <v>9.2829954784930432E-2</v>
      </c>
      <c r="F30" s="1382">
        <f t="shared" si="11"/>
        <v>8.9473132188931229E-2</v>
      </c>
      <c r="G30" s="1382">
        <f t="shared" si="11"/>
        <v>6.9523106943981727E-2</v>
      </c>
      <c r="H30" s="1382">
        <f t="shared" si="11"/>
        <v>7.2930851868663937E-2</v>
      </c>
      <c r="I30" s="1382">
        <f t="shared" si="11"/>
        <v>6.5408300497841118E-2</v>
      </c>
      <c r="J30" s="1382">
        <f t="shared" si="11"/>
        <v>8.333401326686303E-2</v>
      </c>
      <c r="K30" s="1397">
        <f t="shared" si="11"/>
        <v>0.10783044735954564</v>
      </c>
      <c r="L30" s="1382">
        <f t="shared" si="11"/>
        <v>0.10697271728778847</v>
      </c>
      <c r="M30" s="1382">
        <f t="shared" si="11"/>
        <v>0.10732369013943001</v>
      </c>
      <c r="N30" s="1382">
        <f t="shared" si="11"/>
        <v>0.10530770196591829</v>
      </c>
      <c r="O30" s="1382">
        <f t="shared" si="11"/>
        <v>0.10663699770346606</v>
      </c>
      <c r="P30" s="1382">
        <f t="shared" si="11"/>
        <v>0.10202916683547142</v>
      </c>
      <c r="Q30" s="1382">
        <f t="shared" si="11"/>
        <v>9.8573414464697265E-2</v>
      </c>
      <c r="R30" s="1382">
        <f t="shared" si="11"/>
        <v>9.4663399678337187E-2</v>
      </c>
      <c r="S30" s="1382">
        <f t="shared" si="11"/>
        <v>8.9412592734623139E-2</v>
      </c>
      <c r="T30" s="1382">
        <f t="shared" si="11"/>
        <v>8.3099711539651427E-2</v>
      </c>
      <c r="U30" s="1382">
        <f t="shared" si="11"/>
        <v>7.7777892674704086E-2</v>
      </c>
      <c r="V30" s="1382">
        <f t="shared" si="11"/>
        <v>7.436476807818608E-2</v>
      </c>
      <c r="Y30" s="1354" t="s">
        <v>119</v>
      </c>
      <c r="Z30" s="1405">
        <f>+Z24</f>
        <v>198270</v>
      </c>
      <c r="AA30" s="1406">
        <f>+Z30*(1+AA31)</f>
        <v>226027.80000000002</v>
      </c>
    </row>
    <row r="31" spans="1:28" s="1363" customFormat="1" ht="14.45" hidden="1" outlineLevel="1">
      <c r="A31" s="1420"/>
      <c r="C31" s="1361"/>
      <c r="D31" s="1361"/>
      <c r="E31" s="1361"/>
      <c r="F31" s="1361"/>
      <c r="G31" s="1361"/>
      <c r="H31" s="1361"/>
      <c r="I31" s="1361"/>
      <c r="J31" s="1361"/>
      <c r="K31" s="1421"/>
      <c r="L31" s="1361"/>
      <c r="M31" s="1361"/>
      <c r="N31" s="1361"/>
      <c r="O31" s="1361"/>
      <c r="P31" s="1361"/>
      <c r="Q31" s="1361"/>
      <c r="R31" s="1361"/>
      <c r="S31" s="1361"/>
      <c r="T31" s="1361"/>
      <c r="U31" s="1361"/>
      <c r="V31" s="1361"/>
      <c r="Y31" s="1381" t="s">
        <v>120</v>
      </c>
      <c r="AA31" s="1407">
        <f>+AA25+4%</f>
        <v>0.14000000000000001</v>
      </c>
    </row>
    <row r="32" spans="1:28" s="1363" customFormat="1" ht="14.45" hidden="1" outlineLevel="1">
      <c r="A32" s="1422"/>
      <c r="C32" s="1396"/>
      <c r="D32" s="1395"/>
      <c r="E32" s="1395"/>
      <c r="F32" s="1373"/>
      <c r="G32" s="1373"/>
      <c r="H32" s="1373"/>
      <c r="I32" s="1373"/>
      <c r="J32" s="1371"/>
      <c r="K32" s="1391"/>
      <c r="L32" s="1389"/>
      <c r="M32" s="1389"/>
      <c r="N32" s="1389"/>
      <c r="O32" s="1389"/>
      <c r="P32" s="1389"/>
      <c r="Q32" s="1389"/>
      <c r="R32" s="1389"/>
      <c r="S32" s="1389"/>
      <c r="T32" s="1389"/>
      <c r="U32" s="1389"/>
      <c r="V32" s="1389"/>
      <c r="Y32" s="1381"/>
      <c r="AA32" s="1411"/>
    </row>
    <row r="33" spans="1:27" collapsed="1">
      <c r="A33" s="1423" t="s">
        <v>121</v>
      </c>
      <c r="B33" s="1376"/>
      <c r="C33" s="1377">
        <f>+'Historical Financials'!BH89</f>
        <v>38109</v>
      </c>
      <c r="D33" s="1377">
        <f>+'Historical Financials'!BI89</f>
        <v>45319</v>
      </c>
      <c r="E33" s="1378">
        <f>+'Historical Financials'!BJ89</f>
        <v>54641</v>
      </c>
      <c r="F33" s="1378">
        <f>+'Historical Financials'!BK89</f>
        <v>65755</v>
      </c>
      <c r="G33" s="1378">
        <f>+'Historical Financials'!BL89</f>
        <v>81602</v>
      </c>
      <c r="H33" s="1378">
        <f>+'Historical Financials'!BM89</f>
        <v>97843</v>
      </c>
      <c r="I33" s="1378">
        <f>+'Historical Financials'!BN89</f>
        <v>103555</v>
      </c>
      <c r="J33" s="1378">
        <f>+'Historical Financials'!BO89</f>
        <v>132870</v>
      </c>
      <c r="K33" s="1425">
        <f>+'Historical Financials'!BP89</f>
        <v>159571.86822904905</v>
      </c>
      <c r="L33" s="1380">
        <f t="shared" ref="L33:V33" si="12">+L13+L29</f>
        <v>190892.88801822549</v>
      </c>
      <c r="M33" s="1380">
        <f t="shared" si="12"/>
        <v>227315.23299114493</v>
      </c>
      <c r="N33" s="1380">
        <f t="shared" si="12"/>
        <v>268219.72359543672</v>
      </c>
      <c r="O33" s="1380">
        <f t="shared" si="12"/>
        <v>316758.28819928551</v>
      </c>
      <c r="P33" s="1380">
        <f t="shared" si="12"/>
        <v>369355.44755180489</v>
      </c>
      <c r="Q33" s="1380">
        <f t="shared" si="12"/>
        <v>430196.45634596387</v>
      </c>
      <c r="R33" s="1380">
        <f t="shared" si="12"/>
        <v>499494.50709674333</v>
      </c>
      <c r="S33" s="1380">
        <f t="shared" si="12"/>
        <v>577613.65090245008</v>
      </c>
      <c r="T33" s="1380">
        <f t="shared" si="12"/>
        <v>665742.53365127754</v>
      </c>
      <c r="U33" s="1380">
        <f t="shared" si="12"/>
        <v>767279.25320710125</v>
      </c>
      <c r="V33" s="1380">
        <f t="shared" si="12"/>
        <v>885617.0135614574</v>
      </c>
      <c r="Y33" s="1354" t="s">
        <v>122</v>
      </c>
      <c r="Z33" s="1405">
        <f>+Z26</f>
        <v>83383</v>
      </c>
      <c r="AA33" s="1406">
        <f>+AA30*AA35</f>
        <v>95056.62000000001</v>
      </c>
    </row>
    <row r="34" spans="1:27" s="1363" customFormat="1" ht="14.45">
      <c r="A34" s="1419" t="s">
        <v>87</v>
      </c>
      <c r="C34" s="1382"/>
      <c r="D34" s="1382">
        <f t="shared" ref="D34:V34" si="13">+D33/C33-1</f>
        <v>0.18919415361200764</v>
      </c>
      <c r="E34" s="1382">
        <f t="shared" si="13"/>
        <v>0.2056973896158345</v>
      </c>
      <c r="F34" s="1382">
        <f t="shared" si="13"/>
        <v>0.20340037700627733</v>
      </c>
      <c r="G34" s="1382">
        <f t="shared" si="13"/>
        <v>0.24100068435860389</v>
      </c>
      <c r="H34" s="1382">
        <f t="shared" si="13"/>
        <v>0.1990269846327295</v>
      </c>
      <c r="I34" s="1382">
        <f t="shared" si="13"/>
        <v>5.8379240211358985E-2</v>
      </c>
      <c r="J34" s="1382">
        <f t="shared" si="13"/>
        <v>0.28308628265173086</v>
      </c>
      <c r="K34" s="1397">
        <f t="shared" si="13"/>
        <v>0.20096235590463651</v>
      </c>
      <c r="L34" s="1382">
        <f t="shared" si="13"/>
        <v>0.19628158858313505</v>
      </c>
      <c r="M34" s="1382">
        <f t="shared" si="13"/>
        <v>0.19079990538695202</v>
      </c>
      <c r="N34" s="1382">
        <f t="shared" si="13"/>
        <v>0.17994610420976587</v>
      </c>
      <c r="O34" s="1382">
        <f t="shared" si="13"/>
        <v>0.18096567975389033</v>
      </c>
      <c r="P34" s="1382">
        <f t="shared" si="13"/>
        <v>0.16604824976017163</v>
      </c>
      <c r="Q34" s="1382">
        <f t="shared" si="13"/>
        <v>0.16472211036125461</v>
      </c>
      <c r="R34" s="1382">
        <f t="shared" si="13"/>
        <v>0.16108466196906557</v>
      </c>
      <c r="S34" s="1382">
        <f t="shared" si="13"/>
        <v>0.15639640215418105</v>
      </c>
      <c r="T34" s="1382">
        <f t="shared" si="13"/>
        <v>0.1525740996791487</v>
      </c>
      <c r="U34" s="1382">
        <f t="shared" si="13"/>
        <v>0.15251649763001263</v>
      </c>
      <c r="V34" s="1382">
        <f t="shared" si="13"/>
        <v>0.15423036640144216</v>
      </c>
      <c r="Y34" s="1381" t="s">
        <v>113</v>
      </c>
      <c r="Z34" s="1400"/>
      <c r="AA34" s="1505">
        <f>+AA33/Z33-1</f>
        <v>0.14000000000000012</v>
      </c>
    </row>
    <row r="35" spans="1:27" s="1363" customFormat="1" ht="14.45">
      <c r="A35" s="1419" t="s">
        <v>99</v>
      </c>
      <c r="C35" s="1382">
        <f t="shared" ref="C35:V35" si="14">+C33/C8</f>
        <v>0.39462157376438062</v>
      </c>
      <c r="D35" s="1383">
        <f t="shared" si="14"/>
        <v>0.41064697354113811</v>
      </c>
      <c r="E35" s="1383">
        <f t="shared" si="14"/>
        <v>0.43419975683987189</v>
      </c>
      <c r="F35" s="1383">
        <f t="shared" si="14"/>
        <v>0.45977694647414608</v>
      </c>
      <c r="G35" s="1382">
        <f t="shared" si="14"/>
        <v>0.48547189567369475</v>
      </c>
      <c r="H35" s="1382">
        <f t="shared" si="14"/>
        <v>0.49348363342916224</v>
      </c>
      <c r="I35" s="1382">
        <f t="shared" si="14"/>
        <v>0.48866290729773731</v>
      </c>
      <c r="J35" s="1382">
        <f t="shared" si="14"/>
        <v>0.5420566085459485</v>
      </c>
      <c r="K35" s="1397">
        <f t="shared" si="14"/>
        <v>0.57411486393020539</v>
      </c>
      <c r="L35" s="1382">
        <f t="shared" si="14"/>
        <v>0.59722003604488394</v>
      </c>
      <c r="M35" s="1382">
        <f t="shared" si="14"/>
        <v>0.61840831514559991</v>
      </c>
      <c r="N35" s="1382">
        <f t="shared" si="14"/>
        <v>0.63451172371041387</v>
      </c>
      <c r="O35" s="1382">
        <f t="shared" si="14"/>
        <v>0.65159701661172309</v>
      </c>
      <c r="P35" s="1382">
        <f t="shared" si="14"/>
        <v>0.66069005284265148</v>
      </c>
      <c r="Q35" s="1382">
        <f t="shared" si="14"/>
        <v>0.6691480979492016</v>
      </c>
      <c r="R35" s="1382">
        <f t="shared" si="14"/>
        <v>0.67559790705616696</v>
      </c>
      <c r="S35" s="1382">
        <f t="shared" si="14"/>
        <v>0.67935564262838832</v>
      </c>
      <c r="T35" s="1382">
        <f t="shared" si="14"/>
        <v>0.68087627666466455</v>
      </c>
      <c r="U35" s="1382">
        <f t="shared" si="14"/>
        <v>0.68236621017471544</v>
      </c>
      <c r="V35" s="1382">
        <f t="shared" si="14"/>
        <v>0.68487634851297852</v>
      </c>
      <c r="Y35" s="1381" t="s">
        <v>123</v>
      </c>
      <c r="Z35" s="1505">
        <f>+Z33/Z30</f>
        <v>0.4205527815604983</v>
      </c>
      <c r="AA35" s="1506">
        <f>+Z35</f>
        <v>0.4205527815604983</v>
      </c>
    </row>
    <row r="36" spans="1:27" s="1363" customFormat="1" ht="14.45">
      <c r="A36" s="1419" t="s">
        <v>101</v>
      </c>
      <c r="C36" s="1383"/>
      <c r="D36" s="1383">
        <f t="shared" ref="D36:V36" si="15">(D33-C33)/(D8-C8)</f>
        <v>0.52288055696569724</v>
      </c>
      <c r="E36" s="1383">
        <f t="shared" si="15"/>
        <v>0.60207970031647617</v>
      </c>
      <c r="F36" s="1383">
        <f t="shared" si="15"/>
        <v>0.64721639878872583</v>
      </c>
      <c r="G36" s="1383">
        <f t="shared" si="15"/>
        <v>0.63203445937861447</v>
      </c>
      <c r="H36" s="1383">
        <f t="shared" si="15"/>
        <v>0.53810218010734878</v>
      </c>
      <c r="I36" s="1383">
        <f t="shared" si="15"/>
        <v>0.41861487724441188</v>
      </c>
      <c r="J36" s="1383">
        <f t="shared" si="15"/>
        <v>0.88279579606709424</v>
      </c>
      <c r="K36" s="1384">
        <f t="shared" si="15"/>
        <v>0.81353195029823211</v>
      </c>
      <c r="L36" s="1383">
        <f t="shared" si="15"/>
        <v>0.75125451680940769</v>
      </c>
      <c r="M36" s="1383">
        <f t="shared" si="15"/>
        <v>0.75966350915037351</v>
      </c>
      <c r="N36" s="1383">
        <f t="shared" si="15"/>
        <v>0.74186778080917337</v>
      </c>
      <c r="O36" s="1383">
        <f t="shared" si="15"/>
        <v>0.76549896928711825</v>
      </c>
      <c r="P36" s="1383">
        <f t="shared" si="15"/>
        <v>0.72131029438217376</v>
      </c>
      <c r="Q36" s="1383">
        <f t="shared" si="15"/>
        <v>0.72553506532620282</v>
      </c>
      <c r="R36" s="1383">
        <f t="shared" si="15"/>
        <v>0.71859663443593624</v>
      </c>
      <c r="S36" s="1383">
        <f t="shared" si="15"/>
        <v>0.70440721310986343</v>
      </c>
      <c r="T36" s="1383">
        <f t="shared" si="15"/>
        <v>0.69101383690650608</v>
      </c>
      <c r="U36" s="1383">
        <f t="shared" si="15"/>
        <v>0.69229910024172159</v>
      </c>
      <c r="V36" s="1383">
        <f t="shared" si="15"/>
        <v>0.70161060410139908</v>
      </c>
    </row>
    <row r="37" spans="1:27" hidden="1" outlineLevel="1">
      <c r="C37" s="1353"/>
      <c r="D37" s="1353"/>
      <c r="E37" s="1353"/>
      <c r="F37" s="1353"/>
      <c r="G37" s="1353"/>
      <c r="H37" s="1353"/>
      <c r="I37" s="1353"/>
      <c r="J37" s="1353"/>
      <c r="K37" s="1427"/>
      <c r="L37" s="1353"/>
      <c r="M37" s="1353"/>
      <c r="N37" s="1353"/>
      <c r="O37" s="1353"/>
      <c r="P37" s="1353"/>
      <c r="Q37" s="1353"/>
      <c r="R37" s="1353"/>
      <c r="S37" s="1353"/>
      <c r="T37" s="1353"/>
      <c r="U37" s="1353"/>
      <c r="V37" s="1353"/>
    </row>
    <row r="38" spans="1:27" hidden="1" outlineLevel="1">
      <c r="A38" s="1399" t="s">
        <v>124</v>
      </c>
      <c r="C38" s="1353"/>
      <c r="D38" s="1353"/>
      <c r="E38" s="1353"/>
      <c r="F38" s="1353"/>
      <c r="G38" s="1353"/>
      <c r="H38" s="1353"/>
      <c r="I38" s="1353"/>
      <c r="J38" s="1353"/>
      <c r="K38" s="1427"/>
      <c r="L38" s="1353"/>
      <c r="M38" s="1353"/>
      <c r="N38" s="1353"/>
      <c r="O38" s="1353"/>
      <c r="P38" s="1353"/>
      <c r="Q38" s="1353"/>
      <c r="R38" s="1353"/>
      <c r="S38" s="1353"/>
      <c r="T38" s="1353"/>
      <c r="U38" s="1353"/>
      <c r="V38" s="1353"/>
    </row>
    <row r="39" spans="1:27" hidden="1" outlineLevel="1">
      <c r="A39" s="1428" t="s">
        <v>125</v>
      </c>
      <c r="C39" s="1353"/>
      <c r="D39" s="1353"/>
      <c r="E39" s="1353"/>
      <c r="F39" s="1353"/>
      <c r="G39" s="1353"/>
      <c r="H39" s="1353"/>
      <c r="I39" s="1353"/>
      <c r="J39" s="1429">
        <f>+'D&amp;A forecast - Case 2'!U51</f>
        <v>4800</v>
      </c>
      <c r="K39" s="1430">
        <f>+'D&amp;A forecast - Case 2'!V51</f>
        <v>5892</v>
      </c>
      <c r="L39" s="1431">
        <f>+'D&amp;A forecast - Case 2'!W51</f>
        <v>4471</v>
      </c>
      <c r="M39" s="1431">
        <f>+'D&amp;A forecast - Case 2'!X51</f>
        <v>2793</v>
      </c>
      <c r="N39" s="1431">
        <f>+'D&amp;A forecast - Case 2'!Y51</f>
        <v>1909</v>
      </c>
      <c r="O39" s="1431">
        <f>+'D&amp;A forecast - Case 2'!Z51</f>
        <v>1728</v>
      </c>
      <c r="P39" s="1431">
        <f>+'D&amp;A forecast - Case 2'!AA51</f>
        <v>1547</v>
      </c>
      <c r="Q39" s="1431">
        <f>+'D&amp;A forecast - Case 2'!AB51</f>
        <v>1366</v>
      </c>
      <c r="R39" s="1431">
        <f>+'D&amp;A forecast - Case 2'!AC51</f>
        <v>1185</v>
      </c>
      <c r="S39" s="1431">
        <f>+'D&amp;A forecast - Case 2'!AD51</f>
        <v>1004</v>
      </c>
      <c r="T39" s="1431">
        <f>+'D&amp;A forecast - Case 2'!AE51</f>
        <v>823</v>
      </c>
      <c r="U39" s="1431">
        <f>+'D&amp;A forecast - Case 2'!AF51</f>
        <v>642</v>
      </c>
      <c r="V39" s="1431">
        <f>+'D&amp;A forecast - Case 2'!AH51</f>
        <v>0</v>
      </c>
    </row>
    <row r="40" spans="1:27" collapsed="1">
      <c r="A40" s="1428"/>
      <c r="C40" s="1353"/>
      <c r="D40" s="1353"/>
      <c r="E40" s="1353"/>
      <c r="F40" s="1353"/>
      <c r="G40" s="1353"/>
      <c r="H40" s="1353"/>
      <c r="I40" s="1353"/>
      <c r="J40" s="1432"/>
      <c r="K40" s="1427"/>
      <c r="L40" s="1353"/>
      <c r="M40" s="1353"/>
      <c r="N40" s="1353"/>
      <c r="O40" s="1353"/>
      <c r="P40" s="1353"/>
      <c r="Q40" s="1353"/>
      <c r="R40" s="1353"/>
      <c r="S40" s="1353"/>
      <c r="T40" s="1353"/>
      <c r="U40" s="1353"/>
      <c r="V40" s="1353"/>
    </row>
    <row r="41" spans="1:27" ht="14.45">
      <c r="A41" s="1422" t="s">
        <v>127</v>
      </c>
      <c r="C41" s="1353"/>
      <c r="D41" s="1353"/>
      <c r="E41" s="1353"/>
      <c r="F41" s="1353"/>
      <c r="G41" s="1353"/>
      <c r="H41" s="1353"/>
      <c r="I41" s="1353"/>
      <c r="J41" s="1432"/>
      <c r="K41" s="1427"/>
      <c r="L41" s="1353"/>
      <c r="M41" s="1353"/>
      <c r="N41" s="1353"/>
      <c r="O41" s="1353"/>
      <c r="P41" s="1353"/>
      <c r="Q41" s="1353"/>
      <c r="R41" s="1353"/>
      <c r="S41" s="1353"/>
      <c r="T41" s="1353"/>
      <c r="U41" s="1353"/>
      <c r="V41" s="1353"/>
    </row>
    <row r="42" spans="1:27" ht="14.45">
      <c r="A42" s="1381" t="s">
        <v>129</v>
      </c>
      <c r="C42" s="1382"/>
      <c r="D42" s="1383">
        <f t="shared" ref="D42:U42" si="16">+D29/C29-1</f>
        <v>0.16894508999772162</v>
      </c>
      <c r="E42" s="1383">
        <f t="shared" si="16"/>
        <v>0.13848552772634237</v>
      </c>
      <c r="F42" s="1383">
        <f t="shared" si="16"/>
        <v>9.5360383495976642E-2</v>
      </c>
      <c r="G42" s="1382">
        <f t="shared" si="16"/>
        <v>-8.6745858080650162E-2</v>
      </c>
      <c r="H42" s="1382">
        <f t="shared" si="16"/>
        <v>0.23737805921615607</v>
      </c>
      <c r="I42" s="1382">
        <f t="shared" si="16"/>
        <v>-4.1424619640387239E-2</v>
      </c>
      <c r="J42" s="1382">
        <f t="shared" si="16"/>
        <v>0.47370319601760325</v>
      </c>
      <c r="K42" s="1384">
        <f t="shared" si="16"/>
        <v>0.4672170218467302</v>
      </c>
      <c r="L42" s="1383">
        <f t="shared" si="16"/>
        <v>0.14085240201933158</v>
      </c>
      <c r="M42" s="1383">
        <f t="shared" si="16"/>
        <v>0.15377310018499291</v>
      </c>
      <c r="N42" s="1383">
        <f t="shared" si="16"/>
        <v>0.12839818593148866</v>
      </c>
      <c r="O42" s="1383">
        <f t="shared" si="16"/>
        <v>0.16451641304141895</v>
      </c>
      <c r="P42" s="1383">
        <f t="shared" si="16"/>
        <v>0.10030800179756372</v>
      </c>
      <c r="Q42" s="1383">
        <f t="shared" si="16"/>
        <v>0.11104922396554717</v>
      </c>
      <c r="R42" s="1383">
        <f t="shared" si="16"/>
        <v>0.10438407983803311</v>
      </c>
      <c r="S42" s="1383">
        <f t="shared" si="16"/>
        <v>8.6211587521792588E-2</v>
      </c>
      <c r="T42" s="1383">
        <f t="shared" si="16"/>
        <v>6.8805470771162947E-2</v>
      </c>
      <c r="U42" s="1383">
        <f t="shared" si="16"/>
        <v>7.6352431539197019E-2</v>
      </c>
      <c r="V42" s="1383">
        <f>+V29/U29-1</f>
        <v>9.9534589444176813E-2</v>
      </c>
      <c r="AA42" s="1388"/>
    </row>
    <row r="43" spans="1:27" ht="14.45">
      <c r="A43" s="1381" t="s">
        <v>130</v>
      </c>
      <c r="C43" s="1382"/>
      <c r="D43" s="1383">
        <f t="shared" ref="D43:V43" si="17">D29/D8</f>
        <v>9.2977528089887643E-2</v>
      </c>
      <c r="E43" s="1383">
        <f t="shared" si="17"/>
        <v>9.2829954784930432E-2</v>
      </c>
      <c r="F43" s="1383">
        <f t="shared" si="17"/>
        <v>8.9473132188931229E-2</v>
      </c>
      <c r="G43" s="1382">
        <f t="shared" si="17"/>
        <v>6.9523106943981727E-2</v>
      </c>
      <c r="H43" s="1382">
        <f t="shared" si="17"/>
        <v>7.2930851868663937E-2</v>
      </c>
      <c r="I43" s="1382">
        <f t="shared" si="17"/>
        <v>6.5408300497841118E-2</v>
      </c>
      <c r="J43" s="1382">
        <f t="shared" si="17"/>
        <v>8.333401326686303E-2</v>
      </c>
      <c r="K43" s="1384">
        <f t="shared" si="17"/>
        <v>0.10783044735954564</v>
      </c>
      <c r="L43" s="1383">
        <f t="shared" si="17"/>
        <v>0.10697271728778847</v>
      </c>
      <c r="M43" s="1383">
        <f t="shared" si="17"/>
        <v>0.10732369013943001</v>
      </c>
      <c r="N43" s="1383">
        <f t="shared" si="17"/>
        <v>0.10530770196591829</v>
      </c>
      <c r="O43" s="1383">
        <f t="shared" si="17"/>
        <v>0.10663699770346606</v>
      </c>
      <c r="P43" s="1383">
        <f t="shared" si="17"/>
        <v>0.10202916683547142</v>
      </c>
      <c r="Q43" s="1383">
        <f t="shared" si="17"/>
        <v>9.8573414464697265E-2</v>
      </c>
      <c r="R43" s="1383">
        <f t="shared" si="17"/>
        <v>9.4663399678337187E-2</v>
      </c>
      <c r="S43" s="1383">
        <f t="shared" si="17"/>
        <v>8.9412592734623139E-2</v>
      </c>
      <c r="T43" s="1383">
        <f t="shared" si="17"/>
        <v>8.3099711539651427E-2</v>
      </c>
      <c r="U43" s="1383">
        <f t="shared" si="17"/>
        <v>7.7777892674704086E-2</v>
      </c>
      <c r="V43" s="1383">
        <f t="shared" si="17"/>
        <v>7.436476807818608E-2</v>
      </c>
      <c r="AA43" s="1388"/>
    </row>
    <row r="44" spans="1:27">
      <c r="A44" s="1428"/>
      <c r="C44" s="1353"/>
      <c r="D44" s="1353"/>
      <c r="E44" s="1353"/>
      <c r="F44" s="1353"/>
      <c r="G44" s="1353"/>
      <c r="H44" s="1353"/>
      <c r="I44" s="1353"/>
      <c r="J44" s="1432"/>
      <c r="K44" s="1427"/>
      <c r="L44" s="1353"/>
      <c r="M44" s="1353"/>
      <c r="N44" s="1353"/>
      <c r="O44" s="1353"/>
      <c r="P44" s="1353"/>
      <c r="Q44" s="1353"/>
      <c r="R44" s="1353"/>
      <c r="S44" s="1353"/>
      <c r="T44" s="1353"/>
      <c r="U44" s="1353"/>
      <c r="V44" s="1353"/>
    </row>
    <row r="45" spans="1:27" ht="14.45">
      <c r="A45" s="1422" t="s">
        <v>127</v>
      </c>
      <c r="C45" s="1353"/>
      <c r="D45" s="1353"/>
      <c r="E45" s="1353"/>
      <c r="F45" s="1353"/>
      <c r="G45" s="1353"/>
      <c r="H45" s="1353"/>
      <c r="I45" s="1353"/>
      <c r="J45" s="1353"/>
      <c r="K45" s="1427"/>
      <c r="L45" s="1353"/>
      <c r="M45" s="1353"/>
      <c r="N45" s="1353"/>
      <c r="O45" s="1353"/>
      <c r="P45" s="1353"/>
      <c r="Q45" s="1353"/>
      <c r="R45" s="1353"/>
      <c r="S45" s="1353"/>
      <c r="T45" s="1353"/>
      <c r="U45" s="1353"/>
      <c r="V45" s="1353"/>
    </row>
    <row r="46" spans="1:27" ht="14.45">
      <c r="A46" s="1381" t="s">
        <v>131</v>
      </c>
      <c r="B46" s="1433"/>
      <c r="C46" s="1433">
        <f t="shared" ref="C46:V46" si="18">+C8-C33</f>
        <v>58462</v>
      </c>
      <c r="D46" s="1433">
        <f t="shared" si="18"/>
        <v>65041</v>
      </c>
      <c r="E46" s="1433">
        <f t="shared" si="18"/>
        <v>71202</v>
      </c>
      <c r="F46" s="1433">
        <f t="shared" si="18"/>
        <v>77260</v>
      </c>
      <c r="G46" s="1433">
        <f t="shared" si="18"/>
        <v>86486</v>
      </c>
      <c r="H46" s="1433">
        <f t="shared" si="18"/>
        <v>100427</v>
      </c>
      <c r="I46" s="1424">
        <f t="shared" si="18"/>
        <v>108360</v>
      </c>
      <c r="J46" s="1424">
        <f t="shared" si="18"/>
        <v>112252</v>
      </c>
      <c r="K46" s="1425">
        <f t="shared" si="18"/>
        <v>118372.28241821248</v>
      </c>
      <c r="L46" s="1433">
        <f t="shared" si="18"/>
        <v>128742.88522612525</v>
      </c>
      <c r="M46" s="1433">
        <f t="shared" si="18"/>
        <v>140265.90623985836</v>
      </c>
      <c r="N46" s="1433">
        <f t="shared" si="18"/>
        <v>154498.58652021701</v>
      </c>
      <c r="O46" s="1433">
        <f t="shared" si="18"/>
        <v>169367.76843371626</v>
      </c>
      <c r="P46" s="1433">
        <f t="shared" si="18"/>
        <v>189689.51757614716</v>
      </c>
      <c r="Q46" s="1433">
        <f t="shared" si="18"/>
        <v>212705.25355118094</v>
      </c>
      <c r="R46" s="1433">
        <f t="shared" si="18"/>
        <v>239842.4592849731</v>
      </c>
      <c r="S46" s="1433">
        <f t="shared" si="18"/>
        <v>272623.86043652368</v>
      </c>
      <c r="T46" s="1433">
        <f t="shared" si="18"/>
        <v>312030.60438854224</v>
      </c>
      <c r="U46" s="1433">
        <f t="shared" si="18"/>
        <v>357159.85553869139</v>
      </c>
      <c r="V46" s="1433">
        <f t="shared" si="18"/>
        <v>407487.96149620414</v>
      </c>
    </row>
    <row r="47" spans="1:27" ht="14.45">
      <c r="A47" s="1419" t="s">
        <v>132</v>
      </c>
      <c r="C47" s="1353"/>
      <c r="D47" s="1382">
        <f t="shared" ref="D47:V47" si="19">+D46/C46-1</f>
        <v>0.11253463788443785</v>
      </c>
      <c r="E47" s="1382">
        <f t="shared" si="19"/>
        <v>9.4724865853845985E-2</v>
      </c>
      <c r="F47" s="1382">
        <f t="shared" si="19"/>
        <v>8.5081879722479714E-2</v>
      </c>
      <c r="G47" s="1382">
        <f t="shared" si="19"/>
        <v>0.11941496246440586</v>
      </c>
      <c r="H47" s="1382">
        <f t="shared" si="19"/>
        <v>0.16119371921467063</v>
      </c>
      <c r="I47" s="1382">
        <f t="shared" si="19"/>
        <v>7.8992701166021195E-2</v>
      </c>
      <c r="J47" s="1382">
        <f t="shared" si="19"/>
        <v>3.5917312661498668E-2</v>
      </c>
      <c r="K47" s="1397">
        <f t="shared" si="19"/>
        <v>5.4522702653070576E-2</v>
      </c>
      <c r="L47" s="1382">
        <f t="shared" si="19"/>
        <v>8.7610060362553144E-2</v>
      </c>
      <c r="M47" s="1382">
        <f t="shared" si="19"/>
        <v>8.9504138372337838E-2</v>
      </c>
      <c r="N47" s="1382">
        <f t="shared" si="19"/>
        <v>0.10146927832926411</v>
      </c>
      <c r="O47" s="1382">
        <f t="shared" si="19"/>
        <v>9.6241540122786517E-2</v>
      </c>
      <c r="P47" s="1382">
        <f t="shared" si="19"/>
        <v>0.11998592961555143</v>
      </c>
      <c r="Q47" s="1382">
        <f t="shared" si="19"/>
        <v>0.1213337261285119</v>
      </c>
      <c r="R47" s="1382">
        <f t="shared" si="19"/>
        <v>0.12758126694441252</v>
      </c>
      <c r="S47" s="1382">
        <f t="shared" si="19"/>
        <v>0.13667889017349011</v>
      </c>
      <c r="T47" s="1382">
        <f t="shared" si="19"/>
        <v>0.14454620328873902</v>
      </c>
      <c r="U47" s="1382">
        <f t="shared" si="19"/>
        <v>0.14463084875467525</v>
      </c>
      <c r="V47" s="1382">
        <f t="shared" si="19"/>
        <v>0.1409119899032456</v>
      </c>
    </row>
    <row r="48" spans="1:27" ht="14.45">
      <c r="A48" s="1419" t="s">
        <v>118</v>
      </c>
      <c r="C48" s="1353"/>
      <c r="D48" s="1382">
        <f t="shared" ref="D48:V48" si="20">+D46/D8</f>
        <v>0.58935302645886189</v>
      </c>
      <c r="E48" s="1382">
        <f t="shared" si="20"/>
        <v>0.56580024316012811</v>
      </c>
      <c r="F48" s="1382">
        <f t="shared" si="20"/>
        <v>0.54022305352585398</v>
      </c>
      <c r="G48" s="1382">
        <f t="shared" si="20"/>
        <v>0.51452810432630525</v>
      </c>
      <c r="H48" s="1382">
        <f t="shared" si="20"/>
        <v>0.50651636657083776</v>
      </c>
      <c r="I48" s="1382">
        <f t="shared" si="20"/>
        <v>0.51133709270226269</v>
      </c>
      <c r="J48" s="1382">
        <f t="shared" si="20"/>
        <v>0.45794339145405144</v>
      </c>
      <c r="K48" s="1397">
        <f t="shared" si="20"/>
        <v>0.42588513606979461</v>
      </c>
      <c r="L48" s="1382">
        <f t="shared" si="20"/>
        <v>0.40277996395511606</v>
      </c>
      <c r="M48" s="1382">
        <f t="shared" si="20"/>
        <v>0.38159168485440009</v>
      </c>
      <c r="N48" s="1382">
        <f t="shared" si="20"/>
        <v>0.36548827628958613</v>
      </c>
      <c r="O48" s="1382">
        <f t="shared" si="20"/>
        <v>0.34840298338827691</v>
      </c>
      <c r="P48" s="1382">
        <f t="shared" si="20"/>
        <v>0.33930994715734852</v>
      </c>
      <c r="Q48" s="1382">
        <f t="shared" si="20"/>
        <v>0.33085190205079834</v>
      </c>
      <c r="R48" s="1382">
        <f t="shared" si="20"/>
        <v>0.32440209294383299</v>
      </c>
      <c r="S48" s="1382">
        <f t="shared" si="20"/>
        <v>0.32064435737161173</v>
      </c>
      <c r="T48" s="1382">
        <f t="shared" si="20"/>
        <v>0.31912372333533551</v>
      </c>
      <c r="U48" s="1382">
        <f t="shared" si="20"/>
        <v>0.31763378982528456</v>
      </c>
      <c r="V48" s="1382">
        <f t="shared" si="20"/>
        <v>0.31512365148702148</v>
      </c>
    </row>
    <row r="49" spans="1:31">
      <c r="A49" s="1428"/>
      <c r="C49" s="1353"/>
      <c r="D49" s="1353"/>
      <c r="E49" s="1353"/>
      <c r="F49" s="1353"/>
      <c r="G49" s="1353"/>
      <c r="H49" s="1353"/>
      <c r="I49" s="1353"/>
      <c r="J49" s="1432"/>
      <c r="K49" s="1427"/>
      <c r="L49" s="1353"/>
      <c r="M49" s="1353"/>
      <c r="N49" s="1353"/>
      <c r="O49" s="1353"/>
      <c r="P49" s="1353"/>
      <c r="Q49" s="1353"/>
      <c r="R49" s="1353"/>
      <c r="S49" s="1353"/>
      <c r="T49" s="1353"/>
      <c r="U49" s="1353"/>
      <c r="V49" s="1353"/>
    </row>
    <row r="50" spans="1:31">
      <c r="A50" s="1412" t="s">
        <v>133</v>
      </c>
      <c r="B50" s="1376"/>
      <c r="C50" s="1377">
        <f>+'Historical Financials'!BH114*-1</f>
        <v>10200</v>
      </c>
      <c r="D50" s="1377">
        <f>+'Historical Financials'!BI114*-1</f>
        <v>13600</v>
      </c>
      <c r="E50" s="1378">
        <f>+'Historical Financials'!BJ114*-1</f>
        <v>16900</v>
      </c>
      <c r="F50" s="1378">
        <f>+'Historical Financials'!BK114*-1</f>
        <v>19000</v>
      </c>
      <c r="G50" s="1378">
        <f>+'Historical Financials'!BL114*-1</f>
        <v>24200</v>
      </c>
      <c r="H50" s="1378">
        <f>+'Historical Financials'!BM114*-1</f>
        <v>29200</v>
      </c>
      <c r="I50" s="1378">
        <f>+'Historical Financials'!BN114*-1</f>
        <v>31900</v>
      </c>
      <c r="J50" s="1378">
        <f>+'Historical Financials'!BO114*-1</f>
        <v>55700</v>
      </c>
      <c r="K50" s="1379">
        <f>+'Historical Financials'!BP114*-1</f>
        <v>83000</v>
      </c>
      <c r="L50" s="1380">
        <f t="shared" ref="L50:V50" si="21">+L52*L8</f>
        <v>70319.870113757162</v>
      </c>
      <c r="M50" s="1380">
        <f t="shared" si="21"/>
        <v>73516.227846200665</v>
      </c>
      <c r="N50" s="1380">
        <f t="shared" si="21"/>
        <v>76089.295820817671</v>
      </c>
      <c r="O50" s="1380">
        <f t="shared" si="21"/>
        <v>77780.169061280292</v>
      </c>
      <c r="P50" s="1380">
        <f t="shared" si="21"/>
        <v>78266.295117913294</v>
      </c>
      <c r="Q50" s="1380">
        <f t="shared" si="21"/>
        <v>83577.222286628836</v>
      </c>
      <c r="R50" s="1380">
        <f t="shared" si="21"/>
        <v>88720.435965805969</v>
      </c>
      <c r="S50" s="1380">
        <f t="shared" si="21"/>
        <v>102028.50136067685</v>
      </c>
      <c r="T50" s="1380">
        <f t="shared" si="21"/>
        <v>117332.77656477837</v>
      </c>
      <c r="U50" s="1380">
        <f t="shared" si="21"/>
        <v>134932.69304949511</v>
      </c>
      <c r="V50" s="1380">
        <f t="shared" si="21"/>
        <v>155172.59700691939</v>
      </c>
    </row>
    <row r="51" spans="1:31" ht="14.45">
      <c r="A51" s="1381" t="s">
        <v>87</v>
      </c>
      <c r="C51" s="1382"/>
      <c r="D51" s="1383">
        <f t="shared" ref="D51" si="22">D50/C50-1</f>
        <v>0.33333333333333326</v>
      </c>
      <c r="E51" s="1383">
        <f t="shared" ref="E51" si="23">E50/D50-1</f>
        <v>0.24264705882352944</v>
      </c>
      <c r="F51" s="1383">
        <f t="shared" ref="F51" si="24">F50/E50-1</f>
        <v>0.12426035502958577</v>
      </c>
      <c r="G51" s="1382">
        <f t="shared" ref="G51" si="25">G50/F50-1</f>
        <v>0.27368421052631575</v>
      </c>
      <c r="H51" s="1382">
        <f t="shared" ref="H51" si="26">H50/G50-1</f>
        <v>0.20661157024793386</v>
      </c>
      <c r="I51" s="1382">
        <f t="shared" ref="I51" si="27">I50/H50-1</f>
        <v>9.2465753424657571E-2</v>
      </c>
      <c r="J51" s="1382">
        <f t="shared" ref="J51" si="28">J50/I50-1</f>
        <v>0.74608150470219425</v>
      </c>
      <c r="K51" s="1384">
        <f t="shared" ref="K51" si="29">K50/J50-1</f>
        <v>0.49012567324955114</v>
      </c>
      <c r="L51" s="1383">
        <f t="shared" ref="L51" si="30">L50/K50-1</f>
        <v>-0.15277264923184142</v>
      </c>
      <c r="M51" s="1383">
        <f t="shared" ref="M51" si="31">M50/L50-1</f>
        <v>4.5454545454545414E-2</v>
      </c>
      <c r="N51" s="1383">
        <f t="shared" ref="N51" si="32">N50/M50-1</f>
        <v>3.4999999999999698E-2</v>
      </c>
      <c r="O51" s="1383">
        <f t="shared" ref="O51" si="33">O50/N50-1</f>
        <v>2.2222222222222365E-2</v>
      </c>
      <c r="P51" s="1383">
        <f t="shared" ref="P51" si="34">P50/O50-1</f>
        <v>6.2500000000000888E-3</v>
      </c>
      <c r="Q51" s="1383">
        <f t="shared" ref="Q51" si="35">Q50/P50-1</f>
        <v>6.7857142857142838E-2</v>
      </c>
      <c r="R51" s="1383">
        <f t="shared" ref="R51" si="36">R50/Q50-1</f>
        <v>6.153846153846132E-2</v>
      </c>
      <c r="S51" s="1383">
        <f t="shared" ref="S51" si="37">S50/R50-1</f>
        <v>0.14999999999999991</v>
      </c>
      <c r="T51" s="1383">
        <f t="shared" ref="T51" si="38">T50/S50-1</f>
        <v>0.14999999999999991</v>
      </c>
      <c r="U51" s="1383">
        <f t="shared" ref="U51" si="39">U50/T50-1</f>
        <v>0.14999999999999991</v>
      </c>
      <c r="V51" s="1383">
        <f t="shared" ref="V51" si="40">V50/U50-1</f>
        <v>0.15000000000000013</v>
      </c>
      <c r="AA51" s="1388"/>
    </row>
    <row r="52" spans="1:31" s="1363" customFormat="1" ht="14.45">
      <c r="A52" s="1381" t="s">
        <v>118</v>
      </c>
      <c r="C52" s="1383">
        <f t="shared" ref="C52:K52" si="41">+C50/C8</f>
        <v>0.10562177051081588</v>
      </c>
      <c r="D52" s="1383">
        <f t="shared" si="41"/>
        <v>0.12323305545487495</v>
      </c>
      <c r="E52" s="1383">
        <f t="shared" si="41"/>
        <v>0.13429431911190928</v>
      </c>
      <c r="F52" s="1382">
        <f t="shared" si="41"/>
        <v>0.13285319721707514</v>
      </c>
      <c r="G52" s="1382">
        <f t="shared" si="41"/>
        <v>0.14397220503545763</v>
      </c>
      <c r="H52" s="1382">
        <f t="shared" si="41"/>
        <v>0.14727391940283452</v>
      </c>
      <c r="I52" s="1382">
        <f t="shared" si="41"/>
        <v>0.15053205294575656</v>
      </c>
      <c r="J52" s="1383">
        <f t="shared" si="41"/>
        <v>0.22723378562511728</v>
      </c>
      <c r="K52" s="1384">
        <f t="shared" si="41"/>
        <v>0.2986211431566882</v>
      </c>
      <c r="L52" s="1385">
        <f>+Base!L51</f>
        <v>0.22</v>
      </c>
      <c r="M52" s="1385">
        <f>+Base!M51</f>
        <v>0.2</v>
      </c>
      <c r="N52" s="1385">
        <f>+Base!N51</f>
        <v>0.18</v>
      </c>
      <c r="O52" s="1385">
        <f>+Base!O51</f>
        <v>0.16</v>
      </c>
      <c r="P52" s="1385">
        <f>+Base!P51</f>
        <v>0.14000000000000001</v>
      </c>
      <c r="Q52" s="1385">
        <f>+Base!Q51</f>
        <v>0.13</v>
      </c>
      <c r="R52" s="1385">
        <f>+Base!R51</f>
        <v>0.12</v>
      </c>
      <c r="S52" s="1385">
        <f>+Base!S51</f>
        <v>0.12</v>
      </c>
      <c r="T52" s="1385">
        <f>+Base!T51</f>
        <v>0.12</v>
      </c>
      <c r="U52" s="1385">
        <f>+Base!U51</f>
        <v>0.12</v>
      </c>
      <c r="V52" s="1385">
        <f>+Base!V51</f>
        <v>0.12</v>
      </c>
    </row>
    <row r="53" spans="1:31" s="1363" customFormat="1" ht="14.45">
      <c r="A53" s="1420"/>
      <c r="C53" s="1361"/>
      <c r="D53" s="1361"/>
      <c r="E53" s="1361"/>
      <c r="F53" s="1361"/>
      <c r="G53" s="1361"/>
      <c r="H53" s="1361"/>
      <c r="I53" s="1361"/>
      <c r="J53" s="1361"/>
      <c r="K53" s="1374"/>
      <c r="L53" s="1361"/>
      <c r="M53" s="1361"/>
      <c r="N53" s="1361"/>
      <c r="O53" s="1361"/>
      <c r="P53" s="1361"/>
      <c r="Q53" s="1361"/>
      <c r="R53" s="1361"/>
      <c r="S53" s="1361"/>
      <c r="T53" s="1361"/>
      <c r="U53" s="1361"/>
      <c r="V53" s="1361"/>
    </row>
    <row r="54" spans="1:31">
      <c r="A54" s="1412" t="s">
        <v>138</v>
      </c>
      <c r="B54" s="1376"/>
      <c r="C54" s="1380">
        <f t="shared" ref="C54:V54" si="42">+C33-C50</f>
        <v>27909</v>
      </c>
      <c r="D54" s="1380">
        <f t="shared" si="42"/>
        <v>31719</v>
      </c>
      <c r="E54" s="1424">
        <f t="shared" si="42"/>
        <v>37741</v>
      </c>
      <c r="F54" s="1424">
        <f t="shared" si="42"/>
        <v>46755</v>
      </c>
      <c r="G54" s="1424">
        <f t="shared" si="42"/>
        <v>57402</v>
      </c>
      <c r="H54" s="1424">
        <f t="shared" si="42"/>
        <v>68643</v>
      </c>
      <c r="I54" s="1424">
        <f t="shared" si="42"/>
        <v>71655</v>
      </c>
      <c r="J54" s="1424">
        <f t="shared" si="42"/>
        <v>77170</v>
      </c>
      <c r="K54" s="1425">
        <f t="shared" si="42"/>
        <v>76571.868229049054</v>
      </c>
      <c r="L54" s="1380">
        <f t="shared" si="42"/>
        <v>120573.01790446833</v>
      </c>
      <c r="M54" s="1380">
        <f t="shared" si="42"/>
        <v>153799.00514494427</v>
      </c>
      <c r="N54" s="1380">
        <f t="shared" si="42"/>
        <v>192130.42777461905</v>
      </c>
      <c r="O54" s="1380">
        <f t="shared" si="42"/>
        <v>238978.11913800522</v>
      </c>
      <c r="P54" s="1380">
        <f t="shared" si="42"/>
        <v>291089.15243389161</v>
      </c>
      <c r="Q54" s="1380">
        <f t="shared" si="42"/>
        <v>346619.23405933502</v>
      </c>
      <c r="R54" s="1380">
        <f t="shared" si="42"/>
        <v>410774.07113093737</v>
      </c>
      <c r="S54" s="1380">
        <f t="shared" si="42"/>
        <v>475585.14954177325</v>
      </c>
      <c r="T54" s="1380">
        <f t="shared" si="42"/>
        <v>548409.75708649913</v>
      </c>
      <c r="U54" s="1380">
        <f t="shared" si="42"/>
        <v>632346.56015760615</v>
      </c>
      <c r="V54" s="1380">
        <f t="shared" si="42"/>
        <v>730444.41655453807</v>
      </c>
    </row>
    <row r="55" spans="1:31" s="1363" customFormat="1" ht="14.45">
      <c r="A55" s="1381" t="s">
        <v>87</v>
      </c>
      <c r="C55" s="1382"/>
      <c r="D55" s="1382">
        <f t="shared" ref="D55:V55" si="43">+D54/C54-1</f>
        <v>0.13651510265505751</v>
      </c>
      <c r="E55" s="1382">
        <f t="shared" si="43"/>
        <v>0.18985466124404926</v>
      </c>
      <c r="F55" s="1382">
        <f t="shared" si="43"/>
        <v>0.23883839855859668</v>
      </c>
      <c r="G55" s="1382">
        <f t="shared" si="43"/>
        <v>0.22771896053897978</v>
      </c>
      <c r="H55" s="1382">
        <f t="shared" si="43"/>
        <v>0.19582941360928197</v>
      </c>
      <c r="I55" s="1382">
        <f t="shared" si="43"/>
        <v>4.3879201083868669E-2</v>
      </c>
      <c r="J55" s="1382">
        <f t="shared" si="43"/>
        <v>7.6966017723815394E-2</v>
      </c>
      <c r="K55" s="1397">
        <f t="shared" si="43"/>
        <v>-7.7508328489173106E-3</v>
      </c>
      <c r="L55" s="1382">
        <f t="shared" si="43"/>
        <v>0.57463858063119022</v>
      </c>
      <c r="M55" s="1382">
        <f t="shared" si="43"/>
        <v>0.27556735178347558</v>
      </c>
      <c r="N55" s="1382">
        <f t="shared" si="43"/>
        <v>0.24923062794554629</v>
      </c>
      <c r="O55" s="1382">
        <f t="shared" si="43"/>
        <v>0.24383275416604722</v>
      </c>
      <c r="P55" s="1382">
        <f t="shared" si="43"/>
        <v>0.2180577597808997</v>
      </c>
      <c r="Q55" s="1382">
        <f t="shared" si="43"/>
        <v>0.19076657842155309</v>
      </c>
      <c r="R55" s="1382">
        <f t="shared" si="43"/>
        <v>0.18508735455984593</v>
      </c>
      <c r="S55" s="1382">
        <f t="shared" si="43"/>
        <v>0.15777791970267008</v>
      </c>
      <c r="T55" s="1382">
        <f t="shared" si="43"/>
        <v>0.15312632788238334</v>
      </c>
      <c r="U55" s="1382">
        <f t="shared" si="43"/>
        <v>0.15305490463377724</v>
      </c>
      <c r="V55" s="1382">
        <f t="shared" si="43"/>
        <v>0.15513305927129895</v>
      </c>
      <c r="AC55" s="1501"/>
    </row>
    <row r="56" spans="1:31" s="1363" customFormat="1" ht="14.45">
      <c r="A56" s="1381" t="s">
        <v>99</v>
      </c>
      <c r="C56" s="1382">
        <f t="shared" ref="C56:V56" si="44">+C54/C8</f>
        <v>0.28899980325356472</v>
      </c>
      <c r="D56" s="1382">
        <f t="shared" si="44"/>
        <v>0.28741391808626315</v>
      </c>
      <c r="E56" s="1382">
        <f t="shared" si="44"/>
        <v>0.29990543772796263</v>
      </c>
      <c r="F56" s="1382">
        <f t="shared" si="44"/>
        <v>0.32692374925707096</v>
      </c>
      <c r="G56" s="1382">
        <f t="shared" si="44"/>
        <v>0.3414996906382371</v>
      </c>
      <c r="H56" s="1382">
        <f t="shared" si="44"/>
        <v>0.34620971402632772</v>
      </c>
      <c r="I56" s="1382">
        <f t="shared" si="44"/>
        <v>0.33813085435198076</v>
      </c>
      <c r="J56" s="1382">
        <f t="shared" si="44"/>
        <v>0.31482282292083125</v>
      </c>
      <c r="K56" s="1397">
        <f t="shared" si="44"/>
        <v>0.27549372077351714</v>
      </c>
      <c r="L56" s="1382">
        <f t="shared" si="44"/>
        <v>0.37722003604488391</v>
      </c>
      <c r="M56" s="1382">
        <f t="shared" si="44"/>
        <v>0.4184083151455999</v>
      </c>
      <c r="N56" s="1382">
        <f t="shared" si="44"/>
        <v>0.45451172371041387</v>
      </c>
      <c r="O56" s="1382">
        <f t="shared" si="44"/>
        <v>0.49159701661172311</v>
      </c>
      <c r="P56" s="1382">
        <f t="shared" si="44"/>
        <v>0.52069005284265146</v>
      </c>
      <c r="Q56" s="1382">
        <f t="shared" si="44"/>
        <v>0.5391480979492016</v>
      </c>
      <c r="R56" s="1382">
        <f t="shared" si="44"/>
        <v>0.55559790705616707</v>
      </c>
      <c r="S56" s="1382">
        <f t="shared" si="44"/>
        <v>0.55935564262838833</v>
      </c>
      <c r="T56" s="1382">
        <f t="shared" si="44"/>
        <v>0.56087627666466444</v>
      </c>
      <c r="U56" s="1382">
        <f t="shared" si="44"/>
        <v>0.56236621017471544</v>
      </c>
      <c r="V56" s="1437">
        <f t="shared" si="44"/>
        <v>0.56487634851297852</v>
      </c>
    </row>
    <row r="57" spans="1:31" ht="14.45">
      <c r="A57" s="1381"/>
      <c r="C57" s="1383"/>
      <c r="D57" s="1383"/>
      <c r="E57" s="1383"/>
      <c r="F57" s="1383"/>
      <c r="G57" s="1383"/>
      <c r="H57" s="1383"/>
      <c r="I57" s="1383"/>
      <c r="J57" s="1383"/>
      <c r="K57" s="1384"/>
      <c r="L57" s="1383"/>
      <c r="M57" s="1383"/>
      <c r="N57" s="1383"/>
      <c r="O57" s="1383"/>
      <c r="P57" s="1383"/>
      <c r="Q57" s="1383"/>
      <c r="R57" s="1383"/>
      <c r="S57" s="1383"/>
      <c r="T57" s="1383"/>
      <c r="U57" s="1383"/>
      <c r="V57" s="1383"/>
    </row>
    <row r="58" spans="1:31">
      <c r="A58" s="1354" t="s">
        <v>139</v>
      </c>
      <c r="B58" s="1376"/>
      <c r="C58" s="1377">
        <f>+'Historical Financials'!BH71*-1</f>
        <v>-876</v>
      </c>
      <c r="D58" s="1377">
        <f>+'Historical Financials'!BI71*-1</f>
        <v>-1416</v>
      </c>
      <c r="E58" s="1378">
        <f>+'Historical Financials'!BJ71*-1</f>
        <v>-729</v>
      </c>
      <c r="F58" s="1378">
        <f>+'Historical Financials'!BK71*-1</f>
        <v>-77</v>
      </c>
      <c r="G58" s="1378">
        <f>+'Historical Financials'!BL71*-1</f>
        <v>-1186</v>
      </c>
      <c r="H58" s="1378">
        <f>+'Historical Financials'!BM71*-1</f>
        <v>-333</v>
      </c>
      <c r="I58" s="1378">
        <f>+'Historical Financials'!BN71*-1</f>
        <v>-788</v>
      </c>
      <c r="J58" s="1378">
        <f>+'Historical Financials'!BO71*-1</f>
        <v>1646</v>
      </c>
      <c r="K58" s="1379">
        <f>+'Historical Financials'!BP71*-1</f>
        <v>283</v>
      </c>
      <c r="L58" s="1380">
        <v>0</v>
      </c>
      <c r="M58" s="1380">
        <v>0</v>
      </c>
      <c r="N58" s="1380">
        <v>0</v>
      </c>
      <c r="O58" s="1380">
        <v>0</v>
      </c>
      <c r="P58" s="1380">
        <v>0</v>
      </c>
      <c r="Q58" s="1380">
        <v>0</v>
      </c>
      <c r="R58" s="1380">
        <v>0</v>
      </c>
      <c r="S58" s="1380">
        <v>0</v>
      </c>
      <c r="T58" s="1380">
        <v>0</v>
      </c>
      <c r="U58" s="1380">
        <v>0</v>
      </c>
      <c r="V58" s="1380">
        <v>0</v>
      </c>
    </row>
    <row r="59" spans="1:31" ht="14.45">
      <c r="A59" s="1381" t="s">
        <v>140</v>
      </c>
      <c r="C59" s="1438">
        <v>0.05</v>
      </c>
      <c r="D59" s="1385">
        <f>C59+0.25%</f>
        <v>5.2500000000000005E-2</v>
      </c>
      <c r="E59" s="1385">
        <f>D59+0.25%</f>
        <v>5.5000000000000007E-2</v>
      </c>
      <c r="F59" s="1385">
        <f>E59+0.25%</f>
        <v>5.7500000000000009E-2</v>
      </c>
      <c r="G59" s="1385">
        <f>F59+0.25%</f>
        <v>6.0000000000000012E-2</v>
      </c>
      <c r="H59" s="1385">
        <f t="shared" ref="H59:V59" si="45">G59</f>
        <v>6.0000000000000012E-2</v>
      </c>
      <c r="I59" s="1385">
        <f t="shared" si="45"/>
        <v>6.0000000000000012E-2</v>
      </c>
      <c r="J59" s="1385">
        <f t="shared" si="45"/>
        <v>6.0000000000000012E-2</v>
      </c>
      <c r="K59" s="1374">
        <f t="shared" si="45"/>
        <v>6.0000000000000012E-2</v>
      </c>
      <c r="L59" s="1385">
        <f t="shared" si="45"/>
        <v>6.0000000000000012E-2</v>
      </c>
      <c r="M59" s="1385">
        <f t="shared" si="45"/>
        <v>6.0000000000000012E-2</v>
      </c>
      <c r="N59" s="1385">
        <f t="shared" si="45"/>
        <v>6.0000000000000012E-2</v>
      </c>
      <c r="O59" s="1385">
        <f t="shared" si="45"/>
        <v>6.0000000000000012E-2</v>
      </c>
      <c r="P59" s="1385">
        <f t="shared" si="45"/>
        <v>6.0000000000000012E-2</v>
      </c>
      <c r="Q59" s="1385">
        <f t="shared" si="45"/>
        <v>6.0000000000000012E-2</v>
      </c>
      <c r="R59" s="1385">
        <f t="shared" si="45"/>
        <v>6.0000000000000012E-2</v>
      </c>
      <c r="S59" s="1385">
        <f t="shared" si="45"/>
        <v>6.0000000000000012E-2</v>
      </c>
      <c r="T59" s="1385">
        <f t="shared" si="45"/>
        <v>6.0000000000000012E-2</v>
      </c>
      <c r="U59" s="1385">
        <f t="shared" si="45"/>
        <v>6.0000000000000012E-2</v>
      </c>
      <c r="V59" s="1385">
        <f t="shared" si="45"/>
        <v>6.0000000000000012E-2</v>
      </c>
    </row>
    <row r="60" spans="1:31">
      <c r="C60" s="1353"/>
      <c r="D60" s="1353"/>
      <c r="E60" s="1353"/>
      <c r="F60" s="1353"/>
      <c r="G60" s="1353"/>
      <c r="H60" s="1353"/>
      <c r="I60" s="1353"/>
      <c r="J60" s="1353"/>
      <c r="K60" s="1427"/>
      <c r="L60" s="1353"/>
      <c r="M60" s="1353"/>
      <c r="N60" s="1353"/>
      <c r="O60" s="1353"/>
      <c r="P60" s="1353"/>
      <c r="Q60" s="1353"/>
      <c r="R60" s="1353"/>
      <c r="S60" s="1353"/>
      <c r="T60" s="1353"/>
      <c r="U60" s="1353"/>
      <c r="V60" s="1353"/>
    </row>
    <row r="61" spans="1:31">
      <c r="A61" s="1353" t="s">
        <v>141</v>
      </c>
      <c r="B61" s="1380"/>
      <c r="C61" s="1380">
        <f>+MAX((C33-C29-C58)*C62,0)</f>
        <v>10572.449999999999</v>
      </c>
      <c r="D61" s="1380">
        <f>+MAX((D33-D29-D58)*D62,0)</f>
        <v>10212.719999999999</v>
      </c>
      <c r="E61" s="1424">
        <f>+MAX((E33-E29-E58)*E62,0)</f>
        <v>9174.48</v>
      </c>
      <c r="F61" s="1378">
        <f>+'Historical Financials'!BK116*-1</f>
        <v>11137.559999999998</v>
      </c>
      <c r="G61" s="1378">
        <f>+'Historical Financials'!BL116*-1</f>
        <v>14931.419999999998</v>
      </c>
      <c r="H61" s="1378">
        <f>+'Historical Financials'!BM116*-1</f>
        <v>17580.359999999997</v>
      </c>
      <c r="I61" s="1378">
        <f>+'Historical Financials'!BN116*-1</f>
        <v>19001.22</v>
      </c>
      <c r="J61" s="1378">
        <f>+'Historical Financials'!BO116*-1</f>
        <v>22891.286250000001</v>
      </c>
      <c r="K61" s="1379">
        <f>+'Historical Financials'!BP116*-1</f>
        <v>26676.515485995042</v>
      </c>
      <c r="L61" s="1380">
        <f t="shared" ref="L61:V61" si="46">+MAX((L33-L29-L58-L39)*L62,0)</f>
        <v>31968.211970497727</v>
      </c>
      <c r="M61" s="1380">
        <f t="shared" si="46"/>
        <v>38865.134427675795</v>
      </c>
      <c r="N61" s="1380">
        <f t="shared" si="46"/>
        <v>46576.998253430582</v>
      </c>
      <c r="O61" s="1380">
        <f t="shared" si="46"/>
        <v>55270.1656530486</v>
      </c>
      <c r="P61" s="1380">
        <f t="shared" si="46"/>
        <v>65261.606662609302</v>
      </c>
      <c r="Q61" s="1380">
        <f t="shared" si="46"/>
        <v>76746.062323604114</v>
      </c>
      <c r="R61" s="1380">
        <f t="shared" si="46"/>
        <v>89947.484833748138</v>
      </c>
      <c r="S61" s="1380">
        <f t="shared" si="46"/>
        <v>105123.41922041378</v>
      </c>
      <c r="T61" s="1380">
        <f t="shared" si="46"/>
        <v>122570.04226507925</v>
      </c>
      <c r="U61" s="1380">
        <f t="shared" si="46"/>
        <v>142627.95726644454</v>
      </c>
      <c r="V61" s="1380">
        <f t="shared" si="46"/>
        <v>165785.66801801464</v>
      </c>
      <c r="W61" s="1353"/>
      <c r="X61" s="1353"/>
      <c r="Y61" s="1353"/>
      <c r="Z61" s="1353"/>
      <c r="AA61" s="1353"/>
      <c r="AB61" s="1353"/>
      <c r="AC61" s="1353"/>
      <c r="AD61" s="1353"/>
      <c r="AE61" s="1353"/>
    </row>
    <row r="62" spans="1:31" ht="14.45">
      <c r="A62" s="1381" t="s">
        <v>140</v>
      </c>
      <c r="C62" s="1438">
        <v>0.35</v>
      </c>
      <c r="D62" s="1385">
        <f>+(0.35+0.21)/2</f>
        <v>0.27999999999999997</v>
      </c>
      <c r="E62" s="1385">
        <v>0.21</v>
      </c>
      <c r="F62" s="1383">
        <f>+F61/(F33-F29-F58)</f>
        <v>0.20999999999999996</v>
      </c>
      <c r="G62" s="1383">
        <f>+G61/(G33-G29-G58)</f>
        <v>0.20999999999999996</v>
      </c>
      <c r="H62" s="1383">
        <f>+H61/(H33-H29-H58)</f>
        <v>0.20999999999999996</v>
      </c>
      <c r="I62" s="1383">
        <f>+I61/(I33-I29-I58)</f>
        <v>0.21000000000000002</v>
      </c>
      <c r="J62" s="1383">
        <f>+J61/(J33-J29-J58-'Historical Financials'!BO98)</f>
        <v>0.21000000000000002</v>
      </c>
      <c r="K62" s="1397">
        <f>+K61/(K33-K29-K58-'Historical Financials'!BP98)</f>
        <v>0.21000000000000002</v>
      </c>
      <c r="L62" s="1385">
        <f t="shared" ref="L62:V62" si="47">K62</f>
        <v>0.21000000000000002</v>
      </c>
      <c r="M62" s="1385">
        <f t="shared" si="47"/>
        <v>0.21000000000000002</v>
      </c>
      <c r="N62" s="1385">
        <f t="shared" si="47"/>
        <v>0.21000000000000002</v>
      </c>
      <c r="O62" s="1385">
        <f t="shared" si="47"/>
        <v>0.21000000000000002</v>
      </c>
      <c r="P62" s="1385">
        <f t="shared" si="47"/>
        <v>0.21000000000000002</v>
      </c>
      <c r="Q62" s="1385">
        <f t="shared" si="47"/>
        <v>0.21000000000000002</v>
      </c>
      <c r="R62" s="1385">
        <f t="shared" si="47"/>
        <v>0.21000000000000002</v>
      </c>
      <c r="S62" s="1385">
        <f t="shared" si="47"/>
        <v>0.21000000000000002</v>
      </c>
      <c r="T62" s="1385">
        <f t="shared" si="47"/>
        <v>0.21000000000000002</v>
      </c>
      <c r="U62" s="1385">
        <f t="shared" si="47"/>
        <v>0.21000000000000002</v>
      </c>
      <c r="V62" s="1385">
        <f t="shared" si="47"/>
        <v>0.21000000000000002</v>
      </c>
      <c r="Z62" s="1439"/>
      <c r="AA62" s="1376"/>
    </row>
    <row r="63" spans="1:31">
      <c r="C63" s="1353"/>
      <c r="D63" s="1353"/>
      <c r="E63" s="1440"/>
      <c r="F63" s="1353"/>
      <c r="G63" s="1353"/>
      <c r="H63" s="1353"/>
      <c r="I63" s="1353"/>
      <c r="J63" s="1353"/>
      <c r="K63" s="1427"/>
      <c r="L63" s="1353"/>
      <c r="M63" s="1353"/>
      <c r="N63" s="1353"/>
      <c r="O63" s="1353"/>
      <c r="P63" s="1353"/>
      <c r="Q63" s="1353"/>
      <c r="R63" s="1353"/>
      <c r="S63" s="1353"/>
      <c r="T63" s="1353"/>
      <c r="U63" s="1353"/>
      <c r="V63" s="1353"/>
    </row>
    <row r="64" spans="1:31" s="1353" customFormat="1">
      <c r="A64" s="1353" t="s">
        <v>142</v>
      </c>
      <c r="B64" s="1380"/>
      <c r="C64" s="1380">
        <f t="shared" ref="C64:V64" si="48">+C13-C58-C61</f>
        <v>19634.550000000003</v>
      </c>
      <c r="D64" s="1380">
        <f t="shared" si="48"/>
        <v>26261.279999999999</v>
      </c>
      <c r="E64" s="1424">
        <f t="shared" si="48"/>
        <v>34513.520000000004</v>
      </c>
      <c r="F64" s="1424">
        <f t="shared" si="48"/>
        <v>41898.44</v>
      </c>
      <c r="G64" s="1424">
        <f t="shared" si="48"/>
        <v>56170.58</v>
      </c>
      <c r="H64" s="1424">
        <f t="shared" si="48"/>
        <v>66135.64</v>
      </c>
      <c r="I64" s="1424">
        <f t="shared" si="48"/>
        <v>71480.78</v>
      </c>
      <c r="J64" s="1424">
        <f t="shared" si="48"/>
        <v>87905.713749999995</v>
      </c>
      <c r="K64" s="1425">
        <f t="shared" si="48"/>
        <v>102641.51063779085</v>
      </c>
      <c r="L64" s="1380">
        <f t="shared" si="48"/>
        <v>124732.36884139616</v>
      </c>
      <c r="M64" s="1380">
        <f t="shared" si="48"/>
        <v>148999.93427554224</v>
      </c>
      <c r="N64" s="1380">
        <f t="shared" si="48"/>
        <v>177127.23152481025</v>
      </c>
      <c r="O64" s="1380">
        <f t="shared" si="48"/>
        <v>209649.09936146846</v>
      </c>
      <c r="P64" s="1380">
        <f t="shared" si="48"/>
        <v>247054.94887362546</v>
      </c>
      <c r="Q64" s="1380">
        <f t="shared" si="48"/>
        <v>290077.37731260591</v>
      </c>
      <c r="R64" s="1380">
        <f t="shared" si="48"/>
        <v>339558.87151743344</v>
      </c>
      <c r="S64" s="1380">
        <f t="shared" si="48"/>
        <v>396468.29135298508</v>
      </c>
      <c r="T64" s="1380">
        <f t="shared" si="48"/>
        <v>461919.8256638695</v>
      </c>
      <c r="U64" s="1380">
        <f t="shared" si="48"/>
        <v>537194.79162138654</v>
      </c>
      <c r="V64" s="1380">
        <f t="shared" si="48"/>
        <v>623669.89397253119</v>
      </c>
    </row>
    <row r="65" spans="1:31" ht="14.45">
      <c r="A65" s="1381" t="s">
        <v>87</v>
      </c>
      <c r="C65" s="1382"/>
      <c r="D65" s="1383">
        <f t="shared" ref="D65:V65" si="49">D64/C64-1</f>
        <v>0.33750353331245142</v>
      </c>
      <c r="E65" s="1383">
        <f t="shared" si="49"/>
        <v>0.31423601591392369</v>
      </c>
      <c r="F65" s="1382">
        <f t="shared" si="49"/>
        <v>0.21397180003662331</v>
      </c>
      <c r="G65" s="1382">
        <f t="shared" si="49"/>
        <v>0.34063654875933325</v>
      </c>
      <c r="H65" s="1382">
        <f t="shared" si="49"/>
        <v>0.17740710528536474</v>
      </c>
      <c r="I65" s="1382">
        <f t="shared" si="49"/>
        <v>8.0820870562377634E-2</v>
      </c>
      <c r="J65" s="1382">
        <f t="shared" si="49"/>
        <v>0.22978112088312397</v>
      </c>
      <c r="K65" s="1397">
        <f t="shared" si="49"/>
        <v>0.16763184392881247</v>
      </c>
      <c r="L65" s="1382">
        <f t="shared" si="49"/>
        <v>0.21522343217999995</v>
      </c>
      <c r="M65" s="1382">
        <f t="shared" si="49"/>
        <v>0.19455707976654857</v>
      </c>
      <c r="N65" s="1382">
        <f t="shared" si="49"/>
        <v>0.18877389031093683</v>
      </c>
      <c r="O65" s="1382">
        <f t="shared" si="49"/>
        <v>0.18360738524896347</v>
      </c>
      <c r="P65" s="1382">
        <f t="shared" si="49"/>
        <v>0.17842122683133188</v>
      </c>
      <c r="Q65" s="1382">
        <f t="shared" si="49"/>
        <v>0.17414113190255276</v>
      </c>
      <c r="R65" s="1382">
        <f t="shared" si="49"/>
        <v>0.17058032812914981</v>
      </c>
      <c r="S65" s="1382">
        <f t="shared" si="49"/>
        <v>0.16759809449605223</v>
      </c>
      <c r="T65" s="1382">
        <f t="shared" si="49"/>
        <v>0.16508642869654211</v>
      </c>
      <c r="U65" s="1382">
        <f t="shared" si="49"/>
        <v>0.16296110661483754</v>
      </c>
      <c r="V65" s="1382">
        <f t="shared" si="49"/>
        <v>0.16097531789193531</v>
      </c>
    </row>
    <row r="66" spans="1:31">
      <c r="C66" s="1353"/>
      <c r="D66" s="1353"/>
      <c r="E66" s="1440"/>
      <c r="F66" s="1353"/>
      <c r="G66" s="1353"/>
      <c r="H66" s="1353"/>
      <c r="I66" s="1353"/>
      <c r="J66" s="1353"/>
      <c r="K66" s="1427"/>
      <c r="L66" s="1353"/>
      <c r="M66" s="1353"/>
      <c r="N66" s="1353"/>
      <c r="O66" s="1353"/>
      <c r="P66" s="1353"/>
      <c r="Q66" s="1353"/>
      <c r="R66" s="1353"/>
      <c r="S66" s="1353"/>
      <c r="T66" s="1353"/>
      <c r="U66" s="1353"/>
      <c r="V66" s="1353"/>
    </row>
    <row r="67" spans="1:31" s="1353" customFormat="1">
      <c r="A67" s="1353" t="str">
        <f>+A29</f>
        <v>Adj. D&amp;A</v>
      </c>
      <c r="B67" s="1380"/>
      <c r="C67" s="1380">
        <f t="shared" ref="C67:V67" si="50">+C29</f>
        <v>8778</v>
      </c>
      <c r="D67" s="1380">
        <f t="shared" si="50"/>
        <v>10261</v>
      </c>
      <c r="E67" s="1424">
        <f t="shared" si="50"/>
        <v>11682</v>
      </c>
      <c r="F67" s="1424">
        <f t="shared" si="50"/>
        <v>12796</v>
      </c>
      <c r="G67" s="1424">
        <f t="shared" si="50"/>
        <v>11686</v>
      </c>
      <c r="H67" s="1424">
        <f t="shared" si="50"/>
        <v>14460</v>
      </c>
      <c r="I67" s="1424">
        <f t="shared" si="50"/>
        <v>13861</v>
      </c>
      <c r="J67" s="1424">
        <f t="shared" si="50"/>
        <v>20427</v>
      </c>
      <c r="K67" s="1425">
        <f t="shared" si="50"/>
        <v>29970.842105263157</v>
      </c>
      <c r="L67" s="1380">
        <f t="shared" si="50"/>
        <v>34192.307206331592</v>
      </c>
      <c r="M67" s="1380">
        <f t="shared" si="50"/>
        <v>39450.164287926877</v>
      </c>
      <c r="N67" s="1380">
        <f t="shared" si="50"/>
        <v>44515.493817195886</v>
      </c>
      <c r="O67" s="1380">
        <f t="shared" si="50"/>
        <v>51839.023184768419</v>
      </c>
      <c r="P67" s="1380">
        <f t="shared" si="50"/>
        <v>57038.89201557012</v>
      </c>
      <c r="Q67" s="1380">
        <f t="shared" si="50"/>
        <v>63373.016709753821</v>
      </c>
      <c r="R67" s="1380">
        <f t="shared" si="50"/>
        <v>69988.150745561768</v>
      </c>
      <c r="S67" s="1380">
        <f t="shared" si="50"/>
        <v>76021.940329051184</v>
      </c>
      <c r="T67" s="1380">
        <f t="shared" si="50"/>
        <v>81252.665722328806</v>
      </c>
      <c r="U67" s="1380">
        <f t="shared" si="50"/>
        <v>87456.504319270171</v>
      </c>
      <c r="V67" s="1380">
        <f t="shared" si="50"/>
        <v>96161.451570911595</v>
      </c>
    </row>
    <row r="68" spans="1:31" s="1444" customFormat="1" ht="17.100000000000001">
      <c r="A68" s="1353" t="str">
        <f>+A50</f>
        <v>Capex</v>
      </c>
      <c r="B68" s="1441"/>
      <c r="C68" s="1441">
        <f t="shared" ref="C68:V68" si="51">+C50*-1</f>
        <v>-10200</v>
      </c>
      <c r="D68" s="1441">
        <f t="shared" si="51"/>
        <v>-13600</v>
      </c>
      <c r="E68" s="1442">
        <f t="shared" si="51"/>
        <v>-16900</v>
      </c>
      <c r="F68" s="1442">
        <f t="shared" si="51"/>
        <v>-19000</v>
      </c>
      <c r="G68" s="1442">
        <f t="shared" si="51"/>
        <v>-24200</v>
      </c>
      <c r="H68" s="1442">
        <f t="shared" si="51"/>
        <v>-29200</v>
      </c>
      <c r="I68" s="1442">
        <f t="shared" si="51"/>
        <v>-31900</v>
      </c>
      <c r="J68" s="1442">
        <f t="shared" si="51"/>
        <v>-55700</v>
      </c>
      <c r="K68" s="1443">
        <f t="shared" si="51"/>
        <v>-83000</v>
      </c>
      <c r="L68" s="1441">
        <f t="shared" si="51"/>
        <v>-70319.870113757162</v>
      </c>
      <c r="M68" s="1441">
        <f t="shared" si="51"/>
        <v>-73516.227846200665</v>
      </c>
      <c r="N68" s="1441">
        <f t="shared" si="51"/>
        <v>-76089.295820817671</v>
      </c>
      <c r="O68" s="1441">
        <f t="shared" si="51"/>
        <v>-77780.169061280292</v>
      </c>
      <c r="P68" s="1441">
        <f t="shared" si="51"/>
        <v>-78266.295117913294</v>
      </c>
      <c r="Q68" s="1441">
        <f t="shared" si="51"/>
        <v>-83577.222286628836</v>
      </c>
      <c r="R68" s="1441">
        <f t="shared" si="51"/>
        <v>-88720.435965805969</v>
      </c>
      <c r="S68" s="1441">
        <f t="shared" si="51"/>
        <v>-102028.50136067685</v>
      </c>
      <c r="T68" s="1441">
        <f t="shared" si="51"/>
        <v>-117332.77656477837</v>
      </c>
      <c r="U68" s="1441">
        <f t="shared" si="51"/>
        <v>-134932.69304949511</v>
      </c>
      <c r="V68" s="1441">
        <f t="shared" si="51"/>
        <v>-155172.59700691939</v>
      </c>
    </row>
    <row r="69" spans="1:31">
      <c r="A69" s="1428" t="s">
        <v>143</v>
      </c>
      <c r="B69" s="1376"/>
      <c r="C69" s="1380">
        <f t="shared" ref="C69:V69" si="52">+C68+C67+C64</f>
        <v>18212.550000000003</v>
      </c>
      <c r="D69" s="1380">
        <f t="shared" si="52"/>
        <v>22922.28</v>
      </c>
      <c r="E69" s="1424">
        <f t="shared" si="52"/>
        <v>29295.520000000004</v>
      </c>
      <c r="F69" s="1424">
        <f t="shared" si="52"/>
        <v>35694.44</v>
      </c>
      <c r="G69" s="1424">
        <f t="shared" si="52"/>
        <v>43656.58</v>
      </c>
      <c r="H69" s="1424">
        <f t="shared" si="52"/>
        <v>51395.64</v>
      </c>
      <c r="I69" s="1424">
        <f t="shared" si="52"/>
        <v>53441.78</v>
      </c>
      <c r="J69" s="1424">
        <f t="shared" si="52"/>
        <v>52632.713749999995</v>
      </c>
      <c r="K69" s="1425">
        <f t="shared" si="52"/>
        <v>49612.352743054013</v>
      </c>
      <c r="L69" s="1380">
        <f t="shared" si="52"/>
        <v>88604.805933970594</v>
      </c>
      <c r="M69" s="1380">
        <f t="shared" si="52"/>
        <v>114933.87071726845</v>
      </c>
      <c r="N69" s="1380">
        <f t="shared" si="52"/>
        <v>145553.42952118846</v>
      </c>
      <c r="O69" s="1380">
        <f t="shared" si="52"/>
        <v>183707.95348495658</v>
      </c>
      <c r="P69" s="1380">
        <f t="shared" si="52"/>
        <v>225827.54577128228</v>
      </c>
      <c r="Q69" s="1380">
        <f t="shared" si="52"/>
        <v>269873.1717357309</v>
      </c>
      <c r="R69" s="1380">
        <f t="shared" si="52"/>
        <v>320826.58629718923</v>
      </c>
      <c r="S69" s="1380">
        <f t="shared" si="52"/>
        <v>370461.73032135941</v>
      </c>
      <c r="T69" s="1380">
        <f t="shared" si="52"/>
        <v>425839.71482141991</v>
      </c>
      <c r="U69" s="1380">
        <f t="shared" si="52"/>
        <v>489718.60289116157</v>
      </c>
      <c r="V69" s="1380">
        <f t="shared" si="52"/>
        <v>564658.74853652343</v>
      </c>
    </row>
    <row r="70" spans="1:31" ht="14.45">
      <c r="A70" s="1419" t="s">
        <v>87</v>
      </c>
      <c r="C70" s="1382"/>
      <c r="D70" s="1382">
        <f t="shared" ref="D70:V70" si="53">+D69/C69-1</f>
        <v>0.25859805463814767</v>
      </c>
      <c r="E70" s="1382">
        <f t="shared" si="53"/>
        <v>0.278036914303464</v>
      </c>
      <c r="F70" s="1382">
        <f t="shared" si="53"/>
        <v>0.21842657170789237</v>
      </c>
      <c r="G70" s="1382">
        <f t="shared" si="53"/>
        <v>0.22306387213246648</v>
      </c>
      <c r="H70" s="1382">
        <f t="shared" si="53"/>
        <v>0.17727133000340367</v>
      </c>
      <c r="I70" s="1382">
        <f t="shared" si="53"/>
        <v>3.9811548216930559E-2</v>
      </c>
      <c r="J70" s="1382">
        <f t="shared" si="53"/>
        <v>-1.5139208499417522E-2</v>
      </c>
      <c r="K70" s="1397">
        <f t="shared" si="53"/>
        <v>-5.7385621826235078E-2</v>
      </c>
      <c r="L70" s="1382">
        <f t="shared" si="53"/>
        <v>0.78594243237891459</v>
      </c>
      <c r="M70" s="1382">
        <f t="shared" si="53"/>
        <v>0.29715165566660806</v>
      </c>
      <c r="N70" s="1382">
        <f t="shared" si="53"/>
        <v>0.2664102288805934</v>
      </c>
      <c r="O70" s="1382">
        <f t="shared" si="53"/>
        <v>0.26213414612957586</v>
      </c>
      <c r="P70" s="1382">
        <f t="shared" si="53"/>
        <v>0.22927473463893744</v>
      </c>
      <c r="Q70" s="1382">
        <f t="shared" si="53"/>
        <v>0.19504098055893482</v>
      </c>
      <c r="R70" s="1382">
        <f t="shared" si="53"/>
        <v>0.18880503843247398</v>
      </c>
      <c r="S70" s="1382">
        <f t="shared" si="53"/>
        <v>0.15471019592557078</v>
      </c>
      <c r="T70" s="1382">
        <f t="shared" si="53"/>
        <v>0.14948368473046458</v>
      </c>
      <c r="U70" s="1382">
        <f t="shared" si="53"/>
        <v>0.15000688251101679</v>
      </c>
      <c r="V70" s="1382">
        <f t="shared" si="53"/>
        <v>0.15302695303575597</v>
      </c>
    </row>
    <row r="71" spans="1:31">
      <c r="A71" s="1353"/>
      <c r="B71" s="1376"/>
      <c r="C71" s="1445"/>
      <c r="D71" s="1380"/>
      <c r="E71" s="1424"/>
      <c r="F71" s="1424"/>
      <c r="G71" s="1424"/>
      <c r="H71" s="1424"/>
      <c r="I71" s="1424"/>
      <c r="J71" s="1424"/>
      <c r="K71" s="1425"/>
      <c r="L71" s="1380"/>
      <c r="M71" s="1380"/>
      <c r="N71" s="1380"/>
      <c r="O71" s="1380"/>
      <c r="P71" s="1380"/>
      <c r="Q71" s="1380"/>
      <c r="R71" s="1380"/>
      <c r="S71" s="1380"/>
      <c r="T71" s="1380"/>
      <c r="U71" s="1380"/>
      <c r="V71" s="1380"/>
      <c r="W71" s="1376"/>
      <c r="X71" s="1376"/>
      <c r="Y71" s="1376"/>
      <c r="Z71" s="1376"/>
      <c r="AA71" s="1376"/>
      <c r="AB71" s="1376"/>
      <c r="AC71" s="1376"/>
      <c r="AD71" s="1376"/>
      <c r="AE71" s="1376"/>
    </row>
    <row r="72" spans="1:31">
      <c r="A72" s="1353" t="s">
        <v>144</v>
      </c>
      <c r="C72" s="1377">
        <f>+'Historical Financials'!BH121</f>
        <v>3266</v>
      </c>
      <c r="D72" s="1377">
        <f>+'Historical Financials'!BI121</f>
        <v>3940</v>
      </c>
      <c r="E72" s="1378">
        <f>+'Historical Financials'!BJ121</f>
        <v>4652</v>
      </c>
      <c r="F72" s="1378">
        <f>+'Historical Financials'!BK121</f>
        <v>5289</v>
      </c>
      <c r="G72" s="1378">
        <f>+'Historical Financials'!BL121</f>
        <v>6118</v>
      </c>
      <c r="H72" s="1378">
        <f>+'Historical Financials'!BM121</f>
        <v>7502</v>
      </c>
      <c r="I72" s="1378">
        <f>+'Historical Financials'!BN121</f>
        <v>9611</v>
      </c>
      <c r="J72" s="1378">
        <f>+'Historical Financials'!BO121</f>
        <v>10734</v>
      </c>
      <c r="K72" s="1446">
        <v>0</v>
      </c>
      <c r="L72" s="1447">
        <v>0</v>
      </c>
      <c r="M72" s="1447">
        <v>0</v>
      </c>
      <c r="N72" s="1447">
        <v>0</v>
      </c>
      <c r="O72" s="1447">
        <v>0</v>
      </c>
      <c r="P72" s="1447">
        <v>0</v>
      </c>
      <c r="Q72" s="1447">
        <v>0</v>
      </c>
      <c r="R72" s="1447">
        <v>0</v>
      </c>
      <c r="S72" s="1447">
        <v>0</v>
      </c>
      <c r="T72" s="1447">
        <v>0</v>
      </c>
      <c r="U72" s="1447">
        <v>0</v>
      </c>
      <c r="V72" s="1447">
        <v>0</v>
      </c>
      <c r="W72" s="1376"/>
      <c r="Y72" s="1448"/>
    </row>
    <row r="73" spans="1:31">
      <c r="A73" s="1353" t="str">
        <f>+Base!A72</f>
        <v>ATVI Amortization Cash Tax Benefit</v>
      </c>
      <c r="C73" s="1377"/>
      <c r="D73" s="1377"/>
      <c r="E73" s="1378"/>
      <c r="F73" s="1378"/>
      <c r="G73" s="1378"/>
      <c r="H73" s="1378"/>
      <c r="I73" s="1378"/>
      <c r="J73" s="1510">
        <f>+'D&amp;A forecast - Case 2'!U53*0.21</f>
        <v>480.27</v>
      </c>
      <c r="K73" s="1446">
        <f>+'D&amp;A forecast - Case 2'!V53*0.21</f>
        <v>480.27</v>
      </c>
      <c r="L73" s="1447">
        <f>+'D&amp;A forecast - Case 2'!W53*0.21</f>
        <v>480.27</v>
      </c>
      <c r="M73" s="1447">
        <f>+'D&amp;A forecast - Case 2'!X53*0.21</f>
        <v>480.27</v>
      </c>
      <c r="N73" s="1447">
        <f>+'D&amp;A forecast - Case 2'!Y53*0.21</f>
        <v>480.27</v>
      </c>
      <c r="O73" s="1447">
        <f>+'D&amp;A forecast - Case 2'!Z53*0.21</f>
        <v>480.27</v>
      </c>
      <c r="P73" s="1447">
        <f>+'D&amp;A forecast - Case 2'!AA53*0.21</f>
        <v>480.27</v>
      </c>
      <c r="Q73" s="1447">
        <f>+'D&amp;A forecast - Case 2'!AB53*0.21</f>
        <v>480.27</v>
      </c>
      <c r="R73" s="1447">
        <f>+'D&amp;A forecast - Case 2'!AC53*0.21</f>
        <v>480.27</v>
      </c>
      <c r="S73" s="1447">
        <f>+'D&amp;A forecast - Case 2'!AD53*0.21</f>
        <v>480.27</v>
      </c>
      <c r="T73" s="1447">
        <f>+'D&amp;A forecast - Case 2'!AE53*0.21</f>
        <v>480.27</v>
      </c>
      <c r="U73" s="1447">
        <f>+'D&amp;A forecast - Case 2'!AF53*0.21</f>
        <v>480.27</v>
      </c>
      <c r="V73" s="1447">
        <f>+'D&amp;A forecast - Case 2'!AG53*0.21</f>
        <v>480.27</v>
      </c>
      <c r="W73" s="1376"/>
      <c r="Y73" s="1448"/>
    </row>
    <row r="74" spans="1:31" ht="17.100000000000001">
      <c r="A74" s="1353" t="s">
        <v>200</v>
      </c>
      <c r="C74" s="1449">
        <f t="shared" ref="C74:H74" si="54">C75-C69-SUM(C72:C72)</f>
        <v>7828.4499999999971</v>
      </c>
      <c r="D74" s="1449">
        <f t="shared" si="54"/>
        <v>3421.7200000000012</v>
      </c>
      <c r="E74" s="1449">
        <f t="shared" si="54"/>
        <v>1337.4799999999959</v>
      </c>
      <c r="F74" s="1449">
        <f t="shared" si="54"/>
        <v>691.55999999999767</v>
      </c>
      <c r="G74" s="1449">
        <f t="shared" si="54"/>
        <v>2765.4199999999983</v>
      </c>
      <c r="H74" s="1449">
        <f t="shared" si="54"/>
        <v>937.36000000000058</v>
      </c>
      <c r="I74" s="1449">
        <f>I75-I69-SUM(I72:I73)</f>
        <v>-7370.7799999999988</v>
      </c>
      <c r="J74" s="1449">
        <f t="shared" ref="J74" si="55">J75-J69-SUM(J72:J73)</f>
        <v>-998.98374999999578</v>
      </c>
      <c r="K74" s="1450">
        <v>0</v>
      </c>
      <c r="L74" s="1451">
        <v>0</v>
      </c>
      <c r="M74" s="1451">
        <v>0</v>
      </c>
      <c r="N74" s="1451">
        <v>0</v>
      </c>
      <c r="O74" s="1451">
        <v>0</v>
      </c>
      <c r="P74" s="1451">
        <v>0</v>
      </c>
      <c r="Q74" s="1451">
        <v>0</v>
      </c>
      <c r="R74" s="1451">
        <v>0</v>
      </c>
      <c r="S74" s="1451">
        <v>0</v>
      </c>
      <c r="T74" s="1451">
        <v>0</v>
      </c>
      <c r="U74" s="1451">
        <v>0</v>
      </c>
      <c r="V74" s="1451">
        <v>0</v>
      </c>
    </row>
    <row r="75" spans="1:31">
      <c r="A75" s="1452" t="s">
        <v>147</v>
      </c>
      <c r="B75" s="1377"/>
      <c r="C75" s="1377">
        <f>+'Historical Financials'!BH125</f>
        <v>29307</v>
      </c>
      <c r="D75" s="1377">
        <f>+'Historical Financials'!BI125</f>
        <v>30284</v>
      </c>
      <c r="E75" s="1378">
        <f>+'Historical Financials'!BJ125</f>
        <v>35285</v>
      </c>
      <c r="F75" s="1378">
        <f>+'Historical Financials'!BK125</f>
        <v>41675</v>
      </c>
      <c r="G75" s="1378">
        <f>+'Historical Financials'!BL125</f>
        <v>52540</v>
      </c>
      <c r="H75" s="1378">
        <f>+'Historical Financials'!BM125</f>
        <v>59835</v>
      </c>
      <c r="I75" s="1378">
        <f>+'Historical Financials'!BN125</f>
        <v>55682</v>
      </c>
      <c r="J75" s="1378">
        <f>+'Historical Financials'!BO125</f>
        <v>62848</v>
      </c>
      <c r="K75" s="1425">
        <f t="shared" ref="K75:V75" si="56">+K69+K74+K72+K71+K73</f>
        <v>50092.622743054009</v>
      </c>
      <c r="L75" s="1380">
        <f t="shared" si="56"/>
        <v>89085.075933970598</v>
      </c>
      <c r="M75" s="1380">
        <f t="shared" si="56"/>
        <v>115414.14071726846</v>
      </c>
      <c r="N75" s="1380">
        <f t="shared" si="56"/>
        <v>146033.69952118845</v>
      </c>
      <c r="O75" s="1380">
        <f t="shared" si="56"/>
        <v>184188.22348495657</v>
      </c>
      <c r="P75" s="1380">
        <f t="shared" si="56"/>
        <v>226307.81577128227</v>
      </c>
      <c r="Q75" s="1380">
        <f t="shared" si="56"/>
        <v>270353.44173573091</v>
      </c>
      <c r="R75" s="1380">
        <f t="shared" si="56"/>
        <v>321306.85629718925</v>
      </c>
      <c r="S75" s="1380">
        <f t="shared" si="56"/>
        <v>370942.00032135943</v>
      </c>
      <c r="T75" s="1380">
        <f t="shared" si="56"/>
        <v>426319.98482141993</v>
      </c>
      <c r="U75" s="1380">
        <f t="shared" si="56"/>
        <v>490198.87289116159</v>
      </c>
      <c r="V75" s="1380">
        <f t="shared" si="56"/>
        <v>565139.01853652345</v>
      </c>
      <c r="W75" s="1453"/>
      <c r="X75" s="1453"/>
      <c r="Y75" s="1453"/>
      <c r="Z75" s="1453"/>
      <c r="AA75" s="1453"/>
      <c r="AB75" s="1453"/>
      <c r="AC75" s="1453"/>
      <c r="AD75" s="1453"/>
      <c r="AE75" s="1453"/>
    </row>
    <row r="76" spans="1:31">
      <c r="C76" s="1353"/>
      <c r="D76" s="1353"/>
      <c r="E76" s="1353"/>
      <c r="F76" s="1353"/>
      <c r="G76" s="1353"/>
      <c r="H76" s="1353"/>
      <c r="I76" s="1353"/>
      <c r="J76" s="1353"/>
      <c r="K76" s="1427"/>
      <c r="L76" s="1353"/>
      <c r="M76" s="1353"/>
      <c r="N76" s="1353"/>
      <c r="O76" s="1353"/>
      <c r="P76" s="1353"/>
      <c r="Q76" s="1353"/>
      <c r="R76" s="1353"/>
      <c r="S76" s="1353"/>
      <c r="T76" s="1353"/>
      <c r="U76" s="1353"/>
      <c r="V76" s="1353"/>
    </row>
    <row r="77" spans="1:31">
      <c r="A77" s="1354" t="s">
        <v>148</v>
      </c>
      <c r="B77" s="1376"/>
      <c r="C77" s="1377">
        <f>+'Historical Financials'!BH139</f>
        <v>-38877</v>
      </c>
      <c r="D77" s="1377">
        <f>+'Historical Financials'!BI139</f>
        <v>-47659</v>
      </c>
      <c r="E77" s="1378">
        <f>+'Historical Financials'!BJ139</f>
        <v>-48879</v>
      </c>
      <c r="F77" s="1378">
        <f>+'Historical Financials'!BK139</f>
        <v>-56033</v>
      </c>
      <c r="G77" s="1378">
        <f>+'Historical Financials'!BL139</f>
        <v>-50018</v>
      </c>
      <c r="H77" s="1378">
        <f>+'Historical Financials'!BM139</f>
        <v>-28585</v>
      </c>
      <c r="I77" s="1378">
        <f>+'Historical Financials'!BN139</f>
        <v>-34230</v>
      </c>
      <c r="J77" s="1378">
        <f>+'Historical Financials'!BO139</f>
        <v>18729</v>
      </c>
      <c r="K77" s="1379">
        <f>+'Historical Financials'!BP139</f>
        <v>-23993.555243054016</v>
      </c>
      <c r="L77" s="1380">
        <f t="shared" ref="L77:V77" si="57">L78*L33</f>
        <v>0</v>
      </c>
      <c r="M77" s="1380">
        <f t="shared" si="57"/>
        <v>0</v>
      </c>
      <c r="N77" s="1380">
        <f t="shared" si="57"/>
        <v>0</v>
      </c>
      <c r="O77" s="1380">
        <f t="shared" si="57"/>
        <v>0</v>
      </c>
      <c r="P77" s="1380">
        <f t="shared" si="57"/>
        <v>0</v>
      </c>
      <c r="Q77" s="1380">
        <f t="shared" si="57"/>
        <v>0</v>
      </c>
      <c r="R77" s="1380">
        <f t="shared" si="57"/>
        <v>0</v>
      </c>
      <c r="S77" s="1380">
        <f t="shared" si="57"/>
        <v>0</v>
      </c>
      <c r="T77" s="1380">
        <f t="shared" si="57"/>
        <v>0</v>
      </c>
      <c r="U77" s="1380">
        <f t="shared" si="57"/>
        <v>0</v>
      </c>
      <c r="V77" s="1380">
        <f t="shared" si="57"/>
        <v>0</v>
      </c>
    </row>
    <row r="78" spans="1:31" ht="14.45">
      <c r="A78" s="1381" t="s">
        <v>149</v>
      </c>
      <c r="B78" s="1363"/>
      <c r="C78" s="1454">
        <f t="shared" ref="C78:K78" si="58">+C77/C33</f>
        <v>-1.0201527198299614</v>
      </c>
      <c r="D78" s="1454">
        <f t="shared" si="58"/>
        <v>-1.0516339725060129</v>
      </c>
      <c r="E78" s="1454">
        <f t="shared" si="58"/>
        <v>-0.89454804999908488</v>
      </c>
      <c r="F78" s="1454">
        <f t="shared" si="58"/>
        <v>-0.85214812561782372</v>
      </c>
      <c r="G78" s="1454">
        <f t="shared" si="58"/>
        <v>-0.61295066297394674</v>
      </c>
      <c r="H78" s="1454">
        <f t="shared" si="58"/>
        <v>-0.29215171243727195</v>
      </c>
      <c r="I78" s="1454">
        <f t="shared" si="58"/>
        <v>-0.33054898363188645</v>
      </c>
      <c r="J78" s="1454">
        <f t="shared" si="58"/>
        <v>0.14095732671031835</v>
      </c>
      <c r="K78" s="1456">
        <f t="shared" si="58"/>
        <v>-0.15036206262004609</v>
      </c>
      <c r="L78" s="1457">
        <v>0</v>
      </c>
      <c r="M78" s="1457">
        <f t="shared" ref="M78:V78" si="59">L78</f>
        <v>0</v>
      </c>
      <c r="N78" s="1457">
        <f t="shared" si="59"/>
        <v>0</v>
      </c>
      <c r="O78" s="1457">
        <f t="shared" si="59"/>
        <v>0</v>
      </c>
      <c r="P78" s="1457">
        <f t="shared" si="59"/>
        <v>0</v>
      </c>
      <c r="Q78" s="1457">
        <f t="shared" si="59"/>
        <v>0</v>
      </c>
      <c r="R78" s="1457">
        <f t="shared" si="59"/>
        <v>0</v>
      </c>
      <c r="S78" s="1457">
        <f t="shared" si="59"/>
        <v>0</v>
      </c>
      <c r="T78" s="1457">
        <f t="shared" si="59"/>
        <v>0</v>
      </c>
      <c r="U78" s="1457">
        <f t="shared" si="59"/>
        <v>0</v>
      </c>
      <c r="V78" s="1457">
        <f t="shared" si="59"/>
        <v>0</v>
      </c>
    </row>
    <row r="79" spans="1:31">
      <c r="C79" s="1353"/>
      <c r="D79" s="1353"/>
      <c r="E79" s="1353"/>
      <c r="F79" s="1353"/>
      <c r="G79" s="1353"/>
      <c r="H79" s="1353"/>
      <c r="I79" s="1353"/>
      <c r="J79" s="1353"/>
      <c r="K79" s="1427"/>
      <c r="L79" s="1353"/>
      <c r="M79" s="1353"/>
      <c r="N79" s="1353"/>
      <c r="O79" s="1353"/>
      <c r="P79" s="1353"/>
      <c r="Q79" s="1353"/>
      <c r="R79" s="1353"/>
      <c r="S79" s="1353"/>
      <c r="T79" s="1353"/>
      <c r="U79" s="1353"/>
      <c r="V79" s="1353"/>
    </row>
    <row r="80" spans="1:31">
      <c r="A80" s="1428" t="s">
        <v>150</v>
      </c>
      <c r="B80" s="1376"/>
      <c r="C80" s="1380"/>
      <c r="D80" s="1380"/>
      <c r="E80" s="1424"/>
      <c r="F80" s="1424"/>
      <c r="G80" s="1424"/>
      <c r="H80" s="1424"/>
      <c r="I80" s="1424"/>
      <c r="J80" s="1424"/>
      <c r="K80" s="1425"/>
      <c r="L80" s="1380">
        <f t="shared" ref="L80:V80" si="60">+L75+(L77-K77)</f>
        <v>113078.63117702461</v>
      </c>
      <c r="M80" s="1380">
        <f t="shared" si="60"/>
        <v>115414.14071726846</v>
      </c>
      <c r="N80" s="1380">
        <f t="shared" si="60"/>
        <v>146033.69952118845</v>
      </c>
      <c r="O80" s="1380">
        <f t="shared" si="60"/>
        <v>184188.22348495657</v>
      </c>
      <c r="P80" s="1380">
        <f t="shared" si="60"/>
        <v>226307.81577128227</v>
      </c>
      <c r="Q80" s="1380">
        <f t="shared" si="60"/>
        <v>270353.44173573091</v>
      </c>
      <c r="R80" s="1380">
        <f t="shared" si="60"/>
        <v>321306.85629718925</v>
      </c>
      <c r="S80" s="1380">
        <f t="shared" si="60"/>
        <v>370942.00032135943</v>
      </c>
      <c r="T80" s="1380">
        <f t="shared" si="60"/>
        <v>426319.98482141993</v>
      </c>
      <c r="U80" s="1380">
        <f t="shared" si="60"/>
        <v>490198.87289116159</v>
      </c>
      <c r="V80" s="1380">
        <f t="shared" si="60"/>
        <v>565139.01853652345</v>
      </c>
    </row>
    <row r="81" spans="1:26" ht="14.45">
      <c r="A81" s="1419" t="s">
        <v>151</v>
      </c>
      <c r="C81" s="1382"/>
      <c r="D81" s="1382"/>
      <c r="E81" s="1382"/>
      <c r="F81" s="1382"/>
      <c r="G81" s="1382"/>
      <c r="H81" s="1382"/>
      <c r="I81" s="1382"/>
      <c r="J81" s="1382"/>
      <c r="K81" s="1397"/>
      <c r="L81" s="1382">
        <f t="shared" ref="L81:V81" si="61">+L80/$D$101</f>
        <v>3.5913882870993535E-2</v>
      </c>
      <c r="M81" s="1382">
        <f t="shared" si="61"/>
        <v>3.665564296482679E-2</v>
      </c>
      <c r="N81" s="1382">
        <f t="shared" si="61"/>
        <v>4.638044452104613E-2</v>
      </c>
      <c r="O81" s="1382">
        <f t="shared" si="61"/>
        <v>5.8498358315811787E-2</v>
      </c>
      <c r="P81" s="1382">
        <f t="shared" si="61"/>
        <v>7.187558165323446E-2</v>
      </c>
      <c r="Q81" s="1382">
        <f t="shared" si="61"/>
        <v>8.5864515153768389E-2</v>
      </c>
      <c r="R81" s="1382">
        <f t="shared" si="61"/>
        <v>0.10204736900855751</v>
      </c>
      <c r="S81" s="1382">
        <f t="shared" si="61"/>
        <v>0.11781153886288037</v>
      </c>
      <c r="T81" s="1382">
        <f t="shared" si="61"/>
        <v>0.13539964041898553</v>
      </c>
      <c r="U81" s="1382">
        <f t="shared" si="61"/>
        <v>0.15568763718890163</v>
      </c>
      <c r="V81" s="1382">
        <f t="shared" si="61"/>
        <v>0.1794887000867125</v>
      </c>
    </row>
    <row r="82" spans="1:26">
      <c r="C82" s="1353"/>
      <c r="D82" s="1353"/>
      <c r="E82" s="1353"/>
      <c r="F82" s="1353"/>
      <c r="G82" s="1353"/>
      <c r="H82" s="1353"/>
      <c r="I82" s="1353"/>
      <c r="J82" s="1353"/>
      <c r="K82" s="1427"/>
      <c r="L82" s="1353"/>
      <c r="M82" s="1353"/>
      <c r="N82" s="1353"/>
      <c r="O82" s="1353"/>
      <c r="P82" s="1353"/>
      <c r="Q82" s="1353"/>
      <c r="R82" s="1353"/>
      <c r="S82" s="1353"/>
      <c r="T82" s="1353"/>
      <c r="U82" s="1353"/>
      <c r="V82" s="1353"/>
    </row>
    <row r="83" spans="1:26">
      <c r="A83" s="1428" t="s">
        <v>152</v>
      </c>
      <c r="B83" s="1376"/>
      <c r="C83" s="1380"/>
      <c r="D83" s="1380"/>
      <c r="E83" s="1424"/>
      <c r="F83" s="1424"/>
      <c r="G83" s="1424"/>
      <c r="H83" s="1424"/>
      <c r="I83" s="1424"/>
      <c r="J83" s="1424"/>
      <c r="K83" s="1425"/>
      <c r="L83" s="1380">
        <f t="shared" ref="L83:V83" si="62">L80+K83</f>
        <v>113078.63117702461</v>
      </c>
      <c r="M83" s="1380">
        <f t="shared" si="62"/>
        <v>228492.77189429308</v>
      </c>
      <c r="N83" s="1380">
        <f t="shared" si="62"/>
        <v>374526.47141548153</v>
      </c>
      <c r="O83" s="1380">
        <f t="shared" si="62"/>
        <v>558714.69490043807</v>
      </c>
      <c r="P83" s="1380">
        <f t="shared" si="62"/>
        <v>785022.51067172037</v>
      </c>
      <c r="Q83" s="1380">
        <f t="shared" si="62"/>
        <v>1055375.9524074513</v>
      </c>
      <c r="R83" s="1380">
        <f t="shared" si="62"/>
        <v>1376682.8087046407</v>
      </c>
      <c r="S83" s="1380">
        <f t="shared" si="62"/>
        <v>1747624.8090260001</v>
      </c>
      <c r="T83" s="1380">
        <f t="shared" si="62"/>
        <v>2173944.7938474203</v>
      </c>
      <c r="U83" s="1380">
        <f t="shared" si="62"/>
        <v>2664143.6667385818</v>
      </c>
      <c r="V83" s="1380">
        <f t="shared" si="62"/>
        <v>3229282.6852751053</v>
      </c>
    </row>
    <row r="84" spans="1:26" ht="14.45">
      <c r="A84" s="1419" t="s">
        <v>151</v>
      </c>
      <c r="C84" s="1382"/>
      <c r="D84" s="1382"/>
      <c r="E84" s="1382"/>
      <c r="F84" s="1382"/>
      <c r="G84" s="1382"/>
      <c r="H84" s="1382"/>
      <c r="I84" s="1382"/>
      <c r="J84" s="1382"/>
      <c r="K84" s="1397"/>
      <c r="L84" s="1382">
        <f t="shared" ref="L84:V84" si="63">L83/$D$101</f>
        <v>3.5913882870993535E-2</v>
      </c>
      <c r="M84" s="1382">
        <f t="shared" si="63"/>
        <v>7.2569525835820339E-2</v>
      </c>
      <c r="N84" s="1382">
        <f t="shared" si="63"/>
        <v>0.11894997035686647</v>
      </c>
      <c r="O84" s="1458">
        <f t="shared" si="63"/>
        <v>0.17744832867267823</v>
      </c>
      <c r="P84" s="1382">
        <f t="shared" si="63"/>
        <v>0.2493239103259127</v>
      </c>
      <c r="Q84" s="1382">
        <f t="shared" si="63"/>
        <v>0.33518842547968108</v>
      </c>
      <c r="R84" s="1382">
        <f t="shared" si="63"/>
        <v>0.43723579448823868</v>
      </c>
      <c r="S84" s="1382">
        <f t="shared" si="63"/>
        <v>0.555047333351119</v>
      </c>
      <c r="T84" s="1382">
        <f t="shared" si="63"/>
        <v>0.69044697377010467</v>
      </c>
      <c r="U84" s="1382">
        <f t="shared" si="63"/>
        <v>0.84613461095900622</v>
      </c>
      <c r="V84" s="1382">
        <f t="shared" si="63"/>
        <v>1.0256233110457187</v>
      </c>
    </row>
    <row r="85" spans="1:26">
      <c r="C85" s="1353"/>
      <c r="D85" s="1353"/>
      <c r="E85" s="1353"/>
      <c r="F85" s="1353"/>
      <c r="G85" s="1353"/>
      <c r="H85" s="1353"/>
      <c r="I85" s="1353"/>
      <c r="J85" s="1353"/>
      <c r="K85" s="1427"/>
      <c r="L85" s="1353"/>
      <c r="M85" s="1353"/>
      <c r="N85" s="1353"/>
      <c r="O85" s="1353"/>
      <c r="P85" s="1353"/>
      <c r="Q85" s="1353"/>
      <c r="R85" s="1353"/>
      <c r="S85" s="1353"/>
      <c r="T85" s="1353"/>
      <c r="U85" s="1353"/>
      <c r="V85" s="1353"/>
    </row>
    <row r="86" spans="1:26" collapsed="1">
      <c r="A86" s="1354" t="s">
        <v>153</v>
      </c>
      <c r="C86" s="1353"/>
      <c r="D86" s="1353"/>
      <c r="E86" s="1353"/>
      <c r="F86" s="1353"/>
      <c r="G86" s="1459"/>
      <c r="H86" s="1460"/>
      <c r="I86" s="1459"/>
      <c r="J86" s="1459"/>
      <c r="K86" s="1461">
        <f>+Base!K85</f>
        <v>54.620608899297423</v>
      </c>
      <c r="L86" s="1353"/>
      <c r="M86" s="1353"/>
      <c r="N86" s="1353"/>
      <c r="O86" s="1353"/>
      <c r="P86" s="1353"/>
      <c r="Q86" s="1353"/>
      <c r="R86" s="1353"/>
      <c r="S86" s="1353"/>
      <c r="T86" s="1353"/>
      <c r="U86" s="1353"/>
      <c r="V86" s="1353"/>
      <c r="Z86" s="1435"/>
    </row>
    <row r="87" spans="1:26">
      <c r="A87" s="1353" t="s">
        <v>154</v>
      </c>
      <c r="B87" s="1353"/>
      <c r="C87" s="1459"/>
      <c r="D87" s="1459"/>
      <c r="E87" s="1459"/>
      <c r="F87" s="1459"/>
      <c r="G87" s="1459"/>
      <c r="H87" s="1459"/>
      <c r="I87" s="1459"/>
      <c r="J87" s="1459"/>
      <c r="K87" s="1461">
        <f t="shared" ref="K87:V87" si="64">+($D$101-K83)/(K8)</f>
        <v>11.328193065648968</v>
      </c>
      <c r="L87" s="1459">
        <f t="shared" si="64"/>
        <v>9.4968292754341306</v>
      </c>
      <c r="M87" s="1459">
        <f t="shared" si="64"/>
        <v>7.9441296531555361</v>
      </c>
      <c r="N87" s="1459">
        <f t="shared" si="64"/>
        <v>6.5624754409752057</v>
      </c>
      <c r="O87" s="1459">
        <f t="shared" si="64"/>
        <v>5.3276105441407875</v>
      </c>
      <c r="P87" s="1459">
        <f t="shared" si="64"/>
        <v>4.2278933480553071</v>
      </c>
      <c r="Q87" s="1459">
        <f t="shared" si="64"/>
        <v>3.2559083532806836</v>
      </c>
      <c r="R87" s="1459">
        <f t="shared" si="64"/>
        <v>2.3966368136129739</v>
      </c>
      <c r="S87" s="1459">
        <f t="shared" si="64"/>
        <v>1.6477515662273048</v>
      </c>
      <c r="T87" s="1459">
        <f t="shared" si="64"/>
        <v>0.99681630455354842</v>
      </c>
      <c r="U87" s="1459">
        <f t="shared" si="64"/>
        <v>0.430847103674462</v>
      </c>
      <c r="V87" s="1459">
        <f t="shared" si="64"/>
        <v>-6.2390669614048738E-2</v>
      </c>
    </row>
    <row r="88" spans="1:26">
      <c r="A88" s="1353" t="s">
        <v>155</v>
      </c>
      <c r="B88" s="1353"/>
      <c r="C88" s="1460">
        <f t="shared" ref="C88:V88" si="65">($D$101-C83)/C69</f>
        <v>172.88106278362994</v>
      </c>
      <c r="D88" s="1460">
        <f t="shared" si="65"/>
        <v>137.36002701301965</v>
      </c>
      <c r="E88" s="1460">
        <f t="shared" si="65"/>
        <v>107.47735489931564</v>
      </c>
      <c r="F88" s="1460">
        <f t="shared" si="65"/>
        <v>88.209956508632715</v>
      </c>
      <c r="G88" s="1460">
        <f t="shared" si="65"/>
        <v>72.122117673899325</v>
      </c>
      <c r="H88" s="1460">
        <f t="shared" si="65"/>
        <v>61.262103166727762</v>
      </c>
      <c r="I88" s="1460">
        <f t="shared" si="65"/>
        <v>58.916544321689884</v>
      </c>
      <c r="J88" s="1460">
        <f t="shared" si="65"/>
        <v>59.822205158479029</v>
      </c>
      <c r="K88" s="1461">
        <f t="shared" si="65"/>
        <v>63.464133948794057</v>
      </c>
      <c r="L88" s="1459">
        <f t="shared" si="65"/>
        <v>34.259161642824289</v>
      </c>
      <c r="M88" s="1459">
        <f t="shared" si="65"/>
        <v>25.406890152416747</v>
      </c>
      <c r="N88" s="1459">
        <f t="shared" si="65"/>
        <v>19.05883315638874</v>
      </c>
      <c r="O88" s="1459">
        <f t="shared" si="65"/>
        <v>14.097867054578243</v>
      </c>
      <c r="P88" s="1459">
        <f t="shared" si="65"/>
        <v>10.466316149590146</v>
      </c>
      <c r="Q88" s="1459">
        <f t="shared" si="65"/>
        <v>7.7563435969927035</v>
      </c>
      <c r="R88" s="1459">
        <f t="shared" si="65"/>
        <v>5.5229905094398442</v>
      </c>
      <c r="S88" s="1459">
        <f t="shared" si="65"/>
        <v>3.7817136732550232</v>
      </c>
      <c r="T88" s="1459">
        <f t="shared" si="65"/>
        <v>2.2887959300867773</v>
      </c>
      <c r="U88" s="1459">
        <f t="shared" si="65"/>
        <v>0.98926471324816745</v>
      </c>
      <c r="V88" s="1459">
        <f t="shared" si="65"/>
        <v>-0.14287865987059417</v>
      </c>
    </row>
    <row r="89" spans="1:26">
      <c r="A89" s="1353" t="s">
        <v>156</v>
      </c>
      <c r="B89" s="1353"/>
      <c r="C89" s="1460"/>
      <c r="D89" s="1460">
        <f t="shared" ref="D89:V89" si="66">($D$101-D83)/D64</f>
        <v>119.89533640401382</v>
      </c>
      <c r="E89" s="1460">
        <f t="shared" si="66"/>
        <v>91.228162181081487</v>
      </c>
      <c r="F89" s="1460">
        <f t="shared" si="66"/>
        <v>75.148501948998572</v>
      </c>
      <c r="G89" s="1460">
        <f t="shared" si="66"/>
        <v>56.05434375076775</v>
      </c>
      <c r="H89" s="1460">
        <f t="shared" si="66"/>
        <v>47.608294105870904</v>
      </c>
      <c r="I89" s="1460">
        <f t="shared" si="66"/>
        <v>44.048274235395866</v>
      </c>
      <c r="J89" s="1460">
        <f t="shared" si="66"/>
        <v>35.817978896735823</v>
      </c>
      <c r="K89" s="1461">
        <f t="shared" si="66"/>
        <v>30.675746882867266</v>
      </c>
      <c r="L89" s="1459">
        <f t="shared" si="66"/>
        <v>24.336316202595402</v>
      </c>
      <c r="M89" s="1459">
        <f t="shared" si="66"/>
        <v>19.598077289790002</v>
      </c>
      <c r="N89" s="1459">
        <f t="shared" si="66"/>
        <v>15.661502213429857</v>
      </c>
      <c r="O89" s="1459">
        <f t="shared" si="66"/>
        <v>12.353453046007024</v>
      </c>
      <c r="P89" s="1459">
        <f t="shared" si="66"/>
        <v>9.5670315454288222</v>
      </c>
      <c r="Q89" s="1459">
        <f t="shared" si="66"/>
        <v>7.2161058093708261</v>
      </c>
      <c r="R89" s="1459">
        <f t="shared" si="66"/>
        <v>5.2183062788992283</v>
      </c>
      <c r="S89" s="1459">
        <f t="shared" si="66"/>
        <v>3.5336500333810408</v>
      </c>
      <c r="T89" s="1459">
        <f t="shared" si="66"/>
        <v>2.1100202935689145</v>
      </c>
      <c r="U89" s="1459">
        <f t="shared" si="66"/>
        <v>0.90183549955723552</v>
      </c>
      <c r="V89" s="1459">
        <f t="shared" si="66"/>
        <v>-0.12935959560468802</v>
      </c>
    </row>
    <row r="90" spans="1:26">
      <c r="C90" s="1353"/>
      <c r="D90" s="1353"/>
      <c r="E90" s="1353"/>
      <c r="F90" s="1353"/>
      <c r="G90" s="1353"/>
      <c r="H90" s="1353"/>
      <c r="I90" s="1353"/>
      <c r="J90" s="1353"/>
      <c r="K90" s="1353"/>
    </row>
    <row r="91" spans="1:26">
      <c r="A91" s="1368" t="s">
        <v>157</v>
      </c>
      <c r="B91" s="1369"/>
      <c r="C91" s="1464"/>
      <c r="D91" s="1353"/>
      <c r="E91" s="1353"/>
      <c r="F91" s="1353"/>
      <c r="G91" s="1353"/>
      <c r="H91" s="1353"/>
      <c r="I91" s="1353"/>
      <c r="J91" s="1353"/>
      <c r="K91" s="1353"/>
    </row>
    <row r="92" spans="1:26" ht="7.5" customHeight="1">
      <c r="C92" s="1353"/>
      <c r="D92" s="1353"/>
      <c r="E92" s="1353"/>
      <c r="F92" s="1353"/>
      <c r="G92" s="1353"/>
      <c r="H92" s="1353"/>
      <c r="I92" s="1353"/>
      <c r="J92" s="1432"/>
      <c r="K92" s="1353"/>
    </row>
    <row r="93" spans="1:26">
      <c r="A93" s="1404" t="s">
        <v>158</v>
      </c>
      <c r="C93" s="1353"/>
      <c r="D93" s="1353"/>
      <c r="E93" s="1353"/>
      <c r="F93" s="1353"/>
      <c r="G93" s="1353"/>
      <c r="H93" s="1353"/>
      <c r="I93" s="1353"/>
      <c r="J93" s="1353"/>
      <c r="K93" s="1353"/>
      <c r="L93" s="1353"/>
      <c r="M93" s="1353"/>
      <c r="N93" s="1353"/>
      <c r="O93" s="1353"/>
    </row>
    <row r="94" spans="1:26" ht="17.100000000000001">
      <c r="A94" s="1354" t="s">
        <v>159</v>
      </c>
      <c r="C94" s="1353"/>
      <c r="D94" s="1353"/>
      <c r="E94" s="1353"/>
      <c r="F94" s="1353"/>
      <c r="G94" s="1353"/>
      <c r="H94" s="1353"/>
      <c r="I94" s="1353"/>
      <c r="J94" s="1353"/>
      <c r="K94" s="1353"/>
      <c r="L94" s="1353"/>
      <c r="M94" s="1353"/>
      <c r="N94" s="1353"/>
      <c r="O94" s="1353"/>
      <c r="P94" s="1353"/>
      <c r="Q94" s="1353"/>
      <c r="R94" s="1353"/>
      <c r="S94" s="1353"/>
      <c r="T94" s="1353"/>
      <c r="U94" s="1465">
        <v>15</v>
      </c>
      <c r="V94" s="1466"/>
    </row>
    <row r="95" spans="1:26">
      <c r="A95" s="1428" t="s">
        <v>160</v>
      </c>
      <c r="C95" s="1380"/>
      <c r="D95" s="1380"/>
      <c r="E95" s="1380"/>
      <c r="F95" s="1380"/>
      <c r="G95" s="1380"/>
      <c r="H95" s="1380"/>
      <c r="I95" s="1380"/>
      <c r="J95" s="1380"/>
      <c r="K95" s="1380"/>
      <c r="L95" s="1380"/>
      <c r="M95" s="1380"/>
      <c r="N95" s="1380"/>
      <c r="O95" s="1380"/>
      <c r="P95" s="1380"/>
      <c r="Q95" s="1380"/>
      <c r="R95" s="1380"/>
      <c r="S95" s="1380"/>
      <c r="T95" s="1380"/>
      <c r="U95" s="1380">
        <f>+U94*V69</f>
        <v>8469881.2280478515</v>
      </c>
      <c r="V95" s="1380"/>
    </row>
    <row r="96" spans="1:26">
      <c r="A96" s="1428" t="s">
        <v>161</v>
      </c>
      <c r="C96" s="1380"/>
      <c r="D96" s="1380"/>
      <c r="E96" s="1380"/>
      <c r="F96" s="1380"/>
      <c r="G96" s="1380"/>
      <c r="H96" s="1380"/>
      <c r="I96" s="1380"/>
      <c r="J96" s="1380"/>
      <c r="K96" s="1380">
        <f>-$D$101+K83</f>
        <v>-3148605</v>
      </c>
      <c r="L96" s="1380">
        <f t="shared" ref="L96:U96" si="67">+L80+L95</f>
        <v>113078.63117702461</v>
      </c>
      <c r="M96" s="1380">
        <f t="shared" si="67"/>
        <v>115414.14071726846</v>
      </c>
      <c r="N96" s="1380">
        <f t="shared" si="67"/>
        <v>146033.69952118845</v>
      </c>
      <c r="O96" s="1380">
        <f t="shared" si="67"/>
        <v>184188.22348495657</v>
      </c>
      <c r="P96" s="1380">
        <f t="shared" si="67"/>
        <v>226307.81577128227</v>
      </c>
      <c r="Q96" s="1380">
        <f t="shared" si="67"/>
        <v>270353.44173573091</v>
      </c>
      <c r="R96" s="1380">
        <f t="shared" si="67"/>
        <v>321306.85629718925</v>
      </c>
      <c r="S96" s="1380">
        <f t="shared" si="67"/>
        <v>370942.00032135943</v>
      </c>
      <c r="T96" s="1380">
        <f t="shared" si="67"/>
        <v>426319.98482141993</v>
      </c>
      <c r="U96" s="1380">
        <f t="shared" si="67"/>
        <v>8960080.1009390131</v>
      </c>
      <c r="V96" s="1380"/>
    </row>
    <row r="97" spans="1:22">
      <c r="A97" s="1467" t="s">
        <v>162</v>
      </c>
      <c r="B97" s="1468"/>
      <c r="C97" s="1469"/>
      <c r="D97" s="1469"/>
      <c r="E97" s="1469"/>
      <c r="F97" s="1469"/>
      <c r="G97" s="1469"/>
      <c r="H97" s="1469"/>
      <c r="I97" s="1469"/>
      <c r="J97" s="1469"/>
      <c r="K97" s="1470">
        <f>XIRR(K96:U96,K3:U3)</f>
        <v>0.14297618269920351</v>
      </c>
      <c r="L97" s="1471"/>
      <c r="M97" s="1472"/>
      <c r="N97" s="1472"/>
      <c r="O97" s="1472"/>
      <c r="P97" s="1472"/>
      <c r="Q97" s="1472"/>
      <c r="R97" s="1472"/>
      <c r="S97" s="1472"/>
      <c r="T97" s="1472"/>
      <c r="U97" s="1472"/>
      <c r="V97" s="1472"/>
    </row>
    <row r="99" spans="1:22">
      <c r="A99" s="1473" t="s">
        <v>163</v>
      </c>
      <c r="B99" s="1474"/>
      <c r="C99" s="1475"/>
      <c r="D99" s="1475"/>
      <c r="E99" s="1476"/>
      <c r="F99" s="1353"/>
      <c r="I99" s="1353"/>
      <c r="J99" s="1353"/>
      <c r="K99" s="1353"/>
    </row>
    <row r="100" spans="1:22">
      <c r="D100" s="1477" t="s">
        <v>164</v>
      </c>
      <c r="E100" s="1477" t="s">
        <v>165</v>
      </c>
      <c r="F100" s="1353"/>
      <c r="I100" s="1353"/>
      <c r="J100" s="1353"/>
      <c r="K100" s="1353"/>
    </row>
    <row r="101" spans="1:22">
      <c r="A101" s="1354" t="s">
        <v>166</v>
      </c>
      <c r="D101" s="1478">
        <f>+E101*E104</f>
        <v>3148605</v>
      </c>
      <c r="E101" s="1463">
        <f>+Base!E100</f>
        <v>421.5</v>
      </c>
      <c r="F101" s="1353"/>
      <c r="I101" s="1353"/>
      <c r="J101" s="1353"/>
      <c r="K101" s="1353"/>
    </row>
    <row r="102" spans="1:22" ht="17.100000000000001">
      <c r="A102" s="1354" t="s">
        <v>148</v>
      </c>
      <c r="D102" s="1499">
        <f>+Base!D101</f>
        <v>14401</v>
      </c>
      <c r="E102" s="1480">
        <f>+D102/E104</f>
        <v>1.9278447121820617</v>
      </c>
      <c r="F102" s="1361"/>
      <c r="I102" s="1353"/>
      <c r="J102" s="1353"/>
      <c r="K102" s="1353"/>
    </row>
    <row r="103" spans="1:22">
      <c r="A103" s="1481" t="s">
        <v>167</v>
      </c>
      <c r="B103" s="1386"/>
      <c r="D103" s="1453">
        <f>+D102+D101</f>
        <v>3163006</v>
      </c>
      <c r="E103" s="1500">
        <f>+D103/E104</f>
        <v>423.42784471218204</v>
      </c>
      <c r="F103" s="1353"/>
      <c r="I103" s="1353"/>
      <c r="J103" s="1353"/>
      <c r="K103" s="1353"/>
    </row>
    <row r="104" spans="1:22" ht="14.45">
      <c r="A104" s="1381" t="s">
        <v>168</v>
      </c>
      <c r="E104" s="1501">
        <f>+Base!E103</f>
        <v>7470</v>
      </c>
      <c r="F104" s="1353"/>
      <c r="I104" s="1353"/>
      <c r="J104" s="1353"/>
      <c r="K104" s="1353"/>
    </row>
    <row r="105" spans="1:22" ht="14.45">
      <c r="A105" s="1381"/>
      <c r="D105" s="1353"/>
      <c r="E105" s="1409"/>
      <c r="F105" s="1353"/>
      <c r="I105" s="1353"/>
      <c r="J105" s="1353"/>
      <c r="K105" s="1353"/>
    </row>
    <row r="106" spans="1:22">
      <c r="A106" s="1368" t="s">
        <v>169</v>
      </c>
      <c r="B106" s="1369"/>
    </row>
    <row r="107" spans="1:22" ht="7.5" customHeight="1"/>
    <row r="108" spans="1:22">
      <c r="A108" s="1483" t="s">
        <v>170</v>
      </c>
    </row>
    <row r="109" spans="1:22">
      <c r="A109" s="1354" t="s">
        <v>197</v>
      </c>
      <c r="B109" s="1433"/>
      <c r="C109" s="1433">
        <f>+'Historical Financials'!BH1263</f>
        <v>-26030</v>
      </c>
      <c r="D109" s="1433">
        <f>+'Historical Financials'!BI1263</f>
        <v>-16475</v>
      </c>
      <c r="E109" s="1433">
        <f>+'Historical Financials'!BJ1263</f>
        <v>-16506</v>
      </c>
      <c r="F109" s="1433">
        <f>+'Historical Financials'!BK1263</f>
        <v>-21043</v>
      </c>
      <c r="G109" s="1433">
        <f>+'Historical Financials'!BL1263</f>
        <v>-24339</v>
      </c>
      <c r="H109" s="1433">
        <f>+'Historical Financials'!BM1263</f>
        <v>-23339</v>
      </c>
      <c r="I109" s="1433">
        <f>+'Historical Financials'!BN1263</f>
        <v>-21755</v>
      </c>
      <c r="J109" s="1433">
        <f>+'Historical Financials'!BO1263</f>
        <v>-27136</v>
      </c>
      <c r="K109" s="1433">
        <f t="shared" ref="K109:V109" si="68">+K110*K8</f>
        <v>-35873.12074951543</v>
      </c>
      <c r="L109" s="1433">
        <f t="shared" si="68"/>
        <v>-41254.088861942735</v>
      </c>
      <c r="M109" s="1433">
        <f t="shared" si="68"/>
        <v>-47442.202191234144</v>
      </c>
      <c r="N109" s="1433">
        <f t="shared" si="68"/>
        <v>-54558.532519919252</v>
      </c>
      <c r="O109" s="1433">
        <f t="shared" si="68"/>
        <v>-62742.312397907139</v>
      </c>
      <c r="P109" s="1433">
        <f t="shared" si="68"/>
        <v>-72153.659257593215</v>
      </c>
      <c r="Q109" s="1433">
        <f t="shared" si="68"/>
        <v>-82976.708146232195</v>
      </c>
      <c r="R109" s="1433">
        <f t="shared" si="68"/>
        <v>-95423.214368166999</v>
      </c>
      <c r="S109" s="1433">
        <f t="shared" si="68"/>
        <v>-109736.69652339203</v>
      </c>
      <c r="T109" s="1433">
        <f t="shared" si="68"/>
        <v>-126197.20100190084</v>
      </c>
      <c r="U109" s="1433">
        <f t="shared" si="68"/>
        <v>-145126.78115218595</v>
      </c>
      <c r="V109" s="1433">
        <f t="shared" si="68"/>
        <v>-166895.79832501383</v>
      </c>
    </row>
    <row r="110" spans="1:22" s="1363" customFormat="1" ht="14.45">
      <c r="A110" s="1381" t="s">
        <v>173</v>
      </c>
      <c r="B110" s="1382"/>
      <c r="C110" s="1382">
        <f t="shared" ref="C110:J110" si="69">+C109/C8</f>
        <v>-0.269542616313386</v>
      </c>
      <c r="D110" s="1382">
        <f t="shared" si="69"/>
        <v>-0.14928416092787242</v>
      </c>
      <c r="E110" s="1382">
        <f t="shared" si="69"/>
        <v>-0.13116343380243636</v>
      </c>
      <c r="F110" s="1382">
        <f t="shared" si="69"/>
        <v>-0.14713841205467959</v>
      </c>
      <c r="G110" s="1382">
        <f t="shared" si="69"/>
        <v>-0.14479915282471087</v>
      </c>
      <c r="H110" s="1382">
        <f t="shared" si="69"/>
        <v>-0.11771321934735461</v>
      </c>
      <c r="I110" s="1382">
        <f t="shared" si="69"/>
        <v>-0.10265908501049949</v>
      </c>
      <c r="J110" s="1382">
        <f t="shared" si="69"/>
        <v>-0.11070405757133182</v>
      </c>
      <c r="K110" s="1385">
        <f>+AVERAGE(D110:J110)</f>
        <v>-0.12906593164841215</v>
      </c>
      <c r="L110" s="1385">
        <f>+K110</f>
        <v>-0.12906593164841215</v>
      </c>
      <c r="M110" s="1385">
        <f t="shared" ref="M110:V110" si="70">+L110</f>
        <v>-0.12906593164841215</v>
      </c>
      <c r="N110" s="1385">
        <f t="shared" si="70"/>
        <v>-0.12906593164841215</v>
      </c>
      <c r="O110" s="1385">
        <f t="shared" si="70"/>
        <v>-0.12906593164841215</v>
      </c>
      <c r="P110" s="1385">
        <f t="shared" si="70"/>
        <v>-0.12906593164841215</v>
      </c>
      <c r="Q110" s="1385">
        <f t="shared" si="70"/>
        <v>-0.12906593164841215</v>
      </c>
      <c r="R110" s="1385">
        <f t="shared" si="70"/>
        <v>-0.12906593164841215</v>
      </c>
      <c r="S110" s="1385">
        <f t="shared" si="70"/>
        <v>-0.12906593164841215</v>
      </c>
      <c r="T110" s="1385">
        <f t="shared" si="70"/>
        <v>-0.12906593164841215</v>
      </c>
      <c r="U110" s="1385">
        <f t="shared" si="70"/>
        <v>-0.12906593164841215</v>
      </c>
      <c r="V110" s="1385">
        <f t="shared" si="70"/>
        <v>-0.12906593164841215</v>
      </c>
    </row>
    <row r="112" spans="1:22">
      <c r="A112" s="1387" t="s">
        <v>175</v>
      </c>
      <c r="J112" s="1433"/>
    </row>
    <row r="113" spans="1:22" hidden="1" outlineLevel="1">
      <c r="A113" s="1484" t="s">
        <v>176</v>
      </c>
      <c r="B113" s="1433"/>
      <c r="C113" s="1433">
        <f>+'Historical Financials'!BH1221</f>
        <v>10106</v>
      </c>
      <c r="D113" s="1433">
        <f>+'Historical Financials'!BI1221</f>
        <v>8053</v>
      </c>
      <c r="E113" s="1433">
        <f>+'Historical Financials'!BJ1221</f>
        <v>7750</v>
      </c>
      <c r="F113" s="1433">
        <f>+'Historical Financials'!BK1221</f>
        <v>7038</v>
      </c>
      <c r="G113" s="1433">
        <f>+'Historical Financials'!BL1221</f>
        <v>7800</v>
      </c>
      <c r="H113" s="1433">
        <f>+'Historical Financials'!BM1221</f>
        <v>11298</v>
      </c>
      <c r="I113" s="1433">
        <f>+'Historical Financials'!BN1221</f>
        <v>9366</v>
      </c>
      <c r="J113" s="1433">
        <f>+'Historical Financials'!BO1221-J118</f>
        <v>5628</v>
      </c>
      <c r="K113" s="1435"/>
    </row>
    <row r="114" spans="1:22" hidden="1" outlineLevel="1">
      <c r="A114" s="1484" t="s">
        <v>177</v>
      </c>
      <c r="B114" s="1433"/>
      <c r="C114" s="1433">
        <f>+'Historical Financials'!BH1216</f>
        <v>6555</v>
      </c>
      <c r="D114" s="1433">
        <f>+'Historical Financials'!BI1216</f>
        <v>6686</v>
      </c>
      <c r="E114" s="1433">
        <f>+'Historical Financials'!BJ1216</f>
        <v>7379</v>
      </c>
      <c r="F114" s="1433">
        <f>+'Historical Financials'!BK1216</f>
        <v>8753</v>
      </c>
      <c r="G114" s="1433">
        <f>+'Historical Financials'!BL1216</f>
        <v>11088</v>
      </c>
      <c r="H114" s="1433">
        <f>+'Historical Financials'!BM1216</f>
        <v>13148</v>
      </c>
      <c r="I114" s="1433">
        <f>+'Historical Financials'!BN1216</f>
        <v>14346</v>
      </c>
      <c r="J114" s="1433">
        <f>+'Historical Financials'!BO1216</f>
        <v>18961</v>
      </c>
    </row>
    <row r="115" spans="1:22" s="1387" customFormat="1" hidden="1" outlineLevel="1">
      <c r="A115" s="1484" t="s">
        <v>178</v>
      </c>
      <c r="B115" s="1485"/>
      <c r="C115" s="1485">
        <f>+'Historical Financials'!BH1222</f>
        <v>6250</v>
      </c>
      <c r="D115" s="1485">
        <f>+'Historical Financials'!BI1222</f>
        <v>7442</v>
      </c>
      <c r="E115" s="1485">
        <f>+'Historical Financials'!BJ1222</f>
        <v>14723</v>
      </c>
      <c r="F115" s="1485">
        <f>+'Historical Financials'!BK1222</f>
        <v>13138</v>
      </c>
      <c r="G115" s="1485">
        <f>+'Historical Financials'!BL1222</f>
        <v>15075</v>
      </c>
      <c r="H115" s="1485">
        <f>+'Historical Financials'!BM1222</f>
        <v>21897</v>
      </c>
      <c r="I115" s="1485">
        <f>+'Historical Financials'!BN1222</f>
        <v>30601</v>
      </c>
      <c r="J115" s="1485">
        <f>+'Historical Financials'!BO1222</f>
        <v>36460</v>
      </c>
    </row>
    <row r="116" spans="1:22" collapsed="1">
      <c r="A116" s="1484" t="s">
        <v>179</v>
      </c>
      <c r="B116" s="1433"/>
      <c r="C116" s="1433">
        <f t="shared" ref="C116:J116" si="71">+SUM(C113:C115)</f>
        <v>22911</v>
      </c>
      <c r="D116" s="1433">
        <f t="shared" si="71"/>
        <v>22181</v>
      </c>
      <c r="E116" s="1433">
        <f t="shared" si="71"/>
        <v>29852</v>
      </c>
      <c r="F116" s="1433">
        <f t="shared" si="71"/>
        <v>28929</v>
      </c>
      <c r="G116" s="1433">
        <f t="shared" si="71"/>
        <v>33963</v>
      </c>
      <c r="H116" s="1433">
        <f t="shared" si="71"/>
        <v>46343</v>
      </c>
      <c r="I116" s="1433">
        <f t="shared" si="71"/>
        <v>54313</v>
      </c>
      <c r="J116" s="1433">
        <f t="shared" si="71"/>
        <v>61049</v>
      </c>
      <c r="K116" s="1433">
        <f t="shared" ref="K116:V116" si="72">+K121*K8</f>
        <v>69223.539514464908</v>
      </c>
      <c r="L116" s="1433">
        <f t="shared" si="72"/>
        <v>79607.070441634642</v>
      </c>
      <c r="M116" s="1433">
        <f t="shared" si="72"/>
        <v>91548.131007879827</v>
      </c>
      <c r="N116" s="1433">
        <f t="shared" si="72"/>
        <v>105280.35065906179</v>
      </c>
      <c r="O116" s="1433">
        <f t="shared" si="72"/>
        <v>121072.40325792106</v>
      </c>
      <c r="P116" s="1433">
        <f t="shared" si="72"/>
        <v>139233.26374660921</v>
      </c>
      <c r="Q116" s="1433">
        <f t="shared" si="72"/>
        <v>160118.2533086006</v>
      </c>
      <c r="R116" s="1433">
        <f t="shared" si="72"/>
        <v>184135.99130489066</v>
      </c>
      <c r="S116" s="1433">
        <f t="shared" si="72"/>
        <v>211756.3900006242</v>
      </c>
      <c r="T116" s="1433">
        <f t="shared" si="72"/>
        <v>243519.84850071784</v>
      </c>
      <c r="U116" s="1433">
        <f t="shared" si="72"/>
        <v>280047.82577582548</v>
      </c>
      <c r="V116" s="1433">
        <f t="shared" si="72"/>
        <v>322054.99964219931</v>
      </c>
    </row>
    <row r="117" spans="1:22">
      <c r="A117" s="1484" t="s">
        <v>180</v>
      </c>
      <c r="B117" s="1433"/>
      <c r="C117" s="1433">
        <f>+'Historical Financials'!BH1220</f>
        <v>35122</v>
      </c>
      <c r="D117" s="1433">
        <f>+'Historical Financials'!BI1220</f>
        <v>35683</v>
      </c>
      <c r="E117" s="1433">
        <f>+'Historical Financials'!BJ1220</f>
        <v>42026</v>
      </c>
      <c r="F117" s="1433">
        <f>+'Historical Financials'!BK1220</f>
        <v>43351</v>
      </c>
      <c r="G117" s="1433">
        <f>+'Historical Financials'!BL1220</f>
        <v>49711</v>
      </c>
      <c r="H117" s="1433">
        <f>+'Historical Financials'!BM1220</f>
        <v>67524</v>
      </c>
      <c r="I117" s="1433">
        <f>+'Historical Financials'!BN1220</f>
        <v>67886</v>
      </c>
      <c r="J117" s="1433">
        <f>+'Historical Financials'!BO1220</f>
        <v>119220</v>
      </c>
      <c r="K117" s="1486">
        <f>+J117</f>
        <v>119220</v>
      </c>
      <c r="L117" s="1486">
        <f t="shared" ref="L117:V117" si="73">+K117</f>
        <v>119220</v>
      </c>
      <c r="M117" s="1486">
        <f t="shared" si="73"/>
        <v>119220</v>
      </c>
      <c r="N117" s="1486">
        <f t="shared" si="73"/>
        <v>119220</v>
      </c>
      <c r="O117" s="1486">
        <f t="shared" si="73"/>
        <v>119220</v>
      </c>
      <c r="P117" s="1486">
        <f t="shared" si="73"/>
        <v>119220</v>
      </c>
      <c r="Q117" s="1486">
        <f t="shared" si="73"/>
        <v>119220</v>
      </c>
      <c r="R117" s="1486">
        <f t="shared" si="73"/>
        <v>119220</v>
      </c>
      <c r="S117" s="1486">
        <f t="shared" si="73"/>
        <v>119220</v>
      </c>
      <c r="T117" s="1486">
        <f t="shared" si="73"/>
        <v>119220</v>
      </c>
      <c r="U117" s="1486">
        <f t="shared" si="73"/>
        <v>119220</v>
      </c>
      <c r="V117" s="1486">
        <f t="shared" si="73"/>
        <v>119220</v>
      </c>
    </row>
    <row r="118" spans="1:22">
      <c r="A118" s="1484" t="s">
        <v>181</v>
      </c>
      <c r="B118" s="1433"/>
      <c r="C118" s="1433">
        <v>0</v>
      </c>
      <c r="D118" s="1433">
        <v>0</v>
      </c>
      <c r="E118" s="1433">
        <v>0</v>
      </c>
      <c r="F118" s="1433">
        <v>0</v>
      </c>
      <c r="G118" s="1433">
        <v>0</v>
      </c>
      <c r="H118" s="1433">
        <v>0</v>
      </c>
      <c r="I118" s="1433">
        <v>0</v>
      </c>
      <c r="J118" s="1405">
        <v>21969</v>
      </c>
      <c r="K118" s="1486">
        <f>MAX(J118-$J$118/15,0)</f>
        <v>20504.400000000001</v>
      </c>
      <c r="L118" s="1486">
        <f t="shared" ref="L118:V118" si="74">MAX(K118-$J$118/15,0)</f>
        <v>19039.800000000003</v>
      </c>
      <c r="M118" s="1486">
        <f t="shared" si="74"/>
        <v>17575.200000000004</v>
      </c>
      <c r="N118" s="1486">
        <f t="shared" si="74"/>
        <v>16110.600000000004</v>
      </c>
      <c r="O118" s="1486">
        <f t="shared" si="74"/>
        <v>14646.000000000004</v>
      </c>
      <c r="P118" s="1486">
        <f t="shared" si="74"/>
        <v>13181.400000000003</v>
      </c>
      <c r="Q118" s="1486">
        <f t="shared" si="74"/>
        <v>11716.800000000003</v>
      </c>
      <c r="R118" s="1486">
        <f t="shared" si="74"/>
        <v>10252.200000000003</v>
      </c>
      <c r="S118" s="1486">
        <f t="shared" si="74"/>
        <v>8787.6000000000022</v>
      </c>
      <c r="T118" s="1486">
        <f t="shared" si="74"/>
        <v>7323.0000000000018</v>
      </c>
      <c r="U118" s="1486">
        <f t="shared" si="74"/>
        <v>5858.4000000000015</v>
      </c>
      <c r="V118" s="1486">
        <f t="shared" si="74"/>
        <v>4393.8000000000011</v>
      </c>
    </row>
    <row r="119" spans="1:22" s="1387" customFormat="1">
      <c r="A119" s="1484" t="s">
        <v>182</v>
      </c>
      <c r="B119" s="1485"/>
      <c r="C119" s="1485">
        <f>+'Historical Financials'!BH1217</f>
        <v>23734</v>
      </c>
      <c r="D119" s="1485">
        <f>+'Historical Financials'!BI1217</f>
        <v>29460</v>
      </c>
      <c r="E119" s="1485">
        <f>+'Historical Financials'!BJ1217</f>
        <v>36477</v>
      </c>
      <c r="F119" s="1485">
        <f>+'Historical Financials'!BK1217</f>
        <v>44151</v>
      </c>
      <c r="G119" s="1485">
        <f>+'Historical Financials'!BL1217</f>
        <v>59715</v>
      </c>
      <c r="H119" s="1485">
        <f>+'Historical Financials'!BM1217</f>
        <v>74398</v>
      </c>
      <c r="I119" s="1485">
        <f>+'Historical Financials'!BN1217</f>
        <v>95641</v>
      </c>
      <c r="J119" s="1485">
        <f>+'Historical Financials'!BO1217</f>
        <v>135591</v>
      </c>
      <c r="K119" s="1487">
        <f>+'D&amp;A forecast - Case 2'!V198</f>
        <v>285206.45146803994</v>
      </c>
      <c r="L119" s="1487">
        <f>+'D&amp;A forecast - Case 2'!W198</f>
        <v>342335.53190244886</v>
      </c>
      <c r="M119" s="1487">
        <f>+'D&amp;A forecast - Case 2'!X198</f>
        <v>400018.7518420979</v>
      </c>
      <c r="N119" s="1487">
        <f>+'D&amp;A forecast - Case 2'!Y198</f>
        <v>457607.1925939488</v>
      </c>
      <c r="O119" s="1487">
        <f>+'D&amp;A forecast - Case 2'!Z198</f>
        <v>514223.04295839136</v>
      </c>
      <c r="P119" s="1487">
        <f>+'D&amp;A forecast - Case 2'!AA198</f>
        <v>568706.53802734183</v>
      </c>
      <c r="Q119" s="1487">
        <f>+'D&amp;A forecast - Case 2'!AB198</f>
        <v>625981.10028024565</v>
      </c>
      <c r="R119" s="1487">
        <f>+'D&amp;A forecast - Case 2'!AC198</f>
        <v>685749.92945545621</v>
      </c>
      <c r="S119" s="1487">
        <f>+'D&amp;A forecast - Case 2'!AD198</f>
        <v>756062.51749960531</v>
      </c>
      <c r="T119" s="1487">
        <f>+'D&amp;A forecast - Case 2'!AE198</f>
        <v>838427.42569590325</v>
      </c>
      <c r="U119" s="1487">
        <f>+'D&amp;A forecast - Case 2'!AF198</f>
        <v>934582.87588561908</v>
      </c>
      <c r="V119" s="1487">
        <f>+'D&amp;A forecast - Case 2'!AG198</f>
        <v>1046531.0433949851</v>
      </c>
    </row>
    <row r="120" spans="1:22">
      <c r="A120" s="1428" t="s">
        <v>183</v>
      </c>
      <c r="B120" s="1433"/>
      <c r="C120" s="1433">
        <f>+SUM(C116:C119)</f>
        <v>81767</v>
      </c>
      <c r="D120" s="1433">
        <f t="shared" ref="D120:V120" si="75">+SUM(D116:D119)</f>
        <v>87324</v>
      </c>
      <c r="E120" s="1433">
        <f t="shared" si="75"/>
        <v>108355</v>
      </c>
      <c r="F120" s="1433">
        <f t="shared" si="75"/>
        <v>116431</v>
      </c>
      <c r="G120" s="1433">
        <f t="shared" si="75"/>
        <v>143389</v>
      </c>
      <c r="H120" s="1433">
        <f t="shared" si="75"/>
        <v>188265</v>
      </c>
      <c r="I120" s="1433">
        <f t="shared" si="75"/>
        <v>217840</v>
      </c>
      <c r="J120" s="1433">
        <f t="shared" si="75"/>
        <v>337829</v>
      </c>
      <c r="K120" s="1433">
        <f t="shared" si="75"/>
        <v>494154.39098250482</v>
      </c>
      <c r="L120" s="1433">
        <f t="shared" si="75"/>
        <v>560202.40234408341</v>
      </c>
      <c r="M120" s="1433">
        <f t="shared" si="75"/>
        <v>628362.08284997777</v>
      </c>
      <c r="N120" s="1433">
        <f t="shared" si="75"/>
        <v>698218.14325301058</v>
      </c>
      <c r="O120" s="1433">
        <f t="shared" si="75"/>
        <v>769161.44621631247</v>
      </c>
      <c r="P120" s="1433">
        <f t="shared" si="75"/>
        <v>840341.20177395106</v>
      </c>
      <c r="Q120" s="1433">
        <f t="shared" si="75"/>
        <v>917036.15358884633</v>
      </c>
      <c r="R120" s="1433">
        <f t="shared" si="75"/>
        <v>999358.12076034688</v>
      </c>
      <c r="S120" s="1433">
        <f t="shared" si="75"/>
        <v>1095826.5075002294</v>
      </c>
      <c r="T120" s="1433">
        <f t="shared" si="75"/>
        <v>1208490.274196621</v>
      </c>
      <c r="U120" s="1433">
        <f t="shared" si="75"/>
        <v>1339709.1016614446</v>
      </c>
      <c r="V120" s="1433">
        <f t="shared" si="75"/>
        <v>1492199.8430371843</v>
      </c>
    </row>
    <row r="121" spans="1:22" s="1363" customFormat="1" ht="14.45">
      <c r="A121" s="1419" t="s">
        <v>184</v>
      </c>
      <c r="B121" s="1382"/>
      <c r="C121" s="1382">
        <f t="shared" ref="C121:J121" si="76">+C116/C8</f>
        <v>0.23724513570326494</v>
      </c>
      <c r="D121" s="1382">
        <f t="shared" si="76"/>
        <v>0.20098767669445453</v>
      </c>
      <c r="E121" s="1382">
        <f t="shared" si="76"/>
        <v>0.23721621385377017</v>
      </c>
      <c r="F121" s="1382">
        <f t="shared" si="76"/>
        <v>0.20227948117330349</v>
      </c>
      <c r="G121" s="1382">
        <f t="shared" si="76"/>
        <v>0.20205487601732425</v>
      </c>
      <c r="H121" s="1382">
        <f t="shared" si="76"/>
        <v>0.23373682352347808</v>
      </c>
      <c r="I121" s="1382">
        <f t="shared" si="76"/>
        <v>0.2562961564778331</v>
      </c>
      <c r="J121" s="1382">
        <f t="shared" si="76"/>
        <v>0.24905557232724929</v>
      </c>
      <c r="K121" s="1385">
        <f>+J121</f>
        <v>0.24905557232724929</v>
      </c>
      <c r="L121" s="1385">
        <f t="shared" ref="L121:V121" si="77">+K121</f>
        <v>0.24905557232724929</v>
      </c>
      <c r="M121" s="1385">
        <f t="shared" si="77"/>
        <v>0.24905557232724929</v>
      </c>
      <c r="N121" s="1385">
        <f t="shared" si="77"/>
        <v>0.24905557232724929</v>
      </c>
      <c r="O121" s="1385">
        <f t="shared" si="77"/>
        <v>0.24905557232724929</v>
      </c>
      <c r="P121" s="1385">
        <f t="shared" si="77"/>
        <v>0.24905557232724929</v>
      </c>
      <c r="Q121" s="1385">
        <f t="shared" si="77"/>
        <v>0.24905557232724929</v>
      </c>
      <c r="R121" s="1385">
        <f t="shared" si="77"/>
        <v>0.24905557232724929</v>
      </c>
      <c r="S121" s="1385">
        <f t="shared" si="77"/>
        <v>0.24905557232724929</v>
      </c>
      <c r="T121" s="1385">
        <f t="shared" si="77"/>
        <v>0.24905557232724929</v>
      </c>
      <c r="U121" s="1385">
        <f t="shared" si="77"/>
        <v>0.24905557232724929</v>
      </c>
      <c r="V121" s="1385">
        <f t="shared" si="77"/>
        <v>0.24905557232724929</v>
      </c>
    </row>
    <row r="122" spans="1:22">
      <c r="A122" s="1412"/>
    </row>
    <row r="123" spans="1:22">
      <c r="A123" s="1412" t="s">
        <v>170</v>
      </c>
      <c r="B123" s="1435"/>
      <c r="C123" s="1435">
        <f t="shared" ref="C123:J123" si="78">+C120+C109</f>
        <v>55737</v>
      </c>
      <c r="D123" s="1435">
        <f t="shared" si="78"/>
        <v>70849</v>
      </c>
      <c r="E123" s="1435">
        <f t="shared" si="78"/>
        <v>91849</v>
      </c>
      <c r="F123" s="1435">
        <f t="shared" si="78"/>
        <v>95388</v>
      </c>
      <c r="G123" s="1435">
        <f t="shared" si="78"/>
        <v>119050</v>
      </c>
      <c r="H123" s="1435">
        <f t="shared" si="78"/>
        <v>164926</v>
      </c>
      <c r="I123" s="1435">
        <f t="shared" si="78"/>
        <v>196085</v>
      </c>
      <c r="J123" s="1435">
        <f t="shared" si="78"/>
        <v>310693</v>
      </c>
      <c r="K123" s="1435">
        <f t="shared" ref="K123:V123" si="79">+K120+K109</f>
        <v>458281.27023298939</v>
      </c>
      <c r="L123" s="1435">
        <f t="shared" si="79"/>
        <v>518948.31348214066</v>
      </c>
      <c r="M123" s="1435">
        <f t="shared" si="79"/>
        <v>580919.88065874367</v>
      </c>
      <c r="N123" s="1435">
        <f t="shared" si="79"/>
        <v>643659.61073309137</v>
      </c>
      <c r="O123" s="1435">
        <f t="shared" si="79"/>
        <v>706419.13381840533</v>
      </c>
      <c r="P123" s="1435">
        <f t="shared" si="79"/>
        <v>768187.54251635785</v>
      </c>
      <c r="Q123" s="1435">
        <f t="shared" si="79"/>
        <v>834059.44544261415</v>
      </c>
      <c r="R123" s="1435">
        <f t="shared" si="79"/>
        <v>903934.9063921799</v>
      </c>
      <c r="S123" s="1435">
        <f t="shared" si="79"/>
        <v>986089.81097683741</v>
      </c>
      <c r="T123" s="1435">
        <f t="shared" si="79"/>
        <v>1082293.0731947201</v>
      </c>
      <c r="U123" s="1435">
        <f t="shared" si="79"/>
        <v>1194582.3205092587</v>
      </c>
      <c r="V123" s="1435">
        <f t="shared" si="79"/>
        <v>1325304.0447121705</v>
      </c>
    </row>
    <row r="124" spans="1:22" s="1386" customFormat="1">
      <c r="A124" s="1481" t="s">
        <v>185</v>
      </c>
      <c r="C124" s="1488">
        <f>+'Historical Financials'!BH1266</f>
        <v>33088.5</v>
      </c>
      <c r="D124" s="1488">
        <f>+'Historical Financials'!BI1266</f>
        <v>63293</v>
      </c>
      <c r="E124" s="1488">
        <f t="shared" ref="E124:I124" si="80">AVERAGE(D123:E123)</f>
        <v>81349</v>
      </c>
      <c r="F124" s="1488">
        <f t="shared" si="80"/>
        <v>93618.5</v>
      </c>
      <c r="G124" s="1488">
        <f t="shared" si="80"/>
        <v>107219</v>
      </c>
      <c r="H124" s="1488">
        <f t="shared" si="80"/>
        <v>141988</v>
      </c>
      <c r="I124" s="1488">
        <f t="shared" si="80"/>
        <v>180505.5</v>
      </c>
      <c r="J124" s="1488">
        <f>AVERAGE(I123:J123)</f>
        <v>253389</v>
      </c>
      <c r="K124" s="1488">
        <f t="shared" ref="K124:V124" si="81">AVERAGE(J123:K123)</f>
        <v>384487.13511649473</v>
      </c>
      <c r="L124" s="1488">
        <f t="shared" si="81"/>
        <v>488614.79185756505</v>
      </c>
      <c r="M124" s="1488">
        <f t="shared" si="81"/>
        <v>549934.09707044216</v>
      </c>
      <c r="N124" s="1488">
        <f t="shared" si="81"/>
        <v>612289.74569591752</v>
      </c>
      <c r="O124" s="1488">
        <f t="shared" si="81"/>
        <v>675039.37227574829</v>
      </c>
      <c r="P124" s="1488">
        <f t="shared" si="81"/>
        <v>737303.33816738159</v>
      </c>
      <c r="Q124" s="1488">
        <f t="shared" si="81"/>
        <v>801123.49397948594</v>
      </c>
      <c r="R124" s="1488">
        <f t="shared" si="81"/>
        <v>868997.17591739702</v>
      </c>
      <c r="S124" s="1488">
        <f t="shared" si="81"/>
        <v>945012.3586845086</v>
      </c>
      <c r="T124" s="1488">
        <f t="shared" si="81"/>
        <v>1034191.4420857788</v>
      </c>
      <c r="U124" s="1488">
        <f t="shared" si="81"/>
        <v>1138437.6968519893</v>
      </c>
      <c r="V124" s="1488">
        <f t="shared" si="81"/>
        <v>1259943.1826107146</v>
      </c>
    </row>
    <row r="125" spans="1:22">
      <c r="A125" s="1428"/>
      <c r="C125" s="1435"/>
      <c r="D125" s="1435"/>
      <c r="E125" s="1435"/>
      <c r="F125" s="1435"/>
      <c r="G125" s="1435"/>
      <c r="H125" s="1435"/>
      <c r="I125" s="1435"/>
      <c r="J125" s="1435"/>
      <c r="K125" s="1435"/>
      <c r="L125" s="1435"/>
      <c r="M125" s="1435"/>
      <c r="N125" s="1435"/>
      <c r="O125" s="1435"/>
      <c r="P125" s="1435"/>
      <c r="Q125" s="1435"/>
      <c r="R125" s="1435"/>
      <c r="S125" s="1435"/>
      <c r="T125" s="1435"/>
      <c r="U125" s="1435"/>
      <c r="V125" s="1435"/>
    </row>
    <row r="126" spans="1:22">
      <c r="A126" s="1412" t="s">
        <v>186</v>
      </c>
      <c r="C126" s="1435">
        <f t="shared" ref="C126:V126" si="82">+C13</f>
        <v>29331</v>
      </c>
      <c r="D126" s="1435">
        <f t="shared" si="82"/>
        <v>35058</v>
      </c>
      <c r="E126" s="1435">
        <f t="shared" si="82"/>
        <v>42959</v>
      </c>
      <c r="F126" s="1435">
        <f t="shared" si="82"/>
        <v>52959</v>
      </c>
      <c r="G126" s="1435">
        <f t="shared" si="82"/>
        <v>69916</v>
      </c>
      <c r="H126" s="1435">
        <f t="shared" si="82"/>
        <v>83383</v>
      </c>
      <c r="I126" s="1435">
        <f t="shared" si="82"/>
        <v>89694</v>
      </c>
      <c r="J126" s="1435">
        <f t="shared" si="82"/>
        <v>112443</v>
      </c>
      <c r="K126" s="1435">
        <f t="shared" si="82"/>
        <v>129601.02612378589</v>
      </c>
      <c r="L126" s="1435">
        <f t="shared" si="82"/>
        <v>156700.58081189389</v>
      </c>
      <c r="M126" s="1435">
        <f t="shared" si="82"/>
        <v>187865.06870321804</v>
      </c>
      <c r="N126" s="1435">
        <f t="shared" si="82"/>
        <v>223704.22977824084</v>
      </c>
      <c r="O126" s="1435">
        <f t="shared" si="82"/>
        <v>264919.26501451706</v>
      </c>
      <c r="P126" s="1435">
        <f t="shared" si="82"/>
        <v>312316.55553623475</v>
      </c>
      <c r="Q126" s="1435">
        <f t="shared" si="82"/>
        <v>366823.43963621004</v>
      </c>
      <c r="R126" s="1435">
        <f t="shared" si="82"/>
        <v>429506.35635118157</v>
      </c>
      <c r="S126" s="1435">
        <f t="shared" si="82"/>
        <v>501591.71057339886</v>
      </c>
      <c r="T126" s="1435">
        <f t="shared" si="82"/>
        <v>584489.86792894872</v>
      </c>
      <c r="U126" s="1435">
        <f t="shared" si="82"/>
        <v>679822.74888783111</v>
      </c>
      <c r="V126" s="1435">
        <f t="shared" si="82"/>
        <v>789455.56199054583</v>
      </c>
    </row>
    <row r="127" spans="1:22" s="1491" customFormat="1">
      <c r="A127" s="1489" t="s">
        <v>198</v>
      </c>
      <c r="B127" s="1490"/>
      <c r="C127" s="1490">
        <f>+C126/C124</f>
        <v>0.88644090847273227</v>
      </c>
      <c r="D127" s="1490">
        <f t="shared" ref="D127:V127" si="83">+D126/D124</f>
        <v>0.5539001153366091</v>
      </c>
      <c r="E127" s="1490">
        <f t="shared" si="83"/>
        <v>0.52808270538052093</v>
      </c>
      <c r="F127" s="1490">
        <f t="shared" si="83"/>
        <v>0.56568947376853929</v>
      </c>
      <c r="G127" s="1490">
        <f t="shared" si="83"/>
        <v>0.6520859176078867</v>
      </c>
      <c r="H127" s="1490">
        <f t="shared" si="83"/>
        <v>0.58725385243823425</v>
      </c>
      <c r="I127" s="1490">
        <f t="shared" si="83"/>
        <v>0.49690452645487254</v>
      </c>
      <c r="J127" s="1490">
        <f t="shared" si="83"/>
        <v>0.44375643773013035</v>
      </c>
      <c r="K127" s="1490">
        <f t="shared" si="83"/>
        <v>0.3370750651631515</v>
      </c>
      <c r="L127" s="1490">
        <f t="shared" si="83"/>
        <v>0.32070371880508541</v>
      </c>
      <c r="M127" s="1490">
        <f t="shared" si="83"/>
        <v>0.34161378554993294</v>
      </c>
      <c r="N127" s="1490">
        <f t="shared" si="83"/>
        <v>0.36535681244176749</v>
      </c>
      <c r="O127" s="1490">
        <f t="shared" si="83"/>
        <v>0.39245009386845014</v>
      </c>
      <c r="P127" s="1490">
        <f t="shared" si="83"/>
        <v>0.42359303066838017</v>
      </c>
      <c r="Q127" s="1490">
        <f t="shared" si="83"/>
        <v>0.45788625897620117</v>
      </c>
      <c r="R127" s="1490">
        <f t="shared" si="83"/>
        <v>0.49425518086149511</v>
      </c>
      <c r="S127" s="1490">
        <f t="shared" si="83"/>
        <v>0.53077793741410184</v>
      </c>
      <c r="T127" s="1490">
        <f t="shared" si="83"/>
        <v>0.56516602646618053</v>
      </c>
      <c r="U127" s="1490">
        <f t="shared" si="83"/>
        <v>0.59715410932691237</v>
      </c>
      <c r="V127" s="1490">
        <f t="shared" si="83"/>
        <v>0.62658028781482311</v>
      </c>
    </row>
    <row r="128" spans="1:22">
      <c r="A128" s="1484"/>
    </row>
    <row r="129" spans="1:13">
      <c r="C129" s="1492"/>
      <c r="D129" s="1492"/>
      <c r="E129" s="1492"/>
      <c r="H129" s="1492"/>
      <c r="I129" s="1492"/>
      <c r="J129" s="1492"/>
      <c r="K129" s="1492">
        <f>K97</f>
        <v>0.14297618269920351</v>
      </c>
    </row>
    <row r="132" spans="1:13">
      <c r="A132" s="1354" t="s">
        <v>187</v>
      </c>
      <c r="C132" s="1493">
        <f>+$E$101/C88</f>
        <v>2.438092369477912</v>
      </c>
      <c r="D132" s="1493">
        <f t="shared" ref="D132:M132" si="84">+$E$101/D89</f>
        <v>3.5155662650602411</v>
      </c>
      <c r="E132" s="1493">
        <f t="shared" si="84"/>
        <v>4.6202838018741641</v>
      </c>
      <c r="F132" s="1493">
        <f t="shared" si="84"/>
        <v>5.6088942436412319</v>
      </c>
      <c r="G132" s="1493">
        <f t="shared" si="84"/>
        <v>7.5194886211512717</v>
      </c>
      <c r="H132" s="1493">
        <f t="shared" si="84"/>
        <v>8.8534993306559571</v>
      </c>
      <c r="I132" s="1493">
        <f t="shared" si="84"/>
        <v>9.5690468540829983</v>
      </c>
      <c r="J132" s="1493">
        <f t="shared" si="84"/>
        <v>11.767833165997322</v>
      </c>
      <c r="K132" s="1493">
        <f t="shared" si="84"/>
        <v>13.740496738660088</v>
      </c>
      <c r="L132" s="1493">
        <f t="shared" si="84"/>
        <v>17.319794684252507</v>
      </c>
      <c r="M132" s="1493">
        <f t="shared" si="84"/>
        <v>21.507211843663285</v>
      </c>
    </row>
    <row r="133" spans="1:13">
      <c r="A133" s="1354" t="s">
        <v>188</v>
      </c>
      <c r="C133" s="1493"/>
      <c r="D133" s="1493">
        <f t="shared" ref="D133:L133" si="85">AVERAGE(D132:E132)</f>
        <v>4.067925033467203</v>
      </c>
      <c r="E133" s="1493">
        <f t="shared" si="85"/>
        <v>5.1145890227576984</v>
      </c>
      <c r="F133" s="1493">
        <f t="shared" si="85"/>
        <v>6.5641914323962514</v>
      </c>
      <c r="G133" s="1493">
        <f t="shared" si="85"/>
        <v>8.1864939759036144</v>
      </c>
      <c r="H133" s="1493">
        <f t="shared" si="85"/>
        <v>9.2112730923694777</v>
      </c>
      <c r="I133" s="1493">
        <f t="shared" si="85"/>
        <v>10.668440010040161</v>
      </c>
      <c r="J133" s="1493">
        <f t="shared" si="85"/>
        <v>12.754164952328704</v>
      </c>
      <c r="K133" s="1493">
        <f t="shared" si="85"/>
        <v>15.530145711456298</v>
      </c>
      <c r="L133" s="1493">
        <f t="shared" si="85"/>
        <v>19.413503263957896</v>
      </c>
    </row>
    <row r="134" spans="1:13">
      <c r="C134" s="1494"/>
    </row>
    <row r="135" spans="1:13">
      <c r="F135" s="1435"/>
    </row>
    <row r="138" spans="1:13">
      <c r="G138" s="1435"/>
    </row>
  </sheetData>
  <pageMargins left="0.3" right="0.3" top="0.3" bottom="0.3" header="0.3" footer="0.3"/>
  <pageSetup scale="35" fitToHeight="0" orientation="landscape" r:id="rId1"/>
  <headerFooter>
    <oddFooter>Page &amp;P</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04A92-845A-44D9-AB1B-B2F30BF4BEE3}">
  <sheetPr>
    <pageSetUpPr fitToPage="1"/>
  </sheetPr>
  <dimension ref="A1:AE139"/>
  <sheetViews>
    <sheetView view="pageBreakPreview" zoomScale="55" zoomScaleNormal="100" zoomScaleSheetLayoutView="55" workbookViewId="0">
      <pane xSplit="1" ySplit="5" topLeftCell="B6" activePane="bottomRight" state="frozen"/>
      <selection pane="bottomRight" activeCell="B6" sqref="B6"/>
      <selection pane="bottomLeft" activeCell="B6" sqref="B6"/>
      <selection pane="topRight" activeCell="B6" sqref="B6"/>
    </sheetView>
  </sheetViews>
  <sheetFormatPr defaultColWidth="4.5" defaultRowHeight="14.1" outlineLevelRow="1" outlineLevelCol="1"/>
  <cols>
    <col min="1" max="1" width="41.5" style="1354" customWidth="1"/>
    <col min="2" max="2" width="4.1640625" style="1354" customWidth="1"/>
    <col min="3" max="3" width="1.83203125" style="1354" hidden="1" customWidth="1" outlineLevel="1"/>
    <col min="4" max="4" width="22.83203125" style="1354" customWidth="1" collapsed="1"/>
    <col min="5" max="22" width="22.83203125" style="1354" customWidth="1"/>
    <col min="23" max="24" width="10.6640625" style="1354" customWidth="1"/>
    <col min="25" max="25" width="30" style="1354" bestFit="1" customWidth="1"/>
    <col min="26" max="31" width="11.1640625" style="1354" customWidth="1"/>
    <col min="32" max="256" width="4.5" style="1354"/>
    <col min="257" max="257" width="11.83203125" style="1354" customWidth="1"/>
    <col min="258" max="258" width="2.1640625" style="1354" customWidth="1"/>
    <col min="259" max="274" width="10.6640625" style="1354" customWidth="1"/>
    <col min="275" max="276" width="14" style="1354" customWidth="1"/>
    <col min="277" max="277" width="54" style="1354" customWidth="1"/>
    <col min="278" max="280" width="10.6640625" style="1354" customWidth="1"/>
    <col min="281" max="287" width="11.1640625" style="1354" customWidth="1"/>
    <col min="288" max="512" width="4.5" style="1354"/>
    <col min="513" max="513" width="11.83203125" style="1354" customWidth="1"/>
    <col min="514" max="514" width="2.1640625" style="1354" customWidth="1"/>
    <col min="515" max="530" width="10.6640625" style="1354" customWidth="1"/>
    <col min="531" max="532" width="14" style="1354" customWidth="1"/>
    <col min="533" max="533" width="54" style="1354" customWidth="1"/>
    <col min="534" max="536" width="10.6640625" style="1354" customWidth="1"/>
    <col min="537" max="543" width="11.1640625" style="1354" customWidth="1"/>
    <col min="544" max="768" width="4.5" style="1354"/>
    <col min="769" max="769" width="11.83203125" style="1354" customWidth="1"/>
    <col min="770" max="770" width="2.1640625" style="1354" customWidth="1"/>
    <col min="771" max="786" width="10.6640625" style="1354" customWidth="1"/>
    <col min="787" max="788" width="14" style="1354" customWidth="1"/>
    <col min="789" max="789" width="54" style="1354" customWidth="1"/>
    <col min="790" max="792" width="10.6640625" style="1354" customWidth="1"/>
    <col min="793" max="799" width="11.1640625" style="1354" customWidth="1"/>
    <col min="800" max="1024" width="4.5" style="1354"/>
    <col min="1025" max="1025" width="11.83203125" style="1354" customWidth="1"/>
    <col min="1026" max="1026" width="2.1640625" style="1354" customWidth="1"/>
    <col min="1027" max="1042" width="10.6640625" style="1354" customWidth="1"/>
    <col min="1043" max="1044" width="14" style="1354" customWidth="1"/>
    <col min="1045" max="1045" width="54" style="1354" customWidth="1"/>
    <col min="1046" max="1048" width="10.6640625" style="1354" customWidth="1"/>
    <col min="1049" max="1055" width="11.1640625" style="1354" customWidth="1"/>
    <col min="1056" max="1280" width="4.5" style="1354"/>
    <col min="1281" max="1281" width="11.83203125" style="1354" customWidth="1"/>
    <col min="1282" max="1282" width="2.1640625" style="1354" customWidth="1"/>
    <col min="1283" max="1298" width="10.6640625" style="1354" customWidth="1"/>
    <col min="1299" max="1300" width="14" style="1354" customWidth="1"/>
    <col min="1301" max="1301" width="54" style="1354" customWidth="1"/>
    <col min="1302" max="1304" width="10.6640625" style="1354" customWidth="1"/>
    <col min="1305" max="1311" width="11.1640625" style="1354" customWidth="1"/>
    <col min="1312" max="1536" width="4.5" style="1354"/>
    <col min="1537" max="1537" width="11.83203125" style="1354" customWidth="1"/>
    <col min="1538" max="1538" width="2.1640625" style="1354" customWidth="1"/>
    <col min="1539" max="1554" width="10.6640625" style="1354" customWidth="1"/>
    <col min="1555" max="1556" width="14" style="1354" customWidth="1"/>
    <col min="1557" max="1557" width="54" style="1354" customWidth="1"/>
    <col min="1558" max="1560" width="10.6640625" style="1354" customWidth="1"/>
    <col min="1561" max="1567" width="11.1640625" style="1354" customWidth="1"/>
    <col min="1568" max="1792" width="4.5" style="1354"/>
    <col min="1793" max="1793" width="11.83203125" style="1354" customWidth="1"/>
    <col min="1794" max="1794" width="2.1640625" style="1354" customWidth="1"/>
    <col min="1795" max="1810" width="10.6640625" style="1354" customWidth="1"/>
    <col min="1811" max="1812" width="14" style="1354" customWidth="1"/>
    <col min="1813" max="1813" width="54" style="1354" customWidth="1"/>
    <col min="1814" max="1816" width="10.6640625" style="1354" customWidth="1"/>
    <col min="1817" max="1823" width="11.1640625" style="1354" customWidth="1"/>
    <col min="1824" max="2048" width="4.5" style="1354"/>
    <col min="2049" max="2049" width="11.83203125" style="1354" customWidth="1"/>
    <col min="2050" max="2050" width="2.1640625" style="1354" customWidth="1"/>
    <col min="2051" max="2066" width="10.6640625" style="1354" customWidth="1"/>
    <col min="2067" max="2068" width="14" style="1354" customWidth="1"/>
    <col min="2069" max="2069" width="54" style="1354" customWidth="1"/>
    <col min="2070" max="2072" width="10.6640625" style="1354" customWidth="1"/>
    <col min="2073" max="2079" width="11.1640625" style="1354" customWidth="1"/>
    <col min="2080" max="2304" width="4.5" style="1354"/>
    <col min="2305" max="2305" width="11.83203125" style="1354" customWidth="1"/>
    <col min="2306" max="2306" width="2.1640625" style="1354" customWidth="1"/>
    <col min="2307" max="2322" width="10.6640625" style="1354" customWidth="1"/>
    <col min="2323" max="2324" width="14" style="1354" customWidth="1"/>
    <col min="2325" max="2325" width="54" style="1354" customWidth="1"/>
    <col min="2326" max="2328" width="10.6640625" style="1354" customWidth="1"/>
    <col min="2329" max="2335" width="11.1640625" style="1354" customWidth="1"/>
    <col min="2336" max="2560" width="4.5" style="1354"/>
    <col min="2561" max="2561" width="11.83203125" style="1354" customWidth="1"/>
    <col min="2562" max="2562" width="2.1640625" style="1354" customWidth="1"/>
    <col min="2563" max="2578" width="10.6640625" style="1354" customWidth="1"/>
    <col min="2579" max="2580" width="14" style="1354" customWidth="1"/>
    <col min="2581" max="2581" width="54" style="1354" customWidth="1"/>
    <col min="2582" max="2584" width="10.6640625" style="1354" customWidth="1"/>
    <col min="2585" max="2591" width="11.1640625" style="1354" customWidth="1"/>
    <col min="2592" max="2816" width="4.5" style="1354"/>
    <col min="2817" max="2817" width="11.83203125" style="1354" customWidth="1"/>
    <col min="2818" max="2818" width="2.1640625" style="1354" customWidth="1"/>
    <col min="2819" max="2834" width="10.6640625" style="1354" customWidth="1"/>
    <col min="2835" max="2836" width="14" style="1354" customWidth="1"/>
    <col min="2837" max="2837" width="54" style="1354" customWidth="1"/>
    <col min="2838" max="2840" width="10.6640625" style="1354" customWidth="1"/>
    <col min="2841" max="2847" width="11.1640625" style="1354" customWidth="1"/>
    <col min="2848" max="3072" width="4.5" style="1354"/>
    <col min="3073" max="3073" width="11.83203125" style="1354" customWidth="1"/>
    <col min="3074" max="3074" width="2.1640625" style="1354" customWidth="1"/>
    <col min="3075" max="3090" width="10.6640625" style="1354" customWidth="1"/>
    <col min="3091" max="3092" width="14" style="1354" customWidth="1"/>
    <col min="3093" max="3093" width="54" style="1354" customWidth="1"/>
    <col min="3094" max="3096" width="10.6640625" style="1354" customWidth="1"/>
    <col min="3097" max="3103" width="11.1640625" style="1354" customWidth="1"/>
    <col min="3104" max="3328" width="4.5" style="1354"/>
    <col min="3329" max="3329" width="11.83203125" style="1354" customWidth="1"/>
    <col min="3330" max="3330" width="2.1640625" style="1354" customWidth="1"/>
    <col min="3331" max="3346" width="10.6640625" style="1354" customWidth="1"/>
    <col min="3347" max="3348" width="14" style="1354" customWidth="1"/>
    <col min="3349" max="3349" width="54" style="1354" customWidth="1"/>
    <col min="3350" max="3352" width="10.6640625" style="1354" customWidth="1"/>
    <col min="3353" max="3359" width="11.1640625" style="1354" customWidth="1"/>
    <col min="3360" max="3584" width="4.5" style="1354"/>
    <col min="3585" max="3585" width="11.83203125" style="1354" customWidth="1"/>
    <col min="3586" max="3586" width="2.1640625" style="1354" customWidth="1"/>
    <col min="3587" max="3602" width="10.6640625" style="1354" customWidth="1"/>
    <col min="3603" max="3604" width="14" style="1354" customWidth="1"/>
    <col min="3605" max="3605" width="54" style="1354" customWidth="1"/>
    <col min="3606" max="3608" width="10.6640625" style="1354" customWidth="1"/>
    <col min="3609" max="3615" width="11.1640625" style="1354" customWidth="1"/>
    <col min="3616" max="3840" width="4.5" style="1354"/>
    <col min="3841" max="3841" width="11.83203125" style="1354" customWidth="1"/>
    <col min="3842" max="3842" width="2.1640625" style="1354" customWidth="1"/>
    <col min="3843" max="3858" width="10.6640625" style="1354" customWidth="1"/>
    <col min="3859" max="3860" width="14" style="1354" customWidth="1"/>
    <col min="3861" max="3861" width="54" style="1354" customWidth="1"/>
    <col min="3862" max="3864" width="10.6640625" style="1354" customWidth="1"/>
    <col min="3865" max="3871" width="11.1640625" style="1354" customWidth="1"/>
    <col min="3872" max="4096" width="4.5" style="1354"/>
    <col min="4097" max="4097" width="11.83203125" style="1354" customWidth="1"/>
    <col min="4098" max="4098" width="2.1640625" style="1354" customWidth="1"/>
    <col min="4099" max="4114" width="10.6640625" style="1354" customWidth="1"/>
    <col min="4115" max="4116" width="14" style="1354" customWidth="1"/>
    <col min="4117" max="4117" width="54" style="1354" customWidth="1"/>
    <col min="4118" max="4120" width="10.6640625" style="1354" customWidth="1"/>
    <col min="4121" max="4127" width="11.1640625" style="1354" customWidth="1"/>
    <col min="4128" max="4352" width="4.5" style="1354"/>
    <col min="4353" max="4353" width="11.83203125" style="1354" customWidth="1"/>
    <col min="4354" max="4354" width="2.1640625" style="1354" customWidth="1"/>
    <col min="4355" max="4370" width="10.6640625" style="1354" customWidth="1"/>
    <col min="4371" max="4372" width="14" style="1354" customWidth="1"/>
    <col min="4373" max="4373" width="54" style="1354" customWidth="1"/>
    <col min="4374" max="4376" width="10.6640625" style="1354" customWidth="1"/>
    <col min="4377" max="4383" width="11.1640625" style="1354" customWidth="1"/>
    <col min="4384" max="4608" width="4.5" style="1354"/>
    <col min="4609" max="4609" width="11.83203125" style="1354" customWidth="1"/>
    <col min="4610" max="4610" width="2.1640625" style="1354" customWidth="1"/>
    <col min="4611" max="4626" width="10.6640625" style="1354" customWidth="1"/>
    <col min="4627" max="4628" width="14" style="1354" customWidth="1"/>
    <col min="4629" max="4629" width="54" style="1354" customWidth="1"/>
    <col min="4630" max="4632" width="10.6640625" style="1354" customWidth="1"/>
    <col min="4633" max="4639" width="11.1640625" style="1354" customWidth="1"/>
    <col min="4640" max="4864" width="4.5" style="1354"/>
    <col min="4865" max="4865" width="11.83203125" style="1354" customWidth="1"/>
    <col min="4866" max="4866" width="2.1640625" style="1354" customWidth="1"/>
    <col min="4867" max="4882" width="10.6640625" style="1354" customWidth="1"/>
    <col min="4883" max="4884" width="14" style="1354" customWidth="1"/>
    <col min="4885" max="4885" width="54" style="1354" customWidth="1"/>
    <col min="4886" max="4888" width="10.6640625" style="1354" customWidth="1"/>
    <col min="4889" max="4895" width="11.1640625" style="1354" customWidth="1"/>
    <col min="4896" max="5120" width="4.5" style="1354"/>
    <col min="5121" max="5121" width="11.83203125" style="1354" customWidth="1"/>
    <col min="5122" max="5122" width="2.1640625" style="1354" customWidth="1"/>
    <col min="5123" max="5138" width="10.6640625" style="1354" customWidth="1"/>
    <col min="5139" max="5140" width="14" style="1354" customWidth="1"/>
    <col min="5141" max="5141" width="54" style="1354" customWidth="1"/>
    <col min="5142" max="5144" width="10.6640625" style="1354" customWidth="1"/>
    <col min="5145" max="5151" width="11.1640625" style="1354" customWidth="1"/>
    <col min="5152" max="5376" width="4.5" style="1354"/>
    <col min="5377" max="5377" width="11.83203125" style="1354" customWidth="1"/>
    <col min="5378" max="5378" width="2.1640625" style="1354" customWidth="1"/>
    <col min="5379" max="5394" width="10.6640625" style="1354" customWidth="1"/>
    <col min="5395" max="5396" width="14" style="1354" customWidth="1"/>
    <col min="5397" max="5397" width="54" style="1354" customWidth="1"/>
    <col min="5398" max="5400" width="10.6640625" style="1354" customWidth="1"/>
    <col min="5401" max="5407" width="11.1640625" style="1354" customWidth="1"/>
    <col min="5408" max="5632" width="4.5" style="1354"/>
    <col min="5633" max="5633" width="11.83203125" style="1354" customWidth="1"/>
    <col min="5634" max="5634" width="2.1640625" style="1354" customWidth="1"/>
    <col min="5635" max="5650" width="10.6640625" style="1354" customWidth="1"/>
    <col min="5651" max="5652" width="14" style="1354" customWidth="1"/>
    <col min="5653" max="5653" width="54" style="1354" customWidth="1"/>
    <col min="5654" max="5656" width="10.6640625" style="1354" customWidth="1"/>
    <col min="5657" max="5663" width="11.1640625" style="1354" customWidth="1"/>
    <col min="5664" max="5888" width="4.5" style="1354"/>
    <col min="5889" max="5889" width="11.83203125" style="1354" customWidth="1"/>
    <col min="5890" max="5890" width="2.1640625" style="1354" customWidth="1"/>
    <col min="5891" max="5906" width="10.6640625" style="1354" customWidth="1"/>
    <col min="5907" max="5908" width="14" style="1354" customWidth="1"/>
    <col min="5909" max="5909" width="54" style="1354" customWidth="1"/>
    <col min="5910" max="5912" width="10.6640625" style="1354" customWidth="1"/>
    <col min="5913" max="5919" width="11.1640625" style="1354" customWidth="1"/>
    <col min="5920" max="6144" width="4.5" style="1354"/>
    <col min="6145" max="6145" width="11.83203125" style="1354" customWidth="1"/>
    <col min="6146" max="6146" width="2.1640625" style="1354" customWidth="1"/>
    <col min="6147" max="6162" width="10.6640625" style="1354" customWidth="1"/>
    <col min="6163" max="6164" width="14" style="1354" customWidth="1"/>
    <col min="6165" max="6165" width="54" style="1354" customWidth="1"/>
    <col min="6166" max="6168" width="10.6640625" style="1354" customWidth="1"/>
    <col min="6169" max="6175" width="11.1640625" style="1354" customWidth="1"/>
    <col min="6176" max="6400" width="4.5" style="1354"/>
    <col min="6401" max="6401" width="11.83203125" style="1354" customWidth="1"/>
    <col min="6402" max="6402" width="2.1640625" style="1354" customWidth="1"/>
    <col min="6403" max="6418" width="10.6640625" style="1354" customWidth="1"/>
    <col min="6419" max="6420" width="14" style="1354" customWidth="1"/>
    <col min="6421" max="6421" width="54" style="1354" customWidth="1"/>
    <col min="6422" max="6424" width="10.6640625" style="1354" customWidth="1"/>
    <col min="6425" max="6431" width="11.1640625" style="1354" customWidth="1"/>
    <col min="6432" max="6656" width="4.5" style="1354"/>
    <col min="6657" max="6657" width="11.83203125" style="1354" customWidth="1"/>
    <col min="6658" max="6658" width="2.1640625" style="1354" customWidth="1"/>
    <col min="6659" max="6674" width="10.6640625" style="1354" customWidth="1"/>
    <col min="6675" max="6676" width="14" style="1354" customWidth="1"/>
    <col min="6677" max="6677" width="54" style="1354" customWidth="1"/>
    <col min="6678" max="6680" width="10.6640625" style="1354" customWidth="1"/>
    <col min="6681" max="6687" width="11.1640625" style="1354" customWidth="1"/>
    <col min="6688" max="6912" width="4.5" style="1354"/>
    <col min="6913" max="6913" width="11.83203125" style="1354" customWidth="1"/>
    <col min="6914" max="6914" width="2.1640625" style="1354" customWidth="1"/>
    <col min="6915" max="6930" width="10.6640625" style="1354" customWidth="1"/>
    <col min="6931" max="6932" width="14" style="1354" customWidth="1"/>
    <col min="6933" max="6933" width="54" style="1354" customWidth="1"/>
    <col min="6934" max="6936" width="10.6640625" style="1354" customWidth="1"/>
    <col min="6937" max="6943" width="11.1640625" style="1354" customWidth="1"/>
    <col min="6944" max="7168" width="4.5" style="1354"/>
    <col min="7169" max="7169" width="11.83203125" style="1354" customWidth="1"/>
    <col min="7170" max="7170" width="2.1640625" style="1354" customWidth="1"/>
    <col min="7171" max="7186" width="10.6640625" style="1354" customWidth="1"/>
    <col min="7187" max="7188" width="14" style="1354" customWidth="1"/>
    <col min="7189" max="7189" width="54" style="1354" customWidth="1"/>
    <col min="7190" max="7192" width="10.6640625" style="1354" customWidth="1"/>
    <col min="7193" max="7199" width="11.1640625" style="1354" customWidth="1"/>
    <col min="7200" max="7424" width="4.5" style="1354"/>
    <col min="7425" max="7425" width="11.83203125" style="1354" customWidth="1"/>
    <col min="7426" max="7426" width="2.1640625" style="1354" customWidth="1"/>
    <col min="7427" max="7442" width="10.6640625" style="1354" customWidth="1"/>
    <col min="7443" max="7444" width="14" style="1354" customWidth="1"/>
    <col min="7445" max="7445" width="54" style="1354" customWidth="1"/>
    <col min="7446" max="7448" width="10.6640625" style="1354" customWidth="1"/>
    <col min="7449" max="7455" width="11.1640625" style="1354" customWidth="1"/>
    <col min="7456" max="7680" width="4.5" style="1354"/>
    <col min="7681" max="7681" width="11.83203125" style="1354" customWidth="1"/>
    <col min="7682" max="7682" width="2.1640625" style="1354" customWidth="1"/>
    <col min="7683" max="7698" width="10.6640625" style="1354" customWidth="1"/>
    <col min="7699" max="7700" width="14" style="1354" customWidth="1"/>
    <col min="7701" max="7701" width="54" style="1354" customWidth="1"/>
    <col min="7702" max="7704" width="10.6640625" style="1354" customWidth="1"/>
    <col min="7705" max="7711" width="11.1640625" style="1354" customWidth="1"/>
    <col min="7712" max="7936" width="4.5" style="1354"/>
    <col min="7937" max="7937" width="11.83203125" style="1354" customWidth="1"/>
    <col min="7938" max="7938" width="2.1640625" style="1354" customWidth="1"/>
    <col min="7939" max="7954" width="10.6640625" style="1354" customWidth="1"/>
    <col min="7955" max="7956" width="14" style="1354" customWidth="1"/>
    <col min="7957" max="7957" width="54" style="1354" customWidth="1"/>
    <col min="7958" max="7960" width="10.6640625" style="1354" customWidth="1"/>
    <col min="7961" max="7967" width="11.1640625" style="1354" customWidth="1"/>
    <col min="7968" max="8192" width="4.5" style="1354"/>
    <col min="8193" max="8193" width="11.83203125" style="1354" customWidth="1"/>
    <col min="8194" max="8194" width="2.1640625" style="1354" customWidth="1"/>
    <col min="8195" max="8210" width="10.6640625" style="1354" customWidth="1"/>
    <col min="8211" max="8212" width="14" style="1354" customWidth="1"/>
    <col min="8213" max="8213" width="54" style="1354" customWidth="1"/>
    <col min="8214" max="8216" width="10.6640625" style="1354" customWidth="1"/>
    <col min="8217" max="8223" width="11.1640625" style="1354" customWidth="1"/>
    <col min="8224" max="8448" width="4.5" style="1354"/>
    <col min="8449" max="8449" width="11.83203125" style="1354" customWidth="1"/>
    <col min="8450" max="8450" width="2.1640625" style="1354" customWidth="1"/>
    <col min="8451" max="8466" width="10.6640625" style="1354" customWidth="1"/>
    <col min="8467" max="8468" width="14" style="1354" customWidth="1"/>
    <col min="8469" max="8469" width="54" style="1354" customWidth="1"/>
    <col min="8470" max="8472" width="10.6640625" style="1354" customWidth="1"/>
    <col min="8473" max="8479" width="11.1640625" style="1354" customWidth="1"/>
    <col min="8480" max="8704" width="4.5" style="1354"/>
    <col min="8705" max="8705" width="11.83203125" style="1354" customWidth="1"/>
    <col min="8706" max="8706" width="2.1640625" style="1354" customWidth="1"/>
    <col min="8707" max="8722" width="10.6640625" style="1354" customWidth="1"/>
    <col min="8723" max="8724" width="14" style="1354" customWidth="1"/>
    <col min="8725" max="8725" width="54" style="1354" customWidth="1"/>
    <col min="8726" max="8728" width="10.6640625" style="1354" customWidth="1"/>
    <col min="8729" max="8735" width="11.1640625" style="1354" customWidth="1"/>
    <col min="8736" max="8960" width="4.5" style="1354"/>
    <col min="8961" max="8961" width="11.83203125" style="1354" customWidth="1"/>
    <col min="8962" max="8962" width="2.1640625" style="1354" customWidth="1"/>
    <col min="8963" max="8978" width="10.6640625" style="1354" customWidth="1"/>
    <col min="8979" max="8980" width="14" style="1354" customWidth="1"/>
    <col min="8981" max="8981" width="54" style="1354" customWidth="1"/>
    <col min="8982" max="8984" width="10.6640625" style="1354" customWidth="1"/>
    <col min="8985" max="8991" width="11.1640625" style="1354" customWidth="1"/>
    <col min="8992" max="9216" width="4.5" style="1354"/>
    <col min="9217" max="9217" width="11.83203125" style="1354" customWidth="1"/>
    <col min="9218" max="9218" width="2.1640625" style="1354" customWidth="1"/>
    <col min="9219" max="9234" width="10.6640625" style="1354" customWidth="1"/>
    <col min="9235" max="9236" width="14" style="1354" customWidth="1"/>
    <col min="9237" max="9237" width="54" style="1354" customWidth="1"/>
    <col min="9238" max="9240" width="10.6640625" style="1354" customWidth="1"/>
    <col min="9241" max="9247" width="11.1640625" style="1354" customWidth="1"/>
    <col min="9248" max="9472" width="4.5" style="1354"/>
    <col min="9473" max="9473" width="11.83203125" style="1354" customWidth="1"/>
    <col min="9474" max="9474" width="2.1640625" style="1354" customWidth="1"/>
    <col min="9475" max="9490" width="10.6640625" style="1354" customWidth="1"/>
    <col min="9491" max="9492" width="14" style="1354" customWidth="1"/>
    <col min="9493" max="9493" width="54" style="1354" customWidth="1"/>
    <col min="9494" max="9496" width="10.6640625" style="1354" customWidth="1"/>
    <col min="9497" max="9503" width="11.1640625" style="1354" customWidth="1"/>
    <col min="9504" max="9728" width="4.5" style="1354"/>
    <col min="9729" max="9729" width="11.83203125" style="1354" customWidth="1"/>
    <col min="9730" max="9730" width="2.1640625" style="1354" customWidth="1"/>
    <col min="9731" max="9746" width="10.6640625" style="1354" customWidth="1"/>
    <col min="9747" max="9748" width="14" style="1354" customWidth="1"/>
    <col min="9749" max="9749" width="54" style="1354" customWidth="1"/>
    <col min="9750" max="9752" width="10.6640625" style="1354" customWidth="1"/>
    <col min="9753" max="9759" width="11.1640625" style="1354" customWidth="1"/>
    <col min="9760" max="9984" width="4.5" style="1354"/>
    <col min="9985" max="9985" width="11.83203125" style="1354" customWidth="1"/>
    <col min="9986" max="9986" width="2.1640625" style="1354" customWidth="1"/>
    <col min="9987" max="10002" width="10.6640625" style="1354" customWidth="1"/>
    <col min="10003" max="10004" width="14" style="1354" customWidth="1"/>
    <col min="10005" max="10005" width="54" style="1354" customWidth="1"/>
    <col min="10006" max="10008" width="10.6640625" style="1354" customWidth="1"/>
    <col min="10009" max="10015" width="11.1640625" style="1354" customWidth="1"/>
    <col min="10016" max="10240" width="4.5" style="1354"/>
    <col min="10241" max="10241" width="11.83203125" style="1354" customWidth="1"/>
    <col min="10242" max="10242" width="2.1640625" style="1354" customWidth="1"/>
    <col min="10243" max="10258" width="10.6640625" style="1354" customWidth="1"/>
    <col min="10259" max="10260" width="14" style="1354" customWidth="1"/>
    <col min="10261" max="10261" width="54" style="1354" customWidth="1"/>
    <col min="10262" max="10264" width="10.6640625" style="1354" customWidth="1"/>
    <col min="10265" max="10271" width="11.1640625" style="1354" customWidth="1"/>
    <col min="10272" max="10496" width="4.5" style="1354"/>
    <col min="10497" max="10497" width="11.83203125" style="1354" customWidth="1"/>
    <col min="10498" max="10498" width="2.1640625" style="1354" customWidth="1"/>
    <col min="10499" max="10514" width="10.6640625" style="1354" customWidth="1"/>
    <col min="10515" max="10516" width="14" style="1354" customWidth="1"/>
    <col min="10517" max="10517" width="54" style="1354" customWidth="1"/>
    <col min="10518" max="10520" width="10.6640625" style="1354" customWidth="1"/>
    <col min="10521" max="10527" width="11.1640625" style="1354" customWidth="1"/>
    <col min="10528" max="10752" width="4.5" style="1354"/>
    <col min="10753" max="10753" width="11.83203125" style="1354" customWidth="1"/>
    <col min="10754" max="10754" width="2.1640625" style="1354" customWidth="1"/>
    <col min="10755" max="10770" width="10.6640625" style="1354" customWidth="1"/>
    <col min="10771" max="10772" width="14" style="1354" customWidth="1"/>
    <col min="10773" max="10773" width="54" style="1354" customWidth="1"/>
    <col min="10774" max="10776" width="10.6640625" style="1354" customWidth="1"/>
    <col min="10777" max="10783" width="11.1640625" style="1354" customWidth="1"/>
    <col min="10784" max="11008" width="4.5" style="1354"/>
    <col min="11009" max="11009" width="11.83203125" style="1354" customWidth="1"/>
    <col min="11010" max="11010" width="2.1640625" style="1354" customWidth="1"/>
    <col min="11011" max="11026" width="10.6640625" style="1354" customWidth="1"/>
    <col min="11027" max="11028" width="14" style="1354" customWidth="1"/>
    <col min="11029" max="11029" width="54" style="1354" customWidth="1"/>
    <col min="11030" max="11032" width="10.6640625" style="1354" customWidth="1"/>
    <col min="11033" max="11039" width="11.1640625" style="1354" customWidth="1"/>
    <col min="11040" max="11264" width="4.5" style="1354"/>
    <col min="11265" max="11265" width="11.83203125" style="1354" customWidth="1"/>
    <col min="11266" max="11266" width="2.1640625" style="1354" customWidth="1"/>
    <col min="11267" max="11282" width="10.6640625" style="1354" customWidth="1"/>
    <col min="11283" max="11284" width="14" style="1354" customWidth="1"/>
    <col min="11285" max="11285" width="54" style="1354" customWidth="1"/>
    <col min="11286" max="11288" width="10.6640625" style="1354" customWidth="1"/>
    <col min="11289" max="11295" width="11.1640625" style="1354" customWidth="1"/>
    <col min="11296" max="11520" width="4.5" style="1354"/>
    <col min="11521" max="11521" width="11.83203125" style="1354" customWidth="1"/>
    <col min="11522" max="11522" width="2.1640625" style="1354" customWidth="1"/>
    <col min="11523" max="11538" width="10.6640625" style="1354" customWidth="1"/>
    <col min="11539" max="11540" width="14" style="1354" customWidth="1"/>
    <col min="11541" max="11541" width="54" style="1354" customWidth="1"/>
    <col min="11542" max="11544" width="10.6640625" style="1354" customWidth="1"/>
    <col min="11545" max="11551" width="11.1640625" style="1354" customWidth="1"/>
    <col min="11552" max="11776" width="4.5" style="1354"/>
    <col min="11777" max="11777" width="11.83203125" style="1354" customWidth="1"/>
    <col min="11778" max="11778" width="2.1640625" style="1354" customWidth="1"/>
    <col min="11779" max="11794" width="10.6640625" style="1354" customWidth="1"/>
    <col min="11795" max="11796" width="14" style="1354" customWidth="1"/>
    <col min="11797" max="11797" width="54" style="1354" customWidth="1"/>
    <col min="11798" max="11800" width="10.6640625" style="1354" customWidth="1"/>
    <col min="11801" max="11807" width="11.1640625" style="1354" customWidth="1"/>
    <col min="11808" max="12032" width="4.5" style="1354"/>
    <col min="12033" max="12033" width="11.83203125" style="1354" customWidth="1"/>
    <col min="12034" max="12034" width="2.1640625" style="1354" customWidth="1"/>
    <col min="12035" max="12050" width="10.6640625" style="1354" customWidth="1"/>
    <col min="12051" max="12052" width="14" style="1354" customWidth="1"/>
    <col min="12053" max="12053" width="54" style="1354" customWidth="1"/>
    <col min="12054" max="12056" width="10.6640625" style="1354" customWidth="1"/>
    <col min="12057" max="12063" width="11.1640625" style="1354" customWidth="1"/>
    <col min="12064" max="12288" width="4.5" style="1354"/>
    <col min="12289" max="12289" width="11.83203125" style="1354" customWidth="1"/>
    <col min="12290" max="12290" width="2.1640625" style="1354" customWidth="1"/>
    <col min="12291" max="12306" width="10.6640625" style="1354" customWidth="1"/>
    <col min="12307" max="12308" width="14" style="1354" customWidth="1"/>
    <col min="12309" max="12309" width="54" style="1354" customWidth="1"/>
    <col min="12310" max="12312" width="10.6640625" style="1354" customWidth="1"/>
    <col min="12313" max="12319" width="11.1640625" style="1354" customWidth="1"/>
    <col min="12320" max="12544" width="4.5" style="1354"/>
    <col min="12545" max="12545" width="11.83203125" style="1354" customWidth="1"/>
    <col min="12546" max="12546" width="2.1640625" style="1354" customWidth="1"/>
    <col min="12547" max="12562" width="10.6640625" style="1354" customWidth="1"/>
    <col min="12563" max="12564" width="14" style="1354" customWidth="1"/>
    <col min="12565" max="12565" width="54" style="1354" customWidth="1"/>
    <col min="12566" max="12568" width="10.6640625" style="1354" customWidth="1"/>
    <col min="12569" max="12575" width="11.1640625" style="1354" customWidth="1"/>
    <col min="12576" max="12800" width="4.5" style="1354"/>
    <col min="12801" max="12801" width="11.83203125" style="1354" customWidth="1"/>
    <col min="12802" max="12802" width="2.1640625" style="1354" customWidth="1"/>
    <col min="12803" max="12818" width="10.6640625" style="1354" customWidth="1"/>
    <col min="12819" max="12820" width="14" style="1354" customWidth="1"/>
    <col min="12821" max="12821" width="54" style="1354" customWidth="1"/>
    <col min="12822" max="12824" width="10.6640625" style="1354" customWidth="1"/>
    <col min="12825" max="12831" width="11.1640625" style="1354" customWidth="1"/>
    <col min="12832" max="13056" width="4.5" style="1354"/>
    <col min="13057" max="13057" width="11.83203125" style="1354" customWidth="1"/>
    <col min="13058" max="13058" width="2.1640625" style="1354" customWidth="1"/>
    <col min="13059" max="13074" width="10.6640625" style="1354" customWidth="1"/>
    <col min="13075" max="13076" width="14" style="1354" customWidth="1"/>
    <col min="13077" max="13077" width="54" style="1354" customWidth="1"/>
    <col min="13078" max="13080" width="10.6640625" style="1354" customWidth="1"/>
    <col min="13081" max="13087" width="11.1640625" style="1354" customWidth="1"/>
    <col min="13088" max="13312" width="4.5" style="1354"/>
    <col min="13313" max="13313" width="11.83203125" style="1354" customWidth="1"/>
    <col min="13314" max="13314" width="2.1640625" style="1354" customWidth="1"/>
    <col min="13315" max="13330" width="10.6640625" style="1354" customWidth="1"/>
    <col min="13331" max="13332" width="14" style="1354" customWidth="1"/>
    <col min="13333" max="13333" width="54" style="1354" customWidth="1"/>
    <col min="13334" max="13336" width="10.6640625" style="1354" customWidth="1"/>
    <col min="13337" max="13343" width="11.1640625" style="1354" customWidth="1"/>
    <col min="13344" max="13568" width="4.5" style="1354"/>
    <col min="13569" max="13569" width="11.83203125" style="1354" customWidth="1"/>
    <col min="13570" max="13570" width="2.1640625" style="1354" customWidth="1"/>
    <col min="13571" max="13586" width="10.6640625" style="1354" customWidth="1"/>
    <col min="13587" max="13588" width="14" style="1354" customWidth="1"/>
    <col min="13589" max="13589" width="54" style="1354" customWidth="1"/>
    <col min="13590" max="13592" width="10.6640625" style="1354" customWidth="1"/>
    <col min="13593" max="13599" width="11.1640625" style="1354" customWidth="1"/>
    <col min="13600" max="13824" width="4.5" style="1354"/>
    <col min="13825" max="13825" width="11.83203125" style="1354" customWidth="1"/>
    <col min="13826" max="13826" width="2.1640625" style="1354" customWidth="1"/>
    <col min="13827" max="13842" width="10.6640625" style="1354" customWidth="1"/>
    <col min="13843" max="13844" width="14" style="1354" customWidth="1"/>
    <col min="13845" max="13845" width="54" style="1354" customWidth="1"/>
    <col min="13846" max="13848" width="10.6640625" style="1354" customWidth="1"/>
    <col min="13849" max="13855" width="11.1640625" style="1354" customWidth="1"/>
    <col min="13856" max="14080" width="4.5" style="1354"/>
    <col min="14081" max="14081" width="11.83203125" style="1354" customWidth="1"/>
    <col min="14082" max="14082" width="2.1640625" style="1354" customWidth="1"/>
    <col min="14083" max="14098" width="10.6640625" style="1354" customWidth="1"/>
    <col min="14099" max="14100" width="14" style="1354" customWidth="1"/>
    <col min="14101" max="14101" width="54" style="1354" customWidth="1"/>
    <col min="14102" max="14104" width="10.6640625" style="1354" customWidth="1"/>
    <col min="14105" max="14111" width="11.1640625" style="1354" customWidth="1"/>
    <col min="14112" max="14336" width="4.5" style="1354"/>
    <col min="14337" max="14337" width="11.83203125" style="1354" customWidth="1"/>
    <col min="14338" max="14338" width="2.1640625" style="1354" customWidth="1"/>
    <col min="14339" max="14354" width="10.6640625" style="1354" customWidth="1"/>
    <col min="14355" max="14356" width="14" style="1354" customWidth="1"/>
    <col min="14357" max="14357" width="54" style="1354" customWidth="1"/>
    <col min="14358" max="14360" width="10.6640625" style="1354" customWidth="1"/>
    <col min="14361" max="14367" width="11.1640625" style="1354" customWidth="1"/>
    <col min="14368" max="14592" width="4.5" style="1354"/>
    <col min="14593" max="14593" width="11.83203125" style="1354" customWidth="1"/>
    <col min="14594" max="14594" width="2.1640625" style="1354" customWidth="1"/>
    <col min="14595" max="14610" width="10.6640625" style="1354" customWidth="1"/>
    <col min="14611" max="14612" width="14" style="1354" customWidth="1"/>
    <col min="14613" max="14613" width="54" style="1354" customWidth="1"/>
    <col min="14614" max="14616" width="10.6640625" style="1354" customWidth="1"/>
    <col min="14617" max="14623" width="11.1640625" style="1354" customWidth="1"/>
    <col min="14624" max="14848" width="4.5" style="1354"/>
    <col min="14849" max="14849" width="11.83203125" style="1354" customWidth="1"/>
    <col min="14850" max="14850" width="2.1640625" style="1354" customWidth="1"/>
    <col min="14851" max="14866" width="10.6640625" style="1354" customWidth="1"/>
    <col min="14867" max="14868" width="14" style="1354" customWidth="1"/>
    <col min="14869" max="14869" width="54" style="1354" customWidth="1"/>
    <col min="14870" max="14872" width="10.6640625" style="1354" customWidth="1"/>
    <col min="14873" max="14879" width="11.1640625" style="1354" customWidth="1"/>
    <col min="14880" max="15104" width="4.5" style="1354"/>
    <col min="15105" max="15105" width="11.83203125" style="1354" customWidth="1"/>
    <col min="15106" max="15106" width="2.1640625" style="1354" customWidth="1"/>
    <col min="15107" max="15122" width="10.6640625" style="1354" customWidth="1"/>
    <col min="15123" max="15124" width="14" style="1354" customWidth="1"/>
    <col min="15125" max="15125" width="54" style="1354" customWidth="1"/>
    <col min="15126" max="15128" width="10.6640625" style="1354" customWidth="1"/>
    <col min="15129" max="15135" width="11.1640625" style="1354" customWidth="1"/>
    <col min="15136" max="15360" width="4.5" style="1354"/>
    <col min="15361" max="15361" width="11.83203125" style="1354" customWidth="1"/>
    <col min="15362" max="15362" width="2.1640625" style="1354" customWidth="1"/>
    <col min="15363" max="15378" width="10.6640625" style="1354" customWidth="1"/>
    <col min="15379" max="15380" width="14" style="1354" customWidth="1"/>
    <col min="15381" max="15381" width="54" style="1354" customWidth="1"/>
    <col min="15382" max="15384" width="10.6640625" style="1354" customWidth="1"/>
    <col min="15385" max="15391" width="11.1640625" style="1354" customWidth="1"/>
    <col min="15392" max="15616" width="4.5" style="1354"/>
    <col min="15617" max="15617" width="11.83203125" style="1354" customWidth="1"/>
    <col min="15618" max="15618" width="2.1640625" style="1354" customWidth="1"/>
    <col min="15619" max="15634" width="10.6640625" style="1354" customWidth="1"/>
    <col min="15635" max="15636" width="14" style="1354" customWidth="1"/>
    <col min="15637" max="15637" width="54" style="1354" customWidth="1"/>
    <col min="15638" max="15640" width="10.6640625" style="1354" customWidth="1"/>
    <col min="15641" max="15647" width="11.1640625" style="1354" customWidth="1"/>
    <col min="15648" max="15872" width="4.5" style="1354"/>
    <col min="15873" max="15873" width="11.83203125" style="1354" customWidth="1"/>
    <col min="15874" max="15874" width="2.1640625" style="1354" customWidth="1"/>
    <col min="15875" max="15890" width="10.6640625" style="1354" customWidth="1"/>
    <col min="15891" max="15892" width="14" style="1354" customWidth="1"/>
    <col min="15893" max="15893" width="54" style="1354" customWidth="1"/>
    <col min="15894" max="15896" width="10.6640625" style="1354" customWidth="1"/>
    <col min="15897" max="15903" width="11.1640625" style="1354" customWidth="1"/>
    <col min="15904" max="16128" width="4.5" style="1354"/>
    <col min="16129" max="16129" width="11.83203125" style="1354" customWidth="1"/>
    <col min="16130" max="16130" width="2.1640625" style="1354" customWidth="1"/>
    <col min="16131" max="16146" width="10.6640625" style="1354" customWidth="1"/>
    <col min="16147" max="16148" width="14" style="1354" customWidth="1"/>
    <col min="16149" max="16149" width="54" style="1354" customWidth="1"/>
    <col min="16150" max="16152" width="10.6640625" style="1354" customWidth="1"/>
    <col min="16153" max="16159" width="11.1640625" style="1354" customWidth="1"/>
    <col min="16160" max="16384" width="4.5" style="1354"/>
  </cols>
  <sheetData>
    <row r="1" spans="1:31" ht="14.45">
      <c r="A1" s="1353" t="s">
        <v>60</v>
      </c>
      <c r="G1" s="1511"/>
      <c r="H1" s="1512" t="s">
        <v>201</v>
      </c>
      <c r="I1" s="1511"/>
      <c r="J1" s="1511"/>
      <c r="K1" s="1511"/>
      <c r="L1" s="1511"/>
      <c r="M1" s="1511"/>
      <c r="O1" s="1498"/>
      <c r="P1" s="1358"/>
      <c r="R1" s="1358"/>
      <c r="S1" s="1358"/>
      <c r="T1" s="1358"/>
      <c r="U1" s="1358"/>
      <c r="V1" s="1358">
        <f>+Base!V1</f>
        <v>45657</v>
      </c>
    </row>
    <row r="2" spans="1:31">
      <c r="A2" s="1359" t="s">
        <v>62</v>
      </c>
      <c r="B2" s="1360"/>
      <c r="C2" s="1360"/>
      <c r="D2" s="1360"/>
      <c r="E2" s="1360"/>
      <c r="F2" s="1360"/>
      <c r="G2" s="1360"/>
      <c r="H2" s="1360"/>
      <c r="I2" s="1360"/>
      <c r="J2" s="1360"/>
      <c r="K2" s="1360"/>
      <c r="L2" s="1360"/>
      <c r="M2" s="1360"/>
      <c r="N2" s="1360"/>
      <c r="O2" s="1360"/>
      <c r="P2" s="1360"/>
      <c r="Q2" s="1360"/>
      <c r="R2" s="1360"/>
      <c r="S2" s="1360"/>
      <c r="T2" s="1360"/>
      <c r="U2" s="1360"/>
      <c r="V2" s="1360"/>
      <c r="W2" s="1360"/>
      <c r="X2" s="1360"/>
      <c r="Y2" s="1360"/>
      <c r="Z2" s="1360"/>
      <c r="AA2" s="1360"/>
      <c r="AB2" s="1360"/>
      <c r="AC2" s="1360"/>
      <c r="AD2" s="1360"/>
      <c r="AE2" s="1360"/>
    </row>
    <row r="3" spans="1:31" ht="14.45">
      <c r="A3" s="1361" t="s">
        <v>63</v>
      </c>
      <c r="C3" s="1362"/>
      <c r="D3" s="1362"/>
      <c r="E3" s="1362"/>
      <c r="F3" s="1362"/>
      <c r="G3" s="1362"/>
      <c r="H3" s="1362"/>
      <c r="I3" s="1362"/>
      <c r="J3" s="1362"/>
      <c r="K3" s="1362">
        <f>+Base!K3</f>
        <v>45657</v>
      </c>
      <c r="L3" s="1362">
        <v>46203</v>
      </c>
      <c r="M3" s="1362">
        <v>46568</v>
      </c>
      <c r="N3" s="1362">
        <v>46934</v>
      </c>
      <c r="O3" s="1362">
        <v>47299</v>
      </c>
      <c r="P3" s="1362">
        <v>47664</v>
      </c>
      <c r="Q3" s="1362">
        <v>48029</v>
      </c>
      <c r="R3" s="1362">
        <v>48395</v>
      </c>
      <c r="S3" s="1362">
        <v>48760</v>
      </c>
      <c r="T3" s="1362">
        <v>49125</v>
      </c>
      <c r="U3" s="1362">
        <v>49490</v>
      </c>
      <c r="V3" s="1362">
        <v>49856</v>
      </c>
    </row>
    <row r="4" spans="1:31" ht="17.100000000000001">
      <c r="A4" s="1363"/>
      <c r="C4" s="1364"/>
      <c r="D4" s="1364" t="str">
        <f>+'Historical Financials'!D5</f>
        <v>FYE June 30th</v>
      </c>
      <c r="E4" s="1365"/>
      <c r="F4" s="1365"/>
      <c r="G4" s="1365"/>
      <c r="H4" s="1365"/>
      <c r="I4" s="1365"/>
      <c r="J4" s="1365"/>
      <c r="K4" s="1365"/>
      <c r="L4" s="1365"/>
      <c r="M4" s="1365"/>
      <c r="N4" s="1365"/>
      <c r="O4" s="1365"/>
      <c r="P4" s="1365"/>
      <c r="Q4" s="1365"/>
      <c r="R4" s="1365"/>
      <c r="S4" s="1365"/>
      <c r="T4" s="1365"/>
      <c r="U4" s="1365"/>
      <c r="V4" s="1365"/>
    </row>
    <row r="5" spans="1:31" ht="17.100000000000001">
      <c r="C5" s="1366" t="s">
        <v>64</v>
      </c>
      <c r="D5" s="1366" t="s">
        <v>65</v>
      </c>
      <c r="E5" s="1366" t="s">
        <v>66</v>
      </c>
      <c r="F5" s="1366" t="s">
        <v>67</v>
      </c>
      <c r="G5" s="1366" t="s">
        <v>68</v>
      </c>
      <c r="H5" s="1366" t="s">
        <v>69</v>
      </c>
      <c r="I5" s="1366" t="s">
        <v>70</v>
      </c>
      <c r="J5" s="1366" t="s">
        <v>71</v>
      </c>
      <c r="K5" s="1367" t="s">
        <v>72</v>
      </c>
      <c r="L5" s="1366" t="s">
        <v>73</v>
      </c>
      <c r="M5" s="1366" t="s">
        <v>74</v>
      </c>
      <c r="N5" s="1366" t="s">
        <v>75</v>
      </c>
      <c r="O5" s="1366" t="s">
        <v>76</v>
      </c>
      <c r="P5" s="1366" t="s">
        <v>77</v>
      </c>
      <c r="Q5" s="1366" t="s">
        <v>78</v>
      </c>
      <c r="R5" s="1366" t="s">
        <v>79</v>
      </c>
      <c r="S5" s="1366" t="s">
        <v>80</v>
      </c>
      <c r="T5" s="1366" t="s">
        <v>81</v>
      </c>
      <c r="U5" s="1366" t="s">
        <v>82</v>
      </c>
      <c r="V5" s="1366" t="s">
        <v>83</v>
      </c>
    </row>
    <row r="6" spans="1:31" ht="17.100000000000001">
      <c r="A6" s="1368" t="s">
        <v>84</v>
      </c>
      <c r="B6" s="1369"/>
      <c r="C6" s="1366"/>
      <c r="D6" s="1366"/>
      <c r="E6" s="1366"/>
      <c r="F6" s="1366"/>
      <c r="G6" s="1366"/>
      <c r="H6" s="1366"/>
      <c r="I6" s="1366"/>
      <c r="J6" s="1366"/>
      <c r="K6" s="1367"/>
      <c r="L6" s="1366"/>
      <c r="M6" s="1366"/>
      <c r="N6" s="1366"/>
      <c r="O6" s="1366"/>
      <c r="P6" s="1366"/>
      <c r="Q6" s="1366"/>
      <c r="R6" s="1366"/>
      <c r="S6" s="1366"/>
      <c r="T6" s="1366"/>
      <c r="U6" s="1366"/>
      <c r="V6" s="1366"/>
    </row>
    <row r="7" spans="1:31" ht="17.100000000000001">
      <c r="C7" s="1370"/>
      <c r="D7" s="1371"/>
      <c r="E7" s="1372"/>
      <c r="F7" s="1373"/>
      <c r="G7" s="1373"/>
      <c r="H7" s="1373"/>
      <c r="I7" s="1373"/>
      <c r="J7" s="1371"/>
      <c r="K7" s="1374" t="str">
        <f>+Base!K7</f>
        <v>c = 278,698</v>
      </c>
      <c r="L7" s="1375"/>
      <c r="M7" s="1366"/>
      <c r="N7" s="1366"/>
      <c r="O7" s="1366"/>
      <c r="P7" s="1366"/>
      <c r="Q7" s="1366"/>
      <c r="R7" s="1366"/>
      <c r="S7" s="1366"/>
      <c r="T7" s="1366"/>
      <c r="U7" s="1366"/>
      <c r="V7" s="1366"/>
    </row>
    <row r="8" spans="1:31">
      <c r="A8" s="1354" t="s">
        <v>86</v>
      </c>
      <c r="B8" s="1376"/>
      <c r="C8" s="1377">
        <f>+'Historical Financials'!BH12</f>
        <v>96571</v>
      </c>
      <c r="D8" s="1377">
        <f>+'Historical Financials'!BI12</f>
        <v>110360</v>
      </c>
      <c r="E8" s="1377">
        <f>+'Historical Financials'!BJ12</f>
        <v>125843</v>
      </c>
      <c r="F8" s="1378">
        <f>+'Historical Financials'!BK12</f>
        <v>143015</v>
      </c>
      <c r="G8" s="1378">
        <f>+'Historical Financials'!BL12</f>
        <v>168088</v>
      </c>
      <c r="H8" s="1378">
        <f>+'Historical Financials'!BM12</f>
        <v>198270</v>
      </c>
      <c r="I8" s="1378">
        <f>+'Historical Financials'!BN12</f>
        <v>211915</v>
      </c>
      <c r="J8" s="1378">
        <f>+'Historical Financials'!BO12</f>
        <v>245122</v>
      </c>
      <c r="K8" s="1379">
        <f>+'Historical Financials'!BP12</f>
        <v>277944.15064726153</v>
      </c>
      <c r="L8" s="1380">
        <f t="shared" ref="L8:V8" si="0">K8*(1+L9)</f>
        <v>300179.68269904249</v>
      </c>
      <c r="M8" s="1380">
        <f t="shared" si="0"/>
        <v>324194.05731496593</v>
      </c>
      <c r="N8" s="1380">
        <f t="shared" si="0"/>
        <v>350129.5819001632</v>
      </c>
      <c r="O8" s="1380">
        <f t="shared" si="0"/>
        <v>378139.94845217629</v>
      </c>
      <c r="P8" s="1380">
        <f t="shared" si="0"/>
        <v>408391.14432835043</v>
      </c>
      <c r="Q8" s="1380">
        <f t="shared" si="0"/>
        <v>441062.43587461847</v>
      </c>
      <c r="R8" s="1380">
        <f t="shared" si="0"/>
        <v>476347.43074458797</v>
      </c>
      <c r="S8" s="1380">
        <f t="shared" si="0"/>
        <v>514455.22520415502</v>
      </c>
      <c r="T8" s="1380">
        <f t="shared" si="0"/>
        <v>555611.64322048752</v>
      </c>
      <c r="U8" s="1380">
        <f t="shared" si="0"/>
        <v>600060.57467812661</v>
      </c>
      <c r="V8" s="1380">
        <f t="shared" si="0"/>
        <v>648065.42065237672</v>
      </c>
    </row>
    <row r="9" spans="1:31" ht="17.100000000000001">
      <c r="A9" s="1381" t="s">
        <v>87</v>
      </c>
      <c r="C9" s="1382"/>
      <c r="D9" s="1383">
        <f t="shared" ref="D9:K9" si="1">D8/C8-1</f>
        <v>0.14278613662486661</v>
      </c>
      <c r="E9" s="1383">
        <f t="shared" si="1"/>
        <v>0.14029539688292858</v>
      </c>
      <c r="F9" s="1383">
        <f t="shared" si="1"/>
        <v>0.13645574247276371</v>
      </c>
      <c r="G9" s="1383">
        <f t="shared" si="1"/>
        <v>0.17531727441177503</v>
      </c>
      <c r="H9" s="1383">
        <f t="shared" si="1"/>
        <v>0.17956070629670173</v>
      </c>
      <c r="I9" s="1382">
        <f t="shared" si="1"/>
        <v>6.8820295556564215E-2</v>
      </c>
      <c r="J9" s="1382">
        <f t="shared" si="1"/>
        <v>0.1566996201307127</v>
      </c>
      <c r="K9" s="1384">
        <f t="shared" si="1"/>
        <v>0.13390128445125904</v>
      </c>
      <c r="L9" s="1385">
        <v>0.08</v>
      </c>
      <c r="M9" s="1385">
        <f t="shared" ref="M9:V9" si="2">+L9</f>
        <v>0.08</v>
      </c>
      <c r="N9" s="1385">
        <f t="shared" si="2"/>
        <v>0.08</v>
      </c>
      <c r="O9" s="1385">
        <f t="shared" si="2"/>
        <v>0.08</v>
      </c>
      <c r="P9" s="1385">
        <f t="shared" si="2"/>
        <v>0.08</v>
      </c>
      <c r="Q9" s="1385">
        <f t="shared" si="2"/>
        <v>0.08</v>
      </c>
      <c r="R9" s="1385">
        <f t="shared" si="2"/>
        <v>0.08</v>
      </c>
      <c r="S9" s="1385">
        <f t="shared" si="2"/>
        <v>0.08</v>
      </c>
      <c r="T9" s="1385">
        <f t="shared" si="2"/>
        <v>0.08</v>
      </c>
      <c r="U9" s="1385">
        <f t="shared" si="2"/>
        <v>0.08</v>
      </c>
      <c r="V9" s="1385">
        <f t="shared" si="2"/>
        <v>0.08</v>
      </c>
      <c r="Y9" s="1386" t="s">
        <v>60</v>
      </c>
      <c r="AA9" s="1366" t="s">
        <v>88</v>
      </c>
    </row>
    <row r="10" spans="1:31" ht="14.45">
      <c r="A10" s="1381" t="s">
        <v>89</v>
      </c>
      <c r="C10" s="1382"/>
      <c r="D10" s="1383">
        <f>+'Historical Financials'!BI15</f>
        <v>0.12866916569156372</v>
      </c>
      <c r="E10" s="1383">
        <f>+'Historical Financials'!BJ15</f>
        <v>0.1508835628851033</v>
      </c>
      <c r="F10" s="1383">
        <f>+'Historical Financials'!BK15</f>
        <v>0.15208497890228301</v>
      </c>
      <c r="G10" s="1383">
        <f>+'Historical Financials'!BL15</f>
        <v>0.1534946089571024</v>
      </c>
      <c r="H10" s="1383">
        <f>+'Historical Financials'!BM15</f>
        <v>0.18958755731124965</v>
      </c>
      <c r="I10" s="1383">
        <f>+'Historical Financials'!BN15</f>
        <v>0.10029775894823553</v>
      </c>
      <c r="J10" s="1382">
        <f>+'Historical Financials'!BO15</f>
        <v>0.12805103366915982</v>
      </c>
      <c r="K10" s="1384">
        <f>+'Historical Financials'!BP15</f>
        <v>0.13614750371620046</v>
      </c>
      <c r="L10" s="1383">
        <f t="shared" ref="L10:V10" si="3">+L9</f>
        <v>0.08</v>
      </c>
      <c r="M10" s="1383">
        <f t="shared" si="3"/>
        <v>0.08</v>
      </c>
      <c r="N10" s="1383">
        <f t="shared" si="3"/>
        <v>0.08</v>
      </c>
      <c r="O10" s="1383">
        <f t="shared" si="3"/>
        <v>0.08</v>
      </c>
      <c r="P10" s="1383">
        <f t="shared" si="3"/>
        <v>0.08</v>
      </c>
      <c r="Q10" s="1383">
        <f t="shared" si="3"/>
        <v>0.08</v>
      </c>
      <c r="R10" s="1383">
        <f t="shared" si="3"/>
        <v>0.08</v>
      </c>
      <c r="S10" s="1383">
        <f t="shared" si="3"/>
        <v>0.08</v>
      </c>
      <c r="T10" s="1383">
        <f t="shared" si="3"/>
        <v>0.08</v>
      </c>
      <c r="U10" s="1383">
        <f t="shared" si="3"/>
        <v>0.08</v>
      </c>
      <c r="V10" s="1383">
        <f t="shared" si="3"/>
        <v>0.08</v>
      </c>
      <c r="Y10" s="1387" t="s">
        <v>90</v>
      </c>
      <c r="AA10" s="1388"/>
    </row>
    <row r="11" spans="1:31" ht="14.45">
      <c r="A11" s="1381"/>
      <c r="C11" s="1382"/>
      <c r="D11" s="1383"/>
      <c r="E11" s="1383"/>
      <c r="F11" s="1383"/>
      <c r="G11" s="1389"/>
      <c r="H11" s="1389"/>
      <c r="I11" s="1390"/>
      <c r="J11" s="1390"/>
      <c r="K11" s="1391"/>
      <c r="L11" s="1389"/>
      <c r="M11" s="1389"/>
      <c r="N11" s="1389"/>
      <c r="O11" s="1389"/>
      <c r="P11" s="1389"/>
      <c r="Q11" s="1389"/>
      <c r="R11" s="1389"/>
      <c r="S11" s="1389"/>
      <c r="T11" s="1389"/>
      <c r="U11" s="1389"/>
      <c r="V11" s="1389"/>
      <c r="Y11" s="1354" t="s">
        <v>91</v>
      </c>
      <c r="AA11" s="1388" t="s">
        <v>92</v>
      </c>
    </row>
    <row r="12" spans="1:31" ht="14.45">
      <c r="A12" s="1381"/>
      <c r="C12" s="1382"/>
      <c r="D12" s="1383"/>
      <c r="E12" s="1383"/>
      <c r="F12" s="1373"/>
      <c r="G12" s="1373"/>
      <c r="H12" s="1373"/>
      <c r="I12" s="1373"/>
      <c r="J12" s="1371"/>
      <c r="K12" s="1374" t="str">
        <f>+Base!K12</f>
        <v>c = 123,262</v>
      </c>
      <c r="L12" s="1389"/>
      <c r="M12" s="1389"/>
      <c r="N12" s="1389"/>
      <c r="O12" s="1389"/>
      <c r="P12" s="1389"/>
      <c r="Q12" s="1389"/>
      <c r="R12" s="1389"/>
      <c r="S12" s="1389"/>
      <c r="T12" s="1389"/>
      <c r="U12" s="1389"/>
      <c r="V12" s="1389"/>
      <c r="Y12" s="1354" t="s">
        <v>94</v>
      </c>
      <c r="AA12" s="1392">
        <v>0.04</v>
      </c>
    </row>
    <row r="13" spans="1:31" ht="14.45">
      <c r="A13" s="1393" t="s">
        <v>95</v>
      </c>
      <c r="B13" s="1376"/>
      <c r="C13" s="1377">
        <f>+'Historical Financials'!BH49</f>
        <v>29331</v>
      </c>
      <c r="D13" s="1377">
        <f>+'Historical Financials'!BI49</f>
        <v>35058</v>
      </c>
      <c r="E13" s="1378">
        <f>+'Historical Financials'!BJ49</f>
        <v>42959</v>
      </c>
      <c r="F13" s="1378">
        <f>+'Historical Financials'!BK49</f>
        <v>52959</v>
      </c>
      <c r="G13" s="1394">
        <f>+'Historical Financials'!BL49</f>
        <v>69916</v>
      </c>
      <c r="H13" s="1394">
        <f>+'Historical Financials'!BM49</f>
        <v>83383</v>
      </c>
      <c r="I13" s="1394">
        <f>+'Historical Financials'!BN49</f>
        <v>89694</v>
      </c>
      <c r="J13" s="1378">
        <f>+'Historical Financials'!BO49</f>
        <v>112443</v>
      </c>
      <c r="K13" s="1379">
        <f>+'Historical Financials'!BP49</f>
        <v>129601.02612378589</v>
      </c>
      <c r="L13" s="1380">
        <f t="shared" ref="L13:V13" si="4">+L8*L17</f>
        <v>141017.82185267183</v>
      </c>
      <c r="M13" s="1380">
        <f t="shared" si="4"/>
        <v>153431.85833098725</v>
      </c>
      <c r="N13" s="1380">
        <f t="shared" si="4"/>
        <v>166929.62658597602</v>
      </c>
      <c r="O13" s="1380">
        <f t="shared" si="4"/>
        <v>181605.07386844471</v>
      </c>
      <c r="P13" s="1380">
        <f t="shared" si="4"/>
        <v>197560.24310595816</v>
      </c>
      <c r="Q13" s="1380">
        <f t="shared" si="4"/>
        <v>214905.96694871568</v>
      </c>
      <c r="R13" s="1380">
        <f t="shared" si="4"/>
        <v>233762.62105043625</v>
      </c>
      <c r="S13" s="1380">
        <f t="shared" si="4"/>
        <v>254260.94161996036</v>
      </c>
      <c r="T13" s="1380">
        <f t="shared" si="4"/>
        <v>276542.9127058856</v>
      </c>
      <c r="U13" s="1380">
        <f t="shared" si="4"/>
        <v>300762.72913919104</v>
      </c>
      <c r="V13" s="1380">
        <f t="shared" si="4"/>
        <v>328193.36731564178</v>
      </c>
      <c r="Y13" s="1354" t="s">
        <v>96</v>
      </c>
      <c r="AA13" s="1388" t="s">
        <v>97</v>
      </c>
    </row>
    <row r="14" spans="1:31" ht="14.45">
      <c r="A14" s="1381" t="s">
        <v>87</v>
      </c>
      <c r="C14" s="1382"/>
      <c r="D14" s="1383">
        <f t="shared" ref="D14:V14" si="5">D13/C13-1</f>
        <v>0.19525416794517736</v>
      </c>
      <c r="E14" s="1383">
        <f t="shared" si="5"/>
        <v>0.22536938787152727</v>
      </c>
      <c r="F14" s="1383">
        <f t="shared" si="5"/>
        <v>0.23278009264647692</v>
      </c>
      <c r="G14" s="1382">
        <f t="shared" si="5"/>
        <v>0.3201910912215109</v>
      </c>
      <c r="H14" s="1382">
        <f t="shared" si="5"/>
        <v>0.19261685451112753</v>
      </c>
      <c r="I14" s="1382">
        <f t="shared" si="5"/>
        <v>7.5686890613194446E-2</v>
      </c>
      <c r="J14" s="1382">
        <f t="shared" si="5"/>
        <v>0.25362900528463439</v>
      </c>
      <c r="K14" s="1384">
        <f t="shared" si="5"/>
        <v>0.15259310160513229</v>
      </c>
      <c r="L14" s="1383">
        <f t="shared" si="5"/>
        <v>8.80918621584168E-2</v>
      </c>
      <c r="M14" s="1383">
        <f t="shared" si="5"/>
        <v>8.8031685039675178E-2</v>
      </c>
      <c r="N14" s="1383">
        <f t="shared" si="5"/>
        <v>8.7972396357678395E-2</v>
      </c>
      <c r="O14" s="1383">
        <f t="shared" si="5"/>
        <v>8.791397658168365E-2</v>
      </c>
      <c r="P14" s="1383">
        <f t="shared" si="5"/>
        <v>8.7856406749248661E-2</v>
      </c>
      <c r="Q14" s="1383">
        <f t="shared" si="5"/>
        <v>8.7799668445712742E-2</v>
      </c>
      <c r="R14" s="1383">
        <f t="shared" si="5"/>
        <v>8.774374378455696E-2</v>
      </c>
      <c r="S14" s="1383">
        <f t="shared" si="5"/>
        <v>8.7688615388605839E-2</v>
      </c>
      <c r="T14" s="1383">
        <f t="shared" si="5"/>
        <v>8.7634266372023983E-2</v>
      </c>
      <c r="U14" s="1383">
        <f t="shared" si="5"/>
        <v>8.7580680323072313E-2</v>
      </c>
      <c r="V14" s="1383">
        <f t="shared" si="5"/>
        <v>9.1203581823318336E-2</v>
      </c>
      <c r="AA14" s="1388"/>
    </row>
    <row r="15" spans="1:31" ht="14.45">
      <c r="A15" s="1381" t="s">
        <v>89</v>
      </c>
      <c r="C15" s="1382" t="str">
        <f>+'Historical Financials'!BH52</f>
        <v>NA</v>
      </c>
      <c r="D15" s="1383">
        <f>+'Historical Financials'!BI52</f>
        <v>0.17249565306331185</v>
      </c>
      <c r="E15" s="1383">
        <f>+'Historical Financials'!BJ52</f>
        <v>0.24103656797307321</v>
      </c>
      <c r="F15" s="1383">
        <f>+'Historical Financials'!BK52</f>
        <v>0.29050722782187671</v>
      </c>
      <c r="G15" s="1382">
        <f>+'Historical Financials'!BL52</f>
        <v>0.28283879982628074</v>
      </c>
      <c r="H15" s="1382">
        <f>+'Historical Financials'!BM52</f>
        <v>0.21025030036043252</v>
      </c>
      <c r="I15" s="1382">
        <f>+'Historical Financials'!BN52</f>
        <v>0.14076322511782977</v>
      </c>
      <c r="J15" s="1382">
        <f>+'Historical Financials'!BO52</f>
        <v>0.23278034205186526</v>
      </c>
      <c r="K15" s="1384">
        <f>+'Historical Financials'!BP52</f>
        <v>0.15344578957730942</v>
      </c>
      <c r="L15" s="1383">
        <f>+L14</f>
        <v>8.80918621584168E-2</v>
      </c>
      <c r="M15" s="1383">
        <f t="shared" ref="M15:V15" si="6">+M14</f>
        <v>8.8031685039675178E-2</v>
      </c>
      <c r="N15" s="1383">
        <f t="shared" si="6"/>
        <v>8.7972396357678395E-2</v>
      </c>
      <c r="O15" s="1383">
        <f t="shared" si="6"/>
        <v>8.791397658168365E-2</v>
      </c>
      <c r="P15" s="1383">
        <f t="shared" si="6"/>
        <v>8.7856406749248661E-2</v>
      </c>
      <c r="Q15" s="1383">
        <f t="shared" si="6"/>
        <v>8.7799668445712742E-2</v>
      </c>
      <c r="R15" s="1383">
        <f t="shared" si="6"/>
        <v>8.774374378455696E-2</v>
      </c>
      <c r="S15" s="1383">
        <f t="shared" si="6"/>
        <v>8.7688615388605839E-2</v>
      </c>
      <c r="T15" s="1383">
        <f t="shared" si="6"/>
        <v>8.7634266372023983E-2</v>
      </c>
      <c r="U15" s="1383">
        <f t="shared" si="6"/>
        <v>8.7580680323072313E-2</v>
      </c>
      <c r="V15" s="1383">
        <f t="shared" si="6"/>
        <v>9.1203581823318336E-2</v>
      </c>
      <c r="AA15" s="1388"/>
    </row>
    <row r="16" spans="1:31" s="1363" customFormat="1" ht="14.45">
      <c r="A16" s="1381" t="s">
        <v>98</v>
      </c>
      <c r="C16" s="1382"/>
      <c r="D16" s="1395">
        <f>+D25</f>
        <v>0.17249565306331185</v>
      </c>
      <c r="E16" s="1395">
        <f>+E25</f>
        <v>0.24103656797307321</v>
      </c>
      <c r="F16" s="1395">
        <f>+F25</f>
        <v>0.29050722782187671</v>
      </c>
      <c r="G16" s="1396">
        <f>+'Historical Financials'!BL63</f>
        <v>0.22807492588606293</v>
      </c>
      <c r="H16" s="1396">
        <f>+'Historical Financials'!BM63</f>
        <v>0.25276367406485195</v>
      </c>
      <c r="I16" s="1396">
        <f>+'Historical Financials'!BN63</f>
        <v>9.6498489478974617E-2</v>
      </c>
      <c r="J16" s="1396">
        <f>+'Historical Financials'!BO63</f>
        <v>0.2726341594082406</v>
      </c>
      <c r="K16" s="1391"/>
      <c r="L16" s="1389"/>
      <c r="M16" s="1389"/>
      <c r="N16" s="1389"/>
      <c r="O16" s="1389"/>
      <c r="P16" s="1389"/>
      <c r="Q16" s="1389"/>
      <c r="R16" s="1389"/>
      <c r="S16" s="1389"/>
      <c r="T16" s="1389"/>
      <c r="U16" s="1389"/>
      <c r="V16" s="1389"/>
      <c r="X16" s="1381"/>
      <c r="Y16" s="1381"/>
      <c r="AA16" s="1411"/>
    </row>
    <row r="17" spans="1:28" ht="14.45">
      <c r="A17" s="1381" t="s">
        <v>99</v>
      </c>
      <c r="C17" s="1382"/>
      <c r="D17" s="1383">
        <f t="shared" ref="D17:K17" si="7">+D13/D8</f>
        <v>0.31766944545125048</v>
      </c>
      <c r="E17" s="1383">
        <f t="shared" si="7"/>
        <v>0.3413698020549415</v>
      </c>
      <c r="F17" s="1383">
        <f t="shared" si="7"/>
        <v>0.37030381428521486</v>
      </c>
      <c r="G17" s="1382">
        <f t="shared" si="7"/>
        <v>0.41594878872971303</v>
      </c>
      <c r="H17" s="1382">
        <f t="shared" si="7"/>
        <v>0.4205527815604983</v>
      </c>
      <c r="I17" s="1382">
        <f t="shared" si="7"/>
        <v>0.42325460679989618</v>
      </c>
      <c r="J17" s="1382">
        <f t="shared" si="7"/>
        <v>0.45872259527908554</v>
      </c>
      <c r="K17" s="1397">
        <f t="shared" si="7"/>
        <v>0.46628441657065972</v>
      </c>
      <c r="L17" s="1385">
        <f t="shared" ref="L17:T17" si="8">+K17+($U$17-$K$17)/10</f>
        <v>0.4697780362239074</v>
      </c>
      <c r="M17" s="1385">
        <f t="shared" si="8"/>
        <v>0.47327165587715508</v>
      </c>
      <c r="N17" s="1385">
        <f t="shared" si="8"/>
        <v>0.47676527553040277</v>
      </c>
      <c r="O17" s="1385">
        <f t="shared" si="8"/>
        <v>0.48025889518365045</v>
      </c>
      <c r="P17" s="1385">
        <f t="shared" si="8"/>
        <v>0.48375251483689813</v>
      </c>
      <c r="Q17" s="1385">
        <f t="shared" si="8"/>
        <v>0.48724613449014581</v>
      </c>
      <c r="R17" s="1385">
        <f t="shared" si="8"/>
        <v>0.49073975414339349</v>
      </c>
      <c r="S17" s="1385">
        <f t="shared" si="8"/>
        <v>0.49423337379664117</v>
      </c>
      <c r="T17" s="1385">
        <f t="shared" si="8"/>
        <v>0.49772699344988885</v>
      </c>
      <c r="U17" s="1385">
        <f>48.1%+U52-U30</f>
        <v>0.50122061310313648</v>
      </c>
      <c r="V17" s="1385">
        <f>48.1%+V52-V30</f>
        <v>0.50642011879798354</v>
      </c>
      <c r="Y17" s="1354" t="s">
        <v>100</v>
      </c>
      <c r="AA17" s="1388" t="s">
        <v>92</v>
      </c>
    </row>
    <row r="18" spans="1:28" ht="14.45">
      <c r="A18" s="1381" t="s">
        <v>101</v>
      </c>
      <c r="C18" s="1383"/>
      <c r="D18" s="1383">
        <f t="shared" ref="D18:V18" si="9">(D13-C13)/(D8-C8)</f>
        <v>0.41533106099064471</v>
      </c>
      <c r="E18" s="1383">
        <f t="shared" si="9"/>
        <v>0.51030162113285538</v>
      </c>
      <c r="F18" s="1383">
        <f t="shared" si="9"/>
        <v>0.58234334963894707</v>
      </c>
      <c r="G18" s="1382">
        <f t="shared" si="9"/>
        <v>0.67630518884856217</v>
      </c>
      <c r="H18" s="1382">
        <f t="shared" si="9"/>
        <v>0.44619309522231793</v>
      </c>
      <c r="I18" s="1382">
        <f t="shared" si="9"/>
        <v>0.46251374129717843</v>
      </c>
      <c r="J18" s="1382">
        <f t="shared" si="9"/>
        <v>0.68506640166230015</v>
      </c>
      <c r="K18" s="1397">
        <f t="shared" si="9"/>
        <v>0.52275752153424015</v>
      </c>
      <c r="L18" s="1382">
        <f t="shared" si="9"/>
        <v>0.51344828188950409</v>
      </c>
      <c r="M18" s="1382">
        <f t="shared" si="9"/>
        <v>0.51694190154275044</v>
      </c>
      <c r="N18" s="1382">
        <f t="shared" si="9"/>
        <v>0.52043552119599823</v>
      </c>
      <c r="O18" s="1382">
        <f t="shared" si="9"/>
        <v>0.5239291408492468</v>
      </c>
      <c r="P18" s="1382">
        <f t="shared" si="9"/>
        <v>0.52742276050249459</v>
      </c>
      <c r="Q18" s="1382">
        <f t="shared" si="9"/>
        <v>0.53091638015574194</v>
      </c>
      <c r="R18" s="1382">
        <f t="shared" si="9"/>
        <v>0.53440999980898896</v>
      </c>
      <c r="S18" s="1382">
        <f t="shared" si="9"/>
        <v>0.53790361946223708</v>
      </c>
      <c r="T18" s="1382">
        <f t="shared" si="9"/>
        <v>0.54139723911548543</v>
      </c>
      <c r="U18" s="1382">
        <f t="shared" si="9"/>
        <v>0.54489085876873145</v>
      </c>
      <c r="V18" s="1382">
        <f t="shared" si="9"/>
        <v>0.57141393998357126</v>
      </c>
      <c r="Y18" s="1354" t="s">
        <v>102</v>
      </c>
      <c r="AA18" s="1388" t="s">
        <v>103</v>
      </c>
    </row>
    <row r="19" spans="1:28" ht="14.45">
      <c r="A19" s="1381" t="s">
        <v>104</v>
      </c>
      <c r="C19" s="1383"/>
      <c r="D19" s="1383">
        <f>+'Historical Financials'!BI55</f>
        <v>0.40717753754111435</v>
      </c>
      <c r="E19" s="1383">
        <f>+'Historical Financials'!BJ55</f>
        <v>0.50747709967444388</v>
      </c>
      <c r="F19" s="1383">
        <f>+'Historical Financials'!BK55</f>
        <v>0.65080049690651331</v>
      </c>
      <c r="G19" s="1382">
        <f>+'Historical Financials'!BL55</f>
        <v>0.55022789120906668</v>
      </c>
      <c r="H19" s="1382">
        <f>+'Historical Financials'!BM55</f>
        <v>0.54843620075989441</v>
      </c>
      <c r="I19" s="1382">
        <f>+'Historical Financials'!BN55</f>
        <v>0.38351640596561781</v>
      </c>
      <c r="J19" s="1382">
        <f>+'Historical Financials'!BO55</f>
        <v>0.74404237830967546</v>
      </c>
      <c r="K19" s="1374"/>
      <c r="L19" s="1385"/>
      <c r="M19" s="1385"/>
      <c r="N19" s="1385"/>
      <c r="O19" s="1385"/>
      <c r="P19" s="1385"/>
      <c r="Q19" s="1385"/>
      <c r="R19" s="1385"/>
      <c r="S19" s="1385"/>
      <c r="T19" s="1385"/>
      <c r="U19" s="1385"/>
      <c r="V19" s="1385"/>
      <c r="Y19" s="1354" t="s">
        <v>105</v>
      </c>
      <c r="AA19" s="1388" t="s">
        <v>103</v>
      </c>
    </row>
    <row r="20" spans="1:28" ht="14.45">
      <c r="A20" s="1381"/>
      <c r="C20" s="1382"/>
      <c r="D20" s="1383"/>
      <c r="E20" s="1383"/>
      <c r="F20" s="1383"/>
      <c r="G20" s="1389"/>
      <c r="H20" s="1389"/>
      <c r="I20" s="1389"/>
      <c r="J20" s="1389"/>
      <c r="K20" s="1391"/>
      <c r="L20" s="1389"/>
      <c r="M20" s="1389"/>
      <c r="N20" s="1389"/>
      <c r="O20" s="1389"/>
      <c r="P20" s="1389"/>
      <c r="Q20" s="1389"/>
      <c r="R20" s="1389"/>
      <c r="S20" s="1389"/>
      <c r="T20" s="1389"/>
      <c r="U20" s="1389"/>
      <c r="V20" s="1389"/>
    </row>
    <row r="21" spans="1:28" ht="17.100000000000001" hidden="1" outlineLevel="1">
      <c r="A21" s="1399" t="s">
        <v>106</v>
      </c>
      <c r="C21" s="1400"/>
      <c r="D21" s="1401"/>
      <c r="E21" s="1401"/>
      <c r="F21" s="1401"/>
      <c r="G21" s="1402"/>
      <c r="H21" s="1402"/>
      <c r="I21" s="1402"/>
      <c r="J21" s="1402"/>
      <c r="K21" s="1403"/>
      <c r="L21" s="1402"/>
      <c r="M21" s="1402"/>
      <c r="N21" s="1402"/>
      <c r="O21" s="1402"/>
      <c r="P21" s="1402"/>
      <c r="Q21" s="1402"/>
      <c r="R21" s="1402"/>
      <c r="S21" s="1402"/>
      <c r="T21" s="1402"/>
      <c r="U21" s="1402"/>
      <c r="V21" s="1402"/>
      <c r="X21" s="1399"/>
      <c r="Z21" s="1364" t="s">
        <v>107</v>
      </c>
      <c r="AA21" s="1365"/>
      <c r="AB21" s="1363"/>
    </row>
    <row r="22" spans="1:28" s="1363" customFormat="1" ht="17.100000000000001" hidden="1" outlineLevel="1">
      <c r="A22" s="1381" t="s">
        <v>108</v>
      </c>
      <c r="C22" s="1382"/>
      <c r="D22" s="1383">
        <f t="shared" ref="D22:I22" si="10">+D14</f>
        <v>0.19525416794517736</v>
      </c>
      <c r="E22" s="1383">
        <f t="shared" si="10"/>
        <v>0.22536938787152727</v>
      </c>
      <c r="F22" s="1383">
        <f t="shared" si="10"/>
        <v>0.23278009264647692</v>
      </c>
      <c r="G22" s="1382">
        <f t="shared" si="10"/>
        <v>0.3201910912215109</v>
      </c>
      <c r="H22" s="1382">
        <f t="shared" si="10"/>
        <v>0.19261685451112753</v>
      </c>
      <c r="I22" s="1382">
        <f t="shared" si="10"/>
        <v>7.5686890613194446E-2</v>
      </c>
      <c r="J22" s="1389"/>
      <c r="K22" s="1391"/>
      <c r="L22" s="1389"/>
      <c r="M22" s="1389"/>
      <c r="N22" s="1389"/>
      <c r="O22" s="1389"/>
      <c r="P22" s="1389"/>
      <c r="Q22" s="1389"/>
      <c r="R22" s="1389"/>
      <c r="S22" s="1389"/>
      <c r="T22" s="1389"/>
      <c r="U22" s="1389"/>
      <c r="V22" s="1389"/>
      <c r="X22" s="1381"/>
      <c r="Z22" s="1366" t="s">
        <v>109</v>
      </c>
      <c r="AA22" s="1366" t="s">
        <v>88</v>
      </c>
    </row>
    <row r="23" spans="1:28" s="1363" customFormat="1" ht="14.45" hidden="1" outlineLevel="1">
      <c r="A23" s="1381" t="s">
        <v>110</v>
      </c>
      <c r="C23" s="1382"/>
      <c r="D23" s="1395">
        <f>+D22</f>
        <v>0.19525416794517736</v>
      </c>
      <c r="E23" s="1395">
        <f>+E22</f>
        <v>0.22536938787152727</v>
      </c>
      <c r="F23" s="1395">
        <f>+F22</f>
        <v>0.23278009264647692</v>
      </c>
      <c r="G23" s="1396">
        <f>+'Historical Financials'!BL59</f>
        <v>0.26542721728129309</v>
      </c>
      <c r="H23" s="1396">
        <f>+'Historical Financials'!BM59</f>
        <v>0.23513022821554716</v>
      </c>
      <c r="I23" s="1396">
        <f>+'Historical Financials'!BN59</f>
        <v>3.1422154974339353E-2</v>
      </c>
      <c r="J23" s="1389"/>
      <c r="K23" s="1391"/>
      <c r="L23" s="1389"/>
      <c r="M23" s="1389"/>
      <c r="N23" s="1389"/>
      <c r="O23" s="1389"/>
      <c r="P23" s="1389"/>
      <c r="Q23" s="1389"/>
      <c r="R23" s="1389"/>
      <c r="S23" s="1389"/>
      <c r="T23" s="1389"/>
      <c r="U23" s="1389"/>
      <c r="V23" s="1389"/>
      <c r="X23" s="1381"/>
      <c r="Y23" s="1404" t="s">
        <v>111</v>
      </c>
    </row>
    <row r="24" spans="1:28" s="1363" customFormat="1" ht="14.45" hidden="1" outlineLevel="1">
      <c r="A24" s="1381"/>
      <c r="C24" s="1382"/>
      <c r="D24" s="1395"/>
      <c r="E24" s="1395"/>
      <c r="F24" s="1395"/>
      <c r="G24" s="1396"/>
      <c r="H24" s="1396"/>
      <c r="I24" s="1396"/>
      <c r="J24" s="1389"/>
      <c r="K24" s="1391"/>
      <c r="L24" s="1389"/>
      <c r="M24" s="1389"/>
      <c r="N24" s="1389"/>
      <c r="O24" s="1389"/>
      <c r="P24" s="1389"/>
      <c r="Q24" s="1389"/>
      <c r="R24" s="1389"/>
      <c r="S24" s="1389"/>
      <c r="T24" s="1389"/>
      <c r="U24" s="1389"/>
      <c r="V24" s="1389"/>
      <c r="X24" s="1381"/>
      <c r="Y24" s="1354" t="s">
        <v>86</v>
      </c>
      <c r="Z24" s="1405">
        <f>+H8</f>
        <v>198270</v>
      </c>
      <c r="AA24" s="1406">
        <f>+Z24*(1+AA25)</f>
        <v>218097.00000000003</v>
      </c>
    </row>
    <row r="25" spans="1:28" s="1363" customFormat="1" ht="14.45" hidden="1" outlineLevel="1">
      <c r="A25" s="1381" t="s">
        <v>112</v>
      </c>
      <c r="C25" s="1382"/>
      <c r="D25" s="1395">
        <f>+'Historical Financials'!BI62</f>
        <v>0.17249565306331185</v>
      </c>
      <c r="E25" s="1395">
        <f>+'Historical Financials'!BJ62</f>
        <v>0.24103656797307321</v>
      </c>
      <c r="F25" s="1395">
        <f>+'Historical Financials'!BK62</f>
        <v>0.29050722782187671</v>
      </c>
      <c r="G25" s="1396">
        <f>+'Historical Financials'!BL62</f>
        <v>0.28283879982628074</v>
      </c>
      <c r="H25" s="1396">
        <f>+'Historical Financials'!BM62</f>
        <v>0.21025030036043252</v>
      </c>
      <c r="I25" s="1396">
        <f>+'Historical Financials'!BN62</f>
        <v>0.14076322511782977</v>
      </c>
      <c r="J25" s="1389"/>
      <c r="K25" s="1391"/>
      <c r="L25" s="1389"/>
      <c r="M25" s="1389"/>
      <c r="N25" s="1389"/>
      <c r="O25" s="1389"/>
      <c r="P25" s="1389"/>
      <c r="Q25" s="1389"/>
      <c r="R25" s="1389"/>
      <c r="S25" s="1389"/>
      <c r="T25" s="1389"/>
      <c r="U25" s="1389"/>
      <c r="V25" s="1389"/>
      <c r="X25" s="1381"/>
      <c r="Y25" s="1381" t="s">
        <v>113</v>
      </c>
      <c r="AA25" s="1407">
        <v>0.1</v>
      </c>
    </row>
    <row r="26" spans="1:28" ht="14.45" hidden="1" outlineLevel="1">
      <c r="A26" s="1381"/>
      <c r="C26" s="1382"/>
      <c r="D26" s="1383"/>
      <c r="E26" s="1383"/>
      <c r="F26" s="1383"/>
      <c r="G26" s="1389"/>
      <c r="H26" s="1389"/>
      <c r="I26" s="1389"/>
      <c r="J26" s="1389"/>
      <c r="K26" s="1391"/>
      <c r="L26" s="1389"/>
      <c r="M26" s="1389"/>
      <c r="N26" s="1389"/>
      <c r="O26" s="1389"/>
      <c r="P26" s="1389"/>
      <c r="Q26" s="1389"/>
      <c r="R26" s="1389"/>
      <c r="S26" s="1389"/>
      <c r="T26" s="1389"/>
      <c r="U26" s="1389"/>
      <c r="V26" s="1389"/>
      <c r="Y26" s="1354" t="s">
        <v>95</v>
      </c>
      <c r="Z26" s="1405">
        <f>+H13</f>
        <v>83383</v>
      </c>
      <c r="AA26" s="1406">
        <f>+AA24*AA28</f>
        <v>91721.300000000017</v>
      </c>
    </row>
    <row r="27" spans="1:28" ht="14.45" hidden="1" outlineLevel="1">
      <c r="A27" s="1381" t="s">
        <v>114</v>
      </c>
      <c r="C27" s="1382"/>
      <c r="D27" s="1409">
        <f t="shared" ref="D27:I27" si="11">+D16*C13</f>
        <v>5059.47</v>
      </c>
      <c r="E27" s="1409">
        <f t="shared" si="11"/>
        <v>8450.26</v>
      </c>
      <c r="F27" s="1410">
        <f t="shared" si="11"/>
        <v>12479.900000000001</v>
      </c>
      <c r="G27" s="1410">
        <f t="shared" si="11"/>
        <v>12078.620000000006</v>
      </c>
      <c r="H27" s="1410">
        <f t="shared" si="11"/>
        <v>17672.225035918189</v>
      </c>
      <c r="I27" s="1410">
        <f t="shared" si="11"/>
        <v>8046.3335482253406</v>
      </c>
      <c r="J27" s="1389"/>
      <c r="K27" s="1391"/>
      <c r="L27" s="1389"/>
      <c r="M27" s="1389"/>
      <c r="N27" s="1389"/>
      <c r="O27" s="1389"/>
      <c r="P27" s="1389"/>
      <c r="Q27" s="1389"/>
      <c r="R27" s="1389"/>
      <c r="S27" s="1389"/>
      <c r="T27" s="1389"/>
      <c r="U27" s="1389"/>
      <c r="V27" s="1389"/>
      <c r="Y27" s="1381" t="s">
        <v>113</v>
      </c>
      <c r="AA27" s="1505">
        <f>+AA26/Z26-1</f>
        <v>0.10000000000000031</v>
      </c>
    </row>
    <row r="28" spans="1:28" ht="14.45" hidden="1" outlineLevel="1">
      <c r="A28" s="1381"/>
      <c r="C28" s="1382"/>
      <c r="D28" s="1383"/>
      <c r="E28" s="1383"/>
      <c r="F28" s="1383"/>
      <c r="G28" s="1389"/>
      <c r="H28" s="1389"/>
      <c r="I28" s="1389"/>
      <c r="J28" s="1389"/>
      <c r="K28" s="1391"/>
      <c r="L28" s="1389"/>
      <c r="M28" s="1389"/>
      <c r="N28" s="1389"/>
      <c r="O28" s="1389"/>
      <c r="P28" s="1389"/>
      <c r="Q28" s="1389"/>
      <c r="R28" s="1389"/>
      <c r="S28" s="1389"/>
      <c r="T28" s="1389"/>
      <c r="U28" s="1389"/>
      <c r="V28" s="1389"/>
      <c r="Y28" s="1381" t="s">
        <v>123</v>
      </c>
      <c r="Z28" s="1505">
        <f>+Z26/Z24</f>
        <v>0.4205527815604983</v>
      </c>
      <c r="AA28" s="1506">
        <f>+Z28</f>
        <v>0.4205527815604983</v>
      </c>
    </row>
    <row r="29" spans="1:28" s="1387" customFormat="1" ht="17.100000000000001" collapsed="1">
      <c r="A29" s="1412" t="s">
        <v>115</v>
      </c>
      <c r="B29" s="1507"/>
      <c r="C29" s="1508">
        <f>+'Historical Financials'!BH88</f>
        <v>8778</v>
      </c>
      <c r="D29" s="1508">
        <f>+'Historical Financials'!BI88</f>
        <v>10261</v>
      </c>
      <c r="E29" s="1509">
        <f>+'Historical Financials'!BJ88</f>
        <v>11682</v>
      </c>
      <c r="F29" s="1509">
        <f>+'Historical Financials'!BK88</f>
        <v>12796</v>
      </c>
      <c r="G29" s="1509">
        <f>+'Historical Financials'!BL88</f>
        <v>11686</v>
      </c>
      <c r="H29" s="1509">
        <f>+'Historical Financials'!BM88</f>
        <v>14460</v>
      </c>
      <c r="I29" s="1509">
        <f>+'Historical Financials'!BN88</f>
        <v>13861</v>
      </c>
      <c r="J29" s="1509">
        <f>+'Historical Financials'!BO88</f>
        <v>20427</v>
      </c>
      <c r="K29" s="1416">
        <f>+'D&amp;A forecast - Case 3'!V52</f>
        <v>29970.842105263157</v>
      </c>
      <c r="L29" s="1414">
        <f>+'D&amp;A forecast - Case 3'!W52</f>
        <v>33778.778056777621</v>
      </c>
      <c r="M29" s="1414">
        <f>+'D&amp;A forecast - Case 3'!X52</f>
        <v>38190.79118314576</v>
      </c>
      <c r="N29" s="1414">
        <f>+'D&amp;A forecast - Case 3'!Y52</f>
        <v>41972.321859868367</v>
      </c>
      <c r="O29" s="1414">
        <f>+'D&amp;A forecast - Case 3'!Z52</f>
        <v>47586.112460195443</v>
      </c>
      <c r="P29" s="1414">
        <f>+'D&amp;A forecast - Case 3'!AA52</f>
        <v>50685.545657415409</v>
      </c>
      <c r="Q29" s="1414">
        <f>+'D&amp;A forecast - Case 3'!AB52</f>
        <v>54391.710706963218</v>
      </c>
      <c r="R29" s="1414">
        <f>+'D&amp;A forecast - Case 3'!AC52</f>
        <v>57829.977466529614</v>
      </c>
      <c r="S29" s="1414">
        <f>+'D&amp;A forecast - Case 3'!AD52</f>
        <v>59789.049209717625</v>
      </c>
      <c r="T29" s="1414">
        <f>+'D&amp;A forecast - Case 3'!AE52</f>
        <v>59875.881440795922</v>
      </c>
      <c r="U29" s="1414">
        <f>+'D&amp;A forecast - Case 3'!AF52</f>
        <v>59873.676242363028</v>
      </c>
      <c r="V29" s="1414">
        <f>+'D&amp;A forecast - Case 3'!AG52</f>
        <v>61293.950496436613</v>
      </c>
      <c r="Y29" s="1404" t="s">
        <v>116</v>
      </c>
    </row>
    <row r="30" spans="1:28" s="1363" customFormat="1" ht="14.45" hidden="1" outlineLevel="1">
      <c r="A30" s="1419" t="s">
        <v>118</v>
      </c>
      <c r="C30" s="1382">
        <f t="shared" ref="C30:V30" si="12">+C29/C8</f>
        <v>9.0896853092543306E-2</v>
      </c>
      <c r="D30" s="1382">
        <f t="shared" si="12"/>
        <v>9.2977528089887643E-2</v>
      </c>
      <c r="E30" s="1382">
        <f t="shared" si="12"/>
        <v>9.2829954784930432E-2</v>
      </c>
      <c r="F30" s="1382">
        <f t="shared" si="12"/>
        <v>8.9473132188931229E-2</v>
      </c>
      <c r="G30" s="1382">
        <f t="shared" si="12"/>
        <v>6.9523106943981727E-2</v>
      </c>
      <c r="H30" s="1382">
        <f t="shared" si="12"/>
        <v>7.2930851868663937E-2</v>
      </c>
      <c r="I30" s="1382">
        <f t="shared" si="12"/>
        <v>6.5408300497841118E-2</v>
      </c>
      <c r="J30" s="1382">
        <f t="shared" si="12"/>
        <v>8.333401326686303E-2</v>
      </c>
      <c r="K30" s="1397">
        <f t="shared" si="12"/>
        <v>0.10783044735954564</v>
      </c>
      <c r="L30" s="1382">
        <f t="shared" si="12"/>
        <v>0.11252852875670445</v>
      </c>
      <c r="M30" s="1382">
        <f t="shared" si="12"/>
        <v>0.11780225553623293</v>
      </c>
      <c r="N30" s="1382">
        <f t="shared" si="12"/>
        <v>0.11987653722968332</v>
      </c>
      <c r="O30" s="1382">
        <f t="shared" si="12"/>
        <v>0.12584259519518526</v>
      </c>
      <c r="P30" s="1382">
        <f t="shared" si="12"/>
        <v>0.12411029563526417</v>
      </c>
      <c r="Q30" s="1382">
        <f t="shared" si="12"/>
        <v>0.12331975312997463</v>
      </c>
      <c r="R30" s="1382">
        <f t="shared" si="12"/>
        <v>0.12140293771740188</v>
      </c>
      <c r="S30" s="1382">
        <f t="shared" si="12"/>
        <v>0.11621817853242933</v>
      </c>
      <c r="T30" s="1382">
        <f t="shared" si="12"/>
        <v>0.10776570680509466</v>
      </c>
      <c r="U30" s="1382">
        <f t="shared" si="12"/>
        <v>9.977938689686347E-2</v>
      </c>
      <c r="V30" s="1382">
        <f t="shared" si="12"/>
        <v>9.4579881202016464E-2</v>
      </c>
      <c r="Y30" s="1354" t="s">
        <v>119</v>
      </c>
      <c r="Z30" s="1405">
        <f>+Z24</f>
        <v>198270</v>
      </c>
      <c r="AA30" s="1406">
        <f>+Z30*(1+AA31)</f>
        <v>226027.80000000002</v>
      </c>
    </row>
    <row r="31" spans="1:28" s="1363" customFormat="1" ht="14.45" hidden="1" outlineLevel="1">
      <c r="A31" s="1420"/>
      <c r="C31" s="1361"/>
      <c r="D31" s="1361"/>
      <c r="E31" s="1361"/>
      <c r="F31" s="1361"/>
      <c r="G31" s="1361"/>
      <c r="H31" s="1361"/>
      <c r="I31" s="1361"/>
      <c r="J31" s="1361"/>
      <c r="K31" s="1421"/>
      <c r="L31" s="1361"/>
      <c r="M31" s="1361"/>
      <c r="N31" s="1361"/>
      <c r="O31" s="1361"/>
      <c r="P31" s="1361"/>
      <c r="Q31" s="1361"/>
      <c r="R31" s="1361"/>
      <c r="S31" s="1361"/>
      <c r="T31" s="1361"/>
      <c r="U31" s="1361"/>
      <c r="V31" s="1361"/>
      <c r="Y31" s="1381" t="s">
        <v>120</v>
      </c>
      <c r="AA31" s="1407">
        <f>+AA25+4%</f>
        <v>0.14000000000000001</v>
      </c>
    </row>
    <row r="32" spans="1:28" s="1363" customFormat="1" ht="14.45" hidden="1" outlineLevel="1">
      <c r="A32" s="1422"/>
      <c r="C32" s="1396"/>
      <c r="D32" s="1395"/>
      <c r="E32" s="1395"/>
      <c r="F32" s="1373"/>
      <c r="G32" s="1373"/>
      <c r="H32" s="1373"/>
      <c r="I32" s="1373"/>
      <c r="J32" s="1371"/>
      <c r="K32" s="1391"/>
      <c r="L32" s="1389"/>
      <c r="M32" s="1389"/>
      <c r="N32" s="1389"/>
      <c r="O32" s="1389"/>
      <c r="P32" s="1389"/>
      <c r="Q32" s="1389"/>
      <c r="R32" s="1389"/>
      <c r="S32" s="1389"/>
      <c r="T32" s="1389"/>
      <c r="U32" s="1389"/>
      <c r="V32" s="1389"/>
      <c r="Y32" s="1381"/>
      <c r="AA32" s="1411"/>
    </row>
    <row r="33" spans="1:27" collapsed="1">
      <c r="A33" s="1423" t="s">
        <v>121</v>
      </c>
      <c r="B33" s="1376"/>
      <c r="C33" s="1377">
        <f>+'Historical Financials'!BH89</f>
        <v>38109</v>
      </c>
      <c r="D33" s="1377">
        <f>+'Historical Financials'!BI89</f>
        <v>45319</v>
      </c>
      <c r="E33" s="1378">
        <f>+'Historical Financials'!BJ89</f>
        <v>54641</v>
      </c>
      <c r="F33" s="1378">
        <f>+'Historical Financials'!BK89</f>
        <v>65755</v>
      </c>
      <c r="G33" s="1378">
        <f>+'Historical Financials'!BL89</f>
        <v>81602</v>
      </c>
      <c r="H33" s="1378">
        <f>+'Historical Financials'!BM89</f>
        <v>97843</v>
      </c>
      <c r="I33" s="1378">
        <f>+'Historical Financials'!BN89</f>
        <v>103555</v>
      </c>
      <c r="J33" s="1378">
        <f>+'Historical Financials'!BO89</f>
        <v>132870</v>
      </c>
      <c r="K33" s="1425">
        <f>+'Historical Financials'!BP89</f>
        <v>159571.86822904905</v>
      </c>
      <c r="L33" s="1380">
        <f t="shared" ref="L33:V33" si="13">+L13+L29</f>
        <v>174796.59990944946</v>
      </c>
      <c r="M33" s="1380">
        <f t="shared" si="13"/>
        <v>191622.64951413299</v>
      </c>
      <c r="N33" s="1380">
        <f t="shared" si="13"/>
        <v>208901.94844584438</v>
      </c>
      <c r="O33" s="1380">
        <f t="shared" si="13"/>
        <v>229191.18632864015</v>
      </c>
      <c r="P33" s="1380">
        <f t="shared" si="13"/>
        <v>248245.78876337357</v>
      </c>
      <c r="Q33" s="1380">
        <f t="shared" si="13"/>
        <v>269297.67765567888</v>
      </c>
      <c r="R33" s="1380">
        <f t="shared" si="13"/>
        <v>291592.59851696587</v>
      </c>
      <c r="S33" s="1380">
        <f t="shared" si="13"/>
        <v>314049.99082967796</v>
      </c>
      <c r="T33" s="1380">
        <f t="shared" si="13"/>
        <v>336418.7941466815</v>
      </c>
      <c r="U33" s="1380">
        <f t="shared" si="13"/>
        <v>360636.40538155404</v>
      </c>
      <c r="V33" s="1380">
        <f t="shared" si="13"/>
        <v>389487.3178120784</v>
      </c>
      <c r="Y33" s="1354" t="s">
        <v>122</v>
      </c>
      <c r="Z33" s="1405">
        <f>+Z26</f>
        <v>83383</v>
      </c>
      <c r="AA33" s="1406">
        <f>+AA30*AA35</f>
        <v>95056.62000000001</v>
      </c>
    </row>
    <row r="34" spans="1:27" s="1363" customFormat="1" ht="14.45">
      <c r="A34" s="1419" t="s">
        <v>87</v>
      </c>
      <c r="C34" s="1382"/>
      <c r="D34" s="1382">
        <f t="shared" ref="D34:V34" si="14">+D33/C33-1</f>
        <v>0.18919415361200764</v>
      </c>
      <c r="E34" s="1382">
        <f t="shared" si="14"/>
        <v>0.2056973896158345</v>
      </c>
      <c r="F34" s="1382">
        <f t="shared" si="14"/>
        <v>0.20340037700627733</v>
      </c>
      <c r="G34" s="1382">
        <f t="shared" si="14"/>
        <v>0.24100068435860389</v>
      </c>
      <c r="H34" s="1382">
        <f t="shared" si="14"/>
        <v>0.1990269846327295</v>
      </c>
      <c r="I34" s="1382">
        <f t="shared" si="14"/>
        <v>5.8379240211358985E-2</v>
      </c>
      <c r="J34" s="1382">
        <f t="shared" si="14"/>
        <v>0.28308628265173086</v>
      </c>
      <c r="K34" s="1397">
        <f t="shared" si="14"/>
        <v>0.20096235590463651</v>
      </c>
      <c r="L34" s="1382">
        <f t="shared" si="14"/>
        <v>9.5409872989309585E-2</v>
      </c>
      <c r="M34" s="1382">
        <f t="shared" si="14"/>
        <v>9.6260737413656816E-2</v>
      </c>
      <c r="N34" s="1382">
        <f t="shared" si="14"/>
        <v>9.0173572777141775E-2</v>
      </c>
      <c r="O34" s="1382">
        <f t="shared" si="14"/>
        <v>9.7123258225882747E-2</v>
      </c>
      <c r="P34" s="1382">
        <f t="shared" si="14"/>
        <v>8.3138460688495952E-2</v>
      </c>
      <c r="Q34" s="1382">
        <f t="shared" si="14"/>
        <v>8.480260228048353E-2</v>
      </c>
      <c r="R34" s="1382">
        <f t="shared" si="14"/>
        <v>8.2789131549040107E-2</v>
      </c>
      <c r="S34" s="1382">
        <f t="shared" si="14"/>
        <v>7.7016331782527869E-2</v>
      </c>
      <c r="T34" s="1382">
        <f t="shared" si="14"/>
        <v>7.1226887343343481E-2</v>
      </c>
      <c r="U34" s="1382">
        <f t="shared" si="14"/>
        <v>7.1986499138075644E-2</v>
      </c>
      <c r="V34" s="1382">
        <f t="shared" si="14"/>
        <v>8.0000000000000071E-2</v>
      </c>
      <c r="Y34" s="1381" t="s">
        <v>113</v>
      </c>
      <c r="Z34" s="1400"/>
      <c r="AA34" s="1505">
        <f>+AA33/Z33-1</f>
        <v>0.14000000000000012</v>
      </c>
    </row>
    <row r="35" spans="1:27" s="1363" customFormat="1" ht="14.45">
      <c r="A35" s="1419" t="s">
        <v>99</v>
      </c>
      <c r="C35" s="1382">
        <f t="shared" ref="C35:V35" si="15">+C33/C8</f>
        <v>0.39462157376438062</v>
      </c>
      <c r="D35" s="1383">
        <f t="shared" si="15"/>
        <v>0.41064697354113811</v>
      </c>
      <c r="E35" s="1383">
        <f t="shared" si="15"/>
        <v>0.43419975683987189</v>
      </c>
      <c r="F35" s="1383">
        <f t="shared" si="15"/>
        <v>0.45977694647414608</v>
      </c>
      <c r="G35" s="1382">
        <f t="shared" si="15"/>
        <v>0.48547189567369475</v>
      </c>
      <c r="H35" s="1382">
        <f t="shared" si="15"/>
        <v>0.49348363342916224</v>
      </c>
      <c r="I35" s="1382">
        <f t="shared" si="15"/>
        <v>0.48866290729773731</v>
      </c>
      <c r="J35" s="1382">
        <f t="shared" si="15"/>
        <v>0.5420566085459485</v>
      </c>
      <c r="K35" s="1397">
        <f t="shared" si="15"/>
        <v>0.57411486393020539</v>
      </c>
      <c r="L35" s="1382">
        <f t="shared" si="15"/>
        <v>0.58230656498061195</v>
      </c>
      <c r="M35" s="1382">
        <f t="shared" si="15"/>
        <v>0.59107391141338794</v>
      </c>
      <c r="N35" s="1382">
        <f t="shared" si="15"/>
        <v>0.59664181276008599</v>
      </c>
      <c r="O35" s="1382">
        <f t="shared" si="15"/>
        <v>0.60610149037883565</v>
      </c>
      <c r="P35" s="1382">
        <f t="shared" si="15"/>
        <v>0.60786281047216228</v>
      </c>
      <c r="Q35" s="1382">
        <f t="shared" si="15"/>
        <v>0.61056588762012043</v>
      </c>
      <c r="R35" s="1382">
        <f t="shared" si="15"/>
        <v>0.6121426918607954</v>
      </c>
      <c r="S35" s="1382">
        <f t="shared" si="15"/>
        <v>0.61045155232907045</v>
      </c>
      <c r="T35" s="1382">
        <f t="shared" si="15"/>
        <v>0.60549270025498347</v>
      </c>
      <c r="U35" s="1382">
        <f t="shared" si="15"/>
        <v>0.60099999999999987</v>
      </c>
      <c r="V35" s="1382">
        <f t="shared" si="15"/>
        <v>0.60099999999999998</v>
      </c>
      <c r="Y35" s="1381" t="s">
        <v>123</v>
      </c>
      <c r="Z35" s="1505">
        <f>+Z33/Z30</f>
        <v>0.4205527815604983</v>
      </c>
      <c r="AA35" s="1506">
        <f>+Z35</f>
        <v>0.4205527815604983</v>
      </c>
    </row>
    <row r="36" spans="1:27" s="1363" customFormat="1" ht="14.45">
      <c r="A36" s="1419" t="s">
        <v>101</v>
      </c>
      <c r="C36" s="1383"/>
      <c r="D36" s="1383">
        <f t="shared" ref="D36:V36" si="16">(D33-C33)/(D8-C8)</f>
        <v>0.52288055696569724</v>
      </c>
      <c r="E36" s="1383">
        <f t="shared" si="16"/>
        <v>0.60207970031647617</v>
      </c>
      <c r="F36" s="1383">
        <f t="shared" si="16"/>
        <v>0.64721639878872583</v>
      </c>
      <c r="G36" s="1383">
        <f t="shared" si="16"/>
        <v>0.63203445937861447</v>
      </c>
      <c r="H36" s="1383">
        <f t="shared" si="16"/>
        <v>0.53810218010734878</v>
      </c>
      <c r="I36" s="1383">
        <f t="shared" si="16"/>
        <v>0.41861487724441188</v>
      </c>
      <c r="J36" s="1383">
        <f t="shared" si="16"/>
        <v>0.88279579606709424</v>
      </c>
      <c r="K36" s="1384">
        <f t="shared" si="16"/>
        <v>0.81353195029823211</v>
      </c>
      <c r="L36" s="1383">
        <f t="shared" si="16"/>
        <v>0.68470282811069405</v>
      </c>
      <c r="M36" s="1383">
        <f t="shared" si="16"/>
        <v>0.70066574182308794</v>
      </c>
      <c r="N36" s="1383">
        <f t="shared" si="16"/>
        <v>0.66624057959381167</v>
      </c>
      <c r="O36" s="1383">
        <f t="shared" si="16"/>
        <v>0.72434746061320632</v>
      </c>
      <c r="P36" s="1383">
        <f t="shared" si="16"/>
        <v>0.62987931163874522</v>
      </c>
      <c r="Q36" s="1383">
        <f t="shared" si="16"/>
        <v>0.64435435196959701</v>
      </c>
      <c r="R36" s="1383">
        <f t="shared" si="16"/>
        <v>0.63185274486923171</v>
      </c>
      <c r="S36" s="1383">
        <f t="shared" si="16"/>
        <v>0.58931230818250913</v>
      </c>
      <c r="T36" s="1383">
        <f t="shared" si="16"/>
        <v>0.54350704932889715</v>
      </c>
      <c r="U36" s="1383">
        <f t="shared" si="16"/>
        <v>0.54484124681270496</v>
      </c>
      <c r="V36" s="1383">
        <f t="shared" si="16"/>
        <v>0.60100000000000087</v>
      </c>
    </row>
    <row r="37" spans="1:27" hidden="1" outlineLevel="1">
      <c r="C37" s="1353"/>
      <c r="D37" s="1353"/>
      <c r="E37" s="1353"/>
      <c r="F37" s="1353"/>
      <c r="G37" s="1353"/>
      <c r="H37" s="1353"/>
      <c r="I37" s="1353"/>
      <c r="J37" s="1353"/>
      <c r="K37" s="1427"/>
      <c r="L37" s="1353"/>
      <c r="M37" s="1353"/>
      <c r="N37" s="1353"/>
      <c r="O37" s="1353"/>
      <c r="P37" s="1353"/>
      <c r="Q37" s="1353"/>
      <c r="R37" s="1353"/>
      <c r="S37" s="1353"/>
      <c r="T37" s="1353"/>
      <c r="U37" s="1353"/>
      <c r="V37" s="1353"/>
    </row>
    <row r="38" spans="1:27" hidden="1" outlineLevel="1">
      <c r="A38" s="1399" t="s">
        <v>124</v>
      </c>
      <c r="C38" s="1353"/>
      <c r="D38" s="1353"/>
      <c r="E38" s="1353"/>
      <c r="F38" s="1353"/>
      <c r="G38" s="1353"/>
      <c r="H38" s="1353"/>
      <c r="I38" s="1353"/>
      <c r="J38" s="1353"/>
      <c r="K38" s="1427"/>
      <c r="L38" s="1353"/>
      <c r="M38" s="1353"/>
      <c r="N38" s="1353"/>
      <c r="O38" s="1353"/>
      <c r="P38" s="1353"/>
      <c r="Q38" s="1353"/>
      <c r="R38" s="1353"/>
      <c r="S38" s="1353"/>
      <c r="T38" s="1353"/>
      <c r="U38" s="1353"/>
      <c r="V38" s="1353"/>
    </row>
    <row r="39" spans="1:27" hidden="1" outlineLevel="1">
      <c r="A39" s="1428" t="s">
        <v>125</v>
      </c>
      <c r="C39" s="1353"/>
      <c r="D39" s="1353"/>
      <c r="E39" s="1353"/>
      <c r="F39" s="1353"/>
      <c r="G39" s="1353"/>
      <c r="H39" s="1353"/>
      <c r="I39" s="1353"/>
      <c r="J39" s="1429">
        <f>+'D&amp;A forecast - Case 3'!U51</f>
        <v>4800</v>
      </c>
      <c r="K39" s="1430">
        <f>+'D&amp;A forecast - Case 3'!V51</f>
        <v>5892</v>
      </c>
      <c r="L39" s="1431">
        <f>+'D&amp;A forecast - Case 3'!W51</f>
        <v>4471</v>
      </c>
      <c r="M39" s="1431">
        <f>+'D&amp;A forecast - Case 3'!X51</f>
        <v>2793</v>
      </c>
      <c r="N39" s="1431">
        <f>+'D&amp;A forecast - Case 3'!Y51</f>
        <v>1909</v>
      </c>
      <c r="O39" s="1431">
        <f>+'D&amp;A forecast - Case 3'!Z51</f>
        <v>1728</v>
      </c>
      <c r="P39" s="1431">
        <f>+'D&amp;A forecast - Case 3'!AA51</f>
        <v>1547</v>
      </c>
      <c r="Q39" s="1431">
        <f>+'D&amp;A forecast - Case 3'!AB51</f>
        <v>1366</v>
      </c>
      <c r="R39" s="1431">
        <f>+'D&amp;A forecast - Case 3'!AC51</f>
        <v>1185</v>
      </c>
      <c r="S39" s="1431">
        <f>+'D&amp;A forecast - Case 3'!AD51</f>
        <v>1004</v>
      </c>
      <c r="T39" s="1431">
        <f>+'D&amp;A forecast - Case 3'!AE51</f>
        <v>823</v>
      </c>
      <c r="U39" s="1431">
        <f>+'D&amp;A forecast - Case 3'!AF51</f>
        <v>642</v>
      </c>
      <c r="V39" s="1431">
        <f>+'D&amp;A forecast - Case 3'!AH51</f>
        <v>0</v>
      </c>
    </row>
    <row r="40" spans="1:27" collapsed="1">
      <c r="C40" s="1353"/>
      <c r="D40" s="1353"/>
      <c r="E40" s="1353"/>
      <c r="F40" s="1353"/>
      <c r="G40" s="1353"/>
      <c r="H40" s="1353"/>
      <c r="I40" s="1353"/>
      <c r="J40" s="1432"/>
      <c r="K40" s="1427"/>
      <c r="L40" s="1353"/>
      <c r="M40" s="1353"/>
      <c r="N40" s="1353"/>
      <c r="O40" s="1353"/>
      <c r="P40" s="1353"/>
      <c r="Q40" s="1353"/>
      <c r="R40" s="1353"/>
      <c r="S40" s="1353"/>
      <c r="T40" s="1353"/>
      <c r="U40" s="1353"/>
      <c r="V40" s="1353"/>
    </row>
    <row r="41" spans="1:27" ht="14.45">
      <c r="A41" s="1422" t="s">
        <v>127</v>
      </c>
      <c r="C41" s="1353"/>
      <c r="D41" s="1353"/>
      <c r="E41" s="1353"/>
      <c r="F41" s="1353"/>
      <c r="G41" s="1353"/>
      <c r="H41" s="1353"/>
      <c r="I41" s="1353"/>
      <c r="J41" s="1432"/>
      <c r="K41" s="1427"/>
      <c r="L41" s="1353"/>
      <c r="M41" s="1353"/>
      <c r="N41" s="1353"/>
      <c r="O41" s="1353"/>
      <c r="P41" s="1353"/>
      <c r="Q41" s="1353"/>
      <c r="R41" s="1353"/>
      <c r="S41" s="1353"/>
      <c r="T41" s="1353"/>
      <c r="U41" s="1353"/>
      <c r="V41" s="1353"/>
    </row>
    <row r="42" spans="1:27" ht="14.45">
      <c r="A42" s="1381" t="s">
        <v>129</v>
      </c>
      <c r="C42" s="1382"/>
      <c r="D42" s="1383">
        <f t="shared" ref="D42:U42" si="17">+D29/C29-1</f>
        <v>0.16894508999772162</v>
      </c>
      <c r="E42" s="1383">
        <f t="shared" si="17"/>
        <v>0.13848552772634237</v>
      </c>
      <c r="F42" s="1383">
        <f t="shared" si="17"/>
        <v>9.5360383495976642E-2</v>
      </c>
      <c r="G42" s="1382">
        <f t="shared" si="17"/>
        <v>-8.6745858080650162E-2</v>
      </c>
      <c r="H42" s="1382">
        <f t="shared" si="17"/>
        <v>0.23737805921615607</v>
      </c>
      <c r="I42" s="1382">
        <f t="shared" si="17"/>
        <v>-4.1424619640387239E-2</v>
      </c>
      <c r="J42" s="1382">
        <f t="shared" si="17"/>
        <v>0.47370319601760325</v>
      </c>
      <c r="K42" s="1384">
        <f t="shared" si="17"/>
        <v>0.4672170218467302</v>
      </c>
      <c r="L42" s="1383">
        <f t="shared" si="17"/>
        <v>0.12705468662309483</v>
      </c>
      <c r="M42" s="1383">
        <f t="shared" si="17"/>
        <v>0.13061494169363175</v>
      </c>
      <c r="N42" s="1383">
        <f t="shared" si="17"/>
        <v>9.9016819488973118E-2</v>
      </c>
      <c r="O42" s="1383">
        <f t="shared" si="17"/>
        <v>0.13374982253947398</v>
      </c>
      <c r="P42" s="1383">
        <f t="shared" si="17"/>
        <v>6.5133145722138241E-2</v>
      </c>
      <c r="Q42" s="1383">
        <f t="shared" si="17"/>
        <v>7.3120748755431286E-2</v>
      </c>
      <c r="R42" s="1383">
        <f t="shared" si="17"/>
        <v>6.321306527919579E-2</v>
      </c>
      <c r="S42" s="1383">
        <f t="shared" si="17"/>
        <v>3.3876405093221207E-2</v>
      </c>
      <c r="T42" s="1383">
        <f t="shared" si="17"/>
        <v>1.4523099501670966E-3</v>
      </c>
      <c r="U42" s="1383">
        <f t="shared" si="17"/>
        <v>-3.6829494277634822E-5</v>
      </c>
      <c r="V42" s="1383">
        <f>+V29/U29-1</f>
        <v>2.3721180044539825E-2</v>
      </c>
      <c r="AA42" s="1388"/>
    </row>
    <row r="43" spans="1:27" ht="14.45">
      <c r="A43" s="1381" t="s">
        <v>130</v>
      </c>
      <c r="C43" s="1382"/>
      <c r="D43" s="1383">
        <f t="shared" ref="D43:V43" si="18">D29/D8</f>
        <v>9.2977528089887643E-2</v>
      </c>
      <c r="E43" s="1383">
        <f t="shared" si="18"/>
        <v>9.2829954784930432E-2</v>
      </c>
      <c r="F43" s="1383">
        <f t="shared" si="18"/>
        <v>8.9473132188931229E-2</v>
      </c>
      <c r="G43" s="1382">
        <f t="shared" si="18"/>
        <v>6.9523106943981727E-2</v>
      </c>
      <c r="H43" s="1382">
        <f t="shared" si="18"/>
        <v>7.2930851868663937E-2</v>
      </c>
      <c r="I43" s="1382">
        <f t="shared" si="18"/>
        <v>6.5408300497841118E-2</v>
      </c>
      <c r="J43" s="1382">
        <f t="shared" si="18"/>
        <v>8.333401326686303E-2</v>
      </c>
      <c r="K43" s="1384">
        <f t="shared" si="18"/>
        <v>0.10783044735954564</v>
      </c>
      <c r="L43" s="1383">
        <f t="shared" si="18"/>
        <v>0.11252852875670445</v>
      </c>
      <c r="M43" s="1383">
        <f t="shared" si="18"/>
        <v>0.11780225553623293</v>
      </c>
      <c r="N43" s="1383">
        <f t="shared" si="18"/>
        <v>0.11987653722968332</v>
      </c>
      <c r="O43" s="1383">
        <f t="shared" si="18"/>
        <v>0.12584259519518526</v>
      </c>
      <c r="P43" s="1383">
        <f t="shared" si="18"/>
        <v>0.12411029563526417</v>
      </c>
      <c r="Q43" s="1383">
        <f t="shared" si="18"/>
        <v>0.12331975312997463</v>
      </c>
      <c r="R43" s="1383">
        <f t="shared" si="18"/>
        <v>0.12140293771740188</v>
      </c>
      <c r="S43" s="1383">
        <f t="shared" si="18"/>
        <v>0.11621817853242933</v>
      </c>
      <c r="T43" s="1383">
        <f t="shared" si="18"/>
        <v>0.10776570680509466</v>
      </c>
      <c r="U43" s="1383">
        <f t="shared" si="18"/>
        <v>9.977938689686347E-2</v>
      </c>
      <c r="V43" s="1383">
        <f t="shared" si="18"/>
        <v>9.4579881202016464E-2</v>
      </c>
      <c r="AA43" s="1388"/>
    </row>
    <row r="44" spans="1:27">
      <c r="A44" s="1428"/>
      <c r="C44" s="1353"/>
      <c r="D44" s="1353"/>
      <c r="E44" s="1353"/>
      <c r="F44" s="1353"/>
      <c r="G44" s="1353"/>
      <c r="H44" s="1353"/>
      <c r="I44" s="1353"/>
      <c r="J44" s="1432"/>
      <c r="K44" s="1427"/>
      <c r="L44" s="1353"/>
      <c r="M44" s="1353"/>
      <c r="N44" s="1353"/>
      <c r="O44" s="1353"/>
      <c r="P44" s="1353"/>
      <c r="Q44" s="1353"/>
      <c r="R44" s="1353"/>
      <c r="S44" s="1353"/>
      <c r="T44" s="1353"/>
      <c r="U44" s="1353"/>
      <c r="V44" s="1353"/>
    </row>
    <row r="45" spans="1:27" ht="14.45">
      <c r="A45" s="1422" t="s">
        <v>127</v>
      </c>
      <c r="C45" s="1353"/>
      <c r="D45" s="1353"/>
      <c r="E45" s="1353"/>
      <c r="F45" s="1353"/>
      <c r="G45" s="1353"/>
      <c r="H45" s="1353"/>
      <c r="I45" s="1353"/>
      <c r="J45" s="1353"/>
      <c r="K45" s="1427"/>
      <c r="L45" s="1353"/>
      <c r="M45" s="1353"/>
      <c r="N45" s="1353"/>
      <c r="O45" s="1353"/>
      <c r="P45" s="1353"/>
      <c r="Q45" s="1353"/>
      <c r="R45" s="1353"/>
      <c r="S45" s="1353"/>
      <c r="T45" s="1353"/>
      <c r="U45" s="1353"/>
      <c r="V45" s="1353"/>
    </row>
    <row r="46" spans="1:27" ht="14.45">
      <c r="A46" s="1381" t="s">
        <v>131</v>
      </c>
      <c r="B46" s="1433"/>
      <c r="C46" s="1433">
        <f t="shared" ref="C46:V46" si="19">+C8-C33</f>
        <v>58462</v>
      </c>
      <c r="D46" s="1433">
        <f t="shared" si="19"/>
        <v>65041</v>
      </c>
      <c r="E46" s="1433">
        <f t="shared" si="19"/>
        <v>71202</v>
      </c>
      <c r="F46" s="1433">
        <f t="shared" si="19"/>
        <v>77260</v>
      </c>
      <c r="G46" s="1433">
        <f t="shared" si="19"/>
        <v>86486</v>
      </c>
      <c r="H46" s="1433">
        <f t="shared" si="19"/>
        <v>100427</v>
      </c>
      <c r="I46" s="1424">
        <f t="shared" si="19"/>
        <v>108360</v>
      </c>
      <c r="J46" s="1424">
        <f t="shared" si="19"/>
        <v>112252</v>
      </c>
      <c r="K46" s="1425">
        <f t="shared" si="19"/>
        <v>118372.28241821248</v>
      </c>
      <c r="L46" s="1433">
        <f t="shared" si="19"/>
        <v>125383.08278959303</v>
      </c>
      <c r="M46" s="1433">
        <f t="shared" si="19"/>
        <v>132571.40780083294</v>
      </c>
      <c r="N46" s="1433">
        <f t="shared" si="19"/>
        <v>141227.63345431883</v>
      </c>
      <c r="O46" s="1433">
        <f t="shared" si="19"/>
        <v>148948.76212353614</v>
      </c>
      <c r="P46" s="1433">
        <f t="shared" si="19"/>
        <v>160145.35556497687</v>
      </c>
      <c r="Q46" s="1433">
        <f t="shared" si="19"/>
        <v>171764.75821893959</v>
      </c>
      <c r="R46" s="1433">
        <f t="shared" si="19"/>
        <v>184754.8322276221</v>
      </c>
      <c r="S46" s="1433">
        <f t="shared" si="19"/>
        <v>200405.23437447706</v>
      </c>
      <c r="T46" s="1433">
        <f t="shared" si="19"/>
        <v>219192.84907380602</v>
      </c>
      <c r="U46" s="1433">
        <f t="shared" si="19"/>
        <v>239424.16929657257</v>
      </c>
      <c r="V46" s="1433">
        <f t="shared" si="19"/>
        <v>258578.10284029832</v>
      </c>
    </row>
    <row r="47" spans="1:27" ht="14.45">
      <c r="A47" s="1419" t="s">
        <v>132</v>
      </c>
      <c r="C47" s="1353"/>
      <c r="D47" s="1382">
        <f t="shared" ref="D47:V47" si="20">+D46/C46-1</f>
        <v>0.11253463788443785</v>
      </c>
      <c r="E47" s="1382">
        <f t="shared" si="20"/>
        <v>9.4724865853845985E-2</v>
      </c>
      <c r="F47" s="1382">
        <f t="shared" si="20"/>
        <v>8.5081879722479714E-2</v>
      </c>
      <c r="G47" s="1382">
        <f t="shared" si="20"/>
        <v>0.11941496246440586</v>
      </c>
      <c r="H47" s="1382">
        <f t="shared" si="20"/>
        <v>0.16119371921467063</v>
      </c>
      <c r="I47" s="1382">
        <f t="shared" si="20"/>
        <v>7.8992701166021195E-2</v>
      </c>
      <c r="J47" s="1382">
        <f t="shared" si="20"/>
        <v>3.5917312661498668E-2</v>
      </c>
      <c r="K47" s="1397">
        <f t="shared" si="20"/>
        <v>5.4522702653070576E-2</v>
      </c>
      <c r="L47" s="1382">
        <f t="shared" si="20"/>
        <v>5.92267060173024E-2</v>
      </c>
      <c r="M47" s="1382">
        <f t="shared" si="20"/>
        <v>5.7330900240367688E-2</v>
      </c>
      <c r="N47" s="1382">
        <f t="shared" si="20"/>
        <v>6.5294815805912343E-2</v>
      </c>
      <c r="O47" s="1382">
        <f t="shared" si="20"/>
        <v>5.4671514917898678E-2</v>
      </c>
      <c r="P47" s="1382">
        <f t="shared" si="20"/>
        <v>7.5170772027997268E-2</v>
      </c>
      <c r="Q47" s="1382">
        <f t="shared" si="20"/>
        <v>7.2555352061073775E-2</v>
      </c>
      <c r="R47" s="1382">
        <f t="shared" si="20"/>
        <v>7.5627120157702787E-2</v>
      </c>
      <c r="S47" s="1382">
        <f t="shared" si="20"/>
        <v>8.4709027407593451E-2</v>
      </c>
      <c r="T47" s="1382">
        <f t="shared" si="20"/>
        <v>9.3748123685344575E-2</v>
      </c>
      <c r="U47" s="1382">
        <f t="shared" si="20"/>
        <v>9.2299179960721789E-2</v>
      </c>
      <c r="V47" s="1382">
        <f t="shared" si="20"/>
        <v>7.9999999999999849E-2</v>
      </c>
    </row>
    <row r="48" spans="1:27" ht="14.45">
      <c r="A48" s="1419" t="s">
        <v>118</v>
      </c>
      <c r="C48" s="1353"/>
      <c r="D48" s="1382">
        <f t="shared" ref="D48:V48" si="21">+D46/D8</f>
        <v>0.58935302645886189</v>
      </c>
      <c r="E48" s="1382">
        <f t="shared" si="21"/>
        <v>0.56580024316012811</v>
      </c>
      <c r="F48" s="1382">
        <f t="shared" si="21"/>
        <v>0.54022305352585398</v>
      </c>
      <c r="G48" s="1382">
        <f t="shared" si="21"/>
        <v>0.51452810432630525</v>
      </c>
      <c r="H48" s="1382">
        <f t="shared" si="21"/>
        <v>0.50651636657083776</v>
      </c>
      <c r="I48" s="1382">
        <f t="shared" si="21"/>
        <v>0.51133709270226269</v>
      </c>
      <c r="J48" s="1382">
        <f t="shared" si="21"/>
        <v>0.45794339145405144</v>
      </c>
      <c r="K48" s="1397">
        <f t="shared" si="21"/>
        <v>0.42588513606979461</v>
      </c>
      <c r="L48" s="1382">
        <f t="shared" si="21"/>
        <v>0.41769343501938805</v>
      </c>
      <c r="M48" s="1382">
        <f t="shared" si="21"/>
        <v>0.40892608858661206</v>
      </c>
      <c r="N48" s="1382">
        <f t="shared" si="21"/>
        <v>0.40335818723991396</v>
      </c>
      <c r="O48" s="1382">
        <f t="shared" si="21"/>
        <v>0.39389850962116429</v>
      </c>
      <c r="P48" s="1382">
        <f t="shared" si="21"/>
        <v>0.39213718952783766</v>
      </c>
      <c r="Q48" s="1382">
        <f t="shared" si="21"/>
        <v>0.38943411237987957</v>
      </c>
      <c r="R48" s="1382">
        <f t="shared" si="21"/>
        <v>0.38785730813920466</v>
      </c>
      <c r="S48" s="1382">
        <f t="shared" si="21"/>
        <v>0.38954844767092955</v>
      </c>
      <c r="T48" s="1382">
        <f t="shared" si="21"/>
        <v>0.39450729974501647</v>
      </c>
      <c r="U48" s="1382">
        <f t="shared" si="21"/>
        <v>0.39900000000000008</v>
      </c>
      <c r="V48" s="1382">
        <f t="shared" si="21"/>
        <v>0.39900000000000002</v>
      </c>
    </row>
    <row r="49" spans="1:31">
      <c r="A49" s="1428"/>
      <c r="C49" s="1353"/>
      <c r="D49" s="1353"/>
      <c r="E49" s="1353"/>
      <c r="F49" s="1353"/>
      <c r="G49" s="1353"/>
      <c r="H49" s="1353"/>
      <c r="I49" s="1353"/>
      <c r="J49" s="1432"/>
      <c r="K49" s="1427"/>
      <c r="L49" s="1353"/>
      <c r="M49" s="1353"/>
      <c r="N49" s="1353"/>
      <c r="O49" s="1353"/>
      <c r="P49" s="1353"/>
      <c r="Q49" s="1353"/>
      <c r="R49" s="1353"/>
      <c r="S49" s="1353"/>
      <c r="T49" s="1353"/>
      <c r="U49" s="1353"/>
      <c r="V49" s="1353"/>
    </row>
    <row r="50" spans="1:31">
      <c r="A50" s="1412" t="s">
        <v>133</v>
      </c>
      <c r="B50" s="1376"/>
      <c r="C50" s="1377">
        <f>+'Historical Financials'!BH114*-1</f>
        <v>10200</v>
      </c>
      <c r="D50" s="1377">
        <f>+'Historical Financials'!BI114*-1</f>
        <v>13600</v>
      </c>
      <c r="E50" s="1378">
        <f>+'Historical Financials'!BJ114*-1</f>
        <v>16900</v>
      </c>
      <c r="F50" s="1378">
        <f>+'Historical Financials'!BK114*-1</f>
        <v>19000</v>
      </c>
      <c r="G50" s="1378">
        <f>+'Historical Financials'!BL114*-1</f>
        <v>24200</v>
      </c>
      <c r="H50" s="1378">
        <f>+'Historical Financials'!BM114*-1</f>
        <v>29200</v>
      </c>
      <c r="I50" s="1378">
        <f>+'Historical Financials'!BN114*-1</f>
        <v>31900</v>
      </c>
      <c r="J50" s="1378">
        <f>+'Historical Financials'!BO114*-1</f>
        <v>55700</v>
      </c>
      <c r="K50" s="1379">
        <f>+'Historical Financials'!BP114*-1</f>
        <v>83000</v>
      </c>
      <c r="L50" s="1380">
        <f t="shared" ref="L50:V50" si="22">+L52*L8</f>
        <v>66039.530193789353</v>
      </c>
      <c r="M50" s="1380">
        <f t="shared" si="22"/>
        <v>64838.811462993188</v>
      </c>
      <c r="N50" s="1380">
        <f t="shared" si="22"/>
        <v>63023.324742029377</v>
      </c>
      <c r="O50" s="1380">
        <f t="shared" si="22"/>
        <v>60502.391752348209</v>
      </c>
      <c r="P50" s="1380">
        <f t="shared" si="22"/>
        <v>57174.760205969069</v>
      </c>
      <c r="Q50" s="1380">
        <f t="shared" si="22"/>
        <v>57338.116663700406</v>
      </c>
      <c r="R50" s="1380">
        <f t="shared" si="22"/>
        <v>57161.691689350555</v>
      </c>
      <c r="S50" s="1380">
        <f t="shared" si="22"/>
        <v>61734.627024498601</v>
      </c>
      <c r="T50" s="1380">
        <f t="shared" si="22"/>
        <v>66673.397186458504</v>
      </c>
      <c r="U50" s="1380">
        <f t="shared" si="22"/>
        <v>72007.268961375186</v>
      </c>
      <c r="V50" s="1380">
        <f t="shared" si="22"/>
        <v>77767.850478285211</v>
      </c>
    </row>
    <row r="51" spans="1:31" s="1363" customFormat="1" ht="14.45">
      <c r="A51" s="1381" t="s">
        <v>87</v>
      </c>
      <c r="C51" s="1382"/>
      <c r="D51" s="1382">
        <f t="shared" ref="D51" si="23">+D50/C50-1</f>
        <v>0.33333333333333326</v>
      </c>
      <c r="E51" s="1382">
        <f t="shared" ref="E51" si="24">+E50/D50-1</f>
        <v>0.24264705882352944</v>
      </c>
      <c r="F51" s="1382">
        <f t="shared" ref="F51" si="25">+F50/E50-1</f>
        <v>0.12426035502958577</v>
      </c>
      <c r="G51" s="1382">
        <f t="shared" ref="G51" si="26">+G50/F50-1</f>
        <v>0.27368421052631575</v>
      </c>
      <c r="H51" s="1382">
        <f t="shared" ref="H51" si="27">+H50/G50-1</f>
        <v>0.20661157024793386</v>
      </c>
      <c r="I51" s="1382">
        <f t="shared" ref="I51" si="28">+I50/H50-1</f>
        <v>9.2465753424657571E-2</v>
      </c>
      <c r="J51" s="1382">
        <f t="shared" ref="J51" si="29">+J50/I50-1</f>
        <v>0.74608150470219425</v>
      </c>
      <c r="K51" s="1397">
        <f t="shared" ref="K51" si="30">+K50/J50-1</f>
        <v>0.49012567324955114</v>
      </c>
      <c r="L51" s="1382">
        <f t="shared" ref="L51" si="31">+L50/K50-1</f>
        <v>-0.20434300971338126</v>
      </c>
      <c r="M51" s="1382">
        <f t="shared" ref="M51" si="32">+M50/L50-1</f>
        <v>-1.8181818181818077E-2</v>
      </c>
      <c r="N51" s="1382">
        <f t="shared" ref="N51" si="33">+N50/M50-1</f>
        <v>-2.8000000000000025E-2</v>
      </c>
      <c r="O51" s="1382">
        <f t="shared" ref="O51" si="34">+O50/N50-1</f>
        <v>-3.9999999999999925E-2</v>
      </c>
      <c r="P51" s="1382">
        <f t="shared" ref="P51" si="35">+P50/O50-1</f>
        <v>-5.4999999999999827E-2</v>
      </c>
      <c r="Q51" s="1382">
        <f t="shared" ref="Q51" si="36">+Q50/P50-1</f>
        <v>2.8571428571428914E-3</v>
      </c>
      <c r="R51" s="1382">
        <f t="shared" ref="R51" si="37">+R50/Q50-1</f>
        <v>-3.0769230769231992E-3</v>
      </c>
      <c r="S51" s="1382">
        <f t="shared" ref="S51" si="38">+S50/R50-1</f>
        <v>8.0000000000000071E-2</v>
      </c>
      <c r="T51" s="1382">
        <f t="shared" ref="T51" si="39">+T50/S50-1</f>
        <v>8.0000000000000293E-2</v>
      </c>
      <c r="U51" s="1382">
        <f t="shared" ref="U51" si="40">+U50/T50-1</f>
        <v>8.0000000000000071E-2</v>
      </c>
      <c r="V51" s="1382">
        <f t="shared" ref="V51" si="41">+V50/U50-1</f>
        <v>8.0000000000000071E-2</v>
      </c>
      <c r="AC51" s="1501"/>
    </row>
    <row r="52" spans="1:31" s="1363" customFormat="1" ht="14.45">
      <c r="A52" s="1381" t="s">
        <v>118</v>
      </c>
      <c r="C52" s="1383">
        <f t="shared" ref="C52:K52" si="42">+C50/C8</f>
        <v>0.10562177051081588</v>
      </c>
      <c r="D52" s="1383">
        <f t="shared" si="42"/>
        <v>0.12323305545487495</v>
      </c>
      <c r="E52" s="1383">
        <f t="shared" si="42"/>
        <v>0.13429431911190928</v>
      </c>
      <c r="F52" s="1382">
        <f t="shared" si="42"/>
        <v>0.13285319721707514</v>
      </c>
      <c r="G52" s="1382">
        <f t="shared" si="42"/>
        <v>0.14397220503545763</v>
      </c>
      <c r="H52" s="1382">
        <f t="shared" si="42"/>
        <v>0.14727391940283452</v>
      </c>
      <c r="I52" s="1382">
        <f t="shared" si="42"/>
        <v>0.15053205294575656</v>
      </c>
      <c r="J52" s="1383">
        <f t="shared" si="42"/>
        <v>0.22723378562511728</v>
      </c>
      <c r="K52" s="1384">
        <f t="shared" si="42"/>
        <v>0.2986211431566882</v>
      </c>
      <c r="L52" s="1385">
        <f>+'Case 2 - upside'!L52</f>
        <v>0.22</v>
      </c>
      <c r="M52" s="1385">
        <f>+'Case 2 - upside'!M52</f>
        <v>0.2</v>
      </c>
      <c r="N52" s="1385">
        <f>+'Case 2 - upside'!N52</f>
        <v>0.18</v>
      </c>
      <c r="O52" s="1385">
        <f>+'Case 2 - upside'!O52</f>
        <v>0.16</v>
      </c>
      <c r="P52" s="1385">
        <f>+'Case 2 - upside'!P52</f>
        <v>0.14000000000000001</v>
      </c>
      <c r="Q52" s="1385">
        <f>+'Case 2 - upside'!Q52</f>
        <v>0.13</v>
      </c>
      <c r="R52" s="1385">
        <f>+'Case 2 - upside'!R52</f>
        <v>0.12</v>
      </c>
      <c r="S52" s="1385">
        <f>+'Case 2 - upside'!S52</f>
        <v>0.12</v>
      </c>
      <c r="T52" s="1385">
        <f>+'Case 2 - upside'!T52</f>
        <v>0.12</v>
      </c>
      <c r="U52" s="1385">
        <f>+'Case 2 - upside'!U52</f>
        <v>0.12</v>
      </c>
      <c r="V52" s="1385">
        <f>+'Case 2 - upside'!V52</f>
        <v>0.12</v>
      </c>
    </row>
    <row r="53" spans="1:31" s="1363" customFormat="1" ht="14.45">
      <c r="A53" s="1420"/>
      <c r="C53" s="1361"/>
      <c r="D53" s="1361"/>
      <c r="E53" s="1361"/>
      <c r="F53" s="1361"/>
      <c r="G53" s="1361"/>
      <c r="H53" s="1361"/>
      <c r="I53" s="1361"/>
      <c r="J53" s="1361"/>
      <c r="K53" s="1374"/>
      <c r="L53" s="1361"/>
      <c r="M53" s="1361"/>
      <c r="N53" s="1361"/>
      <c r="O53" s="1361"/>
      <c r="P53" s="1361"/>
      <c r="Q53" s="1361"/>
      <c r="R53" s="1361"/>
      <c r="S53" s="1361"/>
      <c r="T53" s="1361"/>
      <c r="U53" s="1361"/>
      <c r="V53" s="1361"/>
    </row>
    <row r="54" spans="1:31">
      <c r="A54" s="1412" t="s">
        <v>138</v>
      </c>
      <c r="B54" s="1376"/>
      <c r="C54" s="1380">
        <f t="shared" ref="C54:V54" si="43">+C33-C50</f>
        <v>27909</v>
      </c>
      <c r="D54" s="1380">
        <f t="shared" si="43"/>
        <v>31719</v>
      </c>
      <c r="E54" s="1424">
        <f t="shared" si="43"/>
        <v>37741</v>
      </c>
      <c r="F54" s="1424">
        <f t="shared" si="43"/>
        <v>46755</v>
      </c>
      <c r="G54" s="1424">
        <f t="shared" si="43"/>
        <v>57402</v>
      </c>
      <c r="H54" s="1424">
        <f t="shared" si="43"/>
        <v>68643</v>
      </c>
      <c r="I54" s="1424">
        <f t="shared" si="43"/>
        <v>71655</v>
      </c>
      <c r="J54" s="1424">
        <f t="shared" si="43"/>
        <v>77170</v>
      </c>
      <c r="K54" s="1425">
        <f t="shared" si="43"/>
        <v>76571.868229049054</v>
      </c>
      <c r="L54" s="1380">
        <f t="shared" si="43"/>
        <v>108757.06971566011</v>
      </c>
      <c r="M54" s="1380">
        <f t="shared" si="43"/>
        <v>126783.83805113981</v>
      </c>
      <c r="N54" s="1380">
        <f t="shared" si="43"/>
        <v>145878.62370381498</v>
      </c>
      <c r="O54" s="1380">
        <f t="shared" si="43"/>
        <v>168688.79457629193</v>
      </c>
      <c r="P54" s="1380">
        <f t="shared" si="43"/>
        <v>191071.0285574045</v>
      </c>
      <c r="Q54" s="1380">
        <f t="shared" si="43"/>
        <v>211959.56099197848</v>
      </c>
      <c r="R54" s="1380">
        <f t="shared" si="43"/>
        <v>234430.90682761531</v>
      </c>
      <c r="S54" s="1380">
        <f t="shared" si="43"/>
        <v>252315.36380517937</v>
      </c>
      <c r="T54" s="1380">
        <f t="shared" si="43"/>
        <v>269745.39696022298</v>
      </c>
      <c r="U54" s="1380">
        <f t="shared" si="43"/>
        <v>288629.13642017887</v>
      </c>
      <c r="V54" s="1380">
        <f t="shared" si="43"/>
        <v>311719.46733379317</v>
      </c>
    </row>
    <row r="55" spans="1:31" s="1363" customFormat="1" ht="14.45">
      <c r="A55" s="1381" t="s">
        <v>87</v>
      </c>
      <c r="C55" s="1382"/>
      <c r="D55" s="1382">
        <f t="shared" ref="D55:V55" si="44">+D54/C54-1</f>
        <v>0.13651510265505751</v>
      </c>
      <c r="E55" s="1382">
        <f t="shared" si="44"/>
        <v>0.18985466124404926</v>
      </c>
      <c r="F55" s="1382">
        <f t="shared" si="44"/>
        <v>0.23883839855859668</v>
      </c>
      <c r="G55" s="1382">
        <f t="shared" si="44"/>
        <v>0.22771896053897978</v>
      </c>
      <c r="H55" s="1382">
        <f t="shared" si="44"/>
        <v>0.19582941360928197</v>
      </c>
      <c r="I55" s="1382">
        <f t="shared" si="44"/>
        <v>4.3879201083868669E-2</v>
      </c>
      <c r="J55" s="1382">
        <f t="shared" si="44"/>
        <v>7.6966017723815394E-2</v>
      </c>
      <c r="K55" s="1397">
        <f t="shared" si="44"/>
        <v>-7.7508328489173106E-3</v>
      </c>
      <c r="L55" s="1382">
        <f t="shared" si="44"/>
        <v>0.42032671046154468</v>
      </c>
      <c r="M55" s="1382">
        <f t="shared" si="44"/>
        <v>0.16575261160134036</v>
      </c>
      <c r="N55" s="1382">
        <f t="shared" si="44"/>
        <v>0.15060898886002372</v>
      </c>
      <c r="O55" s="1382">
        <f t="shared" si="44"/>
        <v>0.15636403945508581</v>
      </c>
      <c r="P55" s="1382">
        <f t="shared" si="44"/>
        <v>0.13268358480675424</v>
      </c>
      <c r="Q55" s="1382">
        <f t="shared" si="44"/>
        <v>0.10932338927718876</v>
      </c>
      <c r="R55" s="1382">
        <f t="shared" si="44"/>
        <v>0.10601713709195337</v>
      </c>
      <c r="S55" s="1382">
        <f t="shared" si="44"/>
        <v>7.6288818823343485E-2</v>
      </c>
      <c r="T55" s="1382">
        <f t="shared" si="44"/>
        <v>6.9080348069893605E-2</v>
      </c>
      <c r="U55" s="1382">
        <f t="shared" si="44"/>
        <v>7.0005789432397769E-2</v>
      </c>
      <c r="V55" s="1382">
        <f t="shared" si="44"/>
        <v>8.0000000000000071E-2</v>
      </c>
      <c r="AC55" s="1501"/>
    </row>
    <row r="56" spans="1:31" s="1363" customFormat="1" ht="14.45">
      <c r="A56" s="1381" t="s">
        <v>99</v>
      </c>
      <c r="C56" s="1382">
        <f t="shared" ref="C56:V56" si="45">+C54/C8</f>
        <v>0.28899980325356472</v>
      </c>
      <c r="D56" s="1382">
        <f t="shared" si="45"/>
        <v>0.28741391808626315</v>
      </c>
      <c r="E56" s="1382">
        <f t="shared" si="45"/>
        <v>0.29990543772796263</v>
      </c>
      <c r="F56" s="1382">
        <f t="shared" si="45"/>
        <v>0.32692374925707096</v>
      </c>
      <c r="G56" s="1382">
        <f t="shared" si="45"/>
        <v>0.3414996906382371</v>
      </c>
      <c r="H56" s="1382">
        <f t="shared" si="45"/>
        <v>0.34620971402632772</v>
      </c>
      <c r="I56" s="1382">
        <f t="shared" si="45"/>
        <v>0.33813085435198076</v>
      </c>
      <c r="J56" s="1382">
        <f t="shared" si="45"/>
        <v>0.31482282292083125</v>
      </c>
      <c r="K56" s="1397">
        <f t="shared" si="45"/>
        <v>0.27549372077351714</v>
      </c>
      <c r="L56" s="1382">
        <f t="shared" si="45"/>
        <v>0.36230656498061192</v>
      </c>
      <c r="M56" s="1382">
        <f t="shared" si="45"/>
        <v>0.39107391141338799</v>
      </c>
      <c r="N56" s="1382">
        <f t="shared" si="45"/>
        <v>0.41664181276008599</v>
      </c>
      <c r="O56" s="1382">
        <f t="shared" si="45"/>
        <v>0.44610149037883562</v>
      </c>
      <c r="P56" s="1382">
        <f t="shared" si="45"/>
        <v>0.46786281047216227</v>
      </c>
      <c r="Q56" s="1382">
        <f t="shared" si="45"/>
        <v>0.48056588762012042</v>
      </c>
      <c r="R56" s="1382">
        <f t="shared" si="45"/>
        <v>0.49214269186079534</v>
      </c>
      <c r="S56" s="1382">
        <f t="shared" si="45"/>
        <v>0.49045155232907045</v>
      </c>
      <c r="T56" s="1382">
        <f t="shared" si="45"/>
        <v>0.48549270025498348</v>
      </c>
      <c r="U56" s="1382">
        <f t="shared" si="45"/>
        <v>0.48099999999999993</v>
      </c>
      <c r="V56" s="1437">
        <f t="shared" si="45"/>
        <v>0.48099999999999998</v>
      </c>
    </row>
    <row r="57" spans="1:31" ht="14.45">
      <c r="A57" s="1381"/>
      <c r="C57" s="1383"/>
      <c r="D57" s="1383"/>
      <c r="E57" s="1383"/>
      <c r="F57" s="1383"/>
      <c r="G57" s="1383"/>
      <c r="H57" s="1383"/>
      <c r="I57" s="1383"/>
      <c r="J57" s="1383"/>
      <c r="K57" s="1384"/>
      <c r="L57" s="1383"/>
      <c r="M57" s="1383"/>
      <c r="N57" s="1383"/>
      <c r="O57" s="1383"/>
      <c r="P57" s="1383"/>
      <c r="Q57" s="1383"/>
      <c r="R57" s="1383"/>
      <c r="S57" s="1383"/>
      <c r="T57" s="1383"/>
      <c r="U57" s="1383"/>
      <c r="V57" s="1383"/>
    </row>
    <row r="58" spans="1:31">
      <c r="A58" s="1354" t="s">
        <v>139</v>
      </c>
      <c r="B58" s="1376"/>
      <c r="C58" s="1377">
        <f>+'Historical Financials'!BH71*-1</f>
        <v>-876</v>
      </c>
      <c r="D58" s="1377">
        <f>+'Historical Financials'!BI71*-1</f>
        <v>-1416</v>
      </c>
      <c r="E58" s="1378">
        <f>+'Historical Financials'!BJ71*-1</f>
        <v>-729</v>
      </c>
      <c r="F58" s="1378">
        <f>+'Historical Financials'!BK71*-1</f>
        <v>-77</v>
      </c>
      <c r="G58" s="1378">
        <f>+'Historical Financials'!BL71*-1</f>
        <v>-1186</v>
      </c>
      <c r="H58" s="1378">
        <f>+'Historical Financials'!BM71*-1</f>
        <v>-333</v>
      </c>
      <c r="I58" s="1378">
        <f>+'Historical Financials'!BN71*-1</f>
        <v>-788</v>
      </c>
      <c r="J58" s="1378">
        <f>+'Historical Financials'!BO71*-1</f>
        <v>1646</v>
      </c>
      <c r="K58" s="1379">
        <f>+'Historical Financials'!BP71*-1</f>
        <v>283</v>
      </c>
      <c r="L58" s="1380">
        <v>0</v>
      </c>
      <c r="M58" s="1380">
        <v>0</v>
      </c>
      <c r="N58" s="1380">
        <v>0</v>
      </c>
      <c r="O58" s="1380">
        <v>0</v>
      </c>
      <c r="P58" s="1380">
        <v>0</v>
      </c>
      <c r="Q58" s="1380">
        <v>0</v>
      </c>
      <c r="R58" s="1380">
        <v>0</v>
      </c>
      <c r="S58" s="1380">
        <v>0</v>
      </c>
      <c r="T58" s="1380">
        <v>0</v>
      </c>
      <c r="U58" s="1380">
        <v>0</v>
      </c>
      <c r="V58" s="1380">
        <v>0</v>
      </c>
    </row>
    <row r="59" spans="1:31" ht="14.45">
      <c r="A59" s="1381" t="s">
        <v>140</v>
      </c>
      <c r="C59" s="1438">
        <v>0.05</v>
      </c>
      <c r="D59" s="1385">
        <f>C59+0.25%</f>
        <v>5.2500000000000005E-2</v>
      </c>
      <c r="E59" s="1385">
        <f>D59+0.25%</f>
        <v>5.5000000000000007E-2</v>
      </c>
      <c r="F59" s="1385">
        <f>E59+0.25%</f>
        <v>5.7500000000000009E-2</v>
      </c>
      <c r="G59" s="1385">
        <f>F59+0.25%</f>
        <v>6.0000000000000012E-2</v>
      </c>
      <c r="H59" s="1385">
        <f t="shared" ref="H59:V59" si="46">G59</f>
        <v>6.0000000000000012E-2</v>
      </c>
      <c r="I59" s="1385">
        <f t="shared" si="46"/>
        <v>6.0000000000000012E-2</v>
      </c>
      <c r="J59" s="1385">
        <f t="shared" si="46"/>
        <v>6.0000000000000012E-2</v>
      </c>
      <c r="K59" s="1374">
        <f t="shared" si="46"/>
        <v>6.0000000000000012E-2</v>
      </c>
      <c r="L59" s="1385">
        <f t="shared" si="46"/>
        <v>6.0000000000000012E-2</v>
      </c>
      <c r="M59" s="1385">
        <f t="shared" si="46"/>
        <v>6.0000000000000012E-2</v>
      </c>
      <c r="N59" s="1385">
        <f t="shared" si="46"/>
        <v>6.0000000000000012E-2</v>
      </c>
      <c r="O59" s="1385">
        <f t="shared" si="46"/>
        <v>6.0000000000000012E-2</v>
      </c>
      <c r="P59" s="1385">
        <f t="shared" si="46"/>
        <v>6.0000000000000012E-2</v>
      </c>
      <c r="Q59" s="1385">
        <f t="shared" si="46"/>
        <v>6.0000000000000012E-2</v>
      </c>
      <c r="R59" s="1385">
        <f t="shared" si="46"/>
        <v>6.0000000000000012E-2</v>
      </c>
      <c r="S59" s="1385">
        <f t="shared" si="46"/>
        <v>6.0000000000000012E-2</v>
      </c>
      <c r="T59" s="1385">
        <f t="shared" si="46"/>
        <v>6.0000000000000012E-2</v>
      </c>
      <c r="U59" s="1385">
        <f t="shared" si="46"/>
        <v>6.0000000000000012E-2</v>
      </c>
      <c r="V59" s="1385">
        <f t="shared" si="46"/>
        <v>6.0000000000000012E-2</v>
      </c>
    </row>
    <row r="60" spans="1:31">
      <c r="C60" s="1353"/>
      <c r="D60" s="1353"/>
      <c r="E60" s="1353"/>
      <c r="F60" s="1353"/>
      <c r="G60" s="1353"/>
      <c r="H60" s="1353"/>
      <c r="I60" s="1353"/>
      <c r="J60" s="1353"/>
      <c r="K60" s="1427"/>
      <c r="L60" s="1353"/>
      <c r="M60" s="1353"/>
      <c r="N60" s="1353"/>
      <c r="O60" s="1353"/>
      <c r="P60" s="1353"/>
      <c r="Q60" s="1353"/>
      <c r="R60" s="1353"/>
      <c r="S60" s="1353"/>
      <c r="T60" s="1353"/>
      <c r="U60" s="1353"/>
      <c r="V60" s="1353"/>
    </row>
    <row r="61" spans="1:31">
      <c r="A61" s="1353" t="s">
        <v>141</v>
      </c>
      <c r="B61" s="1380"/>
      <c r="C61" s="1380">
        <f>+MAX((C33-C29-C58)*C62,0)</f>
        <v>10572.449999999999</v>
      </c>
      <c r="D61" s="1380">
        <f>+MAX((D33-D29-D58)*D62,0)</f>
        <v>10212.719999999999</v>
      </c>
      <c r="E61" s="1424">
        <f>+MAX((E33-E29-E58)*E62,0)</f>
        <v>9174.48</v>
      </c>
      <c r="F61" s="1378">
        <f>+'Historical Financials'!BK116*-1</f>
        <v>11137.559999999998</v>
      </c>
      <c r="G61" s="1378">
        <f>+'Historical Financials'!BL116*-1</f>
        <v>14931.419999999998</v>
      </c>
      <c r="H61" s="1378">
        <f>+'Historical Financials'!BM116*-1</f>
        <v>17580.359999999997</v>
      </c>
      <c r="I61" s="1378">
        <f>+'Historical Financials'!BN116*-1</f>
        <v>19001.22</v>
      </c>
      <c r="J61" s="1378">
        <f>+'Historical Financials'!BO116*-1</f>
        <v>22891.286250000001</v>
      </c>
      <c r="K61" s="1379">
        <f>+'Historical Financials'!BP116*-1</f>
        <v>26676.515485995042</v>
      </c>
      <c r="L61" s="1380">
        <f t="shared" ref="L61:V61" si="47">+MAX((L33-L29-L58-L39)*L62,0)</f>
        <v>28674.832589061094</v>
      </c>
      <c r="M61" s="1380">
        <f t="shared" si="47"/>
        <v>31634.16024950732</v>
      </c>
      <c r="N61" s="1380">
        <f t="shared" si="47"/>
        <v>34654.331583054969</v>
      </c>
      <c r="O61" s="1380">
        <f t="shared" si="47"/>
        <v>37774.185512373391</v>
      </c>
      <c r="P61" s="1380">
        <f t="shared" si="47"/>
        <v>41162.781052251215</v>
      </c>
      <c r="Q61" s="1380">
        <f t="shared" si="47"/>
        <v>44843.3930592303</v>
      </c>
      <c r="R61" s="1380">
        <f t="shared" si="47"/>
        <v>48841.300420591615</v>
      </c>
      <c r="S61" s="1380">
        <f t="shared" si="47"/>
        <v>53183.957740191676</v>
      </c>
      <c r="T61" s="1380">
        <f t="shared" si="47"/>
        <v>57901.181668235979</v>
      </c>
      <c r="U61" s="1380">
        <f t="shared" si="47"/>
        <v>63025.353119230109</v>
      </c>
      <c r="V61" s="1380">
        <f t="shared" si="47"/>
        <v>68920.607136284787</v>
      </c>
      <c r="W61" s="1353"/>
      <c r="X61" s="1353"/>
      <c r="Y61" s="1353"/>
      <c r="Z61" s="1353"/>
      <c r="AA61" s="1353"/>
      <c r="AB61" s="1353"/>
      <c r="AC61" s="1353"/>
      <c r="AD61" s="1353"/>
      <c r="AE61" s="1353"/>
    </row>
    <row r="62" spans="1:31" ht="14.45">
      <c r="A62" s="1381" t="s">
        <v>140</v>
      </c>
      <c r="C62" s="1438">
        <v>0.35</v>
      </c>
      <c r="D62" s="1385">
        <f>+(0.35+0.21)/2</f>
        <v>0.27999999999999997</v>
      </c>
      <c r="E62" s="1385">
        <v>0.21</v>
      </c>
      <c r="F62" s="1383">
        <f>+F61/(F33-F29-F58)</f>
        <v>0.20999999999999996</v>
      </c>
      <c r="G62" s="1383">
        <f>+G61/(G33-G29-G58)</f>
        <v>0.20999999999999996</v>
      </c>
      <c r="H62" s="1383">
        <f>+H61/(H33-H29-H58)</f>
        <v>0.20999999999999996</v>
      </c>
      <c r="I62" s="1383">
        <f>+I61/(I33-I29-I58)</f>
        <v>0.21000000000000002</v>
      </c>
      <c r="J62" s="1383">
        <f>+J61/(J33-J29-J58-'Historical Financials'!BO98)</f>
        <v>0.21000000000000002</v>
      </c>
      <c r="K62" s="1397">
        <f>+K61/(K33-K29-K58-'Historical Financials'!BP98)</f>
        <v>0.21000000000000002</v>
      </c>
      <c r="L62" s="1385">
        <f t="shared" ref="L62:V62" si="48">K62</f>
        <v>0.21000000000000002</v>
      </c>
      <c r="M62" s="1385">
        <f t="shared" si="48"/>
        <v>0.21000000000000002</v>
      </c>
      <c r="N62" s="1385">
        <f t="shared" si="48"/>
        <v>0.21000000000000002</v>
      </c>
      <c r="O62" s="1385">
        <f t="shared" si="48"/>
        <v>0.21000000000000002</v>
      </c>
      <c r="P62" s="1385">
        <f t="shared" si="48"/>
        <v>0.21000000000000002</v>
      </c>
      <c r="Q62" s="1385">
        <f t="shared" si="48"/>
        <v>0.21000000000000002</v>
      </c>
      <c r="R62" s="1385">
        <f t="shared" si="48"/>
        <v>0.21000000000000002</v>
      </c>
      <c r="S62" s="1385">
        <f t="shared" si="48"/>
        <v>0.21000000000000002</v>
      </c>
      <c r="T62" s="1385">
        <f t="shared" si="48"/>
        <v>0.21000000000000002</v>
      </c>
      <c r="U62" s="1385">
        <f t="shared" si="48"/>
        <v>0.21000000000000002</v>
      </c>
      <c r="V62" s="1385">
        <f t="shared" si="48"/>
        <v>0.21000000000000002</v>
      </c>
      <c r="Z62" s="1439"/>
      <c r="AA62" s="1376"/>
    </row>
    <row r="63" spans="1:31">
      <c r="C63" s="1353"/>
      <c r="D63" s="1353"/>
      <c r="E63" s="1440"/>
      <c r="F63" s="1353"/>
      <c r="G63" s="1353"/>
      <c r="H63" s="1353"/>
      <c r="I63" s="1353"/>
      <c r="J63" s="1353"/>
      <c r="K63" s="1427"/>
      <c r="L63" s="1353"/>
      <c r="M63" s="1353"/>
      <c r="N63" s="1353"/>
      <c r="O63" s="1353"/>
      <c r="P63" s="1353"/>
      <c r="Q63" s="1353"/>
      <c r="R63" s="1353"/>
      <c r="S63" s="1353"/>
      <c r="T63" s="1353"/>
      <c r="U63" s="1353"/>
      <c r="V63" s="1353"/>
    </row>
    <row r="64" spans="1:31" s="1353" customFormat="1">
      <c r="A64" s="1353" t="s">
        <v>142</v>
      </c>
      <c r="B64" s="1380"/>
      <c r="C64" s="1380">
        <f t="shared" ref="C64:V64" si="49">+C13-C58-C61</f>
        <v>19634.550000000003</v>
      </c>
      <c r="D64" s="1380">
        <f t="shared" si="49"/>
        <v>26261.279999999999</v>
      </c>
      <c r="E64" s="1424">
        <f t="shared" si="49"/>
        <v>34513.520000000004</v>
      </c>
      <c r="F64" s="1424">
        <f t="shared" si="49"/>
        <v>41898.44</v>
      </c>
      <c r="G64" s="1424">
        <f t="shared" si="49"/>
        <v>56170.58</v>
      </c>
      <c r="H64" s="1424">
        <f t="shared" si="49"/>
        <v>66135.64</v>
      </c>
      <c r="I64" s="1424">
        <f t="shared" si="49"/>
        <v>71480.78</v>
      </c>
      <c r="J64" s="1424">
        <f t="shared" si="49"/>
        <v>87905.713749999995</v>
      </c>
      <c r="K64" s="1425">
        <f t="shared" si="49"/>
        <v>102641.51063779085</v>
      </c>
      <c r="L64" s="1380">
        <f t="shared" si="49"/>
        <v>112342.98926361074</v>
      </c>
      <c r="M64" s="1380">
        <f t="shared" si="49"/>
        <v>121797.69808147993</v>
      </c>
      <c r="N64" s="1380">
        <f t="shared" si="49"/>
        <v>132275.29500292105</v>
      </c>
      <c r="O64" s="1380">
        <f t="shared" si="49"/>
        <v>143830.88835607131</v>
      </c>
      <c r="P64" s="1380">
        <f t="shared" si="49"/>
        <v>156397.46205370693</v>
      </c>
      <c r="Q64" s="1380">
        <f t="shared" si="49"/>
        <v>170062.57388948539</v>
      </c>
      <c r="R64" s="1380">
        <f t="shared" si="49"/>
        <v>184921.32062984465</v>
      </c>
      <c r="S64" s="1380">
        <f t="shared" si="49"/>
        <v>201076.9838797687</v>
      </c>
      <c r="T64" s="1380">
        <f t="shared" si="49"/>
        <v>218641.73103764962</v>
      </c>
      <c r="U64" s="1380">
        <f t="shared" si="49"/>
        <v>237737.37601996094</v>
      </c>
      <c r="V64" s="1380">
        <f t="shared" si="49"/>
        <v>259272.76017935699</v>
      </c>
    </row>
    <row r="65" spans="1:31" ht="14.45">
      <c r="A65" s="1381" t="s">
        <v>87</v>
      </c>
      <c r="C65" s="1382"/>
      <c r="D65" s="1383">
        <f t="shared" ref="D65:V65" si="50">D64/C64-1</f>
        <v>0.33750353331245142</v>
      </c>
      <c r="E65" s="1383">
        <f t="shared" si="50"/>
        <v>0.31423601591392369</v>
      </c>
      <c r="F65" s="1382">
        <f t="shared" si="50"/>
        <v>0.21397180003662331</v>
      </c>
      <c r="G65" s="1382">
        <f t="shared" si="50"/>
        <v>0.34063654875933325</v>
      </c>
      <c r="H65" s="1382">
        <f t="shared" si="50"/>
        <v>0.17740710528536474</v>
      </c>
      <c r="I65" s="1382">
        <f t="shared" si="50"/>
        <v>8.0820870562377634E-2</v>
      </c>
      <c r="J65" s="1382">
        <f t="shared" si="50"/>
        <v>0.22978112088312397</v>
      </c>
      <c r="K65" s="1397">
        <f t="shared" si="50"/>
        <v>0.16763184392881247</v>
      </c>
      <c r="L65" s="1382">
        <f t="shared" si="50"/>
        <v>9.4518081091530259E-2</v>
      </c>
      <c r="M65" s="1382">
        <f t="shared" si="50"/>
        <v>8.4159313187615936E-2</v>
      </c>
      <c r="N65" s="1382">
        <f t="shared" si="50"/>
        <v>8.602458902328225E-2</v>
      </c>
      <c r="O65" s="1382">
        <f t="shared" si="50"/>
        <v>8.7360178277395617E-2</v>
      </c>
      <c r="P65" s="1382">
        <f t="shared" si="50"/>
        <v>8.7370479604669482E-2</v>
      </c>
      <c r="Q65" s="1382">
        <f t="shared" si="50"/>
        <v>8.7374255671015089E-2</v>
      </c>
      <c r="R65" s="1382">
        <f t="shared" si="50"/>
        <v>8.737223247023862E-2</v>
      </c>
      <c r="S65" s="1382">
        <f t="shared" si="50"/>
        <v>8.7365065287754007E-2</v>
      </c>
      <c r="T65" s="1382">
        <f t="shared" si="50"/>
        <v>8.7353345066999433E-2</v>
      </c>
      <c r="U65" s="1382">
        <f t="shared" si="50"/>
        <v>8.7337604270170566E-2</v>
      </c>
      <c r="V65" s="1382">
        <f t="shared" si="50"/>
        <v>9.0584764246695038E-2</v>
      </c>
    </row>
    <row r="66" spans="1:31">
      <c r="C66" s="1353"/>
      <c r="D66" s="1353"/>
      <c r="E66" s="1440"/>
      <c r="F66" s="1353"/>
      <c r="G66" s="1353"/>
      <c r="H66" s="1353"/>
      <c r="I66" s="1353"/>
      <c r="J66" s="1353"/>
      <c r="K66" s="1427"/>
      <c r="L66" s="1353"/>
      <c r="M66" s="1353"/>
      <c r="N66" s="1353"/>
      <c r="O66" s="1353"/>
      <c r="P66" s="1353"/>
      <c r="Q66" s="1353"/>
      <c r="R66" s="1353"/>
      <c r="S66" s="1353"/>
      <c r="T66" s="1353"/>
      <c r="U66" s="1353"/>
      <c r="V66" s="1353"/>
    </row>
    <row r="67" spans="1:31" s="1353" customFormat="1">
      <c r="A67" s="1353" t="str">
        <f>+A29</f>
        <v>Adj. D&amp;A</v>
      </c>
      <c r="B67" s="1380"/>
      <c r="C67" s="1380">
        <f t="shared" ref="C67:V67" si="51">+C29</f>
        <v>8778</v>
      </c>
      <c r="D67" s="1380">
        <f t="shared" si="51"/>
        <v>10261</v>
      </c>
      <c r="E67" s="1424">
        <f t="shared" si="51"/>
        <v>11682</v>
      </c>
      <c r="F67" s="1424">
        <f t="shared" si="51"/>
        <v>12796</v>
      </c>
      <c r="G67" s="1424">
        <f t="shared" si="51"/>
        <v>11686</v>
      </c>
      <c r="H67" s="1424">
        <f t="shared" si="51"/>
        <v>14460</v>
      </c>
      <c r="I67" s="1424">
        <f t="shared" si="51"/>
        <v>13861</v>
      </c>
      <c r="J67" s="1424">
        <f t="shared" si="51"/>
        <v>20427</v>
      </c>
      <c r="K67" s="1425">
        <f t="shared" si="51"/>
        <v>29970.842105263157</v>
      </c>
      <c r="L67" s="1380">
        <f t="shared" si="51"/>
        <v>33778.778056777621</v>
      </c>
      <c r="M67" s="1380">
        <f t="shared" si="51"/>
        <v>38190.79118314576</v>
      </c>
      <c r="N67" s="1380">
        <f t="shared" si="51"/>
        <v>41972.321859868367</v>
      </c>
      <c r="O67" s="1380">
        <f t="shared" si="51"/>
        <v>47586.112460195443</v>
      </c>
      <c r="P67" s="1380">
        <f t="shared" si="51"/>
        <v>50685.545657415409</v>
      </c>
      <c r="Q67" s="1380">
        <f t="shared" si="51"/>
        <v>54391.710706963218</v>
      </c>
      <c r="R67" s="1380">
        <f t="shared" si="51"/>
        <v>57829.977466529614</v>
      </c>
      <c r="S67" s="1380">
        <f t="shared" si="51"/>
        <v>59789.049209717625</v>
      </c>
      <c r="T67" s="1380">
        <f t="shared" si="51"/>
        <v>59875.881440795922</v>
      </c>
      <c r="U67" s="1380">
        <f t="shared" si="51"/>
        <v>59873.676242363028</v>
      </c>
      <c r="V67" s="1380">
        <f t="shared" si="51"/>
        <v>61293.950496436613</v>
      </c>
    </row>
    <row r="68" spans="1:31" s="1444" customFormat="1" ht="17.100000000000001">
      <c r="A68" s="1353" t="str">
        <f>+A50</f>
        <v>Capex</v>
      </c>
      <c r="B68" s="1441"/>
      <c r="C68" s="1441">
        <f t="shared" ref="C68:V68" si="52">+C50*-1</f>
        <v>-10200</v>
      </c>
      <c r="D68" s="1441">
        <f t="shared" si="52"/>
        <v>-13600</v>
      </c>
      <c r="E68" s="1442">
        <f t="shared" si="52"/>
        <v>-16900</v>
      </c>
      <c r="F68" s="1442">
        <f t="shared" si="52"/>
        <v>-19000</v>
      </c>
      <c r="G68" s="1442">
        <f t="shared" si="52"/>
        <v>-24200</v>
      </c>
      <c r="H68" s="1442">
        <f t="shared" si="52"/>
        <v>-29200</v>
      </c>
      <c r="I68" s="1442">
        <f t="shared" si="52"/>
        <v>-31900</v>
      </c>
      <c r="J68" s="1442">
        <f t="shared" si="52"/>
        <v>-55700</v>
      </c>
      <c r="K68" s="1443">
        <f t="shared" si="52"/>
        <v>-83000</v>
      </c>
      <c r="L68" s="1441">
        <f t="shared" si="52"/>
        <v>-66039.530193789353</v>
      </c>
      <c r="M68" s="1441">
        <f t="shared" si="52"/>
        <v>-64838.811462993188</v>
      </c>
      <c r="N68" s="1441">
        <f t="shared" si="52"/>
        <v>-63023.324742029377</v>
      </c>
      <c r="O68" s="1441">
        <f t="shared" si="52"/>
        <v>-60502.391752348209</v>
      </c>
      <c r="P68" s="1441">
        <f t="shared" si="52"/>
        <v>-57174.760205969069</v>
      </c>
      <c r="Q68" s="1441">
        <f t="shared" si="52"/>
        <v>-57338.116663700406</v>
      </c>
      <c r="R68" s="1441">
        <f t="shared" si="52"/>
        <v>-57161.691689350555</v>
      </c>
      <c r="S68" s="1441">
        <f t="shared" si="52"/>
        <v>-61734.627024498601</v>
      </c>
      <c r="T68" s="1441">
        <f t="shared" si="52"/>
        <v>-66673.397186458504</v>
      </c>
      <c r="U68" s="1441">
        <f t="shared" si="52"/>
        <v>-72007.268961375186</v>
      </c>
      <c r="V68" s="1441">
        <f t="shared" si="52"/>
        <v>-77767.850478285211</v>
      </c>
    </row>
    <row r="69" spans="1:31">
      <c r="A69" s="1428" t="s">
        <v>143</v>
      </c>
      <c r="B69" s="1376"/>
      <c r="C69" s="1380">
        <f t="shared" ref="C69:V69" si="53">+C68+C67+C64</f>
        <v>18212.550000000003</v>
      </c>
      <c r="D69" s="1380">
        <f t="shared" si="53"/>
        <v>22922.28</v>
      </c>
      <c r="E69" s="1424">
        <f t="shared" si="53"/>
        <v>29295.520000000004</v>
      </c>
      <c r="F69" s="1424">
        <f t="shared" si="53"/>
        <v>35694.44</v>
      </c>
      <c r="G69" s="1424">
        <f t="shared" si="53"/>
        <v>43656.58</v>
      </c>
      <c r="H69" s="1424">
        <f t="shared" si="53"/>
        <v>51395.64</v>
      </c>
      <c r="I69" s="1424">
        <f t="shared" si="53"/>
        <v>53441.78</v>
      </c>
      <c r="J69" s="1424">
        <f t="shared" si="53"/>
        <v>52632.713749999995</v>
      </c>
      <c r="K69" s="1425">
        <f t="shared" si="53"/>
        <v>49612.352743054013</v>
      </c>
      <c r="L69" s="1380">
        <f t="shared" si="53"/>
        <v>80082.237126599008</v>
      </c>
      <c r="M69" s="1380">
        <f t="shared" si="53"/>
        <v>95149.677801632497</v>
      </c>
      <c r="N69" s="1380">
        <f t="shared" si="53"/>
        <v>111224.29212076004</v>
      </c>
      <c r="O69" s="1380">
        <f t="shared" si="53"/>
        <v>130914.60906391856</v>
      </c>
      <c r="P69" s="1380">
        <f t="shared" si="53"/>
        <v>149908.24750515327</v>
      </c>
      <c r="Q69" s="1380">
        <f t="shared" si="53"/>
        <v>167116.16793274821</v>
      </c>
      <c r="R69" s="1380">
        <f t="shared" si="53"/>
        <v>185589.6064070237</v>
      </c>
      <c r="S69" s="1380">
        <f t="shared" si="53"/>
        <v>199131.40606498771</v>
      </c>
      <c r="T69" s="1380">
        <f t="shared" si="53"/>
        <v>211844.21529198703</v>
      </c>
      <c r="U69" s="1380">
        <f t="shared" si="53"/>
        <v>225603.78330094879</v>
      </c>
      <c r="V69" s="1380">
        <f t="shared" si="53"/>
        <v>242798.86019750839</v>
      </c>
    </row>
    <row r="70" spans="1:31" ht="14.45">
      <c r="A70" s="1419" t="s">
        <v>87</v>
      </c>
      <c r="C70" s="1382"/>
      <c r="D70" s="1382">
        <f t="shared" ref="D70:V70" si="54">+D69/C69-1</f>
        <v>0.25859805463814767</v>
      </c>
      <c r="E70" s="1382">
        <f t="shared" si="54"/>
        <v>0.278036914303464</v>
      </c>
      <c r="F70" s="1382">
        <f t="shared" si="54"/>
        <v>0.21842657170789237</v>
      </c>
      <c r="G70" s="1382">
        <f t="shared" si="54"/>
        <v>0.22306387213246648</v>
      </c>
      <c r="H70" s="1382">
        <f t="shared" si="54"/>
        <v>0.17727133000340367</v>
      </c>
      <c r="I70" s="1382">
        <f t="shared" si="54"/>
        <v>3.9811548216930559E-2</v>
      </c>
      <c r="J70" s="1382">
        <f t="shared" si="54"/>
        <v>-1.5139208499417522E-2</v>
      </c>
      <c r="K70" s="1397">
        <f t="shared" si="54"/>
        <v>-5.7385621826235078E-2</v>
      </c>
      <c r="L70" s="1382">
        <f t="shared" si="54"/>
        <v>0.61415923049146137</v>
      </c>
      <c r="M70" s="1382">
        <f t="shared" si="54"/>
        <v>0.18814959740964698</v>
      </c>
      <c r="N70" s="1382">
        <f t="shared" si="54"/>
        <v>0.1689402916596292</v>
      </c>
      <c r="O70" s="1382">
        <f t="shared" si="54"/>
        <v>0.17703252201218822</v>
      </c>
      <c r="P70" s="1382">
        <f t="shared" si="54"/>
        <v>0.14508417797712059</v>
      </c>
      <c r="Q70" s="1382">
        <f t="shared" si="54"/>
        <v>0.11478968445017279</v>
      </c>
      <c r="R70" s="1382">
        <f t="shared" si="54"/>
        <v>0.11054249689180096</v>
      </c>
      <c r="S70" s="1382">
        <f t="shared" si="54"/>
        <v>7.2966368753781152E-2</v>
      </c>
      <c r="T70" s="1382">
        <f t="shared" si="54"/>
        <v>6.3841306995293445E-2</v>
      </c>
      <c r="U70" s="1382">
        <f t="shared" si="54"/>
        <v>6.4951351114293177E-2</v>
      </c>
      <c r="V70" s="1382">
        <f t="shared" si="54"/>
        <v>7.6218034312048211E-2</v>
      </c>
    </row>
    <row r="71" spans="1:31">
      <c r="A71" s="1353"/>
      <c r="B71" s="1376"/>
      <c r="C71" s="1445"/>
      <c r="D71" s="1380"/>
      <c r="E71" s="1424"/>
      <c r="F71" s="1424"/>
      <c r="G71" s="1424"/>
      <c r="H71" s="1424"/>
      <c r="I71" s="1424"/>
      <c r="J71" s="1424"/>
      <c r="K71" s="1425"/>
      <c r="L71" s="1380"/>
      <c r="M71" s="1380"/>
      <c r="N71" s="1380"/>
      <c r="O71" s="1380"/>
      <c r="P71" s="1380"/>
      <c r="Q71" s="1380"/>
      <c r="R71" s="1380"/>
      <c r="S71" s="1380"/>
      <c r="T71" s="1380"/>
      <c r="U71" s="1380"/>
      <c r="V71" s="1380"/>
      <c r="W71" s="1376"/>
      <c r="X71" s="1376"/>
      <c r="Y71" s="1376"/>
      <c r="Z71" s="1376"/>
      <c r="AA71" s="1376"/>
      <c r="AB71" s="1376"/>
      <c r="AC71" s="1376"/>
      <c r="AD71" s="1376"/>
      <c r="AE71" s="1376"/>
    </row>
    <row r="72" spans="1:31">
      <c r="A72" s="1353" t="s">
        <v>144</v>
      </c>
      <c r="C72" s="1377">
        <f>+'Historical Financials'!BH121</f>
        <v>3266</v>
      </c>
      <c r="D72" s="1377">
        <f>+'Historical Financials'!BI121</f>
        <v>3940</v>
      </c>
      <c r="E72" s="1378">
        <f>+'Historical Financials'!BJ121</f>
        <v>4652</v>
      </c>
      <c r="F72" s="1378">
        <f>+'Historical Financials'!BK121</f>
        <v>5289</v>
      </c>
      <c r="G72" s="1378">
        <f>+'Historical Financials'!BL121</f>
        <v>6118</v>
      </c>
      <c r="H72" s="1378">
        <f>+'Historical Financials'!BM121</f>
        <v>7502</v>
      </c>
      <c r="I72" s="1378">
        <f>+'Historical Financials'!BN121</f>
        <v>9611</v>
      </c>
      <c r="J72" s="1378">
        <f>+'Historical Financials'!BO121</f>
        <v>10734</v>
      </c>
      <c r="K72" s="1446">
        <v>0</v>
      </c>
      <c r="L72" s="1447">
        <v>0</v>
      </c>
      <c r="M72" s="1447">
        <v>0</v>
      </c>
      <c r="N72" s="1447">
        <v>0</v>
      </c>
      <c r="O72" s="1447">
        <v>0</v>
      </c>
      <c r="P72" s="1447">
        <v>0</v>
      </c>
      <c r="Q72" s="1447">
        <v>0</v>
      </c>
      <c r="R72" s="1447">
        <v>0</v>
      </c>
      <c r="S72" s="1447">
        <v>0</v>
      </c>
      <c r="T72" s="1447">
        <v>0</v>
      </c>
      <c r="U72" s="1447">
        <v>0</v>
      </c>
      <c r="V72" s="1447">
        <v>0</v>
      </c>
      <c r="W72" s="1376"/>
      <c r="Y72" s="1448"/>
    </row>
    <row r="73" spans="1:31">
      <c r="A73" s="1353" t="str">
        <f>+'Case 2 - upside'!A73</f>
        <v>ATVI Amortization Cash Tax Benefit</v>
      </c>
      <c r="C73" s="1377"/>
      <c r="D73" s="1377">
        <v>0</v>
      </c>
      <c r="E73" s="1378">
        <v>0</v>
      </c>
      <c r="F73" s="1378">
        <v>0</v>
      </c>
      <c r="G73" s="1378">
        <v>0</v>
      </c>
      <c r="H73" s="1378">
        <v>0</v>
      </c>
      <c r="I73" s="1378">
        <v>0</v>
      </c>
      <c r="J73" s="1510">
        <f>+'D&amp;A forecast - Case 3'!U53*0.21</f>
        <v>480.27</v>
      </c>
      <c r="K73" s="1446">
        <f>+'D&amp;A forecast - Case 3'!V53*0.21</f>
        <v>480.27</v>
      </c>
      <c r="L73" s="1447">
        <f>+'D&amp;A forecast - Case 3'!W53*0.21</f>
        <v>480.27</v>
      </c>
      <c r="M73" s="1447">
        <f>+'D&amp;A forecast - Case 3'!X53*0.21</f>
        <v>480.27</v>
      </c>
      <c r="N73" s="1447">
        <f>+'D&amp;A forecast - Case 3'!Y53*0.21</f>
        <v>480.27</v>
      </c>
      <c r="O73" s="1447">
        <f>+'D&amp;A forecast - Case 3'!Z53*0.21</f>
        <v>480.27</v>
      </c>
      <c r="P73" s="1447">
        <f>+'D&amp;A forecast - Case 3'!AA53*0.21</f>
        <v>480.27</v>
      </c>
      <c r="Q73" s="1447">
        <f>+'D&amp;A forecast - Case 3'!AB53*0.21</f>
        <v>480.27</v>
      </c>
      <c r="R73" s="1447">
        <f>+'D&amp;A forecast - Case 3'!AC53*0.21</f>
        <v>480.27</v>
      </c>
      <c r="S73" s="1447">
        <f>+'D&amp;A forecast - Case 3'!AD53*0.21</f>
        <v>480.27</v>
      </c>
      <c r="T73" s="1447">
        <f>+'D&amp;A forecast - Case 3'!AE53*0.21</f>
        <v>480.27</v>
      </c>
      <c r="U73" s="1447">
        <f>+'D&amp;A forecast - Case 3'!AF53*0.21</f>
        <v>480.27</v>
      </c>
      <c r="V73" s="1447">
        <f>+'D&amp;A forecast - Case 3'!AG53*0.21</f>
        <v>480.27</v>
      </c>
      <c r="W73" s="1376"/>
      <c r="Y73" s="1448"/>
    </row>
    <row r="74" spans="1:31" ht="17.100000000000001">
      <c r="A74" s="1353" t="s">
        <v>200</v>
      </c>
      <c r="C74" s="1449">
        <f t="shared" ref="C74:H74" si="55">C75-C69-SUM(C72:C72)</f>
        <v>7828.4499999999971</v>
      </c>
      <c r="D74" s="1449">
        <f t="shared" si="55"/>
        <v>3421.7200000000012</v>
      </c>
      <c r="E74" s="1449">
        <f t="shared" si="55"/>
        <v>1337.4799999999959</v>
      </c>
      <c r="F74" s="1449">
        <f t="shared" si="55"/>
        <v>691.55999999999767</v>
      </c>
      <c r="G74" s="1449">
        <f t="shared" si="55"/>
        <v>2765.4199999999983</v>
      </c>
      <c r="H74" s="1449">
        <f t="shared" si="55"/>
        <v>937.36000000000058</v>
      </c>
      <c r="I74" s="1449">
        <f>I75-I69-SUM(I72:I73)</f>
        <v>-7370.7799999999988</v>
      </c>
      <c r="J74" s="1449">
        <f t="shared" ref="J74" si="56">J75-J69-SUM(J72:J73)</f>
        <v>-998.98374999999578</v>
      </c>
      <c r="K74" s="1450">
        <v>0</v>
      </c>
      <c r="L74" s="1451">
        <v>0</v>
      </c>
      <c r="M74" s="1451">
        <v>0</v>
      </c>
      <c r="N74" s="1451">
        <v>0</v>
      </c>
      <c r="O74" s="1451">
        <v>0</v>
      </c>
      <c r="P74" s="1451">
        <v>0</v>
      </c>
      <c r="Q74" s="1451">
        <v>0</v>
      </c>
      <c r="R74" s="1451">
        <v>0</v>
      </c>
      <c r="S74" s="1451">
        <v>0</v>
      </c>
      <c r="T74" s="1451">
        <v>0</v>
      </c>
      <c r="U74" s="1451">
        <v>0</v>
      </c>
      <c r="V74" s="1451">
        <v>0</v>
      </c>
    </row>
    <row r="75" spans="1:31">
      <c r="A75" s="1452" t="s">
        <v>147</v>
      </c>
      <c r="B75" s="1377"/>
      <c r="C75" s="1377">
        <f>+'Historical Financials'!BH125</f>
        <v>29307</v>
      </c>
      <c r="D75" s="1377">
        <f>+'Historical Financials'!BI125</f>
        <v>30284</v>
      </c>
      <c r="E75" s="1378">
        <f>+'Historical Financials'!BJ125</f>
        <v>35285</v>
      </c>
      <c r="F75" s="1378">
        <f>+'Historical Financials'!BK125</f>
        <v>41675</v>
      </c>
      <c r="G75" s="1378">
        <f>+'Historical Financials'!BL125</f>
        <v>52540</v>
      </c>
      <c r="H75" s="1378">
        <f>+'Historical Financials'!BM125</f>
        <v>59835</v>
      </c>
      <c r="I75" s="1378">
        <f>+'Historical Financials'!BN125</f>
        <v>55682</v>
      </c>
      <c r="J75" s="1378">
        <f>+'Historical Financials'!BO125</f>
        <v>62848</v>
      </c>
      <c r="K75" s="1425">
        <f t="shared" ref="K75:V75" si="57">+K69+K74+K72+K71+K73</f>
        <v>50092.622743054009</v>
      </c>
      <c r="L75" s="1380">
        <f t="shared" si="57"/>
        <v>80562.507126599012</v>
      </c>
      <c r="M75" s="1380">
        <f t="shared" si="57"/>
        <v>95629.947801632501</v>
      </c>
      <c r="N75" s="1380">
        <f t="shared" si="57"/>
        <v>111704.56212076005</v>
      </c>
      <c r="O75" s="1380">
        <f t="shared" si="57"/>
        <v>131394.87906391855</v>
      </c>
      <c r="P75" s="1380">
        <f t="shared" si="57"/>
        <v>150388.51750515326</v>
      </c>
      <c r="Q75" s="1380">
        <f t="shared" si="57"/>
        <v>167596.4379327482</v>
      </c>
      <c r="R75" s="1380">
        <f t="shared" si="57"/>
        <v>186069.87640702369</v>
      </c>
      <c r="S75" s="1380">
        <f t="shared" si="57"/>
        <v>199611.6760649877</v>
      </c>
      <c r="T75" s="1380">
        <f t="shared" si="57"/>
        <v>212324.48529198702</v>
      </c>
      <c r="U75" s="1380">
        <f t="shared" si="57"/>
        <v>226084.05330094878</v>
      </c>
      <c r="V75" s="1380">
        <f t="shared" si="57"/>
        <v>243279.13019750838</v>
      </c>
      <c r="W75" s="1453"/>
      <c r="X75" s="1453"/>
      <c r="Y75" s="1453"/>
      <c r="Z75" s="1453"/>
      <c r="AA75" s="1453"/>
      <c r="AB75" s="1453"/>
      <c r="AC75" s="1453"/>
      <c r="AD75" s="1453"/>
      <c r="AE75" s="1453"/>
    </row>
    <row r="76" spans="1:31">
      <c r="C76" s="1353"/>
      <c r="D76" s="1353"/>
      <c r="E76" s="1353"/>
      <c r="F76" s="1353"/>
      <c r="G76" s="1353"/>
      <c r="H76" s="1353"/>
      <c r="I76" s="1353"/>
      <c r="J76" s="1353"/>
      <c r="K76" s="1427"/>
      <c r="L76" s="1353"/>
      <c r="M76" s="1353"/>
      <c r="N76" s="1353"/>
      <c r="O76" s="1353"/>
      <c r="P76" s="1353"/>
      <c r="Q76" s="1353"/>
      <c r="R76" s="1353"/>
      <c r="S76" s="1353"/>
      <c r="T76" s="1353"/>
      <c r="U76" s="1353"/>
      <c r="V76" s="1353"/>
    </row>
    <row r="77" spans="1:31">
      <c r="A77" s="1354" t="s">
        <v>148</v>
      </c>
      <c r="B77" s="1376"/>
      <c r="C77" s="1377">
        <f>+'Historical Financials'!BH139</f>
        <v>-38877</v>
      </c>
      <c r="D77" s="1377">
        <f>+'Historical Financials'!BI139</f>
        <v>-47659</v>
      </c>
      <c r="E77" s="1378">
        <f>+'Historical Financials'!BJ139</f>
        <v>-48879</v>
      </c>
      <c r="F77" s="1378">
        <f>+'Historical Financials'!BK139</f>
        <v>-56033</v>
      </c>
      <c r="G77" s="1378">
        <f>+'Historical Financials'!BL139</f>
        <v>-50018</v>
      </c>
      <c r="H77" s="1378">
        <f>+'Historical Financials'!BM139</f>
        <v>-28585</v>
      </c>
      <c r="I77" s="1378">
        <f>+'Historical Financials'!BN139</f>
        <v>-34230</v>
      </c>
      <c r="J77" s="1378">
        <f>+'Historical Financials'!BO139</f>
        <v>18729</v>
      </c>
      <c r="K77" s="1379">
        <f>+'Historical Financials'!BP139</f>
        <v>-23993.555243054016</v>
      </c>
      <c r="L77" s="1380">
        <f t="shared" ref="L77:V77" si="58">L78*L33</f>
        <v>0</v>
      </c>
      <c r="M77" s="1380">
        <f t="shared" si="58"/>
        <v>0</v>
      </c>
      <c r="N77" s="1380">
        <f t="shared" si="58"/>
        <v>0</v>
      </c>
      <c r="O77" s="1380">
        <f t="shared" si="58"/>
        <v>0</v>
      </c>
      <c r="P77" s="1380">
        <f t="shared" si="58"/>
        <v>0</v>
      </c>
      <c r="Q77" s="1380">
        <f t="shared" si="58"/>
        <v>0</v>
      </c>
      <c r="R77" s="1380">
        <f t="shared" si="58"/>
        <v>0</v>
      </c>
      <c r="S77" s="1380">
        <f t="shared" si="58"/>
        <v>0</v>
      </c>
      <c r="T77" s="1380">
        <f t="shared" si="58"/>
        <v>0</v>
      </c>
      <c r="U77" s="1380">
        <f t="shared" si="58"/>
        <v>0</v>
      </c>
      <c r="V77" s="1380">
        <f t="shared" si="58"/>
        <v>0</v>
      </c>
    </row>
    <row r="78" spans="1:31" ht="14.45">
      <c r="A78" s="1381" t="s">
        <v>149</v>
      </c>
      <c r="B78" s="1363"/>
      <c r="C78" s="1454">
        <f t="shared" ref="C78:K78" si="59">+C77/C33</f>
        <v>-1.0201527198299614</v>
      </c>
      <c r="D78" s="1454">
        <f t="shared" si="59"/>
        <v>-1.0516339725060129</v>
      </c>
      <c r="E78" s="1454">
        <f t="shared" si="59"/>
        <v>-0.89454804999908488</v>
      </c>
      <c r="F78" s="1454">
        <f t="shared" si="59"/>
        <v>-0.85214812561782372</v>
      </c>
      <c r="G78" s="1454">
        <f t="shared" si="59"/>
        <v>-0.61295066297394674</v>
      </c>
      <c r="H78" s="1454">
        <f t="shared" si="59"/>
        <v>-0.29215171243727195</v>
      </c>
      <c r="I78" s="1454">
        <f t="shared" si="59"/>
        <v>-0.33054898363188645</v>
      </c>
      <c r="J78" s="1454">
        <f t="shared" si="59"/>
        <v>0.14095732671031835</v>
      </c>
      <c r="K78" s="1456">
        <f t="shared" si="59"/>
        <v>-0.15036206262004609</v>
      </c>
      <c r="L78" s="1457">
        <v>0</v>
      </c>
      <c r="M78" s="1457">
        <f t="shared" ref="M78:V78" si="60">L78</f>
        <v>0</v>
      </c>
      <c r="N78" s="1457">
        <f t="shared" si="60"/>
        <v>0</v>
      </c>
      <c r="O78" s="1457">
        <f t="shared" si="60"/>
        <v>0</v>
      </c>
      <c r="P78" s="1457">
        <f t="shared" si="60"/>
        <v>0</v>
      </c>
      <c r="Q78" s="1457">
        <f t="shared" si="60"/>
        <v>0</v>
      </c>
      <c r="R78" s="1457">
        <f t="shared" si="60"/>
        <v>0</v>
      </c>
      <c r="S78" s="1457">
        <f t="shared" si="60"/>
        <v>0</v>
      </c>
      <c r="T78" s="1457">
        <f t="shared" si="60"/>
        <v>0</v>
      </c>
      <c r="U78" s="1457">
        <f t="shared" si="60"/>
        <v>0</v>
      </c>
      <c r="V78" s="1457">
        <f t="shared" si="60"/>
        <v>0</v>
      </c>
    </row>
    <row r="79" spans="1:31">
      <c r="C79" s="1353"/>
      <c r="D79" s="1353"/>
      <c r="E79" s="1353"/>
      <c r="F79" s="1353"/>
      <c r="G79" s="1353"/>
      <c r="H79" s="1353"/>
      <c r="I79" s="1353"/>
      <c r="J79" s="1353"/>
      <c r="K79" s="1427"/>
      <c r="L79" s="1353"/>
      <c r="M79" s="1353"/>
      <c r="N79" s="1353"/>
      <c r="O79" s="1353"/>
      <c r="P79" s="1353"/>
      <c r="Q79" s="1353"/>
      <c r="R79" s="1353"/>
      <c r="S79" s="1353"/>
      <c r="T79" s="1353"/>
      <c r="U79" s="1353"/>
      <c r="V79" s="1353"/>
    </row>
    <row r="80" spans="1:31">
      <c r="A80" s="1428" t="s">
        <v>150</v>
      </c>
      <c r="B80" s="1376"/>
      <c r="C80" s="1380"/>
      <c r="D80" s="1380"/>
      <c r="E80" s="1424"/>
      <c r="F80" s="1424"/>
      <c r="G80" s="1424"/>
      <c r="H80" s="1424"/>
      <c r="I80" s="1424"/>
      <c r="J80" s="1424"/>
      <c r="K80" s="1425"/>
      <c r="L80" s="1380">
        <f t="shared" ref="L80:V80" si="61">+L75+(L77-K77)</f>
        <v>104556.06236965302</v>
      </c>
      <c r="M80" s="1380">
        <f t="shared" si="61"/>
        <v>95629.947801632501</v>
      </c>
      <c r="N80" s="1380">
        <f t="shared" si="61"/>
        <v>111704.56212076005</v>
      </c>
      <c r="O80" s="1380">
        <f t="shared" si="61"/>
        <v>131394.87906391855</v>
      </c>
      <c r="P80" s="1380">
        <f t="shared" si="61"/>
        <v>150388.51750515326</v>
      </c>
      <c r="Q80" s="1380">
        <f t="shared" si="61"/>
        <v>167596.4379327482</v>
      </c>
      <c r="R80" s="1380">
        <f t="shared" si="61"/>
        <v>186069.87640702369</v>
      </c>
      <c r="S80" s="1380">
        <f t="shared" si="61"/>
        <v>199611.6760649877</v>
      </c>
      <c r="T80" s="1380">
        <f t="shared" si="61"/>
        <v>212324.48529198702</v>
      </c>
      <c r="U80" s="1380">
        <f t="shared" si="61"/>
        <v>226084.05330094878</v>
      </c>
      <c r="V80" s="1380">
        <f t="shared" si="61"/>
        <v>243279.13019750838</v>
      </c>
    </row>
    <row r="81" spans="1:26" ht="14.45">
      <c r="A81" s="1419" t="s">
        <v>151</v>
      </c>
      <c r="C81" s="1382"/>
      <c r="D81" s="1382"/>
      <c r="E81" s="1382"/>
      <c r="F81" s="1382"/>
      <c r="G81" s="1382"/>
      <c r="H81" s="1382"/>
      <c r="I81" s="1382"/>
      <c r="J81" s="1382"/>
      <c r="K81" s="1397"/>
      <c r="L81" s="1382">
        <f t="shared" ref="L81:V81" si="62">+L80/$D$101</f>
        <v>3.3207106756691619E-2</v>
      </c>
      <c r="M81" s="1382">
        <f t="shared" si="62"/>
        <v>3.0372164117643371E-2</v>
      </c>
      <c r="N81" s="1382">
        <f t="shared" si="62"/>
        <v>3.5477477206813823E-2</v>
      </c>
      <c r="O81" s="1382">
        <f t="shared" si="62"/>
        <v>4.1731140954142723E-2</v>
      </c>
      <c r="P81" s="1382">
        <f t="shared" si="62"/>
        <v>4.7763538933957503E-2</v>
      </c>
      <c r="Q81" s="1382">
        <f t="shared" si="62"/>
        <v>5.322879114171139E-2</v>
      </c>
      <c r="R81" s="1382">
        <f t="shared" si="62"/>
        <v>5.9095973107780649E-2</v>
      </c>
      <c r="S81" s="1382">
        <f t="shared" si="62"/>
        <v>6.3396861805462321E-2</v>
      </c>
      <c r="T81" s="1382">
        <f t="shared" si="62"/>
        <v>6.7434462338714141E-2</v>
      </c>
      <c r="U81" s="1382">
        <f t="shared" si="62"/>
        <v>7.1804514475759515E-2</v>
      </c>
      <c r="V81" s="1382">
        <f t="shared" si="62"/>
        <v>7.7265687565607116E-2</v>
      </c>
    </row>
    <row r="82" spans="1:26">
      <c r="C82" s="1353"/>
      <c r="D82" s="1353"/>
      <c r="E82" s="1353"/>
      <c r="F82" s="1353"/>
      <c r="G82" s="1353"/>
      <c r="H82" s="1353"/>
      <c r="I82" s="1353"/>
      <c r="J82" s="1353"/>
      <c r="K82" s="1427"/>
      <c r="L82" s="1353"/>
      <c r="M82" s="1353"/>
      <c r="N82" s="1353"/>
      <c r="O82" s="1353"/>
      <c r="P82" s="1353"/>
      <c r="Q82" s="1353"/>
      <c r="R82" s="1353"/>
      <c r="S82" s="1353"/>
      <c r="T82" s="1353"/>
      <c r="U82" s="1353"/>
      <c r="V82" s="1353"/>
    </row>
    <row r="83" spans="1:26">
      <c r="A83" s="1428" t="s">
        <v>152</v>
      </c>
      <c r="B83" s="1376"/>
      <c r="C83" s="1380"/>
      <c r="D83" s="1380"/>
      <c r="E83" s="1424"/>
      <c r="F83" s="1424"/>
      <c r="G83" s="1424"/>
      <c r="H83" s="1424"/>
      <c r="I83" s="1424"/>
      <c r="J83" s="1424"/>
      <c r="K83" s="1425"/>
      <c r="L83" s="1380">
        <f t="shared" ref="L83:V83" si="63">L80+K83</f>
        <v>104556.06236965302</v>
      </c>
      <c r="M83" s="1380">
        <f t="shared" si="63"/>
        <v>200186.01017128554</v>
      </c>
      <c r="N83" s="1380">
        <f t="shared" si="63"/>
        <v>311890.57229204557</v>
      </c>
      <c r="O83" s="1380">
        <f t="shared" si="63"/>
        <v>443285.45135596412</v>
      </c>
      <c r="P83" s="1380">
        <f t="shared" si="63"/>
        <v>593673.96886111738</v>
      </c>
      <c r="Q83" s="1380">
        <f t="shared" si="63"/>
        <v>761270.40679386561</v>
      </c>
      <c r="R83" s="1380">
        <f t="shared" si="63"/>
        <v>947340.28320088936</v>
      </c>
      <c r="S83" s="1380">
        <f t="shared" si="63"/>
        <v>1146951.959265877</v>
      </c>
      <c r="T83" s="1380">
        <f t="shared" si="63"/>
        <v>1359276.444557864</v>
      </c>
      <c r="U83" s="1380">
        <f t="shared" si="63"/>
        <v>1585360.4978588128</v>
      </c>
      <c r="V83" s="1380">
        <f t="shared" si="63"/>
        <v>1828639.6280563213</v>
      </c>
    </row>
    <row r="84" spans="1:26" ht="14.45">
      <c r="A84" s="1419" t="s">
        <v>151</v>
      </c>
      <c r="C84" s="1382"/>
      <c r="D84" s="1382"/>
      <c r="E84" s="1382"/>
      <c r="F84" s="1382"/>
      <c r="G84" s="1382"/>
      <c r="H84" s="1382"/>
      <c r="I84" s="1382"/>
      <c r="J84" s="1382"/>
      <c r="K84" s="1397"/>
      <c r="L84" s="1382">
        <f t="shared" ref="L84:V84" si="64">L83/$D$101</f>
        <v>3.3207106756691619E-2</v>
      </c>
      <c r="M84" s="1382">
        <f t="shared" si="64"/>
        <v>6.3579270874335E-2</v>
      </c>
      <c r="N84" s="1382">
        <f t="shared" si="64"/>
        <v>9.9056748081148824E-2</v>
      </c>
      <c r="O84" s="1458">
        <f t="shared" si="64"/>
        <v>0.14078788903529155</v>
      </c>
      <c r="P84" s="1382">
        <f t="shared" si="64"/>
        <v>0.18855142796924904</v>
      </c>
      <c r="Q84" s="1382">
        <f t="shared" si="64"/>
        <v>0.24178021911096045</v>
      </c>
      <c r="R84" s="1382">
        <f t="shared" si="64"/>
        <v>0.30087619221874112</v>
      </c>
      <c r="S84" s="1382">
        <f t="shared" si="64"/>
        <v>0.3642730540242034</v>
      </c>
      <c r="T84" s="1382">
        <f t="shared" si="64"/>
        <v>0.43170751636291754</v>
      </c>
      <c r="U84" s="1382">
        <f t="shared" si="64"/>
        <v>0.50351203083867702</v>
      </c>
      <c r="V84" s="1382">
        <f t="shared" si="64"/>
        <v>0.58077771840428416</v>
      </c>
    </row>
    <row r="85" spans="1:26">
      <c r="C85" s="1353"/>
      <c r="D85" s="1353"/>
      <c r="E85" s="1353"/>
      <c r="F85" s="1353"/>
      <c r="G85" s="1353"/>
      <c r="H85" s="1353"/>
      <c r="I85" s="1353"/>
      <c r="J85" s="1353"/>
      <c r="K85" s="1427"/>
      <c r="L85" s="1353"/>
      <c r="M85" s="1353"/>
      <c r="N85" s="1353"/>
      <c r="O85" s="1353"/>
      <c r="P85" s="1353"/>
      <c r="Q85" s="1353"/>
      <c r="R85" s="1353"/>
      <c r="S85" s="1353"/>
      <c r="T85" s="1353"/>
      <c r="U85" s="1353"/>
      <c r="V85" s="1353"/>
    </row>
    <row r="86" spans="1:26" collapsed="1">
      <c r="A86" s="1354" t="s">
        <v>153</v>
      </c>
      <c r="C86" s="1353"/>
      <c r="D86" s="1353"/>
      <c r="E86" s="1353"/>
      <c r="F86" s="1353"/>
      <c r="G86" s="1459"/>
      <c r="H86" s="1460"/>
      <c r="I86" s="1513"/>
      <c r="J86" s="1459"/>
      <c r="K86" s="1461">
        <f>+Base!K85</f>
        <v>54.620608899297423</v>
      </c>
      <c r="L86" s="1353"/>
      <c r="M86" s="1353"/>
      <c r="N86" s="1353"/>
      <c r="O86" s="1353"/>
      <c r="P86" s="1353"/>
      <c r="Q86" s="1353"/>
      <c r="R86" s="1353"/>
      <c r="S86" s="1353"/>
      <c r="T86" s="1353"/>
      <c r="U86" s="1353"/>
      <c r="V86" s="1353"/>
      <c r="Z86" s="1435"/>
    </row>
    <row r="87" spans="1:26">
      <c r="A87" s="1353" t="s">
        <v>154</v>
      </c>
      <c r="B87" s="1353"/>
      <c r="C87" s="1459"/>
      <c r="D87" s="1459"/>
      <c r="E87" s="1459"/>
      <c r="F87" s="1459"/>
      <c r="G87" s="1459"/>
      <c r="H87" s="1459"/>
      <c r="I87" s="1459"/>
      <c r="J87" s="1459"/>
      <c r="K87" s="1461">
        <f t="shared" ref="K87:V87" si="65">+($D$101-K83)/(K8)</f>
        <v>11.328193065648968</v>
      </c>
      <c r="L87" s="1459">
        <f t="shared" si="65"/>
        <v>10.140756064034766</v>
      </c>
      <c r="M87" s="1459">
        <f t="shared" si="65"/>
        <v>9.094611462801188</v>
      </c>
      <c r="N87" s="1459">
        <f t="shared" si="65"/>
        <v>8.1018987664881799</v>
      </c>
      <c r="O87" s="1459">
        <f t="shared" si="65"/>
        <v>7.1542812646947302</v>
      </c>
      <c r="P87" s="1459">
        <f t="shared" si="65"/>
        <v>6.2560882296818203</v>
      </c>
      <c r="Q87" s="1459">
        <f t="shared" si="65"/>
        <v>5.4126908097990603</v>
      </c>
      <c r="R87" s="1459">
        <f t="shared" si="65"/>
        <v>4.6211327588316591</v>
      </c>
      <c r="S87" s="1459">
        <f t="shared" si="65"/>
        <v>3.8908207025009656</v>
      </c>
      <c r="T87" s="1459">
        <f t="shared" si="65"/>
        <v>3.2204662686164469</v>
      </c>
      <c r="U87" s="1459">
        <f t="shared" si="65"/>
        <v>2.6051444939199913</v>
      </c>
      <c r="V87" s="1459">
        <f t="shared" si="65"/>
        <v>2.0367779700619302</v>
      </c>
    </row>
    <row r="88" spans="1:26">
      <c r="A88" s="1353" t="s">
        <v>155</v>
      </c>
      <c r="B88" s="1353"/>
      <c r="C88" s="1460">
        <f t="shared" ref="C88:V88" si="66">($D$101-C83)/C69</f>
        <v>172.88106278362994</v>
      </c>
      <c r="D88" s="1460">
        <f t="shared" si="66"/>
        <v>137.36002701301965</v>
      </c>
      <c r="E88" s="1460">
        <f t="shared" si="66"/>
        <v>107.47735489931564</v>
      </c>
      <c r="F88" s="1460">
        <f t="shared" si="66"/>
        <v>88.209956508632715</v>
      </c>
      <c r="G88" s="1460">
        <f t="shared" si="66"/>
        <v>72.122117673899325</v>
      </c>
      <c r="H88" s="1460">
        <f t="shared" si="66"/>
        <v>61.262103166727762</v>
      </c>
      <c r="I88" s="1513">
        <f t="shared" si="66"/>
        <v>58.916544321689884</v>
      </c>
      <c r="J88" s="1460">
        <f t="shared" si="66"/>
        <v>59.822205158479029</v>
      </c>
      <c r="K88" s="1461">
        <f t="shared" si="66"/>
        <v>63.464133948794057</v>
      </c>
      <c r="L88" s="1459">
        <f t="shared" si="66"/>
        <v>38.011537225391493</v>
      </c>
      <c r="M88" s="1459">
        <f t="shared" si="66"/>
        <v>30.987167355159748</v>
      </c>
      <c r="N88" s="1459">
        <f t="shared" si="66"/>
        <v>25.504450274478131</v>
      </c>
      <c r="O88" s="1459">
        <f t="shared" si="66"/>
        <v>20.664764368071207</v>
      </c>
      <c r="P88" s="1459">
        <f t="shared" si="66"/>
        <v>17.043298642064734</v>
      </c>
      <c r="Q88" s="1459">
        <f t="shared" si="66"/>
        <v>14.285479512472179</v>
      </c>
      <c r="R88" s="1459">
        <f t="shared" si="66"/>
        <v>11.860926694199849</v>
      </c>
      <c r="S88" s="1459">
        <f t="shared" si="66"/>
        <v>10.051920389096594</v>
      </c>
      <c r="T88" s="1459">
        <f t="shared" si="66"/>
        <v>8.446435759295511</v>
      </c>
      <c r="U88" s="1459">
        <f t="shared" si="66"/>
        <v>6.9291590737902879</v>
      </c>
      <c r="V88" s="1459">
        <f t="shared" si="66"/>
        <v>5.4364562126442149</v>
      </c>
    </row>
    <row r="89" spans="1:26">
      <c r="A89" s="1353" t="s">
        <v>156</v>
      </c>
      <c r="B89" s="1353"/>
      <c r="C89" s="1460"/>
      <c r="D89" s="1460">
        <f t="shared" ref="D89:V89" si="67">($D$101-D83)/D64</f>
        <v>119.89533640401382</v>
      </c>
      <c r="E89" s="1460">
        <f t="shared" si="67"/>
        <v>91.228162181081487</v>
      </c>
      <c r="F89" s="1460">
        <f t="shared" si="67"/>
        <v>75.148501948998572</v>
      </c>
      <c r="G89" s="1460">
        <f t="shared" si="67"/>
        <v>56.05434375076775</v>
      </c>
      <c r="H89" s="1460">
        <f t="shared" si="67"/>
        <v>47.608294105870904</v>
      </c>
      <c r="I89" s="1513">
        <f t="shared" si="67"/>
        <v>44.048274235395866</v>
      </c>
      <c r="J89" s="1460">
        <f t="shared" si="67"/>
        <v>35.817978896735823</v>
      </c>
      <c r="K89" s="1461">
        <f t="shared" si="67"/>
        <v>30.675746882867266</v>
      </c>
      <c r="L89" s="1459">
        <f t="shared" si="67"/>
        <v>27.096029379167955</v>
      </c>
      <c r="M89" s="1459">
        <f t="shared" si="67"/>
        <v>24.207509963417277</v>
      </c>
      <c r="N89" s="1459">
        <f t="shared" si="67"/>
        <v>21.445534690701773</v>
      </c>
      <c r="O89" s="1459">
        <f t="shared" si="67"/>
        <v>18.809030379807428</v>
      </c>
      <c r="P89" s="1459">
        <f t="shared" si="67"/>
        <v>16.336141249283948</v>
      </c>
      <c r="Q89" s="1459">
        <f t="shared" si="67"/>
        <v>14.037977543239681</v>
      </c>
      <c r="R89" s="1459">
        <f t="shared" si="67"/>
        <v>11.903790808445299</v>
      </c>
      <c r="S89" s="1459">
        <f t="shared" si="67"/>
        <v>9.9546601610604259</v>
      </c>
      <c r="T89" s="1459">
        <f t="shared" si="67"/>
        <v>8.1838382222377195</v>
      </c>
      <c r="U89" s="1459">
        <f t="shared" si="67"/>
        <v>6.5755100367976373</v>
      </c>
      <c r="V89" s="1459">
        <f t="shared" si="67"/>
        <v>5.0910298908013587</v>
      </c>
    </row>
    <row r="90" spans="1:26">
      <c r="C90" s="1353"/>
      <c r="D90" s="1353"/>
      <c r="E90" s="1353"/>
      <c r="F90" s="1353"/>
      <c r="G90" s="1353"/>
      <c r="H90" s="1353"/>
      <c r="I90" s="1353"/>
      <c r="J90" s="1353"/>
      <c r="K90" s="1353"/>
    </row>
    <row r="91" spans="1:26">
      <c r="A91" s="1368" t="s">
        <v>157</v>
      </c>
      <c r="B91" s="1369"/>
      <c r="C91" s="1464"/>
      <c r="D91" s="1353"/>
      <c r="E91" s="1353"/>
      <c r="F91" s="1353"/>
      <c r="G91" s="1353"/>
      <c r="H91" s="1353"/>
      <c r="I91" s="1353"/>
      <c r="J91" s="1353"/>
      <c r="K91" s="1353"/>
    </row>
    <row r="92" spans="1:26" ht="9.6" customHeight="1">
      <c r="C92" s="1353"/>
      <c r="D92" s="1353"/>
      <c r="E92" s="1353"/>
      <c r="F92" s="1353"/>
      <c r="G92" s="1353"/>
      <c r="H92" s="1353"/>
      <c r="I92" s="1353"/>
      <c r="J92" s="1432"/>
      <c r="K92" s="1353"/>
    </row>
    <row r="93" spans="1:26">
      <c r="A93" s="1404" t="s">
        <v>158</v>
      </c>
      <c r="C93" s="1353"/>
      <c r="D93" s="1353"/>
      <c r="E93" s="1353"/>
      <c r="F93" s="1353"/>
      <c r="G93" s="1353"/>
      <c r="H93" s="1353"/>
      <c r="I93" s="1353"/>
      <c r="J93" s="1353"/>
      <c r="K93" s="1353"/>
      <c r="L93" s="1353"/>
      <c r="M93" s="1353"/>
      <c r="N93" s="1353"/>
    </row>
    <row r="94" spans="1:26" ht="17.100000000000001">
      <c r="A94" s="1354" t="s">
        <v>159</v>
      </c>
      <c r="C94" s="1353"/>
      <c r="D94" s="1353"/>
      <c r="E94" s="1353"/>
      <c r="F94" s="1353"/>
      <c r="G94" s="1353"/>
      <c r="H94" s="1353"/>
      <c r="I94" s="1353"/>
      <c r="J94" s="1353"/>
      <c r="K94" s="1353"/>
      <c r="L94" s="1353"/>
      <c r="M94" s="1353"/>
      <c r="N94" s="1353"/>
      <c r="O94" s="1353"/>
      <c r="P94" s="1353"/>
      <c r="Q94" s="1353"/>
      <c r="R94" s="1353"/>
      <c r="S94" s="1353"/>
      <c r="T94" s="1353"/>
      <c r="U94" s="1465">
        <v>15</v>
      </c>
      <c r="V94" s="1466"/>
    </row>
    <row r="95" spans="1:26">
      <c r="A95" s="1428" t="s">
        <v>160</v>
      </c>
      <c r="C95" s="1380"/>
      <c r="D95" s="1380"/>
      <c r="E95" s="1380"/>
      <c r="F95" s="1380"/>
      <c r="G95" s="1380"/>
      <c r="H95" s="1380"/>
      <c r="I95" s="1380"/>
      <c r="J95" s="1380"/>
      <c r="K95" s="1380"/>
      <c r="L95" s="1380"/>
      <c r="M95" s="1380"/>
      <c r="N95" s="1380"/>
      <c r="O95" s="1380"/>
      <c r="P95" s="1380"/>
      <c r="Q95" s="1380"/>
      <c r="R95" s="1380"/>
      <c r="S95" s="1380"/>
      <c r="T95" s="1380"/>
      <c r="U95" s="1380">
        <f>+U94*V69</f>
        <v>3641982.902962626</v>
      </c>
      <c r="V95" s="1380"/>
    </row>
    <row r="96" spans="1:26">
      <c r="A96" s="1428" t="s">
        <v>161</v>
      </c>
      <c r="C96" s="1380"/>
      <c r="D96" s="1380"/>
      <c r="E96" s="1380"/>
      <c r="F96" s="1380"/>
      <c r="G96" s="1380"/>
      <c r="H96" s="1380"/>
      <c r="I96" s="1380"/>
      <c r="J96" s="1380"/>
      <c r="K96" s="1380">
        <f>-$D$101+K83</f>
        <v>-3148605</v>
      </c>
      <c r="L96" s="1380">
        <f t="shared" ref="L96:U96" si="68">+L80+L95</f>
        <v>104556.06236965302</v>
      </c>
      <c r="M96" s="1380">
        <f t="shared" si="68"/>
        <v>95629.947801632501</v>
      </c>
      <c r="N96" s="1380">
        <f t="shared" si="68"/>
        <v>111704.56212076005</v>
      </c>
      <c r="O96" s="1380">
        <f t="shared" si="68"/>
        <v>131394.87906391855</v>
      </c>
      <c r="P96" s="1380">
        <f t="shared" si="68"/>
        <v>150388.51750515326</v>
      </c>
      <c r="Q96" s="1380">
        <f t="shared" si="68"/>
        <v>167596.4379327482</v>
      </c>
      <c r="R96" s="1380">
        <f t="shared" si="68"/>
        <v>186069.87640702369</v>
      </c>
      <c r="S96" s="1380">
        <f t="shared" si="68"/>
        <v>199611.6760649877</v>
      </c>
      <c r="T96" s="1380">
        <f t="shared" si="68"/>
        <v>212324.48529198702</v>
      </c>
      <c r="U96" s="1380">
        <f t="shared" si="68"/>
        <v>3868066.9562635748</v>
      </c>
      <c r="V96" s="1380"/>
    </row>
    <row r="97" spans="1:22">
      <c r="A97" s="1467" t="s">
        <v>162</v>
      </c>
      <c r="B97" s="1468"/>
      <c r="C97" s="1469"/>
      <c r="D97" s="1469"/>
      <c r="E97" s="1469"/>
      <c r="F97" s="1469"/>
      <c r="G97" s="1469"/>
      <c r="H97" s="1469"/>
      <c r="I97" s="1469"/>
      <c r="J97" s="1469"/>
      <c r="K97" s="1470">
        <f>XIRR(K96:U96,K3:U3)</f>
        <v>5.6514278054237366E-2</v>
      </c>
      <c r="L97" s="1471"/>
      <c r="M97" s="1472"/>
      <c r="N97" s="1472"/>
      <c r="O97" s="1472"/>
      <c r="P97" s="1472"/>
      <c r="Q97" s="1472"/>
      <c r="R97" s="1472"/>
      <c r="S97" s="1472"/>
      <c r="T97" s="1472"/>
      <c r="U97" s="1472"/>
      <c r="V97" s="1472"/>
    </row>
    <row r="99" spans="1:22">
      <c r="A99" s="1473" t="s">
        <v>163</v>
      </c>
      <c r="B99" s="1474"/>
      <c r="C99" s="1475"/>
      <c r="D99" s="1475"/>
      <c r="E99" s="1476"/>
      <c r="F99" s="1353"/>
      <c r="I99" s="1353"/>
      <c r="J99" s="1353"/>
      <c r="K99" s="1353"/>
    </row>
    <row r="100" spans="1:22">
      <c r="D100" s="1477" t="s">
        <v>164</v>
      </c>
      <c r="E100" s="1477" t="s">
        <v>165</v>
      </c>
      <c r="F100" s="1353"/>
      <c r="I100" s="1353"/>
      <c r="J100" s="1353"/>
      <c r="K100" s="1353"/>
    </row>
    <row r="101" spans="1:22">
      <c r="A101" s="1354" t="s">
        <v>166</v>
      </c>
      <c r="D101" s="1478">
        <f>+E101*E104</f>
        <v>3148605</v>
      </c>
      <c r="E101" s="1463">
        <f>+Base!E100</f>
        <v>421.5</v>
      </c>
      <c r="F101" s="1353"/>
      <c r="I101" s="1353"/>
      <c r="J101" s="1353"/>
      <c r="K101" s="1353"/>
    </row>
    <row r="102" spans="1:22" ht="17.100000000000001">
      <c r="A102" s="1354" t="s">
        <v>148</v>
      </c>
      <c r="D102" s="1499">
        <f>+Base!D101</f>
        <v>14401</v>
      </c>
      <c r="E102" s="1480">
        <f>+D102/E104</f>
        <v>1.9278447121820617</v>
      </c>
      <c r="F102" s="1361"/>
      <c r="I102" s="1353"/>
      <c r="J102" s="1353"/>
      <c r="K102" s="1353"/>
    </row>
    <row r="103" spans="1:22">
      <c r="A103" s="1481" t="s">
        <v>167</v>
      </c>
      <c r="B103" s="1386"/>
      <c r="D103" s="1453">
        <f>+D102+D101</f>
        <v>3163006</v>
      </c>
      <c r="E103" s="1500">
        <f>+D103/E104</f>
        <v>423.42784471218204</v>
      </c>
      <c r="F103" s="1353"/>
      <c r="I103" s="1353"/>
      <c r="J103" s="1353"/>
      <c r="K103" s="1353"/>
    </row>
    <row r="104" spans="1:22" ht="14.45">
      <c r="A104" s="1381" t="s">
        <v>168</v>
      </c>
      <c r="E104" s="1501">
        <f>+Base!E103</f>
        <v>7470</v>
      </c>
      <c r="F104" s="1353"/>
      <c r="I104" s="1353"/>
      <c r="J104" s="1353"/>
      <c r="K104" s="1353"/>
    </row>
    <row r="105" spans="1:22" ht="14.45">
      <c r="A105" s="1381"/>
      <c r="D105" s="1353"/>
      <c r="E105" s="1409"/>
      <c r="F105" s="1353"/>
      <c r="I105" s="1353"/>
      <c r="J105" s="1353"/>
      <c r="K105" s="1353"/>
    </row>
    <row r="106" spans="1:22">
      <c r="A106" s="1368" t="s">
        <v>169</v>
      </c>
      <c r="B106" s="1369"/>
    </row>
    <row r="107" spans="1:22" ht="9.6" customHeight="1"/>
    <row r="108" spans="1:22">
      <c r="A108" s="1483" t="s">
        <v>170</v>
      </c>
    </row>
    <row r="109" spans="1:22">
      <c r="A109" s="1354" t="s">
        <v>197</v>
      </c>
      <c r="B109" s="1433"/>
      <c r="C109" s="1433">
        <f>+'Historical Financials'!BH1263</f>
        <v>-26030</v>
      </c>
      <c r="D109" s="1433">
        <f>+'Historical Financials'!BI1263</f>
        <v>-16475</v>
      </c>
      <c r="E109" s="1433">
        <f>+'Historical Financials'!BJ1263</f>
        <v>-16506</v>
      </c>
      <c r="F109" s="1433">
        <f>+'Historical Financials'!BK1263</f>
        <v>-21043</v>
      </c>
      <c r="G109" s="1433">
        <f>+'Historical Financials'!BL1263</f>
        <v>-24339</v>
      </c>
      <c r="H109" s="1433">
        <f>+'Historical Financials'!BM1263</f>
        <v>-23339</v>
      </c>
      <c r="I109" s="1433">
        <f>+'Historical Financials'!BN1263</f>
        <v>-21755</v>
      </c>
      <c r="J109" s="1433">
        <f>+'Historical Financials'!BO1263</f>
        <v>-27136</v>
      </c>
      <c r="K109" s="1433">
        <f t="shared" ref="K109:V109" si="69">+K110*K8</f>
        <v>-35873.12074951543</v>
      </c>
      <c r="L109" s="1433">
        <f t="shared" si="69"/>
        <v>-38742.970409476664</v>
      </c>
      <c r="M109" s="1433">
        <f t="shared" si="69"/>
        <v>-41842.408042234805</v>
      </c>
      <c r="N109" s="1433">
        <f t="shared" si="69"/>
        <v>-45189.800685613591</v>
      </c>
      <c r="O109" s="1433">
        <f t="shared" si="69"/>
        <v>-48804.984740462678</v>
      </c>
      <c r="P109" s="1433">
        <f t="shared" si="69"/>
        <v>-52709.383519699702</v>
      </c>
      <c r="Q109" s="1433">
        <f t="shared" si="69"/>
        <v>-56926.134201275672</v>
      </c>
      <c r="R109" s="1433">
        <f t="shared" si="69"/>
        <v>-61480.22493737773</v>
      </c>
      <c r="S109" s="1433">
        <f t="shared" si="69"/>
        <v>-66398.642932367948</v>
      </c>
      <c r="T109" s="1433">
        <f t="shared" si="69"/>
        <v>-71710.534366957407</v>
      </c>
      <c r="U109" s="1433">
        <f t="shared" si="69"/>
        <v>-77447.377116314005</v>
      </c>
      <c r="V109" s="1433">
        <f t="shared" si="69"/>
        <v>-83643.167285619129</v>
      </c>
    </row>
    <row r="110" spans="1:22" s="1363" customFormat="1" ht="14.45">
      <c r="A110" s="1381" t="s">
        <v>173</v>
      </c>
      <c r="B110" s="1382"/>
      <c r="C110" s="1382">
        <f t="shared" ref="C110:J110" si="70">+C109/C8</f>
        <v>-0.269542616313386</v>
      </c>
      <c r="D110" s="1382">
        <f t="shared" si="70"/>
        <v>-0.14928416092787242</v>
      </c>
      <c r="E110" s="1382">
        <f t="shared" si="70"/>
        <v>-0.13116343380243636</v>
      </c>
      <c r="F110" s="1382">
        <f t="shared" si="70"/>
        <v>-0.14713841205467959</v>
      </c>
      <c r="G110" s="1382">
        <f t="shared" si="70"/>
        <v>-0.14479915282471087</v>
      </c>
      <c r="H110" s="1382">
        <f t="shared" si="70"/>
        <v>-0.11771321934735461</v>
      </c>
      <c r="I110" s="1382">
        <f t="shared" si="70"/>
        <v>-0.10265908501049949</v>
      </c>
      <c r="J110" s="1382">
        <f t="shared" si="70"/>
        <v>-0.11070405757133182</v>
      </c>
      <c r="K110" s="1385">
        <f>+AVERAGE(D110:J110)</f>
        <v>-0.12906593164841215</v>
      </c>
      <c r="L110" s="1385">
        <f>+K110</f>
        <v>-0.12906593164841215</v>
      </c>
      <c r="M110" s="1385">
        <f t="shared" ref="M110:V110" si="71">+L110</f>
        <v>-0.12906593164841215</v>
      </c>
      <c r="N110" s="1385">
        <f t="shared" si="71"/>
        <v>-0.12906593164841215</v>
      </c>
      <c r="O110" s="1385">
        <f t="shared" si="71"/>
        <v>-0.12906593164841215</v>
      </c>
      <c r="P110" s="1385">
        <f t="shared" si="71"/>
        <v>-0.12906593164841215</v>
      </c>
      <c r="Q110" s="1385">
        <f t="shared" si="71"/>
        <v>-0.12906593164841215</v>
      </c>
      <c r="R110" s="1385">
        <f t="shared" si="71"/>
        <v>-0.12906593164841215</v>
      </c>
      <c r="S110" s="1385">
        <f t="shared" si="71"/>
        <v>-0.12906593164841215</v>
      </c>
      <c r="T110" s="1385">
        <f t="shared" si="71"/>
        <v>-0.12906593164841215</v>
      </c>
      <c r="U110" s="1385">
        <f t="shared" si="71"/>
        <v>-0.12906593164841215</v>
      </c>
      <c r="V110" s="1385">
        <f t="shared" si="71"/>
        <v>-0.12906593164841215</v>
      </c>
    </row>
    <row r="112" spans="1:22">
      <c r="A112" s="1387" t="s">
        <v>175</v>
      </c>
      <c r="J112" s="1433"/>
    </row>
    <row r="113" spans="1:22" hidden="1" outlineLevel="1">
      <c r="A113" s="1484" t="s">
        <v>176</v>
      </c>
      <c r="B113" s="1433"/>
      <c r="C113" s="1433">
        <f>+'Historical Financials'!BH1221</f>
        <v>10106</v>
      </c>
      <c r="D113" s="1433">
        <f>+'Historical Financials'!BI1221</f>
        <v>8053</v>
      </c>
      <c r="E113" s="1433">
        <f>+'Historical Financials'!BJ1221</f>
        <v>7750</v>
      </c>
      <c r="F113" s="1433">
        <f>+'Historical Financials'!BK1221</f>
        <v>7038</v>
      </c>
      <c r="G113" s="1433">
        <f>+'Historical Financials'!BL1221</f>
        <v>7800</v>
      </c>
      <c r="H113" s="1433">
        <f>+'Historical Financials'!BM1221</f>
        <v>11298</v>
      </c>
      <c r="I113" s="1433">
        <f>+'Historical Financials'!BN1221</f>
        <v>9366</v>
      </c>
      <c r="J113" s="1433">
        <f>+'Historical Financials'!BO1221-J118</f>
        <v>5628</v>
      </c>
      <c r="K113" s="1435"/>
    </row>
    <row r="114" spans="1:22" hidden="1" outlineLevel="1">
      <c r="A114" s="1484" t="s">
        <v>177</v>
      </c>
      <c r="B114" s="1433"/>
      <c r="C114" s="1433">
        <f>+'Historical Financials'!BH1216</f>
        <v>6555</v>
      </c>
      <c r="D114" s="1433">
        <f>+'Historical Financials'!BI1216</f>
        <v>6686</v>
      </c>
      <c r="E114" s="1433">
        <f>+'Historical Financials'!BJ1216</f>
        <v>7379</v>
      </c>
      <c r="F114" s="1433">
        <f>+'Historical Financials'!BK1216</f>
        <v>8753</v>
      </c>
      <c r="G114" s="1433">
        <f>+'Historical Financials'!BL1216</f>
        <v>11088</v>
      </c>
      <c r="H114" s="1433">
        <f>+'Historical Financials'!BM1216</f>
        <v>13148</v>
      </c>
      <c r="I114" s="1433">
        <f>+'Historical Financials'!BN1216</f>
        <v>14346</v>
      </c>
      <c r="J114" s="1433">
        <f>+'Historical Financials'!BO1216</f>
        <v>18961</v>
      </c>
    </row>
    <row r="115" spans="1:22" s="1387" customFormat="1" hidden="1" outlineLevel="1">
      <c r="A115" s="1484" t="s">
        <v>178</v>
      </c>
      <c r="B115" s="1485"/>
      <c r="C115" s="1485">
        <f>+'Historical Financials'!BH1222</f>
        <v>6250</v>
      </c>
      <c r="D115" s="1485">
        <f>+'Historical Financials'!BI1222</f>
        <v>7442</v>
      </c>
      <c r="E115" s="1485">
        <f>+'Historical Financials'!BJ1222</f>
        <v>14723</v>
      </c>
      <c r="F115" s="1485">
        <f>+'Historical Financials'!BK1222</f>
        <v>13138</v>
      </c>
      <c r="G115" s="1485">
        <f>+'Historical Financials'!BL1222</f>
        <v>15075</v>
      </c>
      <c r="H115" s="1485">
        <f>+'Historical Financials'!BM1222</f>
        <v>21897</v>
      </c>
      <c r="I115" s="1485">
        <f>+'Historical Financials'!BN1222</f>
        <v>30601</v>
      </c>
      <c r="J115" s="1485">
        <f>+'Historical Financials'!BO1222</f>
        <v>36460</v>
      </c>
    </row>
    <row r="116" spans="1:22" collapsed="1">
      <c r="A116" s="1484" t="s">
        <v>179</v>
      </c>
      <c r="B116" s="1433"/>
      <c r="C116" s="1433">
        <f t="shared" ref="C116:J116" si="72">+SUM(C113:C115)</f>
        <v>22911</v>
      </c>
      <c r="D116" s="1433">
        <f t="shared" si="72"/>
        <v>22181</v>
      </c>
      <c r="E116" s="1433">
        <f t="shared" si="72"/>
        <v>29852</v>
      </c>
      <c r="F116" s="1433">
        <f t="shared" si="72"/>
        <v>28929</v>
      </c>
      <c r="G116" s="1433">
        <f t="shared" si="72"/>
        <v>33963</v>
      </c>
      <c r="H116" s="1433">
        <f t="shared" si="72"/>
        <v>46343</v>
      </c>
      <c r="I116" s="1433">
        <f t="shared" si="72"/>
        <v>54313</v>
      </c>
      <c r="J116" s="1433">
        <f t="shared" si="72"/>
        <v>61049</v>
      </c>
      <c r="K116" s="1433">
        <f t="shared" ref="K116:V116" si="73">+K121*K8</f>
        <v>69223.539514464908</v>
      </c>
      <c r="L116" s="1433">
        <f t="shared" si="73"/>
        <v>74761.422675622118</v>
      </c>
      <c r="M116" s="1433">
        <f t="shared" si="73"/>
        <v>80742.336489671899</v>
      </c>
      <c r="N116" s="1433">
        <f t="shared" si="73"/>
        <v>87201.723408845646</v>
      </c>
      <c r="O116" s="1433">
        <f t="shared" si="73"/>
        <v>94177.861281553312</v>
      </c>
      <c r="P116" s="1433">
        <f t="shared" si="73"/>
        <v>101712.09018407758</v>
      </c>
      <c r="Q116" s="1433">
        <f t="shared" si="73"/>
        <v>109849.05739880379</v>
      </c>
      <c r="R116" s="1433">
        <f t="shared" si="73"/>
        <v>118636.9819907081</v>
      </c>
      <c r="S116" s="1433">
        <f t="shared" si="73"/>
        <v>128127.94054996475</v>
      </c>
      <c r="T116" s="1433">
        <f t="shared" si="73"/>
        <v>138378.17579396194</v>
      </c>
      <c r="U116" s="1433">
        <f t="shared" si="73"/>
        <v>149448.42985747894</v>
      </c>
      <c r="V116" s="1433">
        <f t="shared" si="73"/>
        <v>161404.30424607726</v>
      </c>
    </row>
    <row r="117" spans="1:22">
      <c r="A117" s="1484" t="s">
        <v>180</v>
      </c>
      <c r="B117" s="1433"/>
      <c r="C117" s="1433">
        <f>+'Historical Financials'!BH1220</f>
        <v>35122</v>
      </c>
      <c r="D117" s="1433">
        <f>+'Historical Financials'!BI1220</f>
        <v>35683</v>
      </c>
      <c r="E117" s="1433">
        <f>+'Historical Financials'!BJ1220</f>
        <v>42026</v>
      </c>
      <c r="F117" s="1433">
        <f>+'Historical Financials'!BK1220</f>
        <v>43351</v>
      </c>
      <c r="G117" s="1433">
        <f>+'Historical Financials'!BL1220</f>
        <v>49711</v>
      </c>
      <c r="H117" s="1433">
        <f>+'Historical Financials'!BM1220</f>
        <v>67524</v>
      </c>
      <c r="I117" s="1433">
        <f>+'Historical Financials'!BN1220</f>
        <v>67886</v>
      </c>
      <c r="J117" s="1433">
        <f>+'Historical Financials'!BO1220</f>
        <v>119220</v>
      </c>
      <c r="K117" s="1486">
        <f>+J117</f>
        <v>119220</v>
      </c>
      <c r="L117" s="1486">
        <f t="shared" ref="L117:V117" si="74">+K117</f>
        <v>119220</v>
      </c>
      <c r="M117" s="1486">
        <f t="shared" si="74"/>
        <v>119220</v>
      </c>
      <c r="N117" s="1486">
        <f t="shared" si="74"/>
        <v>119220</v>
      </c>
      <c r="O117" s="1486">
        <f t="shared" si="74"/>
        <v>119220</v>
      </c>
      <c r="P117" s="1486">
        <f t="shared" si="74"/>
        <v>119220</v>
      </c>
      <c r="Q117" s="1486">
        <f t="shared" si="74"/>
        <v>119220</v>
      </c>
      <c r="R117" s="1486">
        <f t="shared" si="74"/>
        <v>119220</v>
      </c>
      <c r="S117" s="1486">
        <f t="shared" si="74"/>
        <v>119220</v>
      </c>
      <c r="T117" s="1486">
        <f t="shared" si="74"/>
        <v>119220</v>
      </c>
      <c r="U117" s="1486">
        <f t="shared" si="74"/>
        <v>119220</v>
      </c>
      <c r="V117" s="1486">
        <f t="shared" si="74"/>
        <v>119220</v>
      </c>
    </row>
    <row r="118" spans="1:22">
      <c r="A118" s="1484" t="s">
        <v>181</v>
      </c>
      <c r="B118" s="1433"/>
      <c r="C118" s="1433">
        <v>0</v>
      </c>
      <c r="D118" s="1433">
        <v>0</v>
      </c>
      <c r="E118" s="1433">
        <v>0</v>
      </c>
      <c r="F118" s="1433">
        <v>0</v>
      </c>
      <c r="G118" s="1433">
        <v>0</v>
      </c>
      <c r="H118" s="1433">
        <v>0</v>
      </c>
      <c r="I118" s="1433">
        <v>0</v>
      </c>
      <c r="J118" s="1405">
        <v>21969</v>
      </c>
      <c r="K118" s="1486">
        <f>MAX(J118-$J$118/15,0)</f>
        <v>20504.400000000001</v>
      </c>
      <c r="L118" s="1486">
        <f t="shared" ref="L118:V118" si="75">MAX(K118-$J$118/15,0)</f>
        <v>19039.800000000003</v>
      </c>
      <c r="M118" s="1486">
        <f t="shared" si="75"/>
        <v>17575.200000000004</v>
      </c>
      <c r="N118" s="1486">
        <f t="shared" si="75"/>
        <v>16110.600000000004</v>
      </c>
      <c r="O118" s="1486">
        <f t="shared" si="75"/>
        <v>14646.000000000004</v>
      </c>
      <c r="P118" s="1486">
        <f t="shared" si="75"/>
        <v>13181.400000000003</v>
      </c>
      <c r="Q118" s="1486">
        <f t="shared" si="75"/>
        <v>11716.800000000003</v>
      </c>
      <c r="R118" s="1486">
        <f t="shared" si="75"/>
        <v>10252.200000000003</v>
      </c>
      <c r="S118" s="1486">
        <f t="shared" si="75"/>
        <v>8787.6000000000022</v>
      </c>
      <c r="T118" s="1486">
        <f t="shared" si="75"/>
        <v>7323.0000000000018</v>
      </c>
      <c r="U118" s="1486">
        <f t="shared" si="75"/>
        <v>5858.4000000000015</v>
      </c>
      <c r="V118" s="1486">
        <f t="shared" si="75"/>
        <v>4393.8000000000011</v>
      </c>
    </row>
    <row r="119" spans="1:22" s="1387" customFormat="1">
      <c r="A119" s="1484" t="s">
        <v>182</v>
      </c>
      <c r="B119" s="1485"/>
      <c r="C119" s="1485">
        <f>+'Historical Financials'!BH1217</f>
        <v>23734</v>
      </c>
      <c r="D119" s="1485">
        <f>+'Historical Financials'!BI1217</f>
        <v>29460</v>
      </c>
      <c r="E119" s="1485">
        <f>+'Historical Financials'!BJ1217</f>
        <v>36477</v>
      </c>
      <c r="F119" s="1485">
        <f>+'Historical Financials'!BK1217</f>
        <v>44151</v>
      </c>
      <c r="G119" s="1485">
        <f>+'Historical Financials'!BL1217</f>
        <v>59715</v>
      </c>
      <c r="H119" s="1485">
        <f>+'Historical Financials'!BM1217</f>
        <v>74398</v>
      </c>
      <c r="I119" s="1485">
        <f>+'Historical Financials'!BN1217</f>
        <v>95641</v>
      </c>
      <c r="J119" s="1485">
        <f>+'Historical Financials'!BO1217</f>
        <v>135591</v>
      </c>
      <c r="K119" s="1487">
        <f>+'D&amp;A forecast - Case 3'!V198</f>
        <v>285206.45146803994</v>
      </c>
      <c r="L119" s="1487">
        <f>+'D&amp;A forecast - Case 3'!W198</f>
        <v>338055.19198248105</v>
      </c>
      <c r="M119" s="1487">
        <f>+'D&amp;A forecast - Case 3'!X198</f>
        <v>387258.96112963697</v>
      </c>
      <c r="N119" s="1487">
        <f>+'D&amp;A forecast - Case 3'!Y198</f>
        <v>432371.57073387655</v>
      </c>
      <c r="O119" s="1487">
        <f>+'D&amp;A forecast - Case 3'!Z198</f>
        <v>472876.79053052963</v>
      </c>
      <c r="P119" s="1487">
        <f>+'D&amp;A forecast - Case 3'!AA198</f>
        <v>508181.01360093738</v>
      </c>
      <c r="Q119" s="1487">
        <f>+'D&amp;A forecast - Case 3'!AB198</f>
        <v>542015.77388912765</v>
      </c>
      <c r="R119" s="1487">
        <f>+'D&amp;A forecast - Case 3'!AC198</f>
        <v>574109.25257186661</v>
      </c>
      <c r="S119" s="1487">
        <f>+'D&amp;A forecast - Case 3'!AD198</f>
        <v>609291.3441797815</v>
      </c>
      <c r="T119" s="1487">
        <f>+'D&amp;A forecast - Case 3'!AE198</f>
        <v>647785.03528612165</v>
      </c>
      <c r="U119" s="1487">
        <f>+'D&amp;A forecast - Case 3'!AF198</f>
        <v>689832.26612807193</v>
      </c>
      <c r="V119" s="1487">
        <f>+'D&amp;A forecast - Case 3'!AG198</f>
        <v>735695.39534326445</v>
      </c>
    </row>
    <row r="120" spans="1:22">
      <c r="A120" s="1428" t="s">
        <v>183</v>
      </c>
      <c r="B120" s="1433"/>
      <c r="C120" s="1433">
        <f>+SUM(C116:C119)</f>
        <v>81767</v>
      </c>
      <c r="D120" s="1433">
        <f t="shared" ref="D120:V120" si="76">+SUM(D116:D119)</f>
        <v>87324</v>
      </c>
      <c r="E120" s="1433">
        <f t="shared" si="76"/>
        <v>108355</v>
      </c>
      <c r="F120" s="1433">
        <f t="shared" si="76"/>
        <v>116431</v>
      </c>
      <c r="G120" s="1433">
        <f t="shared" si="76"/>
        <v>143389</v>
      </c>
      <c r="H120" s="1433">
        <f t="shared" si="76"/>
        <v>188265</v>
      </c>
      <c r="I120" s="1433">
        <f t="shared" si="76"/>
        <v>217840</v>
      </c>
      <c r="J120" s="1433">
        <f t="shared" si="76"/>
        <v>337829</v>
      </c>
      <c r="K120" s="1433">
        <f t="shared" si="76"/>
        <v>494154.39098250482</v>
      </c>
      <c r="L120" s="1433">
        <f t="shared" si="76"/>
        <v>551076.41465810314</v>
      </c>
      <c r="M120" s="1433">
        <f t="shared" si="76"/>
        <v>604796.49761930888</v>
      </c>
      <c r="N120" s="1433">
        <f t="shared" si="76"/>
        <v>654903.89414272225</v>
      </c>
      <c r="O120" s="1433">
        <f t="shared" si="76"/>
        <v>700920.65181208297</v>
      </c>
      <c r="P120" s="1433">
        <f t="shared" si="76"/>
        <v>742294.50378501497</v>
      </c>
      <c r="Q120" s="1433">
        <f t="shared" si="76"/>
        <v>782801.63128793146</v>
      </c>
      <c r="R120" s="1433">
        <f t="shared" si="76"/>
        <v>822218.43456257472</v>
      </c>
      <c r="S120" s="1433">
        <f t="shared" si="76"/>
        <v>865426.88472974626</v>
      </c>
      <c r="T120" s="1433">
        <f t="shared" si="76"/>
        <v>912706.21108008362</v>
      </c>
      <c r="U120" s="1433">
        <f t="shared" si="76"/>
        <v>964359.0959855509</v>
      </c>
      <c r="V120" s="1433">
        <f t="shared" si="76"/>
        <v>1020713.4995893417</v>
      </c>
    </row>
    <row r="121" spans="1:22" s="1363" customFormat="1" ht="14.45">
      <c r="A121" s="1419" t="s">
        <v>184</v>
      </c>
      <c r="B121" s="1382"/>
      <c r="C121" s="1382">
        <f t="shared" ref="C121:J121" si="77">+C116/C8</f>
        <v>0.23724513570326494</v>
      </c>
      <c r="D121" s="1382">
        <f t="shared" si="77"/>
        <v>0.20098767669445453</v>
      </c>
      <c r="E121" s="1382">
        <f t="shared" si="77"/>
        <v>0.23721621385377017</v>
      </c>
      <c r="F121" s="1382">
        <f t="shared" si="77"/>
        <v>0.20227948117330349</v>
      </c>
      <c r="G121" s="1382">
        <f t="shared" si="77"/>
        <v>0.20205487601732425</v>
      </c>
      <c r="H121" s="1382">
        <f t="shared" si="77"/>
        <v>0.23373682352347808</v>
      </c>
      <c r="I121" s="1382">
        <f t="shared" si="77"/>
        <v>0.2562961564778331</v>
      </c>
      <c r="J121" s="1382">
        <f t="shared" si="77"/>
        <v>0.24905557232724929</v>
      </c>
      <c r="K121" s="1385">
        <f>+J121</f>
        <v>0.24905557232724929</v>
      </c>
      <c r="L121" s="1385">
        <f t="shared" ref="L121:V121" si="78">+K121</f>
        <v>0.24905557232724929</v>
      </c>
      <c r="M121" s="1385">
        <f t="shared" si="78"/>
        <v>0.24905557232724929</v>
      </c>
      <c r="N121" s="1385">
        <f t="shared" si="78"/>
        <v>0.24905557232724929</v>
      </c>
      <c r="O121" s="1385">
        <f t="shared" si="78"/>
        <v>0.24905557232724929</v>
      </c>
      <c r="P121" s="1385">
        <f t="shared" si="78"/>
        <v>0.24905557232724929</v>
      </c>
      <c r="Q121" s="1385">
        <f t="shared" si="78"/>
        <v>0.24905557232724929</v>
      </c>
      <c r="R121" s="1385">
        <f t="shared" si="78"/>
        <v>0.24905557232724929</v>
      </c>
      <c r="S121" s="1385">
        <f t="shared" si="78"/>
        <v>0.24905557232724929</v>
      </c>
      <c r="T121" s="1385">
        <f t="shared" si="78"/>
        <v>0.24905557232724929</v>
      </c>
      <c r="U121" s="1385">
        <f t="shared" si="78"/>
        <v>0.24905557232724929</v>
      </c>
      <c r="V121" s="1385">
        <f t="shared" si="78"/>
        <v>0.24905557232724929</v>
      </c>
    </row>
    <row r="122" spans="1:22">
      <c r="A122" s="1412"/>
    </row>
    <row r="123" spans="1:22">
      <c r="A123" s="1412" t="s">
        <v>170</v>
      </c>
      <c r="B123" s="1435"/>
      <c r="C123" s="1435">
        <f t="shared" ref="C123:J123" si="79">+C120+C109</f>
        <v>55737</v>
      </c>
      <c r="D123" s="1435">
        <f t="shared" si="79"/>
        <v>70849</v>
      </c>
      <c r="E123" s="1435">
        <f t="shared" si="79"/>
        <v>91849</v>
      </c>
      <c r="F123" s="1435">
        <f t="shared" si="79"/>
        <v>95388</v>
      </c>
      <c r="G123" s="1435">
        <f t="shared" si="79"/>
        <v>119050</v>
      </c>
      <c r="H123" s="1435">
        <f t="shared" si="79"/>
        <v>164926</v>
      </c>
      <c r="I123" s="1435">
        <f t="shared" si="79"/>
        <v>196085</v>
      </c>
      <c r="J123" s="1435">
        <f t="shared" si="79"/>
        <v>310693</v>
      </c>
      <c r="K123" s="1435">
        <f t="shared" ref="K123:V123" si="80">+K120+K109</f>
        <v>458281.27023298939</v>
      </c>
      <c r="L123" s="1435">
        <f t="shared" si="80"/>
        <v>512333.44424862647</v>
      </c>
      <c r="M123" s="1435">
        <f t="shared" si="80"/>
        <v>562954.08957707405</v>
      </c>
      <c r="N123" s="1435">
        <f t="shared" si="80"/>
        <v>609714.0934571086</v>
      </c>
      <c r="O123" s="1435">
        <f t="shared" si="80"/>
        <v>652115.66707162024</v>
      </c>
      <c r="P123" s="1435">
        <f t="shared" si="80"/>
        <v>689585.12026531529</v>
      </c>
      <c r="Q123" s="1435">
        <f t="shared" si="80"/>
        <v>725875.49708665581</v>
      </c>
      <c r="R123" s="1435">
        <f t="shared" si="80"/>
        <v>760738.20962519699</v>
      </c>
      <c r="S123" s="1435">
        <f t="shared" si="80"/>
        <v>799028.24179737829</v>
      </c>
      <c r="T123" s="1435">
        <f t="shared" si="80"/>
        <v>840995.67671312625</v>
      </c>
      <c r="U123" s="1435">
        <f t="shared" si="80"/>
        <v>886911.71886923688</v>
      </c>
      <c r="V123" s="1435">
        <f t="shared" si="80"/>
        <v>937070.33230372262</v>
      </c>
    </row>
    <row r="124" spans="1:22" s="1386" customFormat="1">
      <c r="A124" s="1481" t="s">
        <v>185</v>
      </c>
      <c r="C124" s="1488">
        <f>+'Historical Financials'!BH1266</f>
        <v>33088.5</v>
      </c>
      <c r="D124" s="1488">
        <f>+'Historical Financials'!BI1266</f>
        <v>63293</v>
      </c>
      <c r="E124" s="1488">
        <f t="shared" ref="E124:I124" si="81">AVERAGE(D123:E123)</f>
        <v>81349</v>
      </c>
      <c r="F124" s="1488">
        <f t="shared" si="81"/>
        <v>93618.5</v>
      </c>
      <c r="G124" s="1488">
        <f t="shared" si="81"/>
        <v>107219</v>
      </c>
      <c r="H124" s="1488">
        <f t="shared" si="81"/>
        <v>141988</v>
      </c>
      <c r="I124" s="1488">
        <f t="shared" si="81"/>
        <v>180505.5</v>
      </c>
      <c r="J124" s="1488">
        <f>AVERAGE(I123:J123)</f>
        <v>253389</v>
      </c>
      <c r="K124" s="1488">
        <f t="shared" ref="K124:V124" si="82">AVERAGE(J123:K123)</f>
        <v>384487.13511649473</v>
      </c>
      <c r="L124" s="1488">
        <f t="shared" si="82"/>
        <v>485307.35724080796</v>
      </c>
      <c r="M124" s="1488">
        <f t="shared" si="82"/>
        <v>537643.76691285032</v>
      </c>
      <c r="N124" s="1488">
        <f t="shared" si="82"/>
        <v>586334.09151709126</v>
      </c>
      <c r="O124" s="1488">
        <f t="shared" si="82"/>
        <v>630914.88026436442</v>
      </c>
      <c r="P124" s="1488">
        <f t="shared" si="82"/>
        <v>670850.39366846776</v>
      </c>
      <c r="Q124" s="1488">
        <f t="shared" si="82"/>
        <v>707730.30867598555</v>
      </c>
      <c r="R124" s="1488">
        <f t="shared" si="82"/>
        <v>743306.85335592646</v>
      </c>
      <c r="S124" s="1488">
        <f t="shared" si="82"/>
        <v>779883.2257112877</v>
      </c>
      <c r="T124" s="1488">
        <f t="shared" si="82"/>
        <v>820011.95925525227</v>
      </c>
      <c r="U124" s="1488">
        <f t="shared" si="82"/>
        <v>863953.6977911815</v>
      </c>
      <c r="V124" s="1488">
        <f t="shared" si="82"/>
        <v>911991.02558647981</v>
      </c>
    </row>
    <row r="125" spans="1:22">
      <c r="A125" s="1428"/>
      <c r="C125" s="1435"/>
      <c r="D125" s="1435"/>
      <c r="E125" s="1435"/>
      <c r="F125" s="1435"/>
      <c r="G125" s="1435"/>
      <c r="H125" s="1435"/>
      <c r="I125" s="1435"/>
      <c r="J125" s="1435"/>
      <c r="K125" s="1435"/>
      <c r="L125" s="1435"/>
      <c r="M125" s="1435"/>
      <c r="N125" s="1435"/>
      <c r="O125" s="1435"/>
      <c r="P125" s="1435"/>
      <c r="Q125" s="1435"/>
      <c r="R125" s="1435"/>
      <c r="S125" s="1435"/>
      <c r="T125" s="1435"/>
      <c r="U125" s="1435"/>
      <c r="V125" s="1435"/>
    </row>
    <row r="126" spans="1:22">
      <c r="A126" s="1412" t="s">
        <v>186</v>
      </c>
      <c r="C126" s="1435">
        <f t="shared" ref="C126:V126" si="83">+C13</f>
        <v>29331</v>
      </c>
      <c r="D126" s="1435">
        <f t="shared" si="83"/>
        <v>35058</v>
      </c>
      <c r="E126" s="1435">
        <f t="shared" si="83"/>
        <v>42959</v>
      </c>
      <c r="F126" s="1435">
        <f t="shared" si="83"/>
        <v>52959</v>
      </c>
      <c r="G126" s="1435">
        <f t="shared" si="83"/>
        <v>69916</v>
      </c>
      <c r="H126" s="1435">
        <f t="shared" si="83"/>
        <v>83383</v>
      </c>
      <c r="I126" s="1435">
        <f t="shared" si="83"/>
        <v>89694</v>
      </c>
      <c r="J126" s="1435">
        <f t="shared" si="83"/>
        <v>112443</v>
      </c>
      <c r="K126" s="1435">
        <f t="shared" si="83"/>
        <v>129601.02612378589</v>
      </c>
      <c r="L126" s="1435">
        <f t="shared" si="83"/>
        <v>141017.82185267183</v>
      </c>
      <c r="M126" s="1435">
        <f t="shared" si="83"/>
        <v>153431.85833098725</v>
      </c>
      <c r="N126" s="1435">
        <f t="shared" si="83"/>
        <v>166929.62658597602</v>
      </c>
      <c r="O126" s="1435">
        <f t="shared" si="83"/>
        <v>181605.07386844471</v>
      </c>
      <c r="P126" s="1435">
        <f t="shared" si="83"/>
        <v>197560.24310595816</v>
      </c>
      <c r="Q126" s="1435">
        <f t="shared" si="83"/>
        <v>214905.96694871568</v>
      </c>
      <c r="R126" s="1435">
        <f t="shared" si="83"/>
        <v>233762.62105043625</v>
      </c>
      <c r="S126" s="1435">
        <f t="shared" si="83"/>
        <v>254260.94161996036</v>
      </c>
      <c r="T126" s="1435">
        <f t="shared" si="83"/>
        <v>276542.9127058856</v>
      </c>
      <c r="U126" s="1435">
        <f t="shared" si="83"/>
        <v>300762.72913919104</v>
      </c>
      <c r="V126" s="1435">
        <f t="shared" si="83"/>
        <v>328193.36731564178</v>
      </c>
    </row>
    <row r="127" spans="1:22" s="1491" customFormat="1">
      <c r="A127" s="1489" t="s">
        <v>198</v>
      </c>
      <c r="B127" s="1490"/>
      <c r="C127" s="1490">
        <f>+C126/C124</f>
        <v>0.88644090847273227</v>
      </c>
      <c r="D127" s="1490">
        <f t="shared" ref="D127:V127" si="84">+D126/D124</f>
        <v>0.5539001153366091</v>
      </c>
      <c r="E127" s="1490">
        <f t="shared" si="84"/>
        <v>0.52808270538052093</v>
      </c>
      <c r="F127" s="1490">
        <f t="shared" si="84"/>
        <v>0.56568947376853929</v>
      </c>
      <c r="G127" s="1490">
        <f t="shared" si="84"/>
        <v>0.6520859176078867</v>
      </c>
      <c r="H127" s="1490">
        <f t="shared" si="84"/>
        <v>0.58725385243823425</v>
      </c>
      <c r="I127" s="1490">
        <f t="shared" si="84"/>
        <v>0.49690452645487254</v>
      </c>
      <c r="J127" s="1490">
        <f t="shared" si="84"/>
        <v>0.44375643773013035</v>
      </c>
      <c r="K127" s="1490">
        <f t="shared" si="84"/>
        <v>0.3370750651631515</v>
      </c>
      <c r="L127" s="1490">
        <f t="shared" si="84"/>
        <v>0.29057425103633705</v>
      </c>
      <c r="M127" s="1490">
        <f t="shared" si="84"/>
        <v>0.28537828907046153</v>
      </c>
      <c r="N127" s="1490">
        <f t="shared" si="84"/>
        <v>0.28470052995564238</v>
      </c>
      <c r="O127" s="1490">
        <f t="shared" si="84"/>
        <v>0.28784401755170047</v>
      </c>
      <c r="P127" s="1490">
        <f t="shared" si="84"/>
        <v>0.2944922518799204</v>
      </c>
      <c r="Q127" s="1490">
        <f t="shared" si="84"/>
        <v>0.30365516965178374</v>
      </c>
      <c r="R127" s="1490">
        <f t="shared" si="84"/>
        <v>0.31449006556986625</v>
      </c>
      <c r="S127" s="1490">
        <f t="shared" si="84"/>
        <v>0.32602437549296337</v>
      </c>
      <c r="T127" s="1490">
        <f t="shared" si="84"/>
        <v>0.33724253601989684</v>
      </c>
      <c r="U127" s="1490">
        <f t="shared" si="84"/>
        <v>0.34812366670590456</v>
      </c>
      <c r="V127" s="1490">
        <f t="shared" si="84"/>
        <v>0.35986468957256285</v>
      </c>
    </row>
    <row r="128" spans="1:22">
      <c r="A128" s="1484"/>
    </row>
    <row r="129" spans="1:13">
      <c r="A129" s="1484"/>
    </row>
    <row r="130" spans="1:13">
      <c r="C130" s="1492"/>
      <c r="D130" s="1492"/>
      <c r="E130" s="1492"/>
      <c r="H130" s="1492"/>
      <c r="I130" s="1492"/>
      <c r="J130" s="1492"/>
      <c r="K130" s="1492">
        <f>K97</f>
        <v>5.6514278054237366E-2</v>
      </c>
    </row>
    <row r="133" spans="1:13">
      <c r="A133" s="1354" t="s">
        <v>187</v>
      </c>
      <c r="C133" s="1493">
        <f>+$E$101/C88</f>
        <v>2.438092369477912</v>
      </c>
      <c r="D133" s="1493">
        <f t="shared" ref="D133:M133" si="85">+$E$101/D89</f>
        <v>3.5155662650602411</v>
      </c>
      <c r="E133" s="1493">
        <f t="shared" si="85"/>
        <v>4.6202838018741641</v>
      </c>
      <c r="F133" s="1493">
        <f t="shared" si="85"/>
        <v>5.6088942436412319</v>
      </c>
      <c r="G133" s="1493">
        <f t="shared" si="85"/>
        <v>7.5194886211512717</v>
      </c>
      <c r="H133" s="1493">
        <f t="shared" si="85"/>
        <v>8.8534993306559571</v>
      </c>
      <c r="I133" s="1493">
        <f t="shared" si="85"/>
        <v>9.5690468540829983</v>
      </c>
      <c r="J133" s="1493">
        <f t="shared" si="85"/>
        <v>11.767833165997322</v>
      </c>
      <c r="K133" s="1493">
        <f t="shared" si="85"/>
        <v>13.740496738660088</v>
      </c>
      <c r="L133" s="1493">
        <f t="shared" si="85"/>
        <v>15.555784727782248</v>
      </c>
      <c r="M133" s="1493">
        <f t="shared" si="85"/>
        <v>17.411951937104504</v>
      </c>
    </row>
    <row r="134" spans="1:13">
      <c r="A134" s="1354" t="s">
        <v>188</v>
      </c>
      <c r="C134" s="1493"/>
      <c r="D134" s="1493">
        <f t="shared" ref="D134:L134" si="86">AVERAGE(D133:E133)</f>
        <v>4.067925033467203</v>
      </c>
      <c r="E134" s="1493">
        <f t="shared" si="86"/>
        <v>5.1145890227576984</v>
      </c>
      <c r="F134" s="1493">
        <f t="shared" si="86"/>
        <v>6.5641914323962514</v>
      </c>
      <c r="G134" s="1493">
        <f t="shared" si="86"/>
        <v>8.1864939759036144</v>
      </c>
      <c r="H134" s="1493">
        <f t="shared" si="86"/>
        <v>9.2112730923694777</v>
      </c>
      <c r="I134" s="1493">
        <f t="shared" si="86"/>
        <v>10.668440010040161</v>
      </c>
      <c r="J134" s="1493">
        <f t="shared" si="86"/>
        <v>12.754164952328704</v>
      </c>
      <c r="K134" s="1493">
        <f t="shared" si="86"/>
        <v>14.648140733221169</v>
      </c>
      <c r="L134" s="1493">
        <f t="shared" si="86"/>
        <v>16.483868332443375</v>
      </c>
    </row>
    <row r="135" spans="1:13">
      <c r="C135" s="1494"/>
    </row>
    <row r="136" spans="1:13">
      <c r="F136" s="1435"/>
    </row>
    <row r="139" spans="1:13">
      <c r="G139" s="1435"/>
    </row>
  </sheetData>
  <pageMargins left="0.3" right="0.3" top="0.3" bottom="0.3" header="0.3" footer="0.3"/>
  <pageSetup scale="35" fitToHeight="0" orientation="landscape" r:id="rId1"/>
  <headerFooter>
    <oddFooter>Page &amp;P</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CD1452"/>
  <sheetViews>
    <sheetView view="pageBreakPreview" zoomScale="85" zoomScaleNormal="100" zoomScaleSheetLayoutView="85" workbookViewId="0">
      <pane xSplit="3" ySplit="7" topLeftCell="AK45" activePane="bottomRight" state="frozen"/>
      <selection pane="bottomRight" activeCell="BP52" sqref="BP52"/>
      <selection pane="bottomLeft" activeCell="B6" sqref="B6"/>
      <selection pane="topRight" activeCell="B6" sqref="B6"/>
    </sheetView>
  </sheetViews>
  <sheetFormatPr defaultColWidth="8.83203125" defaultRowHeight="9.9499999999999993" outlineLevelRow="3" outlineLevelCol="2"/>
  <cols>
    <col min="1" max="1" width="3.83203125" customWidth="1"/>
    <col min="2" max="2" width="31.1640625" customWidth="1"/>
    <col min="3" max="3" width="2.83203125" customWidth="1"/>
    <col min="4" max="4" width="9.83203125" hidden="1" customWidth="1" outlineLevel="1"/>
    <col min="5" max="5" width="9.33203125" hidden="1" customWidth="1" outlineLevel="1"/>
    <col min="6" max="7" width="8.83203125" hidden="1" customWidth="1" outlineLevel="1"/>
    <col min="8" max="8" width="10.1640625" hidden="1" customWidth="1" outlineLevel="1"/>
    <col min="9" max="11" width="8.83203125" hidden="1" customWidth="1" outlineLevel="1"/>
    <col min="12" max="12" width="11.5" hidden="1" customWidth="1" outlineLevel="1"/>
    <col min="13" max="13" width="9.33203125" hidden="1" customWidth="1" outlineLevel="1"/>
    <col min="14" max="14" width="9" hidden="1" customWidth="1" outlineLevel="1"/>
    <col min="15" max="15" width="10" hidden="1" customWidth="1" outlineLevel="1"/>
    <col min="16" max="16" width="11.5" hidden="1" customWidth="1" outlineLevel="1" collapsed="1"/>
    <col min="17" max="17" width="12.6640625" hidden="1" customWidth="1" outlineLevel="1"/>
    <col min="18" max="19" width="11.1640625" hidden="1" customWidth="1" outlineLevel="1"/>
    <col min="20" max="20" width="10.83203125" customWidth="1" collapsed="1"/>
    <col min="21" max="43" width="10.83203125" customWidth="1"/>
    <col min="44" max="44" width="9.6640625" customWidth="1"/>
    <col min="45" max="46" width="9.33203125" hidden="1" customWidth="1" outlineLevel="1"/>
    <col min="47" max="49" width="10.6640625" hidden="1" customWidth="1" outlineLevel="1"/>
    <col min="50" max="50" width="10.6640625" hidden="1" customWidth="1" outlineLevel="1" collapsed="1"/>
    <col min="51" max="55" width="10.6640625" hidden="1" customWidth="1" outlineLevel="1"/>
    <col min="56" max="57" width="10.6640625" hidden="1" customWidth="1" outlineLevel="2"/>
    <col min="58" max="58" width="2.83203125" hidden="1" customWidth="1" outlineLevel="2"/>
    <col min="59" max="59" width="10.6640625" hidden="1" customWidth="1" outlineLevel="1" collapsed="1"/>
    <col min="60" max="60" width="10.83203125" hidden="1" customWidth="1" outlineLevel="1"/>
    <col min="61" max="61" width="10.83203125" customWidth="1" collapsed="1"/>
    <col min="62" max="68" width="10.83203125" customWidth="1"/>
    <col min="69" max="70" width="20.83203125" bestFit="1" customWidth="1"/>
    <col min="71" max="72" width="14.5" bestFit="1" customWidth="1"/>
    <col min="73" max="73" width="13.83203125" bestFit="1" customWidth="1"/>
    <col min="74" max="74" width="9.1640625" bestFit="1" customWidth="1"/>
    <col min="75" max="75" width="12.33203125" bestFit="1" customWidth="1"/>
    <col min="76" max="76" width="9.6640625" bestFit="1" customWidth="1"/>
    <col min="77" max="77" width="12.33203125" bestFit="1" customWidth="1"/>
    <col min="78" max="78" width="9" bestFit="1" customWidth="1"/>
    <col min="81" max="81" width="10" bestFit="1" customWidth="1"/>
  </cols>
  <sheetData>
    <row r="2" spans="2:73" s="1" customFormat="1" ht="10.5">
      <c r="B2" t="s">
        <v>60</v>
      </c>
      <c r="L2" s="228"/>
      <c r="M2" s="228"/>
      <c r="N2" s="228"/>
      <c r="O2" s="228"/>
      <c r="P2" s="228"/>
      <c r="Q2" s="228"/>
      <c r="R2" s="228"/>
      <c r="S2" s="228"/>
      <c r="T2" s="228"/>
      <c r="U2" s="228"/>
      <c r="V2" s="228"/>
      <c r="W2" s="228"/>
      <c r="X2" s="228"/>
      <c r="Y2" s="228"/>
      <c r="Z2" s="228"/>
      <c r="AA2" s="228"/>
      <c r="AB2" s="228"/>
      <c r="AC2" s="228"/>
      <c r="AD2" s="228"/>
      <c r="AE2" s="228"/>
      <c r="AF2" s="228"/>
      <c r="AG2" s="228"/>
      <c r="AH2" s="228"/>
      <c r="AI2" s="228"/>
      <c r="AJ2" s="228"/>
      <c r="AK2" s="228"/>
      <c r="AL2" s="228"/>
      <c r="AM2" s="228"/>
      <c r="AN2" s="228"/>
      <c r="AO2" s="228"/>
      <c r="AP2" s="228"/>
      <c r="AQ2" s="228"/>
      <c r="AR2" s="228"/>
      <c r="AS2" s="228"/>
      <c r="AT2" s="228"/>
      <c r="AU2" s="228"/>
      <c r="AV2" s="228"/>
      <c r="AW2" s="228"/>
      <c r="AX2" s="228"/>
      <c r="AY2" s="228"/>
      <c r="AZ2" s="228"/>
      <c r="BA2" s="228"/>
      <c r="BB2" s="228"/>
      <c r="BC2" s="228"/>
      <c r="BD2" s="228"/>
      <c r="BE2" s="228"/>
      <c r="BF2" s="228"/>
      <c r="BG2" s="228"/>
      <c r="BH2" s="228"/>
      <c r="BI2" s="228"/>
      <c r="BJ2" s="228"/>
      <c r="BK2" s="228"/>
      <c r="BL2" s="792"/>
      <c r="BM2" s="792"/>
      <c r="BN2" s="792"/>
      <c r="BO2" s="792"/>
      <c r="BP2" s="792">
        <f t="shared" ref="BP2" ca="1" si="0">TODAY()</f>
        <v>45797</v>
      </c>
    </row>
    <row r="3" spans="2:73" s="2" customFormat="1" ht="10.5">
      <c r="B3" s="2" t="s">
        <v>202</v>
      </c>
      <c r="H3" s="820"/>
      <c r="I3" s="820"/>
      <c r="J3" s="820"/>
      <c r="K3" s="820"/>
      <c r="L3" s="820"/>
      <c r="M3" s="820"/>
      <c r="N3" s="820"/>
      <c r="O3" s="820"/>
      <c r="P3" s="820"/>
      <c r="Q3" s="820"/>
      <c r="R3" s="820"/>
      <c r="S3" s="820"/>
      <c r="T3" s="820"/>
      <c r="U3" s="820"/>
      <c r="V3" s="820"/>
      <c r="W3" s="820"/>
      <c r="X3" s="820"/>
      <c r="Y3" s="820"/>
      <c r="Z3" s="820"/>
      <c r="AA3" s="820"/>
      <c r="AB3" s="820"/>
      <c r="AC3" s="820"/>
      <c r="AD3" s="820"/>
      <c r="AE3" s="820"/>
      <c r="AF3" s="820"/>
      <c r="AG3" s="820"/>
      <c r="AH3" s="820"/>
      <c r="AI3" s="820"/>
      <c r="AJ3" s="820"/>
      <c r="AK3" s="820"/>
      <c r="AL3" s="820"/>
      <c r="AM3" s="820"/>
      <c r="AN3" s="820"/>
      <c r="AO3" s="820"/>
      <c r="AP3" s="820"/>
      <c r="AQ3" s="820"/>
      <c r="AR3" s="820"/>
      <c r="AS3" s="820"/>
      <c r="AT3" s="820"/>
      <c r="AU3" s="820"/>
      <c r="AV3" s="820"/>
      <c r="AW3" s="820"/>
      <c r="AX3" s="820"/>
      <c r="AY3" s="820"/>
      <c r="AZ3" s="820"/>
      <c r="BA3" s="820"/>
      <c r="BB3" s="820"/>
      <c r="BC3" s="820"/>
      <c r="BD3" s="820"/>
      <c r="BE3" s="820"/>
      <c r="BF3" s="820"/>
      <c r="BG3" s="820"/>
      <c r="BH3" s="820"/>
      <c r="BI3" s="820"/>
      <c r="BJ3" s="820"/>
      <c r="BK3" s="820"/>
      <c r="BL3" s="820"/>
      <c r="BM3" s="820"/>
      <c r="BN3" s="820"/>
      <c r="BO3" s="820"/>
      <c r="BP3" s="820"/>
    </row>
    <row r="4" spans="2:73">
      <c r="B4" s="3" t="s">
        <v>63</v>
      </c>
      <c r="AD4" t="s">
        <v>203</v>
      </c>
      <c r="AK4" t="s">
        <v>204</v>
      </c>
    </row>
    <row r="5" spans="2:73" ht="13.5">
      <c r="D5" s="821" t="s">
        <v>205</v>
      </c>
      <c r="E5" s="821"/>
      <c r="F5" s="31"/>
      <c r="G5" s="31"/>
      <c r="H5" s="821"/>
      <c r="I5" s="31"/>
      <c r="J5" s="31"/>
      <c r="K5" s="31"/>
      <c r="L5" s="821"/>
      <c r="M5" s="31"/>
      <c r="N5" s="31"/>
      <c r="O5" s="31"/>
      <c r="P5" s="821"/>
      <c r="Q5" s="31"/>
      <c r="R5" s="31"/>
      <c r="S5" s="31"/>
      <c r="T5" s="821" t="s">
        <v>205</v>
      </c>
      <c r="U5" s="31"/>
      <c r="V5" s="31"/>
      <c r="W5" s="31"/>
      <c r="X5" s="31"/>
      <c r="Y5" s="31"/>
      <c r="Z5" s="31"/>
      <c r="AA5" s="31"/>
      <c r="AB5" s="821"/>
      <c r="AC5" s="31"/>
      <c r="AD5" s="31"/>
      <c r="AE5" s="31"/>
      <c r="AF5" s="31"/>
      <c r="AG5" s="31"/>
      <c r="AH5" s="31"/>
      <c r="AI5" s="31"/>
      <c r="AJ5" s="31"/>
      <c r="AK5" s="31"/>
      <c r="AL5" s="31"/>
      <c r="AM5" s="31"/>
      <c r="AN5" s="31"/>
      <c r="AO5" s="31"/>
      <c r="AP5" s="31"/>
      <c r="AQ5" s="31"/>
      <c r="AS5" s="821"/>
      <c r="AT5" s="821"/>
      <c r="AV5" s="821"/>
      <c r="AW5" s="821"/>
      <c r="AX5" s="821" t="s">
        <v>205</v>
      </c>
      <c r="AY5" s="821"/>
      <c r="AZ5" s="821"/>
      <c r="BA5" s="821"/>
      <c r="BB5" s="821"/>
      <c r="BC5" s="821"/>
      <c r="BD5" s="821"/>
      <c r="BE5" s="821"/>
      <c r="BG5" s="821"/>
      <c r="BH5" s="821"/>
      <c r="BI5" s="821" t="s">
        <v>205</v>
      </c>
      <c r="BJ5" s="821"/>
      <c r="BK5" s="821"/>
      <c r="BL5" s="821"/>
      <c r="BM5" s="821"/>
      <c r="BN5" s="821"/>
      <c r="BO5" s="821"/>
      <c r="BP5" s="821"/>
    </row>
    <row r="6" spans="2:73" ht="13.5">
      <c r="B6" s="7"/>
      <c r="D6" s="6" t="s">
        <v>206</v>
      </c>
      <c r="E6" s="6" t="s">
        <v>207</v>
      </c>
      <c r="F6" s="6" t="s">
        <v>208</v>
      </c>
      <c r="G6" s="6" t="s">
        <v>209</v>
      </c>
      <c r="H6" s="6" t="s">
        <v>210</v>
      </c>
      <c r="I6" s="6" t="s">
        <v>211</v>
      </c>
      <c r="J6" s="6" t="s">
        <v>212</v>
      </c>
      <c r="K6" s="6" t="s">
        <v>213</v>
      </c>
      <c r="L6" s="6" t="s">
        <v>214</v>
      </c>
      <c r="M6" s="6" t="s">
        <v>215</v>
      </c>
      <c r="N6" s="6" t="s">
        <v>216</v>
      </c>
      <c r="O6" s="6" t="s">
        <v>217</v>
      </c>
      <c r="P6" s="6" t="s">
        <v>218</v>
      </c>
      <c r="Q6" s="6" t="s">
        <v>219</v>
      </c>
      <c r="R6" s="6" t="s">
        <v>220</v>
      </c>
      <c r="S6" s="6" t="s">
        <v>221</v>
      </c>
      <c r="T6" s="6" t="s">
        <v>222</v>
      </c>
      <c r="U6" s="6" t="s">
        <v>223</v>
      </c>
      <c r="V6" s="6" t="s">
        <v>224</v>
      </c>
      <c r="W6" s="6" t="s">
        <v>225</v>
      </c>
      <c r="X6" s="6" t="s">
        <v>226</v>
      </c>
      <c r="Y6" s="6" t="s">
        <v>227</v>
      </c>
      <c r="Z6" s="6" t="s">
        <v>228</v>
      </c>
      <c r="AA6" s="6" t="s">
        <v>229</v>
      </c>
      <c r="AB6" s="6" t="s">
        <v>230</v>
      </c>
      <c r="AC6" s="6" t="s">
        <v>231</v>
      </c>
      <c r="AD6" s="6" t="s">
        <v>232</v>
      </c>
      <c r="AE6" s="6" t="s">
        <v>233</v>
      </c>
      <c r="AF6" s="6" t="s">
        <v>234</v>
      </c>
      <c r="AG6" s="6" t="s">
        <v>235</v>
      </c>
      <c r="AH6" s="6" t="s">
        <v>236</v>
      </c>
      <c r="AI6" s="6" t="s">
        <v>237</v>
      </c>
      <c r="AJ6" s="6" t="s">
        <v>238</v>
      </c>
      <c r="AK6" s="6" t="s">
        <v>239</v>
      </c>
      <c r="AL6" s="6" t="s">
        <v>240</v>
      </c>
      <c r="AM6" s="6" t="s">
        <v>241</v>
      </c>
      <c r="AN6" s="6" t="s">
        <v>242</v>
      </c>
      <c r="AO6" s="6" t="s">
        <v>243</v>
      </c>
      <c r="AP6" s="6" t="s">
        <v>244</v>
      </c>
      <c r="AQ6" s="6" t="s">
        <v>245</v>
      </c>
      <c r="AS6" s="6" t="s">
        <v>246</v>
      </c>
      <c r="AT6" s="6" t="s">
        <v>247</v>
      </c>
      <c r="AU6" s="6" t="s">
        <v>248</v>
      </c>
      <c r="AV6" s="6" t="s">
        <v>249</v>
      </c>
      <c r="AW6" s="6" t="s">
        <v>250</v>
      </c>
      <c r="AX6" s="6" t="s">
        <v>251</v>
      </c>
      <c r="AY6" s="6" t="s">
        <v>252</v>
      </c>
      <c r="AZ6" s="6" t="s">
        <v>253</v>
      </c>
      <c r="BA6" s="6" t="s">
        <v>254</v>
      </c>
      <c r="BB6" s="6" t="s">
        <v>255</v>
      </c>
      <c r="BC6" s="6" t="s">
        <v>256</v>
      </c>
      <c r="BD6" s="6" t="s">
        <v>257</v>
      </c>
      <c r="BE6" s="6" t="s">
        <v>258</v>
      </c>
      <c r="BF6" s="6"/>
      <c r="BG6" s="6" t="s">
        <v>257</v>
      </c>
      <c r="BH6" s="6" t="s">
        <v>258</v>
      </c>
      <c r="BI6" s="6" t="s">
        <v>259</v>
      </c>
      <c r="BJ6" s="6" t="s">
        <v>260</v>
      </c>
      <c r="BK6" s="6" t="s">
        <v>261</v>
      </c>
      <c r="BL6" s="6" t="s">
        <v>262</v>
      </c>
      <c r="BM6" s="6" t="s">
        <v>109</v>
      </c>
      <c r="BN6" s="6" t="s">
        <v>191</v>
      </c>
      <c r="BO6" s="6" t="s">
        <v>263</v>
      </c>
      <c r="BP6" s="6" t="s">
        <v>72</v>
      </c>
    </row>
    <row r="7" spans="2:73" hidden="1" outlineLevel="1">
      <c r="B7" s="3"/>
      <c r="D7" s="822">
        <v>42277</v>
      </c>
      <c r="E7" s="822">
        <v>42369</v>
      </c>
      <c r="F7" s="822">
        <v>42460</v>
      </c>
      <c r="G7" s="822">
        <v>42551</v>
      </c>
      <c r="H7" s="822">
        <v>42643</v>
      </c>
      <c r="I7" s="822">
        <v>42735</v>
      </c>
      <c r="J7" s="822">
        <v>42825</v>
      </c>
      <c r="K7" s="822">
        <v>42916</v>
      </c>
      <c r="L7" s="822">
        <v>43008</v>
      </c>
      <c r="M7" s="822">
        <v>43100</v>
      </c>
      <c r="N7" s="822">
        <v>43190</v>
      </c>
      <c r="O7" s="822">
        <v>43281</v>
      </c>
      <c r="P7" s="822">
        <v>43373</v>
      </c>
      <c r="Q7" s="822">
        <v>43465</v>
      </c>
      <c r="R7" s="822">
        <v>43555</v>
      </c>
      <c r="S7" s="822">
        <v>43646</v>
      </c>
      <c r="T7" s="822">
        <v>43738</v>
      </c>
      <c r="U7" s="822">
        <v>43830</v>
      </c>
      <c r="V7" s="822">
        <v>43921</v>
      </c>
      <c r="W7" s="822">
        <v>43921</v>
      </c>
      <c r="X7" s="822"/>
      <c r="Y7" s="822"/>
      <c r="Z7" s="822"/>
      <c r="AA7" s="822"/>
      <c r="AB7" s="822"/>
      <c r="AC7" s="822"/>
      <c r="AD7" s="822"/>
      <c r="AE7" s="822"/>
      <c r="AF7" s="822"/>
      <c r="AG7" s="822"/>
      <c r="AH7" s="822"/>
      <c r="AI7" s="822"/>
      <c r="AJ7" s="822"/>
      <c r="AK7" s="822"/>
      <c r="AL7" s="822"/>
      <c r="AM7" s="822"/>
      <c r="AN7" s="822"/>
      <c r="AO7" s="822"/>
      <c r="AP7" s="822"/>
      <c r="AQ7" s="822"/>
      <c r="AS7" s="822">
        <v>38533</v>
      </c>
      <c r="AT7" s="822">
        <v>38898</v>
      </c>
      <c r="AU7" s="822">
        <v>39263</v>
      </c>
      <c r="AV7" s="822">
        <v>39629</v>
      </c>
      <c r="AW7" s="822">
        <v>39994</v>
      </c>
      <c r="AX7" s="822">
        <v>40359</v>
      </c>
      <c r="AY7" s="822">
        <v>40724</v>
      </c>
      <c r="AZ7" s="822">
        <v>41090</v>
      </c>
      <c r="BA7" s="822">
        <v>41455</v>
      </c>
      <c r="BB7" s="822">
        <v>41820</v>
      </c>
      <c r="BC7" s="822">
        <v>42185</v>
      </c>
      <c r="BD7" s="822">
        <v>42551</v>
      </c>
      <c r="BE7" s="822">
        <v>42916</v>
      </c>
      <c r="BF7" s="822"/>
      <c r="BG7" s="822">
        <v>42551</v>
      </c>
      <c r="BH7" s="822">
        <v>42916</v>
      </c>
      <c r="BI7" s="822">
        <v>43281</v>
      </c>
      <c r="BJ7" s="822">
        <v>43646</v>
      </c>
      <c r="BK7" s="822"/>
      <c r="BL7" s="822"/>
      <c r="BM7" s="822"/>
      <c r="BN7" s="822"/>
      <c r="BO7" s="822"/>
      <c r="BP7" s="822"/>
    </row>
    <row r="8" spans="2:73" ht="13.5" hidden="1" outlineLevel="1">
      <c r="B8" s="3"/>
      <c r="D8" s="823" t="s">
        <v>264</v>
      </c>
      <c r="E8" s="821"/>
      <c r="F8" s="31"/>
      <c r="G8" s="31"/>
      <c r="H8" s="823" t="s">
        <v>264</v>
      </c>
      <c r="I8" s="31"/>
      <c r="J8" s="31"/>
      <c r="K8" s="31"/>
      <c r="AS8" s="822"/>
      <c r="AT8" s="822"/>
      <c r="AU8" s="822"/>
      <c r="AV8" s="822"/>
      <c r="AW8" s="822"/>
      <c r="AX8" s="822"/>
      <c r="AY8" s="822"/>
      <c r="AZ8" s="822"/>
      <c r="BA8" s="822"/>
      <c r="BB8" s="822"/>
      <c r="BC8" s="822"/>
      <c r="BD8" s="822"/>
      <c r="BE8" s="822"/>
      <c r="BF8" s="822"/>
      <c r="BG8" s="823" t="s">
        <v>264</v>
      </c>
      <c r="BH8" s="821"/>
    </row>
    <row r="9" spans="2:73" collapsed="1">
      <c r="AF9" s="9"/>
      <c r="BE9" s="932" t="s">
        <v>265</v>
      </c>
      <c r="BG9" s="932" t="s">
        <v>265</v>
      </c>
      <c r="BH9" s="921"/>
    </row>
    <row r="10" spans="2:73" ht="10.5">
      <c r="B10" s="5" t="s">
        <v>266</v>
      </c>
      <c r="C10" s="4"/>
      <c r="X10" s="824"/>
      <c r="AB10" s="824"/>
      <c r="AE10" s="8"/>
      <c r="AF10" s="9"/>
      <c r="AK10" s="8"/>
      <c r="AO10" s="8"/>
      <c r="AP10" s="9"/>
      <c r="BG10" s="8"/>
    </row>
    <row r="11" spans="2:73">
      <c r="E11" s="825"/>
      <c r="F11" s="825"/>
      <c r="G11" s="825"/>
      <c r="H11" s="825"/>
      <c r="I11" s="825"/>
      <c r="J11" s="825"/>
      <c r="K11" s="825"/>
      <c r="L11" s="825"/>
      <c r="M11" s="825"/>
      <c r="N11" s="825"/>
      <c r="O11" s="825"/>
      <c r="P11" s="825"/>
      <c r="Q11" s="825"/>
      <c r="R11" s="825"/>
      <c r="S11" s="825"/>
      <c r="T11" s="825"/>
      <c r="U11" s="825"/>
      <c r="X11" s="826"/>
      <c r="Y11" s="827"/>
      <c r="Z11" s="8"/>
      <c r="AA11" s="828"/>
      <c r="AB11" s="827"/>
      <c r="AC11" s="828"/>
      <c r="AD11" s="828"/>
      <c r="AF11" s="828"/>
      <c r="AK11" s="1235"/>
      <c r="AN11" s="828" t="s">
        <v>267</v>
      </c>
      <c r="AO11" s="1079">
        <f>+BX150*1000</f>
        <v>68600</v>
      </c>
      <c r="AP11" s="1236"/>
      <c r="AQ11" s="828"/>
      <c r="BG11" s="8"/>
      <c r="BR11" t="s">
        <v>268</v>
      </c>
      <c r="BS11" t="s">
        <v>269</v>
      </c>
      <c r="BT11" t="s">
        <v>270</v>
      </c>
      <c r="BU11" t="s">
        <v>271</v>
      </c>
    </row>
    <row r="12" spans="2:73">
      <c r="B12" t="s">
        <v>86</v>
      </c>
      <c r="D12" s="8">
        <f t="shared" ref="D12:V12" si="1">+D1058</f>
        <v>20910</v>
      </c>
      <c r="E12" s="8">
        <f t="shared" si="1"/>
        <v>25253</v>
      </c>
      <c r="F12" s="8">
        <f t="shared" si="1"/>
        <v>21517</v>
      </c>
      <c r="G12" s="8">
        <f t="shared" si="1"/>
        <v>23474</v>
      </c>
      <c r="H12" s="8">
        <f t="shared" si="1"/>
        <v>21928</v>
      </c>
      <c r="I12" s="8">
        <f t="shared" si="1"/>
        <v>25826</v>
      </c>
      <c r="J12" s="8">
        <f t="shared" si="1"/>
        <v>23212</v>
      </c>
      <c r="K12" s="8">
        <f t="shared" si="1"/>
        <v>25605</v>
      </c>
      <c r="L12" s="8">
        <f t="shared" si="1"/>
        <v>24538</v>
      </c>
      <c r="M12" s="8">
        <f t="shared" si="1"/>
        <v>28918</v>
      </c>
      <c r="N12" s="8">
        <f t="shared" si="1"/>
        <v>26819</v>
      </c>
      <c r="O12" s="8">
        <f t="shared" si="1"/>
        <v>30085</v>
      </c>
      <c r="P12" s="8">
        <f t="shared" si="1"/>
        <v>29084</v>
      </c>
      <c r="Q12" s="8">
        <f t="shared" si="1"/>
        <v>32471</v>
      </c>
      <c r="R12" s="8">
        <f t="shared" si="1"/>
        <v>30571</v>
      </c>
      <c r="S12" s="8">
        <f t="shared" si="1"/>
        <v>33717</v>
      </c>
      <c r="T12" s="8">
        <f t="shared" si="1"/>
        <v>33055</v>
      </c>
      <c r="U12" s="8">
        <f t="shared" si="1"/>
        <v>36906</v>
      </c>
      <c r="V12" s="8">
        <f t="shared" si="1"/>
        <v>35021</v>
      </c>
      <c r="W12" s="8">
        <f>+W227</f>
        <v>38033</v>
      </c>
      <c r="X12" s="8">
        <f t="shared" ref="X12:Y12" si="2">+X227</f>
        <v>37154</v>
      </c>
      <c r="Y12" s="8">
        <f t="shared" si="2"/>
        <v>43076</v>
      </c>
      <c r="Z12" s="8">
        <f t="shared" ref="Z12" si="3">+Z227</f>
        <v>41706</v>
      </c>
      <c r="AA12" s="8">
        <f t="shared" ref="AA12:AB12" si="4">+AA227</f>
        <v>46152</v>
      </c>
      <c r="AB12" s="8">
        <f t="shared" si="4"/>
        <v>45317</v>
      </c>
      <c r="AC12" s="8">
        <f t="shared" ref="AC12:AD12" si="5">+AC227</f>
        <v>51728</v>
      </c>
      <c r="AD12" s="8">
        <f t="shared" si="5"/>
        <v>49360</v>
      </c>
      <c r="AE12" s="8">
        <f t="shared" ref="AE12:AF12" si="6">+AE227</f>
        <v>51865</v>
      </c>
      <c r="AF12" s="8">
        <f t="shared" si="6"/>
        <v>50122</v>
      </c>
      <c r="AG12" s="8">
        <f t="shared" ref="AG12:AI12" si="7">+AG227</f>
        <v>52747</v>
      </c>
      <c r="AH12" s="8">
        <f t="shared" ref="AH12" si="8">+AH227</f>
        <v>52857</v>
      </c>
      <c r="AI12" s="8">
        <f t="shared" si="7"/>
        <v>56189</v>
      </c>
      <c r="AJ12" s="8">
        <f t="shared" ref="AJ12:AM12" si="9">+AJ227</f>
        <v>56517</v>
      </c>
      <c r="AK12" s="8">
        <f t="shared" si="9"/>
        <v>62020</v>
      </c>
      <c r="AL12" s="8">
        <f t="shared" si="9"/>
        <v>61858</v>
      </c>
      <c r="AM12" s="8">
        <f t="shared" si="9"/>
        <v>64727</v>
      </c>
      <c r="AN12" s="8">
        <f>+AN1058</f>
        <v>65585</v>
      </c>
      <c r="AO12" s="8">
        <f>+AO156</f>
        <v>68949.202353999994</v>
      </c>
      <c r="AP12" s="8">
        <f t="shared" ref="AP12:AQ12" si="10">+AP156</f>
        <v>69681.275946197435</v>
      </c>
      <c r="AQ12" s="8">
        <f t="shared" si="10"/>
        <v>73728.672347064057</v>
      </c>
      <c r="AR12" s="8"/>
      <c r="AS12" s="8">
        <f t="shared" ref="AS12:BE12" si="11">+AS1058</f>
        <v>39788</v>
      </c>
      <c r="AT12" s="8">
        <f t="shared" si="11"/>
        <v>44282</v>
      </c>
      <c r="AU12" s="8">
        <f t="shared" si="11"/>
        <v>51122</v>
      </c>
      <c r="AV12" s="8">
        <f t="shared" si="11"/>
        <v>60420</v>
      </c>
      <c r="AW12" s="8">
        <f t="shared" si="11"/>
        <v>58437</v>
      </c>
      <c r="AX12" s="8">
        <f t="shared" si="11"/>
        <v>62484</v>
      </c>
      <c r="AY12" s="8">
        <f t="shared" si="11"/>
        <v>69943</v>
      </c>
      <c r="AZ12" s="8">
        <f t="shared" si="11"/>
        <v>73723</v>
      </c>
      <c r="BA12" s="8">
        <f t="shared" si="11"/>
        <v>77849</v>
      </c>
      <c r="BB12" s="8">
        <f t="shared" si="11"/>
        <v>86833</v>
      </c>
      <c r="BC12" s="8">
        <f t="shared" si="11"/>
        <v>93580</v>
      </c>
      <c r="BD12" s="8">
        <f t="shared" si="11"/>
        <v>85320</v>
      </c>
      <c r="BE12" s="8">
        <f t="shared" si="11"/>
        <v>89950</v>
      </c>
      <c r="BG12" s="8">
        <f>+BG1058</f>
        <v>91154</v>
      </c>
      <c r="BH12" s="8">
        <f>+BH1058</f>
        <v>96571</v>
      </c>
      <c r="BI12" s="8">
        <f>+BI1058</f>
        <v>110360</v>
      </c>
      <c r="BJ12" s="8">
        <f>+BJ1058</f>
        <v>125843</v>
      </c>
      <c r="BK12" s="8">
        <f>SUM(T12:W12)</f>
        <v>143015</v>
      </c>
      <c r="BL12" s="8">
        <f>SUM(X12:AA12)</f>
        <v>168088</v>
      </c>
      <c r="BM12" s="8">
        <f>SUM(AB12:AE12)</f>
        <v>198270</v>
      </c>
      <c r="BN12" s="8">
        <f>SUM(AF12:AI12)</f>
        <v>211915</v>
      </c>
      <c r="BO12" s="8">
        <f>SUM(AJ12:AM12)</f>
        <v>245122</v>
      </c>
      <c r="BP12" s="8">
        <f>+SUM(AN12:AQ12)</f>
        <v>277944.15064726153</v>
      </c>
      <c r="BR12" s="8">
        <f>+SUM(Z12:AC12)</f>
        <v>184903</v>
      </c>
      <c r="BS12" s="8">
        <f>+SUM(AD12:AG12)</f>
        <v>204094</v>
      </c>
      <c r="BT12" s="8">
        <f>+SUM(AH12:AK12)</f>
        <v>227583</v>
      </c>
      <c r="BU12" s="8">
        <f>+SUM(AL12:AO12)</f>
        <v>261119.20235400001</v>
      </c>
    </row>
    <row r="13" spans="2:73" s="3" customFormat="1">
      <c r="B13" s="13" t="s">
        <v>113</v>
      </c>
      <c r="D13" s="228"/>
      <c r="E13" s="228"/>
      <c r="F13" s="228"/>
      <c r="G13" s="228"/>
      <c r="H13" s="228">
        <f>IFERROR(H12/D12-1,"n/a ")</f>
        <v>4.8684839789574275E-2</v>
      </c>
      <c r="I13" s="228">
        <f t="shared" ref="I13:N13" si="12">IFERROR(I12/E12-1,"n/a ")</f>
        <v>2.2690373420979792E-2</v>
      </c>
      <c r="J13" s="228">
        <f t="shared" si="12"/>
        <v>7.8774922154575489E-2</v>
      </c>
      <c r="K13" s="228">
        <f t="shared" si="12"/>
        <v>9.0781289937803544E-2</v>
      </c>
      <c r="L13" s="228">
        <f t="shared" si="12"/>
        <v>0.11902590295512594</v>
      </c>
      <c r="M13" s="228">
        <f t="shared" si="12"/>
        <v>0.11972430883605667</v>
      </c>
      <c r="N13" s="228">
        <f t="shared" si="12"/>
        <v>0.15539376184732046</v>
      </c>
      <c r="O13" s="228">
        <f t="shared" ref="O13" si="13">IFERROR(O12/K12-1,"n/a ")</f>
        <v>0.17496582698691654</v>
      </c>
      <c r="P13" s="228">
        <f t="shared" ref="P13" si="14">IFERROR(P12/L12-1,"n/a ")</f>
        <v>0.18526367267095933</v>
      </c>
      <c r="Q13" s="228">
        <f t="shared" ref="Q13" si="15">IFERROR(Q12/M12-1,"n/a ")</f>
        <v>0.12286465177398154</v>
      </c>
      <c r="R13" s="228">
        <f t="shared" ref="R13" si="16">IFERROR(R12/N12-1,"n/a ")</f>
        <v>0.13990081658525666</v>
      </c>
      <c r="S13" s="228">
        <f t="shared" ref="S13" si="17">IFERROR(S12/O12-1,"n/a ")</f>
        <v>0.12072461359481479</v>
      </c>
      <c r="T13" s="228">
        <f t="shared" ref="T13" si="18">IFERROR(T12/P12-1,"n/a ")</f>
        <v>0.13653555219364599</v>
      </c>
      <c r="U13" s="228">
        <f t="shared" ref="U13" si="19">IFERROR(U12/Q12-1,"n/a ")</f>
        <v>0.13658341289150311</v>
      </c>
      <c r="V13" s="228">
        <f t="shared" ref="V13:W13" si="20">IFERROR(V12/R12-1,"n/a ")</f>
        <v>0.14556278826338698</v>
      </c>
      <c r="W13" s="228">
        <f t="shared" si="20"/>
        <v>0.12800664353293589</v>
      </c>
      <c r="X13" s="228">
        <f t="shared" ref="X13" si="21">IFERROR(X12/T12-1,"n/a ")</f>
        <v>0.12400544546967174</v>
      </c>
      <c r="Y13" s="228">
        <f t="shared" ref="Y13" si="22">IFERROR(Y12/U12-1,"n/a ")</f>
        <v>0.16718148810491518</v>
      </c>
      <c r="Z13" s="228">
        <f t="shared" ref="Z13" si="23">IFERROR(Z12/V12-1,"n/a ")</f>
        <v>0.19088546871876866</v>
      </c>
      <c r="AA13" s="228">
        <f t="shared" ref="AA13" si="24">IFERROR(AA12/W12-1,"n/a ")</f>
        <v>0.21347251071437956</v>
      </c>
      <c r="AB13" s="228">
        <f t="shared" ref="AB13" si="25">IFERROR(AB12/X12-1,"n/a ")</f>
        <v>0.21970716477364483</v>
      </c>
      <c r="AC13" s="228">
        <f t="shared" ref="AC13" si="26">IFERROR(AC12/Y12-1,"n/a ")</f>
        <v>0.2008543040208004</v>
      </c>
      <c r="AD13" s="228">
        <f t="shared" ref="AD13" si="27">IFERROR(AD12/Z12-1,"n/a ")</f>
        <v>0.18352275451973332</v>
      </c>
      <c r="AE13" s="228">
        <f t="shared" ref="AE13" si="28">IFERROR(AE12/AA12-1,"n/a ")</f>
        <v>0.12378661813139202</v>
      </c>
      <c r="AF13" s="228">
        <f t="shared" ref="AF13" si="29">IFERROR(AF12/AB12-1,"n/a ")</f>
        <v>0.1060308493501334</v>
      </c>
      <c r="AG13" s="228">
        <f t="shared" ref="AG13" si="30">IFERROR(AG12/AC12-1,"n/a ")</f>
        <v>1.9699195793380753E-2</v>
      </c>
      <c r="AH13" s="228">
        <f t="shared" ref="AH13" si="31">IFERROR(AH12/AD12-1,"n/a ")</f>
        <v>7.0846839546191198E-2</v>
      </c>
      <c r="AI13" s="228">
        <f t="shared" ref="AI13" si="32">IFERROR(AI12/AE12-1,"n/a ")</f>
        <v>8.3370288248336921E-2</v>
      </c>
      <c r="AJ13" s="228">
        <f t="shared" ref="AJ13" si="33">IFERROR(AJ12/AF12-1,"n/a ")</f>
        <v>0.12758868361198683</v>
      </c>
      <c r="AK13" s="228">
        <f t="shared" ref="AK13" si="34">IFERROR(AK12/AG12-1,"n/a ")</f>
        <v>0.17580146738203117</v>
      </c>
      <c r="AL13" s="228">
        <f t="shared" ref="AL13" si="35">IFERROR(AL12/AH12-1,"n/a ")</f>
        <v>0.17028964943148495</v>
      </c>
      <c r="AM13" s="228">
        <f t="shared" ref="AM13" si="36">IFERROR(AM12/AI12-1,"n/a ")</f>
        <v>0.15195144957198026</v>
      </c>
      <c r="AN13" s="228">
        <f t="shared" ref="AN13" si="37">IFERROR(AN12/AJ12-1,"n/a ")</f>
        <v>0.16044729904276589</v>
      </c>
      <c r="AO13" s="228">
        <f t="shared" ref="AO13" si="38">IFERROR(AO12/AK12-1,"n/a ")</f>
        <v>0.1117252878748789</v>
      </c>
      <c r="AP13" s="228">
        <f t="shared" ref="AP13" si="39">IFERROR(AP12/AL12-1,"n/a ")</f>
        <v>0.12647153070253547</v>
      </c>
      <c r="AQ13" s="228">
        <f t="shared" ref="AQ13" si="40">IFERROR(AQ12/AM12-1,"n/a ")</f>
        <v>0.13907136661770303</v>
      </c>
      <c r="AR13" s="228"/>
      <c r="AS13" s="228"/>
      <c r="AT13" s="228">
        <f>IFERROR(AT12/AS12-1,"n/a ")</f>
        <v>0.11294862772695291</v>
      </c>
      <c r="AU13" s="228">
        <f t="shared" ref="AU13:BE13" si="41">IFERROR(AU12/AT12-1,"n/a ")</f>
        <v>0.15446456799602548</v>
      </c>
      <c r="AV13" s="228">
        <f t="shared" si="41"/>
        <v>0.18187864324556946</v>
      </c>
      <c r="AW13" s="228">
        <f t="shared" si="41"/>
        <v>-3.2820258192651441E-2</v>
      </c>
      <c r="AX13" s="228">
        <f t="shared" si="41"/>
        <v>6.9254068484008391E-2</v>
      </c>
      <c r="AY13" s="228">
        <f t="shared" si="41"/>
        <v>0.11937455988733126</v>
      </c>
      <c r="AZ13" s="228">
        <f t="shared" si="41"/>
        <v>5.4044007263057026E-2</v>
      </c>
      <c r="BA13" s="228">
        <f t="shared" si="41"/>
        <v>5.5966252051598442E-2</v>
      </c>
      <c r="BB13" s="228">
        <f t="shared" si="41"/>
        <v>0.11540289534868786</v>
      </c>
      <c r="BC13" s="228">
        <f t="shared" si="41"/>
        <v>7.7700874091647165E-2</v>
      </c>
      <c r="BD13" s="228">
        <f t="shared" si="41"/>
        <v>-8.8266723658901425E-2</v>
      </c>
      <c r="BE13" s="228">
        <f t="shared" si="41"/>
        <v>5.4266291608063844E-2</v>
      </c>
      <c r="BF13" s="228"/>
      <c r="BG13" s="829">
        <f>+BD13</f>
        <v>-8.8266723658901425E-2</v>
      </c>
      <c r="BH13" s="228">
        <f t="shared" ref="BH13" si="42">IFERROR(BH12/BG12-1,"n/a ")</f>
        <v>5.9426903920837271E-2</v>
      </c>
      <c r="BI13" s="228">
        <f t="shared" ref="BI13" si="43">IFERROR(BI12/BH12-1,"n/a ")</f>
        <v>0.14278613662486661</v>
      </c>
      <c r="BJ13" s="228">
        <f t="shared" ref="BJ13:BM13" si="44">IFERROR(BJ12/BI12-1,"n/a ")</f>
        <v>0.14029539688292858</v>
      </c>
      <c r="BK13" s="228">
        <f t="shared" si="44"/>
        <v>0.13645574247276371</v>
      </c>
      <c r="BL13" s="228">
        <f t="shared" si="44"/>
        <v>0.17531727441177503</v>
      </c>
      <c r="BM13" s="228">
        <f t="shared" si="44"/>
        <v>0.17956070629670173</v>
      </c>
      <c r="BN13" s="228">
        <f t="shared" ref="BN13:BO13" si="45">IFERROR(BN12/BM12-1,"n/a ")</f>
        <v>6.8820295556564215E-2</v>
      </c>
      <c r="BO13" s="228">
        <f t="shared" si="45"/>
        <v>0.1566996201307127</v>
      </c>
      <c r="BP13" s="228">
        <f t="shared" ref="BP13" si="46">IFERROR(BP12/BO12-1,"n/a ")</f>
        <v>0.13390128445125904</v>
      </c>
      <c r="BS13" s="986">
        <f>+BS12/BR12-1</f>
        <v>0.10378955452318239</v>
      </c>
      <c r="BT13" s="986">
        <f>+BT12/BS12-1</f>
        <v>0.11508912559898876</v>
      </c>
      <c r="BU13" s="986">
        <f>+BU12/BT12-1</f>
        <v>0.14735811705619484</v>
      </c>
    </row>
    <row r="14" spans="2:73" s="3" customFormat="1">
      <c r="B14" s="13" t="s">
        <v>272</v>
      </c>
      <c r="D14" s="228"/>
      <c r="E14" s="228"/>
      <c r="F14" s="228"/>
      <c r="G14" s="228"/>
      <c r="H14" s="228" t="s">
        <v>273</v>
      </c>
      <c r="I14" s="228" t="s">
        <v>273</v>
      </c>
      <c r="J14" s="228" t="s">
        <v>273</v>
      </c>
      <c r="K14" s="228" t="s">
        <v>273</v>
      </c>
      <c r="L14" s="228">
        <f>+L242</f>
        <v>0.11404323239693544</v>
      </c>
      <c r="M14" s="228">
        <f>+M242</f>
        <v>0.11517230697746457</v>
      </c>
      <c r="N14" s="228">
        <f>+N242</f>
        <v>0.13155824573496466</v>
      </c>
      <c r="O14" s="228">
        <f t="shared" ref="O14:W14" si="47">+O242</f>
        <v>0.15218902558094122</v>
      </c>
      <c r="P14" s="228">
        <f t="shared" si="47"/>
        <v>0.18546010269785637</v>
      </c>
      <c r="Q14" s="228">
        <f t="shared" si="47"/>
        <v>0.12631371464139982</v>
      </c>
      <c r="R14" s="228">
        <f t="shared" si="47"/>
        <v>0.16</v>
      </c>
      <c r="S14" s="228">
        <f t="shared" si="47"/>
        <v>0.14324347681568889</v>
      </c>
      <c r="T14" s="228">
        <f t="shared" si="47"/>
        <v>0.15429033145372026</v>
      </c>
      <c r="U14" s="228">
        <f t="shared" si="47"/>
        <v>0.15197037356410337</v>
      </c>
      <c r="V14" s="228">
        <f t="shared" si="47"/>
        <v>0.15910928657878379</v>
      </c>
      <c r="W14" s="228">
        <f t="shared" si="47"/>
        <v>0.14502413322656227</v>
      </c>
      <c r="X14" s="228">
        <f t="shared" ref="X14:Z14" si="48">+X242</f>
        <v>0.12050704885796401</v>
      </c>
      <c r="Y14" s="228">
        <f t="shared" si="48"/>
        <v>0.15363536010404813</v>
      </c>
      <c r="Z14" s="228">
        <f t="shared" si="48"/>
        <v>0.16171448844978725</v>
      </c>
      <c r="AA14" s="228">
        <f t="shared" ref="AA14:AB14" si="49">+AA242</f>
        <v>0.17445905660873451</v>
      </c>
      <c r="AB14" s="228">
        <f t="shared" si="49"/>
        <v>0.20385421219787908</v>
      </c>
      <c r="AC14" s="228">
        <f t="shared" ref="AC14" si="50">+AC242</f>
        <v>0.20078497539232981</v>
      </c>
      <c r="AD14" s="228">
        <f t="shared" ref="AD14:AE14" si="51">+AD242</f>
        <v>0.20149706517047911</v>
      </c>
      <c r="AE14" s="228">
        <f t="shared" si="51"/>
        <v>0.16459280637892182</v>
      </c>
      <c r="AF14" s="228">
        <f t="shared" ref="AF14:AG14" si="52">+AF242</f>
        <v>0.15702183948628548</v>
      </c>
      <c r="AG14" s="228">
        <f t="shared" si="52"/>
        <v>7.2159387565728428E-2</v>
      </c>
      <c r="AH14" s="228">
        <f t="shared" ref="AH14:AM14" si="53">+AH242</f>
        <v>0.10162370340356562</v>
      </c>
      <c r="AI14" s="228">
        <f t="shared" si="53"/>
        <v>9.8637809698255086E-2</v>
      </c>
      <c r="AJ14" s="228">
        <f t="shared" si="53"/>
        <v>0.12288664059694347</v>
      </c>
      <c r="AK14" s="228">
        <f t="shared" si="53"/>
        <v>0.16473771020152805</v>
      </c>
      <c r="AL14" s="228">
        <f t="shared" si="53"/>
        <v>0.16792691034300095</v>
      </c>
      <c r="AM14" s="228">
        <f t="shared" si="53"/>
        <v>0.16268447382939721</v>
      </c>
      <c r="AN14" s="228">
        <f>+AN171</f>
        <v>0.16431049064883133</v>
      </c>
      <c r="AO14" s="228">
        <f t="shared" ref="AO14:AQ14" si="54">+AO1370</f>
        <v>0.11315503479674183</v>
      </c>
      <c r="AP14" s="228">
        <f t="shared" si="54"/>
        <v>0.14252796184915151</v>
      </c>
      <c r="AQ14" s="228">
        <f t="shared" si="54"/>
        <v>0.14933871065351667</v>
      </c>
      <c r="AR14" s="228"/>
      <c r="AS14" s="228"/>
      <c r="AT14" s="228"/>
      <c r="AU14" s="228" t="s">
        <v>273</v>
      </c>
      <c r="AV14" s="228" t="s">
        <v>273</v>
      </c>
      <c r="AW14" s="228" t="s">
        <v>273</v>
      </c>
      <c r="AX14" s="228" t="s">
        <v>273</v>
      </c>
      <c r="AY14" s="228" t="s">
        <v>273</v>
      </c>
      <c r="AZ14" s="228" t="s">
        <v>273</v>
      </c>
      <c r="BA14" s="829">
        <f>+BA13+1%</f>
        <v>6.5966252051598437E-2</v>
      </c>
      <c r="BB14" s="829">
        <f>+BB13+1%</f>
        <v>0.12540289534868787</v>
      </c>
      <c r="BC14" s="228">
        <f>+BC242</f>
        <v>9.7700874091647169E-2</v>
      </c>
      <c r="BD14" s="228">
        <f>+BD242</f>
        <v>-4.8266723658901424E-2</v>
      </c>
      <c r="BE14" s="228">
        <f>+BE242</f>
        <v>7.4266291608063847E-2</v>
      </c>
      <c r="BF14" s="228"/>
      <c r="BG14" s="829">
        <f t="shared" ref="BG14:BG15" si="55">+BD14</f>
        <v>-4.8266723658901424E-2</v>
      </c>
      <c r="BH14" s="228">
        <f>+BE14-BE13+BH13</f>
        <v>7.9426903920837275E-2</v>
      </c>
      <c r="BI14" s="228">
        <f>+BI242</f>
        <v>0.12866916569156372</v>
      </c>
      <c r="BJ14" s="228">
        <f t="shared" ref="BJ14" si="56">+BJ242</f>
        <v>0.15088356288510332</v>
      </c>
      <c r="BK14" s="228">
        <f>+(SUM(T14:W14)-SUM(T13:W13))/4+BK13</f>
        <v>0.15238217445818814</v>
      </c>
      <c r="BL14" s="830">
        <f>SUMPRODUCT(X14:AA14,T12:W12)/BK12</f>
        <v>0.1534946089571024</v>
      </c>
      <c r="BM14" s="831">
        <f>SUMPRODUCT(AB14:AE14,X12:AA12)/BL12</f>
        <v>0.19170277949645423</v>
      </c>
      <c r="BN14" s="831">
        <f>SUMPRODUCT(AF14:AI14,AB12:AE12)/BM12</f>
        <v>0.1058173979926363</v>
      </c>
      <c r="BO14" s="831">
        <f>SUMPRODUCT(AJ14:AM14,AF12:AI12)/BN12</f>
        <v>0.15509017672179884</v>
      </c>
      <c r="BP14" s="831">
        <f>SUMPRODUCT(AN14:AQ14,AJ12:AM12)/BO12</f>
        <v>0.14191689300278601</v>
      </c>
    </row>
    <row r="15" spans="2:73" s="3" customFormat="1">
      <c r="B15" s="13" t="s">
        <v>274</v>
      </c>
      <c r="D15" s="228">
        <f t="shared" ref="D15:AI15" si="57">+D249</f>
        <v>0</v>
      </c>
      <c r="E15" s="228">
        <f t="shared" si="57"/>
        <v>0</v>
      </c>
      <c r="F15" s="228">
        <f t="shared" si="57"/>
        <v>0</v>
      </c>
      <c r="G15" s="228">
        <f t="shared" si="57"/>
        <v>0</v>
      </c>
      <c r="H15" s="228">
        <f t="shared" si="57"/>
        <v>0</v>
      </c>
      <c r="I15" s="228">
        <f t="shared" si="57"/>
        <v>0</v>
      </c>
      <c r="J15" s="228">
        <f t="shared" si="57"/>
        <v>0</v>
      </c>
      <c r="K15" s="228">
        <f t="shared" si="57"/>
        <v>0</v>
      </c>
      <c r="L15" s="228">
        <f t="shared" si="57"/>
        <v>0</v>
      </c>
      <c r="M15" s="228">
        <f t="shared" si="57"/>
        <v>0</v>
      </c>
      <c r="N15" s="228">
        <f t="shared" si="57"/>
        <v>0</v>
      </c>
      <c r="O15" s="228">
        <f t="shared" si="57"/>
        <v>0</v>
      </c>
      <c r="P15" s="228">
        <f t="shared" si="57"/>
        <v>0</v>
      </c>
      <c r="Q15" s="228">
        <f t="shared" si="57"/>
        <v>0</v>
      </c>
      <c r="R15" s="228">
        <f t="shared" si="57"/>
        <v>0</v>
      </c>
      <c r="S15" s="228">
        <f t="shared" si="57"/>
        <v>0</v>
      </c>
      <c r="T15" s="228">
        <f t="shared" si="57"/>
        <v>0.15429033145372029</v>
      </c>
      <c r="U15" s="228">
        <f t="shared" si="57"/>
        <v>0.15197037356410337</v>
      </c>
      <c r="V15" s="228">
        <f t="shared" si="57"/>
        <v>0.15910928657878376</v>
      </c>
      <c r="W15" s="228">
        <f t="shared" si="57"/>
        <v>0.14502413322656227</v>
      </c>
      <c r="X15" s="228">
        <f t="shared" si="57"/>
        <v>0.12050704885796401</v>
      </c>
      <c r="Y15" s="228">
        <f t="shared" si="57"/>
        <v>0.1536353601040481</v>
      </c>
      <c r="Z15" s="228">
        <f t="shared" si="57"/>
        <v>0.16171448844978725</v>
      </c>
      <c r="AA15" s="228">
        <f t="shared" si="57"/>
        <v>0.17445905660873451</v>
      </c>
      <c r="AB15" s="228">
        <f t="shared" si="57"/>
        <v>0.20385421219787908</v>
      </c>
      <c r="AC15" s="228">
        <f t="shared" si="57"/>
        <v>0.20078497539232981</v>
      </c>
      <c r="AD15" s="228">
        <f t="shared" si="57"/>
        <v>0.19885955498009894</v>
      </c>
      <c r="AE15" s="228">
        <f t="shared" si="57"/>
        <v>0.15700916970012113</v>
      </c>
      <c r="AF15" s="228">
        <f t="shared" si="57"/>
        <v>0.14929846856588047</v>
      </c>
      <c r="AG15" s="228">
        <f t="shared" si="57"/>
        <v>6.5393226105784075E-2</v>
      </c>
      <c r="AH15" s="228">
        <f t="shared" si="57"/>
        <v>9.6896528903295476E-2</v>
      </c>
      <c r="AI15" s="228">
        <f t="shared" si="57"/>
        <v>9.8637809698255086E-2</v>
      </c>
      <c r="AJ15" s="228">
        <f>+AJ249</f>
        <v>0.12288664059694347</v>
      </c>
      <c r="AK15" s="228">
        <f>+(AK12-AK797)/(AG12-AG797)-1-AK13+AK14</f>
        <v>0.12530418791590037</v>
      </c>
      <c r="AL15" s="228">
        <f>+(AL12-AL797)/(AH12-AH797)-1-AL13+AL14</f>
        <v>0.13065653934199822</v>
      </c>
      <c r="AM15" s="228">
        <f>+(AM12-AM699)/(AI12-AI699)-1-AM13+AM14</f>
        <v>0.13278538326006861</v>
      </c>
      <c r="AN15" s="228">
        <f>+(AN12-AN699)/(AJ12-AJ699)-1-AN13+AN14</f>
        <v>0.13440798343861141</v>
      </c>
      <c r="AO15" s="228">
        <f>+(AO12-AO797)/(AK12-AK797)-1-AO13+AO14</f>
        <v>0.11425594568729491</v>
      </c>
      <c r="AP15" s="228">
        <f>+(AP12-AP797)/(AL12-AL797)-1-AP13+AP14</f>
        <v>0.14405663062226104</v>
      </c>
      <c r="AQ15" s="228">
        <f>+(AQ12-AQ797)/(AM12-AM797)-1-AQ13+AQ14</f>
        <v>0.15091277279632664</v>
      </c>
      <c r="AR15" s="228"/>
      <c r="AS15" s="228"/>
      <c r="AT15" s="228"/>
      <c r="AU15" s="228"/>
      <c r="AV15" s="228"/>
      <c r="AW15" s="228"/>
      <c r="AX15" s="228" t="str">
        <f t="shared" ref="AX15:BI15" si="58">+AX14</f>
        <v>NA</v>
      </c>
      <c r="AY15" s="228" t="str">
        <f t="shared" si="58"/>
        <v>NA</v>
      </c>
      <c r="AZ15" s="228" t="str">
        <f t="shared" si="58"/>
        <v>NA</v>
      </c>
      <c r="BA15" s="829">
        <f t="shared" si="58"/>
        <v>6.5966252051598437E-2</v>
      </c>
      <c r="BB15" s="829">
        <f t="shared" si="58"/>
        <v>0.12540289534868787</v>
      </c>
      <c r="BC15" s="228">
        <f t="shared" si="58"/>
        <v>9.7700874091647169E-2</v>
      </c>
      <c r="BD15" s="228">
        <f t="shared" si="58"/>
        <v>-4.8266723658901424E-2</v>
      </c>
      <c r="BE15" s="228">
        <f t="shared" si="58"/>
        <v>7.4266291608063847E-2</v>
      </c>
      <c r="BF15" s="228"/>
      <c r="BG15" s="829">
        <f t="shared" si="55"/>
        <v>-4.8266723658901424E-2</v>
      </c>
      <c r="BH15" s="228">
        <f t="shared" si="58"/>
        <v>7.9426903920837275E-2</v>
      </c>
      <c r="BI15" s="228">
        <f t="shared" si="58"/>
        <v>0.12866916569156372</v>
      </c>
      <c r="BJ15" s="831">
        <f t="shared" ref="BJ15:BN15" si="59">+BJ249</f>
        <v>0.1508835628851033</v>
      </c>
      <c r="BK15" s="831">
        <f t="shared" si="59"/>
        <v>0.15208497890228301</v>
      </c>
      <c r="BL15" s="830">
        <f>+BL14</f>
        <v>0.1534946089571024</v>
      </c>
      <c r="BM15" s="831">
        <f t="shared" si="59"/>
        <v>0.18958755731124965</v>
      </c>
      <c r="BN15" s="831">
        <f t="shared" si="59"/>
        <v>0.10029775894823553</v>
      </c>
      <c r="BO15" s="228">
        <f>+BO14-(BO867/BN12)</f>
        <v>0.12805103366915982</v>
      </c>
      <c r="BP15" s="228">
        <f>+(BP12-BP797)/(BO12-BO797)-1-BP13+BP14</f>
        <v>0.13614750371620046</v>
      </c>
    </row>
    <row r="16" spans="2:73">
      <c r="AA16" s="828"/>
      <c r="AB16" s="827"/>
      <c r="AC16" s="827"/>
      <c r="AN16" s="828" t="s">
        <v>267</v>
      </c>
      <c r="AO16" s="992">
        <f>+BX153*1000</f>
        <v>46599.999999999993</v>
      </c>
      <c r="AP16" s="827" t="s">
        <v>275</v>
      </c>
      <c r="AQ16" s="827"/>
    </row>
    <row r="17" spans="2:74" s="3" customFormat="1" hidden="1" outlineLevel="1">
      <c r="B17" s="24" t="s">
        <v>127</v>
      </c>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T17" s="14"/>
      <c r="AU17" s="14"/>
      <c r="AV17" s="14"/>
      <c r="AW17" s="14"/>
      <c r="AX17" s="14"/>
      <c r="AY17" s="14"/>
      <c r="AZ17" s="14"/>
      <c r="BA17" s="14"/>
      <c r="BB17" s="14"/>
      <c r="BC17" s="14"/>
      <c r="BD17" s="14"/>
      <c r="BE17" s="14"/>
      <c r="BH17" s="14"/>
      <c r="BI17" s="14"/>
      <c r="BJ17" s="14"/>
      <c r="BK17" s="14"/>
      <c r="BL17" s="14"/>
      <c r="BM17" s="14"/>
      <c r="BN17" s="14"/>
      <c r="BO17" s="14"/>
      <c r="BP17" s="14"/>
      <c r="BQ17" s="14"/>
    </row>
    <row r="18" spans="2:74" ht="11.45" hidden="1" outlineLevel="1">
      <c r="B18" s="17" t="s">
        <v>276</v>
      </c>
      <c r="D18" s="10">
        <f t="shared" ref="D18:V18" si="60">+SUM(D1099:D1100)</f>
        <v>0</v>
      </c>
      <c r="E18" s="10">
        <f t="shared" si="60"/>
        <v>0</v>
      </c>
      <c r="F18" s="10">
        <f t="shared" si="60"/>
        <v>0</v>
      </c>
      <c r="G18" s="10">
        <f t="shared" si="60"/>
        <v>0</v>
      </c>
      <c r="H18" s="10">
        <f t="shared" si="60"/>
        <v>0</v>
      </c>
      <c r="I18" s="10">
        <f t="shared" si="60"/>
        <v>0</v>
      </c>
      <c r="J18" s="10">
        <f t="shared" si="60"/>
        <v>0</v>
      </c>
      <c r="K18" s="10">
        <f t="shared" si="60"/>
        <v>0</v>
      </c>
      <c r="L18" s="10">
        <f t="shared" si="60"/>
        <v>0</v>
      </c>
      <c r="M18" s="10">
        <f t="shared" si="60"/>
        <v>0</v>
      </c>
      <c r="N18" s="10">
        <f t="shared" si="60"/>
        <v>0</v>
      </c>
      <c r="O18" s="10">
        <f t="shared" si="60"/>
        <v>0</v>
      </c>
      <c r="P18" s="10">
        <f t="shared" si="60"/>
        <v>0</v>
      </c>
      <c r="Q18" s="10">
        <f t="shared" si="60"/>
        <v>0</v>
      </c>
      <c r="R18" s="10">
        <f t="shared" si="60"/>
        <v>0</v>
      </c>
      <c r="S18" s="10">
        <f t="shared" si="60"/>
        <v>0</v>
      </c>
      <c r="T18" s="10">
        <f t="shared" si="60"/>
        <v>0</v>
      </c>
      <c r="U18" s="10">
        <f t="shared" si="60"/>
        <v>0</v>
      </c>
      <c r="V18" s="10">
        <f t="shared" si="60"/>
        <v>0</v>
      </c>
      <c r="W18" s="10">
        <v>0</v>
      </c>
      <c r="X18" s="10">
        <v>0</v>
      </c>
      <c r="Y18" s="10">
        <v>0</v>
      </c>
      <c r="Z18" s="10">
        <v>0</v>
      </c>
      <c r="AA18" s="10">
        <v>0</v>
      </c>
      <c r="AB18" s="10">
        <v>0</v>
      </c>
      <c r="AC18" s="10">
        <v>0</v>
      </c>
      <c r="AD18" s="10">
        <v>0</v>
      </c>
      <c r="AE18" s="10">
        <v>0</v>
      </c>
      <c r="AF18" s="10">
        <v>0</v>
      </c>
      <c r="AG18" s="10">
        <v>0</v>
      </c>
      <c r="AH18" s="10">
        <v>0</v>
      </c>
      <c r="AI18" s="10">
        <v>0</v>
      </c>
      <c r="AJ18" s="10">
        <v>0</v>
      </c>
      <c r="AK18" s="10">
        <v>0</v>
      </c>
      <c r="AL18" s="10">
        <v>0</v>
      </c>
      <c r="AM18" s="10">
        <v>0</v>
      </c>
      <c r="AN18" s="10">
        <v>0</v>
      </c>
      <c r="AO18" s="10">
        <v>0</v>
      </c>
      <c r="AP18" s="10">
        <v>0</v>
      </c>
      <c r="AQ18" s="10">
        <v>0</v>
      </c>
      <c r="AR18" s="10"/>
      <c r="AS18" s="10">
        <f t="shared" ref="AS18:BE18" si="61">+SUM(AS1099:AS1100)</f>
        <v>0</v>
      </c>
      <c r="AT18" s="10">
        <f t="shared" si="61"/>
        <v>0</v>
      </c>
      <c r="AU18" s="10">
        <f t="shared" si="61"/>
        <v>0</v>
      </c>
      <c r="AV18" s="10">
        <f t="shared" si="61"/>
        <v>0</v>
      </c>
      <c r="AW18" s="10">
        <f t="shared" si="61"/>
        <v>0</v>
      </c>
      <c r="AX18" s="10">
        <f t="shared" si="61"/>
        <v>0</v>
      </c>
      <c r="AY18" s="10">
        <f t="shared" si="61"/>
        <v>0</v>
      </c>
      <c r="AZ18" s="10">
        <f t="shared" si="61"/>
        <v>540</v>
      </c>
      <c r="BA18" s="10">
        <f t="shared" si="61"/>
        <v>-540</v>
      </c>
      <c r="BB18" s="10">
        <f t="shared" si="61"/>
        <v>0</v>
      </c>
      <c r="BC18" s="10">
        <f t="shared" si="61"/>
        <v>0</v>
      </c>
      <c r="BD18" s="10">
        <f t="shared" si="61"/>
        <v>6643</v>
      </c>
      <c r="BE18" s="10">
        <f t="shared" si="61"/>
        <v>6707</v>
      </c>
      <c r="BG18" s="10">
        <f>+SUM(BG1099:BG1100)</f>
        <v>0</v>
      </c>
      <c r="BH18" s="10">
        <f>+SUM(BH1099:BH1100)</f>
        <v>0</v>
      </c>
      <c r="BI18" s="10">
        <f>+SUM(BI1099:BI1100)</f>
        <v>0</v>
      </c>
      <c r="BJ18" s="10">
        <f>+SUM(BJ1099:BJ1100)</f>
        <v>0</v>
      </c>
      <c r="BK18" s="10">
        <f>SUM(T18:W18)</f>
        <v>0</v>
      </c>
      <c r="BL18" s="10">
        <f>SUM(X18:AA18)</f>
        <v>0</v>
      </c>
      <c r="BM18" s="10">
        <f t="shared" ref="BM18:BM19" si="62">SUM(AB18:AE18)</f>
        <v>0</v>
      </c>
      <c r="BN18" s="10">
        <f t="shared" ref="BN18:BN19" si="63">SUM(AF18:AI18)</f>
        <v>0</v>
      </c>
      <c r="BO18" s="10">
        <f>SUM(AJ18:AM18)</f>
        <v>0</v>
      </c>
      <c r="BP18" s="10">
        <f t="shared" ref="BP18:BP19" si="64">+SUM(AN18:AQ18)</f>
        <v>0</v>
      </c>
    </row>
    <row r="19" spans="2:74" hidden="1" outlineLevel="1">
      <c r="B19" s="18" t="s">
        <v>277</v>
      </c>
      <c r="D19" s="8">
        <f>+D12+D18</f>
        <v>20910</v>
      </c>
      <c r="E19" s="8">
        <f t="shared" ref="E19:AS19" si="65">+E12+E18</f>
        <v>25253</v>
      </c>
      <c r="F19" s="8">
        <f t="shared" si="65"/>
        <v>21517</v>
      </c>
      <c r="G19" s="8">
        <f t="shared" si="65"/>
        <v>23474</v>
      </c>
      <c r="H19" s="8">
        <f t="shared" si="65"/>
        <v>21928</v>
      </c>
      <c r="I19" s="8">
        <f t="shared" si="65"/>
        <v>25826</v>
      </c>
      <c r="J19" s="8">
        <f t="shared" si="65"/>
        <v>23212</v>
      </c>
      <c r="K19" s="8">
        <f t="shared" si="65"/>
        <v>25605</v>
      </c>
      <c r="L19" s="8">
        <f t="shared" si="65"/>
        <v>24538</v>
      </c>
      <c r="M19" s="8">
        <f t="shared" si="65"/>
        <v>28918</v>
      </c>
      <c r="N19" s="8">
        <f t="shared" si="65"/>
        <v>26819</v>
      </c>
      <c r="O19" s="8">
        <f t="shared" ref="O19:V19" si="66">+O12+O18</f>
        <v>30085</v>
      </c>
      <c r="P19" s="8">
        <f t="shared" si="66"/>
        <v>29084</v>
      </c>
      <c r="Q19" s="8">
        <f t="shared" si="66"/>
        <v>32471</v>
      </c>
      <c r="R19" s="8">
        <f t="shared" si="66"/>
        <v>30571</v>
      </c>
      <c r="S19" s="8">
        <f t="shared" si="66"/>
        <v>33717</v>
      </c>
      <c r="T19" s="8">
        <f t="shared" si="66"/>
        <v>33055</v>
      </c>
      <c r="U19" s="8">
        <f t="shared" si="66"/>
        <v>36906</v>
      </c>
      <c r="V19" s="8">
        <f t="shared" si="66"/>
        <v>35021</v>
      </c>
      <c r="W19" s="8">
        <f>+W12</f>
        <v>38033</v>
      </c>
      <c r="X19" s="8">
        <f t="shared" ref="X19:Y19" si="67">+X12</f>
        <v>37154</v>
      </c>
      <c r="Y19" s="8">
        <f t="shared" si="67"/>
        <v>43076</v>
      </c>
      <c r="Z19" s="8">
        <f t="shared" ref="Z19:AA19" si="68">+Z12</f>
        <v>41706</v>
      </c>
      <c r="AA19" s="8">
        <f t="shared" si="68"/>
        <v>46152</v>
      </c>
      <c r="AB19" s="8">
        <f t="shared" ref="AB19:AE19" si="69">+AB12</f>
        <v>45317</v>
      </c>
      <c r="AC19" s="8">
        <f t="shared" ref="AC19:AD19" si="70">+AC12</f>
        <v>51728</v>
      </c>
      <c r="AD19" s="8">
        <f t="shared" si="70"/>
        <v>49360</v>
      </c>
      <c r="AE19" s="8">
        <f t="shared" si="69"/>
        <v>51865</v>
      </c>
      <c r="AF19" s="8">
        <f t="shared" ref="AF19:AI19" si="71">+AF12</f>
        <v>50122</v>
      </c>
      <c r="AG19" s="8">
        <f t="shared" si="71"/>
        <v>52747</v>
      </c>
      <c r="AH19" s="8">
        <f t="shared" si="71"/>
        <v>52857</v>
      </c>
      <c r="AI19" s="8">
        <f t="shared" si="71"/>
        <v>56189</v>
      </c>
      <c r="AJ19" s="8">
        <f t="shared" ref="AJ19:AM19" si="72">+AJ12</f>
        <v>56517</v>
      </c>
      <c r="AK19" s="8">
        <f t="shared" si="72"/>
        <v>62020</v>
      </c>
      <c r="AL19" s="8">
        <f t="shared" si="72"/>
        <v>61858</v>
      </c>
      <c r="AM19" s="8">
        <f t="shared" si="72"/>
        <v>64727</v>
      </c>
      <c r="AN19" s="8">
        <f t="shared" ref="AN19:AQ19" si="73">+AN12</f>
        <v>65585</v>
      </c>
      <c r="AO19" s="8">
        <f t="shared" si="73"/>
        <v>68949.202353999994</v>
      </c>
      <c r="AP19" s="8">
        <f t="shared" si="73"/>
        <v>69681.275946197435</v>
      </c>
      <c r="AQ19" s="8">
        <f t="shared" si="73"/>
        <v>73728.672347064057</v>
      </c>
      <c r="AR19" s="8"/>
      <c r="AS19" s="8">
        <f t="shared" si="65"/>
        <v>39788</v>
      </c>
      <c r="AT19" s="8">
        <f t="shared" ref="AT19" si="74">+AT12+AT18</f>
        <v>44282</v>
      </c>
      <c r="AU19" s="8">
        <f t="shared" ref="AU19" si="75">+AU12+AU18</f>
        <v>51122</v>
      </c>
      <c r="AV19" s="8">
        <f t="shared" ref="AV19" si="76">+AV12+AV18</f>
        <v>60420</v>
      </c>
      <c r="AW19" s="8">
        <f t="shared" ref="AW19" si="77">+AW12+AW18</f>
        <v>58437</v>
      </c>
      <c r="AX19" s="8">
        <f t="shared" ref="AX19" si="78">+AX12+AX18</f>
        <v>62484</v>
      </c>
      <c r="AY19" s="8">
        <f t="shared" ref="AY19" si="79">+AY12+AY18</f>
        <v>69943</v>
      </c>
      <c r="AZ19" s="8">
        <f t="shared" ref="AZ19" si="80">+AZ12+AZ18</f>
        <v>74263</v>
      </c>
      <c r="BA19" s="8">
        <f t="shared" ref="BA19" si="81">+BA12+BA18</f>
        <v>77309</v>
      </c>
      <c r="BB19" s="8">
        <f t="shared" ref="BB19" si="82">+BB12+BB18</f>
        <v>86833</v>
      </c>
      <c r="BC19" s="8">
        <f t="shared" ref="BC19" si="83">+BC12+BC18</f>
        <v>93580</v>
      </c>
      <c r="BD19" s="8">
        <f t="shared" ref="BD19" si="84">+BD12+BD18</f>
        <v>91963</v>
      </c>
      <c r="BE19" s="8">
        <f t="shared" ref="BE19:BG19" si="85">+BE12+BE18</f>
        <v>96657</v>
      </c>
      <c r="BG19" s="8">
        <f t="shared" si="85"/>
        <v>91154</v>
      </c>
      <c r="BH19" s="8">
        <f t="shared" ref="BH19" si="86">+BH12+BH18</f>
        <v>96571</v>
      </c>
      <c r="BI19" s="8">
        <f t="shared" ref="BI19:BJ19" si="87">+BI12+BI18</f>
        <v>110360</v>
      </c>
      <c r="BJ19" s="8">
        <f t="shared" si="87"/>
        <v>125843</v>
      </c>
      <c r="BK19" s="8">
        <f>+BK12</f>
        <v>143015</v>
      </c>
      <c r="BL19" s="8">
        <f>SUM(X19:AA19)</f>
        <v>168088</v>
      </c>
      <c r="BM19" s="8">
        <f t="shared" si="62"/>
        <v>198270</v>
      </c>
      <c r="BN19" s="8">
        <f t="shared" si="63"/>
        <v>211915</v>
      </c>
      <c r="BO19" s="8">
        <f>SUM(AJ19:AM19)</f>
        <v>245122</v>
      </c>
      <c r="BP19" s="8">
        <f t="shared" si="64"/>
        <v>277944.15064726153</v>
      </c>
    </row>
    <row r="20" spans="2:74" hidden="1" outlineLevel="1">
      <c r="B20" s="20" t="s">
        <v>113</v>
      </c>
      <c r="H20" s="14">
        <f>IFERROR(H19/D19-1,"n/a ")</f>
        <v>4.8684839789574275E-2</v>
      </c>
      <c r="I20" s="14">
        <f t="shared" ref="I20" si="88">IFERROR(I19/E19-1,"n/a ")</f>
        <v>2.2690373420979792E-2</v>
      </c>
      <c r="J20" s="14">
        <f t="shared" ref="J20" si="89">IFERROR(J19/F19-1,"n/a ")</f>
        <v>7.8774922154575489E-2</v>
      </c>
      <c r="K20" s="14">
        <f t="shared" ref="K20" si="90">IFERROR(K19/G19-1,"n/a ")</f>
        <v>9.0781289937803544E-2</v>
      </c>
      <c r="L20" s="14">
        <f t="shared" ref="L20" si="91">IFERROR(L19/H19-1,"n/a ")</f>
        <v>0.11902590295512594</v>
      </c>
      <c r="M20" s="14">
        <f t="shared" ref="M20" si="92">IFERROR(M19/I19-1,"n/a ")</f>
        <v>0.11972430883605667</v>
      </c>
      <c r="N20" s="14">
        <f t="shared" ref="N20" si="93">IFERROR(N19/J19-1,"n/a ")</f>
        <v>0.15539376184732046</v>
      </c>
      <c r="O20" s="14">
        <f t="shared" ref="O20" si="94">IFERROR(O19/K19-1,"n/a ")</f>
        <v>0.17496582698691654</v>
      </c>
      <c r="P20" s="14">
        <f t="shared" ref="P20" si="95">IFERROR(P19/L19-1,"n/a ")</f>
        <v>0.18526367267095933</v>
      </c>
      <c r="Q20" s="14">
        <f t="shared" ref="Q20" si="96">IFERROR(Q19/M19-1,"n/a ")</f>
        <v>0.12286465177398154</v>
      </c>
      <c r="R20" s="14">
        <f t="shared" ref="R20" si="97">IFERROR(R19/N19-1,"n/a ")</f>
        <v>0.13990081658525666</v>
      </c>
      <c r="S20" s="14">
        <f t="shared" ref="S20" si="98">IFERROR(S19/O19-1,"n/a ")</f>
        <v>0.12072461359481479</v>
      </c>
      <c r="T20" s="14">
        <f t="shared" ref="T20" si="99">IFERROR(T19/P19-1,"n/a ")</f>
        <v>0.13653555219364599</v>
      </c>
      <c r="U20" s="14">
        <f t="shared" ref="U20" si="100">IFERROR(U19/Q19-1,"n/a ")</f>
        <v>0.13658341289150311</v>
      </c>
      <c r="V20" s="14">
        <f t="shared" ref="V20:W20" si="101">IFERROR(V19/R19-1,"n/a ")</f>
        <v>0.14556278826338698</v>
      </c>
      <c r="W20" s="14">
        <f t="shared" si="101"/>
        <v>0.12800664353293589</v>
      </c>
      <c r="X20" s="14">
        <f t="shared" ref="X20" si="102">IFERROR(X19/T19-1,"n/a ")</f>
        <v>0.12400544546967174</v>
      </c>
      <c r="Y20" s="14">
        <f t="shared" ref="Y20" si="103">IFERROR(Y19/U19-1,"n/a ")</f>
        <v>0.16718148810491518</v>
      </c>
      <c r="Z20" s="14">
        <f t="shared" ref="Z20" si="104">IFERROR(Z19/V19-1,"n/a ")</f>
        <v>0.19088546871876866</v>
      </c>
      <c r="AA20" s="14">
        <f t="shared" ref="AA20" si="105">IFERROR(AA19/W19-1,"n/a ")</f>
        <v>0.21347251071437956</v>
      </c>
      <c r="AB20" s="14">
        <f t="shared" ref="AB20" si="106">IFERROR(AB19/X19-1,"n/a ")</f>
        <v>0.21970716477364483</v>
      </c>
      <c r="AC20" s="14">
        <f t="shared" ref="AC20" si="107">IFERROR(AC19/Y19-1,"n/a ")</f>
        <v>0.2008543040208004</v>
      </c>
      <c r="AD20" s="14">
        <f t="shared" ref="AD20" si="108">IFERROR(AD19/Z19-1,"n/a ")</f>
        <v>0.18352275451973332</v>
      </c>
      <c r="AE20" s="14">
        <f t="shared" ref="AE20" si="109">IFERROR(AE19/AA19-1,"n/a ")</f>
        <v>0.12378661813139202</v>
      </c>
      <c r="AF20" s="14">
        <f t="shared" ref="AF20" si="110">IFERROR(AF19/AB19-1,"n/a ")</f>
        <v>0.1060308493501334</v>
      </c>
      <c r="AG20" s="14">
        <f t="shared" ref="AG20" si="111">IFERROR(AG19/AC19-1,"n/a ")</f>
        <v>1.9699195793380753E-2</v>
      </c>
      <c r="AH20" s="14">
        <f t="shared" ref="AH20" si="112">IFERROR(AH19/AD19-1,"n/a ")</f>
        <v>7.0846839546191198E-2</v>
      </c>
      <c r="AI20" s="14">
        <f t="shared" ref="AI20" si="113">IFERROR(AI19/AE19-1,"n/a ")</f>
        <v>8.3370288248336921E-2</v>
      </c>
      <c r="AJ20" s="14">
        <f t="shared" ref="AJ20" si="114">IFERROR(AJ19/AF19-1,"n/a ")</f>
        <v>0.12758868361198683</v>
      </c>
      <c r="AK20" s="14">
        <f t="shared" ref="AK20" si="115">IFERROR(AK19/AG19-1,"n/a ")</f>
        <v>0.17580146738203117</v>
      </c>
      <c r="AL20" s="14">
        <f t="shared" ref="AL20" si="116">IFERROR(AL19/AH19-1,"n/a ")</f>
        <v>0.17028964943148495</v>
      </c>
      <c r="AM20" s="14">
        <f t="shared" ref="AM20" si="117">IFERROR(AM19/AI19-1,"n/a ")</f>
        <v>0.15195144957198026</v>
      </c>
      <c r="AN20" s="14">
        <f t="shared" ref="AN20" si="118">IFERROR(AN19/AJ19-1,"n/a ")</f>
        <v>0.16044729904276589</v>
      </c>
      <c r="AO20" s="14">
        <f t="shared" ref="AO20" si="119">IFERROR(AO19/AK19-1,"n/a ")</f>
        <v>0.1117252878748789</v>
      </c>
      <c r="AP20" s="14">
        <f t="shared" ref="AP20" si="120">IFERROR(AP19/AL19-1,"n/a ")</f>
        <v>0.12647153070253547</v>
      </c>
      <c r="AQ20" s="14">
        <f t="shared" ref="AQ20" si="121">IFERROR(AQ19/AM19-1,"n/a ")</f>
        <v>0.13907136661770303</v>
      </c>
      <c r="AR20" s="3"/>
      <c r="AS20" s="3"/>
      <c r="AT20" s="14">
        <f>IFERROR(AT19/AS19-1,"n/a ")</f>
        <v>0.11294862772695291</v>
      </c>
      <c r="AU20" s="14">
        <f t="shared" ref="AU20" si="122">IFERROR(AU19/AT19-1,"n/a ")</f>
        <v>0.15446456799602548</v>
      </c>
      <c r="AV20" s="14">
        <f t="shared" ref="AV20" si="123">IFERROR(AV19/AU19-1,"n/a ")</f>
        <v>0.18187864324556946</v>
      </c>
      <c r="AW20" s="14">
        <f t="shared" ref="AW20" si="124">IFERROR(AW19/AV19-1,"n/a ")</f>
        <v>-3.2820258192651441E-2</v>
      </c>
      <c r="AX20" s="14">
        <f t="shared" ref="AX20" si="125">IFERROR(AX19/AW19-1,"n/a ")</f>
        <v>6.9254068484008391E-2</v>
      </c>
      <c r="AY20" s="14">
        <f t="shared" ref="AY20" si="126">IFERROR(AY19/AX19-1,"n/a ")</f>
        <v>0.11937455988733126</v>
      </c>
      <c r="AZ20" s="14">
        <f t="shared" ref="AZ20" si="127">IFERROR(AZ19/AY19-1,"n/a ")</f>
        <v>6.1764579729208124E-2</v>
      </c>
      <c r="BA20" s="14">
        <f t="shared" ref="BA20" si="128">IFERROR(BA19/AZ19-1,"n/a ")</f>
        <v>4.1016387703163071E-2</v>
      </c>
      <c r="BB20" s="14">
        <f t="shared" ref="BB20" si="129">IFERROR(BB19/BA19-1,"n/a ")</f>
        <v>0.12319393602297279</v>
      </c>
      <c r="BC20" s="14">
        <f t="shared" ref="BC20" si="130">IFERROR(BC19/BB19-1,"n/a ")</f>
        <v>7.7700874091647165E-2</v>
      </c>
      <c r="BD20" s="14">
        <f t="shared" ref="BD20" si="131">IFERROR(BD19/BC19-1,"n/a ")</f>
        <v>-1.727933319085273E-2</v>
      </c>
      <c r="BE20" s="14">
        <f t="shared" ref="BE20" si="132">IFERROR(BE19/BD19-1,"n/a ")</f>
        <v>5.1042266998684305E-2</v>
      </c>
      <c r="BF20" s="3"/>
      <c r="BG20" s="3"/>
      <c r="BH20" s="14">
        <f t="shared" ref="BH20" si="133">IFERROR(BH19/BG19-1,"n/a ")</f>
        <v>5.9426903920837271E-2</v>
      </c>
      <c r="BI20" s="14">
        <f t="shared" ref="BI20" si="134">IFERROR(BI19/BH19-1,"n/a ")</f>
        <v>0.14278613662486661</v>
      </c>
      <c r="BJ20" s="14">
        <f t="shared" ref="BJ20" si="135">IFERROR(BJ19/BI19-1,"n/a ")</f>
        <v>0.14029539688292858</v>
      </c>
      <c r="BK20" s="14">
        <f t="shared" ref="BK20" si="136">IFERROR(BK19/BJ19-1,"n/a ")</f>
        <v>0.13645574247276371</v>
      </c>
      <c r="BL20" s="14">
        <f t="shared" ref="BL20:BP20" si="137">IFERROR(BL19/BK19-1,"n/a ")</f>
        <v>0.17531727441177503</v>
      </c>
      <c r="BM20" s="14">
        <f t="shared" si="137"/>
        <v>0.17956070629670173</v>
      </c>
      <c r="BN20" s="14">
        <f t="shared" si="137"/>
        <v>6.8820295556564215E-2</v>
      </c>
      <c r="BO20" s="14">
        <f t="shared" si="137"/>
        <v>0.1566996201307127</v>
      </c>
      <c r="BP20" s="14">
        <f t="shared" si="137"/>
        <v>0.13390128445125904</v>
      </c>
    </row>
    <row r="21" spans="2:74" hidden="1" outlineLevel="1">
      <c r="BD21" s="8"/>
      <c r="BE21" s="9"/>
    </row>
    <row r="22" spans="2:74" collapsed="1">
      <c r="B22" t="s">
        <v>278</v>
      </c>
      <c r="D22" s="8">
        <f t="shared" ref="D22:V22" si="138">+D1072</f>
        <v>13703</v>
      </c>
      <c r="E22" s="8">
        <f t="shared" si="138"/>
        <v>15381</v>
      </c>
      <c r="F22" s="8">
        <f t="shared" si="138"/>
        <v>13795</v>
      </c>
      <c r="G22" s="8">
        <f t="shared" si="138"/>
        <v>15495</v>
      </c>
      <c r="H22" s="8">
        <f t="shared" si="138"/>
        <v>14084</v>
      </c>
      <c r="I22" s="8">
        <f t="shared" si="138"/>
        <v>15925</v>
      </c>
      <c r="J22" s="8">
        <f t="shared" si="138"/>
        <v>15152</v>
      </c>
      <c r="K22" s="8">
        <f t="shared" si="138"/>
        <v>17149</v>
      </c>
      <c r="L22" s="8">
        <f t="shared" si="138"/>
        <v>16260</v>
      </c>
      <c r="M22" s="8">
        <f t="shared" si="138"/>
        <v>17854</v>
      </c>
      <c r="N22" s="8">
        <f t="shared" si="138"/>
        <v>17550</v>
      </c>
      <c r="O22" s="8">
        <f t="shared" si="138"/>
        <v>20343</v>
      </c>
      <c r="P22" s="8">
        <f t="shared" si="138"/>
        <v>19179</v>
      </c>
      <c r="Q22" s="8">
        <f t="shared" si="138"/>
        <v>20048</v>
      </c>
      <c r="R22" s="8">
        <f t="shared" si="138"/>
        <v>20401</v>
      </c>
      <c r="S22" s="8">
        <f t="shared" si="138"/>
        <v>23305</v>
      </c>
      <c r="T22" s="8">
        <f t="shared" si="138"/>
        <v>22649</v>
      </c>
      <c r="U22" s="8">
        <f t="shared" si="138"/>
        <v>24548</v>
      </c>
      <c r="V22" s="8">
        <f t="shared" si="138"/>
        <v>24046</v>
      </c>
      <c r="W22" s="8">
        <f t="shared" ref="W22:X22" si="139">+W1072</f>
        <v>25694</v>
      </c>
      <c r="X22" s="832">
        <f t="shared" si="139"/>
        <v>26152</v>
      </c>
      <c r="Y22" s="8">
        <f t="shared" ref="Y22:Z22" si="140">+Y1072</f>
        <v>28882</v>
      </c>
      <c r="Z22" s="8">
        <f t="shared" si="140"/>
        <v>28661</v>
      </c>
      <c r="AA22" s="8">
        <f t="shared" ref="AA22:AB22" si="141">+AA1072</f>
        <v>32161</v>
      </c>
      <c r="AB22" s="8">
        <f t="shared" si="141"/>
        <v>31671</v>
      </c>
      <c r="AC22" s="8">
        <f t="shared" ref="AC22:AD22" si="142">+AC1072</f>
        <v>34768</v>
      </c>
      <c r="AD22" s="8">
        <f t="shared" si="142"/>
        <v>33745</v>
      </c>
      <c r="AE22" s="8">
        <f t="shared" ref="AE22:AG22" si="143">+AE1072</f>
        <v>35436</v>
      </c>
      <c r="AF22" s="8">
        <f t="shared" si="143"/>
        <v>34670</v>
      </c>
      <c r="AG22" s="8">
        <f t="shared" si="143"/>
        <v>35259</v>
      </c>
      <c r="AH22" s="8">
        <f t="shared" ref="AH22:AI22" si="144">+AH1072</f>
        <v>36729</v>
      </c>
      <c r="AI22" s="8">
        <f t="shared" si="144"/>
        <v>39394</v>
      </c>
      <c r="AJ22" s="8">
        <f t="shared" ref="AJ22" si="145">+AJ1072</f>
        <v>40215</v>
      </c>
      <c r="AK22" s="61">
        <f>+AK1072+580</f>
        <v>42977</v>
      </c>
      <c r="AL22" s="61">
        <f>+AL1072+670</f>
        <v>44023</v>
      </c>
      <c r="AM22" s="61">
        <f>+AM1072+690</f>
        <v>45733</v>
      </c>
      <c r="AN22" s="61">
        <f>+AN1072+680</f>
        <v>46166</v>
      </c>
      <c r="AO22" s="8">
        <f t="shared" ref="AO22:AQ22" si="146">+AO26*AO12</f>
        <v>47227.024078166673</v>
      </c>
      <c r="AP22" s="8">
        <f t="shared" si="146"/>
        <v>49033.205988548136</v>
      </c>
      <c r="AQ22" s="8">
        <f t="shared" si="146"/>
        <v>51503.32143075089</v>
      </c>
      <c r="AR22" s="8"/>
      <c r="AS22" s="8">
        <f t="shared" ref="AS22:BE22" si="147">+AS1072</f>
        <v>33757</v>
      </c>
      <c r="AT22" s="8">
        <f t="shared" si="147"/>
        <v>36632</v>
      </c>
      <c r="AU22" s="8">
        <f t="shared" si="147"/>
        <v>40429</v>
      </c>
      <c r="AV22" s="8">
        <f t="shared" si="147"/>
        <v>48822</v>
      </c>
      <c r="AW22" s="8">
        <f t="shared" si="147"/>
        <v>46282</v>
      </c>
      <c r="AX22" s="8">
        <f t="shared" si="147"/>
        <v>50089</v>
      </c>
      <c r="AY22" s="8">
        <f t="shared" si="147"/>
        <v>54366</v>
      </c>
      <c r="AZ22" s="8">
        <f t="shared" si="147"/>
        <v>56193</v>
      </c>
      <c r="BA22" s="8">
        <f t="shared" si="147"/>
        <v>57464</v>
      </c>
      <c r="BB22" s="8">
        <f t="shared" si="147"/>
        <v>59755</v>
      </c>
      <c r="BC22" s="8">
        <f t="shared" si="147"/>
        <v>60542</v>
      </c>
      <c r="BD22" s="8">
        <f t="shared" si="147"/>
        <v>52540</v>
      </c>
      <c r="BE22" s="8">
        <f t="shared" si="147"/>
        <v>55689</v>
      </c>
      <c r="BF22" s="8"/>
      <c r="BG22" s="8">
        <f>+BG1072</f>
        <v>58374</v>
      </c>
      <c r="BH22" s="8">
        <f>+BH1072</f>
        <v>62310</v>
      </c>
      <c r="BI22" s="8">
        <f>+BI1072</f>
        <v>72007</v>
      </c>
      <c r="BJ22" s="8">
        <f>+BJ1072</f>
        <v>82933</v>
      </c>
      <c r="BK22" s="8">
        <f>SUM(T22:W22)</f>
        <v>96937</v>
      </c>
      <c r="BL22" s="8">
        <f>SUM(X22:AA22)</f>
        <v>115856</v>
      </c>
      <c r="BM22" s="8">
        <f>SUM(AB22:AE22)</f>
        <v>135620</v>
      </c>
      <c r="BN22" s="8">
        <f>SUM(AF22:AI22)</f>
        <v>146052</v>
      </c>
      <c r="BO22" s="8">
        <f>SUM(AJ22:AM22)</f>
        <v>172948</v>
      </c>
      <c r="BP22" s="8">
        <f>+SUM(AN22:AQ22)</f>
        <v>193929.5514974657</v>
      </c>
      <c r="BR22">
        <v>42849.079650510845</v>
      </c>
      <c r="BS22">
        <v>43587.971768258889</v>
      </c>
      <c r="BT22">
        <v>46670.621749271486</v>
      </c>
      <c r="BV22">
        <v>173322.67316804122</v>
      </c>
    </row>
    <row r="23" spans="2:74" s="3" customFormat="1">
      <c r="B23" s="13" t="s">
        <v>113</v>
      </c>
      <c r="D23" s="228"/>
      <c r="E23" s="228"/>
      <c r="F23" s="228"/>
      <c r="G23" s="228"/>
      <c r="H23" s="228">
        <f>IFERROR(H22/D22-1,"n/a ")</f>
        <v>2.7804130482376177E-2</v>
      </c>
      <c r="I23" s="228">
        <f t="shared" ref="I23" si="148">IFERROR(I22/E22-1,"n/a ")</f>
        <v>3.536831155321507E-2</v>
      </c>
      <c r="J23" s="228">
        <f t="shared" ref="J23" si="149">IFERROR(J22/F22-1,"n/a ")</f>
        <v>9.8368974266038522E-2</v>
      </c>
      <c r="K23" s="228">
        <f t="shared" ref="K23" si="150">IFERROR(K22/G22-1,"n/a ")</f>
        <v>0.10674411100354964</v>
      </c>
      <c r="L23" s="228">
        <f t="shared" ref="L23" si="151">IFERROR(L22/H22-1,"n/a ")</f>
        <v>0.154501562056234</v>
      </c>
      <c r="M23" s="228">
        <f t="shared" ref="M23" si="152">IFERROR(M22/I22-1,"n/a ")</f>
        <v>0.12113029827315547</v>
      </c>
      <c r="N23" s="228">
        <f t="shared" ref="N23" si="153">IFERROR(N22/J22-1,"n/a ")</f>
        <v>0.15826293558606119</v>
      </c>
      <c r="O23" s="228">
        <f t="shared" ref="O23" si="154">IFERROR(O22/K22-1,"n/a ")</f>
        <v>0.18624992710945243</v>
      </c>
      <c r="P23" s="228">
        <f t="shared" ref="P23" si="155">IFERROR(P22/L22-1,"n/a ")</f>
        <v>0.17952029520295198</v>
      </c>
      <c r="Q23" s="228">
        <f t="shared" ref="Q23" si="156">IFERROR(Q22/M22-1,"n/a ")</f>
        <v>0.12288562787050528</v>
      </c>
      <c r="R23" s="228">
        <f t="shared" ref="R23" si="157">IFERROR(R22/N22-1,"n/a ")</f>
        <v>0.16245014245014255</v>
      </c>
      <c r="S23" s="228">
        <f t="shared" ref="S23" si="158">IFERROR(S22/O22-1,"n/a ")</f>
        <v>0.14560291009192361</v>
      </c>
      <c r="T23" s="228">
        <f t="shared" ref="T23" si="159">IFERROR(T22/P22-1,"n/a ")</f>
        <v>0.1809270556337661</v>
      </c>
      <c r="U23" s="228">
        <f t="shared" ref="U23" si="160">IFERROR(U22/Q22-1,"n/a ")</f>
        <v>0.22446129289704708</v>
      </c>
      <c r="V23" s="228">
        <f t="shared" ref="V23" si="161">IFERROR(V22/R22-1,"n/a ")</f>
        <v>0.17866771236704082</v>
      </c>
      <c r="W23" s="228">
        <f t="shared" ref="W23" si="162">IFERROR(W22/S22-1,"n/a ")</f>
        <v>0.10251019094614899</v>
      </c>
      <c r="X23" s="228">
        <f t="shared" ref="X23" si="163">IFERROR(X22/T22-1,"n/a ")</f>
        <v>0.15466466510662724</v>
      </c>
      <c r="Y23" s="228">
        <f t="shared" ref="Y23" si="164">IFERROR(Y22/U22-1,"n/a ")</f>
        <v>0.17655206126772049</v>
      </c>
      <c r="Z23" s="228">
        <f t="shared" ref="Z23" si="165">IFERROR(Z22/V22-1,"n/a ")</f>
        <v>0.19192381269233971</v>
      </c>
      <c r="AA23" s="228">
        <f t="shared" ref="AA23" si="166">IFERROR(AA22/W22-1,"n/a ")</f>
        <v>0.25169300225733626</v>
      </c>
      <c r="AB23" s="228">
        <f t="shared" ref="AB23" si="167">IFERROR(AB22/X22-1,"n/a ")</f>
        <v>0.2110354848577547</v>
      </c>
      <c r="AC23" s="228">
        <f t="shared" ref="AC23" si="168">IFERROR(AC22/Y22-1,"n/a ")</f>
        <v>0.20379475105602096</v>
      </c>
      <c r="AD23" s="228">
        <f t="shared" ref="AD23" si="169">IFERROR(AD22/Z22-1,"n/a ")</f>
        <v>0.17738390146889493</v>
      </c>
      <c r="AE23" s="228">
        <f t="shared" ref="AE23" si="170">IFERROR(AE22/AA22-1,"n/a ")</f>
        <v>0.10183141071484103</v>
      </c>
      <c r="AF23" s="228">
        <f t="shared" ref="AF23" si="171">IFERROR(AF22/AB22-1,"n/a ")</f>
        <v>9.4692305263490262E-2</v>
      </c>
      <c r="AG23" s="228">
        <f t="shared" ref="AG23" si="172">IFERROR(AG22/AC22-1,"n/a ")</f>
        <v>1.4122181316152727E-2</v>
      </c>
      <c r="AH23" s="228">
        <f t="shared" ref="AH23" si="173">IFERROR(AH22/AD22-1,"n/a ")</f>
        <v>8.8427915246703126E-2</v>
      </c>
      <c r="AI23" s="228">
        <f t="shared" ref="AI23" si="174">IFERROR(AI22/AE22-1,"n/a ")</f>
        <v>0.11169432215825714</v>
      </c>
      <c r="AJ23" s="228">
        <f t="shared" ref="AJ23:AK23" si="175">IFERROR(AJ22/AF22-1,"n/a ")</f>
        <v>0.15993654456302275</v>
      </c>
      <c r="AK23" s="228">
        <f t="shared" si="175"/>
        <v>0.21889446666099444</v>
      </c>
      <c r="AL23" s="228">
        <f t="shared" ref="AL23" si="176">IFERROR(AL22/AH22-1,"n/a ")</f>
        <v>0.1985896702877834</v>
      </c>
      <c r="AM23" s="228">
        <f t="shared" ref="AM23:AN23" si="177">IFERROR(AM22/AI22-1,"n/a ")</f>
        <v>0.16091282936487783</v>
      </c>
      <c r="AN23" s="228">
        <f t="shared" si="177"/>
        <v>0.1479796095984085</v>
      </c>
      <c r="AO23" s="228">
        <f t="shared" ref="AO23" si="178">IFERROR(AO22/AK22-1,"n/a ")</f>
        <v>9.8890664266158002E-2</v>
      </c>
      <c r="AP23" s="228">
        <f t="shared" ref="AP23" si="179">IFERROR(AP22/AL22-1,"n/a ")</f>
        <v>0.11380882694382799</v>
      </c>
      <c r="AQ23" s="228">
        <f t="shared" ref="AQ23" si="180">IFERROR(AQ22/AM22-1,"n/a ")</f>
        <v>0.12617412876371303</v>
      </c>
      <c r="AR23" s="228"/>
      <c r="AS23" s="228"/>
      <c r="AT23" s="228">
        <f>IFERROR(AT22/AS22-1,"n/a ")</f>
        <v>8.5167520810498498E-2</v>
      </c>
      <c r="AU23" s="228">
        <f t="shared" ref="AU23" si="181">IFERROR(AU22/AT22-1,"n/a ")</f>
        <v>0.10365254422362957</v>
      </c>
      <c r="AV23" s="228">
        <f t="shared" ref="AV23" si="182">IFERROR(AV22/AU22-1,"n/a ")</f>
        <v>0.20759850602290442</v>
      </c>
      <c r="AW23" s="228">
        <f t="shared" ref="AW23" si="183">IFERROR(AW22/AV22-1,"n/a ")</f>
        <v>-5.2025726107082892E-2</v>
      </c>
      <c r="AX23" s="228">
        <f t="shared" ref="AX23" si="184">IFERROR(AX22/AW22-1,"n/a ")</f>
        <v>8.2256600838338967E-2</v>
      </c>
      <c r="AY23" s="228">
        <f t="shared" ref="AY23" si="185">IFERROR(AY22/AX22-1,"n/a ")</f>
        <v>8.5388009343368765E-2</v>
      </c>
      <c r="AZ23" s="228">
        <f t="shared" ref="AZ23" si="186">IFERROR(AZ22/AY22-1,"n/a ")</f>
        <v>3.3605562299966918E-2</v>
      </c>
      <c r="BA23" s="228">
        <f t="shared" ref="BA23" si="187">IFERROR(BA22/AZ22-1,"n/a ")</f>
        <v>2.2618475610841182E-2</v>
      </c>
      <c r="BB23" s="228">
        <f t="shared" ref="BB23" si="188">IFERROR(BB22/BA22-1,"n/a ")</f>
        <v>3.9868439370736475E-2</v>
      </c>
      <c r="BC23" s="228">
        <f t="shared" ref="BC23" si="189">IFERROR(BC22/BB22-1,"n/a ")</f>
        <v>1.3170445987783497E-2</v>
      </c>
      <c r="BD23" s="228">
        <f t="shared" ref="BD23" si="190">IFERROR(BD22/BC22-1,"n/a ")</f>
        <v>-0.13217270655082425</v>
      </c>
      <c r="BE23" s="228">
        <f t="shared" ref="BE23" si="191">IFERROR(BE22/BD22-1,"n/a ")</f>
        <v>5.9935287400076032E-2</v>
      </c>
      <c r="BF23" s="228"/>
      <c r="BG23" s="829">
        <f t="shared" ref="BG23:BG25" si="192">+BD23</f>
        <v>-0.13217270655082425</v>
      </c>
      <c r="BH23" s="228">
        <f t="shared" ref="BH23" si="193">IFERROR(BH22/BG22-1,"n/a ")</f>
        <v>6.7427279268167384E-2</v>
      </c>
      <c r="BI23" s="228">
        <f t="shared" ref="BI23" si="194">IFERROR(BI22/BH22-1,"n/a ")</f>
        <v>0.15562510030492693</v>
      </c>
      <c r="BJ23" s="228">
        <f t="shared" ref="BJ23:BM23" si="195">IFERROR(BJ22/BI22-1,"n/a ")</f>
        <v>0.15173524796200377</v>
      </c>
      <c r="BK23" s="228">
        <f t="shared" si="195"/>
        <v>0.16885919959485363</v>
      </c>
      <c r="BL23" s="228">
        <f t="shared" si="195"/>
        <v>0.19516799570855303</v>
      </c>
      <c r="BM23" s="228">
        <f t="shared" si="195"/>
        <v>0.17059107858030664</v>
      </c>
      <c r="BN23" s="228">
        <f t="shared" ref="BN23" si="196">IFERROR(BN22/BM22-1,"n/a ")</f>
        <v>7.6920808140392261E-2</v>
      </c>
      <c r="BO23" s="228">
        <f t="shared" ref="BO23" si="197">IFERROR(BO22/BN22-1,"n/a ")</f>
        <v>0.1841535891326378</v>
      </c>
      <c r="BP23" s="228">
        <f t="shared" ref="BP23" si="198">IFERROR(BP22/BO22-1,"n/a ")</f>
        <v>0.12131710975244414</v>
      </c>
    </row>
    <row r="24" spans="2:74" s="833" customFormat="1">
      <c r="B24" s="13" t="s">
        <v>272</v>
      </c>
      <c r="D24" s="834"/>
      <c r="E24" s="834"/>
      <c r="F24" s="834"/>
      <c r="G24" s="834"/>
      <c r="H24" s="835" t="s">
        <v>273</v>
      </c>
      <c r="I24" s="835" t="s">
        <v>273</v>
      </c>
      <c r="J24" s="835" t="s">
        <v>273</v>
      </c>
      <c r="K24" s="835" t="s">
        <v>273</v>
      </c>
      <c r="L24" s="834">
        <v>0.15</v>
      </c>
      <c r="M24" s="834">
        <v>0.12</v>
      </c>
      <c r="N24" s="834">
        <v>0.13</v>
      </c>
      <c r="O24" s="834">
        <v>0.16</v>
      </c>
      <c r="P24" s="834">
        <v>0.18</v>
      </c>
      <c r="Q24" s="834">
        <v>0.12</v>
      </c>
      <c r="R24" s="834">
        <v>0.18</v>
      </c>
      <c r="S24" s="834">
        <v>0.17</v>
      </c>
      <c r="T24" s="834">
        <v>0.2</v>
      </c>
      <c r="U24" s="834">
        <v>0.25</v>
      </c>
      <c r="V24" s="834">
        <v>0.2</v>
      </c>
      <c r="W24" s="836">
        <v>0.12</v>
      </c>
      <c r="X24" s="836">
        <v>0.15</v>
      </c>
      <c r="Y24" s="834">
        <v>0.16</v>
      </c>
      <c r="Z24" s="834">
        <v>0.16</v>
      </c>
      <c r="AA24" s="834">
        <v>0.2</v>
      </c>
      <c r="AB24" s="834">
        <v>0.19</v>
      </c>
      <c r="AC24" s="834">
        <v>0.19</v>
      </c>
      <c r="AD24" s="834">
        <v>0.21</v>
      </c>
      <c r="AE24" s="834">
        <v>0.15</v>
      </c>
      <c r="AF24" s="834">
        <v>0.16</v>
      </c>
      <c r="AG24" s="834">
        <v>0.08</v>
      </c>
      <c r="AH24" s="834">
        <v>0.13</v>
      </c>
      <c r="AI24" s="836">
        <v>0.13</v>
      </c>
      <c r="AJ24" s="834">
        <v>0.15</v>
      </c>
      <c r="AK24" s="834">
        <f>+AK23-2%</f>
        <v>0.19889446666099445</v>
      </c>
      <c r="AL24" s="834">
        <f t="shared" ref="AL24:AM24" si="199">+AL23-2%</f>
        <v>0.17858967028778341</v>
      </c>
      <c r="AM24" s="834">
        <f t="shared" si="199"/>
        <v>0.14091282936487784</v>
      </c>
      <c r="AN24" s="834">
        <f>+AN23+1%</f>
        <v>0.15797960959840851</v>
      </c>
      <c r="AO24" s="834">
        <f t="shared" ref="AO24:AQ24" si="200">+AO23+AO14-AO13</f>
        <v>0.10032041118802093</v>
      </c>
      <c r="AP24" s="834">
        <f t="shared" si="200"/>
        <v>0.12986525809044402</v>
      </c>
      <c r="AQ24" s="834">
        <f t="shared" si="200"/>
        <v>0.13644147279952668</v>
      </c>
      <c r="AR24" s="834"/>
      <c r="AS24" s="834"/>
      <c r="AT24" s="835" t="s">
        <v>273</v>
      </c>
      <c r="AU24" s="835" t="s">
        <v>273</v>
      </c>
      <c r="AV24" s="835" t="s">
        <v>273</v>
      </c>
      <c r="AW24" s="835" t="s">
        <v>273</v>
      </c>
      <c r="AX24" s="835" t="s">
        <v>273</v>
      </c>
      <c r="AY24" s="835" t="s">
        <v>273</v>
      </c>
      <c r="AZ24" s="835" t="s">
        <v>273</v>
      </c>
      <c r="BA24" s="835" t="s">
        <v>273</v>
      </c>
      <c r="BB24" s="835" t="s">
        <v>273</v>
      </c>
      <c r="BC24" s="835" t="s">
        <v>273</v>
      </c>
      <c r="BD24" s="835" t="s">
        <v>273</v>
      </c>
      <c r="BE24" s="835" t="s">
        <v>273</v>
      </c>
      <c r="BF24" s="834"/>
      <c r="BG24" s="829" t="str">
        <f t="shared" si="192"/>
        <v>NA</v>
      </c>
      <c r="BH24" s="835" t="s">
        <v>273</v>
      </c>
      <c r="BI24" s="834">
        <f>SUMPRODUCT(L24:O24,H22:K22)/BH22</f>
        <v>0.14022147327876747</v>
      </c>
      <c r="BJ24" s="834">
        <f>SUMPRODUCT(P24:S24,L22:O22)/BI22</f>
        <v>0.16229797103059426</v>
      </c>
      <c r="BK24" s="834">
        <f>SUMPRODUCT(T24:W24,P22:S22)/BJ22</f>
        <v>0.18960606754850301</v>
      </c>
      <c r="BL24" s="834">
        <f>SUMPRODUCT(X24:AA24,T22:W22)/BK22</f>
        <v>0.16826588402777065</v>
      </c>
      <c r="BM24" s="834">
        <f>SUMPRODUCT(AB24:AE24,X22:AA22)/BL22</f>
        <v>0.18384390968098327</v>
      </c>
      <c r="BN24" s="834">
        <f>SUMPRODUCT(AF24:AI24,AB22:AE22)/BM22</f>
        <v>0.12418765668780417</v>
      </c>
      <c r="BO24" s="834">
        <f>SUMPRODUCT(AJ24:AM24,AF22:AI22)/BN22</f>
        <v>0.16654246432777367</v>
      </c>
      <c r="BP24" s="834">
        <f>SUMPRODUCT(AN24:AQ24,AJ22:AM22)/BO22</f>
        <v>0.13079975740733599</v>
      </c>
    </row>
    <row r="25" spans="2:74" s="833" customFormat="1">
      <c r="B25" s="13" t="s">
        <v>274</v>
      </c>
      <c r="D25" s="834"/>
      <c r="E25" s="834"/>
      <c r="F25" s="834"/>
      <c r="G25" s="834"/>
      <c r="H25" s="835" t="str">
        <f t="shared" ref="H25:AA25" si="201">+H24</f>
        <v>NA</v>
      </c>
      <c r="I25" s="835" t="str">
        <f t="shared" si="201"/>
        <v>NA</v>
      </c>
      <c r="J25" s="835" t="str">
        <f t="shared" si="201"/>
        <v>NA</v>
      </c>
      <c r="K25" s="835" t="str">
        <f t="shared" si="201"/>
        <v>NA</v>
      </c>
      <c r="L25" s="834">
        <f t="shared" si="201"/>
        <v>0.15</v>
      </c>
      <c r="M25" s="834">
        <f t="shared" si="201"/>
        <v>0.12</v>
      </c>
      <c r="N25" s="834">
        <f t="shared" si="201"/>
        <v>0.13</v>
      </c>
      <c r="O25" s="834">
        <f t="shared" si="201"/>
        <v>0.16</v>
      </c>
      <c r="P25" s="834">
        <f t="shared" si="201"/>
        <v>0.18</v>
      </c>
      <c r="Q25" s="834">
        <f t="shared" si="201"/>
        <v>0.12</v>
      </c>
      <c r="R25" s="834">
        <f t="shared" si="201"/>
        <v>0.18</v>
      </c>
      <c r="S25" s="834">
        <f t="shared" si="201"/>
        <v>0.17</v>
      </c>
      <c r="T25" s="834">
        <f t="shared" si="201"/>
        <v>0.2</v>
      </c>
      <c r="U25" s="834">
        <f t="shared" si="201"/>
        <v>0.25</v>
      </c>
      <c r="V25" s="834">
        <f t="shared" si="201"/>
        <v>0.2</v>
      </c>
      <c r="W25" s="836">
        <f t="shared" si="201"/>
        <v>0.12</v>
      </c>
      <c r="X25" s="836">
        <f t="shared" si="201"/>
        <v>0.15</v>
      </c>
      <c r="Y25" s="834">
        <f t="shared" si="201"/>
        <v>0.16</v>
      </c>
      <c r="Z25" s="834">
        <f t="shared" si="201"/>
        <v>0.16</v>
      </c>
      <c r="AA25" s="834">
        <f t="shared" si="201"/>
        <v>0.2</v>
      </c>
      <c r="AB25" s="834">
        <f>+AB24</f>
        <v>0.19</v>
      </c>
      <c r="AC25" s="834">
        <f t="shared" ref="AC25:AJ25" si="202">+AC24</f>
        <v>0.19</v>
      </c>
      <c r="AD25" s="834">
        <f>+AD24-AD14+AD15</f>
        <v>0.20736248980961983</v>
      </c>
      <c r="AE25" s="834">
        <f t="shared" ref="AE25:AH25" si="203">+AE24-AE14+AE15</f>
        <v>0.14241636332119931</v>
      </c>
      <c r="AF25" s="834">
        <f t="shared" si="203"/>
        <v>0.15227662907959499</v>
      </c>
      <c r="AG25" s="834">
        <f t="shared" si="203"/>
        <v>7.3233838540055649E-2</v>
      </c>
      <c r="AH25" s="834">
        <f t="shared" si="203"/>
        <v>0.12527282549972985</v>
      </c>
      <c r="AI25" s="836">
        <f t="shared" si="202"/>
        <v>0.13</v>
      </c>
      <c r="AJ25" s="834">
        <f t="shared" si="202"/>
        <v>0.15</v>
      </c>
      <c r="AK25" s="834">
        <f>+AK24-(AK805/AG22)</f>
        <v>0.14954536430414939</v>
      </c>
      <c r="AL25" s="834">
        <f>+AL24-(AL805/AH22)</f>
        <v>0.13339377603528541</v>
      </c>
      <c r="AM25" s="834">
        <f>+AM24-(AM805/AI22)</f>
        <v>0.10359750215768893</v>
      </c>
      <c r="AN25" s="834">
        <f>+AN24-(AN805/AJ22)</f>
        <v>0.1229180653984831</v>
      </c>
      <c r="AO25" s="834">
        <f>+(AO22-AO805)/(AK22-AK805)-1-AO23+AO24</f>
        <v>0.10111750495873939</v>
      </c>
      <c r="AP25" s="834">
        <f>+(AP22-AP805)/(AL22-AL805)-1-AP23+AP24</f>
        <v>0.13119006163898272</v>
      </c>
      <c r="AQ25" s="834">
        <f>+(AQ22-AQ805)/(AM22-AM805)-1-AQ23+AQ24</f>
        <v>0.13797494249843223</v>
      </c>
      <c r="AR25" s="834"/>
      <c r="AS25" s="834"/>
      <c r="AT25" s="835"/>
      <c r="AU25" s="835"/>
      <c r="AV25" s="835"/>
      <c r="AW25" s="835"/>
      <c r="AX25" s="835" t="str">
        <f>+AX24</f>
        <v>NA</v>
      </c>
      <c r="AY25" s="835" t="str">
        <f t="shared" ref="AY25:BN25" si="204">+AY24</f>
        <v>NA</v>
      </c>
      <c r="AZ25" s="835" t="str">
        <f t="shared" si="204"/>
        <v>NA</v>
      </c>
      <c r="BA25" s="835" t="str">
        <f t="shared" si="204"/>
        <v>NA</v>
      </c>
      <c r="BB25" s="835" t="str">
        <f t="shared" si="204"/>
        <v>NA</v>
      </c>
      <c r="BC25" s="835" t="str">
        <f t="shared" si="204"/>
        <v>NA</v>
      </c>
      <c r="BD25" s="835" t="str">
        <f t="shared" si="204"/>
        <v>NA</v>
      </c>
      <c r="BE25" s="835" t="str">
        <f t="shared" si="204"/>
        <v>NA</v>
      </c>
      <c r="BF25" s="834">
        <f t="shared" si="204"/>
        <v>0</v>
      </c>
      <c r="BG25" s="829" t="str">
        <f t="shared" si="192"/>
        <v>NA</v>
      </c>
      <c r="BH25" s="835" t="str">
        <f t="shared" si="204"/>
        <v>NA</v>
      </c>
      <c r="BI25" s="834">
        <f t="shared" si="204"/>
        <v>0.14022147327876747</v>
      </c>
      <c r="BJ25" s="834">
        <f t="shared" si="204"/>
        <v>0.16229797103059426</v>
      </c>
      <c r="BK25" s="834">
        <f t="shared" si="204"/>
        <v>0.18960606754850301</v>
      </c>
      <c r="BL25" s="834">
        <f t="shared" si="204"/>
        <v>0.16826588402777065</v>
      </c>
      <c r="BM25" s="834">
        <f t="shared" si="204"/>
        <v>0.18384390968098327</v>
      </c>
      <c r="BN25" s="834">
        <f t="shared" si="204"/>
        <v>0.12418765668780417</v>
      </c>
      <c r="BO25" s="228">
        <f>+BO24-(BO805/BN22)</f>
        <v>0.13319817599211239</v>
      </c>
      <c r="BP25" s="228">
        <f>+(BP22-BP805)/(BO22-BO805)-1-BP23+BP24</f>
        <v>0.12360794363334052</v>
      </c>
    </row>
    <row r="26" spans="2:74" s="3" customFormat="1">
      <c r="B26" s="13" t="s">
        <v>123</v>
      </c>
      <c r="D26" s="228">
        <f t="shared" ref="D26:V26" si="205">IFERROR(D22/D12,"n/a ")</f>
        <v>0.65533237685318024</v>
      </c>
      <c r="E26" s="228">
        <f t="shared" si="205"/>
        <v>0.60907614936839183</v>
      </c>
      <c r="F26" s="228">
        <f t="shared" si="205"/>
        <v>0.64112097411349167</v>
      </c>
      <c r="G26" s="228">
        <f t="shared" si="205"/>
        <v>0.66009201669932693</v>
      </c>
      <c r="H26" s="228">
        <f t="shared" si="205"/>
        <v>0.64228383801532285</v>
      </c>
      <c r="I26" s="228">
        <f t="shared" si="205"/>
        <v>0.61662665530860372</v>
      </c>
      <c r="J26" s="228">
        <f t="shared" si="205"/>
        <v>0.65276581078752371</v>
      </c>
      <c r="K26" s="228">
        <f t="shared" si="205"/>
        <v>0.66975200156219483</v>
      </c>
      <c r="L26" s="228">
        <f t="shared" si="205"/>
        <v>0.66264569239546822</v>
      </c>
      <c r="M26" s="228">
        <f t="shared" si="205"/>
        <v>0.6174009267584204</v>
      </c>
      <c r="N26" s="228">
        <f t="shared" si="205"/>
        <v>0.65438681531749876</v>
      </c>
      <c r="O26" s="228">
        <f t="shared" si="205"/>
        <v>0.67618414492271894</v>
      </c>
      <c r="P26" s="228">
        <f t="shared" si="205"/>
        <v>0.65943474075092834</v>
      </c>
      <c r="Q26" s="228">
        <f t="shared" si="205"/>
        <v>0.61741246034923469</v>
      </c>
      <c r="R26" s="228">
        <f t="shared" si="205"/>
        <v>0.66733178502502366</v>
      </c>
      <c r="S26" s="228">
        <f t="shared" si="205"/>
        <v>0.69119435299700449</v>
      </c>
      <c r="T26" s="228">
        <f t="shared" si="205"/>
        <v>0.6851913477537438</v>
      </c>
      <c r="U26" s="228">
        <f t="shared" si="205"/>
        <v>0.66514929821709212</v>
      </c>
      <c r="V26" s="228">
        <f t="shared" si="205"/>
        <v>0.68661660146769077</v>
      </c>
      <c r="W26" s="228">
        <f t="shared" ref="W26:X26" si="206">IFERROR(W22/W12,"n/a ")</f>
        <v>0.67557121447164303</v>
      </c>
      <c r="X26" s="228">
        <f t="shared" si="206"/>
        <v>0.70388114334930285</v>
      </c>
      <c r="Y26" s="228">
        <f t="shared" ref="Y26:Z26" si="207">IFERROR(Y22/Y12,"n/a ")</f>
        <v>0.67048936762930633</v>
      </c>
      <c r="Z26" s="228">
        <f t="shared" si="207"/>
        <v>0.68721526878626582</v>
      </c>
      <c r="AA26" s="228">
        <f t="shared" ref="AA26:AB26" si="208">IFERROR(AA22/AA12,"n/a ")</f>
        <v>0.69684954064829263</v>
      </c>
      <c r="AB26" s="228">
        <f t="shared" si="208"/>
        <v>0.6988768012004325</v>
      </c>
      <c r="AC26" s="228">
        <f t="shared" ref="AC26:AD26" si="209">IFERROR(AC22/AC12,"n/a ")</f>
        <v>0.67213114754098358</v>
      </c>
      <c r="AD26" s="228">
        <f t="shared" si="209"/>
        <v>0.68365072933549431</v>
      </c>
      <c r="AE26" s="228">
        <f t="shared" ref="AE26:AG26" si="210">IFERROR(AE22/AE12,"n/a ")</f>
        <v>0.68323532247180174</v>
      </c>
      <c r="AF26" s="228">
        <f t="shared" si="210"/>
        <v>0.69171222217788597</v>
      </c>
      <c r="AG26" s="228">
        <f t="shared" si="210"/>
        <v>0.66845507801391546</v>
      </c>
      <c r="AH26" s="228">
        <f t="shared" ref="AH26:AJ26" si="211">IFERROR(AH22/AH12,"n/a ")</f>
        <v>0.69487485101311086</v>
      </c>
      <c r="AI26" s="228">
        <f t="shared" si="211"/>
        <v>0.70109807969531401</v>
      </c>
      <c r="AJ26" s="228">
        <f t="shared" si="211"/>
        <v>0.71155581506449384</v>
      </c>
      <c r="AK26" s="228">
        <f t="shared" ref="AK26:AL26" si="212">IFERROR(AK22/AK12,"n/a ")</f>
        <v>0.69295388584327633</v>
      </c>
      <c r="AL26" s="228">
        <f t="shared" si="212"/>
        <v>0.71167836011510233</v>
      </c>
      <c r="AM26" s="228">
        <f t="shared" ref="AM26:AN26" si="213">IFERROR(AM22/AM12,"n/a ")</f>
        <v>0.70655213434888064</v>
      </c>
      <c r="AN26" s="228">
        <f t="shared" si="213"/>
        <v>0.70391095524891367</v>
      </c>
      <c r="AO26" s="829">
        <f>+AK26-0.8%</f>
        <v>0.68495388584327632</v>
      </c>
      <c r="AP26" s="829">
        <f t="shared" ref="AP26:AQ26" si="214">+AL26-0.8%</f>
        <v>0.70367836011510232</v>
      </c>
      <c r="AQ26" s="829">
        <f t="shared" si="214"/>
        <v>0.69855213434888064</v>
      </c>
      <c r="AR26" s="228"/>
      <c r="AS26" s="228">
        <f t="shared" ref="AS26:BE26" si="215">IFERROR(AS22/AS12,"n/a ")</f>
        <v>0.84842163466371767</v>
      </c>
      <c r="AT26" s="228">
        <f t="shared" si="215"/>
        <v>0.82724357526760306</v>
      </c>
      <c r="AU26" s="228">
        <f t="shared" si="215"/>
        <v>0.79083369195258402</v>
      </c>
      <c r="AV26" s="228">
        <f t="shared" si="215"/>
        <v>0.80804369414101296</v>
      </c>
      <c r="AW26" s="228">
        <f t="shared" si="215"/>
        <v>0.79199822030562828</v>
      </c>
      <c r="AX26" s="228">
        <f t="shared" si="215"/>
        <v>0.80162921707957235</v>
      </c>
      <c r="AY26" s="228">
        <f t="shared" si="215"/>
        <v>0.77729007906438097</v>
      </c>
      <c r="AZ26" s="228">
        <f t="shared" si="215"/>
        <v>0.76221803236439101</v>
      </c>
      <c r="BA26" s="228">
        <f t="shared" si="215"/>
        <v>0.73814692545825888</v>
      </c>
      <c r="BB26" s="228">
        <f t="shared" si="215"/>
        <v>0.68816003132449644</v>
      </c>
      <c r="BC26" s="228">
        <f t="shared" si="215"/>
        <v>0.64695447745244705</v>
      </c>
      <c r="BD26" s="228">
        <f t="shared" si="215"/>
        <v>0.61579934364744493</v>
      </c>
      <c r="BE26" s="228">
        <f t="shared" si="215"/>
        <v>0.61911061700944969</v>
      </c>
      <c r="BF26" s="228"/>
      <c r="BG26" s="228">
        <f>IFERROR(BG22/BG12,"n/a ")</f>
        <v>0.64038879259275516</v>
      </c>
      <c r="BH26" s="228">
        <f>IFERROR(BH22/BH12,"n/a ")</f>
        <v>0.64522475691460168</v>
      </c>
      <c r="BI26" s="228">
        <f>IFERROR(BI22/BI12,"n/a ")</f>
        <v>0.65247372236317502</v>
      </c>
      <c r="BJ26" s="228">
        <f>IFERROR(BJ22/BJ12,"n/a ")</f>
        <v>0.65901957200638894</v>
      </c>
      <c r="BK26" s="228">
        <f>IFERROR(BK22/BK12,"n/a ")</f>
        <v>0.67781001992797962</v>
      </c>
      <c r="BL26" s="228">
        <f t="shared" ref="BL26:BM26" si="216">IFERROR(BL22/BL12,"n/a ")</f>
        <v>0.68925800771024703</v>
      </c>
      <c r="BM26" s="228">
        <f t="shared" si="216"/>
        <v>0.68401674484289099</v>
      </c>
      <c r="BN26" s="228">
        <f t="shared" ref="BN26:BO26" si="217">IFERROR(BN22/BN12,"n/a ")</f>
        <v>0.68920085883491022</v>
      </c>
      <c r="BO26" s="228">
        <f t="shared" si="217"/>
        <v>0.70555886456540007</v>
      </c>
      <c r="BP26" s="228">
        <f t="shared" ref="BP26" si="218">IFERROR(BP22/BP12,"n/a ")</f>
        <v>0.69772848626550654</v>
      </c>
    </row>
    <row r="27" spans="2:74">
      <c r="AE27" s="9"/>
      <c r="AG27" s="8"/>
      <c r="AI27" s="824"/>
      <c r="AK27" s="8"/>
      <c r="AL27" s="228"/>
      <c r="AN27" s="824"/>
    </row>
    <row r="28" spans="2:74" ht="10.5">
      <c r="B28" s="45" t="s">
        <v>279</v>
      </c>
      <c r="AN28" s="828" t="s">
        <v>267</v>
      </c>
      <c r="AO28" s="992">
        <f>+BX156*1000</f>
        <v>16450</v>
      </c>
      <c r="AP28" s="827" t="s">
        <v>280</v>
      </c>
      <c r="AQ28" s="827"/>
    </row>
    <row r="29" spans="2:74">
      <c r="B29" t="s">
        <v>281</v>
      </c>
      <c r="D29" s="8">
        <f t="shared" ref="D29:V29" si="219">+D1079</f>
        <v>2962</v>
      </c>
      <c r="E29" s="8">
        <f t="shared" si="219"/>
        <v>2900</v>
      </c>
      <c r="F29" s="8">
        <f t="shared" si="219"/>
        <v>2980</v>
      </c>
      <c r="G29" s="8">
        <f t="shared" si="219"/>
        <v>3146</v>
      </c>
      <c r="H29" s="8">
        <f t="shared" si="219"/>
        <v>3106</v>
      </c>
      <c r="I29" s="8">
        <f t="shared" si="219"/>
        <v>3062</v>
      </c>
      <c r="J29" s="8">
        <f t="shared" si="219"/>
        <v>3355</v>
      </c>
      <c r="K29" s="8">
        <f t="shared" si="219"/>
        <v>3514</v>
      </c>
      <c r="L29" s="8">
        <f t="shared" si="219"/>
        <v>3574</v>
      </c>
      <c r="M29" s="8">
        <f t="shared" si="219"/>
        <v>3504</v>
      </c>
      <c r="N29" s="8">
        <f t="shared" si="219"/>
        <v>3715</v>
      </c>
      <c r="O29" s="8">
        <f t="shared" si="219"/>
        <v>3933</v>
      </c>
      <c r="P29" s="8">
        <f t="shared" si="219"/>
        <v>3977</v>
      </c>
      <c r="Q29" s="8">
        <f t="shared" si="219"/>
        <v>4070</v>
      </c>
      <c r="R29" s="8">
        <f t="shared" si="219"/>
        <v>4316</v>
      </c>
      <c r="S29" s="8">
        <f t="shared" si="219"/>
        <v>4513</v>
      </c>
      <c r="T29" s="8">
        <f t="shared" si="219"/>
        <v>4565</v>
      </c>
      <c r="U29" s="8">
        <f t="shared" si="219"/>
        <v>4603</v>
      </c>
      <c r="V29" s="8">
        <f t="shared" si="219"/>
        <v>4887</v>
      </c>
      <c r="W29" s="8">
        <f t="shared" ref="W29:X29" si="220">+W1079</f>
        <v>5214</v>
      </c>
      <c r="X29" s="8">
        <f t="shared" si="220"/>
        <v>4926</v>
      </c>
      <c r="Y29" s="8">
        <f t="shared" ref="Y29:Z29" si="221">+Y1079</f>
        <v>4899</v>
      </c>
      <c r="Z29" s="8">
        <f t="shared" si="221"/>
        <v>5204</v>
      </c>
      <c r="AA29" s="8">
        <f t="shared" ref="AA29:AB29" si="222">+AA1079</f>
        <v>5687</v>
      </c>
      <c r="AB29" s="8">
        <f t="shared" si="222"/>
        <v>5599</v>
      </c>
      <c r="AC29" s="8">
        <f t="shared" ref="AC29:AD29" si="223">+AC1079</f>
        <v>5758</v>
      </c>
      <c r="AD29" s="8">
        <f t="shared" si="223"/>
        <v>6306</v>
      </c>
      <c r="AE29" s="8">
        <f t="shared" ref="AE29:AF29" si="224">+AE1079</f>
        <v>6849</v>
      </c>
      <c r="AF29" s="8">
        <f t="shared" si="224"/>
        <v>6628</v>
      </c>
      <c r="AG29" s="8">
        <f t="shared" ref="AG29:AH29" si="225">+AG1079</f>
        <v>6844</v>
      </c>
      <c r="AH29" s="8">
        <f t="shared" si="225"/>
        <v>6984</v>
      </c>
      <c r="AI29" s="8">
        <f t="shared" ref="AI29:AJ29" si="226">+AI1079</f>
        <v>6739</v>
      </c>
      <c r="AJ29" s="8">
        <f t="shared" si="226"/>
        <v>6659</v>
      </c>
      <c r="AK29" s="8">
        <f t="shared" ref="AK29:AL29" si="227">+AK1079</f>
        <v>7142</v>
      </c>
      <c r="AL29" s="8">
        <f t="shared" si="227"/>
        <v>7653</v>
      </c>
      <c r="AM29" s="8">
        <f t="shared" ref="AM29:AN29" si="228">+AM1079</f>
        <v>8056</v>
      </c>
      <c r="AN29" s="8">
        <f t="shared" si="228"/>
        <v>7544</v>
      </c>
      <c r="AO29" s="8"/>
      <c r="AP29" s="228"/>
      <c r="AQ29" s="8"/>
      <c r="AS29" s="8">
        <f t="shared" ref="AS29:BE29" si="229">+AS1079</f>
        <v>6097</v>
      </c>
      <c r="AT29" s="8">
        <f t="shared" si="229"/>
        <v>6584</v>
      </c>
      <c r="AU29" s="8">
        <f t="shared" si="229"/>
        <v>7121</v>
      </c>
      <c r="AV29" s="8">
        <f t="shared" si="229"/>
        <v>8164</v>
      </c>
      <c r="AW29" s="8">
        <f t="shared" si="229"/>
        <v>9010</v>
      </c>
      <c r="AX29" s="8">
        <f t="shared" si="229"/>
        <v>8714</v>
      </c>
      <c r="AY29" s="8">
        <f t="shared" si="229"/>
        <v>9043</v>
      </c>
      <c r="AZ29" s="8">
        <f t="shared" si="229"/>
        <v>9811</v>
      </c>
      <c r="BA29" s="8">
        <f t="shared" si="229"/>
        <v>10411</v>
      </c>
      <c r="BB29" s="8">
        <f t="shared" si="229"/>
        <v>11381</v>
      </c>
      <c r="BC29" s="8">
        <f t="shared" si="229"/>
        <v>12046</v>
      </c>
      <c r="BD29" s="8">
        <f t="shared" si="229"/>
        <v>11988</v>
      </c>
      <c r="BE29" s="8">
        <f t="shared" si="229"/>
        <v>13037</v>
      </c>
      <c r="BG29" s="8">
        <f t="shared" ref="BG29:BJ30" si="230">+BG1079</f>
        <v>11988</v>
      </c>
      <c r="BH29" s="8">
        <f t="shared" si="230"/>
        <v>13037</v>
      </c>
      <c r="BI29" s="8">
        <f t="shared" si="230"/>
        <v>14726</v>
      </c>
      <c r="BJ29" s="8">
        <f t="shared" si="230"/>
        <v>16876</v>
      </c>
      <c r="BK29" s="8">
        <f t="shared" ref="BK29" si="231">+BK1079</f>
        <v>19269</v>
      </c>
      <c r="BL29" s="8">
        <f t="shared" ref="BL29:BL31" si="232">SUM(X29:AA29)</f>
        <v>20716</v>
      </c>
      <c r="BM29" s="8">
        <f>SUM(AB29:AE29)</f>
        <v>24512</v>
      </c>
      <c r="BN29" s="8">
        <f t="shared" ref="BN29:BN31" si="233">SUM(AF29:AI29)</f>
        <v>27195</v>
      </c>
      <c r="BO29" s="8">
        <f t="shared" ref="BO29:BO31" si="234">SUM(AJ29:AM29)</f>
        <v>29510</v>
      </c>
      <c r="BP29" s="8"/>
    </row>
    <row r="30" spans="2:74">
      <c r="B30" t="s">
        <v>282</v>
      </c>
      <c r="D30" s="8">
        <f t="shared" ref="D30:V30" si="235">+D1080</f>
        <v>3341</v>
      </c>
      <c r="E30" s="8">
        <f t="shared" si="235"/>
        <v>3954</v>
      </c>
      <c r="F30" s="8">
        <f t="shared" si="235"/>
        <v>3398</v>
      </c>
      <c r="G30" s="8">
        <f t="shared" si="235"/>
        <v>3942</v>
      </c>
      <c r="H30" s="8">
        <f t="shared" si="235"/>
        <v>3218</v>
      </c>
      <c r="I30" s="8">
        <f t="shared" si="235"/>
        <v>4079</v>
      </c>
      <c r="J30" s="8">
        <f t="shared" si="235"/>
        <v>3872</v>
      </c>
      <c r="K30" s="8">
        <f t="shared" si="235"/>
        <v>4292</v>
      </c>
      <c r="L30" s="8">
        <f t="shared" si="235"/>
        <v>3812</v>
      </c>
      <c r="M30" s="8">
        <f t="shared" si="235"/>
        <v>4562</v>
      </c>
      <c r="N30" s="8">
        <f t="shared" si="235"/>
        <v>4335</v>
      </c>
      <c r="O30" s="8">
        <f t="shared" si="235"/>
        <v>4760</v>
      </c>
      <c r="P30" s="8">
        <f t="shared" si="235"/>
        <v>4098</v>
      </c>
      <c r="Q30" s="8">
        <f t="shared" si="235"/>
        <v>4588</v>
      </c>
      <c r="R30" s="8">
        <f t="shared" si="235"/>
        <v>4565</v>
      </c>
      <c r="S30" s="8">
        <f t="shared" si="235"/>
        <v>4962</v>
      </c>
      <c r="T30" s="8">
        <f t="shared" si="235"/>
        <v>4337</v>
      </c>
      <c r="U30" s="8">
        <f t="shared" si="235"/>
        <v>4933</v>
      </c>
      <c r="V30" s="8">
        <f t="shared" si="235"/>
        <v>4911</v>
      </c>
      <c r="W30" s="8">
        <f t="shared" ref="W30:X30" si="236">+W1080</f>
        <v>5417</v>
      </c>
      <c r="X30" s="8">
        <f t="shared" si="236"/>
        <v>4231</v>
      </c>
      <c r="Y30" s="8">
        <f t="shared" ref="Y30:Z30" si="237">+Y1080</f>
        <v>4947</v>
      </c>
      <c r="Z30" s="8">
        <f t="shared" si="237"/>
        <v>5082</v>
      </c>
      <c r="AA30" s="8">
        <f t="shared" ref="AA30:AB30" si="238">+AA1080</f>
        <v>5857</v>
      </c>
      <c r="AB30" s="8">
        <f t="shared" si="238"/>
        <v>4547</v>
      </c>
      <c r="AC30" s="8">
        <f t="shared" ref="AC30:AD30" si="239">+AC1080</f>
        <v>5379</v>
      </c>
      <c r="AD30" s="8">
        <f t="shared" si="239"/>
        <v>5595</v>
      </c>
      <c r="AE30" s="8">
        <f t="shared" ref="AE30:AF30" si="240">+AE1080</f>
        <v>6304</v>
      </c>
      <c r="AF30" s="8">
        <f t="shared" si="240"/>
        <v>5126</v>
      </c>
      <c r="AG30" s="8">
        <f t="shared" ref="AG30:AH30" si="241">+AG1080</f>
        <v>5679</v>
      </c>
      <c r="AH30" s="8">
        <f t="shared" si="241"/>
        <v>5750</v>
      </c>
      <c r="AI30" s="8">
        <f t="shared" ref="AI30:AJ30" si="242">+AI1080</f>
        <v>6204</v>
      </c>
      <c r="AJ30" s="8">
        <f t="shared" si="242"/>
        <v>5187</v>
      </c>
      <c r="AK30" s="8">
        <f t="shared" ref="AK30:AL30" si="243">+AK1080</f>
        <v>6246</v>
      </c>
      <c r="AL30" s="8">
        <f t="shared" si="243"/>
        <v>6207</v>
      </c>
      <c r="AM30" s="8">
        <f t="shared" ref="AM30:AN30" si="244">+AM1080</f>
        <v>6816</v>
      </c>
      <c r="AN30" s="8">
        <f t="shared" si="244"/>
        <v>5717</v>
      </c>
      <c r="AO30" s="8"/>
      <c r="AP30" s="8"/>
      <c r="AQ30" s="8"/>
      <c r="AS30" s="8">
        <f t="shared" ref="AS30:BE30" si="245">+AS1080</f>
        <v>8548</v>
      </c>
      <c r="AT30" s="8">
        <f t="shared" si="245"/>
        <v>9910</v>
      </c>
      <c r="AU30" s="8">
        <f t="shared" si="245"/>
        <v>11541</v>
      </c>
      <c r="AV30" s="8">
        <f t="shared" si="245"/>
        <v>13260</v>
      </c>
      <c r="AW30" s="8">
        <f t="shared" si="245"/>
        <v>12879</v>
      </c>
      <c r="AX30" s="8">
        <f t="shared" si="245"/>
        <v>13214</v>
      </c>
      <c r="AY30" s="8">
        <f t="shared" si="245"/>
        <v>13940</v>
      </c>
      <c r="AZ30" s="8">
        <f t="shared" si="245"/>
        <v>13857</v>
      </c>
      <c r="BA30" s="8">
        <f t="shared" si="245"/>
        <v>15276</v>
      </c>
      <c r="BB30" s="8">
        <f t="shared" si="245"/>
        <v>15811</v>
      </c>
      <c r="BC30" s="8">
        <f t="shared" si="245"/>
        <v>15713</v>
      </c>
      <c r="BD30" s="8">
        <f t="shared" si="245"/>
        <v>14697</v>
      </c>
      <c r="BE30" s="8">
        <f t="shared" si="245"/>
        <v>15539</v>
      </c>
      <c r="BG30" s="8">
        <f t="shared" si="230"/>
        <v>14635</v>
      </c>
      <c r="BH30" s="8">
        <f t="shared" si="230"/>
        <v>15461</v>
      </c>
      <c r="BI30" s="8">
        <f t="shared" si="230"/>
        <v>17469</v>
      </c>
      <c r="BJ30" s="8">
        <f t="shared" si="230"/>
        <v>18213</v>
      </c>
      <c r="BK30" s="8">
        <f t="shared" ref="BK30" si="246">+BK1080</f>
        <v>19598</v>
      </c>
      <c r="BL30" s="8">
        <f t="shared" si="232"/>
        <v>20117</v>
      </c>
      <c r="BM30" s="8">
        <f t="shared" ref="BM30:BM32" si="247">SUM(AB30:AE30)</f>
        <v>21825</v>
      </c>
      <c r="BN30" s="8">
        <f t="shared" si="233"/>
        <v>22759</v>
      </c>
      <c r="BO30" s="8">
        <f t="shared" si="234"/>
        <v>24456</v>
      </c>
      <c r="BP30" s="8"/>
    </row>
    <row r="31" spans="2:74" ht="11.45">
      <c r="B31" t="s">
        <v>283</v>
      </c>
      <c r="D31" s="10">
        <f t="shared" ref="D31:AF31" si="248">+D1081-D1108</f>
        <v>1084</v>
      </c>
      <c r="E31" s="10">
        <f t="shared" si="248"/>
        <v>1038</v>
      </c>
      <c r="F31" s="10">
        <f t="shared" si="248"/>
        <v>1140</v>
      </c>
      <c r="G31" s="10">
        <f t="shared" si="248"/>
        <v>1301</v>
      </c>
      <c r="H31" s="10">
        <f t="shared" si="248"/>
        <v>1045</v>
      </c>
      <c r="I31" s="10">
        <f t="shared" si="248"/>
        <v>879</v>
      </c>
      <c r="J31" s="10">
        <f t="shared" si="248"/>
        <v>1202</v>
      </c>
      <c r="K31" s="10">
        <f t="shared" si="248"/>
        <v>1355</v>
      </c>
      <c r="L31" s="10">
        <f t="shared" si="248"/>
        <v>1166</v>
      </c>
      <c r="M31" s="10">
        <f t="shared" si="248"/>
        <v>1109</v>
      </c>
      <c r="N31" s="10">
        <f t="shared" si="248"/>
        <v>1208</v>
      </c>
      <c r="O31" s="10">
        <f t="shared" si="248"/>
        <v>1271</v>
      </c>
      <c r="P31" s="10">
        <f t="shared" si="248"/>
        <v>1149</v>
      </c>
      <c r="Q31" s="10">
        <f t="shared" si="248"/>
        <v>1132</v>
      </c>
      <c r="R31" s="10">
        <f t="shared" si="248"/>
        <v>1179</v>
      </c>
      <c r="S31" s="10">
        <f t="shared" si="248"/>
        <v>1425</v>
      </c>
      <c r="T31" s="10">
        <f t="shared" si="248"/>
        <v>1061</v>
      </c>
      <c r="U31" s="10">
        <f t="shared" si="248"/>
        <v>1121</v>
      </c>
      <c r="V31" s="10">
        <f t="shared" si="248"/>
        <v>1273</v>
      </c>
      <c r="W31" s="10">
        <f t="shared" si="248"/>
        <v>1656</v>
      </c>
      <c r="X31" s="10">
        <f t="shared" si="248"/>
        <v>1119</v>
      </c>
      <c r="Y31" s="10">
        <f t="shared" si="248"/>
        <v>1139</v>
      </c>
      <c r="Z31" s="10">
        <f t="shared" si="248"/>
        <v>1327</v>
      </c>
      <c r="AA31" s="10">
        <f t="shared" si="248"/>
        <v>1522</v>
      </c>
      <c r="AB31" s="10">
        <f t="shared" si="248"/>
        <v>1287</v>
      </c>
      <c r="AC31" s="10">
        <f t="shared" si="248"/>
        <v>1384</v>
      </c>
      <c r="AD31" s="10">
        <f t="shared" si="248"/>
        <v>1480</v>
      </c>
      <c r="AE31" s="10">
        <f t="shared" si="248"/>
        <v>1749</v>
      </c>
      <c r="AF31" s="10">
        <f t="shared" si="248"/>
        <v>1398</v>
      </c>
      <c r="AG31" s="58">
        <f>+AG1081-AG1110</f>
        <v>1166</v>
      </c>
      <c r="AH31" s="10">
        <f>+AH1081-AH1110</f>
        <v>1643</v>
      </c>
      <c r="AI31" s="10">
        <f>+AI1081-AI1110</f>
        <v>2197</v>
      </c>
      <c r="AJ31" s="10">
        <f t="shared" ref="AJ31" si="249">+AJ1081-AJ1110</f>
        <v>1474</v>
      </c>
      <c r="AK31" s="58">
        <f>+AK1081-550</f>
        <v>1427</v>
      </c>
      <c r="AL31" s="58">
        <f>+AL1081-270</f>
        <v>1642</v>
      </c>
      <c r="AM31" s="58">
        <f>+AM1081-250</f>
        <v>1996</v>
      </c>
      <c r="AN31" s="58">
        <f>+AN1081-230</f>
        <v>1443</v>
      </c>
      <c r="AO31" s="10"/>
      <c r="AP31" s="10"/>
      <c r="AQ31" s="10"/>
      <c r="AS31" s="10">
        <f t="shared" ref="AS31:BE31" si="250">+AS1081-AS1108</f>
        <v>4536</v>
      </c>
      <c r="AT31" s="10">
        <f t="shared" si="250"/>
        <v>3758</v>
      </c>
      <c r="AU31" s="10">
        <f t="shared" si="250"/>
        <v>3329</v>
      </c>
      <c r="AV31" s="10">
        <f t="shared" si="250"/>
        <v>5127</v>
      </c>
      <c r="AW31" s="10">
        <f t="shared" si="250"/>
        <v>4030</v>
      </c>
      <c r="AX31" s="10">
        <f t="shared" si="250"/>
        <v>4063</v>
      </c>
      <c r="AY31" s="10">
        <f t="shared" si="250"/>
        <v>4222</v>
      </c>
      <c r="AZ31" s="10">
        <f t="shared" si="250"/>
        <v>4569</v>
      </c>
      <c r="BA31" s="58">
        <f t="shared" si="250"/>
        <v>4280</v>
      </c>
      <c r="BB31" s="10">
        <f t="shared" si="250"/>
        <v>4677</v>
      </c>
      <c r="BC31" s="10">
        <f t="shared" si="250"/>
        <v>4611</v>
      </c>
      <c r="BD31" s="10">
        <f t="shared" si="250"/>
        <v>4563</v>
      </c>
      <c r="BE31" s="10">
        <f t="shared" si="250"/>
        <v>4481</v>
      </c>
      <c r="BG31" s="10">
        <f>+BG1081-BG1108</f>
        <v>4563</v>
      </c>
      <c r="BH31" s="10">
        <f>+BH1081-BH1108</f>
        <v>4481</v>
      </c>
      <c r="BI31" s="10">
        <f>+BI1081-BI1108</f>
        <v>4754</v>
      </c>
      <c r="BJ31" s="10">
        <f>+BJ1081-BJ1108</f>
        <v>4885</v>
      </c>
      <c r="BK31" s="10">
        <f>+BK1081-BK1108</f>
        <v>5111</v>
      </c>
      <c r="BL31" s="10">
        <f t="shared" si="232"/>
        <v>5107</v>
      </c>
      <c r="BM31" s="10">
        <f t="shared" si="247"/>
        <v>5900</v>
      </c>
      <c r="BN31" s="10">
        <f t="shared" si="233"/>
        <v>6404</v>
      </c>
      <c r="BO31" s="10">
        <f t="shared" si="234"/>
        <v>6539</v>
      </c>
      <c r="BP31" s="10"/>
    </row>
    <row r="32" spans="2:74" s="1" customFormat="1" ht="10.5">
      <c r="B32" s="837" t="s">
        <v>284</v>
      </c>
      <c r="D32" s="838">
        <f>SUM(D29:D31)</f>
        <v>7387</v>
      </c>
      <c r="E32" s="838">
        <f t="shared" ref="E32:AS32" si="251">SUM(E29:E31)</f>
        <v>7892</v>
      </c>
      <c r="F32" s="838">
        <f t="shared" si="251"/>
        <v>7518</v>
      </c>
      <c r="G32" s="838">
        <f t="shared" si="251"/>
        <v>8389</v>
      </c>
      <c r="H32" s="838">
        <f t="shared" si="251"/>
        <v>7369</v>
      </c>
      <c r="I32" s="838">
        <f t="shared" si="251"/>
        <v>8020</v>
      </c>
      <c r="J32" s="838">
        <f t="shared" si="251"/>
        <v>8429</v>
      </c>
      <c r="K32" s="838">
        <f t="shared" si="251"/>
        <v>9161</v>
      </c>
      <c r="L32" s="838">
        <f t="shared" si="251"/>
        <v>8552</v>
      </c>
      <c r="M32" s="838">
        <f t="shared" si="251"/>
        <v>9175</v>
      </c>
      <c r="N32" s="838">
        <f t="shared" si="251"/>
        <v>9258</v>
      </c>
      <c r="O32" s="838">
        <f t="shared" ref="O32:V32" si="252">SUM(O29:O31)</f>
        <v>9964</v>
      </c>
      <c r="P32" s="838">
        <f t="shared" si="252"/>
        <v>9224</v>
      </c>
      <c r="Q32" s="838">
        <f t="shared" si="252"/>
        <v>9790</v>
      </c>
      <c r="R32" s="838">
        <f t="shared" si="252"/>
        <v>10060</v>
      </c>
      <c r="S32" s="838">
        <f t="shared" si="252"/>
        <v>10900</v>
      </c>
      <c r="T32" s="838">
        <f t="shared" si="252"/>
        <v>9963</v>
      </c>
      <c r="U32" s="838">
        <f t="shared" si="252"/>
        <v>10657</v>
      </c>
      <c r="V32" s="838">
        <f t="shared" si="252"/>
        <v>11071</v>
      </c>
      <c r="W32" s="838">
        <f t="shared" ref="W32:X32" si="253">SUM(W29:W31)</f>
        <v>12287</v>
      </c>
      <c r="X32" s="838">
        <f t="shared" si="253"/>
        <v>10276</v>
      </c>
      <c r="Y32" s="838">
        <f t="shared" ref="Y32:Z32" si="254">SUM(Y29:Y31)</f>
        <v>10985</v>
      </c>
      <c r="Z32" s="838">
        <f t="shared" si="254"/>
        <v>11613</v>
      </c>
      <c r="AA32" s="838">
        <f t="shared" ref="AA32:AB32" si="255">SUM(AA29:AA31)</f>
        <v>13066</v>
      </c>
      <c r="AB32" s="838">
        <f t="shared" si="255"/>
        <v>11433</v>
      </c>
      <c r="AC32" s="838">
        <f t="shared" ref="AC32:AD32" si="256">SUM(AC29:AC31)</f>
        <v>12521</v>
      </c>
      <c r="AD32" s="838">
        <f t="shared" si="256"/>
        <v>13381</v>
      </c>
      <c r="AE32" s="838">
        <f t="shared" ref="AE32:AF32" si="257">SUM(AE29:AE31)</f>
        <v>14902</v>
      </c>
      <c r="AF32" s="838">
        <f t="shared" si="257"/>
        <v>13152</v>
      </c>
      <c r="AG32" s="838">
        <f t="shared" ref="AG32:AH32" si="258">SUM(AG29:AG31)</f>
        <v>13689</v>
      </c>
      <c r="AH32" s="838">
        <f t="shared" si="258"/>
        <v>14377</v>
      </c>
      <c r="AI32" s="838">
        <f t="shared" ref="AI32:AJ32" si="259">SUM(AI29:AI31)</f>
        <v>15140</v>
      </c>
      <c r="AJ32" s="838">
        <f t="shared" si="259"/>
        <v>13320</v>
      </c>
      <c r="AK32" s="838">
        <f t="shared" ref="AK32:AL32" si="260">SUM(AK29:AK31)</f>
        <v>14815</v>
      </c>
      <c r="AL32" s="838">
        <f t="shared" si="260"/>
        <v>15502</v>
      </c>
      <c r="AM32" s="838">
        <f t="shared" ref="AM32:AN32" si="261">SUM(AM29:AM31)</f>
        <v>16868</v>
      </c>
      <c r="AN32" s="838">
        <f t="shared" si="261"/>
        <v>14704</v>
      </c>
      <c r="AO32" s="838">
        <f t="shared" ref="AO32:AQ32" si="262">+AO22-AO49</f>
        <v>15354.258804150031</v>
      </c>
      <c r="AP32" s="838">
        <f t="shared" si="262"/>
        <v>16268.700175027894</v>
      </c>
      <c r="AQ32" s="838">
        <f t="shared" si="262"/>
        <v>18001.566394501875</v>
      </c>
      <c r="AS32" s="838">
        <f t="shared" si="251"/>
        <v>19181</v>
      </c>
      <c r="AT32" s="838">
        <f t="shared" ref="AT32" si="263">SUM(AT29:AT31)</f>
        <v>20252</v>
      </c>
      <c r="AU32" s="838">
        <f t="shared" ref="AU32" si="264">SUM(AU29:AU31)</f>
        <v>21991</v>
      </c>
      <c r="AV32" s="838">
        <f t="shared" ref="AV32" si="265">SUM(AV29:AV31)</f>
        <v>26551</v>
      </c>
      <c r="AW32" s="838">
        <f t="shared" ref="AW32" si="266">SUM(AW29:AW31)</f>
        <v>25919</v>
      </c>
      <c r="AX32" s="838">
        <f t="shared" ref="AX32" si="267">SUM(AX29:AX31)</f>
        <v>25991</v>
      </c>
      <c r="AY32" s="838">
        <f t="shared" ref="AY32" si="268">SUM(AY29:AY31)</f>
        <v>27205</v>
      </c>
      <c r="AZ32" s="838">
        <f t="shared" ref="AZ32" si="269">SUM(AZ29:AZ31)</f>
        <v>28237</v>
      </c>
      <c r="BA32" s="838">
        <f t="shared" ref="BA32" si="270">SUM(BA29:BA31)</f>
        <v>29967</v>
      </c>
      <c r="BB32" s="838">
        <f t="shared" ref="BB32" si="271">SUM(BB29:BB31)</f>
        <v>31869</v>
      </c>
      <c r="BC32" s="838">
        <f t="shared" ref="BC32" si="272">SUM(BC29:BC31)</f>
        <v>32370</v>
      </c>
      <c r="BD32" s="838">
        <f t="shared" ref="BD32" si="273">SUM(BD29:BD31)</f>
        <v>31248</v>
      </c>
      <c r="BE32" s="838">
        <f t="shared" ref="BE32:BG32" si="274">SUM(BE29:BE31)</f>
        <v>33057</v>
      </c>
      <c r="BG32" s="838">
        <f t="shared" si="274"/>
        <v>31186</v>
      </c>
      <c r="BH32" s="838">
        <f t="shared" ref="BH32" si="275">SUM(BH29:BH31)</f>
        <v>32979</v>
      </c>
      <c r="BI32" s="838">
        <f t="shared" ref="BI32:BJ32" si="276">SUM(BI29:BI31)</f>
        <v>36949</v>
      </c>
      <c r="BJ32" s="838">
        <f t="shared" si="276"/>
        <v>39974</v>
      </c>
      <c r="BK32" s="838">
        <f t="shared" ref="BK32" si="277">SUM(BK29:BK31)</f>
        <v>43978</v>
      </c>
      <c r="BL32" s="838">
        <f>SUM(X32:AA32)</f>
        <v>45940</v>
      </c>
      <c r="BM32" s="838">
        <f t="shared" si="247"/>
        <v>52237</v>
      </c>
      <c r="BN32" s="838">
        <f>SUM(AF32:AI32)</f>
        <v>56358</v>
      </c>
      <c r="BO32" s="838">
        <f>SUM(AJ32:AM32)</f>
        <v>60505</v>
      </c>
      <c r="BP32" s="838">
        <f>+SUM(AN32:AQ32)</f>
        <v>64328.525373679804</v>
      </c>
    </row>
    <row r="33" spans="2:68" s="7" customFormat="1">
      <c r="B33" s="841" t="s">
        <v>285</v>
      </c>
      <c r="D33" s="862"/>
      <c r="E33" s="862"/>
      <c r="F33" s="862"/>
      <c r="G33" s="862"/>
      <c r="H33" s="862"/>
      <c r="I33" s="862"/>
      <c r="J33" s="862"/>
      <c r="K33" s="862"/>
      <c r="L33" s="862"/>
      <c r="M33" s="862"/>
      <c r="N33" s="862"/>
      <c r="O33" s="862"/>
      <c r="P33" s="862"/>
      <c r="Q33" s="862"/>
      <c r="R33" s="862"/>
      <c r="S33" s="862"/>
      <c r="T33" s="862">
        <f t="shared" ref="T33:AQ33" si="278">+T32-S32-(T814-S814)</f>
        <v>-937</v>
      </c>
      <c r="U33" s="862">
        <f t="shared" si="278"/>
        <v>694</v>
      </c>
      <c r="V33" s="862">
        <f t="shared" si="278"/>
        <v>414</v>
      </c>
      <c r="W33" s="862">
        <f t="shared" si="278"/>
        <v>1216</v>
      </c>
      <c r="X33" s="862">
        <f t="shared" si="278"/>
        <v>-2011</v>
      </c>
      <c r="Y33" s="862">
        <f t="shared" si="278"/>
        <v>709</v>
      </c>
      <c r="Z33" s="862">
        <f t="shared" si="278"/>
        <v>628</v>
      </c>
      <c r="AA33" s="862">
        <f t="shared" si="278"/>
        <v>1453</v>
      </c>
      <c r="AB33" s="862">
        <f t="shared" si="278"/>
        <v>-1633</v>
      </c>
      <c r="AC33" s="862">
        <f t="shared" si="278"/>
        <v>1088</v>
      </c>
      <c r="AD33" s="862">
        <f t="shared" si="278"/>
        <v>860</v>
      </c>
      <c r="AE33" s="862">
        <f t="shared" si="278"/>
        <v>1521</v>
      </c>
      <c r="AF33" s="862">
        <f t="shared" si="278"/>
        <v>-1750</v>
      </c>
      <c r="AG33" s="862">
        <f t="shared" si="278"/>
        <v>537</v>
      </c>
      <c r="AH33" s="862">
        <f t="shared" si="278"/>
        <v>688</v>
      </c>
      <c r="AI33" s="862">
        <f t="shared" si="278"/>
        <v>763</v>
      </c>
      <c r="AJ33" s="862">
        <f t="shared" si="278"/>
        <v>-1820</v>
      </c>
      <c r="AK33" s="862">
        <f t="shared" si="278"/>
        <v>455</v>
      </c>
      <c r="AL33" s="862">
        <f t="shared" si="278"/>
        <v>657</v>
      </c>
      <c r="AM33" s="862">
        <f t="shared" si="278"/>
        <v>1336</v>
      </c>
      <c r="AN33" s="862">
        <f t="shared" si="278"/>
        <v>-2004</v>
      </c>
      <c r="AO33" s="862">
        <f t="shared" si="278"/>
        <v>640.25880415003121</v>
      </c>
      <c r="AP33" s="862">
        <f t="shared" si="278"/>
        <v>864.44137087786294</v>
      </c>
      <c r="AQ33" s="862">
        <f t="shared" si="278"/>
        <v>1897.8662194739809</v>
      </c>
      <c r="AS33" s="862"/>
      <c r="AT33" s="862"/>
      <c r="AU33" s="862"/>
      <c r="AV33" s="862"/>
      <c r="AW33" s="862"/>
      <c r="AX33" s="862"/>
      <c r="AY33" s="862"/>
      <c r="AZ33" s="862"/>
      <c r="BA33" s="862"/>
      <c r="BB33" s="862"/>
      <c r="BC33" s="862"/>
      <c r="BD33" s="862"/>
      <c r="BE33" s="862"/>
      <c r="BG33" s="862"/>
      <c r="BH33" s="862"/>
      <c r="BI33" s="862"/>
      <c r="BJ33" s="862"/>
      <c r="BK33" s="862"/>
      <c r="BL33" s="862"/>
      <c r="BM33" s="862"/>
      <c r="BN33" s="862"/>
      <c r="BO33" s="862"/>
      <c r="BP33" s="862"/>
    </row>
    <row r="34" spans="2:68" s="1" customFormat="1" ht="10.5">
      <c r="B34" s="837"/>
      <c r="D34" s="838"/>
      <c r="E34" s="838"/>
      <c r="F34" s="838"/>
      <c r="G34" s="838"/>
      <c r="H34" s="838"/>
      <c r="I34" s="838"/>
      <c r="J34" s="838"/>
      <c r="K34" s="838"/>
      <c r="L34" s="838"/>
      <c r="M34" s="838"/>
      <c r="N34" s="838"/>
      <c r="O34" s="838"/>
      <c r="P34" s="838"/>
      <c r="Q34" s="838"/>
      <c r="R34" s="838"/>
      <c r="S34" s="838"/>
      <c r="T34" s="838"/>
      <c r="U34" s="838"/>
      <c r="V34" s="838"/>
      <c r="W34" s="838"/>
      <c r="X34" s="838"/>
      <c r="Y34" s="838"/>
      <c r="Z34" s="838"/>
      <c r="AA34" s="838"/>
      <c r="AB34" s="838"/>
      <c r="AC34" s="838"/>
      <c r="AD34" s="838"/>
      <c r="AE34" s="838"/>
      <c r="AF34" s="1196"/>
      <c r="AG34" s="1208"/>
      <c r="AH34" s="1196"/>
      <c r="AI34" s="1196"/>
      <c r="AJ34" s="1196"/>
      <c r="AK34" s="1208"/>
      <c r="AL34" s="1196"/>
      <c r="AM34" s="1208"/>
      <c r="AN34" s="1208"/>
      <c r="AO34" s="1196"/>
      <c r="AP34" s="1208"/>
      <c r="AQ34" s="1196"/>
      <c r="AS34" s="838"/>
      <c r="AT34" s="838"/>
      <c r="AU34" s="838"/>
      <c r="AV34" s="838"/>
      <c r="AW34" s="838"/>
      <c r="AX34" s="838"/>
      <c r="AY34" s="838"/>
      <c r="AZ34" s="838"/>
      <c r="BA34" s="838"/>
      <c r="BB34" s="838"/>
      <c r="BC34" s="838"/>
      <c r="BD34" s="838"/>
      <c r="BE34" s="838"/>
      <c r="BG34" s="838"/>
      <c r="BH34" s="838"/>
      <c r="BI34" s="838"/>
      <c r="BJ34" s="838"/>
      <c r="BK34" s="838"/>
      <c r="BL34" s="838"/>
      <c r="BM34" s="838"/>
      <c r="BN34" s="838"/>
      <c r="BO34" s="838"/>
      <c r="BP34" s="838"/>
    </row>
    <row r="35" spans="2:68">
      <c r="B35" s="24" t="s">
        <v>113</v>
      </c>
      <c r="AK35" s="228"/>
      <c r="BH35" s="835"/>
    </row>
    <row r="36" spans="2:68" s="3" customFormat="1">
      <c r="B36" s="13" t="str">
        <f>+B29</f>
        <v>R&amp;D</v>
      </c>
      <c r="D36" s="228"/>
      <c r="E36" s="228"/>
      <c r="F36" s="228"/>
      <c r="G36" s="228"/>
      <c r="H36" s="228">
        <f t="shared" ref="H36:Q39" si="279">+H29/D29-1</f>
        <v>4.8615800135043852E-2</v>
      </c>
      <c r="I36" s="228">
        <f t="shared" si="279"/>
        <v>5.5862068965517153E-2</v>
      </c>
      <c r="J36" s="228">
        <f t="shared" si="279"/>
        <v>0.12583892617449655</v>
      </c>
      <c r="K36" s="228">
        <f t="shared" si="279"/>
        <v>0.11697393515575327</v>
      </c>
      <c r="L36" s="228">
        <f t="shared" si="279"/>
        <v>0.1506761107533805</v>
      </c>
      <c r="M36" s="228">
        <f t="shared" si="279"/>
        <v>0.14435009797517973</v>
      </c>
      <c r="N36" s="228">
        <f t="shared" si="279"/>
        <v>0.10730253353204167</v>
      </c>
      <c r="O36" s="228">
        <f t="shared" si="279"/>
        <v>0.1192373363688104</v>
      </c>
      <c r="P36" s="228">
        <f t="shared" si="279"/>
        <v>0.11275881365416907</v>
      </c>
      <c r="Q36" s="228">
        <f t="shared" si="279"/>
        <v>0.1615296803652968</v>
      </c>
      <c r="R36" s="228">
        <f t="shared" ref="R36:AA39" si="280">+R29/N29-1</f>
        <v>0.16177658142664875</v>
      </c>
      <c r="S36" s="228">
        <f t="shared" si="280"/>
        <v>0.14747012458682929</v>
      </c>
      <c r="T36" s="228">
        <f t="shared" si="280"/>
        <v>0.14785013829519733</v>
      </c>
      <c r="U36" s="228">
        <f t="shared" si="280"/>
        <v>0.13095823095823089</v>
      </c>
      <c r="V36" s="228">
        <f t="shared" si="280"/>
        <v>0.13229842446709927</v>
      </c>
      <c r="W36" s="228">
        <f t="shared" si="280"/>
        <v>0.15532904941280745</v>
      </c>
      <c r="X36" s="228">
        <f t="shared" si="280"/>
        <v>7.9079956188389922E-2</v>
      </c>
      <c r="Y36" s="228">
        <f t="shared" si="280"/>
        <v>6.4305887464696898E-2</v>
      </c>
      <c r="Z36" s="228">
        <f t="shared" si="280"/>
        <v>6.4865970943319029E-2</v>
      </c>
      <c r="AA36" s="228">
        <f t="shared" si="280"/>
        <v>9.0717299578058963E-2</v>
      </c>
      <c r="AB36" s="228">
        <f t="shared" ref="AB36:AK39" si="281">+AB29/X29-1</f>
        <v>0.13662200568412497</v>
      </c>
      <c r="AC36" s="228">
        <f t="shared" si="281"/>
        <v>0.17534190651153292</v>
      </c>
      <c r="AD36" s="228">
        <f t="shared" si="281"/>
        <v>0.21176018447348199</v>
      </c>
      <c r="AE36" s="228">
        <f t="shared" si="281"/>
        <v>0.20432565500263755</v>
      </c>
      <c r="AF36" s="228">
        <f t="shared" si="281"/>
        <v>0.18378281836042154</v>
      </c>
      <c r="AG36" s="228">
        <f t="shared" si="281"/>
        <v>0.18860715526224392</v>
      </c>
      <c r="AH36" s="228">
        <f t="shared" si="281"/>
        <v>0.1075166508087535</v>
      </c>
      <c r="AI36" s="228">
        <f t="shared" si="281"/>
        <v>-1.6060738793984508E-2</v>
      </c>
      <c r="AJ36" s="228">
        <f t="shared" si="281"/>
        <v>4.6771273385637357E-3</v>
      </c>
      <c r="AK36" s="228">
        <f t="shared" si="281"/>
        <v>4.3541788427819972E-2</v>
      </c>
      <c r="AL36" s="228">
        <f t="shared" ref="AL36:AN39" si="282">+AL29/AH29-1</f>
        <v>9.5790378006872956E-2</v>
      </c>
      <c r="AM36" s="228">
        <f t="shared" si="282"/>
        <v>0.19542958895978635</v>
      </c>
      <c r="AN36" s="228">
        <f t="shared" si="282"/>
        <v>0.13290283826400362</v>
      </c>
      <c r="AO36" s="228"/>
      <c r="AP36" s="228"/>
      <c r="AQ36" s="228"/>
      <c r="AR36" s="228"/>
      <c r="AS36" s="228"/>
      <c r="AT36" s="228">
        <f t="shared" ref="AT36:AU39" si="283">+AT29/AS29-1</f>
        <v>7.9875348532064905E-2</v>
      </c>
      <c r="AU36" s="228">
        <f t="shared" si="283"/>
        <v>8.1561360874848221E-2</v>
      </c>
      <c r="AV36" s="228">
        <f t="shared" ref="AV36:BD36" si="284">+AV29/AU29-1</f>
        <v>0.14646819266956879</v>
      </c>
      <c r="AW36" s="228">
        <f t="shared" si="284"/>
        <v>0.10362567368936793</v>
      </c>
      <c r="AX36" s="228">
        <f t="shared" si="284"/>
        <v>-3.2852386237513853E-2</v>
      </c>
      <c r="AY36" s="228">
        <f t="shared" si="284"/>
        <v>3.7755336240532511E-2</v>
      </c>
      <c r="AZ36" s="228">
        <f t="shared" si="284"/>
        <v>8.4927568284861144E-2</v>
      </c>
      <c r="BA36" s="228">
        <f t="shared" si="284"/>
        <v>6.1155845479563764E-2</v>
      </c>
      <c r="BB36" s="228">
        <f t="shared" si="284"/>
        <v>9.3170684852559749E-2</v>
      </c>
      <c r="BC36" s="228">
        <f t="shared" si="284"/>
        <v>5.8430717863105164E-2</v>
      </c>
      <c r="BD36" s="228">
        <f t="shared" si="284"/>
        <v>-4.814876307488003E-3</v>
      </c>
      <c r="BE36" s="228">
        <f t="shared" ref="BE36:BI36" si="285">+BE29/BD29-1</f>
        <v>8.7504170837504169E-2</v>
      </c>
      <c r="BF36" s="228"/>
      <c r="BG36" s="829">
        <f t="shared" ref="BG36:BG41" si="286">+BD36</f>
        <v>-4.814876307488003E-3</v>
      </c>
      <c r="BH36" s="228">
        <f t="shared" si="285"/>
        <v>8.7504170837504169E-2</v>
      </c>
      <c r="BI36" s="228">
        <f t="shared" si="285"/>
        <v>0.12955434532484467</v>
      </c>
      <c r="BJ36" s="228">
        <f t="shared" ref="BJ36:BO36" si="287">+BJ29/BI29-1</f>
        <v>0.14600027162841234</v>
      </c>
      <c r="BK36" s="228">
        <f t="shared" si="287"/>
        <v>0.14179900450343674</v>
      </c>
      <c r="BL36" s="228">
        <f t="shared" si="287"/>
        <v>7.5094711713114437E-2</v>
      </c>
      <c r="BM36" s="228">
        <f t="shared" si="287"/>
        <v>0.1832400077234988</v>
      </c>
      <c r="BN36" s="228">
        <f t="shared" si="287"/>
        <v>0.10945659268929497</v>
      </c>
      <c r="BO36" s="228">
        <f t="shared" si="287"/>
        <v>8.5125942268799326E-2</v>
      </c>
      <c r="BP36" s="228"/>
    </row>
    <row r="37" spans="2:68" s="3" customFormat="1">
      <c r="B37" s="13" t="str">
        <f>+B30</f>
        <v>S&amp;M</v>
      </c>
      <c r="D37" s="228"/>
      <c r="E37" s="228"/>
      <c r="F37" s="228"/>
      <c r="G37" s="228"/>
      <c r="H37" s="228">
        <f t="shared" si="279"/>
        <v>-3.6815324753067924E-2</v>
      </c>
      <c r="I37" s="228">
        <f t="shared" si="279"/>
        <v>3.161355589276682E-2</v>
      </c>
      <c r="J37" s="228">
        <f t="shared" si="279"/>
        <v>0.1394938198940554</v>
      </c>
      <c r="K37" s="228">
        <f t="shared" si="279"/>
        <v>8.8787417554540893E-2</v>
      </c>
      <c r="L37" s="228">
        <f t="shared" si="279"/>
        <v>0.1845866998135488</v>
      </c>
      <c r="M37" s="228">
        <f t="shared" si="279"/>
        <v>0.11841137533709234</v>
      </c>
      <c r="N37" s="228">
        <f t="shared" si="279"/>
        <v>0.11957644628099184</v>
      </c>
      <c r="O37" s="228">
        <f t="shared" si="279"/>
        <v>0.1090400745573159</v>
      </c>
      <c r="P37" s="228">
        <f t="shared" si="279"/>
        <v>7.5026232948583349E-2</v>
      </c>
      <c r="Q37" s="228">
        <f t="shared" si="279"/>
        <v>5.6992547128451587E-3</v>
      </c>
      <c r="R37" s="228">
        <f t="shared" si="280"/>
        <v>5.3056516724336866E-2</v>
      </c>
      <c r="S37" s="228">
        <f t="shared" si="280"/>
        <v>4.2436974789916038E-2</v>
      </c>
      <c r="T37" s="228">
        <f t="shared" si="280"/>
        <v>5.8321132259638864E-2</v>
      </c>
      <c r="U37" s="228">
        <f t="shared" si="280"/>
        <v>7.5196163905841384E-2</v>
      </c>
      <c r="V37" s="228">
        <f t="shared" si="280"/>
        <v>7.5794085432639546E-2</v>
      </c>
      <c r="W37" s="228">
        <f t="shared" si="280"/>
        <v>9.1696896412736706E-2</v>
      </c>
      <c r="X37" s="228">
        <f t="shared" si="280"/>
        <v>-2.44408577357621E-2</v>
      </c>
      <c r="Y37" s="228">
        <f t="shared" si="280"/>
        <v>2.8380295965944047E-3</v>
      </c>
      <c r="Z37" s="228">
        <f t="shared" si="280"/>
        <v>3.4819792302993369E-2</v>
      </c>
      <c r="AA37" s="228">
        <f t="shared" si="280"/>
        <v>8.1225770721801815E-2</v>
      </c>
      <c r="AB37" s="228">
        <f t="shared" si="281"/>
        <v>7.4686835263531037E-2</v>
      </c>
      <c r="AC37" s="228">
        <f t="shared" si="281"/>
        <v>8.7325651910248547E-2</v>
      </c>
      <c r="AD37" s="228">
        <f t="shared" si="281"/>
        <v>0.10094451003541915</v>
      </c>
      <c r="AE37" s="228">
        <f t="shared" si="281"/>
        <v>7.6318934608161193E-2</v>
      </c>
      <c r="AF37" s="228">
        <f t="shared" si="281"/>
        <v>0.12733670552012311</v>
      </c>
      <c r="AG37" s="228">
        <f t="shared" si="281"/>
        <v>5.577244841048512E-2</v>
      </c>
      <c r="AH37" s="228">
        <f t="shared" si="281"/>
        <v>2.7703306523681803E-2</v>
      </c>
      <c r="AI37" s="228">
        <f t="shared" si="281"/>
        <v>-1.5862944162436499E-2</v>
      </c>
      <c r="AJ37" s="228">
        <f t="shared" si="281"/>
        <v>1.1900117050331671E-2</v>
      </c>
      <c r="AK37" s="228">
        <f t="shared" si="281"/>
        <v>9.9841521394611776E-2</v>
      </c>
      <c r="AL37" s="228">
        <f t="shared" si="282"/>
        <v>7.947826086956522E-2</v>
      </c>
      <c r="AM37" s="228">
        <f t="shared" si="282"/>
        <v>9.8646034816247674E-2</v>
      </c>
      <c r="AN37" s="228">
        <f t="shared" si="282"/>
        <v>0.10217852323115473</v>
      </c>
      <c r="AO37" s="228"/>
      <c r="AP37" s="228"/>
      <c r="AQ37" s="228"/>
      <c r="AR37" s="228"/>
      <c r="AS37" s="228"/>
      <c r="AT37" s="228">
        <f t="shared" si="283"/>
        <v>0.15933551708001881</v>
      </c>
      <c r="AU37" s="228">
        <f t="shared" si="283"/>
        <v>0.16458123107971745</v>
      </c>
      <c r="AV37" s="228">
        <f t="shared" ref="AV37:BE37" si="288">+AV30/AU30-1</f>
        <v>0.1489472316090461</v>
      </c>
      <c r="AW37" s="228">
        <f t="shared" si="288"/>
        <v>-2.8733031674208154E-2</v>
      </c>
      <c r="AX37" s="228">
        <f t="shared" si="288"/>
        <v>2.6011336283872977E-2</v>
      </c>
      <c r="AY37" s="228">
        <f t="shared" si="288"/>
        <v>5.4941728469804829E-2</v>
      </c>
      <c r="AZ37" s="228">
        <f t="shared" si="288"/>
        <v>-5.9540889526542573E-3</v>
      </c>
      <c r="BA37" s="228">
        <f t="shared" si="288"/>
        <v>0.10240311755791298</v>
      </c>
      <c r="BB37" s="228">
        <f t="shared" si="288"/>
        <v>3.5022257135375767E-2</v>
      </c>
      <c r="BC37" s="228">
        <f t="shared" si="288"/>
        <v>-6.1982164315982358E-3</v>
      </c>
      <c r="BD37" s="228">
        <f t="shared" si="288"/>
        <v>-6.4659835804747656E-2</v>
      </c>
      <c r="BE37" s="228">
        <f t="shared" si="288"/>
        <v>5.729060352452886E-2</v>
      </c>
      <c r="BF37" s="228"/>
      <c r="BG37" s="829">
        <f t="shared" si="286"/>
        <v>-6.4659835804747656E-2</v>
      </c>
      <c r="BH37" s="228">
        <f t="shared" ref="BH37:BJ37" si="289">+BH30/BG30-1</f>
        <v>5.6440040997608465E-2</v>
      </c>
      <c r="BI37" s="228">
        <f t="shared" si="289"/>
        <v>0.12987516978203217</v>
      </c>
      <c r="BJ37" s="228">
        <f t="shared" si="289"/>
        <v>4.2589730379529511E-2</v>
      </c>
      <c r="BK37" s="228">
        <f t="shared" ref="BK37:BO38" si="290">+BK30/BJ30-1</f>
        <v>7.604458353923027E-2</v>
      </c>
      <c r="BL37" s="228">
        <f t="shared" si="290"/>
        <v>2.6482294111644045E-2</v>
      </c>
      <c r="BM37" s="228">
        <f t="shared" si="290"/>
        <v>8.4903315603718221E-2</v>
      </c>
      <c r="BN37" s="228">
        <f t="shared" si="290"/>
        <v>4.2794959908361907E-2</v>
      </c>
      <c r="BO37" s="228">
        <f t="shared" si="290"/>
        <v>7.4563908783338517E-2</v>
      </c>
      <c r="BP37" s="228"/>
    </row>
    <row r="38" spans="2:68" s="839" customFormat="1" ht="11.45">
      <c r="B38" s="13" t="str">
        <f>+B31</f>
        <v>G&amp;A</v>
      </c>
      <c r="D38" s="840"/>
      <c r="E38" s="840"/>
      <c r="F38" s="840"/>
      <c r="G38" s="840"/>
      <c r="H38" s="840">
        <f t="shared" si="279"/>
        <v>-3.5977859778597798E-2</v>
      </c>
      <c r="I38" s="840">
        <f t="shared" si="279"/>
        <v>-0.15317919075144504</v>
      </c>
      <c r="J38" s="840">
        <f t="shared" si="279"/>
        <v>5.4385964912280649E-2</v>
      </c>
      <c r="K38" s="840">
        <f t="shared" si="279"/>
        <v>4.1506533435818671E-2</v>
      </c>
      <c r="L38" s="840">
        <f t="shared" si="279"/>
        <v>0.11578947368421044</v>
      </c>
      <c r="M38" s="840">
        <f t="shared" si="279"/>
        <v>0.26166097838452784</v>
      </c>
      <c r="N38" s="840">
        <f t="shared" si="279"/>
        <v>4.991680532445919E-3</v>
      </c>
      <c r="O38" s="840">
        <f t="shared" si="279"/>
        <v>-6.199261992619931E-2</v>
      </c>
      <c r="P38" s="840">
        <f t="shared" si="279"/>
        <v>-1.4579759862778707E-2</v>
      </c>
      <c r="Q38" s="840">
        <f t="shared" si="279"/>
        <v>2.0739404869251521E-2</v>
      </c>
      <c r="R38" s="840">
        <f t="shared" si="280"/>
        <v>-2.4006622516556275E-2</v>
      </c>
      <c r="S38" s="840">
        <f t="shared" si="280"/>
        <v>0.12116443745082606</v>
      </c>
      <c r="T38" s="840">
        <f t="shared" si="280"/>
        <v>-7.6588337684943442E-2</v>
      </c>
      <c r="U38" s="840">
        <f t="shared" si="280"/>
        <v>-9.7173144876324669E-3</v>
      </c>
      <c r="V38" s="840">
        <f t="shared" si="280"/>
        <v>7.9728583545377374E-2</v>
      </c>
      <c r="W38" s="840">
        <f t="shared" si="280"/>
        <v>0.16210526315789475</v>
      </c>
      <c r="X38" s="840">
        <f t="shared" si="280"/>
        <v>5.4665409990575009E-2</v>
      </c>
      <c r="Y38" s="840">
        <f t="shared" si="280"/>
        <v>1.605709188224802E-2</v>
      </c>
      <c r="Z38" s="840">
        <f t="shared" si="280"/>
        <v>4.2419481539670123E-2</v>
      </c>
      <c r="AA38" s="840">
        <f t="shared" si="280"/>
        <v>-8.0917874396135292E-2</v>
      </c>
      <c r="AB38" s="840">
        <f t="shared" si="281"/>
        <v>0.15013404825737275</v>
      </c>
      <c r="AC38" s="840">
        <f t="shared" si="281"/>
        <v>0.21510096575943805</v>
      </c>
      <c r="AD38" s="840">
        <f t="shared" si="281"/>
        <v>0.1152976639035419</v>
      </c>
      <c r="AE38" s="840">
        <f t="shared" si="281"/>
        <v>0.14914586070959257</v>
      </c>
      <c r="AF38" s="840">
        <f t="shared" si="281"/>
        <v>8.6247086247086324E-2</v>
      </c>
      <c r="AG38" s="840">
        <f t="shared" si="281"/>
        <v>-0.15751445086705207</v>
      </c>
      <c r="AH38" s="840">
        <f t="shared" si="281"/>
        <v>0.11013513513513518</v>
      </c>
      <c r="AI38" s="840">
        <f t="shared" si="281"/>
        <v>0.25614636935391655</v>
      </c>
      <c r="AJ38" s="840">
        <f t="shared" si="281"/>
        <v>5.4363376251788331E-2</v>
      </c>
      <c r="AK38" s="840">
        <f t="shared" si="281"/>
        <v>0.22384219554030871</v>
      </c>
      <c r="AL38" s="840">
        <f t="shared" si="282"/>
        <v>-6.0864272671945496E-4</v>
      </c>
      <c r="AM38" s="840">
        <f t="shared" si="282"/>
        <v>-9.148839326354119E-2</v>
      </c>
      <c r="AN38" s="840">
        <f t="shared" si="282"/>
        <v>-2.1031207598371737E-2</v>
      </c>
      <c r="AO38" s="840"/>
      <c r="AP38" s="840"/>
      <c r="AQ38" s="840"/>
      <c r="AR38" s="840"/>
      <c r="AS38" s="840"/>
      <c r="AT38" s="840">
        <f t="shared" si="283"/>
        <v>-0.17151675485008822</v>
      </c>
      <c r="AU38" s="840">
        <f t="shared" si="283"/>
        <v>-0.11415646620542841</v>
      </c>
      <c r="AV38" s="840">
        <f t="shared" ref="AV38:BE38" si="291">+AV31/AU31-1</f>
        <v>0.54010213277260433</v>
      </c>
      <c r="AW38" s="840">
        <f t="shared" si="291"/>
        <v>-0.21396528184123265</v>
      </c>
      <c r="AX38" s="840">
        <f t="shared" si="291"/>
        <v>8.1885856079404462E-3</v>
      </c>
      <c r="AY38" s="840">
        <f t="shared" si="291"/>
        <v>3.913364508983519E-2</v>
      </c>
      <c r="AZ38" s="840">
        <f t="shared" si="291"/>
        <v>8.2188536238749332E-2</v>
      </c>
      <c r="BA38" s="840">
        <f t="shared" si="291"/>
        <v>-6.3252352812431578E-2</v>
      </c>
      <c r="BB38" s="840">
        <f t="shared" si="291"/>
        <v>9.2757009345794339E-2</v>
      </c>
      <c r="BC38" s="840">
        <f t="shared" si="291"/>
        <v>-1.4111610006414366E-2</v>
      </c>
      <c r="BD38" s="840">
        <f t="shared" si="291"/>
        <v>-1.0409889394925154E-2</v>
      </c>
      <c r="BE38" s="840">
        <f t="shared" si="291"/>
        <v>-1.7970633355248733E-2</v>
      </c>
      <c r="BF38" s="840"/>
      <c r="BG38" s="908">
        <f t="shared" si="286"/>
        <v>-1.0409889394925154E-2</v>
      </c>
      <c r="BH38" s="840">
        <f t="shared" ref="BH38:BJ38" si="292">+BH31/BG31-1</f>
        <v>-1.7970633355248733E-2</v>
      </c>
      <c r="BI38" s="840">
        <f t="shared" si="292"/>
        <v>6.0923900914974238E-2</v>
      </c>
      <c r="BJ38" s="840">
        <f t="shared" si="292"/>
        <v>2.7555742532604066E-2</v>
      </c>
      <c r="BK38" s="840">
        <f t="shared" si="290"/>
        <v>4.6264073694984642E-2</v>
      </c>
      <c r="BL38" s="840">
        <f t="shared" si="290"/>
        <v>-7.8262570925458075E-4</v>
      </c>
      <c r="BM38" s="840">
        <f t="shared" si="290"/>
        <v>0.15527707068729191</v>
      </c>
      <c r="BN38" s="840">
        <f t="shared" si="290"/>
        <v>8.5423728813559308E-2</v>
      </c>
      <c r="BO38" s="840">
        <f t="shared" si="290"/>
        <v>2.1080574640849559E-2</v>
      </c>
      <c r="BP38" s="840"/>
    </row>
    <row r="39" spans="2:68" s="7" customFormat="1">
      <c r="B39" s="841" t="str">
        <f>+B32</f>
        <v xml:space="preserve">Total Opex </v>
      </c>
      <c r="D39" s="842"/>
      <c r="E39" s="842"/>
      <c r="F39" s="842"/>
      <c r="G39" s="842"/>
      <c r="H39" s="842">
        <f t="shared" si="279"/>
        <v>-2.4367131447137202E-3</v>
      </c>
      <c r="I39" s="842">
        <f t="shared" si="279"/>
        <v>1.6218955904713672E-2</v>
      </c>
      <c r="J39" s="842">
        <f t="shared" si="279"/>
        <v>0.12117584463953168</v>
      </c>
      <c r="K39" s="842">
        <f t="shared" si="279"/>
        <v>9.2025271188461044E-2</v>
      </c>
      <c r="L39" s="842">
        <f t="shared" si="279"/>
        <v>0.16053738634821557</v>
      </c>
      <c r="M39" s="842">
        <f t="shared" si="279"/>
        <v>0.14401496259351632</v>
      </c>
      <c r="N39" s="842">
        <f t="shared" si="279"/>
        <v>9.8350931308577527E-2</v>
      </c>
      <c r="O39" s="842">
        <f t="shared" si="279"/>
        <v>8.7654186224211283E-2</v>
      </c>
      <c r="P39" s="842">
        <f t="shared" si="279"/>
        <v>7.8578110383535904E-2</v>
      </c>
      <c r="Q39" s="842">
        <f t="shared" si="279"/>
        <v>6.7029972752043587E-2</v>
      </c>
      <c r="R39" s="842">
        <f t="shared" si="280"/>
        <v>8.6627781378267432E-2</v>
      </c>
      <c r="S39" s="842">
        <f t="shared" si="280"/>
        <v>9.3938177438779524E-2</v>
      </c>
      <c r="T39" s="842">
        <f t="shared" si="280"/>
        <v>8.0117085862966064E-2</v>
      </c>
      <c r="U39" s="842">
        <f t="shared" si="280"/>
        <v>8.8559754851889716E-2</v>
      </c>
      <c r="V39" s="842">
        <f t="shared" si="280"/>
        <v>0.10049701789264409</v>
      </c>
      <c r="W39" s="842">
        <f t="shared" si="280"/>
        <v>0.12724770642201833</v>
      </c>
      <c r="X39" s="842">
        <f t="shared" si="280"/>
        <v>3.1416240088326886E-2</v>
      </c>
      <c r="Y39" s="842">
        <f t="shared" si="280"/>
        <v>3.0777892465046364E-2</v>
      </c>
      <c r="Z39" s="842">
        <f t="shared" si="280"/>
        <v>4.8956733809050634E-2</v>
      </c>
      <c r="AA39" s="842">
        <f t="shared" si="280"/>
        <v>6.3400341824692674E-2</v>
      </c>
      <c r="AB39" s="842">
        <f t="shared" si="281"/>
        <v>0.11259244842351102</v>
      </c>
      <c r="AC39" s="842">
        <f t="shared" si="281"/>
        <v>0.13982703686845688</v>
      </c>
      <c r="AD39" s="842">
        <f t="shared" si="281"/>
        <v>0.15224317575131319</v>
      </c>
      <c r="AE39" s="842">
        <f t="shared" si="281"/>
        <v>0.14051737333537417</v>
      </c>
      <c r="AF39" s="842">
        <f t="shared" si="281"/>
        <v>0.15035423773287859</v>
      </c>
      <c r="AG39" s="842">
        <f t="shared" si="281"/>
        <v>9.3283284082740892E-2</v>
      </c>
      <c r="AH39" s="842">
        <f t="shared" si="281"/>
        <v>7.4433898811748112E-2</v>
      </c>
      <c r="AI39" s="842">
        <f t="shared" si="281"/>
        <v>1.5971010602603641E-2</v>
      </c>
      <c r="AJ39" s="842">
        <f t="shared" si="281"/>
        <v>1.2773722627737127E-2</v>
      </c>
      <c r="AK39" s="842">
        <f t="shared" si="281"/>
        <v>8.2255825845569452E-2</v>
      </c>
      <c r="AL39" s="842">
        <f t="shared" si="282"/>
        <v>7.8249982611114932E-2</v>
      </c>
      <c r="AM39" s="842">
        <f t="shared" si="282"/>
        <v>0.11413474240422716</v>
      </c>
      <c r="AN39" s="842">
        <f t="shared" si="282"/>
        <v>0.1039039039039038</v>
      </c>
      <c r="AO39" s="842">
        <f t="shared" ref="AO39" si="293">+AO32/AK32-1</f>
        <v>3.6399514286198587E-2</v>
      </c>
      <c r="AP39" s="842">
        <f t="shared" ref="AP39" si="294">+AP32/AL32-1</f>
        <v>4.9458145724931901E-2</v>
      </c>
      <c r="AQ39" s="842">
        <f t="shared" ref="AQ39" si="295">+AQ32/AM32-1</f>
        <v>6.7202181319769627E-2</v>
      </c>
      <c r="AR39" s="842"/>
      <c r="AS39" s="842"/>
      <c r="AT39" s="842">
        <f t="shared" si="283"/>
        <v>5.5836504874615445E-2</v>
      </c>
      <c r="AU39" s="842">
        <f t="shared" si="283"/>
        <v>8.5868062413588797E-2</v>
      </c>
      <c r="AV39" s="842">
        <f t="shared" ref="AV39:BD39" si="296">+AV32/AU32-1</f>
        <v>0.20735755536355782</v>
      </c>
      <c r="AW39" s="842">
        <f t="shared" si="296"/>
        <v>-2.3803246582049686E-2</v>
      </c>
      <c r="AX39" s="842">
        <f t="shared" si="296"/>
        <v>2.7778849492650082E-3</v>
      </c>
      <c r="AY39" s="842">
        <f t="shared" si="296"/>
        <v>4.6708476010926869E-2</v>
      </c>
      <c r="AZ39" s="842">
        <f t="shared" si="296"/>
        <v>3.7934203271457356E-2</v>
      </c>
      <c r="BA39" s="842">
        <f t="shared" si="296"/>
        <v>6.1267131777455131E-2</v>
      </c>
      <c r="BB39" s="842">
        <f t="shared" si="296"/>
        <v>6.3469816798478407E-2</v>
      </c>
      <c r="BC39" s="842">
        <f t="shared" si="296"/>
        <v>1.5720606231761192E-2</v>
      </c>
      <c r="BD39" s="842">
        <f t="shared" si="296"/>
        <v>-3.466172381835031E-2</v>
      </c>
      <c r="BE39" s="842">
        <f>+BE32/BD32-1</f>
        <v>5.7891705069124333E-2</v>
      </c>
      <c r="BF39" s="842"/>
      <c r="BG39" s="1177">
        <f t="shared" si="286"/>
        <v>-3.466172381835031E-2</v>
      </c>
      <c r="BH39" s="842">
        <f>+BH32/BG32-1</f>
        <v>5.7493747194253819E-2</v>
      </c>
      <c r="BI39" s="842">
        <f t="shared" ref="BI39:BJ39" si="297">+BI32/BH32-1</f>
        <v>0.12037963552563746</v>
      </c>
      <c r="BJ39" s="842">
        <f t="shared" si="297"/>
        <v>8.1869604048824041E-2</v>
      </c>
      <c r="BK39" s="842">
        <f>+BK32/BJ32-1</f>
        <v>0.10016510731975781</v>
      </c>
      <c r="BL39" s="842">
        <f>+BL32/BK32-1</f>
        <v>4.4613215698758424E-2</v>
      </c>
      <c r="BM39" s="842">
        <f t="shared" ref="BM39" si="298">+BM32/BL32-1</f>
        <v>0.13707009142359605</v>
      </c>
      <c r="BN39" s="842">
        <f>+BN32/BM32-1</f>
        <v>7.8890441640982356E-2</v>
      </c>
      <c r="BO39" s="842">
        <f>+BO32/BN32-1</f>
        <v>7.3583164768089793E-2</v>
      </c>
      <c r="BP39" s="842">
        <f t="shared" ref="BP39" si="299">+BP32/BO32-1</f>
        <v>6.319354390017029E-2</v>
      </c>
    </row>
    <row r="40" spans="2:68" s="7" customFormat="1">
      <c r="B40" s="841" t="s">
        <v>272</v>
      </c>
      <c r="D40" s="842"/>
      <c r="E40" s="842"/>
      <c r="F40" s="842"/>
      <c r="G40" s="842"/>
      <c r="H40" s="842"/>
      <c r="I40" s="842"/>
      <c r="J40" s="842"/>
      <c r="K40" s="842"/>
      <c r="L40" s="842">
        <f t="shared" ref="L40:AM40" si="300">+(L434*H432+L614*H612+L817*H815)/H32</f>
        <v>0.1679514716449885</v>
      </c>
      <c r="M40" s="842">
        <f t="shared" si="300"/>
        <v>0.14503115411805603</v>
      </c>
      <c r="N40" s="842">
        <f t="shared" si="300"/>
        <v>9.7174014011080098E-2</v>
      </c>
      <c r="O40" s="842">
        <f t="shared" si="300"/>
        <v>9.4313111539682859E-2</v>
      </c>
      <c r="P40" s="842">
        <f t="shared" si="300"/>
        <v>8.1753497322182719E-2</v>
      </c>
      <c r="Q40" s="842">
        <f t="shared" si="300"/>
        <v>7.3959316029914415E-2</v>
      </c>
      <c r="R40" s="842">
        <f t="shared" si="300"/>
        <v>0.1022099245353776</v>
      </c>
      <c r="S40" s="842">
        <f t="shared" si="300"/>
        <v>0.11517558041469764</v>
      </c>
      <c r="T40" s="842">
        <f t="shared" si="300"/>
        <v>8.6878063584268875E-2</v>
      </c>
      <c r="U40" s="842">
        <f t="shared" si="300"/>
        <v>9.2729486561841823E-2</v>
      </c>
      <c r="V40" s="842">
        <f t="shared" si="300"/>
        <v>0.10515678018687305</v>
      </c>
      <c r="W40" s="842">
        <f t="shared" si="300"/>
        <v>0.13597534833959668</v>
      </c>
      <c r="X40" s="842">
        <f t="shared" si="300"/>
        <v>3.2218846239480681E-2</v>
      </c>
      <c r="Y40" s="842">
        <f t="shared" si="300"/>
        <v>2.0166052075010155E-2</v>
      </c>
      <c r="Z40" s="842">
        <f t="shared" si="300"/>
        <v>4.0054536519647008E-2</v>
      </c>
      <c r="AA40" s="842">
        <f t="shared" si="300"/>
        <v>3.6220296800922425E-2</v>
      </c>
      <c r="AB40" s="842">
        <f t="shared" si="300"/>
        <v>0.10191683238218763</v>
      </c>
      <c r="AC40" s="842">
        <f t="shared" si="300"/>
        <v>0.14699622030934134</v>
      </c>
      <c r="AD40" s="842">
        <f t="shared" si="300"/>
        <v>0.16386023641297637</v>
      </c>
      <c r="AE40" s="842">
        <f t="shared" si="300"/>
        <v>0.15308649764512169</v>
      </c>
      <c r="AF40" s="842">
        <f t="shared" si="300"/>
        <v>0.18184924404353559</v>
      </c>
      <c r="AG40" s="842">
        <f t="shared" si="300"/>
        <v>0.11454655944240447</v>
      </c>
      <c r="AH40" s="842">
        <f t="shared" si="300"/>
        <v>9.0410902446003139E-2</v>
      </c>
      <c r="AI40" s="842">
        <f t="shared" si="300"/>
        <v>1.5728020836741581E-2</v>
      </c>
      <c r="AJ40" s="842">
        <f t="shared" si="300"/>
        <v>7.8945617331758079E-3</v>
      </c>
      <c r="AK40" s="842">
        <f t="shared" si="300"/>
        <v>7.799599824676734E-2</v>
      </c>
      <c r="AL40" s="842">
        <f t="shared" si="300"/>
        <v>7.2337001950747937E-2</v>
      </c>
      <c r="AM40" s="842">
        <f t="shared" si="300"/>
        <v>0.10371848779326737</v>
      </c>
      <c r="AN40" s="842">
        <f>(AJ346*AN348+AJ550*AN552+AJ715*AN717)/AJ32</f>
        <v>0.10370016436700558</v>
      </c>
      <c r="AO40" s="842">
        <f t="shared" ref="AO40:AQ40" si="301">+AO39+AO14-AO13</f>
        <v>3.7829261208061515E-2</v>
      </c>
      <c r="AP40" s="842">
        <f t="shared" si="301"/>
        <v>6.5514576871547936E-2</v>
      </c>
      <c r="AQ40" s="842">
        <f t="shared" si="301"/>
        <v>7.7469525355583269E-2</v>
      </c>
      <c r="AR40" s="842"/>
      <c r="AS40" s="842"/>
      <c r="AT40" s="842"/>
      <c r="AU40" s="842"/>
      <c r="AV40" s="842"/>
      <c r="AW40" s="842"/>
      <c r="AX40" s="842" t="s">
        <v>273</v>
      </c>
      <c r="AY40" s="842" t="s">
        <v>273</v>
      </c>
      <c r="AZ40" s="842" t="s">
        <v>273</v>
      </c>
      <c r="BA40" s="842" t="s">
        <v>273</v>
      </c>
      <c r="BB40" s="842" t="s">
        <v>273</v>
      </c>
      <c r="BC40" s="842" t="s">
        <v>273</v>
      </c>
      <c r="BD40" s="842" t="s">
        <v>273</v>
      </c>
      <c r="BE40" s="842" t="s">
        <v>273</v>
      </c>
      <c r="BF40" s="842"/>
      <c r="BG40" s="1177" t="str">
        <f t="shared" si="286"/>
        <v>NA</v>
      </c>
      <c r="BH40" s="842" t="s">
        <v>273</v>
      </c>
      <c r="BI40" s="1164">
        <f>SUMPRODUCT(L40:O40,H32:K32)/BH32</f>
        <v>0.12383233055863302</v>
      </c>
      <c r="BJ40" s="1164">
        <f>SUMPRODUCT(P40:S40,L32:O32)/BI32</f>
        <v>9.3956577939168714E-2</v>
      </c>
      <c r="BK40" s="1164">
        <f>SUMPRODUCT(T40:W40,P32:S32)/BJ32</f>
        <v>0.10629893024273963</v>
      </c>
      <c r="BL40" s="1164">
        <f>SUMPRODUCT(X40:AA40,T32:W32)/BK32</f>
        <v>3.2388661208997117E-2</v>
      </c>
      <c r="BM40" s="1164">
        <f>SUMPRODUCT(AB40:AE40,X32:AA32)/BL32</f>
        <v>0.14290787882787395</v>
      </c>
      <c r="BN40" s="1164">
        <f>SUMPRODUCT(AF40:AI40,AB32:AE32)/BM32</f>
        <v>9.4903748876604299E-2</v>
      </c>
      <c r="BO40" s="842">
        <f>SUMPRODUCT(AJ40:AM40,AF32:AI32)/BN32</f>
        <v>6.7103223644392931E-2</v>
      </c>
      <c r="BP40" s="842">
        <f>SUMPRODUCT(AN40:AQ40,AJ32:AM32)/BO32</f>
        <v>7.0474995761121567E-2</v>
      </c>
    </row>
    <row r="41" spans="2:68" s="7" customFormat="1">
      <c r="B41" s="841" t="s">
        <v>274</v>
      </c>
      <c r="D41" s="842"/>
      <c r="E41" s="842"/>
      <c r="F41" s="842"/>
      <c r="G41" s="842"/>
      <c r="H41" s="842"/>
      <c r="I41" s="842"/>
      <c r="J41" s="842"/>
      <c r="K41" s="842"/>
      <c r="L41" s="842"/>
      <c r="M41" s="842"/>
      <c r="N41" s="842"/>
      <c r="O41" s="842"/>
      <c r="P41" s="842"/>
      <c r="Q41" s="842"/>
      <c r="R41" s="842"/>
      <c r="S41" s="842"/>
      <c r="T41" s="842"/>
      <c r="U41" s="842"/>
      <c r="V41" s="842"/>
      <c r="W41" s="842"/>
      <c r="X41" s="842"/>
      <c r="Y41" s="842"/>
      <c r="Z41" s="842"/>
      <c r="AA41" s="842"/>
      <c r="AB41" s="842">
        <f t="shared" ref="AB41:AI41" si="302">+AB40</f>
        <v>0.10191683238218763</v>
      </c>
      <c r="AC41" s="842">
        <f t="shared" si="302"/>
        <v>0.14699622030934134</v>
      </c>
      <c r="AD41" s="842">
        <f t="shared" si="302"/>
        <v>0.16386023641297637</v>
      </c>
      <c r="AE41" s="842">
        <f t="shared" si="302"/>
        <v>0.15308649764512169</v>
      </c>
      <c r="AF41" s="842">
        <f t="shared" si="302"/>
        <v>0.18184924404353559</v>
      </c>
      <c r="AG41" s="842">
        <f t="shared" si="302"/>
        <v>0.11454655944240447</v>
      </c>
      <c r="AH41" s="842">
        <f t="shared" si="302"/>
        <v>9.0410902446003139E-2</v>
      </c>
      <c r="AI41" s="842">
        <f t="shared" si="302"/>
        <v>1.5728020836741581E-2</v>
      </c>
      <c r="AJ41" s="842">
        <f>+AJ40</f>
        <v>7.8945617331758079E-3</v>
      </c>
      <c r="AK41" s="842">
        <f t="shared" ref="AK41:AQ41" si="303">+(AK32-AK814)/(AG32-AG814)-1-AK39+AK40</f>
        <v>2.0225889400247721E-3</v>
      </c>
      <c r="AL41" s="842">
        <f t="shared" si="303"/>
        <v>-2.087425954934774E-3</v>
      </c>
      <c r="AM41" s="842">
        <f t="shared" si="303"/>
        <v>3.1063269827613482E-2</v>
      </c>
      <c r="AN41" s="842">
        <f t="shared" si="303"/>
        <v>3.3129593796435208E-2</v>
      </c>
      <c r="AO41" s="842">
        <f t="shared" si="303"/>
        <v>4.7110966823861622E-2</v>
      </c>
      <c r="AP41" s="842">
        <f t="shared" si="303"/>
        <v>7.4031775868615313E-2</v>
      </c>
      <c r="AQ41" s="842">
        <f t="shared" si="303"/>
        <v>9.8963842926089729E-2</v>
      </c>
      <c r="AR41" s="842"/>
      <c r="AS41" s="842"/>
      <c r="AT41" s="842"/>
      <c r="AU41" s="842"/>
      <c r="AV41" s="842"/>
      <c r="AW41" s="842"/>
      <c r="AX41" s="842" t="s">
        <v>273</v>
      </c>
      <c r="AY41" s="842" t="s">
        <v>273</v>
      </c>
      <c r="AZ41" s="842" t="s">
        <v>273</v>
      </c>
      <c r="BA41" s="842" t="s">
        <v>273</v>
      </c>
      <c r="BB41" s="842" t="s">
        <v>273</v>
      </c>
      <c r="BC41" s="842" t="s">
        <v>273</v>
      </c>
      <c r="BD41" s="842" t="s">
        <v>273</v>
      </c>
      <c r="BE41" s="842" t="s">
        <v>273</v>
      </c>
      <c r="BF41" s="842"/>
      <c r="BG41" s="1177" t="str">
        <f t="shared" si="286"/>
        <v>NA</v>
      </c>
      <c r="BH41" s="842" t="s">
        <v>273</v>
      </c>
      <c r="BI41" s="1164">
        <f>+BI40</f>
        <v>0.12383233055863302</v>
      </c>
      <c r="BJ41" s="1164">
        <f t="shared" ref="BJ41:BN41" si="304">+BJ40</f>
        <v>9.3956577939168714E-2</v>
      </c>
      <c r="BK41" s="1164">
        <f t="shared" si="304"/>
        <v>0.10629893024273963</v>
      </c>
      <c r="BL41" s="1164">
        <f t="shared" si="304"/>
        <v>3.2388661208997117E-2</v>
      </c>
      <c r="BM41" s="1164">
        <f t="shared" si="304"/>
        <v>0.14290787882787395</v>
      </c>
      <c r="BN41" s="842">
        <f t="shared" si="304"/>
        <v>9.4903748876604299E-2</v>
      </c>
      <c r="BO41" s="842">
        <f>+(BO32-BO814)/BN32-1</f>
        <v>1.6625856134000472E-2</v>
      </c>
      <c r="BP41" s="842">
        <f>+(BP32-BP814)/(BO32-BO814)-1-BP39+BP40</f>
        <v>6.5026898648276571E-2</v>
      </c>
    </row>
    <row r="42" spans="2:68">
      <c r="B42" s="13"/>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3"/>
      <c r="AS42" s="3"/>
      <c r="AT42" s="14"/>
      <c r="AU42" s="14"/>
      <c r="AV42" s="14"/>
      <c r="AW42" s="14"/>
      <c r="AX42" s="14"/>
      <c r="AY42" s="14"/>
      <c r="AZ42" s="14"/>
      <c r="BA42" s="14"/>
      <c r="BB42" s="14"/>
      <c r="BC42" s="14"/>
      <c r="BD42" s="14"/>
      <c r="BE42" s="14"/>
      <c r="BH42" s="14"/>
      <c r="BI42" s="14"/>
      <c r="BJ42" s="14"/>
      <c r="BK42" s="14"/>
      <c r="BL42" s="14"/>
      <c r="BM42" s="14"/>
      <c r="BN42" s="14"/>
      <c r="BO42" s="14"/>
      <c r="BP42" s="14"/>
    </row>
    <row r="43" spans="2:68">
      <c r="B43" s="24" t="s">
        <v>123</v>
      </c>
    </row>
    <row r="44" spans="2:68" s="3" customFormat="1">
      <c r="B44" s="13" t="str">
        <f>+B29</f>
        <v>R&amp;D</v>
      </c>
      <c r="D44" s="228">
        <f t="shared" ref="D44:N44" si="305">IFERROR(D29/D$12,"n/a ")</f>
        <v>0.14165471066475371</v>
      </c>
      <c r="E44" s="228">
        <f t="shared" si="305"/>
        <v>0.11483784104858828</v>
      </c>
      <c r="F44" s="228">
        <f t="shared" si="305"/>
        <v>0.13849514337500582</v>
      </c>
      <c r="G44" s="228">
        <f t="shared" si="305"/>
        <v>0.13402061855670103</v>
      </c>
      <c r="H44" s="228">
        <f t="shared" si="305"/>
        <v>0.14164538489602335</v>
      </c>
      <c r="I44" s="228">
        <f t="shared" si="305"/>
        <v>0.11856268876326183</v>
      </c>
      <c r="J44" s="228">
        <f t="shared" si="305"/>
        <v>0.14453730828881614</v>
      </c>
      <c r="K44" s="228">
        <f t="shared" si="305"/>
        <v>0.13723882054286271</v>
      </c>
      <c r="L44" s="228">
        <f t="shared" si="305"/>
        <v>0.14565164235063982</v>
      </c>
      <c r="M44" s="228">
        <f t="shared" si="305"/>
        <v>0.12117020540839615</v>
      </c>
      <c r="N44" s="228">
        <f t="shared" si="305"/>
        <v>0.13852119765837653</v>
      </c>
      <c r="O44" s="228">
        <f t="shared" ref="O44:V44" si="306">IFERROR(O29/O$12,"n/a ")</f>
        <v>0.1307295994681735</v>
      </c>
      <c r="P44" s="228">
        <f t="shared" si="306"/>
        <v>0.13674185118965754</v>
      </c>
      <c r="Q44" s="228">
        <f t="shared" si="306"/>
        <v>0.12534261340888794</v>
      </c>
      <c r="R44" s="228">
        <f t="shared" si="306"/>
        <v>0.14117954924601747</v>
      </c>
      <c r="S44" s="228">
        <f t="shared" si="306"/>
        <v>0.13384939348103331</v>
      </c>
      <c r="T44" s="228">
        <f t="shared" si="306"/>
        <v>0.13810316139767054</v>
      </c>
      <c r="U44" s="228">
        <f t="shared" si="306"/>
        <v>0.1247222673819975</v>
      </c>
      <c r="V44" s="228">
        <f t="shared" si="306"/>
        <v>0.13954484452185831</v>
      </c>
      <c r="W44" s="228">
        <f t="shared" ref="W44:X44" si="307">IFERROR(W29/W$12,"n/a ")</f>
        <v>0.13709147319433124</v>
      </c>
      <c r="X44" s="228">
        <f t="shared" si="307"/>
        <v>0.13258330193249718</v>
      </c>
      <c r="Y44" s="228">
        <f t="shared" ref="Y44:Z44" si="308">IFERROR(Y29/Y$12,"n/a ")</f>
        <v>0.11372922276905933</v>
      </c>
      <c r="Z44" s="228">
        <f t="shared" si="308"/>
        <v>0.12477820937035439</v>
      </c>
      <c r="AA44" s="228">
        <f t="shared" ref="AA44:AB44" si="309">IFERROR(AA29/AA$12,"n/a ")</f>
        <v>0.12322326226382388</v>
      </c>
      <c r="AB44" s="228">
        <f t="shared" si="309"/>
        <v>0.12355186795242404</v>
      </c>
      <c r="AC44" s="228">
        <f t="shared" ref="AC44:AD44" si="310">IFERROR(AC29/AC$12,"n/a ")</f>
        <v>0.11131302196102691</v>
      </c>
      <c r="AD44" s="228">
        <f t="shared" si="310"/>
        <v>0.12775526742301457</v>
      </c>
      <c r="AE44" s="228">
        <f t="shared" ref="AE44:AF44" si="311">IFERROR(AE29/AE$12,"n/a ")</f>
        <v>0.13205437192711847</v>
      </c>
      <c r="AF44" s="228">
        <f t="shared" si="311"/>
        <v>0.13223734088823272</v>
      </c>
      <c r="AG44" s="228">
        <f t="shared" ref="AG44:AH44" si="312">IFERROR(AG29/AG$12,"n/a ")</f>
        <v>0.1297514550590555</v>
      </c>
      <c r="AH44" s="228">
        <f t="shared" si="312"/>
        <v>0.13213008683807254</v>
      </c>
      <c r="AI44" s="228">
        <f t="shared" ref="AI44:AJ44" si="313">IFERROR(AI29/AI$12,"n/a ")</f>
        <v>0.11993450675399099</v>
      </c>
      <c r="AJ44" s="228">
        <f t="shared" si="313"/>
        <v>0.11782295592476599</v>
      </c>
      <c r="AK44" s="228">
        <f t="shared" ref="AK44:AL44" si="314">IFERROR(AK29/AK$12,"n/a ")</f>
        <v>0.11515640116091583</v>
      </c>
      <c r="AL44" s="228">
        <f t="shared" si="314"/>
        <v>0.12371883992369621</v>
      </c>
      <c r="AM44" s="228">
        <f t="shared" ref="AM44:AN44" si="315">IFERROR(AM29/AM$12,"n/a ")</f>
        <v>0.12446119857246589</v>
      </c>
      <c r="AN44" s="228">
        <f t="shared" si="315"/>
        <v>0.11502630174582602</v>
      </c>
      <c r="AO44" s="228"/>
      <c r="AP44" s="228"/>
      <c r="AQ44" s="228"/>
      <c r="AR44" s="228"/>
      <c r="AS44" s="228">
        <f t="shared" ref="AS44:BE44" si="316">IFERROR(AS29/AS$12,"n/a ")</f>
        <v>0.1532371569317382</v>
      </c>
      <c r="AT44" s="228">
        <f t="shared" si="316"/>
        <v>0.14868343796576486</v>
      </c>
      <c r="AU44" s="228">
        <f t="shared" si="316"/>
        <v>0.13929423731465906</v>
      </c>
      <c r="AV44" s="228">
        <f t="shared" si="316"/>
        <v>0.13512082092022509</v>
      </c>
      <c r="AW44" s="228">
        <f t="shared" si="316"/>
        <v>0.15418313739582798</v>
      </c>
      <c r="AX44" s="228">
        <f t="shared" si="316"/>
        <v>0.139459701683631</v>
      </c>
      <c r="AY44" s="228">
        <f t="shared" si="316"/>
        <v>0.12929099409519179</v>
      </c>
      <c r="AZ44" s="228">
        <f t="shared" si="316"/>
        <v>0.13307922900587332</v>
      </c>
      <c r="BA44" s="228">
        <f t="shared" si="316"/>
        <v>0.13373325283561768</v>
      </c>
      <c r="BB44" s="228">
        <f t="shared" si="316"/>
        <v>0.13106768164177213</v>
      </c>
      <c r="BC44" s="228">
        <f t="shared" si="316"/>
        <v>0.12872408634323573</v>
      </c>
      <c r="BD44" s="228">
        <f t="shared" si="316"/>
        <v>0.14050632911392405</v>
      </c>
      <c r="BE44" s="228">
        <f t="shared" si="316"/>
        <v>0.1449360755975542</v>
      </c>
      <c r="BF44" s="228"/>
      <c r="BG44" s="228">
        <f t="shared" ref="BG44:BJ46" si="317">IFERROR(BG29/BG$12,"n/a ")</f>
        <v>0.13151370208657875</v>
      </c>
      <c r="BH44" s="228">
        <f t="shared" si="317"/>
        <v>0.13499911981857907</v>
      </c>
      <c r="BI44" s="228">
        <f t="shared" si="317"/>
        <v>0.13343602754621239</v>
      </c>
      <c r="BJ44" s="228">
        <f t="shared" si="317"/>
        <v>0.13410360528595155</v>
      </c>
      <c r="BK44" s="228">
        <f t="shared" ref="BK44:BL44" si="318">IFERROR(BK29/BK$12,"n/a ")</f>
        <v>0.1347341187987274</v>
      </c>
      <c r="BL44" s="228">
        <f t="shared" si="318"/>
        <v>0.12324496692208843</v>
      </c>
      <c r="BM44" s="228">
        <f t="shared" ref="BM44:BN44" si="319">IFERROR(BM29/BM$12,"n/a ")</f>
        <v>0.12362939426035205</v>
      </c>
      <c r="BN44" s="228">
        <f t="shared" si="319"/>
        <v>0.12832975485454073</v>
      </c>
      <c r="BO44" s="228">
        <f t="shared" ref="BO44" si="320">IFERROR(BO29/BO$12,"n/a ")</f>
        <v>0.12038903076835208</v>
      </c>
      <c r="BP44" s="228"/>
    </row>
    <row r="45" spans="2:68" s="3" customFormat="1">
      <c r="B45" s="13" t="str">
        <f>+B30</f>
        <v>S&amp;M</v>
      </c>
      <c r="D45" s="228">
        <f t="shared" ref="D45:N45" si="321">IFERROR(D30/D$12,"n/a ")</f>
        <v>0.15978000956480154</v>
      </c>
      <c r="E45" s="228">
        <f t="shared" si="321"/>
        <v>0.15657545638142004</v>
      </c>
      <c r="F45" s="228">
        <f t="shared" si="321"/>
        <v>0.15792164335176836</v>
      </c>
      <c r="G45" s="228">
        <f t="shared" si="321"/>
        <v>0.16793047627161967</v>
      </c>
      <c r="H45" s="228">
        <f t="shared" si="321"/>
        <v>0.14675300985041956</v>
      </c>
      <c r="I45" s="228">
        <f t="shared" si="321"/>
        <v>0.1579416092310075</v>
      </c>
      <c r="J45" s="228">
        <f t="shared" si="321"/>
        <v>0.16681027054971567</v>
      </c>
      <c r="K45" s="228">
        <f t="shared" si="321"/>
        <v>0.16762351103300135</v>
      </c>
      <c r="L45" s="228">
        <f t="shared" si="321"/>
        <v>0.15535088434265221</v>
      </c>
      <c r="M45" s="228">
        <f t="shared" si="321"/>
        <v>0.15775641468981258</v>
      </c>
      <c r="N45" s="228">
        <f t="shared" si="321"/>
        <v>0.16163913643312577</v>
      </c>
      <c r="O45" s="228">
        <f t="shared" ref="O45:V45" si="322">IFERROR(O30/O$12,"n/a ")</f>
        <v>0.15821838125311616</v>
      </c>
      <c r="P45" s="228">
        <f t="shared" si="322"/>
        <v>0.14090221427589053</v>
      </c>
      <c r="Q45" s="228">
        <f t="shared" si="322"/>
        <v>0.14129530966092821</v>
      </c>
      <c r="R45" s="228">
        <f t="shared" si="322"/>
        <v>0.14932452324098</v>
      </c>
      <c r="S45" s="228">
        <f t="shared" si="322"/>
        <v>0.14716611798202686</v>
      </c>
      <c r="T45" s="228">
        <f t="shared" si="322"/>
        <v>0.13120556648010892</v>
      </c>
      <c r="U45" s="228">
        <f t="shared" si="322"/>
        <v>0.13366390288841923</v>
      </c>
      <c r="V45" s="228">
        <f t="shared" si="322"/>
        <v>0.14023014762571029</v>
      </c>
      <c r="W45" s="228">
        <f t="shared" ref="W45:X45" si="323">IFERROR(W30/W$12,"n/a ")</f>
        <v>0.14242894328609365</v>
      </c>
      <c r="X45" s="228">
        <f t="shared" si="323"/>
        <v>0.11387737524896377</v>
      </c>
      <c r="Y45" s="228">
        <f t="shared" ref="Y45:Z45" si="324">IFERROR(Y30/Y$12,"n/a ")</f>
        <v>0.11484353236140775</v>
      </c>
      <c r="Z45" s="228">
        <f t="shared" si="324"/>
        <v>0.12185297079556898</v>
      </c>
      <c r="AA45" s="228">
        <f t="shared" ref="AA45:AB45" si="325">IFERROR(AA30/AA$12,"n/a ")</f>
        <v>0.12690674293638413</v>
      </c>
      <c r="AB45" s="228">
        <f t="shared" si="325"/>
        <v>0.100337621643092</v>
      </c>
      <c r="AC45" s="228">
        <f t="shared" ref="AC45:AD45" si="326">IFERROR(AC30/AC$12,"n/a ")</f>
        <v>0.10398623569440149</v>
      </c>
      <c r="AD45" s="228">
        <f t="shared" si="326"/>
        <v>0.11335089141004863</v>
      </c>
      <c r="AE45" s="228">
        <f t="shared" ref="AE45:AF45" si="327">IFERROR(AE30/AE$12,"n/a ")</f>
        <v>0.12154632218258941</v>
      </c>
      <c r="AF45" s="228">
        <f t="shared" si="327"/>
        <v>0.10227046007741111</v>
      </c>
      <c r="AG45" s="228">
        <f t="shared" ref="AG45:AH45" si="328">IFERROR(AG30/AG$12,"n/a ")</f>
        <v>0.10766489089426887</v>
      </c>
      <c r="AH45" s="228">
        <f t="shared" si="328"/>
        <v>0.10878407779480485</v>
      </c>
      <c r="AI45" s="228">
        <f t="shared" ref="AI45:AJ45" si="329">IFERROR(AI30/AI$12,"n/a ")</f>
        <v>0.11041307017387746</v>
      </c>
      <c r="AJ45" s="228">
        <f t="shared" si="329"/>
        <v>9.1777695206751955E-2</v>
      </c>
      <c r="AK45" s="228">
        <f t="shared" ref="AK45:AL45" si="330">IFERROR(AK30/AK$12,"n/a ")</f>
        <v>0.10070944856497904</v>
      </c>
      <c r="AL45" s="228">
        <f t="shared" si="330"/>
        <v>0.10034272042419735</v>
      </c>
      <c r="AM45" s="228">
        <f t="shared" ref="AM45:AN45" si="331">IFERROR(AM30/AM$12,"n/a ")</f>
        <v>0.10530381448236439</v>
      </c>
      <c r="AN45" s="228">
        <f t="shared" si="331"/>
        <v>8.716932225356408E-2</v>
      </c>
      <c r="AO45" s="228"/>
      <c r="AP45" s="228"/>
      <c r="AQ45" s="228"/>
      <c r="AR45" s="228"/>
      <c r="AS45" s="228">
        <f t="shared" ref="AS45:BE45" si="332">IFERROR(AS30/AS$12,"n/a ")</f>
        <v>0.21483864481753293</v>
      </c>
      <c r="AT45" s="228">
        <f t="shared" si="332"/>
        <v>0.22379296328079129</v>
      </c>
      <c r="AU45" s="228">
        <f t="shared" si="332"/>
        <v>0.22575407847893275</v>
      </c>
      <c r="AV45" s="228">
        <f t="shared" si="332"/>
        <v>0.21946375372393248</v>
      </c>
      <c r="AW45" s="228">
        <f t="shared" si="332"/>
        <v>0.22039119051285999</v>
      </c>
      <c r="AX45" s="228">
        <f t="shared" si="332"/>
        <v>0.21147813840343127</v>
      </c>
      <c r="AY45" s="228">
        <f t="shared" si="332"/>
        <v>0.1993051484780464</v>
      </c>
      <c r="AZ45" s="228">
        <f t="shared" si="332"/>
        <v>0.18796033802205553</v>
      </c>
      <c r="BA45" s="228">
        <f t="shared" si="332"/>
        <v>0.19622602730927821</v>
      </c>
      <c r="BB45" s="228">
        <f t="shared" si="332"/>
        <v>0.18208515195835684</v>
      </c>
      <c r="BC45" s="228">
        <f t="shared" si="332"/>
        <v>0.16790980978841633</v>
      </c>
      <c r="BD45" s="228">
        <f t="shared" si="332"/>
        <v>0.17225738396624474</v>
      </c>
      <c r="BE45" s="228">
        <f t="shared" si="332"/>
        <v>0.17275152862701501</v>
      </c>
      <c r="BF45" s="228"/>
      <c r="BG45" s="228">
        <f t="shared" si="317"/>
        <v>0.16055247164139808</v>
      </c>
      <c r="BH45" s="228">
        <f t="shared" si="317"/>
        <v>0.16009982292820826</v>
      </c>
      <c r="BI45" s="228">
        <f t="shared" si="317"/>
        <v>0.15829104748097136</v>
      </c>
      <c r="BJ45" s="228">
        <f t="shared" si="317"/>
        <v>0.14472795467368069</v>
      </c>
      <c r="BK45" s="228">
        <f t="shared" ref="BK45:BL45" si="333">IFERROR(BK30/BK$12,"n/a ")</f>
        <v>0.13703457679264414</v>
      </c>
      <c r="BL45" s="228">
        <f t="shared" si="333"/>
        <v>0.1196813573842273</v>
      </c>
      <c r="BM45" s="228">
        <f t="shared" ref="BM45:BN45" si="334">IFERROR(BM30/BM$12,"n/a ")</f>
        <v>0.11007716749886519</v>
      </c>
      <c r="BN45" s="228">
        <f t="shared" si="334"/>
        <v>0.10739683363612769</v>
      </c>
      <c r="BO45" s="228">
        <f t="shared" ref="BO45" si="335">IFERROR(BO30/BO$12,"n/a ")</f>
        <v>9.9770726413785787E-2</v>
      </c>
      <c r="BP45" s="228"/>
    </row>
    <row r="46" spans="2:68" s="839" customFormat="1" ht="11.45">
      <c r="B46" s="13" t="str">
        <f>+B31</f>
        <v>G&amp;A</v>
      </c>
      <c r="D46" s="840">
        <f t="shared" ref="D46:N46" si="336">IFERROR(D31/D$12,"n/a ")</f>
        <v>5.1841224294595888E-2</v>
      </c>
      <c r="E46" s="840">
        <f t="shared" si="336"/>
        <v>4.1104027244287807E-2</v>
      </c>
      <c r="F46" s="840">
        <f t="shared" si="336"/>
        <v>5.2981363572988799E-2</v>
      </c>
      <c r="G46" s="840">
        <f t="shared" si="336"/>
        <v>5.5423021214961232E-2</v>
      </c>
      <c r="H46" s="840">
        <f t="shared" si="336"/>
        <v>4.7655964976286026E-2</v>
      </c>
      <c r="I46" s="840">
        <f t="shared" si="336"/>
        <v>3.4035468132889338E-2</v>
      </c>
      <c r="J46" s="840">
        <f t="shared" si="336"/>
        <v>5.178356022746855E-2</v>
      </c>
      <c r="K46" s="840">
        <f t="shared" si="336"/>
        <v>5.291935168912322E-2</v>
      </c>
      <c r="L46" s="840">
        <f t="shared" si="336"/>
        <v>4.7518135137338005E-2</v>
      </c>
      <c r="M46" s="840">
        <f t="shared" si="336"/>
        <v>3.834981672314821E-2</v>
      </c>
      <c r="N46" s="840">
        <f t="shared" si="336"/>
        <v>4.5042693612737238E-2</v>
      </c>
      <c r="O46" s="840">
        <f t="shared" ref="O46:V46" si="337">IFERROR(O31/O$12,"n/a ")</f>
        <v>4.2246966927040053E-2</v>
      </c>
      <c r="P46" s="840">
        <f t="shared" si="337"/>
        <v>3.9506257736212351E-2</v>
      </c>
      <c r="Q46" s="840">
        <f t="shared" si="337"/>
        <v>3.486187675156293E-2</v>
      </c>
      <c r="R46" s="840">
        <f t="shared" si="337"/>
        <v>3.8565961205063622E-2</v>
      </c>
      <c r="S46" s="840">
        <f t="shared" si="337"/>
        <v>4.2263546578877126E-2</v>
      </c>
      <c r="T46" s="840">
        <f t="shared" si="337"/>
        <v>3.2098018454091666E-2</v>
      </c>
      <c r="U46" s="840">
        <f t="shared" si="337"/>
        <v>3.0374464856662873E-2</v>
      </c>
      <c r="V46" s="840">
        <f t="shared" si="337"/>
        <v>3.6349618800148482E-2</v>
      </c>
      <c r="W46" s="840">
        <f t="shared" ref="W46:X46" si="338">IFERROR(W31/W$12,"n/a ")</f>
        <v>4.3541135329845132E-2</v>
      </c>
      <c r="X46" s="840">
        <f t="shared" si="338"/>
        <v>3.0117887710609893E-2</v>
      </c>
      <c r="Y46" s="840">
        <f t="shared" ref="Y46:Z46" si="339">IFERROR(Y31/Y$12,"n/a ")</f>
        <v>2.6441638035100752E-2</v>
      </c>
      <c r="Z46" s="840">
        <f t="shared" si="339"/>
        <v>3.1817963842133028E-2</v>
      </c>
      <c r="AA46" s="840">
        <f t="shared" ref="AA46:AB46" si="340">IFERROR(AA31/AA$12,"n/a ")</f>
        <v>3.2977985786098112E-2</v>
      </c>
      <c r="AB46" s="840">
        <f t="shared" si="340"/>
        <v>2.8399938213032636E-2</v>
      </c>
      <c r="AC46" s="840">
        <f t="shared" ref="AC46:AD46" si="341">IFERROR(AC31/AC$12,"n/a ")</f>
        <v>2.6755335601608414E-2</v>
      </c>
      <c r="AD46" s="840">
        <f t="shared" si="341"/>
        <v>2.9983792544570502E-2</v>
      </c>
      <c r="AE46" s="840">
        <f t="shared" ref="AE46:AF46" si="342">IFERROR(AE31/AE$12,"n/a ")</f>
        <v>3.3722163308589605E-2</v>
      </c>
      <c r="AF46" s="840">
        <f t="shared" si="342"/>
        <v>2.789194365747576E-2</v>
      </c>
      <c r="AG46" s="840">
        <f t="shared" ref="AG46:AH46" si="343">IFERROR(AG31/AG$12,"n/a ")</f>
        <v>2.2105522588962406E-2</v>
      </c>
      <c r="AH46" s="840">
        <f t="shared" si="343"/>
        <v>3.1083867794237281E-2</v>
      </c>
      <c r="AI46" s="840">
        <f t="shared" ref="AI46:AJ46" si="344">IFERROR(AI31/AI$12,"n/a ")</f>
        <v>3.9100179750484972E-2</v>
      </c>
      <c r="AJ46" s="840">
        <f t="shared" si="344"/>
        <v>2.608064830051135E-2</v>
      </c>
      <c r="AK46" s="840">
        <f t="shared" ref="AK46:AL46" si="345">IFERROR(AK31/AK$12,"n/a ")</f>
        <v>2.3008706868752015E-2</v>
      </c>
      <c r="AL46" s="840">
        <f t="shared" si="345"/>
        <v>2.6544666817549873E-2</v>
      </c>
      <c r="AM46" s="840">
        <f t="shared" ref="AM46:AN46" si="346">IFERROR(AM31/AM$12,"n/a ")</f>
        <v>3.0837208583744034E-2</v>
      </c>
      <c r="AN46" s="840">
        <f t="shared" si="346"/>
        <v>2.2001982160555007E-2</v>
      </c>
      <c r="AO46" s="840"/>
      <c r="AP46" s="840"/>
      <c r="AQ46" s="840"/>
      <c r="AR46" s="840"/>
      <c r="AS46" s="840">
        <f t="shared" ref="AS46:BE46" si="347">IFERROR(AS31/AS$12,"n/a ")</f>
        <v>0.11400422237860662</v>
      </c>
      <c r="AT46" s="840">
        <f t="shared" si="347"/>
        <v>8.4865182241091186E-2</v>
      </c>
      <c r="AU46" s="840">
        <f t="shared" si="347"/>
        <v>6.5118735573725592E-2</v>
      </c>
      <c r="AV46" s="840">
        <f t="shared" si="347"/>
        <v>8.4856007944389272E-2</v>
      </c>
      <c r="AW46" s="840">
        <f t="shared" si="347"/>
        <v>6.896315690401629E-2</v>
      </c>
      <c r="AX46" s="840">
        <f t="shared" si="347"/>
        <v>6.5024646309455217E-2</v>
      </c>
      <c r="AY46" s="840">
        <f t="shared" si="347"/>
        <v>6.0363438800165849E-2</v>
      </c>
      <c r="AZ46" s="840">
        <f t="shared" si="347"/>
        <v>6.1975231610216619E-2</v>
      </c>
      <c r="BA46" s="840">
        <f t="shared" si="347"/>
        <v>5.4978227080630451E-2</v>
      </c>
      <c r="BB46" s="840">
        <f t="shared" si="347"/>
        <v>5.3862010986606472E-2</v>
      </c>
      <c r="BC46" s="840">
        <f t="shared" si="347"/>
        <v>4.9273349006197904E-2</v>
      </c>
      <c r="BD46" s="840">
        <f t="shared" si="347"/>
        <v>5.3481012658227849E-2</v>
      </c>
      <c r="BE46" s="840">
        <f t="shared" si="347"/>
        <v>4.9816564758198997E-2</v>
      </c>
      <c r="BF46" s="840"/>
      <c r="BG46" s="840">
        <f t="shared" si="317"/>
        <v>5.0058143361783353E-2</v>
      </c>
      <c r="BH46" s="840">
        <f t="shared" si="317"/>
        <v>4.6401093495977055E-2</v>
      </c>
      <c r="BI46" s="840">
        <f t="shared" si="317"/>
        <v>4.3077201884740846E-2</v>
      </c>
      <c r="BJ46" s="840">
        <f t="shared" si="317"/>
        <v>3.8818209991815199E-2</v>
      </c>
      <c r="BK46" s="840">
        <f t="shared" ref="BK46:BL46" si="348">IFERROR(BK31/BK$12,"n/a ")</f>
        <v>3.5737510051393209E-2</v>
      </c>
      <c r="BL46" s="840">
        <f t="shared" si="348"/>
        <v>3.0382894674218265E-2</v>
      </c>
      <c r="BM46" s="840">
        <f t="shared" ref="BM46:BN46" si="349">IFERROR(BM31/BM$12,"n/a ")</f>
        <v>2.9757401523175468E-2</v>
      </c>
      <c r="BN46" s="840">
        <f t="shared" si="349"/>
        <v>3.0219663544345611E-2</v>
      </c>
      <c r="BO46" s="840">
        <f t="shared" ref="BO46" si="350">IFERROR(BO31/BO$12,"n/a ")</f>
        <v>2.6676512104176694E-2</v>
      </c>
      <c r="BP46" s="840"/>
    </row>
    <row r="47" spans="2:68" s="7" customFormat="1">
      <c r="B47" s="841" t="str">
        <f>+B32</f>
        <v xml:space="preserve">Total Opex </v>
      </c>
      <c r="D47" s="842">
        <f t="shared" ref="D47:V47" si="351">+D32/D12</f>
        <v>0.35327594452415112</v>
      </c>
      <c r="E47" s="842">
        <f t="shared" si="351"/>
        <v>0.3125173246742961</v>
      </c>
      <c r="F47" s="842">
        <f t="shared" si="351"/>
        <v>0.34939815029976296</v>
      </c>
      <c r="G47" s="842">
        <f t="shared" si="351"/>
        <v>0.35737411604328195</v>
      </c>
      <c r="H47" s="842">
        <f t="shared" si="351"/>
        <v>0.33605435972272896</v>
      </c>
      <c r="I47" s="842">
        <f t="shared" si="351"/>
        <v>0.31053976612715867</v>
      </c>
      <c r="J47" s="842">
        <f t="shared" si="351"/>
        <v>0.36313113906600036</v>
      </c>
      <c r="K47" s="842">
        <f t="shared" si="351"/>
        <v>0.35778168326498733</v>
      </c>
      <c r="L47" s="842">
        <f t="shared" si="351"/>
        <v>0.34852066183063002</v>
      </c>
      <c r="M47" s="842">
        <f t="shared" si="351"/>
        <v>0.31727643682135692</v>
      </c>
      <c r="N47" s="842">
        <f t="shared" si="351"/>
        <v>0.34520302770423955</v>
      </c>
      <c r="O47" s="842">
        <f t="shared" si="351"/>
        <v>0.33119494764832974</v>
      </c>
      <c r="P47" s="842">
        <f t="shared" si="351"/>
        <v>0.3171503232017604</v>
      </c>
      <c r="Q47" s="842">
        <f t="shared" si="351"/>
        <v>0.30149979982137909</v>
      </c>
      <c r="R47" s="842">
        <f t="shared" si="351"/>
        <v>0.32907003369206111</v>
      </c>
      <c r="S47" s="842">
        <f t="shared" si="351"/>
        <v>0.32327905804193729</v>
      </c>
      <c r="T47" s="842">
        <f t="shared" si="351"/>
        <v>0.30140674633187114</v>
      </c>
      <c r="U47" s="842">
        <f t="shared" si="351"/>
        <v>0.28876063512707961</v>
      </c>
      <c r="V47" s="842">
        <f t="shared" si="351"/>
        <v>0.3161246109477171</v>
      </c>
      <c r="W47" s="842">
        <f t="shared" ref="W47:X47" si="352">+W32/W12</f>
        <v>0.32306155181027002</v>
      </c>
      <c r="X47" s="842">
        <f t="shared" si="352"/>
        <v>0.27657856489207083</v>
      </c>
      <c r="Y47" s="842">
        <f t="shared" ref="Y47:Z47" si="353">+Y32/Y12</f>
        <v>0.25501439316556784</v>
      </c>
      <c r="Z47" s="842">
        <f t="shared" si="353"/>
        <v>0.27844914400805637</v>
      </c>
      <c r="AA47" s="842">
        <f t="shared" ref="AA47:AB47" si="354">+AA32/AA12</f>
        <v>0.28310799098630612</v>
      </c>
      <c r="AB47" s="842">
        <f t="shared" si="354"/>
        <v>0.25228942780854868</v>
      </c>
      <c r="AC47" s="842">
        <f t="shared" ref="AC47:AD47" si="355">+AC32/AC12</f>
        <v>0.24205459325703682</v>
      </c>
      <c r="AD47" s="842">
        <f t="shared" si="355"/>
        <v>0.2710899513776337</v>
      </c>
      <c r="AE47" s="842">
        <f t="shared" ref="AE47:AF47" si="356">+AE32/AE12</f>
        <v>0.28732285741829749</v>
      </c>
      <c r="AF47" s="842">
        <f t="shared" si="356"/>
        <v>0.2623997446231196</v>
      </c>
      <c r="AG47" s="842">
        <f t="shared" ref="AG47:AH47" si="357">+AG32/AG12</f>
        <v>0.25952186854228676</v>
      </c>
      <c r="AH47" s="842">
        <f t="shared" si="357"/>
        <v>0.27199803242711468</v>
      </c>
      <c r="AI47" s="842">
        <f t="shared" ref="AI47:AJ47" si="358">+AI32/AI12</f>
        <v>0.26944775667835341</v>
      </c>
      <c r="AJ47" s="842">
        <f t="shared" si="358"/>
        <v>0.23568129943202931</v>
      </c>
      <c r="AK47" s="842">
        <f t="shared" ref="AK47:AL47" si="359">+AK32/AK12</f>
        <v>0.23887455659464688</v>
      </c>
      <c r="AL47" s="842">
        <f t="shared" si="359"/>
        <v>0.25060622716544345</v>
      </c>
      <c r="AM47" s="842">
        <f t="shared" ref="AM47:AN47" si="360">+AM32/AM12</f>
        <v>0.26060222163857433</v>
      </c>
      <c r="AN47" s="842">
        <f t="shared" si="360"/>
        <v>0.22419760615994511</v>
      </c>
      <c r="AO47" s="842">
        <f t="shared" ref="AO47:AQ47" si="361">+AO32/AO12</f>
        <v>0.22268943337905453</v>
      </c>
      <c r="AP47" s="842">
        <f t="shared" si="361"/>
        <v>0.23347305218103848</v>
      </c>
      <c r="AQ47" s="842">
        <f t="shared" si="361"/>
        <v>0.2441596440223803</v>
      </c>
      <c r="AR47" s="842"/>
      <c r="AS47" s="842">
        <f t="shared" ref="AS47:BE47" si="362">+AS32/AS12</f>
        <v>0.48208002412787776</v>
      </c>
      <c r="AT47" s="842">
        <f t="shared" si="362"/>
        <v>0.45734158348764736</v>
      </c>
      <c r="AU47" s="842">
        <f t="shared" si="362"/>
        <v>0.43016705136731742</v>
      </c>
      <c r="AV47" s="842">
        <f t="shared" si="362"/>
        <v>0.43944058258854685</v>
      </c>
      <c r="AW47" s="842">
        <f t="shared" si="362"/>
        <v>0.44353748481270427</v>
      </c>
      <c r="AX47" s="842">
        <f t="shared" si="362"/>
        <v>0.41596248639651751</v>
      </c>
      <c r="AY47" s="842">
        <f t="shared" si="362"/>
        <v>0.38895958137340408</v>
      </c>
      <c r="AZ47" s="842">
        <f t="shared" si="362"/>
        <v>0.38301479863814547</v>
      </c>
      <c r="BA47" s="842">
        <f t="shared" si="362"/>
        <v>0.38493750722552633</v>
      </c>
      <c r="BB47" s="842">
        <f t="shared" si="362"/>
        <v>0.36701484458673544</v>
      </c>
      <c r="BC47" s="842">
        <f t="shared" si="362"/>
        <v>0.34590724513784998</v>
      </c>
      <c r="BD47" s="842">
        <f t="shared" si="362"/>
        <v>0.36624472573839661</v>
      </c>
      <c r="BE47" s="842">
        <f t="shared" si="362"/>
        <v>0.36750416898276822</v>
      </c>
      <c r="BF47" s="842"/>
      <c r="BG47" s="842">
        <f>+BG32/BG12</f>
        <v>0.34212431708976021</v>
      </c>
      <c r="BH47" s="842">
        <f>+BH32/BH12</f>
        <v>0.34150003624276437</v>
      </c>
      <c r="BI47" s="842">
        <f>+BI32/BI12</f>
        <v>0.3348042769119246</v>
      </c>
      <c r="BJ47" s="842">
        <f>+BJ32/BJ12</f>
        <v>0.31764976995144745</v>
      </c>
      <c r="BK47" s="842">
        <f t="shared" ref="BK47" si="363">+BK32/BK12</f>
        <v>0.30750620564276476</v>
      </c>
      <c r="BL47" s="842">
        <f t="shared" ref="BL47:BM47" si="364">+BL32/BL12</f>
        <v>0.27330921898053401</v>
      </c>
      <c r="BM47" s="842">
        <f t="shared" si="364"/>
        <v>0.26346396328239269</v>
      </c>
      <c r="BN47" s="842">
        <f t="shared" ref="BN47" si="365">+BN32/BN12</f>
        <v>0.26594625203501404</v>
      </c>
      <c r="BO47" s="842">
        <f t="shared" ref="BO47:BP47" si="366">+BO32/BO12</f>
        <v>0.24683626928631458</v>
      </c>
      <c r="BP47" s="842">
        <f t="shared" si="366"/>
        <v>0.23144406969484682</v>
      </c>
    </row>
    <row r="48" spans="2:68">
      <c r="B48" s="843"/>
      <c r="D48" s="825"/>
      <c r="E48" s="825"/>
      <c r="F48" s="825"/>
      <c r="G48" s="825"/>
      <c r="H48" s="825"/>
      <c r="I48" s="825"/>
      <c r="J48" s="825"/>
      <c r="K48" s="825"/>
      <c r="L48" s="825"/>
      <c r="M48" s="825"/>
      <c r="N48" s="825"/>
      <c r="O48" s="825"/>
      <c r="P48" s="825"/>
      <c r="Q48" s="825"/>
      <c r="R48" s="825"/>
      <c r="S48" s="825"/>
      <c r="T48" s="825"/>
      <c r="U48" s="825"/>
      <c r="X48" s="826"/>
      <c r="Y48" s="826"/>
      <c r="Z48" s="844"/>
      <c r="AA48" s="828"/>
      <c r="AB48" s="827"/>
      <c r="AC48" s="828"/>
      <c r="AG48" s="8"/>
      <c r="AN48" s="828" t="s">
        <v>267</v>
      </c>
      <c r="AO48" s="992">
        <f>+BX158*1000</f>
        <v>30149.999999999996</v>
      </c>
      <c r="AP48" s="827" t="s">
        <v>286</v>
      </c>
      <c r="AQ48" s="827"/>
      <c r="AX48" s="8"/>
      <c r="BA48" s="8"/>
      <c r="BB48" s="8"/>
    </row>
    <row r="49" spans="2:74">
      <c r="B49" t="s">
        <v>95</v>
      </c>
      <c r="D49" s="8">
        <f t="shared" ref="D49:V49" si="367">+D22-D32</f>
        <v>6316</v>
      </c>
      <c r="E49" s="8">
        <f t="shared" si="367"/>
        <v>7489</v>
      </c>
      <c r="F49" s="8">
        <f t="shared" si="367"/>
        <v>6277</v>
      </c>
      <c r="G49" s="8">
        <f t="shared" si="367"/>
        <v>7106</v>
      </c>
      <c r="H49" s="8">
        <f t="shared" si="367"/>
        <v>6715</v>
      </c>
      <c r="I49" s="8">
        <f t="shared" si="367"/>
        <v>7905</v>
      </c>
      <c r="J49" s="8">
        <f t="shared" si="367"/>
        <v>6723</v>
      </c>
      <c r="K49" s="8">
        <f t="shared" si="367"/>
        <v>7988</v>
      </c>
      <c r="L49" s="8">
        <f t="shared" si="367"/>
        <v>7708</v>
      </c>
      <c r="M49" s="8">
        <f t="shared" si="367"/>
        <v>8679</v>
      </c>
      <c r="N49" s="8">
        <f t="shared" si="367"/>
        <v>8292</v>
      </c>
      <c r="O49" s="8">
        <f t="shared" si="367"/>
        <v>10379</v>
      </c>
      <c r="P49" s="8">
        <f t="shared" si="367"/>
        <v>9955</v>
      </c>
      <c r="Q49" s="8">
        <f t="shared" si="367"/>
        <v>10258</v>
      </c>
      <c r="R49" s="8">
        <f t="shared" si="367"/>
        <v>10341</v>
      </c>
      <c r="S49" s="8">
        <f t="shared" si="367"/>
        <v>12405</v>
      </c>
      <c r="T49" s="8">
        <f t="shared" si="367"/>
        <v>12686</v>
      </c>
      <c r="U49" s="8">
        <f t="shared" si="367"/>
        <v>13891</v>
      </c>
      <c r="V49" s="8">
        <f t="shared" si="367"/>
        <v>12975</v>
      </c>
      <c r="W49" s="8">
        <f>+W22-W32</f>
        <v>13407</v>
      </c>
      <c r="X49" s="8">
        <f t="shared" ref="X49" si="368">+X22-X32</f>
        <v>15876</v>
      </c>
      <c r="Y49" s="8">
        <f t="shared" ref="Y49" si="369">+Y22-Y32</f>
        <v>17897</v>
      </c>
      <c r="Z49" s="8">
        <f t="shared" ref="Z49:AA49" si="370">+Z259</f>
        <v>17048</v>
      </c>
      <c r="AA49" s="8">
        <f t="shared" si="370"/>
        <v>19095</v>
      </c>
      <c r="AB49" s="8">
        <f t="shared" ref="AB49:AD49" si="371">+AB259</f>
        <v>20238</v>
      </c>
      <c r="AC49" s="8">
        <f t="shared" si="371"/>
        <v>22247</v>
      </c>
      <c r="AD49" s="8">
        <f t="shared" si="371"/>
        <v>20364</v>
      </c>
      <c r="AE49" s="8">
        <f t="shared" ref="AE49:AF49" si="372">+AE259</f>
        <v>20534</v>
      </c>
      <c r="AF49" s="8">
        <f t="shared" si="372"/>
        <v>21518</v>
      </c>
      <c r="AG49" s="8">
        <f>+AG1111</f>
        <v>21570</v>
      </c>
      <c r="AH49" s="8">
        <f t="shared" ref="AH49:AI49" si="373">+AH1111</f>
        <v>22352</v>
      </c>
      <c r="AI49" s="8">
        <f t="shared" si="373"/>
        <v>24254</v>
      </c>
      <c r="AJ49" s="8">
        <f t="shared" ref="AJ49:AK49" si="374">+AJ1111</f>
        <v>26895</v>
      </c>
      <c r="AK49" s="8">
        <f t="shared" si="374"/>
        <v>28162</v>
      </c>
      <c r="AL49" s="8">
        <f t="shared" ref="AL49" si="375">+AL1111</f>
        <v>28521</v>
      </c>
      <c r="AM49" s="8">
        <f t="shared" ref="AM49:AN49" si="376">+AM1111</f>
        <v>28865</v>
      </c>
      <c r="AN49" s="8">
        <f t="shared" si="376"/>
        <v>31462</v>
      </c>
      <c r="AO49" s="8">
        <f>+AO188</f>
        <v>31872.765274016641</v>
      </c>
      <c r="AP49" s="8">
        <f t="shared" ref="AP49:AQ49" si="377">+AP188</f>
        <v>32764.505813520242</v>
      </c>
      <c r="AQ49" s="8">
        <f t="shared" si="377"/>
        <v>33501.755036249015</v>
      </c>
      <c r="AS49" s="8">
        <f t="shared" ref="AS49:BE49" si="378">+AS22-AS32</f>
        <v>14576</v>
      </c>
      <c r="AT49" s="8">
        <f t="shared" si="378"/>
        <v>16380</v>
      </c>
      <c r="AU49" s="8">
        <f t="shared" si="378"/>
        <v>18438</v>
      </c>
      <c r="AV49" s="8">
        <f t="shared" si="378"/>
        <v>22271</v>
      </c>
      <c r="AW49" s="8">
        <f t="shared" si="378"/>
        <v>20363</v>
      </c>
      <c r="AX49" s="8">
        <f t="shared" si="378"/>
        <v>24098</v>
      </c>
      <c r="AY49" s="8">
        <f t="shared" si="378"/>
        <v>27161</v>
      </c>
      <c r="AZ49" s="8">
        <f t="shared" si="378"/>
        <v>27956</v>
      </c>
      <c r="BA49" s="8">
        <f t="shared" si="378"/>
        <v>27497</v>
      </c>
      <c r="BB49" s="8">
        <f t="shared" si="378"/>
        <v>27886</v>
      </c>
      <c r="BC49" s="8">
        <f t="shared" si="378"/>
        <v>28172</v>
      </c>
      <c r="BD49" s="8">
        <f t="shared" si="378"/>
        <v>21292</v>
      </c>
      <c r="BE49" s="8">
        <f t="shared" si="378"/>
        <v>22632</v>
      </c>
      <c r="BG49" s="8">
        <f>+BG22-BG32</f>
        <v>27188</v>
      </c>
      <c r="BH49" s="8">
        <f>+BH22-BH32</f>
        <v>29331</v>
      </c>
      <c r="BI49" s="8">
        <f>+BI22-BI32</f>
        <v>35058</v>
      </c>
      <c r="BJ49" s="8">
        <f>+BJ22-BJ32</f>
        <v>42959</v>
      </c>
      <c r="BK49" s="8">
        <f>SUM(T49:W49)</f>
        <v>52959</v>
      </c>
      <c r="BL49" s="8">
        <f>SUM(X49:AA49)</f>
        <v>69916</v>
      </c>
      <c r="BM49" s="8">
        <f>SUM(AB49:AE49)</f>
        <v>83383</v>
      </c>
      <c r="BN49" s="8">
        <f>SUM(AF49:AI49)</f>
        <v>89694</v>
      </c>
      <c r="BO49" s="8">
        <f>SUM(AJ49:AM49)</f>
        <v>112443</v>
      </c>
      <c r="BP49" s="8">
        <f>+SUM(AN49:AQ49)</f>
        <v>129601.02612378589</v>
      </c>
      <c r="BR49" s="8">
        <f>+SUM(Z49:AC49)</f>
        <v>78628</v>
      </c>
      <c r="BS49" s="8">
        <f>+SUM(AD49:AG49)</f>
        <v>83986</v>
      </c>
      <c r="BT49" s="8">
        <f>+SUM(AH49:AK49)</f>
        <v>101663</v>
      </c>
      <c r="BU49" s="8">
        <f>+SUM(AL49:AO49)</f>
        <v>120720.76527401664</v>
      </c>
    </row>
    <row r="50" spans="2:74" s="3" customFormat="1">
      <c r="B50" s="13" t="s">
        <v>113</v>
      </c>
      <c r="D50" s="228"/>
      <c r="E50" s="228"/>
      <c r="F50" s="228"/>
      <c r="G50" s="228"/>
      <c r="H50" s="228">
        <f>IFERROR(H49/D49-1,"n/a ")</f>
        <v>6.317289423685879E-2</v>
      </c>
      <c r="I50" s="228">
        <f t="shared" ref="I50" si="379">IFERROR(I49/E49-1,"n/a ")</f>
        <v>5.5548137267993125E-2</v>
      </c>
      <c r="J50" s="228">
        <f t="shared" ref="J50" si="380">IFERROR(J49/F49-1,"n/a ")</f>
        <v>7.1053050820455654E-2</v>
      </c>
      <c r="K50" s="228">
        <f t="shared" ref="K50" si="381">IFERROR(K49/G49-1,"n/a ")</f>
        <v>0.12412046158176193</v>
      </c>
      <c r="L50" s="228">
        <f t="shared" ref="L50" si="382">IFERROR(L49/H49-1,"n/a ")</f>
        <v>0.14787788533134782</v>
      </c>
      <c r="M50" s="228">
        <f t="shared" ref="M50" si="383">IFERROR(M49/I49-1,"n/a ")</f>
        <v>9.7912713472485757E-2</v>
      </c>
      <c r="N50" s="228">
        <f t="shared" ref="N50" si="384">IFERROR(N49/J49-1,"n/a ")</f>
        <v>0.23337795626952262</v>
      </c>
      <c r="O50" s="228">
        <f t="shared" ref="O50" si="385">IFERROR(O49/K49-1,"n/a ")</f>
        <v>0.29932398597896848</v>
      </c>
      <c r="P50" s="228">
        <f t="shared" ref="P50" si="386">IFERROR(P49/L49-1,"n/a ")</f>
        <v>0.29151530877010901</v>
      </c>
      <c r="Q50" s="228">
        <f t="shared" ref="Q50" si="387">IFERROR(Q49/M49-1,"n/a ")</f>
        <v>0.18193340246572176</v>
      </c>
      <c r="R50" s="228">
        <f t="shared" ref="R50" si="388">IFERROR(R49/N49-1,"n/a ")</f>
        <v>0.2471056439942112</v>
      </c>
      <c r="S50" s="228">
        <f t="shared" ref="S50" si="389">IFERROR(S49/O49-1,"n/a ")</f>
        <v>0.19520184988919942</v>
      </c>
      <c r="T50" s="228">
        <f t="shared" ref="T50" si="390">IFERROR(T49/P49-1,"n/a ")</f>
        <v>0.27433450527373182</v>
      </c>
      <c r="U50" s="228">
        <f t="shared" ref="U50" si="391">IFERROR(U49/Q49-1,"n/a ")</f>
        <v>0.3541626047962565</v>
      </c>
      <c r="V50" s="228">
        <f t="shared" ref="V50" si="392">IFERROR(V49/R49-1,"n/a ")</f>
        <v>0.25471424427038003</v>
      </c>
      <c r="W50" s="228">
        <f t="shared" ref="W50" si="393">IFERROR(W49/S49-1,"n/a ")</f>
        <v>8.0773881499395461E-2</v>
      </c>
      <c r="X50" s="228">
        <f t="shared" ref="X50" si="394">IFERROR(X49/T49-1,"n/a ")</f>
        <v>0.25145830048872764</v>
      </c>
      <c r="Y50" s="228">
        <f t="shared" ref="Y50" si="395">IFERROR(Y49/U49-1,"n/a ")</f>
        <v>0.28838816499892017</v>
      </c>
      <c r="Z50" s="228">
        <f t="shared" ref="Z50" si="396">IFERROR(Z49/V49-1,"n/a ")</f>
        <v>0.31391136801541419</v>
      </c>
      <c r="AA50" s="228">
        <f t="shared" ref="AA50" si="397">IFERROR(AA49/W49-1,"n/a ")</f>
        <v>0.42425598567912282</v>
      </c>
      <c r="AB50" s="228">
        <f t="shared" ref="AB50" si="398">IFERROR(AB49/X49-1,"n/a ")</f>
        <v>0.27475434618291761</v>
      </c>
      <c r="AC50" s="228">
        <f t="shared" ref="AC50" si="399">IFERROR(AC49/Y49-1,"n/a ")</f>
        <v>0.24305749566966539</v>
      </c>
      <c r="AD50" s="228">
        <f t="shared" ref="AD50" si="400">IFERROR(AD49/Z49-1,"n/a ")</f>
        <v>0.19450961989676219</v>
      </c>
      <c r="AE50" s="228">
        <f t="shared" ref="AE50" si="401">IFERROR(AE49/AA49-1,"n/a ")</f>
        <v>7.5360041895784269E-2</v>
      </c>
      <c r="AF50" s="228">
        <f t="shared" ref="AF50" si="402">IFERROR(AF49/AB49-1,"n/a ")</f>
        <v>6.3247356458147941E-2</v>
      </c>
      <c r="AG50" s="228">
        <f t="shared" ref="AG50" si="403">IFERROR(AG49/AC49-1,"n/a ")</f>
        <v>-3.0431069357666152E-2</v>
      </c>
      <c r="AH50" s="228">
        <f t="shared" ref="AH50" si="404">IFERROR(AH49/AD49-1,"n/a ")</f>
        <v>9.7623256727558338E-2</v>
      </c>
      <c r="AI50" s="228">
        <f t="shared" ref="AI50" si="405">IFERROR(AI49/AE49-1,"n/a ")</f>
        <v>0.18116294925489429</v>
      </c>
      <c r="AJ50" s="228">
        <f t="shared" ref="AJ50" si="406">IFERROR(AJ49/AF49-1,"n/a ")</f>
        <v>0.2498838181987173</v>
      </c>
      <c r="AK50" s="228">
        <f t="shared" ref="AK50" si="407">IFERROR(AK49/AG49-1,"n/a ")</f>
        <v>0.30560964302271665</v>
      </c>
      <c r="AL50" s="228">
        <f t="shared" ref="AL50" si="408">IFERROR(AL49/AH49-1,"n/a ")</f>
        <v>0.2759931997136722</v>
      </c>
      <c r="AM50" s="228">
        <f t="shared" ref="AM50" si="409">IFERROR(AM49/AI49-1,"n/a ")</f>
        <v>0.19011297105632052</v>
      </c>
      <c r="AN50" s="228">
        <f t="shared" ref="AN50" si="410">IFERROR(AN49/AJ49-1,"n/a ")</f>
        <v>0.16980851459379065</v>
      </c>
      <c r="AO50" s="228">
        <f t="shared" ref="AO50" si="411">IFERROR(AO49/AK49-1,"n/a ")</f>
        <v>0.13176497670679077</v>
      </c>
      <c r="AP50" s="228">
        <f t="shared" ref="AP50" si="412">IFERROR(AP49/AL49-1,"n/a ")</f>
        <v>0.1487853095445546</v>
      </c>
      <c r="AQ50" s="228">
        <f t="shared" ref="AQ50" si="413">IFERROR(AQ49/AM49-1,"n/a ")</f>
        <v>0.16063589247354981</v>
      </c>
      <c r="AR50" s="228"/>
      <c r="AS50" s="228"/>
      <c r="AT50" s="228">
        <f>IFERROR(AT49/AS49-1,"n/a ")</f>
        <v>0.12376509330406149</v>
      </c>
      <c r="AU50" s="228">
        <f t="shared" ref="AU50" si="414">IFERROR(AU49/AT49-1,"n/a ")</f>
        <v>0.12564102564102564</v>
      </c>
      <c r="AV50" s="228">
        <f t="shared" ref="AV50" si="415">IFERROR(AV49/AU49-1,"n/a ")</f>
        <v>0.2078858878403298</v>
      </c>
      <c r="AW50" s="228">
        <f t="shared" ref="AW50" si="416">IFERROR(AW49/AV49-1,"n/a ")</f>
        <v>-8.5671950069597269E-2</v>
      </c>
      <c r="AX50" s="228">
        <f t="shared" ref="AX50" si="417">IFERROR(AX49/AW49-1,"n/a ")</f>
        <v>0.18342091047488096</v>
      </c>
      <c r="AY50" s="228">
        <f t="shared" ref="AY50" si="418">IFERROR(AY49/AX49-1,"n/a ")</f>
        <v>0.12710598389907868</v>
      </c>
      <c r="AZ50" s="228">
        <f t="shared" ref="AZ50" si="419">IFERROR(AZ49/AY49-1,"n/a ")</f>
        <v>2.9269909060785748E-2</v>
      </c>
      <c r="BA50" s="228">
        <f t="shared" ref="BA50" si="420">IFERROR(BA49/AZ49-1,"n/a ")</f>
        <v>-1.6418657890971522E-2</v>
      </c>
      <c r="BB50" s="228">
        <f t="shared" ref="BB50" si="421">IFERROR(BB49/BA49-1,"n/a ")</f>
        <v>1.4146997854311394E-2</v>
      </c>
      <c r="BC50" s="228">
        <f t="shared" ref="BC50" si="422">IFERROR(BC49/BB49-1,"n/a ")</f>
        <v>1.025604245858136E-2</v>
      </c>
      <c r="BD50" s="228">
        <f t="shared" ref="BD50" si="423">IFERROR(BD49/BC49-1,"n/a ")</f>
        <v>-0.24421411330398979</v>
      </c>
      <c r="BE50" s="228">
        <f t="shared" ref="BE50" si="424">IFERROR(BE49/BD49-1,"n/a ")</f>
        <v>6.2934435468720684E-2</v>
      </c>
      <c r="BF50" s="228"/>
      <c r="BG50" s="829">
        <f t="shared" ref="BG50" si="425">+BD50</f>
        <v>-0.24421411330398979</v>
      </c>
      <c r="BH50" s="228">
        <f t="shared" ref="BH50" si="426">IFERROR(BH49/BG49-1,"n/a ")</f>
        <v>7.882153891422683E-2</v>
      </c>
      <c r="BI50" s="228">
        <f t="shared" ref="BI50" si="427">IFERROR(BI49/BH49-1,"n/a ")</f>
        <v>0.19525416794517736</v>
      </c>
      <c r="BJ50" s="228">
        <f t="shared" ref="BJ50" si="428">IFERROR(BJ49/BI49-1,"n/a ")</f>
        <v>0.22536938787152727</v>
      </c>
      <c r="BK50" s="228">
        <f t="shared" ref="BK50" si="429">IFERROR(BK49/BJ49-1,"n/a ")</f>
        <v>0.23278009264647692</v>
      </c>
      <c r="BL50" s="228">
        <f t="shared" ref="BL50:BM50" si="430">IFERROR(BL49/BK49-1,"n/a ")</f>
        <v>0.3201910912215109</v>
      </c>
      <c r="BM50" s="228">
        <f t="shared" si="430"/>
        <v>0.19261685451112753</v>
      </c>
      <c r="BN50" s="228">
        <f t="shared" ref="BN50" si="431">IFERROR(BN49/BM49-1,"n/a ")</f>
        <v>7.5686890613194446E-2</v>
      </c>
      <c r="BO50" s="228">
        <f t="shared" ref="BO50" si="432">IFERROR(BO49/BN49-1,"n/a ")</f>
        <v>0.25362900528463439</v>
      </c>
      <c r="BP50" s="228">
        <f t="shared" ref="BP50" si="433">IFERROR(BP49/BO49-1,"n/a ")</f>
        <v>0.15259310160513229</v>
      </c>
      <c r="BR50" s="1206">
        <f>+BR49/BR12</f>
        <v>0.42523917946166367</v>
      </c>
      <c r="BS50" s="1206">
        <f>+BS49/BS12</f>
        <v>0.41150646270835989</v>
      </c>
      <c r="BT50" s="1206">
        <f t="shared" ref="BT50:BU50" si="434">+BT49/BT12</f>
        <v>0.44670735511879184</v>
      </c>
      <c r="BU50" s="1206">
        <f t="shared" si="434"/>
        <v>0.46232051946281288</v>
      </c>
      <c r="BV50" s="1206"/>
    </row>
    <row r="51" spans="2:74" s="3" customFormat="1">
      <c r="B51" s="13" t="s">
        <v>272</v>
      </c>
      <c r="D51" s="228"/>
      <c r="E51" s="228"/>
      <c r="F51" s="228"/>
      <c r="G51" s="228"/>
      <c r="H51" s="228" t="s">
        <v>273</v>
      </c>
      <c r="I51" s="228" t="s">
        <v>273</v>
      </c>
      <c r="J51" s="228" t="s">
        <v>273</v>
      </c>
      <c r="K51" s="228" t="s">
        <v>273</v>
      </c>
      <c r="L51" s="228">
        <f t="shared" ref="L51:AA51" si="435">+L62</f>
        <v>0.15</v>
      </c>
      <c r="M51" s="228">
        <f t="shared" si="435"/>
        <v>0.1</v>
      </c>
      <c r="N51" s="228">
        <f t="shared" si="435"/>
        <v>0.2</v>
      </c>
      <c r="O51" s="228">
        <f t="shared" si="435"/>
        <v>0.24</v>
      </c>
      <c r="P51" s="228">
        <f t="shared" si="435"/>
        <v>0.28000000000000003</v>
      </c>
      <c r="Q51" s="228">
        <f t="shared" si="435"/>
        <v>0.18</v>
      </c>
      <c r="R51" s="228">
        <f t="shared" si="435"/>
        <v>0.27</v>
      </c>
      <c r="S51" s="228">
        <f t="shared" si="435"/>
        <v>0.24</v>
      </c>
      <c r="T51" s="228">
        <f t="shared" si="435"/>
        <v>0.32</v>
      </c>
      <c r="U51" s="228">
        <f t="shared" si="435"/>
        <v>0.39</v>
      </c>
      <c r="V51" s="228">
        <f t="shared" si="435"/>
        <v>0.28000000000000003</v>
      </c>
      <c r="W51" s="228">
        <f t="shared" si="435"/>
        <v>0.19332527206771474</v>
      </c>
      <c r="X51" s="228">
        <f t="shared" si="435"/>
        <v>0.25</v>
      </c>
      <c r="Y51" s="228">
        <f t="shared" si="435"/>
        <v>0.26</v>
      </c>
      <c r="Z51" s="228">
        <f t="shared" si="435"/>
        <v>0.27</v>
      </c>
      <c r="AA51" s="228">
        <f t="shared" si="435"/>
        <v>0.35</v>
      </c>
      <c r="AB51" s="228">
        <f>+AB62</f>
        <v>0.24</v>
      </c>
      <c r="AC51" s="228">
        <f t="shared" ref="AC51:AK51" si="436">+AC62</f>
        <v>0.24</v>
      </c>
      <c r="AD51" s="228">
        <f t="shared" si="436"/>
        <v>0.23</v>
      </c>
      <c r="AE51" s="228">
        <f t="shared" si="436"/>
        <v>0.14000000000000001</v>
      </c>
      <c r="AF51" s="228">
        <f t="shared" si="436"/>
        <v>0.15</v>
      </c>
      <c r="AG51" s="228">
        <f t="shared" si="436"/>
        <v>0.06</v>
      </c>
      <c r="AH51" s="228">
        <f t="shared" si="436"/>
        <v>0.15</v>
      </c>
      <c r="AI51" s="228">
        <f t="shared" si="436"/>
        <v>0.21</v>
      </c>
      <c r="AJ51" s="228">
        <f t="shared" si="436"/>
        <v>0.24</v>
      </c>
      <c r="AK51" s="228">
        <f t="shared" si="436"/>
        <v>0.27560964302271662</v>
      </c>
      <c r="AL51" s="228">
        <f t="shared" ref="AL51:AM51" si="437">+AL62</f>
        <v>0.2759931997136722</v>
      </c>
      <c r="AM51" s="228">
        <f t="shared" si="437"/>
        <v>0.20011297105632053</v>
      </c>
      <c r="AN51" s="228">
        <f t="shared" ref="AN51:AQ51" si="438">+AN50+AN14-AN13</f>
        <v>0.17367170619985606</v>
      </c>
      <c r="AO51" s="228">
        <f t="shared" si="438"/>
        <v>0.1331947236286537</v>
      </c>
      <c r="AP51" s="228">
        <f t="shared" si="438"/>
        <v>0.16484174069117064</v>
      </c>
      <c r="AQ51" s="228">
        <f t="shared" si="438"/>
        <v>0.17090323650936345</v>
      </c>
      <c r="AR51" s="228"/>
      <c r="AS51" s="228"/>
      <c r="AT51" s="228"/>
      <c r="AU51" s="228"/>
      <c r="AV51" s="228"/>
      <c r="AW51" s="228"/>
      <c r="AX51" s="228" t="str">
        <f t="shared" ref="AX51:BM51" si="439">+AX62</f>
        <v>NA</v>
      </c>
      <c r="AY51" s="228" t="str">
        <f t="shared" si="439"/>
        <v>NA</v>
      </c>
      <c r="AZ51" s="228" t="str">
        <f t="shared" si="439"/>
        <v>NA</v>
      </c>
      <c r="BA51" s="228" t="str">
        <f t="shared" si="439"/>
        <v>NA</v>
      </c>
      <c r="BB51" s="228" t="str">
        <f t="shared" si="439"/>
        <v>NA</v>
      </c>
      <c r="BC51" s="228" t="str">
        <f t="shared" si="439"/>
        <v>NA</v>
      </c>
      <c r="BD51" s="228" t="str">
        <f t="shared" si="439"/>
        <v>NA</v>
      </c>
      <c r="BE51" s="228" t="str">
        <f t="shared" si="439"/>
        <v>NA</v>
      </c>
      <c r="BF51" s="228"/>
      <c r="BG51" s="228" t="str">
        <f t="shared" si="439"/>
        <v>NA</v>
      </c>
      <c r="BH51" s="228" t="str">
        <f t="shared" si="439"/>
        <v>NA</v>
      </c>
      <c r="BI51" s="228">
        <f t="shared" si="439"/>
        <v>0.17249565306331185</v>
      </c>
      <c r="BJ51" s="228">
        <f t="shared" si="439"/>
        <v>0.24103656797307321</v>
      </c>
      <c r="BK51" s="228">
        <f t="shared" si="439"/>
        <v>0.29050722782187671</v>
      </c>
      <c r="BL51" s="228">
        <f t="shared" si="439"/>
        <v>0.28283879982628074</v>
      </c>
      <c r="BM51" s="228">
        <f t="shared" si="439"/>
        <v>0.21025030036043252</v>
      </c>
      <c r="BN51" s="228">
        <f>+BN62</f>
        <v>0.14076322511782977</v>
      </c>
      <c r="BO51" s="834">
        <f>SUMPRODUCT(AJ51:AM51,AF49:AI49)/BN49</f>
        <v>0.24674738555533252</v>
      </c>
      <c r="BP51" s="834">
        <f>SUMPRODUCT(AN51:AQ51,AJ49:AM49)/BO49</f>
        <v>0.1605836161714907</v>
      </c>
      <c r="BR51" s="1206"/>
      <c r="BS51" s="1206"/>
      <c r="BT51" s="1206"/>
      <c r="BU51" s="990"/>
      <c r="BV51" s="1206"/>
    </row>
    <row r="52" spans="2:74" s="3" customFormat="1">
      <c r="B52" s="13" t="s">
        <v>274</v>
      </c>
      <c r="D52" s="228"/>
      <c r="E52" s="228"/>
      <c r="F52" s="228"/>
      <c r="G52" s="228"/>
      <c r="H52" s="228" t="str">
        <f t="shared" ref="H52:AA52" si="440">+H51</f>
        <v>NA</v>
      </c>
      <c r="I52" s="228" t="str">
        <f t="shared" si="440"/>
        <v>NA</v>
      </c>
      <c r="J52" s="228" t="str">
        <f t="shared" si="440"/>
        <v>NA</v>
      </c>
      <c r="K52" s="228" t="str">
        <f t="shared" si="440"/>
        <v>NA</v>
      </c>
      <c r="L52" s="228">
        <f t="shared" si="440"/>
        <v>0.15</v>
      </c>
      <c r="M52" s="228">
        <f t="shared" si="440"/>
        <v>0.1</v>
      </c>
      <c r="N52" s="228">
        <f t="shared" si="440"/>
        <v>0.2</v>
      </c>
      <c r="O52" s="228">
        <f t="shared" si="440"/>
        <v>0.24</v>
      </c>
      <c r="P52" s="228">
        <f t="shared" si="440"/>
        <v>0.28000000000000003</v>
      </c>
      <c r="Q52" s="228">
        <f t="shared" si="440"/>
        <v>0.18</v>
      </c>
      <c r="R52" s="228">
        <f t="shared" si="440"/>
        <v>0.27</v>
      </c>
      <c r="S52" s="228">
        <f t="shared" si="440"/>
        <v>0.24</v>
      </c>
      <c r="T52" s="228">
        <f t="shared" si="440"/>
        <v>0.32</v>
      </c>
      <c r="U52" s="228">
        <f t="shared" si="440"/>
        <v>0.39</v>
      </c>
      <c r="V52" s="228">
        <f t="shared" si="440"/>
        <v>0.28000000000000003</v>
      </c>
      <c r="W52" s="228">
        <f t="shared" si="440"/>
        <v>0.19332527206771474</v>
      </c>
      <c r="X52" s="228">
        <f t="shared" si="440"/>
        <v>0.25</v>
      </c>
      <c r="Y52" s="228">
        <f t="shared" si="440"/>
        <v>0.26</v>
      </c>
      <c r="Z52" s="228">
        <f t="shared" si="440"/>
        <v>0.27</v>
      </c>
      <c r="AA52" s="228">
        <f t="shared" si="440"/>
        <v>0.35</v>
      </c>
      <c r="AB52" s="228">
        <f>+AB51</f>
        <v>0.24</v>
      </c>
      <c r="AC52" s="228">
        <f t="shared" ref="AC52:AJ52" si="441">+AC51</f>
        <v>0.24</v>
      </c>
      <c r="AD52" s="228">
        <f t="shared" si="441"/>
        <v>0.23</v>
      </c>
      <c r="AE52" s="228">
        <f t="shared" si="441"/>
        <v>0.14000000000000001</v>
      </c>
      <c r="AF52" s="228">
        <f t="shared" si="441"/>
        <v>0.15</v>
      </c>
      <c r="AG52" s="228">
        <f t="shared" si="441"/>
        <v>0.06</v>
      </c>
      <c r="AH52" s="228">
        <f t="shared" si="441"/>
        <v>0.15</v>
      </c>
      <c r="AI52" s="228">
        <f t="shared" si="441"/>
        <v>0.21</v>
      </c>
      <c r="AJ52" s="228">
        <f t="shared" si="441"/>
        <v>0.24</v>
      </c>
      <c r="AK52" s="228">
        <f>+AK51-(AK824/AG49)+0.1%</f>
        <v>0.24462076958738976</v>
      </c>
      <c r="AL52" s="228">
        <f>+AL51-(AL824/AH49)+0.1%</f>
        <v>0.25059735146743023</v>
      </c>
      <c r="AM52" s="228">
        <f>+AM51-(AM824/AI49)+0.1%</f>
        <v>0.17678708666611687</v>
      </c>
      <c r="AN52" s="228">
        <f>+(AN49-AN824)/(AJ49-AJ824)-1-AN50+AN51</f>
        <v>0.15619633903123731</v>
      </c>
      <c r="AO52" s="228">
        <f>+(AO49-AO824)/(AK49-AK824)-1-AO50+AO51</f>
        <v>0.12779714915019147</v>
      </c>
      <c r="AP52" s="228">
        <f>+(AP49-AP824)/(AL49-AL824)-1-AP50+AP51</f>
        <v>0.16072385492378993</v>
      </c>
      <c r="AQ52" s="228">
        <f>+(AQ49-AQ824)/(AM49-AM824)-1-AQ50+AQ51</f>
        <v>0.16850448059634471</v>
      </c>
      <c r="AR52" s="228"/>
      <c r="AS52" s="228"/>
      <c r="AT52" s="228"/>
      <c r="AU52" s="228"/>
      <c r="AV52" s="228"/>
      <c r="AW52" s="228"/>
      <c r="AX52" s="228" t="str">
        <f>+AX51</f>
        <v>NA</v>
      </c>
      <c r="AY52" s="228" t="str">
        <f t="shared" ref="AY52:BN52" si="442">+AY51</f>
        <v>NA</v>
      </c>
      <c r="AZ52" s="228" t="str">
        <f t="shared" si="442"/>
        <v>NA</v>
      </c>
      <c r="BA52" s="228" t="str">
        <f t="shared" si="442"/>
        <v>NA</v>
      </c>
      <c r="BB52" s="228" t="str">
        <f t="shared" si="442"/>
        <v>NA</v>
      </c>
      <c r="BC52" s="228" t="str">
        <f t="shared" si="442"/>
        <v>NA</v>
      </c>
      <c r="BD52" s="228" t="str">
        <f t="shared" si="442"/>
        <v>NA</v>
      </c>
      <c r="BE52" s="228" t="str">
        <f t="shared" si="442"/>
        <v>NA</v>
      </c>
      <c r="BF52" s="228"/>
      <c r="BG52" s="228" t="str">
        <f t="shared" si="442"/>
        <v>NA</v>
      </c>
      <c r="BH52" s="228" t="str">
        <f t="shared" si="442"/>
        <v>NA</v>
      </c>
      <c r="BI52" s="228">
        <f t="shared" si="442"/>
        <v>0.17249565306331185</v>
      </c>
      <c r="BJ52" s="228">
        <f t="shared" si="442"/>
        <v>0.24103656797307321</v>
      </c>
      <c r="BK52" s="228">
        <f t="shared" si="442"/>
        <v>0.29050722782187671</v>
      </c>
      <c r="BL52" s="228">
        <f t="shared" si="442"/>
        <v>0.28283879982628074</v>
      </c>
      <c r="BM52" s="228">
        <f t="shared" si="442"/>
        <v>0.21025030036043252</v>
      </c>
      <c r="BN52" s="228">
        <f t="shared" si="442"/>
        <v>0.14076322511782977</v>
      </c>
      <c r="BO52" s="228">
        <f>(BO49-BO822-BO823-BO824)/BN49-1</f>
        <v>0.23278034205186526</v>
      </c>
      <c r="BP52" s="228">
        <f>+(BP49-BP824)/(BO49-BO824)-1-BP50+BP51</f>
        <v>0.15344578957730942</v>
      </c>
      <c r="BR52" s="1605">
        <f>SUMPRODUCT(AL66:AO66,AH49:AK49)/SUM(AH49:AK49)</f>
        <v>0.18326514909665093</v>
      </c>
      <c r="BS52" s="990"/>
      <c r="BT52" s="990"/>
      <c r="BU52" s="990"/>
    </row>
    <row r="53" spans="2:74" s="3" customFormat="1">
      <c r="B53" s="13" t="s">
        <v>123</v>
      </c>
      <c r="D53" s="228">
        <f t="shared" ref="D53:AD53" si="443">IFERROR(D49/D12,"n/a ")</f>
        <v>0.30205643232902918</v>
      </c>
      <c r="E53" s="228">
        <f t="shared" si="443"/>
        <v>0.29655882469409572</v>
      </c>
      <c r="F53" s="228">
        <f t="shared" si="443"/>
        <v>0.29172282381372866</v>
      </c>
      <c r="G53" s="228">
        <f t="shared" si="443"/>
        <v>0.30271790065604498</v>
      </c>
      <c r="H53" s="228">
        <f t="shared" si="443"/>
        <v>0.30622947829259395</v>
      </c>
      <c r="I53" s="228">
        <f t="shared" si="443"/>
        <v>0.30608688918144505</v>
      </c>
      <c r="J53" s="228">
        <f t="shared" si="443"/>
        <v>0.28963467172152335</v>
      </c>
      <c r="K53" s="228">
        <f t="shared" si="443"/>
        <v>0.31197031829720756</v>
      </c>
      <c r="L53" s="228">
        <f t="shared" si="443"/>
        <v>0.3141250305648382</v>
      </c>
      <c r="M53" s="228">
        <f t="shared" si="443"/>
        <v>0.30012448993706342</v>
      </c>
      <c r="N53" s="228">
        <f t="shared" si="443"/>
        <v>0.30918378761325926</v>
      </c>
      <c r="O53" s="228">
        <f t="shared" si="443"/>
        <v>0.3449891972743892</v>
      </c>
      <c r="P53" s="228">
        <f t="shared" si="443"/>
        <v>0.34228441754916794</v>
      </c>
      <c r="Q53" s="228">
        <f t="shared" si="443"/>
        <v>0.3159126605278556</v>
      </c>
      <c r="R53" s="228">
        <f t="shared" si="443"/>
        <v>0.3382617513329626</v>
      </c>
      <c r="S53" s="228">
        <f t="shared" si="443"/>
        <v>0.3679152949550672</v>
      </c>
      <c r="T53" s="228">
        <f t="shared" si="443"/>
        <v>0.38378460142187265</v>
      </c>
      <c r="U53" s="228">
        <f t="shared" si="443"/>
        <v>0.37638866309001245</v>
      </c>
      <c r="V53" s="228">
        <f t="shared" si="443"/>
        <v>0.37049199051997372</v>
      </c>
      <c r="W53" s="228">
        <f t="shared" si="443"/>
        <v>0.35250966266137301</v>
      </c>
      <c r="X53" s="228">
        <f t="shared" si="443"/>
        <v>0.42730257845723207</v>
      </c>
      <c r="Y53" s="228">
        <f t="shared" si="443"/>
        <v>0.41547497446373849</v>
      </c>
      <c r="Z53" s="228">
        <f t="shared" si="443"/>
        <v>0.40876612477820939</v>
      </c>
      <c r="AA53" s="228">
        <f t="shared" si="443"/>
        <v>0.41374154966198645</v>
      </c>
      <c r="AB53" s="228">
        <f t="shared" si="443"/>
        <v>0.44658737339188381</v>
      </c>
      <c r="AC53" s="228">
        <f t="shared" si="443"/>
        <v>0.43007655428394681</v>
      </c>
      <c r="AD53" s="228">
        <f t="shared" si="443"/>
        <v>0.41256077795786061</v>
      </c>
      <c r="AE53" s="228">
        <f t="shared" ref="AE53:AF53" si="444">IFERROR(AE49/AE12,"n/a ")</f>
        <v>0.3959124650535043</v>
      </c>
      <c r="AF53" s="228">
        <f t="shared" si="444"/>
        <v>0.42931247755476637</v>
      </c>
      <c r="AG53" s="228">
        <f t="shared" ref="AG53" si="445">IFERROR(AG49/AG12,"n/a ")</f>
        <v>0.4089332094716287</v>
      </c>
      <c r="AH53" s="228">
        <f t="shared" ref="AH53:AI53" si="446">IFERROR(AH49/AH12,"n/a ")</f>
        <v>0.42287681858599618</v>
      </c>
      <c r="AI53" s="228">
        <f t="shared" si="446"/>
        <v>0.4316503230169606</v>
      </c>
      <c r="AJ53" s="228">
        <f t="shared" ref="AJ53" si="447">IFERROR(AJ49/AJ12,"n/a ")</f>
        <v>0.47587451563246458</v>
      </c>
      <c r="AK53" s="228">
        <f t="shared" ref="AK53" si="448">IFERROR(AK49/AK12,"n/a ")</f>
        <v>0.45407932924862948</v>
      </c>
      <c r="AL53" s="228">
        <f t="shared" ref="AL53:AM53" si="449">IFERROR(AL49/AL12,"n/a ")</f>
        <v>0.46107213294965887</v>
      </c>
      <c r="AM53" s="228">
        <f t="shared" si="449"/>
        <v>0.44594991271030637</v>
      </c>
      <c r="AN53" s="228">
        <f t="shared" ref="AN53:AQ53" si="450">IFERROR(AN49/AN12,"n/a ")</f>
        <v>0.47971334908896851</v>
      </c>
      <c r="AO53" s="228">
        <f t="shared" si="450"/>
        <v>0.46226445246422182</v>
      </c>
      <c r="AP53" s="228">
        <f t="shared" si="450"/>
        <v>0.47020530793406384</v>
      </c>
      <c r="AQ53" s="228">
        <f t="shared" si="450"/>
        <v>0.45439249032650031</v>
      </c>
      <c r="AR53" s="228"/>
      <c r="AS53" s="228">
        <f t="shared" ref="AS53:BE53" si="451">IFERROR(AS49/AS12,"n/a ")</f>
        <v>0.36634161053583997</v>
      </c>
      <c r="AT53" s="228">
        <f t="shared" si="451"/>
        <v>0.36990199177995575</v>
      </c>
      <c r="AU53" s="228">
        <f t="shared" si="451"/>
        <v>0.3606666405852666</v>
      </c>
      <c r="AV53" s="228">
        <f t="shared" si="451"/>
        <v>0.36860311155246606</v>
      </c>
      <c r="AW53" s="228">
        <f t="shared" si="451"/>
        <v>0.348460735492924</v>
      </c>
      <c r="AX53" s="228">
        <f t="shared" si="451"/>
        <v>0.38566673068305485</v>
      </c>
      <c r="AY53" s="228">
        <f t="shared" si="451"/>
        <v>0.38833049769097694</v>
      </c>
      <c r="AZ53" s="228">
        <f t="shared" si="451"/>
        <v>0.37920323372624554</v>
      </c>
      <c r="BA53" s="228">
        <f t="shared" si="451"/>
        <v>0.35320941823273261</v>
      </c>
      <c r="BB53" s="228">
        <f t="shared" si="451"/>
        <v>0.32114518673776099</v>
      </c>
      <c r="BC53" s="228">
        <f t="shared" si="451"/>
        <v>0.30104723231459712</v>
      </c>
      <c r="BD53" s="228">
        <f t="shared" si="451"/>
        <v>0.24955461790904829</v>
      </c>
      <c r="BE53" s="228">
        <f t="shared" si="451"/>
        <v>0.25160644802668147</v>
      </c>
      <c r="BF53" s="228"/>
      <c r="BG53" s="228">
        <f t="shared" ref="BG53:BM53" si="452">IFERROR(BG49/BG12,"n/a ")</f>
        <v>0.29826447550299495</v>
      </c>
      <c r="BH53" s="228">
        <f t="shared" si="452"/>
        <v>0.30372472067183731</v>
      </c>
      <c r="BI53" s="228">
        <f t="shared" si="452"/>
        <v>0.31766944545125048</v>
      </c>
      <c r="BJ53" s="228">
        <f t="shared" si="452"/>
        <v>0.3413698020549415</v>
      </c>
      <c r="BK53" s="228">
        <f t="shared" si="452"/>
        <v>0.37030381428521486</v>
      </c>
      <c r="BL53" s="228">
        <f t="shared" si="452"/>
        <v>0.41594878872971303</v>
      </c>
      <c r="BM53" s="228">
        <f t="shared" si="452"/>
        <v>0.4205527815604983</v>
      </c>
      <c r="BN53" s="228">
        <f t="shared" ref="BN53:BO53" si="453">IFERROR(BN49/BN12,"n/a ")</f>
        <v>0.42325460679989618</v>
      </c>
      <c r="BO53" s="228">
        <f t="shared" si="453"/>
        <v>0.45872259527908554</v>
      </c>
      <c r="BP53" s="228">
        <f t="shared" ref="BP53" si="454">IFERROR(BP49/BP12,"n/a ")</f>
        <v>0.46628441657065972</v>
      </c>
      <c r="BQ53" s="989"/>
      <c r="BR53" s="989"/>
    </row>
    <row r="54" spans="2:74" s="3" customFormat="1">
      <c r="B54" s="13" t="s">
        <v>287</v>
      </c>
      <c r="D54" s="228"/>
      <c r="E54" s="228"/>
      <c r="F54" s="228"/>
      <c r="G54" s="228"/>
      <c r="H54" s="228"/>
      <c r="I54" s="228"/>
      <c r="J54" s="228"/>
      <c r="K54" s="228"/>
      <c r="L54" s="228">
        <f t="shared" ref="L54:AD54" si="455">(L49-H49)/(L12-H12)</f>
        <v>0.38045977011494253</v>
      </c>
      <c r="M54" s="228">
        <f t="shared" si="455"/>
        <v>0.25032341526520052</v>
      </c>
      <c r="N54" s="228">
        <f t="shared" si="455"/>
        <v>0.43498752425838649</v>
      </c>
      <c r="O54" s="228">
        <f t="shared" si="455"/>
        <v>0.53370535714285716</v>
      </c>
      <c r="P54" s="228">
        <f t="shared" si="455"/>
        <v>0.49428068631764188</v>
      </c>
      <c r="Q54" s="228">
        <f t="shared" si="455"/>
        <v>0.44441317196735153</v>
      </c>
      <c r="R54" s="228">
        <f t="shared" si="455"/>
        <v>0.5461087420042644</v>
      </c>
      <c r="S54" s="228">
        <f t="shared" si="455"/>
        <v>0.55781938325991187</v>
      </c>
      <c r="T54" s="228">
        <f t="shared" si="455"/>
        <v>0.68773608662805341</v>
      </c>
      <c r="U54" s="228">
        <f t="shared" si="455"/>
        <v>0.81916572717023672</v>
      </c>
      <c r="V54" s="228">
        <f t="shared" si="455"/>
        <v>0.5919101123595506</v>
      </c>
      <c r="W54" s="228">
        <f t="shared" si="455"/>
        <v>0.23215940685820205</v>
      </c>
      <c r="X54" s="228">
        <f t="shared" si="455"/>
        <v>0.77823859477921442</v>
      </c>
      <c r="Y54" s="228">
        <f t="shared" si="455"/>
        <v>0.64927066450567261</v>
      </c>
      <c r="Z54" s="228">
        <f t="shared" si="455"/>
        <v>0.60927449513836951</v>
      </c>
      <c r="AA54" s="228">
        <f t="shared" si="455"/>
        <v>0.70057888902574206</v>
      </c>
      <c r="AB54" s="228">
        <f t="shared" si="455"/>
        <v>0.53436236677692028</v>
      </c>
      <c r="AC54" s="228">
        <f t="shared" si="455"/>
        <v>0.50277392510402219</v>
      </c>
      <c r="AD54" s="228">
        <f t="shared" si="455"/>
        <v>0.43323752286386202</v>
      </c>
      <c r="AE54" s="228">
        <f t="shared" ref="AE54" si="456">(AE49-AA49)/(AE12-AA12)</f>
        <v>0.25188167337650974</v>
      </c>
      <c r="AF54" s="228">
        <f t="shared" ref="AF54" si="457">(AF49-AB49)/(AF12-AB12)</f>
        <v>0.26638917793964623</v>
      </c>
      <c r="AG54" s="228">
        <f t="shared" ref="AG54" si="458">(AG49-AC49)/(AG12-AC12)</f>
        <v>-0.66437684003925412</v>
      </c>
      <c r="AH54" s="228">
        <f t="shared" ref="AH54" si="459">(AH49-AD49)/(AH12-AD12)</f>
        <v>0.56848727480697736</v>
      </c>
      <c r="AI54" s="228">
        <f t="shared" ref="AI54" si="460">(AI49-AE49)/(AI12-AE12)</f>
        <v>0.86031452358926919</v>
      </c>
      <c r="AJ54" s="228">
        <f t="shared" ref="AJ54" si="461">(AJ49-AF49)/(AJ12-AF12)</f>
        <v>0.84081313526192336</v>
      </c>
      <c r="AK54" s="228">
        <f t="shared" ref="AK54" si="462">(AK49-AG49)/(AK12-AG12)</f>
        <v>0.71088105251806322</v>
      </c>
      <c r="AL54" s="228">
        <f t="shared" ref="AL54" si="463">(AL49-AH49)/(AL12-AH12)</f>
        <v>0.68536829241195418</v>
      </c>
      <c r="AM54" s="228">
        <f t="shared" ref="AM54" si="464">(AM49-AI49)/(AM12-AI12)</f>
        <v>0.54005621925509484</v>
      </c>
      <c r="AN54" s="228">
        <f t="shared" ref="AN54" si="465">(AN49-AJ49)/(AN12-AJ12)</f>
        <v>0.50363917071018971</v>
      </c>
      <c r="AO54" s="228">
        <f t="shared" ref="AO54" si="466">(AO49-AK49)/(AO12-AK12)</f>
        <v>0.53552560373338531</v>
      </c>
      <c r="AP54" s="228">
        <f t="shared" ref="AP54" si="467">(AP49-AL49)/(AP12-AL12)</f>
        <v>0.54242057198338134</v>
      </c>
      <c r="AQ54" s="228">
        <f t="shared" ref="AQ54" si="468">(AQ49-AM49)/(AQ12-AM12)</f>
        <v>0.51509929016260148</v>
      </c>
      <c r="AR54" s="228"/>
      <c r="AS54" s="228"/>
      <c r="AT54" s="228"/>
      <c r="AU54" s="228">
        <f t="shared" ref="AU54:BE54" si="469">(AU49-AT49)/(AU12-AT12)</f>
        <v>0.30087719298245613</v>
      </c>
      <c r="AV54" s="228">
        <f t="shared" si="469"/>
        <v>0.41223919122391911</v>
      </c>
      <c r="AW54" s="228">
        <f t="shared" si="469"/>
        <v>0.96217851739788196</v>
      </c>
      <c r="AX54" s="228">
        <f t="shared" si="469"/>
        <v>0.92290585618977017</v>
      </c>
      <c r="AY54" s="228">
        <f t="shared" si="469"/>
        <v>0.41064485856012872</v>
      </c>
      <c r="AZ54" s="228">
        <f t="shared" si="469"/>
        <v>0.21031746031746032</v>
      </c>
      <c r="BA54" s="228">
        <f t="shared" si="469"/>
        <v>-0.1112457586039748</v>
      </c>
      <c r="BB54" s="228">
        <f t="shared" si="469"/>
        <v>4.3299198575244877E-2</v>
      </c>
      <c r="BC54" s="228">
        <f t="shared" si="469"/>
        <v>4.238921001926782E-2</v>
      </c>
      <c r="BD54" s="228">
        <f t="shared" si="469"/>
        <v>0.83292978208232449</v>
      </c>
      <c r="BE54" s="228">
        <f t="shared" si="469"/>
        <v>0.2894168466522678</v>
      </c>
      <c r="BF54" s="228"/>
      <c r="BG54" s="829">
        <f t="shared" ref="BG54" si="470">+BD54</f>
        <v>0.83292978208232449</v>
      </c>
      <c r="BH54" s="228">
        <f t="shared" ref="BH54:BM54" si="471">(BH49-BG49)/(BH12-BG12)</f>
        <v>0.39560642422004799</v>
      </c>
      <c r="BI54" s="228">
        <f t="shared" si="471"/>
        <v>0.41533106099064471</v>
      </c>
      <c r="BJ54" s="228">
        <f t="shared" si="471"/>
        <v>0.51030162113285538</v>
      </c>
      <c r="BK54" s="228">
        <f t="shared" si="471"/>
        <v>0.58234334963894707</v>
      </c>
      <c r="BL54" s="228">
        <f t="shared" si="471"/>
        <v>0.67630518884856217</v>
      </c>
      <c r="BM54" s="228">
        <f t="shared" si="471"/>
        <v>0.44619309522231793</v>
      </c>
      <c r="BN54" s="228">
        <f t="shared" ref="BN54" si="472">(BN49-BM49)/(BN12-BM12)</f>
        <v>0.46251374129717843</v>
      </c>
      <c r="BO54" s="228">
        <f t="shared" ref="BO54" si="473">(BO49-BN49)/(BO12-BN12)</f>
        <v>0.68506640166230015</v>
      </c>
      <c r="BP54" s="228">
        <f t="shared" ref="BP54" si="474">(BP49-BO49)/(BP12-BO12)</f>
        <v>0.52275752153424015</v>
      </c>
    </row>
    <row r="55" spans="2:74" s="3" customFormat="1">
      <c r="B55" s="13" t="s">
        <v>288</v>
      </c>
      <c r="D55" s="228"/>
      <c r="E55" s="228"/>
      <c r="F55" s="228"/>
      <c r="G55" s="228"/>
      <c r="H55" s="228"/>
      <c r="I55" s="228"/>
      <c r="J55" s="228"/>
      <c r="K55" s="228"/>
      <c r="L55" s="228">
        <f t="shared" ref="L55" si="475">+L65/(L14*H12)</f>
        <v>0.40278077689004049</v>
      </c>
      <c r="M55" s="228">
        <f t="shared" ref="M55" si="476">+M65/(M14*I12)</f>
        <v>0.26576431193770927</v>
      </c>
      <c r="N55" s="228">
        <f t="shared" ref="N55" si="477">+N65/(N14*J12)</f>
        <v>0.44031397667770245</v>
      </c>
      <c r="O55" s="228">
        <f t="shared" ref="O55" si="478">+O65/(O14*K12)</f>
        <v>0.4919729008417163</v>
      </c>
      <c r="P55" s="228">
        <f t="shared" ref="P55" si="479">+P65/(P14*L12)</f>
        <v>0.47425299176851654</v>
      </c>
      <c r="Q55" s="228">
        <f t="shared" ref="Q55" si="480">+Q65/(Q14*M12)</f>
        <v>0.42768442320011829</v>
      </c>
      <c r="R55" s="228">
        <f t="shared" ref="R55" si="481">+R65/(R14*N12)</f>
        <v>0.52174764159737508</v>
      </c>
      <c r="S55" s="228">
        <f t="shared" ref="S55" si="482">+S65/(S14*O12)</f>
        <v>0.57801869367069802</v>
      </c>
      <c r="T55" s="228">
        <f t="shared" ref="T55" si="483">+T65/(T14*P12)</f>
        <v>0.7099019918081374</v>
      </c>
      <c r="U55" s="228">
        <f t="shared" ref="U55" si="484">+U65/(U14*Q12)</f>
        <v>0.81072339770155011</v>
      </c>
      <c r="V55" s="228">
        <f t="shared" ref="V55" si="485">+V65/(V14*R12)</f>
        <v>0.59527191913045108</v>
      </c>
      <c r="W55" s="228">
        <f t="shared" ref="W55" si="486">+W65/(W14*S12)</f>
        <v>0.49045164354779519</v>
      </c>
      <c r="X55" s="228">
        <f t="shared" ref="X55" si="487">+X65/(X14*T12)</f>
        <v>0.60964103048167562</v>
      </c>
      <c r="Y55" s="228">
        <f t="shared" ref="Y55" si="488">+Y65/(Y14*U12)</f>
        <v>0.48502781254809246</v>
      </c>
      <c r="Z55" s="228">
        <f t="shared" ref="Z55" si="489">+Z65/(Z14*V12)</f>
        <v>0.47129437069383301</v>
      </c>
      <c r="AA55" s="228">
        <f t="shared" ref="AA55" si="490">+AA65/(AA14*W12)</f>
        <v>0.63764907931278614</v>
      </c>
      <c r="AB55" s="228">
        <f t="shared" ref="AB55" si="491">+AB65/(AB14*X12)</f>
        <v>0.62273308339580813</v>
      </c>
      <c r="AC55" s="228">
        <f t="shared" ref="AC55" si="492">+AC65/(AC14*Y12)</f>
        <v>0.58871562868860117</v>
      </c>
      <c r="AD55" s="228">
        <f t="shared" ref="AD55" si="493">+AD65/(AD14*Z12)</f>
        <v>0.56177297326878883</v>
      </c>
      <c r="AE55" s="228">
        <f t="shared" ref="AE55" si="494">+AE65/(AE14*AA12)</f>
        <v>0.41374154966198651</v>
      </c>
      <c r="AF55" s="228">
        <f t="shared" ref="AF55" si="495">+AF65/(AF14*AB12)</f>
        <v>0.28574043692628326</v>
      </c>
      <c r="AG55" s="228">
        <f t="shared" ref="AG55" si="496">+AG65/(AG14*AC12)</f>
        <v>9.1138205972357569E-2</v>
      </c>
      <c r="AH55" s="228">
        <f t="shared" ref="AH55" si="497">+AH65/(AH14*AD12)</f>
        <v>0.44756273850853628</v>
      </c>
      <c r="AI55" s="228">
        <f t="shared" ref="AI55" si="498">+AI65/(AI14*AE12)</f>
        <v>0.67004417621536094</v>
      </c>
      <c r="AJ55" s="228">
        <f t="shared" ref="AJ55" si="499">+AJ65/(AJ14*AF12)</f>
        <v>0.961760268109078</v>
      </c>
      <c r="AK55" s="228">
        <f t="shared" ref="AK55:AL55" si="500">+AK65/(AK14*AG12)</f>
        <v>0.75552798690821699</v>
      </c>
      <c r="AL55" s="228">
        <f t="shared" si="500"/>
        <v>0.76470187225090058</v>
      </c>
      <c r="AM55" s="228">
        <f t="shared" ref="AM55" si="501">+AM65/(AM14*AI12)</f>
        <v>0.5663637326622063</v>
      </c>
      <c r="AN55" s="228" t="s">
        <v>273</v>
      </c>
      <c r="AO55" s="228" t="s">
        <v>273</v>
      </c>
      <c r="AP55" s="228" t="s">
        <v>273</v>
      </c>
      <c r="AQ55" s="228" t="s">
        <v>273</v>
      </c>
      <c r="AR55" s="228"/>
      <c r="AS55" s="228"/>
      <c r="AT55" s="228"/>
      <c r="AU55" s="228"/>
      <c r="AV55" s="228"/>
      <c r="AW55" s="228"/>
      <c r="AX55" s="228"/>
      <c r="AY55" s="228"/>
      <c r="AZ55" s="228"/>
      <c r="BA55" s="228"/>
      <c r="BB55" s="228"/>
      <c r="BC55" s="228"/>
      <c r="BD55" s="228"/>
      <c r="BE55" s="228"/>
      <c r="BF55" s="228"/>
      <c r="BG55" s="228"/>
      <c r="BH55" s="228" t="s">
        <v>273</v>
      </c>
      <c r="BI55" s="228">
        <f t="shared" ref="BI55:BN55" si="502">+BI65/(BI14*BH12)</f>
        <v>0.40717753754111435</v>
      </c>
      <c r="BJ55" s="228">
        <f t="shared" si="502"/>
        <v>0.50747709967444388</v>
      </c>
      <c r="BK55" s="228">
        <f t="shared" si="502"/>
        <v>0.65080049690651331</v>
      </c>
      <c r="BL55" s="228">
        <f t="shared" si="502"/>
        <v>0.55022789120906668</v>
      </c>
      <c r="BM55" s="228">
        <f t="shared" si="502"/>
        <v>0.54843620075989441</v>
      </c>
      <c r="BN55" s="228">
        <f t="shared" si="502"/>
        <v>0.38351640596561781</v>
      </c>
      <c r="BO55" s="228">
        <f>+BO65/(BO14*BN12)</f>
        <v>0.74404237830967546</v>
      </c>
      <c r="BP55" s="228"/>
    </row>
    <row r="56" spans="2:74">
      <c r="AG56" s="8"/>
      <c r="AH56" s="8"/>
      <c r="AI56" s="8"/>
      <c r="AJ56" s="8"/>
      <c r="AK56" s="8"/>
      <c r="AL56" s="8"/>
      <c r="AM56" s="8"/>
      <c r="AN56" s="1256"/>
      <c r="AO56" s="8"/>
      <c r="AP56" s="8"/>
      <c r="AQ56" s="8"/>
    </row>
    <row r="57" spans="2:74">
      <c r="B57" s="24" t="s">
        <v>289</v>
      </c>
      <c r="X57" s="9"/>
      <c r="AK57" s="228"/>
      <c r="AL57" s="8"/>
    </row>
    <row r="58" spans="2:74" s="3" customFormat="1">
      <c r="B58" s="13" t="s">
        <v>290</v>
      </c>
      <c r="D58" s="228"/>
      <c r="E58" s="228"/>
      <c r="F58" s="228"/>
      <c r="G58" s="228"/>
      <c r="H58" s="228"/>
      <c r="I58" s="228"/>
      <c r="J58" s="228"/>
      <c r="K58" s="228"/>
      <c r="L58" s="228">
        <f>+L50</f>
        <v>0.14787788533134782</v>
      </c>
      <c r="M58" s="228">
        <f t="shared" ref="M58:AC58" si="503">+M50</f>
        <v>9.7912713472485757E-2</v>
      </c>
      <c r="N58" s="228">
        <f t="shared" si="503"/>
        <v>0.23337795626952262</v>
      </c>
      <c r="O58" s="228">
        <f t="shared" si="503"/>
        <v>0.29932398597896848</v>
      </c>
      <c r="P58" s="228">
        <f t="shared" si="503"/>
        <v>0.29151530877010901</v>
      </c>
      <c r="Q58" s="228">
        <f t="shared" si="503"/>
        <v>0.18193340246572176</v>
      </c>
      <c r="R58" s="228">
        <f t="shared" si="503"/>
        <v>0.2471056439942112</v>
      </c>
      <c r="S58" s="228">
        <f t="shared" si="503"/>
        <v>0.19520184988919942</v>
      </c>
      <c r="T58" s="228">
        <f t="shared" si="503"/>
        <v>0.27433450527373182</v>
      </c>
      <c r="U58" s="228">
        <f t="shared" si="503"/>
        <v>0.3541626047962565</v>
      </c>
      <c r="V58" s="228">
        <f t="shared" si="503"/>
        <v>0.25471424427038003</v>
      </c>
      <c r="W58" s="228">
        <f t="shared" si="503"/>
        <v>8.0773881499395461E-2</v>
      </c>
      <c r="X58" s="228">
        <f t="shared" si="503"/>
        <v>0.25145830048872764</v>
      </c>
      <c r="Y58" s="228">
        <f t="shared" si="503"/>
        <v>0.28838816499892017</v>
      </c>
      <c r="Z58" s="228">
        <f t="shared" si="503"/>
        <v>0.31391136801541419</v>
      </c>
      <c r="AA58" s="228">
        <f t="shared" si="503"/>
        <v>0.42425598567912282</v>
      </c>
      <c r="AB58" s="228">
        <f t="shared" si="503"/>
        <v>0.27475434618291761</v>
      </c>
      <c r="AC58" s="228">
        <f t="shared" si="503"/>
        <v>0.24305749566966539</v>
      </c>
      <c r="AD58" s="228">
        <f t="shared" ref="AD58:AG58" si="504">+AD50</f>
        <v>0.19450961989676219</v>
      </c>
      <c r="AE58" s="228">
        <f t="shared" si="504"/>
        <v>7.5360041895784269E-2</v>
      </c>
      <c r="AF58" s="228">
        <f t="shared" si="504"/>
        <v>6.3247356458147941E-2</v>
      </c>
      <c r="AG58" s="228">
        <f t="shared" si="504"/>
        <v>-3.0431069357666152E-2</v>
      </c>
      <c r="AH58" s="228">
        <f t="shared" ref="AH58:AI58" si="505">+AH50</f>
        <v>9.7623256727558338E-2</v>
      </c>
      <c r="AI58" s="228">
        <f t="shared" si="505"/>
        <v>0.18116294925489429</v>
      </c>
      <c r="AJ58" s="228">
        <f t="shared" ref="AJ58:AK58" si="506">+AJ50</f>
        <v>0.2498838181987173</v>
      </c>
      <c r="AK58" s="228">
        <f t="shared" si="506"/>
        <v>0.30560964302271665</v>
      </c>
      <c r="AL58" s="228">
        <f t="shared" ref="AL58:AM58" si="507">+AL50</f>
        <v>0.2759931997136722</v>
      </c>
      <c r="AM58" s="228">
        <f t="shared" si="507"/>
        <v>0.19011297105632052</v>
      </c>
      <c r="AN58" s="228">
        <f t="shared" ref="AN58:AQ58" si="508">+AN50</f>
        <v>0.16980851459379065</v>
      </c>
      <c r="AO58" s="228">
        <f t="shared" si="508"/>
        <v>0.13176497670679077</v>
      </c>
      <c r="AP58" s="228">
        <f t="shared" si="508"/>
        <v>0.1487853095445546</v>
      </c>
      <c r="AQ58" s="228">
        <f t="shared" si="508"/>
        <v>0.16063589247354981</v>
      </c>
      <c r="AR58" s="228"/>
      <c r="AS58" s="228"/>
      <c r="AT58" s="228"/>
      <c r="AU58" s="228">
        <f t="shared" ref="AU58:BM58" si="509">+AU50</f>
        <v>0.12564102564102564</v>
      </c>
      <c r="AV58" s="228">
        <f t="shared" si="509"/>
        <v>0.2078858878403298</v>
      </c>
      <c r="AW58" s="228">
        <f t="shared" si="509"/>
        <v>-8.5671950069597269E-2</v>
      </c>
      <c r="AX58" s="228">
        <f t="shared" si="509"/>
        <v>0.18342091047488096</v>
      </c>
      <c r="AY58" s="228">
        <f t="shared" si="509"/>
        <v>0.12710598389907868</v>
      </c>
      <c r="AZ58" s="228">
        <f t="shared" si="509"/>
        <v>2.9269909060785748E-2</v>
      </c>
      <c r="BA58" s="228">
        <f t="shared" si="509"/>
        <v>-1.6418657890971522E-2</v>
      </c>
      <c r="BB58" s="228">
        <f t="shared" si="509"/>
        <v>1.4146997854311394E-2</v>
      </c>
      <c r="BC58" s="228">
        <f t="shared" si="509"/>
        <v>1.025604245858136E-2</v>
      </c>
      <c r="BD58" s="228">
        <f t="shared" si="509"/>
        <v>-0.24421411330398979</v>
      </c>
      <c r="BE58" s="228">
        <f t="shared" si="509"/>
        <v>6.2934435468720684E-2</v>
      </c>
      <c r="BF58" s="228"/>
      <c r="BG58" s="829">
        <f t="shared" ref="BG58" si="510">+BD58</f>
        <v>-0.24421411330398979</v>
      </c>
      <c r="BH58" s="228">
        <f t="shared" si="509"/>
        <v>7.882153891422683E-2</v>
      </c>
      <c r="BI58" s="228">
        <f t="shared" si="509"/>
        <v>0.19525416794517736</v>
      </c>
      <c r="BJ58" s="228">
        <f t="shared" si="509"/>
        <v>0.22536938787152727</v>
      </c>
      <c r="BK58" s="228">
        <f t="shared" si="509"/>
        <v>0.23278009264647692</v>
      </c>
      <c r="BL58" s="228">
        <f t="shared" si="509"/>
        <v>0.3201910912215109</v>
      </c>
      <c r="BM58" s="228">
        <f t="shared" si="509"/>
        <v>0.19261685451112753</v>
      </c>
      <c r="BN58" s="228">
        <f t="shared" ref="BN58:BO58" si="511">+BN50</f>
        <v>7.5686890613194446E-2</v>
      </c>
      <c r="BO58" s="228">
        <f t="shared" si="511"/>
        <v>0.25362900528463439</v>
      </c>
      <c r="BP58" s="228">
        <f t="shared" ref="BP58" si="512">+BP50</f>
        <v>0.15259310160513229</v>
      </c>
    </row>
    <row r="59" spans="2:74" s="3" customFormat="1">
      <c r="B59" s="13" t="s">
        <v>291</v>
      </c>
      <c r="D59" s="228"/>
      <c r="E59" s="228"/>
      <c r="F59" s="228"/>
      <c r="G59" s="228"/>
      <c r="H59" s="228"/>
      <c r="I59" s="228"/>
      <c r="J59" s="228"/>
      <c r="K59" s="228"/>
      <c r="L59" s="836"/>
      <c r="M59" s="836"/>
      <c r="N59" s="836"/>
      <c r="O59" s="836"/>
      <c r="P59" s="836"/>
      <c r="Q59" s="836"/>
      <c r="R59" s="836"/>
      <c r="S59" s="836"/>
      <c r="T59" s="836"/>
      <c r="U59" s="836"/>
      <c r="V59" s="836"/>
      <c r="W59" s="836"/>
      <c r="X59" s="836">
        <f>(X53-2%)*X12/T49-1</f>
        <v>0.19288349361500878</v>
      </c>
      <c r="Y59" s="836">
        <f>(Y53-2%)*Y12/U49-1</f>
        <v>0.22636815204088978</v>
      </c>
      <c r="Z59" s="836">
        <f>(Z53-2%)*Z12/V49-1</f>
        <v>0.24962466281310225</v>
      </c>
      <c r="AA59" s="836">
        <f>(AA53-1%)*AA12/W49-1</f>
        <v>0.38983217722085484</v>
      </c>
      <c r="AB59" s="836">
        <f>(AB53+2%)*AB12/X49-1</f>
        <v>0.33184303350970024</v>
      </c>
      <c r="AC59" s="836">
        <f>+'EBIT growth'!S19</f>
        <v>0.28756380840701024</v>
      </c>
      <c r="AD59" s="836">
        <f>+'EBIT growth'!T19</f>
        <v>0.24142984039490956</v>
      </c>
      <c r="AE59" s="836">
        <f>+AE58+AE63-AE62</f>
        <v>9.9952848274706074E-2</v>
      </c>
      <c r="AF59" s="836">
        <f>+'EBIT growth'!V19</f>
        <v>1.3714793951971505E-2</v>
      </c>
      <c r="AG59" s="836">
        <f>+'EBIT growth'!W19</f>
        <v>-7.5139658883654148E-2</v>
      </c>
      <c r="AH59" s="836">
        <f>+'EBIT growth'!X19</f>
        <v>5.7868790047075125E-2</v>
      </c>
      <c r="AI59" s="836">
        <f>+'EBIT growth'!Y19</f>
        <v>0.13809805682727938</v>
      </c>
      <c r="AJ59" s="836">
        <f>+'EBIT growth'!Z19</f>
        <v>0.28517860832617958</v>
      </c>
      <c r="AK59" s="836">
        <f>+'EBIT growth'!AA19</f>
        <v>0.33436254056560033</v>
      </c>
      <c r="AL59" s="836">
        <f>+'EBIT growth'!AB19</f>
        <v>0.30366768074445227</v>
      </c>
      <c r="AM59" s="836">
        <f>+'EBIT growth'!AC19</f>
        <v>0.20345654325059792</v>
      </c>
      <c r="AN59" s="836">
        <f>AN58</f>
        <v>0.16980851459379065</v>
      </c>
      <c r="AO59" s="836">
        <f>AO58</f>
        <v>0.13176497670679077</v>
      </c>
      <c r="AP59" s="836">
        <f t="shared" ref="AP59:AQ59" si="513">AP58</f>
        <v>0.1487853095445546</v>
      </c>
      <c r="AQ59" s="836">
        <f t="shared" si="513"/>
        <v>0.16063589247354981</v>
      </c>
      <c r="AR59" s="228"/>
      <c r="AS59" s="228"/>
      <c r="AT59" s="228"/>
      <c r="AU59" s="836"/>
      <c r="AV59" s="836"/>
      <c r="AW59" s="836"/>
      <c r="AX59" s="836" t="s">
        <v>273</v>
      </c>
      <c r="AY59" s="836" t="s">
        <v>273</v>
      </c>
      <c r="AZ59" s="836" t="s">
        <v>273</v>
      </c>
      <c r="BA59" s="836" t="s">
        <v>273</v>
      </c>
      <c r="BB59" s="836" t="s">
        <v>273</v>
      </c>
      <c r="BC59" s="836" t="s">
        <v>273</v>
      </c>
      <c r="BD59" s="836" t="s">
        <v>273</v>
      </c>
      <c r="BE59" s="836" t="s">
        <v>273</v>
      </c>
      <c r="BF59" s="836" t="s">
        <v>273</v>
      </c>
      <c r="BG59" s="836" t="s">
        <v>273</v>
      </c>
      <c r="BH59" s="836" t="s">
        <v>273</v>
      </c>
      <c r="BI59" s="836" t="s">
        <v>273</v>
      </c>
      <c r="BJ59" s="836" t="s">
        <v>273</v>
      </c>
      <c r="BK59" s="836" t="s">
        <v>273</v>
      </c>
      <c r="BL59" s="836">
        <f>SUMPRODUCT(X59:AA59,T49:W49)/BK49</f>
        <v>0.26542721728129309</v>
      </c>
      <c r="BM59" s="836">
        <f>SUMPRODUCT(AB59:AE59,X49:AA49)/BL49</f>
        <v>0.23513022821554716</v>
      </c>
      <c r="BN59" s="836">
        <f>SUMPRODUCT(AF59:AI59,AB49:AE49)/BM49</f>
        <v>3.1422154974339353E-2</v>
      </c>
      <c r="BO59" s="836">
        <f>SUMPRODUCT(AJ59:AM59,AF49:AI49)/BN49</f>
        <v>0.27951577913754239</v>
      </c>
      <c r="BP59" s="836" t="s">
        <v>273</v>
      </c>
      <c r="BQ59" s="872"/>
      <c r="BR59" s="872"/>
      <c r="BS59" s="872"/>
    </row>
    <row r="60" spans="2:74" s="3" customFormat="1">
      <c r="B60" s="13" t="s">
        <v>292</v>
      </c>
      <c r="D60" s="228"/>
      <c r="E60" s="228"/>
      <c r="F60" s="228"/>
      <c r="G60" s="228"/>
      <c r="H60" s="228"/>
      <c r="I60" s="228"/>
      <c r="J60" s="228"/>
      <c r="K60" s="228"/>
      <c r="L60" s="836"/>
      <c r="M60" s="836"/>
      <c r="N60" s="836"/>
      <c r="O60" s="836"/>
      <c r="P60" s="836"/>
      <c r="Q60" s="836"/>
      <c r="R60" s="836"/>
      <c r="S60" s="836"/>
      <c r="T60" s="836"/>
      <c r="U60" s="836"/>
      <c r="V60" s="836"/>
      <c r="W60" s="836"/>
      <c r="X60" s="836">
        <f t="shared" ref="X60:AM60" si="514">X52+X59-X58</f>
        <v>0.19142519312628115</v>
      </c>
      <c r="Y60" s="836">
        <f t="shared" si="514"/>
        <v>0.19797998704196962</v>
      </c>
      <c r="Z60" s="836">
        <f t="shared" si="514"/>
        <v>0.20571329479768807</v>
      </c>
      <c r="AA60" s="836">
        <f t="shared" si="514"/>
        <v>0.315576191541732</v>
      </c>
      <c r="AB60" s="836">
        <f t="shared" si="514"/>
        <v>0.29708868732678262</v>
      </c>
      <c r="AC60" s="836">
        <f t="shared" si="514"/>
        <v>0.28450631273734484</v>
      </c>
      <c r="AD60" s="836">
        <f t="shared" si="514"/>
        <v>0.27692022049814735</v>
      </c>
      <c r="AE60" s="836">
        <f t="shared" si="514"/>
        <v>0.16459280637892182</v>
      </c>
      <c r="AF60" s="836">
        <f t="shared" si="514"/>
        <v>0.10046743749382356</v>
      </c>
      <c r="AG60" s="836">
        <f t="shared" si="514"/>
        <v>1.5291410474012002E-2</v>
      </c>
      <c r="AH60" s="836">
        <f t="shared" si="514"/>
        <v>0.11024553331951678</v>
      </c>
      <c r="AI60" s="836">
        <f t="shared" si="514"/>
        <v>0.16693510757238506</v>
      </c>
      <c r="AJ60" s="836">
        <f t="shared" si="514"/>
        <v>0.27529479012746227</v>
      </c>
      <c r="AK60" s="836">
        <f t="shared" si="514"/>
        <v>0.27337366713027345</v>
      </c>
      <c r="AL60" s="836">
        <f t="shared" si="514"/>
        <v>0.2782718324982103</v>
      </c>
      <c r="AM60" s="836">
        <f t="shared" si="514"/>
        <v>0.19013065886039426</v>
      </c>
      <c r="AN60" s="836">
        <f>AN52+AN59-AN58</f>
        <v>0.15619633903123731</v>
      </c>
      <c r="AO60" s="836">
        <f t="shared" ref="AO60:AQ60" si="515">AO52+AO59-AO58</f>
        <v>0.12779714915019147</v>
      </c>
      <c r="AP60" s="836">
        <f t="shared" si="515"/>
        <v>0.16072385492378993</v>
      </c>
      <c r="AQ60" s="836">
        <f t="shared" si="515"/>
        <v>0.16850448059634471</v>
      </c>
      <c r="AR60" s="228"/>
      <c r="AS60" s="228"/>
      <c r="AT60" s="228"/>
      <c r="AU60" s="836"/>
      <c r="AV60" s="836"/>
      <c r="AW60" s="836"/>
      <c r="AX60" s="836"/>
      <c r="AY60" s="836"/>
      <c r="AZ60" s="836"/>
      <c r="BA60" s="836"/>
      <c r="BB60" s="836"/>
      <c r="BC60" s="836"/>
      <c r="BD60" s="836"/>
      <c r="BE60" s="836"/>
      <c r="BF60" s="836"/>
      <c r="BG60" s="836"/>
      <c r="BH60" s="836"/>
      <c r="BI60" s="836"/>
      <c r="BJ60" s="836"/>
      <c r="BK60" s="836"/>
      <c r="BL60" s="836"/>
      <c r="BM60" s="836"/>
      <c r="BN60" s="836"/>
      <c r="BO60" s="836"/>
      <c r="BP60" s="836"/>
      <c r="BQ60" s="872"/>
      <c r="BR60" s="872"/>
      <c r="BS60" s="872"/>
    </row>
    <row r="61" spans="2:74" s="3" customFormat="1">
      <c r="B61" s="13"/>
      <c r="D61" s="228"/>
      <c r="E61" s="228"/>
      <c r="F61" s="228"/>
      <c r="G61" s="228"/>
      <c r="H61" s="228"/>
      <c r="I61" s="228"/>
      <c r="J61" s="228"/>
      <c r="K61" s="228"/>
      <c r="L61" s="836"/>
      <c r="M61" s="836"/>
      <c r="N61" s="836"/>
      <c r="O61" s="836"/>
      <c r="P61" s="836"/>
      <c r="Q61" s="836"/>
      <c r="R61" s="836"/>
      <c r="S61" s="836"/>
      <c r="T61" s="836"/>
      <c r="U61" s="836"/>
      <c r="V61" s="836"/>
      <c r="W61" s="836"/>
      <c r="X61" s="836"/>
      <c r="Y61" s="836"/>
      <c r="Z61" s="836"/>
      <c r="AA61" s="228"/>
      <c r="AB61" s="228"/>
      <c r="AC61" s="228"/>
      <c r="AD61" s="228"/>
      <c r="AE61" s="228"/>
      <c r="AF61" s="228"/>
      <c r="AG61" s="228"/>
      <c r="AH61" s="228"/>
      <c r="AI61" s="228"/>
      <c r="AJ61" s="228"/>
      <c r="AK61" s="228"/>
      <c r="AL61" s="228"/>
      <c r="AM61" s="228"/>
      <c r="AN61" s="228"/>
      <c r="AO61" s="228"/>
      <c r="AP61" s="228"/>
      <c r="AQ61" s="228"/>
      <c r="AR61" s="228"/>
      <c r="AS61" s="228"/>
      <c r="AT61" s="228"/>
      <c r="AU61" s="836"/>
      <c r="AV61" s="836"/>
      <c r="AW61" s="836"/>
      <c r="AX61" s="836"/>
      <c r="AY61" s="836"/>
      <c r="AZ61" s="836"/>
      <c r="BA61" s="836"/>
      <c r="BB61" s="836"/>
      <c r="BC61" s="836"/>
      <c r="BD61" s="836"/>
      <c r="BE61" s="836"/>
      <c r="BF61" s="836"/>
      <c r="BG61" s="836"/>
      <c r="BH61" s="836"/>
      <c r="BI61" s="836"/>
      <c r="BJ61" s="836"/>
      <c r="BK61" s="836"/>
      <c r="BL61" s="228"/>
      <c r="BM61" s="228"/>
      <c r="BN61" s="228"/>
      <c r="BO61" s="228"/>
      <c r="BP61" s="228"/>
      <c r="BQ61" s="872"/>
      <c r="BR61" s="872"/>
      <c r="BS61" s="872"/>
    </row>
    <row r="62" spans="2:74" s="3" customFormat="1">
      <c r="B62" s="13" t="s">
        <v>293</v>
      </c>
      <c r="D62" s="228"/>
      <c r="E62" s="228"/>
      <c r="F62" s="228"/>
      <c r="G62" s="228"/>
      <c r="H62" s="228"/>
      <c r="I62" s="228"/>
      <c r="J62" s="228"/>
      <c r="K62" s="228"/>
      <c r="L62" s="836">
        <f t="shared" ref="L62:AB62" si="516">+L1113</f>
        <v>0.15</v>
      </c>
      <c r="M62" s="836">
        <f t="shared" si="516"/>
        <v>0.1</v>
      </c>
      <c r="N62" s="836">
        <f t="shared" si="516"/>
        <v>0.2</v>
      </c>
      <c r="O62" s="836">
        <f t="shared" si="516"/>
        <v>0.24</v>
      </c>
      <c r="P62" s="836">
        <f t="shared" si="516"/>
        <v>0.28000000000000003</v>
      </c>
      <c r="Q62" s="836">
        <f t="shared" si="516"/>
        <v>0.18</v>
      </c>
      <c r="R62" s="836">
        <f t="shared" si="516"/>
        <v>0.27</v>
      </c>
      <c r="S62" s="836">
        <f t="shared" si="516"/>
        <v>0.24</v>
      </c>
      <c r="T62" s="836">
        <f t="shared" si="516"/>
        <v>0.32</v>
      </c>
      <c r="U62" s="836">
        <f t="shared" si="516"/>
        <v>0.39</v>
      </c>
      <c r="V62" s="836">
        <f t="shared" si="516"/>
        <v>0.28000000000000003</v>
      </c>
      <c r="W62" s="836">
        <f t="shared" si="516"/>
        <v>0.19332527206771474</v>
      </c>
      <c r="X62" s="836">
        <f t="shared" si="516"/>
        <v>0.25</v>
      </c>
      <c r="Y62" s="836">
        <f t="shared" si="516"/>
        <v>0.26</v>
      </c>
      <c r="Z62" s="836">
        <f t="shared" si="516"/>
        <v>0.27</v>
      </c>
      <c r="AA62" s="836">
        <f t="shared" si="516"/>
        <v>0.35</v>
      </c>
      <c r="AB62" s="836">
        <f t="shared" si="516"/>
        <v>0.24</v>
      </c>
      <c r="AC62" s="836">
        <f t="shared" ref="AC62:AD62" si="517">+AC1113</f>
        <v>0.24</v>
      </c>
      <c r="AD62" s="836">
        <f t="shared" si="517"/>
        <v>0.23</v>
      </c>
      <c r="AE62" s="836">
        <f t="shared" ref="AE62:AI62" si="518">+AE1113</f>
        <v>0.14000000000000001</v>
      </c>
      <c r="AF62" s="836">
        <f t="shared" si="518"/>
        <v>0.15</v>
      </c>
      <c r="AG62" s="836">
        <f t="shared" si="518"/>
        <v>0.06</v>
      </c>
      <c r="AH62" s="836">
        <f t="shared" si="518"/>
        <v>0.15</v>
      </c>
      <c r="AI62" s="836">
        <f t="shared" si="518"/>
        <v>0.21</v>
      </c>
      <c r="AJ62" s="836">
        <f t="shared" ref="AJ62:AK62" si="519">+AJ1113</f>
        <v>0.24</v>
      </c>
      <c r="AK62" s="836">
        <f t="shared" si="519"/>
        <v>0.27560964302271662</v>
      </c>
      <c r="AL62" s="836">
        <f t="shared" ref="AL62:AM62" si="520">+AL1113</f>
        <v>0.2759931997136722</v>
      </c>
      <c r="AM62" s="836">
        <f t="shared" si="520"/>
        <v>0.20011297105632053</v>
      </c>
      <c r="AN62" s="836">
        <f t="shared" ref="AN62:AQ62" si="521">+AN1113</f>
        <v>0.16980851459379065</v>
      </c>
      <c r="AO62" s="836">
        <f t="shared" si="521"/>
        <v>0.13176497670679077</v>
      </c>
      <c r="AP62" s="836">
        <f t="shared" si="521"/>
        <v>0.1487853095445546</v>
      </c>
      <c r="AQ62" s="836">
        <f t="shared" si="521"/>
        <v>0.16063589247354981</v>
      </c>
      <c r="AR62" s="228"/>
      <c r="AS62" s="228"/>
      <c r="AT62" s="228"/>
      <c r="AU62" s="836" t="s">
        <v>273</v>
      </c>
      <c r="AV62" s="836" t="s">
        <v>273</v>
      </c>
      <c r="AW62" s="836" t="s">
        <v>273</v>
      </c>
      <c r="AX62" s="836" t="s">
        <v>273</v>
      </c>
      <c r="AY62" s="836" t="s">
        <v>273</v>
      </c>
      <c r="AZ62" s="836" t="s">
        <v>273</v>
      </c>
      <c r="BA62" s="836" t="str">
        <f>+BA1113</f>
        <v>NA</v>
      </c>
      <c r="BB62" s="836" t="str">
        <f>+BB1113</f>
        <v>NA</v>
      </c>
      <c r="BC62" s="836" t="str">
        <f>+BC1113</f>
        <v>NA</v>
      </c>
      <c r="BD62" s="836" t="str">
        <f>+BD1113</f>
        <v>NA</v>
      </c>
      <c r="BE62" s="836" t="str">
        <f>+BE1113</f>
        <v>NA</v>
      </c>
      <c r="BF62" s="836"/>
      <c r="BG62" s="836" t="str">
        <f>+BG1113</f>
        <v>NA</v>
      </c>
      <c r="BH62" s="836" t="str">
        <f>+BH1113</f>
        <v>NA</v>
      </c>
      <c r="BI62" s="836">
        <f>+BI1113</f>
        <v>0.17249565306331185</v>
      </c>
      <c r="BJ62" s="836">
        <f>+BJ1113</f>
        <v>0.24103656797307321</v>
      </c>
      <c r="BK62" s="836">
        <f>+BK1113</f>
        <v>0.29050722782187671</v>
      </c>
      <c r="BL62" s="836">
        <f>SUMPRODUCT(X62:AA62,T49:W49)/BK49</f>
        <v>0.28283879982628074</v>
      </c>
      <c r="BM62" s="836">
        <f>SUMPRODUCT(AB62:AE62,X49:AA49)/BL49</f>
        <v>0.21025030036043252</v>
      </c>
      <c r="BN62" s="836">
        <f>SUMPRODUCT(AF62:AI62,AB49:AE49)/BM49</f>
        <v>0.14076322511782977</v>
      </c>
      <c r="BO62" s="836">
        <f>SUMPRODUCT(AJ62:AM62,AF49:AI49)/BN49</f>
        <v>0.24674738555533252</v>
      </c>
      <c r="BP62" s="836">
        <f>SUMPRODUCT(AK62:AN62,AG49:AJ49)/BO49</f>
        <v>0.19151427834547277</v>
      </c>
      <c r="BQ62" s="872"/>
      <c r="BR62" s="872"/>
      <c r="BS62" s="872"/>
    </row>
    <row r="63" spans="2:74" s="3" customFormat="1">
      <c r="B63" s="13" t="s">
        <v>294</v>
      </c>
      <c r="D63" s="228"/>
      <c r="E63" s="228"/>
      <c r="F63" s="228"/>
      <c r="G63" s="228"/>
      <c r="H63" s="228"/>
      <c r="I63" s="228"/>
      <c r="J63" s="228"/>
      <c r="K63" s="228"/>
      <c r="L63" s="836"/>
      <c r="M63" s="836"/>
      <c r="N63" s="836"/>
      <c r="O63" s="836"/>
      <c r="P63" s="836">
        <f>+P62</f>
        <v>0.28000000000000003</v>
      </c>
      <c r="Q63" s="836">
        <f t="shared" ref="Q63:S63" si="522">+Q62</f>
        <v>0.18</v>
      </c>
      <c r="R63" s="836">
        <f t="shared" si="522"/>
        <v>0.27</v>
      </c>
      <c r="S63" s="836">
        <f t="shared" si="522"/>
        <v>0.24</v>
      </c>
      <c r="T63" s="836"/>
      <c r="U63" s="836"/>
      <c r="V63" s="836"/>
      <c r="W63" s="836"/>
      <c r="X63" s="836">
        <f t="shared" ref="X63" si="523">+X62+X59-X58</f>
        <v>0.19142519312628115</v>
      </c>
      <c r="Y63" s="836">
        <f>+Y62+Y59-Y58</f>
        <v>0.19797998704196962</v>
      </c>
      <c r="Z63" s="836">
        <f>+Z62+Z59-Z58</f>
        <v>0.20571329479768807</v>
      </c>
      <c r="AA63" s="836">
        <f>+AA62+AA59-AA58</f>
        <v>0.315576191541732</v>
      </c>
      <c r="AB63" s="836">
        <f>+AB62+AB59-AB58</f>
        <v>0.29708868732678262</v>
      </c>
      <c r="AC63" s="836">
        <f t="shared" ref="AC63:AI63" si="524">+AC62+AC59-AC58</f>
        <v>0.28450631273734484</v>
      </c>
      <c r="AD63" s="836">
        <f t="shared" si="524"/>
        <v>0.27692022049814735</v>
      </c>
      <c r="AE63" s="836">
        <f>+AE14</f>
        <v>0.16459280637892182</v>
      </c>
      <c r="AF63" s="836">
        <f t="shared" si="524"/>
        <v>0.10046743749382356</v>
      </c>
      <c r="AG63" s="836">
        <f t="shared" si="524"/>
        <v>1.5291410474012002E-2</v>
      </c>
      <c r="AH63" s="836">
        <f t="shared" si="524"/>
        <v>0.11024553331951678</v>
      </c>
      <c r="AI63" s="836">
        <f t="shared" si="524"/>
        <v>0.16693510757238506</v>
      </c>
      <c r="AJ63" s="836">
        <f t="shared" ref="AJ63:AL63" si="525">+AJ62+AJ59-AJ58</f>
        <v>0.27529479012746227</v>
      </c>
      <c r="AK63" s="836">
        <f t="shared" si="525"/>
        <v>0.3043625405656003</v>
      </c>
      <c r="AL63" s="836">
        <f t="shared" si="525"/>
        <v>0.30366768074445227</v>
      </c>
      <c r="AM63" s="836">
        <f t="shared" ref="AM63" si="526">+AM62+AM59-AM58</f>
        <v>0.21345654325059793</v>
      </c>
      <c r="AN63" s="836">
        <f>AN62</f>
        <v>0.16980851459379065</v>
      </c>
      <c r="AO63" s="836">
        <f>AO62</f>
        <v>0.13176497670679077</v>
      </c>
      <c r="AP63" s="836">
        <f t="shared" ref="AP63:AQ63" si="527">AP62</f>
        <v>0.1487853095445546</v>
      </c>
      <c r="AQ63" s="836">
        <f t="shared" si="527"/>
        <v>0.16063589247354981</v>
      </c>
      <c r="AR63" s="228"/>
      <c r="AS63" s="228"/>
      <c r="AT63" s="228"/>
      <c r="AU63" s="836" t="str">
        <f t="shared" ref="AU63:BE63" si="528">+AU62</f>
        <v>NA</v>
      </c>
      <c r="AV63" s="836" t="str">
        <f t="shared" si="528"/>
        <v>NA</v>
      </c>
      <c r="AW63" s="836" t="str">
        <f t="shared" si="528"/>
        <v>NA</v>
      </c>
      <c r="AX63" s="836" t="str">
        <f t="shared" si="528"/>
        <v>NA</v>
      </c>
      <c r="AY63" s="836" t="str">
        <f t="shared" si="528"/>
        <v>NA</v>
      </c>
      <c r="AZ63" s="836" t="str">
        <f t="shared" si="528"/>
        <v>NA</v>
      </c>
      <c r="BA63" s="836" t="str">
        <f t="shared" si="528"/>
        <v>NA</v>
      </c>
      <c r="BB63" s="836" t="str">
        <f t="shared" si="528"/>
        <v>NA</v>
      </c>
      <c r="BC63" s="836" t="str">
        <f t="shared" si="528"/>
        <v>NA</v>
      </c>
      <c r="BD63" s="836" t="str">
        <f t="shared" si="528"/>
        <v>NA</v>
      </c>
      <c r="BE63" s="836" t="str">
        <f t="shared" si="528"/>
        <v>NA</v>
      </c>
      <c r="BF63" s="836"/>
      <c r="BG63" s="836" t="str">
        <f>+BG62</f>
        <v>NA</v>
      </c>
      <c r="BH63" s="836" t="str">
        <f t="shared" ref="BH63:BK63" si="529">+BH62</f>
        <v>NA</v>
      </c>
      <c r="BI63" s="836">
        <f t="shared" si="529"/>
        <v>0.17249565306331185</v>
      </c>
      <c r="BJ63" s="836">
        <f t="shared" si="529"/>
        <v>0.24103656797307321</v>
      </c>
      <c r="BK63" s="836">
        <f t="shared" si="529"/>
        <v>0.29050722782187671</v>
      </c>
      <c r="BL63" s="836">
        <f>SUMPRODUCT(X63:AA63,T49:W49)/BK49</f>
        <v>0.22807492588606293</v>
      </c>
      <c r="BM63" s="836">
        <f>SUMPRODUCT(AB63:AE63,X49:AA49)/BL49</f>
        <v>0.25276367406485195</v>
      </c>
      <c r="BN63" s="836">
        <f>SUMPRODUCT(AF63:AI63,AB49:AE49)/BM49</f>
        <v>9.6498489478974617E-2</v>
      </c>
      <c r="BO63" s="836">
        <f>SUMPRODUCT(AJ63:AM63,AF49:AI49)/BN49</f>
        <v>0.2726341594082406</v>
      </c>
      <c r="BP63" s="836" t="s">
        <v>273</v>
      </c>
      <c r="BQ63" s="872"/>
      <c r="BR63" s="872"/>
      <c r="BS63" s="872"/>
    </row>
    <row r="64" spans="2:74" s="3" customFormat="1" hidden="1" outlineLevel="1">
      <c r="B64" s="13"/>
      <c r="D64" s="228"/>
      <c r="E64" s="228"/>
      <c r="F64" s="228"/>
      <c r="G64" s="228"/>
      <c r="H64" s="228"/>
      <c r="I64" s="228"/>
      <c r="J64" s="228"/>
      <c r="K64" s="228"/>
      <c r="L64" s="228"/>
      <c r="M64" s="228"/>
      <c r="N64" s="228"/>
      <c r="O64" s="228"/>
      <c r="P64" s="228"/>
      <c r="Q64" s="228"/>
      <c r="R64" s="228"/>
      <c r="S64" s="228"/>
      <c r="T64" s="228"/>
      <c r="U64" s="228"/>
      <c r="V64" s="228"/>
      <c r="W64" s="228"/>
      <c r="X64" s="228"/>
      <c r="Y64" s="228"/>
      <c r="Z64" s="228"/>
      <c r="AA64" s="228"/>
      <c r="AB64" s="228"/>
      <c r="AC64" s="228"/>
      <c r="AD64" s="228"/>
      <c r="AE64" s="228"/>
      <c r="AF64" s="228"/>
      <c r="AG64" s="228"/>
      <c r="AH64" s="228"/>
      <c r="AI64" s="228"/>
      <c r="AJ64" s="228"/>
      <c r="AK64" s="228"/>
      <c r="AL64" s="228"/>
      <c r="AM64" s="228"/>
      <c r="AN64" s="228"/>
      <c r="AO64" s="228"/>
      <c r="AP64" s="228"/>
      <c r="AQ64" s="228"/>
      <c r="AR64" s="228"/>
      <c r="AS64" s="228"/>
      <c r="AT64" s="228"/>
      <c r="AU64" s="228"/>
      <c r="AV64" s="228"/>
      <c r="AW64" s="228"/>
      <c r="AX64" s="228"/>
      <c r="AY64" s="228"/>
      <c r="AZ64" s="228"/>
      <c r="BA64" s="228"/>
      <c r="BB64" s="228"/>
      <c r="BC64" s="228"/>
      <c r="BD64" s="228"/>
      <c r="BE64" s="228"/>
      <c r="BF64" s="228"/>
      <c r="BG64" s="228"/>
      <c r="BH64" s="228"/>
      <c r="BI64" s="228"/>
      <c r="BJ64" s="228"/>
      <c r="BK64" s="228"/>
      <c r="BL64" s="228"/>
      <c r="BM64" s="228"/>
      <c r="BN64" s="228"/>
      <c r="BO64" s="228"/>
      <c r="BP64" s="228"/>
    </row>
    <row r="65" spans="2:71" s="3" customFormat="1" hidden="1" outlineLevel="1">
      <c r="B65" s="13" t="s">
        <v>295</v>
      </c>
      <c r="D65" s="228"/>
      <c r="E65" s="228"/>
      <c r="F65" s="228"/>
      <c r="G65" s="228"/>
      <c r="H65" s="228"/>
      <c r="I65" s="228"/>
      <c r="J65" s="228"/>
      <c r="K65" s="228"/>
      <c r="L65" s="845">
        <f t="shared" ref="L65:V65" si="530">+L62*H49</f>
        <v>1007.25</v>
      </c>
      <c r="M65" s="845">
        <f t="shared" si="530"/>
        <v>790.5</v>
      </c>
      <c r="N65" s="845">
        <f t="shared" si="530"/>
        <v>1344.6000000000001</v>
      </c>
      <c r="O65" s="845">
        <f t="shared" si="530"/>
        <v>1917.12</v>
      </c>
      <c r="P65" s="845">
        <f t="shared" si="530"/>
        <v>2158.2400000000002</v>
      </c>
      <c r="Q65" s="845">
        <f t="shared" si="530"/>
        <v>1562.22</v>
      </c>
      <c r="R65" s="845">
        <f t="shared" si="530"/>
        <v>2238.84</v>
      </c>
      <c r="S65" s="845">
        <f t="shared" si="530"/>
        <v>2490.96</v>
      </c>
      <c r="T65" s="845">
        <f t="shared" si="530"/>
        <v>3185.6</v>
      </c>
      <c r="U65" s="845">
        <f t="shared" si="530"/>
        <v>4000.6200000000003</v>
      </c>
      <c r="V65" s="845">
        <f t="shared" si="530"/>
        <v>2895.4800000000005</v>
      </c>
      <c r="W65" s="1184">
        <f>+W62*S49</f>
        <v>2398.2000000000012</v>
      </c>
      <c r="X65" s="1184">
        <f t="shared" ref="X65:AD65" si="531">+X63*T49</f>
        <v>2428.4200000000028</v>
      </c>
      <c r="Y65" s="845">
        <f t="shared" si="531"/>
        <v>2750.14</v>
      </c>
      <c r="Z65" s="845">
        <f t="shared" si="531"/>
        <v>2669.1300000000028</v>
      </c>
      <c r="AA65" s="845">
        <f t="shared" si="531"/>
        <v>4230.9300000000012</v>
      </c>
      <c r="AB65" s="845">
        <f t="shared" si="531"/>
        <v>4716.5800000000008</v>
      </c>
      <c r="AC65" s="845">
        <f t="shared" si="531"/>
        <v>5091.8094790602609</v>
      </c>
      <c r="AD65" s="845">
        <f t="shared" si="531"/>
        <v>4720.9359190524165</v>
      </c>
      <c r="AE65" s="845">
        <f>+AE63*AA49</f>
        <v>3142.8996378055122</v>
      </c>
      <c r="AF65" s="845">
        <f>+AF63*AB49</f>
        <v>2033.2600000000011</v>
      </c>
      <c r="AG65" s="845">
        <f t="shared" ref="AG65" si="532">+AG63*AC49</f>
        <v>340.18800881534497</v>
      </c>
      <c r="AH65" s="845">
        <f t="shared" ref="AH65" si="533">+AH63*AD49</f>
        <v>2245.0400405186397</v>
      </c>
      <c r="AI65" s="845">
        <f t="shared" ref="AI65" si="534">+AI63*AE49</f>
        <v>3427.8454988913545</v>
      </c>
      <c r="AJ65" s="845">
        <f t="shared" ref="AJ65:AK65" si="535">+AJ63*AF49</f>
        <v>5923.7932939627335</v>
      </c>
      <c r="AK65" s="845">
        <f t="shared" si="535"/>
        <v>6565.0999999999985</v>
      </c>
      <c r="AL65" s="845">
        <f t="shared" ref="AL65" si="536">+AL63*AH49</f>
        <v>6787.5799999999972</v>
      </c>
      <c r="AM65" s="845">
        <f t="shared" ref="AM65" si="537">+AM63*AI49</f>
        <v>5177.175000000002</v>
      </c>
      <c r="AN65" s="845">
        <f t="shared" ref="AN65" si="538">+AN63*AJ49</f>
        <v>4566.9999999999991</v>
      </c>
      <c r="AO65" s="845"/>
      <c r="AP65" s="845"/>
      <c r="AQ65" s="845"/>
      <c r="AR65" s="228"/>
      <c r="AS65" s="228"/>
      <c r="AT65" s="228"/>
      <c r="AU65" s="228"/>
      <c r="AV65" s="228"/>
      <c r="AW65" s="228"/>
      <c r="AX65" s="228"/>
      <c r="AY65" s="228"/>
      <c r="AZ65" s="228"/>
      <c r="BA65" s="228"/>
      <c r="BB65" s="228"/>
      <c r="BC65" s="228"/>
      <c r="BD65" s="228"/>
      <c r="BE65" s="228"/>
      <c r="BF65" s="228"/>
      <c r="BG65" s="228"/>
      <c r="BH65" s="845"/>
      <c r="BI65" s="845">
        <f t="shared" ref="BI65:BJ65" si="539">+BI62*BH49</f>
        <v>5059.47</v>
      </c>
      <c r="BJ65" s="845">
        <f t="shared" si="539"/>
        <v>8450.26</v>
      </c>
      <c r="BK65" s="845">
        <f>+BK62*BJ49</f>
        <v>12479.900000000001</v>
      </c>
      <c r="BL65" s="845">
        <f>+BL63*BK49</f>
        <v>12078.620000000006</v>
      </c>
      <c r="BM65" s="845">
        <f>+BM63*BL49</f>
        <v>17672.225035918189</v>
      </c>
      <c r="BN65" s="845">
        <f>+BN63*BM49</f>
        <v>8046.3335482253406</v>
      </c>
      <c r="BO65" s="845">
        <f>+BO63*BN49</f>
        <v>24453.648293962731</v>
      </c>
      <c r="BP65" s="845"/>
    </row>
    <row r="66" spans="2:71" s="3" customFormat="1" collapsed="1">
      <c r="B66" s="13" t="s">
        <v>296</v>
      </c>
      <c r="D66" s="228"/>
      <c r="E66" s="228"/>
      <c r="F66" s="228"/>
      <c r="G66" s="228"/>
      <c r="H66" s="228"/>
      <c r="I66" s="228"/>
      <c r="J66" s="228"/>
      <c r="K66" s="228"/>
      <c r="L66" s="836"/>
      <c r="M66" s="836"/>
      <c r="N66" s="836"/>
      <c r="O66" s="836"/>
      <c r="P66" s="836"/>
      <c r="Q66" s="836"/>
      <c r="R66" s="836"/>
      <c r="S66" s="836"/>
      <c r="T66" s="836"/>
      <c r="U66" s="836"/>
      <c r="V66" s="836"/>
      <c r="W66" s="836"/>
      <c r="X66" s="836">
        <f t="shared" ref="X66:AM66" si="540">X52+X63-X62</f>
        <v>0.19142519312628115</v>
      </c>
      <c r="Y66" s="836">
        <f t="shared" si="540"/>
        <v>0.19797998704196962</v>
      </c>
      <c r="Z66" s="836">
        <f t="shared" si="540"/>
        <v>0.20571329479768807</v>
      </c>
      <c r="AA66" s="836">
        <f t="shared" si="540"/>
        <v>0.315576191541732</v>
      </c>
      <c r="AB66" s="836">
        <f t="shared" si="540"/>
        <v>0.29708868732678262</v>
      </c>
      <c r="AC66" s="836">
        <f t="shared" si="540"/>
        <v>0.28450631273734484</v>
      </c>
      <c r="AD66" s="836">
        <f t="shared" si="540"/>
        <v>0.27692022049814735</v>
      </c>
      <c r="AE66" s="836">
        <f t="shared" si="540"/>
        <v>0.16459280637892182</v>
      </c>
      <c r="AF66" s="836">
        <f t="shared" si="540"/>
        <v>0.10046743749382356</v>
      </c>
      <c r="AG66" s="836">
        <f t="shared" si="540"/>
        <v>1.5291410474012002E-2</v>
      </c>
      <c r="AH66" s="836">
        <f t="shared" si="540"/>
        <v>0.11024553331951678</v>
      </c>
      <c r="AI66" s="836">
        <f t="shared" si="540"/>
        <v>0.16693510757238503</v>
      </c>
      <c r="AJ66" s="836">
        <f t="shared" si="540"/>
        <v>0.27529479012746227</v>
      </c>
      <c r="AK66" s="836">
        <f t="shared" si="540"/>
        <v>0.27337366713027345</v>
      </c>
      <c r="AL66" s="836">
        <f t="shared" si="540"/>
        <v>0.2782718324982103</v>
      </c>
      <c r="AM66" s="836">
        <f t="shared" si="540"/>
        <v>0.19013065886039426</v>
      </c>
      <c r="AN66" s="836">
        <f>AN52+AN63-AN62</f>
        <v>0.15619633903123731</v>
      </c>
      <c r="AO66" s="836">
        <f t="shared" ref="AO66:AQ66" si="541">AO52+AO63-AO62</f>
        <v>0.12779714915019147</v>
      </c>
      <c r="AP66" s="836">
        <f t="shared" si="541"/>
        <v>0.16072385492378993</v>
      </c>
      <c r="AQ66" s="836">
        <f t="shared" si="541"/>
        <v>0.16850448059634471</v>
      </c>
      <c r="AR66" s="228"/>
      <c r="AS66" s="228"/>
      <c r="AT66" s="228"/>
      <c r="AU66" s="836"/>
      <c r="AV66" s="836"/>
      <c r="AW66" s="836"/>
      <c r="AX66" s="836"/>
      <c r="AY66" s="836"/>
      <c r="AZ66" s="836"/>
      <c r="BA66" s="836"/>
      <c r="BB66" s="836"/>
      <c r="BC66" s="836"/>
      <c r="BD66" s="836"/>
      <c r="BE66" s="836"/>
      <c r="BF66" s="836"/>
      <c r="BG66" s="836"/>
      <c r="BH66" s="836"/>
      <c r="BI66" s="836"/>
      <c r="BJ66" s="836"/>
      <c r="BK66" s="836"/>
      <c r="BL66" s="836"/>
      <c r="BM66" s="836"/>
      <c r="BN66" s="836"/>
      <c r="BO66" s="836"/>
      <c r="BP66" s="836"/>
      <c r="BQ66" s="872"/>
      <c r="BR66" s="872"/>
      <c r="BS66" s="872"/>
    </row>
    <row r="67" spans="2:71" s="3" customFormat="1">
      <c r="B67" s="13"/>
      <c r="D67" s="228"/>
      <c r="E67" s="228"/>
      <c r="F67" s="228"/>
      <c r="G67" s="228"/>
      <c r="H67" s="228"/>
      <c r="I67" s="228"/>
      <c r="J67" s="228"/>
      <c r="K67" s="228"/>
      <c r="L67" s="228"/>
      <c r="M67" s="228"/>
      <c r="N67" s="228"/>
      <c r="O67" s="228"/>
      <c r="P67" s="228"/>
      <c r="Q67" s="228"/>
      <c r="R67" s="228"/>
      <c r="S67" s="228"/>
      <c r="T67" s="228"/>
      <c r="U67" s="228"/>
      <c r="V67" s="228"/>
      <c r="W67" s="228"/>
      <c r="X67" s="228"/>
      <c r="Y67" s="228"/>
      <c r="Z67" s="228"/>
      <c r="AA67" s="228"/>
      <c r="AB67" s="228"/>
      <c r="AC67" s="228"/>
      <c r="AD67" s="228"/>
      <c r="AE67" s="228"/>
      <c r="AF67" s="228"/>
      <c r="AG67" s="228"/>
      <c r="AH67" s="228"/>
      <c r="AI67" s="228"/>
      <c r="AJ67" s="228"/>
      <c r="AK67" s="22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row>
    <row r="68" spans="2:71" s="3" customFormat="1">
      <c r="B68" t="str">
        <f>+B1117</f>
        <v>Interest and dividends income</v>
      </c>
      <c r="C68"/>
      <c r="D68" s="8">
        <f t="shared" ref="D68:AL68" si="542">+D1117</f>
        <v>199</v>
      </c>
      <c r="E68" s="8">
        <f t="shared" si="542"/>
        <v>200</v>
      </c>
      <c r="F68" s="8">
        <f t="shared" si="542"/>
        <v>230</v>
      </c>
      <c r="G68" s="8">
        <f t="shared" si="542"/>
        <v>274</v>
      </c>
      <c r="H68" s="8">
        <f t="shared" si="542"/>
        <v>293</v>
      </c>
      <c r="I68" s="8">
        <f t="shared" si="542"/>
        <v>311</v>
      </c>
      <c r="J68" s="8">
        <f t="shared" si="542"/>
        <v>380</v>
      </c>
      <c r="K68" s="8">
        <f t="shared" si="542"/>
        <v>403</v>
      </c>
      <c r="L68" s="8">
        <f t="shared" si="542"/>
        <v>473</v>
      </c>
      <c r="M68" s="8">
        <f t="shared" si="542"/>
        <v>530</v>
      </c>
      <c r="N68" s="8">
        <f t="shared" si="542"/>
        <v>575</v>
      </c>
      <c r="O68" s="8">
        <f t="shared" si="542"/>
        <v>636</v>
      </c>
      <c r="P68" s="8">
        <f t="shared" si="542"/>
        <v>681</v>
      </c>
      <c r="Q68" s="8">
        <f t="shared" si="542"/>
        <v>704</v>
      </c>
      <c r="R68" s="8">
        <f t="shared" si="542"/>
        <v>668</v>
      </c>
      <c r="S68" s="8">
        <f t="shared" si="542"/>
        <v>709</v>
      </c>
      <c r="T68" s="8">
        <f t="shared" si="542"/>
        <v>724</v>
      </c>
      <c r="U68" s="8">
        <f t="shared" si="542"/>
        <v>688</v>
      </c>
      <c r="V68" s="8">
        <f t="shared" si="542"/>
        <v>673</v>
      </c>
      <c r="W68" s="8">
        <f t="shared" si="542"/>
        <v>595</v>
      </c>
      <c r="X68" s="8">
        <f t="shared" si="542"/>
        <v>570</v>
      </c>
      <c r="Y68" s="8">
        <f t="shared" si="542"/>
        <v>545</v>
      </c>
      <c r="Z68" s="8">
        <f t="shared" si="542"/>
        <v>519</v>
      </c>
      <c r="AA68" s="8">
        <f t="shared" si="542"/>
        <v>497</v>
      </c>
      <c r="AB68" s="8">
        <f t="shared" si="542"/>
        <v>520</v>
      </c>
      <c r="AC68" s="8">
        <f t="shared" si="542"/>
        <v>503</v>
      </c>
      <c r="AD68" s="8">
        <f t="shared" si="542"/>
        <v>519</v>
      </c>
      <c r="AE68" s="8">
        <f t="shared" si="542"/>
        <v>552</v>
      </c>
      <c r="AF68" s="8">
        <f t="shared" si="542"/>
        <v>641</v>
      </c>
      <c r="AG68" s="8">
        <f t="shared" si="542"/>
        <v>700</v>
      </c>
      <c r="AH68" s="8">
        <f t="shared" si="542"/>
        <v>748</v>
      </c>
      <c r="AI68" s="8">
        <f t="shared" si="542"/>
        <v>905</v>
      </c>
      <c r="AJ68" s="8">
        <f t="shared" si="542"/>
        <v>1166</v>
      </c>
      <c r="AK68" s="8">
        <f t="shared" si="542"/>
        <v>734</v>
      </c>
      <c r="AL68" s="8">
        <f t="shared" si="542"/>
        <v>619</v>
      </c>
      <c r="AM68" s="8">
        <f t="shared" ref="AM68:AN68" si="543">+AM1117</f>
        <v>638</v>
      </c>
      <c r="AN68" s="8">
        <f t="shared" si="543"/>
        <v>681</v>
      </c>
      <c r="AO68" s="228"/>
      <c r="AP68" s="228"/>
      <c r="AQ68" s="228"/>
      <c r="AR68" s="228"/>
      <c r="AS68" s="228"/>
      <c r="AT68" s="228"/>
      <c r="AU68" s="228"/>
      <c r="AV68" s="228"/>
      <c r="AW68" s="228"/>
      <c r="AX68" s="228"/>
      <c r="AY68" s="228"/>
      <c r="AZ68" s="228"/>
      <c r="BA68" s="8">
        <f t="shared" ref="BA68:BN68" si="544">+BA1117</f>
        <v>677</v>
      </c>
      <c r="BB68" s="8">
        <f t="shared" si="544"/>
        <v>883</v>
      </c>
      <c r="BC68" s="8">
        <f t="shared" si="544"/>
        <v>766</v>
      </c>
      <c r="BD68" s="8">
        <f t="shared" si="544"/>
        <v>0</v>
      </c>
      <c r="BE68" s="8">
        <f t="shared" si="544"/>
        <v>0</v>
      </c>
      <c r="BF68" s="8">
        <f t="shared" si="544"/>
        <v>0</v>
      </c>
      <c r="BG68" s="8">
        <f t="shared" si="544"/>
        <v>903</v>
      </c>
      <c r="BH68" s="8">
        <f t="shared" si="544"/>
        <v>1387</v>
      </c>
      <c r="BI68" s="8">
        <f t="shared" si="544"/>
        <v>2214</v>
      </c>
      <c r="BJ68" s="8">
        <f t="shared" si="544"/>
        <v>2762</v>
      </c>
      <c r="BK68" s="8">
        <f t="shared" si="544"/>
        <v>2680</v>
      </c>
      <c r="BL68" s="8">
        <f t="shared" si="544"/>
        <v>2131</v>
      </c>
      <c r="BM68" s="8">
        <f t="shared" si="544"/>
        <v>2094</v>
      </c>
      <c r="BN68" s="8">
        <f t="shared" si="544"/>
        <v>2994</v>
      </c>
      <c r="BO68" s="8">
        <f t="shared" ref="BO68:BO70" si="545">SUM(AJ68:AM68)</f>
        <v>3157</v>
      </c>
      <c r="BP68" s="228"/>
    </row>
    <row r="69" spans="2:71" s="3" customFormat="1">
      <c r="B69" t="str">
        <f>+B1118</f>
        <v>Interest expense</v>
      </c>
      <c r="C69"/>
      <c r="D69" s="8">
        <f t="shared" ref="D69:AL69" si="546">+D1118</f>
        <v>-249</v>
      </c>
      <c r="E69" s="8">
        <f t="shared" si="546"/>
        <v>-309</v>
      </c>
      <c r="F69" s="8">
        <f t="shared" si="546"/>
        <v>-340</v>
      </c>
      <c r="G69" s="8">
        <f t="shared" si="546"/>
        <v>-345</v>
      </c>
      <c r="H69" s="8">
        <f t="shared" si="546"/>
        <v>-437</v>
      </c>
      <c r="I69" s="8">
        <f t="shared" si="546"/>
        <v>-521</v>
      </c>
      <c r="J69" s="8">
        <f t="shared" si="546"/>
        <v>-609</v>
      </c>
      <c r="K69" s="8">
        <f t="shared" si="546"/>
        <v>-655</v>
      </c>
      <c r="L69" s="8">
        <f t="shared" si="546"/>
        <v>-672</v>
      </c>
      <c r="M69" s="8">
        <f t="shared" si="546"/>
        <v>-698</v>
      </c>
      <c r="N69" s="8">
        <f t="shared" si="546"/>
        <v>-691</v>
      </c>
      <c r="O69" s="8">
        <f t="shared" si="546"/>
        <v>-672</v>
      </c>
      <c r="P69" s="8">
        <f t="shared" si="546"/>
        <v>-674</v>
      </c>
      <c r="Q69" s="8">
        <f t="shared" si="546"/>
        <v>-672</v>
      </c>
      <c r="R69" s="8">
        <f t="shared" si="546"/>
        <v>-671</v>
      </c>
      <c r="S69" s="8">
        <f t="shared" si="546"/>
        <v>-669</v>
      </c>
      <c r="T69" s="8">
        <f t="shared" si="546"/>
        <v>-637</v>
      </c>
      <c r="U69" s="8">
        <f t="shared" si="546"/>
        <v>-654</v>
      </c>
      <c r="V69" s="8">
        <f t="shared" si="546"/>
        <v>-614</v>
      </c>
      <c r="W69" s="8">
        <f t="shared" si="546"/>
        <v>-686</v>
      </c>
      <c r="X69" s="8">
        <f t="shared" si="546"/>
        <v>-589</v>
      </c>
      <c r="Y69" s="8">
        <f t="shared" si="546"/>
        <v>-571</v>
      </c>
      <c r="Z69" s="8">
        <f t="shared" si="546"/>
        <v>-633</v>
      </c>
      <c r="AA69" s="8">
        <f t="shared" si="546"/>
        <v>-553</v>
      </c>
      <c r="AB69" s="8">
        <f t="shared" si="546"/>
        <v>-539</v>
      </c>
      <c r="AC69" s="8">
        <f t="shared" si="546"/>
        <v>-525</v>
      </c>
      <c r="AD69" s="8">
        <f t="shared" si="546"/>
        <v>-503</v>
      </c>
      <c r="AE69" s="8">
        <f t="shared" si="546"/>
        <v>-496</v>
      </c>
      <c r="AF69" s="8">
        <f t="shared" si="546"/>
        <v>-500</v>
      </c>
      <c r="AG69" s="8">
        <f t="shared" si="546"/>
        <v>-490</v>
      </c>
      <c r="AH69" s="8">
        <f t="shared" si="546"/>
        <v>-496</v>
      </c>
      <c r="AI69" s="8">
        <f t="shared" si="546"/>
        <v>-482</v>
      </c>
      <c r="AJ69" s="8">
        <f t="shared" si="546"/>
        <v>-525</v>
      </c>
      <c r="AK69" s="8">
        <f t="shared" si="546"/>
        <v>-909</v>
      </c>
      <c r="AL69" s="8">
        <f t="shared" si="546"/>
        <v>-800</v>
      </c>
      <c r="AM69" s="8">
        <f t="shared" ref="AM69:AN69" si="547">+AM1118</f>
        <v>-701</v>
      </c>
      <c r="AN69" s="8">
        <f t="shared" si="547"/>
        <v>-582</v>
      </c>
      <c r="AO69" s="228"/>
      <c r="AP69" s="228"/>
      <c r="AQ69" s="228"/>
      <c r="AR69" s="228"/>
      <c r="AS69" s="228"/>
      <c r="AT69" s="228"/>
      <c r="AU69" s="228"/>
      <c r="AV69" s="228"/>
      <c r="AW69" s="228"/>
      <c r="AX69" s="228"/>
      <c r="AY69" s="228"/>
      <c r="AZ69" s="228"/>
      <c r="BA69" s="8">
        <f t="shared" ref="BA69:BN69" si="548">+BA1118</f>
        <v>-429</v>
      </c>
      <c r="BB69" s="8">
        <f t="shared" si="548"/>
        <v>-597</v>
      </c>
      <c r="BC69" s="8">
        <f t="shared" si="548"/>
        <v>-781</v>
      </c>
      <c r="BD69" s="8">
        <f t="shared" si="548"/>
        <v>0</v>
      </c>
      <c r="BE69" s="8">
        <f t="shared" si="548"/>
        <v>0</v>
      </c>
      <c r="BF69" s="8">
        <f t="shared" si="548"/>
        <v>0</v>
      </c>
      <c r="BG69" s="8">
        <f t="shared" si="548"/>
        <v>-1243</v>
      </c>
      <c r="BH69" s="8">
        <f t="shared" si="548"/>
        <v>-2222</v>
      </c>
      <c r="BI69" s="8">
        <f t="shared" si="548"/>
        <v>-2733</v>
      </c>
      <c r="BJ69" s="8">
        <f t="shared" si="548"/>
        <v>-2686</v>
      </c>
      <c r="BK69" s="8">
        <f t="shared" si="548"/>
        <v>-2591</v>
      </c>
      <c r="BL69" s="8">
        <f t="shared" si="548"/>
        <v>-2346</v>
      </c>
      <c r="BM69" s="8">
        <f t="shared" si="548"/>
        <v>-2063</v>
      </c>
      <c r="BN69" s="8">
        <f t="shared" si="548"/>
        <v>-1968</v>
      </c>
      <c r="BO69" s="8">
        <f t="shared" si="545"/>
        <v>-2935</v>
      </c>
      <c r="BP69" s="228"/>
    </row>
    <row r="70" spans="2:71" s="3" customFormat="1" ht="11.45">
      <c r="B70" t="s">
        <v>200</v>
      </c>
      <c r="C70"/>
      <c r="D70" s="10">
        <f t="shared" ref="D70:AK70" si="549">+D71-D69-D68</f>
        <v>-245</v>
      </c>
      <c r="E70" s="10">
        <f t="shared" si="549"/>
        <v>-67</v>
      </c>
      <c r="F70" s="10">
        <f t="shared" si="549"/>
        <v>-102</v>
      </c>
      <c r="G70" s="10">
        <f t="shared" si="549"/>
        <v>315</v>
      </c>
      <c r="H70" s="10">
        <f t="shared" si="549"/>
        <v>256</v>
      </c>
      <c r="I70" s="10">
        <f t="shared" si="549"/>
        <v>327</v>
      </c>
      <c r="J70" s="10">
        <f t="shared" si="549"/>
        <v>600</v>
      </c>
      <c r="K70" s="10">
        <f t="shared" si="549"/>
        <v>528</v>
      </c>
      <c r="L70" s="10">
        <f t="shared" si="549"/>
        <v>475</v>
      </c>
      <c r="M70" s="10">
        <f t="shared" si="549"/>
        <v>658</v>
      </c>
      <c r="N70" s="10">
        <f t="shared" si="549"/>
        <v>465</v>
      </c>
      <c r="O70" s="10">
        <f t="shared" si="549"/>
        <v>337</v>
      </c>
      <c r="P70" s="10">
        <f t="shared" si="549"/>
        <v>259</v>
      </c>
      <c r="Q70" s="10">
        <f t="shared" si="549"/>
        <v>95</v>
      </c>
      <c r="R70" s="10">
        <f t="shared" si="549"/>
        <v>148</v>
      </c>
      <c r="S70" s="10">
        <f t="shared" si="549"/>
        <v>151</v>
      </c>
      <c r="T70" s="10">
        <f t="shared" si="549"/>
        <v>-87</v>
      </c>
      <c r="U70" s="10">
        <f t="shared" si="549"/>
        <v>160</v>
      </c>
      <c r="V70" s="10">
        <f t="shared" si="549"/>
        <v>-191</v>
      </c>
      <c r="W70" s="10">
        <f t="shared" si="549"/>
        <v>106</v>
      </c>
      <c r="X70" s="10">
        <f t="shared" si="549"/>
        <v>267</v>
      </c>
      <c r="Y70" s="10">
        <f t="shared" si="549"/>
        <v>466</v>
      </c>
      <c r="Z70" s="10">
        <f t="shared" si="549"/>
        <v>302</v>
      </c>
      <c r="AA70" s="10">
        <f t="shared" si="549"/>
        <v>366</v>
      </c>
      <c r="AB70" s="10">
        <f t="shared" si="549"/>
        <v>305</v>
      </c>
      <c r="AC70" s="10">
        <f t="shared" si="549"/>
        <v>290</v>
      </c>
      <c r="AD70" s="10">
        <f t="shared" si="549"/>
        <v>-190</v>
      </c>
      <c r="AE70" s="10">
        <f t="shared" si="549"/>
        <v>-103</v>
      </c>
      <c r="AF70" s="10">
        <f t="shared" si="549"/>
        <v>-87</v>
      </c>
      <c r="AG70" s="10">
        <f t="shared" si="549"/>
        <v>-270</v>
      </c>
      <c r="AH70" s="10">
        <f t="shared" si="549"/>
        <v>69</v>
      </c>
      <c r="AI70" s="10">
        <f t="shared" si="549"/>
        <v>50</v>
      </c>
      <c r="AJ70" s="10">
        <f t="shared" si="549"/>
        <v>-252</v>
      </c>
      <c r="AK70" s="10">
        <f t="shared" si="549"/>
        <v>-331</v>
      </c>
      <c r="AL70" s="10">
        <f>+AL71-AL69-AL68</f>
        <v>-673</v>
      </c>
      <c r="AM70" s="10">
        <f t="shared" ref="AM70:AN70" si="550">+AM71-AM69-AM68</f>
        <v>-612</v>
      </c>
      <c r="AN70" s="10">
        <f t="shared" si="550"/>
        <v>-382</v>
      </c>
      <c r="AO70" s="228"/>
      <c r="AP70" s="228"/>
      <c r="AQ70" s="228"/>
      <c r="AR70" s="228"/>
      <c r="AS70" s="228"/>
      <c r="AT70" s="228"/>
      <c r="AU70" s="228"/>
      <c r="AV70" s="228"/>
      <c r="AW70" s="228"/>
      <c r="AX70" s="228"/>
      <c r="AY70" s="228"/>
      <c r="AZ70" s="228"/>
      <c r="BA70" s="10">
        <f t="shared" ref="BA70" si="551">+BA71-BA69-BA68</f>
        <v>40</v>
      </c>
      <c r="BB70" s="10">
        <f t="shared" ref="BB70" si="552">+BB71-BB69-BB68</f>
        <v>-225</v>
      </c>
      <c r="BC70" s="10">
        <f t="shared" ref="BC70" si="553">+BC71-BC69-BC68</f>
        <v>361</v>
      </c>
      <c r="BD70" s="10">
        <f t="shared" ref="BD70" si="554">+BD71-BD69-BD68</f>
        <v>431</v>
      </c>
      <c r="BE70" s="10">
        <f t="shared" ref="BE70" si="555">+BE71-BE69-BE68</f>
        <v>-823</v>
      </c>
      <c r="BF70" s="10">
        <f t="shared" ref="BF70" si="556">+BF71-BF69-BF68</f>
        <v>0</v>
      </c>
      <c r="BG70" s="10">
        <f t="shared" ref="BG70" si="557">+BG71-BG69-BG68</f>
        <v>-99</v>
      </c>
      <c r="BH70" s="10">
        <f t="shared" ref="BH70" si="558">+BH71-BH69-BH68</f>
        <v>1711</v>
      </c>
      <c r="BI70" s="10">
        <f t="shared" ref="BI70" si="559">+BI71-BI69-BI68</f>
        <v>1935</v>
      </c>
      <c r="BJ70" s="10">
        <f t="shared" ref="BJ70" si="560">+BJ71-BJ69-BJ68</f>
        <v>653</v>
      </c>
      <c r="BK70" s="10">
        <f t="shared" ref="BK70" si="561">+BK71-BK69-BK68</f>
        <v>-12</v>
      </c>
      <c r="BL70" s="10">
        <f t="shared" ref="BL70" si="562">+BL71-BL69-BL68</f>
        <v>1401</v>
      </c>
      <c r="BM70" s="10">
        <f t="shared" ref="BM70" si="563">+BM71-BM69-BM68</f>
        <v>302</v>
      </c>
      <c r="BN70" s="10">
        <f t="shared" ref="BN70" si="564">+BN71-BN69-BN68</f>
        <v>-238</v>
      </c>
      <c r="BO70" s="10">
        <f t="shared" si="545"/>
        <v>-1868</v>
      </c>
      <c r="BP70" s="228"/>
    </row>
    <row r="71" spans="2:71" ht="11.45">
      <c r="B71" s="12" t="s">
        <v>297</v>
      </c>
      <c r="D71" s="10">
        <f t="shared" ref="D71:V71" si="565">+D1084</f>
        <v>-295</v>
      </c>
      <c r="E71" s="10">
        <f t="shared" si="565"/>
        <v>-176</v>
      </c>
      <c r="F71" s="10">
        <f t="shared" si="565"/>
        <v>-212</v>
      </c>
      <c r="G71" s="10">
        <f t="shared" si="565"/>
        <v>244</v>
      </c>
      <c r="H71" s="10">
        <f t="shared" si="565"/>
        <v>112</v>
      </c>
      <c r="I71" s="10">
        <f t="shared" si="565"/>
        <v>117</v>
      </c>
      <c r="J71" s="10">
        <f t="shared" si="565"/>
        <v>371</v>
      </c>
      <c r="K71" s="10">
        <f t="shared" si="565"/>
        <v>276</v>
      </c>
      <c r="L71" s="10">
        <f t="shared" si="565"/>
        <v>276</v>
      </c>
      <c r="M71" s="10">
        <f t="shared" si="565"/>
        <v>490</v>
      </c>
      <c r="N71" s="10">
        <f t="shared" si="565"/>
        <v>349</v>
      </c>
      <c r="O71" s="10">
        <f t="shared" si="565"/>
        <v>301</v>
      </c>
      <c r="P71" s="10">
        <f t="shared" si="565"/>
        <v>266</v>
      </c>
      <c r="Q71" s="10">
        <f t="shared" si="565"/>
        <v>127</v>
      </c>
      <c r="R71" s="10">
        <f t="shared" si="565"/>
        <v>145</v>
      </c>
      <c r="S71" s="10">
        <f t="shared" si="565"/>
        <v>191</v>
      </c>
      <c r="T71" s="10">
        <f t="shared" si="565"/>
        <v>0</v>
      </c>
      <c r="U71" s="10">
        <f t="shared" si="565"/>
        <v>194</v>
      </c>
      <c r="V71" s="10">
        <f t="shared" si="565"/>
        <v>-132</v>
      </c>
      <c r="W71" s="10">
        <f t="shared" ref="W71:X71" si="566">+W1084</f>
        <v>15</v>
      </c>
      <c r="X71" s="10">
        <f t="shared" si="566"/>
        <v>248</v>
      </c>
      <c r="Y71" s="10">
        <f t="shared" ref="Y71:Z71" si="567">+Y1084</f>
        <v>440</v>
      </c>
      <c r="Z71" s="10">
        <f t="shared" si="567"/>
        <v>188</v>
      </c>
      <c r="AA71" s="10">
        <f t="shared" ref="AA71:AI71" si="568">+AA1084</f>
        <v>310</v>
      </c>
      <c r="AB71" s="10">
        <f t="shared" si="568"/>
        <v>286</v>
      </c>
      <c r="AC71" s="10">
        <f t="shared" si="568"/>
        <v>268</v>
      </c>
      <c r="AD71" s="10">
        <f t="shared" si="568"/>
        <v>-174</v>
      </c>
      <c r="AE71" s="10">
        <f t="shared" si="568"/>
        <v>-47</v>
      </c>
      <c r="AF71" s="10">
        <f t="shared" si="568"/>
        <v>54</v>
      </c>
      <c r="AG71" s="10">
        <f t="shared" si="568"/>
        <v>-60</v>
      </c>
      <c r="AH71" s="10">
        <f t="shared" si="568"/>
        <v>321</v>
      </c>
      <c r="AI71" s="10">
        <f t="shared" si="568"/>
        <v>473</v>
      </c>
      <c r="AJ71" s="10">
        <f t="shared" ref="AJ71:AK71" si="569">+AJ1084</f>
        <v>389</v>
      </c>
      <c r="AK71" s="10">
        <f t="shared" si="569"/>
        <v>-506</v>
      </c>
      <c r="AL71" s="10">
        <f t="shared" ref="AL71" si="570">+AL1084</f>
        <v>-854</v>
      </c>
      <c r="AM71" s="10">
        <f t="shared" ref="AM71:AN71" si="571">+AM1084</f>
        <v>-675</v>
      </c>
      <c r="AN71" s="10">
        <f t="shared" si="571"/>
        <v>-283</v>
      </c>
      <c r="AO71" s="58">
        <v>0</v>
      </c>
      <c r="AP71" s="58">
        <v>0</v>
      </c>
      <c r="AQ71" s="58">
        <v>0</v>
      </c>
      <c r="AS71" s="10">
        <f t="shared" ref="AS71:BE71" si="572">+AS1084</f>
        <v>2052</v>
      </c>
      <c r="AT71" s="10">
        <f t="shared" si="572"/>
        <v>1882</v>
      </c>
      <c r="AU71" s="10">
        <f t="shared" si="572"/>
        <v>1663</v>
      </c>
      <c r="AV71" s="10">
        <f t="shared" si="572"/>
        <v>1543</v>
      </c>
      <c r="AW71" s="10">
        <f t="shared" si="572"/>
        <v>-542</v>
      </c>
      <c r="AX71" s="10">
        <f t="shared" si="572"/>
        <v>915</v>
      </c>
      <c r="AY71" s="10">
        <f t="shared" si="572"/>
        <v>910</v>
      </c>
      <c r="AZ71" s="10">
        <f t="shared" si="572"/>
        <v>504</v>
      </c>
      <c r="BA71" s="10">
        <f t="shared" si="572"/>
        <v>288</v>
      </c>
      <c r="BB71" s="10">
        <f t="shared" si="572"/>
        <v>61</v>
      </c>
      <c r="BC71" s="10">
        <f t="shared" si="572"/>
        <v>346</v>
      </c>
      <c r="BD71" s="10">
        <f t="shared" si="572"/>
        <v>431</v>
      </c>
      <c r="BE71" s="10">
        <f t="shared" si="572"/>
        <v>-823</v>
      </c>
      <c r="BG71" s="10">
        <f>+BG1084</f>
        <v>-439</v>
      </c>
      <c r="BH71" s="10">
        <f>+BH1084</f>
        <v>876</v>
      </c>
      <c r="BI71" s="10">
        <f>+BI1084</f>
        <v>1416</v>
      </c>
      <c r="BJ71" s="10">
        <f>+BJ1084</f>
        <v>729</v>
      </c>
      <c r="BK71" s="10">
        <f>SUM(T71:W71)</f>
        <v>77</v>
      </c>
      <c r="BL71" s="10">
        <f>SUM(X71:AA71)</f>
        <v>1186</v>
      </c>
      <c r="BM71" s="10">
        <f>SUM(AB71:AE71)</f>
        <v>333</v>
      </c>
      <c r="BN71" s="10">
        <f>SUM(AF71:AI71)</f>
        <v>788</v>
      </c>
      <c r="BO71" s="10">
        <f>SUM(AJ71:AM71)</f>
        <v>-1646</v>
      </c>
      <c r="BP71" s="10">
        <f>+SUM(AN71:AQ71)</f>
        <v>-283</v>
      </c>
    </row>
    <row r="72" spans="2:71">
      <c r="B72" t="s">
        <v>298</v>
      </c>
      <c r="D72" s="8">
        <f t="shared" ref="D72:AQ72" si="573">+D49+D71</f>
        <v>6021</v>
      </c>
      <c r="E72" s="8">
        <f t="shared" si="573"/>
        <v>7313</v>
      </c>
      <c r="F72" s="8">
        <f t="shared" si="573"/>
        <v>6065</v>
      </c>
      <c r="G72" s="8">
        <f t="shared" si="573"/>
        <v>7350</v>
      </c>
      <c r="H72" s="8">
        <f t="shared" si="573"/>
        <v>6827</v>
      </c>
      <c r="I72" s="8">
        <f t="shared" si="573"/>
        <v>8022</v>
      </c>
      <c r="J72" s="8">
        <f t="shared" si="573"/>
        <v>7094</v>
      </c>
      <c r="K72" s="8">
        <f t="shared" si="573"/>
        <v>8264</v>
      </c>
      <c r="L72" s="8">
        <f t="shared" si="573"/>
        <v>7984</v>
      </c>
      <c r="M72" s="8">
        <f t="shared" si="573"/>
        <v>9169</v>
      </c>
      <c r="N72" s="8">
        <f t="shared" si="573"/>
        <v>8641</v>
      </c>
      <c r="O72" s="8">
        <f t="shared" si="573"/>
        <v>10680</v>
      </c>
      <c r="P72" s="8">
        <f t="shared" si="573"/>
        <v>10221</v>
      </c>
      <c r="Q72" s="8">
        <f t="shared" si="573"/>
        <v>10385</v>
      </c>
      <c r="R72" s="8">
        <f t="shared" si="573"/>
        <v>10486</v>
      </c>
      <c r="S72" s="8">
        <f t="shared" si="573"/>
        <v>12596</v>
      </c>
      <c r="T72" s="8">
        <f t="shared" si="573"/>
        <v>12686</v>
      </c>
      <c r="U72" s="8">
        <f t="shared" si="573"/>
        <v>14085</v>
      </c>
      <c r="V72" s="8">
        <f t="shared" si="573"/>
        <v>12843</v>
      </c>
      <c r="W72" s="8">
        <f t="shared" si="573"/>
        <v>13422</v>
      </c>
      <c r="X72" s="8">
        <f t="shared" si="573"/>
        <v>16124</v>
      </c>
      <c r="Y72" s="8">
        <f t="shared" si="573"/>
        <v>18337</v>
      </c>
      <c r="Z72" s="8">
        <f t="shared" si="573"/>
        <v>17236</v>
      </c>
      <c r="AA72" s="8">
        <f t="shared" si="573"/>
        <v>19405</v>
      </c>
      <c r="AB72" s="8">
        <f t="shared" si="573"/>
        <v>20524</v>
      </c>
      <c r="AC72" s="8">
        <f t="shared" si="573"/>
        <v>22515</v>
      </c>
      <c r="AD72" s="8">
        <f t="shared" si="573"/>
        <v>20190</v>
      </c>
      <c r="AE72" s="8">
        <f t="shared" si="573"/>
        <v>20487</v>
      </c>
      <c r="AF72" s="8">
        <f t="shared" si="573"/>
        <v>21572</v>
      </c>
      <c r="AG72" s="8">
        <f t="shared" si="573"/>
        <v>21510</v>
      </c>
      <c r="AH72" s="8">
        <f t="shared" si="573"/>
        <v>22673</v>
      </c>
      <c r="AI72" s="8">
        <f t="shared" si="573"/>
        <v>24727</v>
      </c>
      <c r="AJ72" s="8">
        <f t="shared" si="573"/>
        <v>27284</v>
      </c>
      <c r="AK72" s="8">
        <f t="shared" si="573"/>
        <v>27656</v>
      </c>
      <c r="AL72" s="8">
        <f t="shared" si="573"/>
        <v>27667</v>
      </c>
      <c r="AM72" s="8">
        <f t="shared" ref="AM72" si="574">+AM49+AM71</f>
        <v>28190</v>
      </c>
      <c r="AN72" s="8">
        <f t="shared" si="573"/>
        <v>31179</v>
      </c>
      <c r="AO72" s="8">
        <f t="shared" si="573"/>
        <v>31872.765274016641</v>
      </c>
      <c r="AP72" s="8">
        <f t="shared" si="573"/>
        <v>32764.505813520242</v>
      </c>
      <c r="AQ72" s="8">
        <f t="shared" si="573"/>
        <v>33501.755036249015</v>
      </c>
      <c r="AS72" s="8">
        <f t="shared" ref="AS72:BE72" si="575">+AS49+AS71</f>
        <v>16628</v>
      </c>
      <c r="AT72" s="8">
        <f t="shared" si="575"/>
        <v>18262</v>
      </c>
      <c r="AU72" s="8">
        <f t="shared" si="575"/>
        <v>20101</v>
      </c>
      <c r="AV72" s="8">
        <f t="shared" si="575"/>
        <v>23814</v>
      </c>
      <c r="AW72" s="8">
        <f t="shared" si="575"/>
        <v>19821</v>
      </c>
      <c r="AX72" s="8">
        <f t="shared" si="575"/>
        <v>25013</v>
      </c>
      <c r="AY72" s="8">
        <f t="shared" si="575"/>
        <v>28071</v>
      </c>
      <c r="AZ72" s="8">
        <f t="shared" si="575"/>
        <v>28460</v>
      </c>
      <c r="BA72" s="8">
        <f t="shared" si="575"/>
        <v>27785</v>
      </c>
      <c r="BB72" s="8">
        <f t="shared" si="575"/>
        <v>27947</v>
      </c>
      <c r="BC72" s="8">
        <f t="shared" si="575"/>
        <v>28518</v>
      </c>
      <c r="BD72" s="8">
        <f t="shared" si="575"/>
        <v>21723</v>
      </c>
      <c r="BE72" s="8">
        <f t="shared" si="575"/>
        <v>21809</v>
      </c>
      <c r="BG72" s="8">
        <f t="shared" ref="BG72:BP72" si="576">+BG49+BG71</f>
        <v>26749</v>
      </c>
      <c r="BH72" s="8">
        <f t="shared" si="576"/>
        <v>30207</v>
      </c>
      <c r="BI72" s="8">
        <f t="shared" si="576"/>
        <v>36474</v>
      </c>
      <c r="BJ72" s="8">
        <f t="shared" si="576"/>
        <v>43688</v>
      </c>
      <c r="BK72" s="8">
        <f t="shared" si="576"/>
        <v>53036</v>
      </c>
      <c r="BL72" s="8">
        <f t="shared" si="576"/>
        <v>71102</v>
      </c>
      <c r="BM72" s="8">
        <f t="shared" si="576"/>
        <v>83716</v>
      </c>
      <c r="BN72" s="8">
        <f t="shared" si="576"/>
        <v>90482</v>
      </c>
      <c r="BO72" s="8">
        <f t="shared" si="576"/>
        <v>110797</v>
      </c>
      <c r="BP72" s="8">
        <f t="shared" si="576"/>
        <v>129318.02612378589</v>
      </c>
    </row>
    <row r="73" spans="2:71" ht="11.45">
      <c r="B73" t="s">
        <v>299</v>
      </c>
      <c r="D73" s="10">
        <f>MIN(-D72*0.35,0)</f>
        <v>-2107.35</v>
      </c>
      <c r="E73" s="10">
        <f t="shared" ref="E73:AS73" si="577">MIN(-E72*0.35,0)</f>
        <v>-2559.5499999999997</v>
      </c>
      <c r="F73" s="10">
        <f t="shared" si="577"/>
        <v>-2122.75</v>
      </c>
      <c r="G73" s="10">
        <f t="shared" si="577"/>
        <v>-2572.5</v>
      </c>
      <c r="H73" s="10">
        <f t="shared" si="577"/>
        <v>-2389.4499999999998</v>
      </c>
      <c r="I73" s="10">
        <f t="shared" si="577"/>
        <v>-2807.7</v>
      </c>
      <c r="J73" s="10">
        <f t="shared" si="577"/>
        <v>-2482.8999999999996</v>
      </c>
      <c r="K73" s="10">
        <f t="shared" si="577"/>
        <v>-2892.3999999999996</v>
      </c>
      <c r="L73" s="10">
        <f t="shared" si="577"/>
        <v>-2794.3999999999996</v>
      </c>
      <c r="M73" s="10">
        <f t="shared" si="577"/>
        <v>-3209.1499999999996</v>
      </c>
      <c r="N73" s="10">
        <f>MIN(-N72*0.21,0)</f>
        <v>-1814.61</v>
      </c>
      <c r="O73" s="10">
        <f t="shared" ref="O73:V73" si="578">MIN(-O72*0.21,0)</f>
        <v>-2242.7999999999997</v>
      </c>
      <c r="P73" s="10">
        <f t="shared" si="578"/>
        <v>-2146.41</v>
      </c>
      <c r="Q73" s="10">
        <f t="shared" si="578"/>
        <v>-2180.85</v>
      </c>
      <c r="R73" s="10">
        <f t="shared" si="578"/>
        <v>-2202.06</v>
      </c>
      <c r="S73" s="10">
        <f t="shared" si="578"/>
        <v>-2645.16</v>
      </c>
      <c r="T73" s="10">
        <f t="shared" si="578"/>
        <v>-2664.06</v>
      </c>
      <c r="U73" s="10">
        <f t="shared" si="578"/>
        <v>-2957.85</v>
      </c>
      <c r="V73" s="10">
        <f t="shared" si="578"/>
        <v>-2697.0299999999997</v>
      </c>
      <c r="W73" s="10">
        <f t="shared" ref="W73:X73" si="579">MIN(-W72*0.21,0)</f>
        <v>-2818.62</v>
      </c>
      <c r="X73" s="10">
        <f t="shared" si="579"/>
        <v>-3386.04</v>
      </c>
      <c r="Y73" s="10">
        <f t="shared" ref="Y73" si="580">MIN(-Y72*0.21,0)</f>
        <v>-3850.77</v>
      </c>
      <c r="Z73" s="10">
        <f t="shared" ref="Z73" si="581">MIN(-Z72*0.21,0)</f>
        <v>-3619.56</v>
      </c>
      <c r="AA73" s="10">
        <f t="shared" ref="AA73" si="582">MIN(-AA72*0.21,0)</f>
        <v>-4075.0499999999997</v>
      </c>
      <c r="AB73" s="10">
        <f t="shared" ref="AB73:AC73" si="583">MIN(-AB72*0.21,0)</f>
        <v>-4310.04</v>
      </c>
      <c r="AC73" s="10">
        <f t="shared" si="583"/>
        <v>-4728.1499999999996</v>
      </c>
      <c r="AD73" s="10">
        <f t="shared" ref="AD73:AE73" si="584">MIN(-AD72*0.21,0)</f>
        <v>-4239.8999999999996</v>
      </c>
      <c r="AE73" s="10">
        <f t="shared" si="584"/>
        <v>-4302.2699999999995</v>
      </c>
      <c r="AF73" s="10">
        <f t="shared" ref="AF73" si="585">MIN(-AF72*0.21,0)</f>
        <v>-4530.12</v>
      </c>
      <c r="AG73" s="10">
        <f t="shared" ref="AG73:AI73" si="586">MIN(-AG72*0.21,0)</f>
        <v>-4517.0999999999995</v>
      </c>
      <c r="AH73" s="10">
        <f t="shared" si="586"/>
        <v>-4761.33</v>
      </c>
      <c r="AI73" s="10">
        <f t="shared" si="586"/>
        <v>-5192.67</v>
      </c>
      <c r="AJ73" s="10">
        <f t="shared" ref="AJ73" si="587">MIN(-AJ72*0.21,0)</f>
        <v>-5729.6399999999994</v>
      </c>
      <c r="AK73" s="10">
        <f t="shared" ref="AK73:AQ73" si="588">MIN(-(AK72-AK98)*0.21,0)</f>
        <v>-5702.76</v>
      </c>
      <c r="AL73" s="10">
        <f t="shared" si="588"/>
        <v>-5669.37</v>
      </c>
      <c r="AM73" s="10">
        <f t="shared" ref="AM73" si="589">MIN(-(AM72-AM98)*0.21,0)</f>
        <v>-5789.5162499999997</v>
      </c>
      <c r="AN73" s="10">
        <f t="shared" si="588"/>
        <v>-6427.5225</v>
      </c>
      <c r="AO73" s="10">
        <f t="shared" si="588"/>
        <v>-6573.2132075434947</v>
      </c>
      <c r="AP73" s="10">
        <f t="shared" si="588"/>
        <v>-6760.4787208392509</v>
      </c>
      <c r="AQ73" s="10">
        <f t="shared" si="588"/>
        <v>-6915.3010576122924</v>
      </c>
      <c r="AS73" s="10">
        <f t="shared" si="577"/>
        <v>-5819.7999999999993</v>
      </c>
      <c r="AT73" s="10">
        <f t="shared" ref="AT73" si="590">MIN(-AT72*0.35,0)</f>
        <v>-6391.7</v>
      </c>
      <c r="AU73" s="10">
        <f t="shared" ref="AU73" si="591">MIN(-AU72*0.35,0)</f>
        <v>-7035.3499999999995</v>
      </c>
      <c r="AV73" s="10">
        <f t="shared" ref="AV73" si="592">MIN(-AV72*0.35,0)</f>
        <v>-8334.9</v>
      </c>
      <c r="AW73" s="10">
        <f t="shared" ref="AW73" si="593">MIN(-AW72*0.35,0)</f>
        <v>-6937.3499999999995</v>
      </c>
      <c r="AX73" s="10">
        <f t="shared" ref="AX73" si="594">MIN(-AX72*0.35,0)</f>
        <v>-8754.5499999999993</v>
      </c>
      <c r="AY73" s="10">
        <f t="shared" ref="AY73" si="595">MIN(-AY72*0.35,0)</f>
        <v>-9824.8499999999985</v>
      </c>
      <c r="AZ73" s="10">
        <f t="shared" ref="AZ73" si="596">MIN(-AZ72*0.35,0)</f>
        <v>-9961</v>
      </c>
      <c r="BA73" s="10">
        <f t="shared" ref="BA73" si="597">MIN(-BA72*0.35,0)</f>
        <v>-9724.75</v>
      </c>
      <c r="BB73" s="10">
        <f t="shared" ref="BB73" si="598">MIN(-BB72*0.35,0)</f>
        <v>-9781.4499999999989</v>
      </c>
      <c r="BC73" s="10">
        <f t="shared" ref="BC73" si="599">MIN(-BC72*0.35,0)</f>
        <v>-9981.2999999999993</v>
      </c>
      <c r="BD73" s="10">
        <f t="shared" ref="BD73" si="600">MIN(-BD72*0.35,0)</f>
        <v>-7603.0499999999993</v>
      </c>
      <c r="BE73" s="10">
        <f t="shared" ref="BE73:BH73" si="601">MIN(-BE72*0.35,0)</f>
        <v>-7633.15</v>
      </c>
      <c r="BG73" s="10">
        <f t="shared" si="601"/>
        <v>-9362.15</v>
      </c>
      <c r="BH73" s="10">
        <f t="shared" si="601"/>
        <v>-10572.449999999999</v>
      </c>
      <c r="BI73" s="10">
        <f>+SUM(L73:O73)</f>
        <v>-10060.959999999999</v>
      </c>
      <c r="BJ73" s="10">
        <f>SUM(P73:S73)</f>
        <v>-9174.48</v>
      </c>
      <c r="BK73" s="10">
        <f>SUM(T73:W73)</f>
        <v>-11137.559999999998</v>
      </c>
      <c r="BL73" s="10">
        <f>SUM(X73:AA73)</f>
        <v>-14931.419999999998</v>
      </c>
      <c r="BM73" s="10">
        <f>SUM(AB73:AE73)</f>
        <v>-17580.359999999997</v>
      </c>
      <c r="BN73" s="10">
        <f>SUM(AF73:AI73)</f>
        <v>-19001.22</v>
      </c>
      <c r="BO73" s="10">
        <f>SUM(AJ73:AM73)</f>
        <v>-22891.286250000001</v>
      </c>
      <c r="BP73" s="10">
        <f>+SUM(AN73:AQ73)</f>
        <v>-26676.515485995042</v>
      </c>
    </row>
    <row r="74" spans="2:71">
      <c r="B74" s="12" t="s">
        <v>300</v>
      </c>
      <c r="D74" s="8">
        <f>+SUM(D72:D73)</f>
        <v>3913.65</v>
      </c>
      <c r="E74" s="8">
        <f t="shared" ref="E74:AS74" si="602">+SUM(E72:E73)</f>
        <v>4753.4500000000007</v>
      </c>
      <c r="F74" s="8">
        <f t="shared" si="602"/>
        <v>3942.25</v>
      </c>
      <c r="G74" s="8">
        <f t="shared" si="602"/>
        <v>4777.5</v>
      </c>
      <c r="H74" s="8">
        <f t="shared" si="602"/>
        <v>4437.55</v>
      </c>
      <c r="I74" s="8">
        <f t="shared" si="602"/>
        <v>5214.3</v>
      </c>
      <c r="J74" s="8">
        <f t="shared" si="602"/>
        <v>4611.1000000000004</v>
      </c>
      <c r="K74" s="8">
        <f t="shared" si="602"/>
        <v>5371.6</v>
      </c>
      <c r="L74" s="8">
        <f t="shared" si="602"/>
        <v>5189.6000000000004</v>
      </c>
      <c r="M74" s="8">
        <f t="shared" si="602"/>
        <v>5959.85</v>
      </c>
      <c r="N74" s="8">
        <f t="shared" si="602"/>
        <v>6826.39</v>
      </c>
      <c r="O74" s="8">
        <f t="shared" ref="O74:Z74" si="603">+SUM(O72:O73)</f>
        <v>8437.2000000000007</v>
      </c>
      <c r="P74" s="8">
        <f t="shared" si="603"/>
        <v>8074.59</v>
      </c>
      <c r="Q74" s="8">
        <f t="shared" si="603"/>
        <v>8204.15</v>
      </c>
      <c r="R74" s="8">
        <f t="shared" si="603"/>
        <v>8283.94</v>
      </c>
      <c r="S74" s="8">
        <f t="shared" si="603"/>
        <v>9950.84</v>
      </c>
      <c r="T74" s="8">
        <f t="shared" si="603"/>
        <v>10021.94</v>
      </c>
      <c r="U74" s="8">
        <f t="shared" si="603"/>
        <v>11127.15</v>
      </c>
      <c r="V74" s="8">
        <f t="shared" si="603"/>
        <v>10145.970000000001</v>
      </c>
      <c r="W74" s="8">
        <f t="shared" ref="W74:X74" si="604">+SUM(W72:W73)</f>
        <v>10603.380000000001</v>
      </c>
      <c r="X74" s="8">
        <f t="shared" si="604"/>
        <v>12737.96</v>
      </c>
      <c r="Y74" s="8">
        <f t="shared" ref="Y74" si="605">+SUM(Y72:Y73)</f>
        <v>14486.23</v>
      </c>
      <c r="Z74" s="8">
        <f t="shared" si="603"/>
        <v>13616.44</v>
      </c>
      <c r="AA74" s="8">
        <f t="shared" ref="AA74" si="606">+SUM(AA72:AA73)</f>
        <v>15329.95</v>
      </c>
      <c r="AB74" s="8">
        <f t="shared" ref="AB74:AC74" si="607">+SUM(AB72:AB73)</f>
        <v>16213.96</v>
      </c>
      <c r="AC74" s="8">
        <f t="shared" si="607"/>
        <v>17786.849999999999</v>
      </c>
      <c r="AD74" s="8">
        <f t="shared" ref="AD74:AE74" si="608">+SUM(AD72:AD73)</f>
        <v>15950.1</v>
      </c>
      <c r="AE74" s="8">
        <f t="shared" si="608"/>
        <v>16184.73</v>
      </c>
      <c r="AF74" s="8">
        <f t="shared" ref="AF74" si="609">+SUM(AF72:AF73)</f>
        <v>17041.88</v>
      </c>
      <c r="AG74" s="8">
        <f t="shared" ref="AG74:AI74" si="610">+SUM(AG72:AG73)</f>
        <v>16992.900000000001</v>
      </c>
      <c r="AH74" s="8">
        <f t="shared" si="610"/>
        <v>17911.669999999998</v>
      </c>
      <c r="AI74" s="8">
        <f t="shared" si="610"/>
        <v>19534.330000000002</v>
      </c>
      <c r="AJ74" s="8">
        <f t="shared" ref="AJ74" si="611">+SUM(AJ72:AJ73)</f>
        <v>21554.36</v>
      </c>
      <c r="AK74" s="8">
        <f t="shared" ref="AK74" si="612">+SUM(AK72:AK73)</f>
        <v>21953.239999999998</v>
      </c>
      <c r="AL74" s="8">
        <f t="shared" ref="AL74:AM74" si="613">+SUM(AL72:AL73)</f>
        <v>21997.63</v>
      </c>
      <c r="AM74" s="8">
        <f t="shared" si="613"/>
        <v>22400.483749999999</v>
      </c>
      <c r="AN74" s="8">
        <f t="shared" ref="AN74:AQ74" si="614">+SUM(AN72:AN73)</f>
        <v>24751.477500000001</v>
      </c>
      <c r="AO74" s="8">
        <f t="shared" si="614"/>
        <v>25299.552066473145</v>
      </c>
      <c r="AP74" s="8">
        <f t="shared" si="614"/>
        <v>26004.02709268099</v>
      </c>
      <c r="AQ74" s="8">
        <f t="shared" si="614"/>
        <v>26586.453978636724</v>
      </c>
      <c r="AS74" s="8">
        <f t="shared" si="602"/>
        <v>10808.2</v>
      </c>
      <c r="AT74" s="8">
        <f t="shared" ref="AT74" si="615">+SUM(AT72:AT73)</f>
        <v>11870.3</v>
      </c>
      <c r="AU74" s="8">
        <f t="shared" ref="AU74" si="616">+SUM(AU72:AU73)</f>
        <v>13065.650000000001</v>
      </c>
      <c r="AV74" s="8">
        <f t="shared" ref="AV74" si="617">+SUM(AV72:AV73)</f>
        <v>15479.1</v>
      </c>
      <c r="AW74" s="8">
        <f t="shared" ref="AW74" si="618">+SUM(AW72:AW73)</f>
        <v>12883.650000000001</v>
      </c>
      <c r="AX74" s="8">
        <f t="shared" ref="AX74" si="619">+SUM(AX72:AX73)</f>
        <v>16258.45</v>
      </c>
      <c r="AY74" s="8">
        <f t="shared" ref="AY74" si="620">+SUM(AY72:AY73)</f>
        <v>18246.150000000001</v>
      </c>
      <c r="AZ74" s="8">
        <f t="shared" ref="AZ74" si="621">+SUM(AZ72:AZ73)</f>
        <v>18499</v>
      </c>
      <c r="BA74" s="8">
        <f t="shared" ref="BA74" si="622">+SUM(BA72:BA73)</f>
        <v>18060.25</v>
      </c>
      <c r="BB74" s="8">
        <f t="shared" ref="BB74" si="623">+SUM(BB72:BB73)</f>
        <v>18165.550000000003</v>
      </c>
      <c r="BC74" s="8">
        <f t="shared" ref="BC74" si="624">+SUM(BC72:BC73)</f>
        <v>18536.7</v>
      </c>
      <c r="BD74" s="8">
        <f t="shared" ref="BD74" si="625">+SUM(BD72:BD73)</f>
        <v>14119.95</v>
      </c>
      <c r="BE74" s="8">
        <f t="shared" ref="BE74:BP74" si="626">+SUM(BE72:BE73)</f>
        <v>14175.85</v>
      </c>
      <c r="BG74" s="8">
        <f t="shared" si="626"/>
        <v>17386.849999999999</v>
      </c>
      <c r="BH74" s="8">
        <f t="shared" si="626"/>
        <v>19634.550000000003</v>
      </c>
      <c r="BI74" s="8">
        <f t="shared" si="626"/>
        <v>26413.040000000001</v>
      </c>
      <c r="BJ74" s="8">
        <f t="shared" si="626"/>
        <v>34513.520000000004</v>
      </c>
      <c r="BK74" s="8">
        <f t="shared" si="626"/>
        <v>41898.44</v>
      </c>
      <c r="BL74" s="8">
        <f t="shared" si="626"/>
        <v>56170.58</v>
      </c>
      <c r="BM74" s="8">
        <f t="shared" si="626"/>
        <v>66135.64</v>
      </c>
      <c r="BN74" s="8">
        <f t="shared" si="626"/>
        <v>71480.78</v>
      </c>
      <c r="BO74" s="8">
        <f t="shared" si="626"/>
        <v>87905.713749999995</v>
      </c>
      <c r="BP74" s="8">
        <f t="shared" si="626"/>
        <v>102641.51063779085</v>
      </c>
    </row>
    <row r="75" spans="2:71" s="3" customFormat="1" ht="11.45">
      <c r="B75" t="s">
        <v>301</v>
      </c>
      <c r="D75" s="846">
        <f t="shared" ref="D75:AI75" si="627">+D1091</f>
        <v>8084</v>
      </c>
      <c r="E75" s="846">
        <f t="shared" si="627"/>
        <v>8051</v>
      </c>
      <c r="F75" s="846">
        <f t="shared" si="627"/>
        <v>7985</v>
      </c>
      <c r="G75" s="846">
        <f t="shared" si="627"/>
        <v>7929</v>
      </c>
      <c r="H75" s="846">
        <f t="shared" si="627"/>
        <v>7876</v>
      </c>
      <c r="I75" s="846">
        <f t="shared" si="627"/>
        <v>7830</v>
      </c>
      <c r="J75" s="846">
        <f t="shared" si="627"/>
        <v>7813</v>
      </c>
      <c r="K75" s="846">
        <f t="shared" si="627"/>
        <v>7806</v>
      </c>
      <c r="L75" s="846">
        <f t="shared" si="627"/>
        <v>7799</v>
      </c>
      <c r="M75" s="846">
        <f t="shared" si="627"/>
        <v>7710</v>
      </c>
      <c r="N75" s="846">
        <f t="shared" si="627"/>
        <v>7794</v>
      </c>
      <c r="O75" s="846">
        <f t="shared" si="627"/>
        <v>7775</v>
      </c>
      <c r="P75" s="846">
        <f t="shared" si="627"/>
        <v>7766</v>
      </c>
      <c r="Q75" s="846">
        <f t="shared" si="627"/>
        <v>7768</v>
      </c>
      <c r="R75" s="846">
        <f t="shared" si="627"/>
        <v>7744</v>
      </c>
      <c r="S75" s="846">
        <f t="shared" si="627"/>
        <v>7734</v>
      </c>
      <c r="T75" s="846">
        <f t="shared" si="627"/>
        <v>7710</v>
      </c>
      <c r="U75" s="846">
        <f t="shared" si="627"/>
        <v>7714.5695364238409</v>
      </c>
      <c r="V75" s="846">
        <f t="shared" si="627"/>
        <v>7675</v>
      </c>
      <c r="W75" s="846">
        <f t="shared" si="627"/>
        <v>7650</v>
      </c>
      <c r="X75" s="846">
        <f t="shared" si="627"/>
        <v>7637</v>
      </c>
      <c r="Y75" s="846">
        <f t="shared" si="627"/>
        <v>7616</v>
      </c>
      <c r="Z75" s="846">
        <f t="shared" si="627"/>
        <v>7597</v>
      </c>
      <c r="AA75" s="846">
        <f t="shared" si="627"/>
        <v>7581</v>
      </c>
      <c r="AB75" s="846">
        <f t="shared" si="627"/>
        <v>7567</v>
      </c>
      <c r="AC75" s="846">
        <f t="shared" si="627"/>
        <v>7555</v>
      </c>
      <c r="AD75" s="846">
        <f t="shared" si="627"/>
        <v>7534</v>
      </c>
      <c r="AE75" s="846">
        <f t="shared" si="627"/>
        <v>7506</v>
      </c>
      <c r="AF75" s="846">
        <f t="shared" si="627"/>
        <v>7485</v>
      </c>
      <c r="AG75" s="846">
        <f t="shared" si="627"/>
        <v>7473</v>
      </c>
      <c r="AH75" s="846">
        <f t="shared" si="627"/>
        <v>7464</v>
      </c>
      <c r="AI75" s="846">
        <f t="shared" si="627"/>
        <v>7467</v>
      </c>
      <c r="AJ75" s="846">
        <f t="shared" ref="AJ75:AK75" si="628">+AJ1091</f>
        <v>7462</v>
      </c>
      <c r="AK75" s="846">
        <f t="shared" si="628"/>
        <v>7468</v>
      </c>
      <c r="AL75" s="846">
        <f t="shared" ref="AL75:AN75" si="629">+AL1091</f>
        <v>7472</v>
      </c>
      <c r="AM75" s="846">
        <f t="shared" si="629"/>
        <v>7472</v>
      </c>
      <c r="AN75" s="846">
        <f t="shared" si="629"/>
        <v>7470</v>
      </c>
      <c r="AO75" s="846">
        <f t="shared" ref="AO75" si="630">+AN75</f>
        <v>7470</v>
      </c>
      <c r="AP75" s="846">
        <f t="shared" ref="AP75" si="631">+AO75</f>
        <v>7470</v>
      </c>
      <c r="AQ75" s="846">
        <f t="shared" ref="AQ75" si="632">+AP75</f>
        <v>7470</v>
      </c>
      <c r="AS75" s="846">
        <f t="shared" ref="AS75:BE75" si="633">+AS1091</f>
        <v>7775</v>
      </c>
      <c r="AT75" s="846">
        <f t="shared" si="633"/>
        <v>7775</v>
      </c>
      <c r="AU75" s="846">
        <f t="shared" si="633"/>
        <v>7775</v>
      </c>
      <c r="AV75" s="846">
        <f t="shared" si="633"/>
        <v>7775</v>
      </c>
      <c r="AW75" s="846">
        <f t="shared" si="633"/>
        <v>7775</v>
      </c>
      <c r="AX75" s="846">
        <f t="shared" si="633"/>
        <v>7775</v>
      </c>
      <c r="AY75" s="846">
        <f t="shared" si="633"/>
        <v>7775</v>
      </c>
      <c r="AZ75" s="846">
        <f t="shared" si="633"/>
        <v>7775</v>
      </c>
      <c r="BA75" s="846">
        <f t="shared" si="633"/>
        <v>7775</v>
      </c>
      <c r="BB75" s="846">
        <f t="shared" si="633"/>
        <v>7775</v>
      </c>
      <c r="BC75" s="846">
        <f t="shared" si="633"/>
        <v>7775</v>
      </c>
      <c r="BD75" s="846">
        <f t="shared" si="633"/>
        <v>7832</v>
      </c>
      <c r="BE75" s="846">
        <f t="shared" si="633"/>
        <v>7794</v>
      </c>
      <c r="BG75" s="846">
        <f>+BG1091</f>
        <v>8012.25</v>
      </c>
      <c r="BH75" s="846">
        <f>+BH1091</f>
        <v>7831.25</v>
      </c>
      <c r="BI75" s="846">
        <f>+BI1091</f>
        <v>7769.5</v>
      </c>
      <c r="BJ75" s="846">
        <f>+BJ1091</f>
        <v>7753</v>
      </c>
      <c r="BK75" s="846">
        <f>AVERAGE(T75:W75)</f>
        <v>7687.3923841059604</v>
      </c>
      <c r="BL75" s="846">
        <f>AVERAGE(X75:AA75)</f>
        <v>7607.75</v>
      </c>
      <c r="BM75" s="846">
        <f>AVERAGE(AB75:AE75)</f>
        <v>7540.5</v>
      </c>
      <c r="BN75" s="846">
        <f>+BN74/BN76</f>
        <v>7471.9575593292129</v>
      </c>
      <c r="BO75" s="846">
        <f>+BO74/BO76</f>
        <v>7468.5468444992594</v>
      </c>
      <c r="BP75" s="846">
        <f>+BP74/BP76</f>
        <v>7470</v>
      </c>
    </row>
    <row r="76" spans="2:71">
      <c r="B76" s="12" t="s">
        <v>302</v>
      </c>
      <c r="D76" s="9">
        <f>+D74/D75</f>
        <v>0.4841229589312222</v>
      </c>
      <c r="E76" s="9">
        <f t="shared" ref="E76:AS76" si="634">+E74/E75</f>
        <v>0.59041733946093666</v>
      </c>
      <c r="F76" s="9">
        <f t="shared" si="634"/>
        <v>0.49370695053224795</v>
      </c>
      <c r="G76" s="9">
        <f t="shared" si="634"/>
        <v>0.60253499810821032</v>
      </c>
      <c r="H76" s="9">
        <f t="shared" si="634"/>
        <v>0.56342686642965978</v>
      </c>
      <c r="I76" s="9">
        <f t="shared" si="634"/>
        <v>0.6659386973180077</v>
      </c>
      <c r="J76" s="9">
        <f t="shared" si="634"/>
        <v>0.59018302828618974</v>
      </c>
      <c r="K76" s="9">
        <f t="shared" si="634"/>
        <v>0.68813733025877533</v>
      </c>
      <c r="L76" s="9">
        <f t="shared" si="634"/>
        <v>0.66541864341582257</v>
      </c>
      <c r="M76" s="9">
        <f t="shared" si="634"/>
        <v>0.77300259403372251</v>
      </c>
      <c r="N76" s="9">
        <f t="shared" si="634"/>
        <v>0.87585193738773415</v>
      </c>
      <c r="O76" s="9">
        <f t="shared" ref="O76:V76" si="635">+O74/O75</f>
        <v>1.085170418006431</v>
      </c>
      <c r="P76" s="9">
        <f t="shared" si="635"/>
        <v>1.0397360288436777</v>
      </c>
      <c r="Q76" s="9">
        <f t="shared" si="635"/>
        <v>1.0561470133882596</v>
      </c>
      <c r="R76" s="9">
        <f t="shared" si="635"/>
        <v>1.0697236570247934</v>
      </c>
      <c r="S76" s="9">
        <f t="shared" si="635"/>
        <v>1.286635634859064</v>
      </c>
      <c r="T76" s="9">
        <f t="shared" si="635"/>
        <v>1.2998625162127109</v>
      </c>
      <c r="U76" s="9">
        <f t="shared" si="635"/>
        <v>1.4423552665464847</v>
      </c>
      <c r="V76" s="9">
        <f t="shared" si="635"/>
        <v>1.3219504885993487</v>
      </c>
      <c r="W76" s="9">
        <f t="shared" ref="W76:X76" si="636">+W74/W75</f>
        <v>1.3860627450980394</v>
      </c>
      <c r="X76" s="9">
        <f t="shared" si="636"/>
        <v>1.667927196543145</v>
      </c>
      <c r="Y76" s="9">
        <f t="shared" ref="Y76" si="637">+Y74/Y75</f>
        <v>1.9020785189075631</v>
      </c>
      <c r="Z76" s="9">
        <f t="shared" ref="Z76" si="638">+Z74/Z75</f>
        <v>1.792344346452547</v>
      </c>
      <c r="AA76" s="9">
        <f t="shared" ref="AA76" si="639">+AA74/AA75</f>
        <v>2.0221540693839866</v>
      </c>
      <c r="AB76" s="9">
        <f t="shared" ref="AB76:AC76" si="640">+AB74/AB75</f>
        <v>2.1427197039777983</v>
      </c>
      <c r="AC76" s="9">
        <f t="shared" si="640"/>
        <v>2.3543150231634677</v>
      </c>
      <c r="AD76" s="9">
        <f t="shared" ref="AD76:AE76" si="641">+AD74/AD75</f>
        <v>2.1170825590655693</v>
      </c>
      <c r="AE76" s="9">
        <f t="shared" si="641"/>
        <v>2.1562390087929657</v>
      </c>
      <c r="AF76" s="9">
        <f t="shared" ref="AF76" si="642">+AF74/AF75</f>
        <v>2.2768042752171009</v>
      </c>
      <c r="AG76" s="9">
        <f t="shared" ref="AG76:AI76" si="643">+AG74/AG75</f>
        <v>2.2739060618225615</v>
      </c>
      <c r="AH76" s="9">
        <f t="shared" si="643"/>
        <v>2.3997414255091103</v>
      </c>
      <c r="AI76" s="9">
        <f t="shared" si="643"/>
        <v>2.6160881210660243</v>
      </c>
      <c r="AJ76" s="9">
        <f t="shared" ref="AJ76" si="644">+AJ74/AJ75</f>
        <v>2.8885499865987674</v>
      </c>
      <c r="AK76" s="9">
        <f t="shared" ref="AK76" si="645">+AK74/AK75</f>
        <v>2.9396411355115157</v>
      </c>
      <c r="AL76" s="9">
        <f t="shared" ref="AL76:AM76" si="646">+AL74/AL75</f>
        <v>2.9440082976445399</v>
      </c>
      <c r="AM76" s="9">
        <f t="shared" si="646"/>
        <v>2.9979234140792292</v>
      </c>
      <c r="AN76" s="9">
        <f t="shared" ref="AN76:AQ76" si="647">+AN74/AN75</f>
        <v>3.3134508032128513</v>
      </c>
      <c r="AO76" s="9">
        <f t="shared" si="647"/>
        <v>3.3868208924328171</v>
      </c>
      <c r="AP76" s="9">
        <f t="shared" si="647"/>
        <v>3.4811281248568928</v>
      </c>
      <c r="AQ76" s="9">
        <f t="shared" si="647"/>
        <v>3.5590969181575267</v>
      </c>
      <c r="AS76" s="9">
        <f t="shared" si="634"/>
        <v>1.3901221864951769</v>
      </c>
      <c r="AT76" s="9">
        <f t="shared" ref="AT76" si="648">+AT74/AT75</f>
        <v>1.5267266881028938</v>
      </c>
      <c r="AU76" s="9">
        <f t="shared" ref="AU76" si="649">+AU74/AU75</f>
        <v>1.6804694533762059</v>
      </c>
      <c r="AV76" s="9">
        <f t="shared" ref="AV76" si="650">+AV74/AV75</f>
        <v>1.9908810289389067</v>
      </c>
      <c r="AW76" s="9">
        <f t="shared" ref="AW76" si="651">+AW74/AW75</f>
        <v>1.6570610932475887</v>
      </c>
      <c r="AX76" s="9">
        <f t="shared" ref="AX76" si="652">+AX74/AX75</f>
        <v>2.0911189710610931</v>
      </c>
      <c r="AY76" s="9">
        <f t="shared" ref="AY76" si="653">+AY74/AY75</f>
        <v>2.3467717041800644</v>
      </c>
      <c r="AZ76" s="9">
        <f t="shared" ref="AZ76" si="654">+AZ74/AZ75</f>
        <v>2.3792926045016078</v>
      </c>
      <c r="BA76" s="9">
        <f t="shared" ref="BA76" si="655">+BA74/BA75</f>
        <v>2.3228617363344051</v>
      </c>
      <c r="BB76" s="9">
        <f t="shared" ref="BB76" si="656">+BB74/BB75</f>
        <v>2.3364051446945342</v>
      </c>
      <c r="BC76" s="9">
        <f t="shared" ref="BC76" si="657">+BC74/BC75</f>
        <v>2.3841414790996787</v>
      </c>
      <c r="BD76" s="9">
        <f t="shared" ref="BD76" si="658">+BD74/BD75</f>
        <v>1.8028536772216548</v>
      </c>
      <c r="BE76" s="9">
        <f t="shared" ref="BE76:BG76" si="659">+BE74/BE75</f>
        <v>1.8188157557095201</v>
      </c>
      <c r="BG76" s="9">
        <f t="shared" si="659"/>
        <v>2.17003338637711</v>
      </c>
      <c r="BH76" s="9">
        <f t="shared" ref="BH76" si="660">+BH74/BH75</f>
        <v>2.507205107741421</v>
      </c>
      <c r="BI76" s="9">
        <f t="shared" ref="BI76:BJ76" si="661">+BI74/BI75</f>
        <v>3.3995804105798313</v>
      </c>
      <c r="BJ76" s="9">
        <f t="shared" si="661"/>
        <v>4.4516342061137628</v>
      </c>
      <c r="BK76" s="9">
        <f t="shared" ref="BK76:BL76" si="662">+BK74/BK75</f>
        <v>5.4502798746980794</v>
      </c>
      <c r="BL76" s="9">
        <f t="shared" si="662"/>
        <v>7.3833367289934611</v>
      </c>
      <c r="BM76" s="9">
        <f t="shared" ref="BM76" si="663">+BM74/BM75</f>
        <v>8.7707234268284591</v>
      </c>
      <c r="BN76" s="9">
        <f>SUM(AF76:AI76)</f>
        <v>9.5665398836147979</v>
      </c>
      <c r="BO76" s="9">
        <f>SUM(AJ76:AM76)</f>
        <v>11.770122833834053</v>
      </c>
      <c r="BP76" s="9">
        <f>+SUM(AN76:AQ76)</f>
        <v>13.740496738660088</v>
      </c>
    </row>
    <row r="77" spans="2:71" s="3" customFormat="1">
      <c r="B77" s="15" t="s">
        <v>113</v>
      </c>
      <c r="D77" s="228"/>
      <c r="E77" s="228"/>
      <c r="F77" s="228"/>
      <c r="G77" s="228"/>
      <c r="H77" s="228">
        <f>IFERROR(H76/D76-1,"n/a ")</f>
        <v>0.16380943319340502</v>
      </c>
      <c r="I77" s="228">
        <f t="shared" ref="I77" si="664">IFERROR(I76/E76-1,"n/a ")</f>
        <v>0.12791182238316989</v>
      </c>
      <c r="J77" s="228">
        <f t="shared" ref="J77" si="665">IFERROR(J76/F76-1,"n/a ")</f>
        <v>0.19541162556033354</v>
      </c>
      <c r="K77" s="228">
        <f t="shared" ref="K77" si="666">IFERROR(K76/G76-1,"n/a ")</f>
        <v>0.14207030698520784</v>
      </c>
      <c r="L77" s="228">
        <f t="shared" ref="L77" si="667">IFERROR(L76/H76-1,"n/a ")</f>
        <v>0.18102043594844419</v>
      </c>
      <c r="M77" s="228">
        <f t="shared" ref="M77" si="668">IFERROR(M76/I76-1,"n/a ")</f>
        <v>0.16077140005063906</v>
      </c>
      <c r="N77" s="228">
        <f t="shared" ref="N77" si="669">IFERROR(N76/J76-1,"n/a ")</f>
        <v>0.48403443577679206</v>
      </c>
      <c r="O77" s="228">
        <f t="shared" ref="O77" si="670">IFERROR(O76/K76-1,"n/a ")</f>
        <v>0.57696780902490885</v>
      </c>
      <c r="P77" s="228">
        <f t="shared" ref="P77" si="671">IFERROR(P76/L76-1,"n/a ")</f>
        <v>0.56252915233386802</v>
      </c>
      <c r="Q77" s="228">
        <f t="shared" ref="Q77" si="672">IFERROR(Q76/M76-1,"n/a ")</f>
        <v>0.36629168070060159</v>
      </c>
      <c r="R77" s="228">
        <f t="shared" ref="R77" si="673">IFERROR(R76/N76-1,"n/a ")</f>
        <v>0.22135216166249516</v>
      </c>
      <c r="S77" s="228">
        <f t="shared" ref="S77" si="674">IFERROR(S76/O76-1,"n/a ")</f>
        <v>0.18565306749030741</v>
      </c>
      <c r="T77" s="228">
        <f t="shared" ref="T77" si="675">IFERROR(T76/P76-1,"n/a ")</f>
        <v>0.25018512406300641</v>
      </c>
      <c r="U77" s="228">
        <f t="shared" ref="U77" si="676">IFERROR(U76/Q76-1,"n/a ")</f>
        <v>0.36567660397885127</v>
      </c>
      <c r="V77" s="228">
        <f t="shared" ref="V77" si="677">IFERROR(V76/R76-1,"n/a ")</f>
        <v>0.23578690619600762</v>
      </c>
      <c r="W77" s="228">
        <f t="shared" ref="W77:X77" si="678">IFERROR(W76/S76-1,"n/a ")</f>
        <v>7.7276819905478966E-2</v>
      </c>
      <c r="X77" s="228">
        <f t="shared" si="678"/>
        <v>0.28315662290411314</v>
      </c>
      <c r="Y77" s="228">
        <f t="shared" ref="Y77" si="679">IFERROR(Y76/U76-1,"n/a ")</f>
        <v>0.31873094169220906</v>
      </c>
      <c r="Z77" s="228">
        <f t="shared" ref="Z77" si="680">IFERROR(Z76/V76-1,"n/a ")</f>
        <v>0.35583318884476256</v>
      </c>
      <c r="AA77" s="228">
        <f t="shared" ref="AA77" si="681">IFERROR(AA76/W76-1,"n/a ")</f>
        <v>0.45891957383282445</v>
      </c>
      <c r="AB77" s="228">
        <f t="shared" ref="AB77" si="682">IFERROR(AB76/X76-1,"n/a ")</f>
        <v>0.28466021084054649</v>
      </c>
      <c r="AC77" s="228">
        <f t="shared" ref="AC77" si="683">IFERROR(AC76/Y76-1,"n/a ")</f>
        <v>0.23775911444267894</v>
      </c>
      <c r="AD77" s="228">
        <f t="shared" ref="AD77" si="684">IFERROR(AD76/Z76-1,"n/a ")</f>
        <v>0.18118070517852902</v>
      </c>
      <c r="AE77" s="228">
        <f t="shared" ref="AE77" si="685">IFERROR(AE76/AA76-1,"n/a ")</f>
        <v>6.6307973976397205E-2</v>
      </c>
      <c r="AF77" s="228">
        <f t="shared" ref="AF77" si="686">IFERROR(AF76/AB76-1,"n/a ")</f>
        <v>6.2576813472329018E-2</v>
      </c>
      <c r="AG77" s="228">
        <f t="shared" ref="AG77" si="687">IFERROR(AG76/AC76-1,"n/a ")</f>
        <v>-3.4153866644771047E-2</v>
      </c>
      <c r="AH77" s="228">
        <f t="shared" ref="AH77" si="688">IFERROR(AH76/AD76-1,"n/a ")</f>
        <v>0.13351338861735274</v>
      </c>
      <c r="AI77" s="228">
        <f t="shared" ref="AI77" si="689">IFERROR(AI76/AE76-1,"n/a ")</f>
        <v>0.2132644435045612</v>
      </c>
      <c r="AJ77" s="228">
        <f t="shared" ref="AJ77" si="690">IFERROR(AJ76/AF76-1,"n/a ")</f>
        <v>0.26868612205295261</v>
      </c>
      <c r="AK77" s="228">
        <f t="shared" ref="AK77" si="691">IFERROR(AK76/AG76-1,"n/a ")</f>
        <v>0.29277158140620818</v>
      </c>
      <c r="AL77" s="228">
        <f t="shared" ref="AL77" si="692">IFERROR(AL76/AH76-1,"n/a ")</f>
        <v>0.22680229892683634</v>
      </c>
      <c r="AM77" s="228">
        <f t="shared" ref="AM77" si="693">IFERROR(AM76/AI76-1,"n/a ")</f>
        <v>0.14595658683607793</v>
      </c>
      <c r="AN77" s="228">
        <f t="shared" ref="AN77" si="694">IFERROR(AN76/AJ76-1,"n/a ")</f>
        <v>0.14709830835034277</v>
      </c>
      <c r="AO77" s="228">
        <f t="shared" ref="AO77" si="695">IFERROR(AO76/AK76-1,"n/a ")</f>
        <v>0.15212052638645956</v>
      </c>
      <c r="AP77" s="228">
        <f t="shared" ref="AP77" si="696">IFERROR(AP76/AL76-1,"n/a ")</f>
        <v>0.18244507926220699</v>
      </c>
      <c r="AQ77" s="228">
        <f t="shared" ref="AQ77" si="697">IFERROR(AQ76/AM76-1,"n/a ")</f>
        <v>0.18718740493597763</v>
      </c>
      <c r="AR77" s="228"/>
      <c r="AS77" s="228"/>
      <c r="AT77" s="228">
        <f>IFERROR(AT76/AS76-1,"n/a ")</f>
        <v>9.8267981717584663E-2</v>
      </c>
      <c r="AU77" s="228">
        <f t="shared" ref="AU77" si="698">IFERROR(AU76/AT76-1,"n/a ")</f>
        <v>0.1007009089913482</v>
      </c>
      <c r="AV77" s="228">
        <f t="shared" ref="AV77" si="699">IFERROR(AV76/AU76-1,"n/a ")</f>
        <v>0.18471717824983824</v>
      </c>
      <c r="AW77" s="228">
        <f t="shared" ref="AW77" si="700">IFERROR(AW76/AV76-1,"n/a ")</f>
        <v>-0.16767447719828654</v>
      </c>
      <c r="AX77" s="228">
        <f t="shared" ref="AX77" si="701">IFERROR(AX76/AW76-1,"n/a ")</f>
        <v>0.26194440240149319</v>
      </c>
      <c r="AY77" s="228">
        <f t="shared" ref="AY77" si="702">IFERROR(AY76/AX76-1,"n/a ")</f>
        <v>0.12225642665813785</v>
      </c>
      <c r="AZ77" s="228">
        <f t="shared" ref="AZ77" si="703">IFERROR(AZ76/AY76-1,"n/a ")</f>
        <v>1.3857717929535829E-2</v>
      </c>
      <c r="BA77" s="228">
        <f t="shared" ref="BA77" si="704">IFERROR(BA76/AZ76-1,"n/a ")</f>
        <v>-2.3717498243148394E-2</v>
      </c>
      <c r="BB77" s="228">
        <f t="shared" ref="BB77" si="705">IFERROR(BB76/BA76-1,"n/a ")</f>
        <v>5.8304840741409958E-3</v>
      </c>
      <c r="BC77" s="228">
        <f t="shared" ref="BC77" si="706">IFERROR(BC76/BB76-1,"n/a ")</f>
        <v>2.0431531112462764E-2</v>
      </c>
      <c r="BD77" s="228">
        <f t="shared" ref="BD77" si="707">IFERROR(BD76/BC76-1,"n/a ")</f>
        <v>-0.24381430673213866</v>
      </c>
      <c r="BE77" s="228">
        <f t="shared" ref="BE77" si="708">IFERROR(BE76/BD76-1,"n/a ")</f>
        <v>8.853784802138831E-3</v>
      </c>
      <c r="BF77" s="228"/>
      <c r="BG77" s="829">
        <f t="shared" ref="BG77" si="709">+BD77</f>
        <v>-0.24381430673213866</v>
      </c>
      <c r="BH77" s="228">
        <f t="shared" ref="BH77" si="710">IFERROR(BH76/BG76-1,"n/a ")</f>
        <v>0.1553762829092793</v>
      </c>
      <c r="BI77" s="228">
        <f t="shared" ref="BI77" si="711">IFERROR(BI76/BH76-1,"n/a ")</f>
        <v>0.35592433187179218</v>
      </c>
      <c r="BJ77" s="228">
        <f t="shared" ref="BJ77" si="712">IFERROR(BJ76/BI76-1,"n/a ")</f>
        <v>0.3094657776765144</v>
      </c>
      <c r="BK77" s="228">
        <f t="shared" ref="BK77" si="713">IFERROR(BK76/BJ76-1,"n/a ")</f>
        <v>0.22433237376350501</v>
      </c>
      <c r="BL77" s="228">
        <f t="shared" ref="BL77:BP77" si="714">IFERROR(BL76/BK76-1,"n/a ")</f>
        <v>0.35467111758228098</v>
      </c>
      <c r="BM77" s="228">
        <f t="shared" si="714"/>
        <v>0.18790781847818216</v>
      </c>
      <c r="BN77" s="228">
        <f t="shared" si="714"/>
        <v>9.0735554874760149E-2</v>
      </c>
      <c r="BO77" s="228">
        <f t="shared" si="714"/>
        <v>0.23034273384397497</v>
      </c>
      <c r="BP77" s="228">
        <f t="shared" si="714"/>
        <v>0.16740470194262169</v>
      </c>
    </row>
    <row r="78" spans="2:71">
      <c r="AF78" s="228"/>
      <c r="AG78" s="228"/>
      <c r="AH78" s="228"/>
      <c r="AI78" s="228"/>
      <c r="AJ78" s="228"/>
      <c r="AK78" s="11"/>
      <c r="AL78" s="228"/>
      <c r="AM78" s="228"/>
      <c r="AN78" s="228"/>
      <c r="AO78" s="228"/>
      <c r="AP78" s="228"/>
      <c r="AQ78" s="228"/>
    </row>
    <row r="79" spans="2:71" hidden="1" outlineLevel="1">
      <c r="B79" s="847" t="s">
        <v>303</v>
      </c>
      <c r="BA79" s="8"/>
    </row>
    <row r="80" spans="2:71" ht="11.45" hidden="1" outlineLevel="1">
      <c r="B80" s="12" t="s">
        <v>276</v>
      </c>
      <c r="D80" s="10">
        <f t="shared" ref="D80:Y80" si="715">+D18</f>
        <v>0</v>
      </c>
      <c r="E80" s="10">
        <f t="shared" si="715"/>
        <v>0</v>
      </c>
      <c r="F80" s="10">
        <f t="shared" si="715"/>
        <v>0</v>
      </c>
      <c r="G80" s="10">
        <f t="shared" si="715"/>
        <v>0</v>
      </c>
      <c r="H80" s="10">
        <f t="shared" si="715"/>
        <v>0</v>
      </c>
      <c r="I80" s="10">
        <f t="shared" si="715"/>
        <v>0</v>
      </c>
      <c r="J80" s="10">
        <f t="shared" si="715"/>
        <v>0</v>
      </c>
      <c r="K80" s="10">
        <f t="shared" si="715"/>
        <v>0</v>
      </c>
      <c r="L80" s="10">
        <f t="shared" si="715"/>
        <v>0</v>
      </c>
      <c r="M80" s="10">
        <f t="shared" si="715"/>
        <v>0</v>
      </c>
      <c r="N80" s="10">
        <f t="shared" si="715"/>
        <v>0</v>
      </c>
      <c r="O80" s="10">
        <f t="shared" si="715"/>
        <v>0</v>
      </c>
      <c r="P80" s="10">
        <f t="shared" si="715"/>
        <v>0</v>
      </c>
      <c r="Q80" s="10">
        <f t="shared" si="715"/>
        <v>0</v>
      </c>
      <c r="R80" s="10">
        <f t="shared" si="715"/>
        <v>0</v>
      </c>
      <c r="S80" s="10">
        <f t="shared" si="715"/>
        <v>0</v>
      </c>
      <c r="T80" s="10">
        <f t="shared" si="715"/>
        <v>0</v>
      </c>
      <c r="U80" s="10">
        <f t="shared" si="715"/>
        <v>0</v>
      </c>
      <c r="V80" s="10">
        <f t="shared" si="715"/>
        <v>0</v>
      </c>
      <c r="W80" s="10">
        <f t="shared" si="715"/>
        <v>0</v>
      </c>
      <c r="X80" s="10">
        <f t="shared" si="715"/>
        <v>0</v>
      </c>
      <c r="Y80" s="10">
        <f t="shared" si="715"/>
        <v>0</v>
      </c>
      <c r="Z80" s="10">
        <v>0</v>
      </c>
      <c r="AA80" s="10">
        <v>0</v>
      </c>
      <c r="AB80" s="10">
        <v>0</v>
      </c>
      <c r="AC80" s="10">
        <v>0</v>
      </c>
      <c r="AD80" s="10">
        <v>0</v>
      </c>
      <c r="AE80" s="10">
        <v>0</v>
      </c>
      <c r="AF80" s="10">
        <v>0</v>
      </c>
      <c r="AG80" s="10">
        <v>0</v>
      </c>
      <c r="AH80" s="10">
        <v>0</v>
      </c>
      <c r="AI80" s="10">
        <v>0</v>
      </c>
      <c r="AJ80" s="10">
        <v>0</v>
      </c>
      <c r="AK80" s="10">
        <v>0</v>
      </c>
      <c r="AL80" s="10">
        <v>0</v>
      </c>
      <c r="AM80" s="10">
        <v>0</v>
      </c>
      <c r="AN80" s="10">
        <v>0</v>
      </c>
      <c r="AO80" s="10">
        <v>0</v>
      </c>
      <c r="AP80" s="10">
        <v>0</v>
      </c>
      <c r="AQ80" s="10">
        <v>0</v>
      </c>
      <c r="AS80" s="10">
        <f t="shared" ref="AS80:BE80" si="716">+AS18</f>
        <v>0</v>
      </c>
      <c r="AT80" s="10">
        <f t="shared" si="716"/>
        <v>0</v>
      </c>
      <c r="AU80" s="10">
        <f t="shared" si="716"/>
        <v>0</v>
      </c>
      <c r="AV80" s="10">
        <f t="shared" si="716"/>
        <v>0</v>
      </c>
      <c r="AW80" s="10">
        <f t="shared" si="716"/>
        <v>0</v>
      </c>
      <c r="AX80" s="10">
        <f t="shared" si="716"/>
        <v>0</v>
      </c>
      <c r="AY80" s="10">
        <f t="shared" si="716"/>
        <v>0</v>
      </c>
      <c r="AZ80" s="10">
        <f t="shared" si="716"/>
        <v>540</v>
      </c>
      <c r="BA80" s="10">
        <f t="shared" si="716"/>
        <v>-540</v>
      </c>
      <c r="BB80" s="10">
        <f t="shared" si="716"/>
        <v>0</v>
      </c>
      <c r="BC80" s="10">
        <f t="shared" si="716"/>
        <v>0</v>
      </c>
      <c r="BD80" s="10">
        <f t="shared" si="716"/>
        <v>6643</v>
      </c>
      <c r="BE80" s="10">
        <f t="shared" si="716"/>
        <v>6707</v>
      </c>
      <c r="BG80" s="10">
        <f>+BG18</f>
        <v>0</v>
      </c>
      <c r="BH80" s="10">
        <f>+BH18</f>
        <v>0</v>
      </c>
      <c r="BI80" s="10">
        <f>+BI18</f>
        <v>0</v>
      </c>
      <c r="BJ80" s="10">
        <f>+BJ18</f>
        <v>0</v>
      </c>
      <c r="BK80" s="10">
        <f>SUM(T80:W80)</f>
        <v>0</v>
      </c>
      <c r="BL80" s="10">
        <f>SUM(X80:AA80)</f>
        <v>0</v>
      </c>
      <c r="BM80" s="10">
        <f>SUM(AB80:AE80)</f>
        <v>0</v>
      </c>
      <c r="BN80" s="10">
        <f>SUM(AF80:AI80)</f>
        <v>0</v>
      </c>
      <c r="BO80" s="10">
        <f t="shared" ref="BO80:BO81" si="717">SUM(AJ80:AM80)</f>
        <v>0</v>
      </c>
      <c r="BP80" s="10">
        <f t="shared" ref="BP80" si="718">+SUM(AN80:AQ80)</f>
        <v>0</v>
      </c>
    </row>
    <row r="81" spans="2:69" hidden="1" outlineLevel="1">
      <c r="B81" s="17" t="s">
        <v>304</v>
      </c>
      <c r="D81" s="8">
        <f t="shared" ref="D81:AQ81" si="719">+D49+D80</f>
        <v>6316</v>
      </c>
      <c r="E81" s="8">
        <f t="shared" si="719"/>
        <v>7489</v>
      </c>
      <c r="F81" s="8">
        <f t="shared" si="719"/>
        <v>6277</v>
      </c>
      <c r="G81" s="8">
        <f t="shared" si="719"/>
        <v>7106</v>
      </c>
      <c r="H81" s="8">
        <f t="shared" si="719"/>
        <v>6715</v>
      </c>
      <c r="I81" s="8">
        <f t="shared" si="719"/>
        <v>7905</v>
      </c>
      <c r="J81" s="8">
        <f t="shared" si="719"/>
        <v>6723</v>
      </c>
      <c r="K81" s="8">
        <f t="shared" si="719"/>
        <v>7988</v>
      </c>
      <c r="L81" s="8">
        <f t="shared" si="719"/>
        <v>7708</v>
      </c>
      <c r="M81" s="8">
        <f t="shared" si="719"/>
        <v>8679</v>
      </c>
      <c r="N81" s="8">
        <f t="shared" si="719"/>
        <v>8292</v>
      </c>
      <c r="O81" s="8">
        <f t="shared" si="719"/>
        <v>10379</v>
      </c>
      <c r="P81" s="8">
        <f t="shared" si="719"/>
        <v>9955</v>
      </c>
      <c r="Q81" s="8">
        <f t="shared" si="719"/>
        <v>10258</v>
      </c>
      <c r="R81" s="8">
        <f t="shared" si="719"/>
        <v>10341</v>
      </c>
      <c r="S81" s="8">
        <f t="shared" si="719"/>
        <v>12405</v>
      </c>
      <c r="T81" s="8">
        <f t="shared" si="719"/>
        <v>12686</v>
      </c>
      <c r="U81" s="8">
        <f t="shared" si="719"/>
        <v>13891</v>
      </c>
      <c r="V81" s="8">
        <f t="shared" si="719"/>
        <v>12975</v>
      </c>
      <c r="W81" s="8">
        <f t="shared" si="719"/>
        <v>13407</v>
      </c>
      <c r="X81" s="8">
        <f t="shared" si="719"/>
        <v>15876</v>
      </c>
      <c r="Y81" s="8">
        <f t="shared" si="719"/>
        <v>17897</v>
      </c>
      <c r="Z81" s="8">
        <f t="shared" si="719"/>
        <v>17048</v>
      </c>
      <c r="AA81" s="8">
        <f t="shared" si="719"/>
        <v>19095</v>
      </c>
      <c r="AB81" s="8">
        <f t="shared" si="719"/>
        <v>20238</v>
      </c>
      <c r="AC81" s="8">
        <f t="shared" si="719"/>
        <v>22247</v>
      </c>
      <c r="AD81" s="8">
        <f t="shared" si="719"/>
        <v>20364</v>
      </c>
      <c r="AE81" s="8">
        <f t="shared" si="719"/>
        <v>20534</v>
      </c>
      <c r="AF81" s="8">
        <f t="shared" si="719"/>
        <v>21518</v>
      </c>
      <c r="AG81" s="8">
        <f t="shared" si="719"/>
        <v>21570</v>
      </c>
      <c r="AH81" s="8">
        <f t="shared" si="719"/>
        <v>22352</v>
      </c>
      <c r="AI81" s="8">
        <f t="shared" si="719"/>
        <v>24254</v>
      </c>
      <c r="AJ81" s="8">
        <f t="shared" si="719"/>
        <v>26895</v>
      </c>
      <c r="AK81" s="8">
        <f t="shared" si="719"/>
        <v>28162</v>
      </c>
      <c r="AL81" s="8">
        <f t="shared" si="719"/>
        <v>28521</v>
      </c>
      <c r="AM81" s="8">
        <f t="shared" si="719"/>
        <v>28865</v>
      </c>
      <c r="AN81" s="8">
        <f>+AN49+AN80</f>
        <v>31462</v>
      </c>
      <c r="AO81" s="8">
        <f t="shared" si="719"/>
        <v>31872.765274016641</v>
      </c>
      <c r="AP81" s="8">
        <f t="shared" si="719"/>
        <v>32764.505813520242</v>
      </c>
      <c r="AQ81" s="8">
        <f t="shared" si="719"/>
        <v>33501.755036249015</v>
      </c>
      <c r="AS81" s="8">
        <f t="shared" ref="AS81:BE81" si="720">+AS49+AS80</f>
        <v>14576</v>
      </c>
      <c r="AT81" s="8">
        <f t="shared" si="720"/>
        <v>16380</v>
      </c>
      <c r="AU81" s="8">
        <f t="shared" si="720"/>
        <v>18438</v>
      </c>
      <c r="AV81" s="8">
        <f t="shared" si="720"/>
        <v>22271</v>
      </c>
      <c r="AW81" s="8">
        <f t="shared" si="720"/>
        <v>20363</v>
      </c>
      <c r="AX81" s="8">
        <f t="shared" si="720"/>
        <v>24098</v>
      </c>
      <c r="AY81" s="8">
        <f t="shared" si="720"/>
        <v>27161</v>
      </c>
      <c r="AZ81" s="8">
        <f t="shared" si="720"/>
        <v>28496</v>
      </c>
      <c r="BA81" s="8">
        <f t="shared" si="720"/>
        <v>26957</v>
      </c>
      <c r="BB81" s="8">
        <f t="shared" si="720"/>
        <v>27886</v>
      </c>
      <c r="BC81" s="8">
        <f t="shared" si="720"/>
        <v>28172</v>
      </c>
      <c r="BD81" s="8">
        <f t="shared" si="720"/>
        <v>27935</v>
      </c>
      <c r="BE81" s="8">
        <f t="shared" si="720"/>
        <v>29339</v>
      </c>
      <c r="BG81" s="8">
        <f t="shared" ref="BG81:BN81" si="721">+BG49+BG80</f>
        <v>27188</v>
      </c>
      <c r="BH81" s="8">
        <f t="shared" si="721"/>
        <v>29331</v>
      </c>
      <c r="BI81" s="8">
        <f t="shared" si="721"/>
        <v>35058</v>
      </c>
      <c r="BJ81" s="8">
        <f t="shared" si="721"/>
        <v>42959</v>
      </c>
      <c r="BK81" s="8">
        <f t="shared" si="721"/>
        <v>52959</v>
      </c>
      <c r="BL81" s="8">
        <f t="shared" si="721"/>
        <v>69916</v>
      </c>
      <c r="BM81" s="8">
        <f t="shared" si="721"/>
        <v>83383</v>
      </c>
      <c r="BN81" s="8">
        <f t="shared" si="721"/>
        <v>89694</v>
      </c>
      <c r="BO81" s="8">
        <f t="shared" si="717"/>
        <v>112443</v>
      </c>
      <c r="BP81" s="8">
        <f>+SUM(AN81:AQ81)</f>
        <v>129601.02612378589</v>
      </c>
    </row>
    <row r="82" spans="2:69" s="3" customFormat="1" hidden="1" outlineLevel="1">
      <c r="B82" s="19" t="s">
        <v>113</v>
      </c>
      <c r="D82" s="228"/>
      <c r="E82" s="228"/>
      <c r="F82" s="228"/>
      <c r="G82" s="228"/>
      <c r="H82" s="228">
        <f>IFERROR(H81/D81-1,"n/a ")</f>
        <v>6.317289423685879E-2</v>
      </c>
      <c r="I82" s="228">
        <f t="shared" ref="I82" si="722">IFERROR(I81/E81-1,"n/a ")</f>
        <v>5.5548137267993125E-2</v>
      </c>
      <c r="J82" s="228">
        <f t="shared" ref="J82" si="723">IFERROR(J81/F81-1,"n/a ")</f>
        <v>7.1053050820455654E-2</v>
      </c>
      <c r="K82" s="228">
        <f t="shared" ref="K82" si="724">IFERROR(K81/G81-1,"n/a ")</f>
        <v>0.12412046158176193</v>
      </c>
      <c r="L82" s="228">
        <f t="shared" ref="L82" si="725">IFERROR(L81/H81-1,"n/a ")</f>
        <v>0.14787788533134782</v>
      </c>
      <c r="M82" s="228">
        <f t="shared" ref="M82" si="726">IFERROR(M81/I81-1,"n/a ")</f>
        <v>9.7912713472485757E-2</v>
      </c>
      <c r="N82" s="228">
        <f t="shared" ref="N82" si="727">IFERROR(N81/J81-1,"n/a ")</f>
        <v>0.23337795626952262</v>
      </c>
      <c r="O82" s="228">
        <f t="shared" ref="O82" si="728">IFERROR(O81/K81-1,"n/a ")</f>
        <v>0.29932398597896848</v>
      </c>
      <c r="P82" s="228">
        <f t="shared" ref="P82" si="729">IFERROR(P81/L81-1,"n/a ")</f>
        <v>0.29151530877010901</v>
      </c>
      <c r="Q82" s="228">
        <f t="shared" ref="Q82" si="730">IFERROR(Q81/M81-1,"n/a ")</f>
        <v>0.18193340246572176</v>
      </c>
      <c r="R82" s="228">
        <f t="shared" ref="R82" si="731">IFERROR(R81/N81-1,"n/a ")</f>
        <v>0.2471056439942112</v>
      </c>
      <c r="S82" s="228">
        <f t="shared" ref="S82" si="732">IFERROR(S81/O81-1,"n/a ")</f>
        <v>0.19520184988919942</v>
      </c>
      <c r="T82" s="228">
        <f t="shared" ref="T82" si="733">IFERROR(T81/P81-1,"n/a ")</f>
        <v>0.27433450527373182</v>
      </c>
      <c r="U82" s="228">
        <f t="shared" ref="U82" si="734">IFERROR(U81/Q81-1,"n/a ")</f>
        <v>0.3541626047962565</v>
      </c>
      <c r="V82" s="228">
        <f t="shared" ref="V82" si="735">IFERROR(V81/R81-1,"n/a ")</f>
        <v>0.25471424427038003</v>
      </c>
      <c r="W82" s="228">
        <f t="shared" ref="W82:X82" si="736">IFERROR(W81/S81-1,"n/a ")</f>
        <v>8.0773881499395461E-2</v>
      </c>
      <c r="X82" s="228">
        <f t="shared" si="736"/>
        <v>0.25145830048872764</v>
      </c>
      <c r="Y82" s="228">
        <f t="shared" ref="Y82" si="737">IFERROR(Y81/U81-1,"n/a ")</f>
        <v>0.28838816499892017</v>
      </c>
      <c r="Z82" s="228">
        <f t="shared" ref="Z82" si="738">IFERROR(Z81/V81-1,"n/a ")</f>
        <v>0.31391136801541419</v>
      </c>
      <c r="AA82" s="228">
        <f t="shared" ref="AA82" si="739">IFERROR(AA81/W81-1,"n/a ")</f>
        <v>0.42425598567912282</v>
      </c>
      <c r="AB82" s="228">
        <f t="shared" ref="AB82" si="740">IFERROR(AB81/X81-1,"n/a ")</f>
        <v>0.27475434618291761</v>
      </c>
      <c r="AC82" s="228">
        <f t="shared" ref="AC82" si="741">IFERROR(AC81/Y81-1,"n/a ")</f>
        <v>0.24305749566966539</v>
      </c>
      <c r="AD82" s="228">
        <f t="shared" ref="AD82" si="742">IFERROR(AD81/Z81-1,"n/a ")</f>
        <v>0.19450961989676219</v>
      </c>
      <c r="AE82" s="228">
        <f t="shared" ref="AE82" si="743">IFERROR(AE81/AA81-1,"n/a ")</f>
        <v>7.5360041895784269E-2</v>
      </c>
      <c r="AF82" s="228">
        <f t="shared" ref="AF82" si="744">IFERROR(AF81/AB81-1,"n/a ")</f>
        <v>6.3247356458147941E-2</v>
      </c>
      <c r="AG82" s="228">
        <f t="shared" ref="AG82" si="745">IFERROR(AG81/AC81-1,"n/a ")</f>
        <v>-3.0431069357666152E-2</v>
      </c>
      <c r="AH82" s="228">
        <f t="shared" ref="AH82" si="746">IFERROR(AH81/AD81-1,"n/a ")</f>
        <v>9.7623256727558338E-2</v>
      </c>
      <c r="AI82" s="228">
        <f t="shared" ref="AI82" si="747">IFERROR(AI81/AE81-1,"n/a ")</f>
        <v>0.18116294925489429</v>
      </c>
      <c r="AJ82" s="228">
        <f t="shared" ref="AJ82" si="748">IFERROR(AJ81/AF81-1,"n/a ")</f>
        <v>0.2498838181987173</v>
      </c>
      <c r="AK82" s="228">
        <f t="shared" ref="AK82" si="749">IFERROR(AK81/AG81-1,"n/a ")</f>
        <v>0.30560964302271665</v>
      </c>
      <c r="AL82" s="228">
        <f t="shared" ref="AL82" si="750">IFERROR(AL81/AH81-1,"n/a ")</f>
        <v>0.2759931997136722</v>
      </c>
      <c r="AM82" s="228">
        <f t="shared" ref="AM82" si="751">IFERROR(AM81/AI81-1,"n/a ")</f>
        <v>0.19011297105632052</v>
      </c>
      <c r="AN82" s="228">
        <f t="shared" ref="AN82" si="752">IFERROR(AN81/AJ81-1,"n/a ")</f>
        <v>0.16980851459379065</v>
      </c>
      <c r="AO82" s="228">
        <f t="shared" ref="AO82" si="753">IFERROR(AO81/AK81-1,"n/a ")</f>
        <v>0.13176497670679077</v>
      </c>
      <c r="AP82" s="228">
        <f t="shared" ref="AP82" si="754">IFERROR(AP81/AL81-1,"n/a ")</f>
        <v>0.1487853095445546</v>
      </c>
      <c r="AQ82" s="228">
        <f t="shared" ref="AQ82" si="755">IFERROR(AQ81/AM81-1,"n/a ")</f>
        <v>0.16063589247354981</v>
      </c>
      <c r="AR82" s="228"/>
      <c r="AS82" s="228"/>
      <c r="AT82" s="228">
        <f>IFERROR(AT81/AS81-1,"n/a ")</f>
        <v>0.12376509330406149</v>
      </c>
      <c r="AU82" s="228">
        <f t="shared" ref="AU82" si="756">IFERROR(AU81/AT81-1,"n/a ")</f>
        <v>0.12564102564102564</v>
      </c>
      <c r="AV82" s="228">
        <f t="shared" ref="AV82" si="757">IFERROR(AV81/AU81-1,"n/a ")</f>
        <v>0.2078858878403298</v>
      </c>
      <c r="AW82" s="228">
        <f t="shared" ref="AW82" si="758">IFERROR(AW81/AV81-1,"n/a ")</f>
        <v>-8.5671950069597269E-2</v>
      </c>
      <c r="AX82" s="228">
        <f t="shared" ref="AX82" si="759">IFERROR(AX81/AW81-1,"n/a ")</f>
        <v>0.18342091047488096</v>
      </c>
      <c r="AY82" s="228">
        <f t="shared" ref="AY82" si="760">IFERROR(AY81/AX81-1,"n/a ")</f>
        <v>0.12710598389907868</v>
      </c>
      <c r="AZ82" s="228">
        <f t="shared" ref="AZ82" si="761">IFERROR(AZ81/AY81-1,"n/a ")</f>
        <v>4.9151356724715489E-2</v>
      </c>
      <c r="BA82" s="228">
        <f t="shared" ref="BA82" si="762">IFERROR(BA81/AZ81-1,"n/a ")</f>
        <v>-5.4007580011229628E-2</v>
      </c>
      <c r="BB82" s="228">
        <f t="shared" ref="BB82" si="763">IFERROR(BB81/BA81-1,"n/a ")</f>
        <v>3.4462291798048827E-2</v>
      </c>
      <c r="BC82" s="228">
        <f t="shared" ref="BC82" si="764">IFERROR(BC81/BB81-1,"n/a ")</f>
        <v>1.025604245858136E-2</v>
      </c>
      <c r="BD82" s="228">
        <f t="shared" ref="BD82" si="765">IFERROR(BD81/BC81-1,"n/a ")</f>
        <v>-8.4126082635240795E-3</v>
      </c>
      <c r="BE82" s="228">
        <f t="shared" ref="BE82" si="766">IFERROR(BE81/BD81-1,"n/a ")</f>
        <v>5.0259531054233086E-2</v>
      </c>
      <c r="BF82" s="228"/>
      <c r="BG82" s="228"/>
      <c r="BH82" s="228">
        <f t="shared" ref="BH82" si="767">IFERROR(BH81/BG81-1,"n/a ")</f>
        <v>7.882153891422683E-2</v>
      </c>
      <c r="BI82" s="228">
        <f t="shared" ref="BI82" si="768">IFERROR(BI81/BH81-1,"n/a ")</f>
        <v>0.19525416794517736</v>
      </c>
      <c r="BJ82" s="228">
        <f t="shared" ref="BJ82" si="769">IFERROR(BJ81/BI81-1,"n/a ")</f>
        <v>0.22536938787152727</v>
      </c>
      <c r="BK82" s="228">
        <f t="shared" ref="BK82" si="770">IFERROR(BK81/BJ81-1,"n/a ")</f>
        <v>0.23278009264647692</v>
      </c>
      <c r="BL82" s="228">
        <f t="shared" ref="BL82:BM82" si="771">IFERROR(BL81/BK81-1,"n/a ")</f>
        <v>0.3201910912215109</v>
      </c>
      <c r="BM82" s="228">
        <f t="shared" si="771"/>
        <v>0.19261685451112753</v>
      </c>
      <c r="BN82" s="228">
        <f t="shared" ref="BN82" si="772">IFERROR(BN81/BM81-1,"n/a ")</f>
        <v>7.5686890613194446E-2</v>
      </c>
      <c r="BO82" s="228">
        <f t="shared" ref="BO82" si="773">IFERROR(BO81/BN81-1,"n/a ")</f>
        <v>0.25362900528463439</v>
      </c>
      <c r="BP82" s="228">
        <f t="shared" ref="BP82" si="774">IFERROR(BP81/BO81-1,"n/a ")</f>
        <v>0.15259310160513229</v>
      </c>
    </row>
    <row r="83" spans="2:69" s="3" customFormat="1" hidden="1" outlineLevel="1">
      <c r="B83" s="19" t="s">
        <v>123</v>
      </c>
      <c r="D83" s="228">
        <f t="shared" ref="D83:AQ83" si="775">IFERROR(D81/D19,"n/a ")</f>
        <v>0.30205643232902918</v>
      </c>
      <c r="E83" s="228">
        <f t="shared" si="775"/>
        <v>0.29655882469409572</v>
      </c>
      <c r="F83" s="228">
        <f t="shared" si="775"/>
        <v>0.29172282381372866</v>
      </c>
      <c r="G83" s="228">
        <f t="shared" si="775"/>
        <v>0.30271790065604498</v>
      </c>
      <c r="H83" s="228">
        <f t="shared" si="775"/>
        <v>0.30622947829259395</v>
      </c>
      <c r="I83" s="228">
        <f t="shared" si="775"/>
        <v>0.30608688918144505</v>
      </c>
      <c r="J83" s="228">
        <f t="shared" si="775"/>
        <v>0.28963467172152335</v>
      </c>
      <c r="K83" s="228">
        <f t="shared" si="775"/>
        <v>0.31197031829720756</v>
      </c>
      <c r="L83" s="228">
        <f t="shared" si="775"/>
        <v>0.3141250305648382</v>
      </c>
      <c r="M83" s="228">
        <f t="shared" si="775"/>
        <v>0.30012448993706342</v>
      </c>
      <c r="N83" s="228">
        <f t="shared" si="775"/>
        <v>0.30918378761325926</v>
      </c>
      <c r="O83" s="228">
        <f t="shared" si="775"/>
        <v>0.3449891972743892</v>
      </c>
      <c r="P83" s="228">
        <f t="shared" si="775"/>
        <v>0.34228441754916794</v>
      </c>
      <c r="Q83" s="228">
        <f t="shared" si="775"/>
        <v>0.3159126605278556</v>
      </c>
      <c r="R83" s="228">
        <f t="shared" si="775"/>
        <v>0.3382617513329626</v>
      </c>
      <c r="S83" s="228">
        <f t="shared" si="775"/>
        <v>0.3679152949550672</v>
      </c>
      <c r="T83" s="228">
        <f t="shared" si="775"/>
        <v>0.38378460142187265</v>
      </c>
      <c r="U83" s="228">
        <f t="shared" si="775"/>
        <v>0.37638866309001245</v>
      </c>
      <c r="V83" s="228">
        <f t="shared" si="775"/>
        <v>0.37049199051997372</v>
      </c>
      <c r="W83" s="228">
        <f t="shared" si="775"/>
        <v>0.35250966266137301</v>
      </c>
      <c r="X83" s="228">
        <f t="shared" si="775"/>
        <v>0.42730257845723207</v>
      </c>
      <c r="Y83" s="228">
        <f t="shared" si="775"/>
        <v>0.41547497446373849</v>
      </c>
      <c r="Z83" s="228">
        <f t="shared" si="775"/>
        <v>0.40876612477820939</v>
      </c>
      <c r="AA83" s="228">
        <f t="shared" si="775"/>
        <v>0.41374154966198645</v>
      </c>
      <c r="AB83" s="228">
        <f t="shared" si="775"/>
        <v>0.44658737339188381</v>
      </c>
      <c r="AC83" s="228">
        <f t="shared" si="775"/>
        <v>0.43007655428394681</v>
      </c>
      <c r="AD83" s="228">
        <f t="shared" si="775"/>
        <v>0.41256077795786061</v>
      </c>
      <c r="AE83" s="228">
        <f t="shared" si="775"/>
        <v>0.3959124650535043</v>
      </c>
      <c r="AF83" s="228">
        <f t="shared" si="775"/>
        <v>0.42931247755476637</v>
      </c>
      <c r="AG83" s="228">
        <f t="shared" si="775"/>
        <v>0.4089332094716287</v>
      </c>
      <c r="AH83" s="228">
        <f t="shared" si="775"/>
        <v>0.42287681858599618</v>
      </c>
      <c r="AI83" s="228">
        <f t="shared" si="775"/>
        <v>0.4316503230169606</v>
      </c>
      <c r="AJ83" s="228">
        <f t="shared" si="775"/>
        <v>0.47587451563246458</v>
      </c>
      <c r="AK83" s="228">
        <f t="shared" si="775"/>
        <v>0.45407932924862948</v>
      </c>
      <c r="AL83" s="228">
        <f t="shared" si="775"/>
        <v>0.46107213294965887</v>
      </c>
      <c r="AM83" s="228">
        <f t="shared" si="775"/>
        <v>0.44594991271030637</v>
      </c>
      <c r="AN83" s="228">
        <f t="shared" si="775"/>
        <v>0.47971334908896851</v>
      </c>
      <c r="AO83" s="228">
        <f t="shared" si="775"/>
        <v>0.46226445246422182</v>
      </c>
      <c r="AP83" s="228">
        <f t="shared" si="775"/>
        <v>0.47020530793406384</v>
      </c>
      <c r="AQ83" s="228">
        <f t="shared" si="775"/>
        <v>0.45439249032650031</v>
      </c>
      <c r="AR83" s="228"/>
      <c r="AS83" s="228">
        <f t="shared" ref="AS83:BE83" si="776">IFERROR(AS81/AS19,"n/a ")</f>
        <v>0.36634161053583997</v>
      </c>
      <c r="AT83" s="228">
        <f t="shared" si="776"/>
        <v>0.36990199177995575</v>
      </c>
      <c r="AU83" s="228">
        <f t="shared" si="776"/>
        <v>0.3606666405852666</v>
      </c>
      <c r="AV83" s="228">
        <f t="shared" si="776"/>
        <v>0.36860311155246606</v>
      </c>
      <c r="AW83" s="228">
        <f t="shared" si="776"/>
        <v>0.348460735492924</v>
      </c>
      <c r="AX83" s="228">
        <f t="shared" si="776"/>
        <v>0.38566673068305485</v>
      </c>
      <c r="AY83" s="228">
        <f t="shared" si="776"/>
        <v>0.38833049769097694</v>
      </c>
      <c r="AZ83" s="228">
        <f t="shared" si="776"/>
        <v>0.38371732895250665</v>
      </c>
      <c r="BA83" s="228">
        <f t="shared" si="776"/>
        <v>0.34869161417170058</v>
      </c>
      <c r="BB83" s="228">
        <f t="shared" si="776"/>
        <v>0.32114518673776099</v>
      </c>
      <c r="BC83" s="228">
        <f t="shared" si="776"/>
        <v>0.30104723231459712</v>
      </c>
      <c r="BD83" s="228">
        <f t="shared" si="776"/>
        <v>0.30376347009123233</v>
      </c>
      <c r="BE83" s="228">
        <f t="shared" si="776"/>
        <v>0.30353725027675182</v>
      </c>
      <c r="BF83" s="228"/>
      <c r="BG83" s="228">
        <f t="shared" ref="BG83:BP83" si="777">IFERROR(BG81/BG19,"n/a ")</f>
        <v>0.29826447550299495</v>
      </c>
      <c r="BH83" s="228">
        <f t="shared" si="777"/>
        <v>0.30372472067183731</v>
      </c>
      <c r="BI83" s="228">
        <f t="shared" si="777"/>
        <v>0.31766944545125048</v>
      </c>
      <c r="BJ83" s="228">
        <f t="shared" si="777"/>
        <v>0.3413698020549415</v>
      </c>
      <c r="BK83" s="228">
        <f t="shared" si="777"/>
        <v>0.37030381428521486</v>
      </c>
      <c r="BL83" s="228">
        <f t="shared" si="777"/>
        <v>0.41594878872971303</v>
      </c>
      <c r="BM83" s="228">
        <f t="shared" si="777"/>
        <v>0.4205527815604983</v>
      </c>
      <c r="BN83" s="228">
        <f t="shared" si="777"/>
        <v>0.42325460679989618</v>
      </c>
      <c r="BO83" s="228">
        <f t="shared" si="777"/>
        <v>0.45872259527908554</v>
      </c>
      <c r="BP83" s="228">
        <f t="shared" si="777"/>
        <v>0.46628441657065972</v>
      </c>
      <c r="BQ83" s="989"/>
    </row>
    <row r="84" spans="2:69" hidden="1" outlineLevel="1">
      <c r="B84" s="17"/>
    </row>
    <row r="85" spans="2:69" collapsed="1">
      <c r="B85" s="954" t="s">
        <v>305</v>
      </c>
      <c r="AI85" s="9"/>
      <c r="AJ85" s="9"/>
      <c r="AK85" s="9"/>
      <c r="AL85" s="9"/>
      <c r="AM85" s="9"/>
    </row>
    <row r="86" spans="2:69" s="3" customFormat="1">
      <c r="B86" t="s">
        <v>306</v>
      </c>
      <c r="C86"/>
      <c r="D86" s="8">
        <f t="shared" ref="D86:S86" si="778">+D88</f>
        <v>1461</v>
      </c>
      <c r="E86" s="8">
        <f t="shared" si="778"/>
        <v>1544</v>
      </c>
      <c r="F86" s="8">
        <f t="shared" si="778"/>
        <v>1707</v>
      </c>
      <c r="G86" s="8">
        <f t="shared" si="778"/>
        <v>1910</v>
      </c>
      <c r="H86" s="8">
        <f t="shared" si="778"/>
        <v>1816</v>
      </c>
      <c r="I86" s="8">
        <f t="shared" si="778"/>
        <v>2166</v>
      </c>
      <c r="J86" s="8">
        <f t="shared" si="778"/>
        <v>2453</v>
      </c>
      <c r="K86" s="8">
        <f t="shared" si="778"/>
        <v>2343</v>
      </c>
      <c r="L86" s="8">
        <f t="shared" si="778"/>
        <v>2499</v>
      </c>
      <c r="M86" s="8">
        <f t="shared" si="778"/>
        <v>2536</v>
      </c>
      <c r="N86" s="8">
        <f t="shared" si="778"/>
        <v>2710</v>
      </c>
      <c r="O86" s="8">
        <f t="shared" si="778"/>
        <v>2516</v>
      </c>
      <c r="P86" s="8">
        <f t="shared" si="778"/>
        <v>2837</v>
      </c>
      <c r="Q86" s="8">
        <f t="shared" si="778"/>
        <v>2995</v>
      </c>
      <c r="R86" s="8">
        <f t="shared" si="778"/>
        <v>2926</v>
      </c>
      <c r="S86" s="8">
        <f t="shared" si="778"/>
        <v>2924</v>
      </c>
      <c r="T86" s="8">
        <f>+T88</f>
        <v>2971</v>
      </c>
      <c r="U86" s="8">
        <f t="shared" ref="U86:AJ86" si="779">+U88</f>
        <v>3203</v>
      </c>
      <c r="V86" s="8">
        <f t="shared" si="779"/>
        <v>3118</v>
      </c>
      <c r="W86" s="8">
        <f t="shared" si="779"/>
        <v>3504</v>
      </c>
      <c r="X86" s="8">
        <f t="shared" si="779"/>
        <v>2645</v>
      </c>
      <c r="Y86" s="8">
        <f t="shared" si="779"/>
        <v>2761</v>
      </c>
      <c r="Z86" s="8">
        <f t="shared" si="779"/>
        <v>2936</v>
      </c>
      <c r="AA86" s="8">
        <f t="shared" si="779"/>
        <v>3344</v>
      </c>
      <c r="AB86" s="8">
        <f t="shared" si="779"/>
        <v>3212</v>
      </c>
      <c r="AC86" s="8">
        <f t="shared" si="779"/>
        <v>3496</v>
      </c>
      <c r="AD86" s="8">
        <f t="shared" si="779"/>
        <v>3773</v>
      </c>
      <c r="AE86" s="8">
        <f t="shared" si="779"/>
        <v>3979</v>
      </c>
      <c r="AF86" s="8">
        <f t="shared" si="779"/>
        <v>2790</v>
      </c>
      <c r="AG86" s="8">
        <f t="shared" si="779"/>
        <v>3648</v>
      </c>
      <c r="AH86" s="8">
        <f t="shared" si="779"/>
        <v>3549</v>
      </c>
      <c r="AI86" s="8">
        <f t="shared" si="779"/>
        <v>3874</v>
      </c>
      <c r="AJ86" s="8">
        <f t="shared" si="779"/>
        <v>3921</v>
      </c>
      <c r="AK86" s="8">
        <f>+AK88-AK87</f>
        <v>5332</v>
      </c>
      <c r="AL86" s="8">
        <f t="shared" ref="AL86" si="780">+AL88-AL87</f>
        <v>5230</v>
      </c>
      <c r="AM86" s="8">
        <f t="shared" ref="AM86" si="781">+AM88-AM87</f>
        <v>5563</v>
      </c>
      <c r="AN86" s="8">
        <f t="shared" ref="AN86" si="782">+AN88-AN87</f>
        <v>6576</v>
      </c>
      <c r="AO86" s="8">
        <f t="shared" ref="AO86" si="783">+AO88-AO87</f>
        <v>7176</v>
      </c>
      <c r="AP86" s="8">
        <f t="shared" ref="AP86" si="784">+AP88-AP87</f>
        <v>7590.6788454538837</v>
      </c>
      <c r="AQ86" s="8">
        <f t="shared" ref="AQ86" si="785">+AQ88-AQ87</f>
        <v>8120.1632598092747</v>
      </c>
      <c r="AR86" s="228"/>
      <c r="AS86" s="228"/>
      <c r="AT86" s="228"/>
      <c r="AU86" s="228"/>
      <c r="AV86" s="228"/>
      <c r="AW86" s="228"/>
      <c r="AX86" s="228"/>
      <c r="AY86" s="228"/>
      <c r="AZ86" s="228"/>
      <c r="BA86" s="8"/>
      <c r="BB86" s="8"/>
      <c r="BC86" s="8"/>
      <c r="BD86" s="8"/>
      <c r="BE86" s="8"/>
      <c r="BF86" s="8"/>
      <c r="BG86" s="8"/>
      <c r="BH86" s="8"/>
      <c r="BI86" s="8">
        <f>+BI88</f>
        <v>10261</v>
      </c>
      <c r="BJ86" s="8">
        <f>+BJ88</f>
        <v>11682</v>
      </c>
      <c r="BK86" s="8">
        <f t="shared" ref="BK86:BK87" si="786">SUM(T86:W86)</f>
        <v>12796</v>
      </c>
      <c r="BL86" s="8">
        <f t="shared" ref="BL86:BL87" si="787">SUM(X86:AA86)</f>
        <v>11686</v>
      </c>
      <c r="BM86" s="8">
        <f t="shared" ref="BM86:BM87" si="788">SUM(AB86:AE86)</f>
        <v>14460</v>
      </c>
      <c r="BN86" s="8">
        <f t="shared" ref="BN86:BN87" si="789">SUM(AF86:AI86)</f>
        <v>13861</v>
      </c>
      <c r="BO86" s="8">
        <f t="shared" ref="BO86:BO87" si="790">SUM(AJ86:AM86)</f>
        <v>20046</v>
      </c>
      <c r="BP86" s="8">
        <f>+SUM(AN86:AQ86)</f>
        <v>29462.84210526316</v>
      </c>
    </row>
    <row r="87" spans="2:69" s="3" customFormat="1" ht="11.45">
      <c r="B87" t="s">
        <v>307</v>
      </c>
      <c r="C87"/>
      <c r="D87" s="1243">
        <v>104</v>
      </c>
      <c r="E87" s="1243">
        <v>128</v>
      </c>
      <c r="F87" s="1243">
        <v>235</v>
      </c>
      <c r="G87" s="1243">
        <v>318</v>
      </c>
      <c r="H87" s="1243">
        <v>305</v>
      </c>
      <c r="I87" s="1243">
        <v>342</v>
      </c>
      <c r="J87" s="1243">
        <v>313</v>
      </c>
      <c r="K87" s="1243">
        <v>325</v>
      </c>
      <c r="L87" s="1243">
        <v>244</v>
      </c>
      <c r="M87" s="1243">
        <v>329</v>
      </c>
      <c r="N87" s="1243">
        <v>305</v>
      </c>
      <c r="O87" s="1243">
        <v>168</v>
      </c>
      <c r="P87" s="1243">
        <v>150</v>
      </c>
      <c r="Q87" s="1243">
        <v>375</v>
      </c>
      <c r="R87" s="1243">
        <v>191</v>
      </c>
      <c r="S87" s="1243">
        <v>128</v>
      </c>
      <c r="T87" s="1243">
        <v>90</v>
      </c>
      <c r="U87" s="1243">
        <v>144</v>
      </c>
      <c r="V87" s="1243">
        <v>139</v>
      </c>
      <c r="W87" s="1243">
        <v>72</v>
      </c>
      <c r="X87" s="1243">
        <v>82</v>
      </c>
      <c r="Y87" s="1243">
        <v>153</v>
      </c>
      <c r="Z87" s="1243">
        <v>139</v>
      </c>
      <c r="AA87" s="1243">
        <v>109</v>
      </c>
      <c r="AB87" s="1243">
        <v>96</v>
      </c>
      <c r="AC87" s="1243">
        <v>96</v>
      </c>
      <c r="AD87" s="1243">
        <v>99</v>
      </c>
      <c r="AE87" s="1243">
        <v>83</v>
      </c>
      <c r="AF87" s="1243">
        <v>37</v>
      </c>
      <c r="AG87" s="1243">
        <v>100</v>
      </c>
      <c r="AH87" s="1243">
        <v>123</v>
      </c>
      <c r="AI87" s="1243">
        <v>127</v>
      </c>
      <c r="AJ87" s="1243">
        <f>+AI87</f>
        <v>127</v>
      </c>
      <c r="AK87" s="58">
        <f>+AJ87</f>
        <v>127</v>
      </c>
      <c r="AL87" s="58">
        <f t="shared" ref="AL87:AQ87" si="791">+AK87</f>
        <v>127</v>
      </c>
      <c r="AM87" s="58">
        <f t="shared" si="791"/>
        <v>127</v>
      </c>
      <c r="AN87" s="58">
        <f t="shared" si="791"/>
        <v>127</v>
      </c>
      <c r="AO87" s="58">
        <f t="shared" si="791"/>
        <v>127</v>
      </c>
      <c r="AP87" s="58">
        <f t="shared" si="791"/>
        <v>127</v>
      </c>
      <c r="AQ87" s="58">
        <f t="shared" si="791"/>
        <v>127</v>
      </c>
      <c r="AR87" s="228"/>
      <c r="AS87" s="228"/>
      <c r="AT87" s="228"/>
      <c r="AU87" s="228"/>
      <c r="AV87" s="228"/>
      <c r="AW87" s="228"/>
      <c r="AX87" s="228"/>
      <c r="AY87" s="228"/>
      <c r="AZ87" s="228"/>
      <c r="BA87" s="10"/>
      <c r="BB87" s="10"/>
      <c r="BC87" s="10"/>
      <c r="BD87" s="10"/>
      <c r="BE87" s="10"/>
      <c r="BF87" s="10"/>
      <c r="BG87" s="10"/>
      <c r="BH87" s="10"/>
      <c r="BI87" s="1243">
        <f>+SUM(L87:O87)</f>
        <v>1046</v>
      </c>
      <c r="BJ87" s="1243">
        <f>+SUM(P87:S87)</f>
        <v>844</v>
      </c>
      <c r="BK87" s="1243">
        <f t="shared" si="786"/>
        <v>445</v>
      </c>
      <c r="BL87" s="1243">
        <f t="shared" si="787"/>
        <v>483</v>
      </c>
      <c r="BM87" s="1243">
        <f t="shared" si="788"/>
        <v>374</v>
      </c>
      <c r="BN87" s="1243">
        <f t="shared" si="789"/>
        <v>387</v>
      </c>
      <c r="BO87" s="58">
        <f t="shared" si="790"/>
        <v>508</v>
      </c>
      <c r="BP87" s="58">
        <f>+SUM(AN87:AQ87)</f>
        <v>508</v>
      </c>
    </row>
    <row r="88" spans="2:69" ht="11.45">
      <c r="B88" s="12" t="s">
        <v>308</v>
      </c>
      <c r="D88" s="10">
        <f t="shared" ref="D88:V88" si="792">+D1142</f>
        <v>1461</v>
      </c>
      <c r="E88" s="10">
        <f t="shared" si="792"/>
        <v>1544</v>
      </c>
      <c r="F88" s="10">
        <f t="shared" si="792"/>
        <v>1707</v>
      </c>
      <c r="G88" s="10">
        <f t="shared" si="792"/>
        <v>1910</v>
      </c>
      <c r="H88" s="10">
        <f t="shared" si="792"/>
        <v>1816</v>
      </c>
      <c r="I88" s="10">
        <f t="shared" si="792"/>
        <v>2166</v>
      </c>
      <c r="J88" s="10">
        <f t="shared" si="792"/>
        <v>2453</v>
      </c>
      <c r="K88" s="10">
        <f t="shared" si="792"/>
        <v>2343</v>
      </c>
      <c r="L88" s="10">
        <f t="shared" si="792"/>
        <v>2499</v>
      </c>
      <c r="M88" s="10">
        <f t="shared" si="792"/>
        <v>2536</v>
      </c>
      <c r="N88" s="10">
        <f t="shared" si="792"/>
        <v>2710</v>
      </c>
      <c r="O88" s="10">
        <f t="shared" si="792"/>
        <v>2516</v>
      </c>
      <c r="P88" s="10">
        <f t="shared" si="792"/>
        <v>2837</v>
      </c>
      <c r="Q88" s="10">
        <f t="shared" si="792"/>
        <v>2995</v>
      </c>
      <c r="R88" s="10">
        <f t="shared" si="792"/>
        <v>2926</v>
      </c>
      <c r="S88" s="10">
        <f t="shared" si="792"/>
        <v>2924</v>
      </c>
      <c r="T88" s="10">
        <f t="shared" si="792"/>
        <v>2971</v>
      </c>
      <c r="U88" s="10">
        <f t="shared" si="792"/>
        <v>3203</v>
      </c>
      <c r="V88" s="10">
        <f t="shared" si="792"/>
        <v>3118</v>
      </c>
      <c r="W88" s="10">
        <f t="shared" ref="W88:X88" si="793">+W1142</f>
        <v>3504</v>
      </c>
      <c r="X88" s="10">
        <f t="shared" si="793"/>
        <v>2645</v>
      </c>
      <c r="Y88" s="10">
        <f t="shared" ref="Y88:AB88" si="794">+Y1142</f>
        <v>2761</v>
      </c>
      <c r="Z88" s="10">
        <f t="shared" si="794"/>
        <v>2936</v>
      </c>
      <c r="AA88" s="10">
        <f t="shared" si="794"/>
        <v>3344</v>
      </c>
      <c r="AB88" s="10">
        <f t="shared" si="794"/>
        <v>3212</v>
      </c>
      <c r="AC88" s="10">
        <f t="shared" ref="AC88:AD88" si="795">+AC1142</f>
        <v>3496</v>
      </c>
      <c r="AD88" s="10">
        <f t="shared" si="795"/>
        <v>3773</v>
      </c>
      <c r="AE88" s="10">
        <f t="shared" ref="AE88:AI88" si="796">+AE1142</f>
        <v>3979</v>
      </c>
      <c r="AF88" s="10">
        <f t="shared" si="796"/>
        <v>2790</v>
      </c>
      <c r="AG88" s="10">
        <f t="shared" si="796"/>
        <v>3648</v>
      </c>
      <c r="AH88" s="10">
        <f t="shared" si="796"/>
        <v>3549</v>
      </c>
      <c r="AI88" s="10">
        <f t="shared" si="796"/>
        <v>3874</v>
      </c>
      <c r="AJ88" s="10">
        <f t="shared" ref="AJ88" si="797">+AJ1142</f>
        <v>3921</v>
      </c>
      <c r="AK88" s="58">
        <f>+AK1142-500</f>
        <v>5459</v>
      </c>
      <c r="AL88" s="58">
        <f>+AL1142-670</f>
        <v>5357</v>
      </c>
      <c r="AM88" s="58">
        <f>+AM1142-690</f>
        <v>5690</v>
      </c>
      <c r="AN88" s="58">
        <f>+AN1142-680</f>
        <v>6703</v>
      </c>
      <c r="AO88" s="34">
        <f>+AN88+600</f>
        <v>7303</v>
      </c>
      <c r="AP88" s="34">
        <f>+BP88-AQ88-AO88-AN88</f>
        <v>7717.6788454538837</v>
      </c>
      <c r="AQ88" s="34">
        <f t="shared" ref="AQ88" si="798">+$BP$88*(AE88/$BM$88)</f>
        <v>8247.1632598092747</v>
      </c>
      <c r="AS88" s="10">
        <f t="shared" ref="AS88:BE88" si="799">+AS1142</f>
        <v>855</v>
      </c>
      <c r="AT88" s="10">
        <f t="shared" si="799"/>
        <v>903</v>
      </c>
      <c r="AU88" s="10">
        <f t="shared" si="799"/>
        <v>1440</v>
      </c>
      <c r="AV88" s="10">
        <f t="shared" si="799"/>
        <v>2056</v>
      </c>
      <c r="AW88" s="10">
        <f t="shared" si="799"/>
        <v>2562</v>
      </c>
      <c r="AX88" s="10">
        <f t="shared" si="799"/>
        <v>2673</v>
      </c>
      <c r="AY88" s="10">
        <f t="shared" si="799"/>
        <v>2766</v>
      </c>
      <c r="AZ88" s="10">
        <f t="shared" si="799"/>
        <v>2967</v>
      </c>
      <c r="BA88" s="10">
        <f t="shared" si="799"/>
        <v>3755</v>
      </c>
      <c r="BB88" s="10">
        <f t="shared" si="799"/>
        <v>5212</v>
      </c>
      <c r="BC88" s="10">
        <f t="shared" si="799"/>
        <v>5957</v>
      </c>
      <c r="BD88" s="10">
        <f t="shared" si="799"/>
        <v>6622</v>
      </c>
      <c r="BE88" s="10">
        <f t="shared" si="799"/>
        <v>8778</v>
      </c>
      <c r="BG88" s="10">
        <f>+BD88</f>
        <v>6622</v>
      </c>
      <c r="BH88" s="10">
        <f>+BH1142</f>
        <v>8778</v>
      </c>
      <c r="BI88" s="10">
        <f>+BI1142</f>
        <v>10261</v>
      </c>
      <c r="BJ88" s="10">
        <f>+BJ1142</f>
        <v>11682</v>
      </c>
      <c r="BK88" s="10">
        <f>SUM(T88:W88)</f>
        <v>12796</v>
      </c>
      <c r="BL88" s="10">
        <f>SUM(X88:AA88)</f>
        <v>11686</v>
      </c>
      <c r="BM88" s="10">
        <f>SUM(AB88:AE88)</f>
        <v>14460</v>
      </c>
      <c r="BN88" s="10">
        <f>SUM(AF88:AI88)</f>
        <v>13861</v>
      </c>
      <c r="BO88" s="10">
        <f>SUM(AJ88:AM88)</f>
        <v>20427</v>
      </c>
      <c r="BP88" s="993">
        <f>+Base!K28</f>
        <v>29970.842105263157</v>
      </c>
    </row>
    <row r="89" spans="2:69">
      <c r="B89" s="843" t="s">
        <v>121</v>
      </c>
      <c r="D89" s="8">
        <f t="shared" ref="D89:AQ89" si="800">+D81+D88</f>
        <v>7777</v>
      </c>
      <c r="E89" s="8">
        <f t="shared" si="800"/>
        <v>9033</v>
      </c>
      <c r="F89" s="8">
        <f t="shared" si="800"/>
        <v>7984</v>
      </c>
      <c r="G89" s="8">
        <f t="shared" si="800"/>
        <v>9016</v>
      </c>
      <c r="H89" s="8">
        <f t="shared" si="800"/>
        <v>8531</v>
      </c>
      <c r="I89" s="8">
        <f t="shared" si="800"/>
        <v>10071</v>
      </c>
      <c r="J89" s="8">
        <f t="shared" si="800"/>
        <v>9176</v>
      </c>
      <c r="K89" s="8">
        <f t="shared" si="800"/>
        <v>10331</v>
      </c>
      <c r="L89" s="8">
        <f t="shared" si="800"/>
        <v>10207</v>
      </c>
      <c r="M89" s="8">
        <f t="shared" si="800"/>
        <v>11215</v>
      </c>
      <c r="N89" s="8">
        <f t="shared" si="800"/>
        <v>11002</v>
      </c>
      <c r="O89" s="8">
        <f t="shared" si="800"/>
        <v>12895</v>
      </c>
      <c r="P89" s="8">
        <f t="shared" si="800"/>
        <v>12792</v>
      </c>
      <c r="Q89" s="8">
        <f t="shared" si="800"/>
        <v>13253</v>
      </c>
      <c r="R89" s="8">
        <f t="shared" si="800"/>
        <v>13267</v>
      </c>
      <c r="S89" s="8">
        <f t="shared" si="800"/>
        <v>15329</v>
      </c>
      <c r="T89" s="8">
        <f t="shared" si="800"/>
        <v>15657</v>
      </c>
      <c r="U89" s="8">
        <f t="shared" si="800"/>
        <v>17094</v>
      </c>
      <c r="V89" s="8">
        <f t="shared" si="800"/>
        <v>16093</v>
      </c>
      <c r="W89" s="8">
        <f t="shared" si="800"/>
        <v>16911</v>
      </c>
      <c r="X89" s="8">
        <f t="shared" si="800"/>
        <v>18521</v>
      </c>
      <c r="Y89" s="8">
        <f t="shared" si="800"/>
        <v>20658</v>
      </c>
      <c r="Z89" s="8">
        <f t="shared" si="800"/>
        <v>19984</v>
      </c>
      <c r="AA89" s="8">
        <f t="shared" si="800"/>
        <v>22439</v>
      </c>
      <c r="AB89" s="8">
        <f t="shared" si="800"/>
        <v>23450</v>
      </c>
      <c r="AC89" s="8">
        <f t="shared" si="800"/>
        <v>25743</v>
      </c>
      <c r="AD89" s="8">
        <f t="shared" si="800"/>
        <v>24137</v>
      </c>
      <c r="AE89" s="8">
        <f t="shared" si="800"/>
        <v>24513</v>
      </c>
      <c r="AF89" s="8">
        <f t="shared" si="800"/>
        <v>24308</v>
      </c>
      <c r="AG89" s="8">
        <f t="shared" si="800"/>
        <v>25218</v>
      </c>
      <c r="AH89" s="8">
        <f t="shared" si="800"/>
        <v>25901</v>
      </c>
      <c r="AI89" s="11">
        <f t="shared" si="800"/>
        <v>28128</v>
      </c>
      <c r="AJ89" s="11">
        <f t="shared" si="800"/>
        <v>30816</v>
      </c>
      <c r="AK89" s="8">
        <f t="shared" si="800"/>
        <v>33621</v>
      </c>
      <c r="AL89" s="8">
        <f t="shared" si="800"/>
        <v>33878</v>
      </c>
      <c r="AM89" s="8">
        <f t="shared" si="800"/>
        <v>34555</v>
      </c>
      <c r="AN89" s="8">
        <f>+AN81+AN88</f>
        <v>38165</v>
      </c>
      <c r="AO89" s="8">
        <f t="shared" si="800"/>
        <v>39175.765274016638</v>
      </c>
      <c r="AP89" s="8">
        <f t="shared" si="800"/>
        <v>40482.184658974125</v>
      </c>
      <c r="AQ89" s="8">
        <f t="shared" si="800"/>
        <v>41748.918296058291</v>
      </c>
      <c r="AS89" s="8">
        <f t="shared" ref="AS89:BE89" si="801">+AS81+AS88</f>
        <v>15431</v>
      </c>
      <c r="AT89" s="8">
        <f t="shared" si="801"/>
        <v>17283</v>
      </c>
      <c r="AU89" s="8">
        <f t="shared" si="801"/>
        <v>19878</v>
      </c>
      <c r="AV89" s="8">
        <f t="shared" si="801"/>
        <v>24327</v>
      </c>
      <c r="AW89" s="8">
        <f t="shared" si="801"/>
        <v>22925</v>
      </c>
      <c r="AX89" s="8">
        <f t="shared" si="801"/>
        <v>26771</v>
      </c>
      <c r="AY89" s="8">
        <f t="shared" si="801"/>
        <v>29927</v>
      </c>
      <c r="AZ89" s="8">
        <f t="shared" si="801"/>
        <v>31463</v>
      </c>
      <c r="BA89" s="8">
        <f t="shared" si="801"/>
        <v>30712</v>
      </c>
      <c r="BB89" s="8">
        <f t="shared" si="801"/>
        <v>33098</v>
      </c>
      <c r="BC89" s="8">
        <f t="shared" si="801"/>
        <v>34129</v>
      </c>
      <c r="BD89" s="8">
        <f t="shared" si="801"/>
        <v>34557</v>
      </c>
      <c r="BE89" s="8">
        <f t="shared" si="801"/>
        <v>38117</v>
      </c>
      <c r="BG89" s="8">
        <f>+BG81+BG88</f>
        <v>33810</v>
      </c>
      <c r="BH89" s="8">
        <f>+BH81+BH88</f>
        <v>38109</v>
      </c>
      <c r="BI89" s="8">
        <f>+BI81+BI88</f>
        <v>45319</v>
      </c>
      <c r="BJ89" s="8">
        <f>+BJ81+BJ88</f>
        <v>54641</v>
      </c>
      <c r="BK89" s="11">
        <f>SUM(T89:W89)</f>
        <v>65755</v>
      </c>
      <c r="BL89" s="11">
        <f>SUM(X89:AA89)</f>
        <v>81602</v>
      </c>
      <c r="BM89" s="11">
        <f>SUM(AB89:AE89)</f>
        <v>97843</v>
      </c>
      <c r="BN89" s="11">
        <f>SUM(AF89:AI89)</f>
        <v>103555</v>
      </c>
      <c r="BO89" s="11">
        <f>SUM(AJ89:AM89)</f>
        <v>132870</v>
      </c>
      <c r="BP89" s="11">
        <f>+SUM(AN89:AQ89)</f>
        <v>159571.86822904905</v>
      </c>
    </row>
    <row r="90" spans="2:69" s="3" customFormat="1">
      <c r="B90" s="13" t="s">
        <v>113</v>
      </c>
      <c r="D90" s="228"/>
      <c r="E90" s="228"/>
      <c r="F90" s="228"/>
      <c r="G90" s="228"/>
      <c r="H90" s="228">
        <f>IFERROR(H89/D89-1,"n/a ")</f>
        <v>9.6952552398096969E-2</v>
      </c>
      <c r="I90" s="228">
        <f t="shared" ref="I90" si="802">IFERROR(I89/E89-1,"n/a ")</f>
        <v>0.11491198937230163</v>
      </c>
      <c r="J90" s="228">
        <f t="shared" ref="J90" si="803">IFERROR(J89/F89-1,"n/a ")</f>
        <v>0.14929859719438876</v>
      </c>
      <c r="K90" s="228">
        <f t="shared" ref="K90" si="804">IFERROR(K89/G89-1,"n/a ")</f>
        <v>0.145851818988465</v>
      </c>
      <c r="L90" s="228">
        <f t="shared" ref="L90" si="805">IFERROR(L89/H89-1,"n/a ")</f>
        <v>0.19645996952291633</v>
      </c>
      <c r="M90" s="228">
        <f t="shared" ref="M90" si="806">IFERROR(M89/I89-1,"n/a ")</f>
        <v>0.11359348624764176</v>
      </c>
      <c r="N90" s="228">
        <f t="shared" ref="N90" si="807">IFERROR(N89/J89-1,"n/a ")</f>
        <v>0.19899738448125537</v>
      </c>
      <c r="O90" s="228">
        <f t="shared" ref="O90" si="808">IFERROR(O89/K89-1,"n/a ")</f>
        <v>0.24818507404897883</v>
      </c>
      <c r="P90" s="228">
        <f t="shared" ref="P90" si="809">IFERROR(P89/L89-1,"n/a ")</f>
        <v>0.2532575683354561</v>
      </c>
      <c r="Q90" s="228">
        <f t="shared" ref="Q90" si="810">IFERROR(Q89/M89-1,"n/a ")</f>
        <v>0.18172090949621045</v>
      </c>
      <c r="R90" s="228">
        <f t="shared" ref="R90" si="811">IFERROR(R89/N89-1,"n/a ")</f>
        <v>0.20587165969823662</v>
      </c>
      <c r="S90" s="228">
        <f t="shared" ref="S90" si="812">IFERROR(S89/O89-1,"n/a ")</f>
        <v>0.18875533152384638</v>
      </c>
      <c r="T90" s="228">
        <f t="shared" ref="T90" si="813">IFERROR(T89/P89-1,"n/a ")</f>
        <v>0.22396810506566611</v>
      </c>
      <c r="U90" s="228">
        <f t="shared" ref="U90" si="814">IFERROR(U89/Q89-1,"n/a ")</f>
        <v>0.28982117256470241</v>
      </c>
      <c r="V90" s="228">
        <f t="shared" ref="V90" si="815">IFERROR(V89/R89-1,"n/a ")</f>
        <v>0.21300972337378465</v>
      </c>
      <c r="W90" s="228">
        <f t="shared" ref="W90:X90" si="816">IFERROR(W89/S89-1,"n/a ")</f>
        <v>0.10320307913105875</v>
      </c>
      <c r="X90" s="228">
        <f t="shared" si="816"/>
        <v>0.18292137701986322</v>
      </c>
      <c r="Y90" s="228">
        <f t="shared" ref="Y90" si="817">IFERROR(Y89/U89-1,"n/a ")</f>
        <v>0.20849420849420852</v>
      </c>
      <c r="Z90" s="228">
        <f t="shared" ref="Z90" si="818">IFERROR(Z89/V89-1,"n/a ")</f>
        <v>0.24178214130367248</v>
      </c>
      <c r="AA90" s="228">
        <f t="shared" ref="AA90" si="819">IFERROR(AA89/W89-1,"n/a ")</f>
        <v>0.32688782449293363</v>
      </c>
      <c r="AB90" s="228">
        <f t="shared" ref="AB90" si="820">IFERROR(AB89/X89-1,"n/a ")</f>
        <v>0.2661303385346363</v>
      </c>
      <c r="AC90" s="228">
        <f t="shared" ref="AC90" si="821">IFERROR(AC89/Y89-1,"n/a ")</f>
        <v>0.24615161196630853</v>
      </c>
      <c r="AD90" s="228">
        <f t="shared" ref="AD90" si="822">IFERROR(AD89/Z89-1,"n/a ")</f>
        <v>0.20781625300240192</v>
      </c>
      <c r="AE90" s="228">
        <f t="shared" ref="AE90" si="823">IFERROR(AE89/AA89-1,"n/a ")</f>
        <v>9.2428361335175291E-2</v>
      </c>
      <c r="AF90" s="228">
        <f t="shared" ref="AF90" si="824">IFERROR(AF89/AB89-1,"n/a ")</f>
        <v>3.6588486140724852E-2</v>
      </c>
      <c r="AG90" s="228">
        <f t="shared" ref="AG90" si="825">IFERROR(AG89/AC89-1,"n/a ")</f>
        <v>-2.0393893485607717E-2</v>
      </c>
      <c r="AH90" s="228">
        <f t="shared" ref="AH90" si="826">IFERROR(AH89/AD89-1,"n/a ")</f>
        <v>7.3082818908729363E-2</v>
      </c>
      <c r="AI90" s="228">
        <f t="shared" ref="AI90" si="827">IFERROR(AI89/AE89-1,"n/a ")</f>
        <v>0.14747276955085065</v>
      </c>
      <c r="AJ90" s="228">
        <f t="shared" ref="AJ90" si="828">IFERROR(AJ89/AF89-1,"n/a ")</f>
        <v>0.26773078821787055</v>
      </c>
      <c r="AK90" s="228">
        <f t="shared" ref="AK90" si="829">IFERROR(AK89/AG89-1,"n/a ")</f>
        <v>0.33321437068760407</v>
      </c>
      <c r="AL90" s="228">
        <f t="shared" ref="AL90" si="830">IFERROR(AL89/AH89-1,"n/a ")</f>
        <v>0.30798038685765028</v>
      </c>
      <c r="AM90" s="228">
        <f t="shared" ref="AM90" si="831">IFERROR(AM89/AI89-1,"n/a ")</f>
        <v>0.2284911831626848</v>
      </c>
      <c r="AN90" s="228">
        <f t="shared" ref="AN90" si="832">IFERROR(AN89/AJ89-1,"n/a ")</f>
        <v>0.23848001038421596</v>
      </c>
      <c r="AO90" s="228">
        <f t="shared" ref="AO90" si="833">IFERROR(AO89/AK89-1,"n/a ")</f>
        <v>0.16521713435104957</v>
      </c>
      <c r="AP90" s="228">
        <f t="shared" ref="AP90" si="834">IFERROR(AP89/AL89-1,"n/a ")</f>
        <v>0.19494021662949779</v>
      </c>
      <c r="AQ90" s="228">
        <f t="shared" ref="AQ90" si="835">IFERROR(AQ89/AM89-1,"n/a ")</f>
        <v>0.20818747781965818</v>
      </c>
      <c r="AR90" s="228"/>
      <c r="AS90" s="228"/>
      <c r="AT90" s="228">
        <f>IFERROR(AT89/AS89-1,"n/a ")</f>
        <v>0.12001814529194488</v>
      </c>
      <c r="AU90" s="228">
        <f t="shared" ref="AU90" si="836">IFERROR(AU89/AT89-1,"n/a ")</f>
        <v>0.15014754382919637</v>
      </c>
      <c r="AV90" s="228">
        <f t="shared" ref="AV90" si="837">IFERROR(AV89/AU89-1,"n/a ")</f>
        <v>0.22381527316631455</v>
      </c>
      <c r="AW90" s="228">
        <f t="shared" ref="AW90" si="838">IFERROR(AW89/AV89-1,"n/a ")</f>
        <v>-5.7631438319562633E-2</v>
      </c>
      <c r="AX90" s="228">
        <f t="shared" ref="AX90" si="839">IFERROR(AX89/AW89-1,"n/a ")</f>
        <v>0.16776444929116674</v>
      </c>
      <c r="AY90" s="228">
        <f t="shared" ref="AY90" si="840">IFERROR(AY89/AX89-1,"n/a ")</f>
        <v>0.11788876022561734</v>
      </c>
      <c r="AZ90" s="228">
        <f t="shared" ref="AZ90" si="841">IFERROR(AZ89/AY89-1,"n/a ")</f>
        <v>5.1324890567046477E-2</v>
      </c>
      <c r="BA90" s="228">
        <f t="shared" ref="BA90" si="842">IFERROR(BA89/AZ89-1,"n/a ")</f>
        <v>-2.3869306804818358E-2</v>
      </c>
      <c r="BB90" s="228">
        <f t="shared" ref="BB90" si="843">IFERROR(BB89/BA89-1,"n/a ")</f>
        <v>7.7689502474602712E-2</v>
      </c>
      <c r="BC90" s="228">
        <f t="shared" ref="BC90" si="844">IFERROR(BC89/BB89-1,"n/a ")</f>
        <v>3.1149918424073997E-2</v>
      </c>
      <c r="BD90" s="228">
        <f t="shared" ref="BD90" si="845">IFERROR(BD89/BC89-1,"n/a ")</f>
        <v>1.2540654575287968E-2</v>
      </c>
      <c r="BE90" s="228">
        <f t="shared" ref="BE90" si="846">IFERROR(BE89/BD89-1,"n/a ")</f>
        <v>0.10301820181149979</v>
      </c>
      <c r="BF90" s="228"/>
      <c r="BG90" s="829">
        <f t="shared" ref="BG90" si="847">+BD90</f>
        <v>1.2540654575287968E-2</v>
      </c>
      <c r="BH90" s="228">
        <f t="shared" ref="BH90" si="848">IFERROR(BH89/BG89-1,"n/a ")</f>
        <v>0.12715173025732041</v>
      </c>
      <c r="BI90" s="228">
        <f t="shared" ref="BI90" si="849">IFERROR(BI89/BH89-1,"n/a ")</f>
        <v>0.18919415361200764</v>
      </c>
      <c r="BJ90" s="228">
        <f t="shared" ref="BJ90" si="850">IFERROR(BJ89/BI89-1,"n/a ")</f>
        <v>0.2056973896158345</v>
      </c>
      <c r="BK90" s="228">
        <f t="shared" ref="BK90" si="851">IFERROR(BK89/BJ89-1,"n/a ")</f>
        <v>0.20340037700627733</v>
      </c>
      <c r="BL90" s="228">
        <f t="shared" ref="BL90" si="852">IFERROR(BL89/BK89-1,"n/a ")</f>
        <v>0.24100068435860389</v>
      </c>
      <c r="BM90" s="228">
        <f t="shared" ref="BM90" si="853">IFERROR(BM89/BL89-1,"n/a ")</f>
        <v>0.1990269846327295</v>
      </c>
      <c r="BN90" s="228">
        <f t="shared" ref="BN90" si="854">IFERROR(BN89/BM89-1,"n/a ")</f>
        <v>5.8379240211358985E-2</v>
      </c>
      <c r="BO90" s="228">
        <f t="shared" ref="BO90" si="855">IFERROR(BO89/BN89-1,"n/a ")</f>
        <v>0.28308628265173086</v>
      </c>
      <c r="BP90" s="228">
        <f t="shared" ref="BP90" si="856">IFERROR(BP89/BO89-1,"n/a ")</f>
        <v>0.20096235590463651</v>
      </c>
    </row>
    <row r="91" spans="2:69" s="3" customFormat="1">
      <c r="B91" s="13" t="s">
        <v>123</v>
      </c>
      <c r="D91" s="228">
        <f t="shared" ref="D91:AQ91" si="857">IFERROR(D89/D19,"n/a ")</f>
        <v>0.37192730750836922</v>
      </c>
      <c r="E91" s="228">
        <f t="shared" si="857"/>
        <v>0.35770007523858549</v>
      </c>
      <c r="F91" s="228">
        <f t="shared" si="857"/>
        <v>0.37105544453223033</v>
      </c>
      <c r="G91" s="228">
        <f t="shared" si="857"/>
        <v>0.3840845190423447</v>
      </c>
      <c r="H91" s="228">
        <f t="shared" si="857"/>
        <v>0.38904596862458957</v>
      </c>
      <c r="I91" s="228">
        <f t="shared" si="857"/>
        <v>0.38995585843723379</v>
      </c>
      <c r="J91" s="228">
        <f t="shared" si="857"/>
        <v>0.39531276925728071</v>
      </c>
      <c r="K91" s="228">
        <f t="shared" si="857"/>
        <v>0.40347588361648118</v>
      </c>
      <c r="L91" s="228">
        <f t="shared" si="857"/>
        <v>0.41596707148096829</v>
      </c>
      <c r="M91" s="228">
        <f t="shared" si="857"/>
        <v>0.38782073449062865</v>
      </c>
      <c r="N91" s="228">
        <f t="shared" si="857"/>
        <v>0.41023155225772773</v>
      </c>
      <c r="O91" s="228">
        <f t="shared" si="857"/>
        <v>0.42861891307960776</v>
      </c>
      <c r="P91" s="228">
        <f t="shared" si="857"/>
        <v>0.43982945949663044</v>
      </c>
      <c r="Q91" s="228">
        <f t="shared" si="857"/>
        <v>0.40814880970712331</v>
      </c>
      <c r="R91" s="228">
        <f t="shared" si="857"/>
        <v>0.43397337345850645</v>
      </c>
      <c r="S91" s="228">
        <f t="shared" si="857"/>
        <v>0.45463712667200523</v>
      </c>
      <c r="T91" s="228">
        <f t="shared" si="857"/>
        <v>0.47366510361518682</v>
      </c>
      <c r="U91" s="228">
        <f t="shared" si="857"/>
        <v>0.46317671923264508</v>
      </c>
      <c r="V91" s="228">
        <f t="shared" si="857"/>
        <v>0.45952428542874274</v>
      </c>
      <c r="W91" s="228">
        <f t="shared" si="857"/>
        <v>0.44464018089553808</v>
      </c>
      <c r="X91" s="228">
        <f t="shared" si="857"/>
        <v>0.49849275986434838</v>
      </c>
      <c r="Y91" s="228">
        <f t="shared" si="857"/>
        <v>0.47957099080694587</v>
      </c>
      <c r="Z91" s="228">
        <f t="shared" si="857"/>
        <v>0.47916366949599576</v>
      </c>
      <c r="AA91" s="228">
        <f t="shared" si="857"/>
        <v>0.48619778124458313</v>
      </c>
      <c r="AB91" s="228">
        <f t="shared" si="857"/>
        <v>0.51746585166714476</v>
      </c>
      <c r="AC91" s="228">
        <f t="shared" si="857"/>
        <v>0.4976608413238478</v>
      </c>
      <c r="AD91" s="228">
        <f t="shared" si="857"/>
        <v>0.48899918962722855</v>
      </c>
      <c r="AE91" s="228">
        <f t="shared" si="857"/>
        <v>0.47263086860117615</v>
      </c>
      <c r="AF91" s="228">
        <f t="shared" si="857"/>
        <v>0.48497665695702485</v>
      </c>
      <c r="AG91" s="228">
        <f t="shared" si="857"/>
        <v>0.47809354086488332</v>
      </c>
      <c r="AH91" s="228">
        <f t="shared" si="857"/>
        <v>0.49002024329795485</v>
      </c>
      <c r="AI91" s="228">
        <f t="shared" si="857"/>
        <v>0.50059620210361455</v>
      </c>
      <c r="AJ91" s="228">
        <f t="shared" si="857"/>
        <v>0.54525187111842455</v>
      </c>
      <c r="AK91" s="228">
        <f t="shared" si="857"/>
        <v>0.54209932279909712</v>
      </c>
      <c r="AL91" s="228">
        <f t="shared" si="857"/>
        <v>0.54767370429047169</v>
      </c>
      <c r="AM91" s="228">
        <f t="shared" si="857"/>
        <v>0.53385758647859471</v>
      </c>
      <c r="AN91" s="228">
        <f t="shared" si="857"/>
        <v>0.58191659678280094</v>
      </c>
      <c r="AO91" s="228">
        <f t="shared" si="857"/>
        <v>0.56818300917942255</v>
      </c>
      <c r="AP91" s="228">
        <f t="shared" si="857"/>
        <v>0.58096216105789134</v>
      </c>
      <c r="AQ91" s="228">
        <f t="shared" si="857"/>
        <v>0.56625078096528036</v>
      </c>
      <c r="AR91" s="228"/>
      <c r="AS91" s="228">
        <f t="shared" ref="AS91:BE91" si="858">IFERROR(AS89/AS19,"n/a ")</f>
        <v>0.38783050165879157</v>
      </c>
      <c r="AT91" s="228">
        <f t="shared" si="858"/>
        <v>0.3902940246601328</v>
      </c>
      <c r="AU91" s="228">
        <f t="shared" si="858"/>
        <v>0.38883455263878564</v>
      </c>
      <c r="AV91" s="228">
        <f t="shared" si="858"/>
        <v>0.4026315789473684</v>
      </c>
      <c r="AW91" s="228">
        <f t="shared" si="858"/>
        <v>0.3923028218423259</v>
      </c>
      <c r="AX91" s="228">
        <f t="shared" si="858"/>
        <v>0.4284456820946162</v>
      </c>
      <c r="AY91" s="228">
        <f t="shared" si="858"/>
        <v>0.42787698554537268</v>
      </c>
      <c r="AZ91" s="228">
        <f t="shared" si="858"/>
        <v>0.42366992984393304</v>
      </c>
      <c r="BA91" s="228">
        <f t="shared" si="858"/>
        <v>0.39726293187080419</v>
      </c>
      <c r="BB91" s="228">
        <f t="shared" si="858"/>
        <v>0.38116844978291664</v>
      </c>
      <c r="BC91" s="228">
        <f t="shared" si="858"/>
        <v>0.36470399658046593</v>
      </c>
      <c r="BD91" s="228">
        <f t="shared" si="858"/>
        <v>0.37577069038635103</v>
      </c>
      <c r="BE91" s="228">
        <f t="shared" si="858"/>
        <v>0.39435322842629089</v>
      </c>
      <c r="BF91" s="228"/>
      <c r="BG91" s="228">
        <f t="shared" ref="BG91:BP91" si="859">IFERROR(BG89/BG19,"n/a ")</f>
        <v>0.37091076639533099</v>
      </c>
      <c r="BH91" s="228">
        <f t="shared" si="859"/>
        <v>0.39462157376438062</v>
      </c>
      <c r="BI91" s="228">
        <f t="shared" si="859"/>
        <v>0.41064697354113811</v>
      </c>
      <c r="BJ91" s="228">
        <f t="shared" si="859"/>
        <v>0.43419975683987189</v>
      </c>
      <c r="BK91" s="228">
        <f t="shared" si="859"/>
        <v>0.45977694647414608</v>
      </c>
      <c r="BL91" s="228">
        <f t="shared" si="859"/>
        <v>0.48547189567369475</v>
      </c>
      <c r="BM91" s="228">
        <f t="shared" si="859"/>
        <v>0.49348363342916224</v>
      </c>
      <c r="BN91" s="228">
        <f t="shared" si="859"/>
        <v>0.48866290729773731</v>
      </c>
      <c r="BO91" s="228">
        <f t="shared" si="859"/>
        <v>0.5420566085459485</v>
      </c>
      <c r="BP91" s="228">
        <f t="shared" si="859"/>
        <v>0.57411486393020539</v>
      </c>
    </row>
    <row r="92" spans="2:69" s="3" customFormat="1">
      <c r="B92" s="15"/>
      <c r="D92" s="228"/>
      <c r="E92" s="228"/>
      <c r="F92" s="228"/>
      <c r="G92" s="228"/>
      <c r="H92" s="228"/>
      <c r="I92" s="228"/>
      <c r="J92" s="228"/>
      <c r="K92" s="228"/>
      <c r="L92" s="228"/>
      <c r="M92" s="228"/>
      <c r="N92" s="228"/>
      <c r="O92" s="228"/>
      <c r="P92" s="228"/>
      <c r="Q92" s="228"/>
      <c r="R92" s="228"/>
      <c r="S92" s="228"/>
      <c r="T92" s="228"/>
      <c r="U92" s="228"/>
      <c r="V92" s="228"/>
      <c r="W92" s="228"/>
      <c r="X92" s="228"/>
      <c r="Y92" s="228"/>
      <c r="Z92" s="228"/>
      <c r="AA92" s="228"/>
      <c r="AB92" s="8"/>
      <c r="AC92" s="228"/>
      <c r="AD92" s="228"/>
      <c r="AE92" s="228"/>
      <c r="AF92" s="8"/>
      <c r="AG92" s="228"/>
      <c r="AH92" s="228"/>
      <c r="AI92" s="11"/>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2:69">
      <c r="B93" s="843" t="s">
        <v>131</v>
      </c>
      <c r="C93" s="8"/>
      <c r="D93" s="8">
        <f t="shared" ref="D93:AQ93" si="860">+D12-D89</f>
        <v>13133</v>
      </c>
      <c r="E93" s="8">
        <f t="shared" si="860"/>
        <v>16220</v>
      </c>
      <c r="F93" s="8">
        <f t="shared" si="860"/>
        <v>13533</v>
      </c>
      <c r="G93" s="8">
        <f t="shared" si="860"/>
        <v>14458</v>
      </c>
      <c r="H93" s="8">
        <f t="shared" si="860"/>
        <v>13397</v>
      </c>
      <c r="I93" s="8">
        <f t="shared" si="860"/>
        <v>15755</v>
      </c>
      <c r="J93" s="8">
        <f t="shared" si="860"/>
        <v>14036</v>
      </c>
      <c r="K93" s="8">
        <f t="shared" si="860"/>
        <v>15274</v>
      </c>
      <c r="L93" s="8">
        <f t="shared" si="860"/>
        <v>14331</v>
      </c>
      <c r="M93" s="8">
        <f t="shared" si="860"/>
        <v>17703</v>
      </c>
      <c r="N93" s="8">
        <f t="shared" si="860"/>
        <v>15817</v>
      </c>
      <c r="O93" s="8">
        <f t="shared" si="860"/>
        <v>17190</v>
      </c>
      <c r="P93" s="8">
        <f t="shared" si="860"/>
        <v>16292</v>
      </c>
      <c r="Q93" s="8">
        <f t="shared" si="860"/>
        <v>19218</v>
      </c>
      <c r="R93" s="8">
        <f t="shared" si="860"/>
        <v>17304</v>
      </c>
      <c r="S93" s="8">
        <f t="shared" si="860"/>
        <v>18388</v>
      </c>
      <c r="T93" s="8">
        <f t="shared" si="860"/>
        <v>17398</v>
      </c>
      <c r="U93" s="8">
        <f t="shared" si="860"/>
        <v>19812</v>
      </c>
      <c r="V93" s="8">
        <f t="shared" si="860"/>
        <v>18928</v>
      </c>
      <c r="W93" s="8">
        <f t="shared" si="860"/>
        <v>21122</v>
      </c>
      <c r="X93" s="8">
        <f t="shared" si="860"/>
        <v>18633</v>
      </c>
      <c r="Y93" s="8">
        <f t="shared" si="860"/>
        <v>22418</v>
      </c>
      <c r="Z93" s="8">
        <f t="shared" si="860"/>
        <v>21722</v>
      </c>
      <c r="AA93" s="8">
        <f t="shared" si="860"/>
        <v>23713</v>
      </c>
      <c r="AB93" s="8">
        <f t="shared" si="860"/>
        <v>21867</v>
      </c>
      <c r="AC93" s="8">
        <f t="shared" si="860"/>
        <v>25985</v>
      </c>
      <c r="AD93" s="8">
        <f t="shared" si="860"/>
        <v>25223</v>
      </c>
      <c r="AE93" s="8">
        <f t="shared" si="860"/>
        <v>27352</v>
      </c>
      <c r="AF93" s="8">
        <f t="shared" si="860"/>
        <v>25814</v>
      </c>
      <c r="AG93" s="8">
        <f t="shared" si="860"/>
        <v>27529</v>
      </c>
      <c r="AH93" s="8">
        <f t="shared" si="860"/>
        <v>26956</v>
      </c>
      <c r="AI93" s="11">
        <f t="shared" si="860"/>
        <v>28061</v>
      </c>
      <c r="AJ93" s="11">
        <f t="shared" si="860"/>
        <v>25701</v>
      </c>
      <c r="AK93" s="8">
        <f t="shared" si="860"/>
        <v>28399</v>
      </c>
      <c r="AL93" s="8">
        <f t="shared" si="860"/>
        <v>27980</v>
      </c>
      <c r="AM93" s="8">
        <f t="shared" si="860"/>
        <v>30172</v>
      </c>
      <c r="AN93" s="8">
        <f t="shared" si="860"/>
        <v>27420</v>
      </c>
      <c r="AO93" s="8">
        <f t="shared" si="860"/>
        <v>29773.437079983356</v>
      </c>
      <c r="AP93" s="8">
        <f t="shared" si="860"/>
        <v>29199.091287223309</v>
      </c>
      <c r="AQ93" s="8">
        <f t="shared" si="860"/>
        <v>31979.754051005766</v>
      </c>
      <c r="AS93" s="8">
        <f t="shared" ref="AS93:BP93" si="861">+AS12-AS89</f>
        <v>24357</v>
      </c>
      <c r="AT93" s="8">
        <f t="shared" si="861"/>
        <v>26999</v>
      </c>
      <c r="AU93" s="8">
        <f t="shared" si="861"/>
        <v>31244</v>
      </c>
      <c r="AV93" s="8">
        <f t="shared" si="861"/>
        <v>36093</v>
      </c>
      <c r="AW93" s="8">
        <f t="shared" si="861"/>
        <v>35512</v>
      </c>
      <c r="AX93" s="8">
        <f t="shared" si="861"/>
        <v>35713</v>
      </c>
      <c r="AY93" s="8">
        <f t="shared" si="861"/>
        <v>40016</v>
      </c>
      <c r="AZ93" s="8">
        <f t="shared" si="861"/>
        <v>42260</v>
      </c>
      <c r="BA93" s="8">
        <f t="shared" si="861"/>
        <v>47137</v>
      </c>
      <c r="BB93" s="8">
        <f t="shared" si="861"/>
        <v>53735</v>
      </c>
      <c r="BC93" s="8">
        <f t="shared" si="861"/>
        <v>59451</v>
      </c>
      <c r="BD93" s="8">
        <f t="shared" si="861"/>
        <v>50763</v>
      </c>
      <c r="BE93" s="8">
        <f t="shared" si="861"/>
        <v>51833</v>
      </c>
      <c r="BF93">
        <f t="shared" si="861"/>
        <v>0</v>
      </c>
      <c r="BG93" s="8">
        <f t="shared" si="861"/>
        <v>57344</v>
      </c>
      <c r="BH93" s="8">
        <f t="shared" si="861"/>
        <v>58462</v>
      </c>
      <c r="BI93" s="8">
        <f t="shared" si="861"/>
        <v>65041</v>
      </c>
      <c r="BJ93" s="8">
        <f t="shared" si="861"/>
        <v>71202</v>
      </c>
      <c r="BK93" s="11">
        <f t="shared" si="861"/>
        <v>77260</v>
      </c>
      <c r="BL93" s="11">
        <f t="shared" si="861"/>
        <v>86486</v>
      </c>
      <c r="BM93" s="11">
        <f t="shared" si="861"/>
        <v>100427</v>
      </c>
      <c r="BN93" s="11">
        <f t="shared" si="861"/>
        <v>108360</v>
      </c>
      <c r="BO93" s="11">
        <f t="shared" si="861"/>
        <v>112252</v>
      </c>
      <c r="BP93" s="11">
        <f t="shared" si="861"/>
        <v>118372.28241821248</v>
      </c>
    </row>
    <row r="94" spans="2:69" s="3" customFormat="1">
      <c r="B94" s="13" t="s">
        <v>309</v>
      </c>
      <c r="D94" s="228"/>
      <c r="E94" s="228"/>
      <c r="F94" s="228"/>
      <c r="G94" s="228"/>
      <c r="H94" s="228"/>
      <c r="I94" s="228"/>
      <c r="J94" s="228"/>
      <c r="K94" s="228"/>
      <c r="L94" s="228"/>
      <c r="M94" s="228"/>
      <c r="N94" s="228"/>
      <c r="O94" s="228"/>
      <c r="P94" s="228"/>
      <c r="Q94" s="228"/>
      <c r="R94" s="228"/>
      <c r="S94" s="228"/>
      <c r="T94" s="228">
        <f t="shared" ref="T94:V94" si="862">+T93/S93-1</f>
        <v>-5.3839460517728921E-2</v>
      </c>
      <c r="U94" s="228">
        <f t="shared" si="862"/>
        <v>0.13875158064145299</v>
      </c>
      <c r="V94" s="228">
        <f t="shared" si="862"/>
        <v>-4.4619422572178435E-2</v>
      </c>
      <c r="W94" s="228">
        <f>+W93/V93-1</f>
        <v>0.11591293322062546</v>
      </c>
      <c r="X94" s="228">
        <f t="shared" ref="X94:AQ94" si="863">+X93/W93-1</f>
        <v>-0.11783921977085499</v>
      </c>
      <c r="Y94" s="228">
        <f t="shared" si="863"/>
        <v>0.20313422422583582</v>
      </c>
      <c r="Z94" s="228">
        <f t="shared" si="863"/>
        <v>-3.1046480506735641E-2</v>
      </c>
      <c r="AA94" s="228">
        <f t="shared" si="863"/>
        <v>9.1658226682625799E-2</v>
      </c>
      <c r="AB94" s="228">
        <f t="shared" si="863"/>
        <v>-7.784759414667064E-2</v>
      </c>
      <c r="AC94" s="228">
        <f t="shared" si="863"/>
        <v>0.18832029999542699</v>
      </c>
      <c r="AD94" s="228">
        <f t="shared" si="863"/>
        <v>-2.932461035212619E-2</v>
      </c>
      <c r="AE94" s="228">
        <f t="shared" si="863"/>
        <v>8.440708876818781E-2</v>
      </c>
      <c r="AF94" s="228">
        <f t="shared" si="863"/>
        <v>-5.6229891781222618E-2</v>
      </c>
      <c r="AG94" s="228">
        <f t="shared" si="863"/>
        <v>6.6436817230959955E-2</v>
      </c>
      <c r="AH94" s="228">
        <f t="shared" si="863"/>
        <v>-2.0814413890806072E-2</v>
      </c>
      <c r="AI94" s="228">
        <f t="shared" si="863"/>
        <v>4.0992728891526831E-2</v>
      </c>
      <c r="AJ94" s="228">
        <f t="shared" si="863"/>
        <v>-8.410249100174616E-2</v>
      </c>
      <c r="AK94" s="228">
        <f t="shared" si="863"/>
        <v>0.1049764600599199</v>
      </c>
      <c r="AL94" s="228">
        <f t="shared" si="863"/>
        <v>-1.4754040635233667E-2</v>
      </c>
      <c r="AM94" s="228">
        <f t="shared" si="863"/>
        <v>7.8341672623302383E-2</v>
      </c>
      <c r="AN94" s="228">
        <f t="shared" si="863"/>
        <v>-9.1210393742542806E-2</v>
      </c>
      <c r="AO94" s="228">
        <f t="shared" si="863"/>
        <v>8.5829215170800666E-2</v>
      </c>
      <c r="AP94" s="228">
        <f t="shared" si="863"/>
        <v>-1.9290543823245021E-2</v>
      </c>
      <c r="AQ94" s="228">
        <f t="shared" si="863"/>
        <v>9.5231140463579944E-2</v>
      </c>
      <c r="AR94" s="228"/>
      <c r="AS94" s="228"/>
      <c r="AT94" s="228" t="str">
        <f t="shared" ref="AT94" si="864">IFERROR(AT92/AS92-1,"n/a ")</f>
        <v xml:space="preserve">n/a </v>
      </c>
      <c r="AU94" s="228" t="str">
        <f t="shared" ref="AU94" si="865">IFERROR(AU92/AT92-1,"n/a ")</f>
        <v xml:space="preserve">n/a </v>
      </c>
      <c r="AV94" s="228" t="str">
        <f t="shared" ref="AV94" si="866">IFERROR(AV92/AU92-1,"n/a ")</f>
        <v xml:space="preserve">n/a </v>
      </c>
      <c r="AW94" s="228" t="str">
        <f t="shared" ref="AW94" si="867">IFERROR(AW92/AV92-1,"n/a ")</f>
        <v xml:space="preserve">n/a </v>
      </c>
      <c r="AX94" s="228" t="str">
        <f t="shared" ref="AX94" si="868">IFERROR(AX92/AW92-1,"n/a ")</f>
        <v xml:space="preserve">n/a </v>
      </c>
      <c r="AY94" s="228" t="str">
        <f t="shared" ref="AY94" si="869">IFERROR(AY92/AX92-1,"n/a ")</f>
        <v xml:space="preserve">n/a </v>
      </c>
      <c r="AZ94" s="228" t="str">
        <f t="shared" ref="AZ94" si="870">IFERROR(AZ92/AY92-1,"n/a ")</f>
        <v xml:space="preserve">n/a </v>
      </c>
      <c r="BA94" s="228" t="str">
        <f t="shared" ref="BA94" si="871">IFERROR(BA92/AZ92-1,"n/a ")</f>
        <v xml:space="preserve">n/a </v>
      </c>
      <c r="BB94" s="228" t="str">
        <f t="shared" ref="BB94" si="872">IFERROR(BB92/BA92-1,"n/a ")</f>
        <v xml:space="preserve">n/a </v>
      </c>
      <c r="BC94" s="228" t="str">
        <f t="shared" ref="BC94" si="873">IFERROR(BC92/BB92-1,"n/a ")</f>
        <v xml:space="preserve">n/a </v>
      </c>
      <c r="BD94" s="228" t="str">
        <f t="shared" ref="BD94" si="874">IFERROR(BD92/BC92-1,"n/a ")</f>
        <v xml:space="preserve">n/a </v>
      </c>
      <c r="BE94" s="228" t="str">
        <f t="shared" ref="BE94" si="875">IFERROR(BE92/BD92-1,"n/a ")</f>
        <v xml:space="preserve">n/a </v>
      </c>
      <c r="BF94" s="228"/>
      <c r="BG94" s="829" t="str">
        <f t="shared" ref="BG94" si="876">+BD94</f>
        <v xml:space="preserve">n/a </v>
      </c>
      <c r="BH94" s="228" t="str">
        <f t="shared" ref="BH94" si="877">IFERROR(BH92/BG92-1,"n/a ")</f>
        <v xml:space="preserve">n/a </v>
      </c>
      <c r="BI94" s="228">
        <f t="shared" ref="BI94:BP94" si="878">+BI93/BH93-1</f>
        <v>0.11253463788443785</v>
      </c>
      <c r="BJ94" s="228">
        <f t="shared" si="878"/>
        <v>9.4724865853845985E-2</v>
      </c>
      <c r="BK94" s="228">
        <f t="shared" si="878"/>
        <v>8.5081879722479714E-2</v>
      </c>
      <c r="BL94" s="228">
        <f t="shared" si="878"/>
        <v>0.11941496246440586</v>
      </c>
      <c r="BM94" s="228">
        <f t="shared" si="878"/>
        <v>0.16119371921467063</v>
      </c>
      <c r="BN94" s="228">
        <f t="shared" si="878"/>
        <v>7.8992701166021195E-2</v>
      </c>
      <c r="BO94" s="228">
        <f t="shared" si="878"/>
        <v>3.5917312661498668E-2</v>
      </c>
      <c r="BP94" s="228">
        <f t="shared" si="878"/>
        <v>5.4522702653070576E-2</v>
      </c>
    </row>
    <row r="95" spans="2:69" s="3" customFormat="1">
      <c r="B95" s="13" t="s">
        <v>113</v>
      </c>
      <c r="D95" s="228"/>
      <c r="E95" s="228"/>
      <c r="F95" s="228"/>
      <c r="G95" s="228"/>
      <c r="H95" s="228">
        <f>IFERROR(H93/D93-1,"n/a ")</f>
        <v>2.0102033046524026E-2</v>
      </c>
      <c r="I95" s="228">
        <f t="shared" ref="I95" si="879">IFERROR(I93/E93-1,"n/a ")</f>
        <v>-2.8668310727496871E-2</v>
      </c>
      <c r="J95" s="228">
        <f t="shared" ref="J95" si="880">IFERROR(J93/F93-1,"n/a ")</f>
        <v>3.7168403162639363E-2</v>
      </c>
      <c r="K95" s="228">
        <f t="shared" ref="K95" si="881">IFERROR(K93/G93-1,"n/a ")</f>
        <v>5.6439341541015375E-2</v>
      </c>
      <c r="L95" s="228">
        <f t="shared" ref="L95" si="882">IFERROR(L93/H93-1,"n/a ")</f>
        <v>6.971710084347249E-2</v>
      </c>
      <c r="M95" s="228">
        <f t="shared" ref="M95" si="883">IFERROR(M93/I93-1,"n/a ")</f>
        <v>0.12364328784512857</v>
      </c>
      <c r="N95" s="228">
        <f t="shared" ref="N95" si="884">IFERROR(N93/J93-1,"n/a ")</f>
        <v>0.12688800227985175</v>
      </c>
      <c r="O95" s="228">
        <f t="shared" ref="O95" si="885">IFERROR(O93/K93-1,"n/a ")</f>
        <v>0.12544192745842597</v>
      </c>
      <c r="P95" s="228">
        <f t="shared" ref="P95" si="886">IFERROR(P93/L93-1,"n/a ")</f>
        <v>0.13683622915358318</v>
      </c>
      <c r="Q95" s="228">
        <f t="shared" ref="Q95" si="887">IFERROR(Q93/M93-1,"n/a ")</f>
        <v>8.5578715471953837E-2</v>
      </c>
      <c r="R95" s="228">
        <f t="shared" ref="R95" si="888">IFERROR(R93/N93-1,"n/a ")</f>
        <v>9.4012771069102774E-2</v>
      </c>
      <c r="S95" s="228">
        <f t="shared" ref="S95" si="889">IFERROR(S93/O93-1,"n/a ")</f>
        <v>6.9691681210005907E-2</v>
      </c>
      <c r="T95" s="228">
        <f t="shared" ref="T95" si="890">IFERROR(T93/P93-1,"n/a ")</f>
        <v>6.7886079057206006E-2</v>
      </c>
      <c r="U95" s="228">
        <f t="shared" ref="U95" si="891">IFERROR(U93/Q93-1,"n/a ")</f>
        <v>3.0908523259444376E-2</v>
      </c>
      <c r="V95" s="228">
        <f t="shared" ref="V95" si="892">IFERROR(V93/R93-1,"n/a ")</f>
        <v>9.3851132686084249E-2</v>
      </c>
      <c r="W95" s="228">
        <f t="shared" ref="W95" si="893">IFERROR(W93/S93-1,"n/a ")</f>
        <v>0.14868392429845545</v>
      </c>
      <c r="X95" s="228">
        <f t="shared" ref="X95" si="894">IFERROR(X93/T93-1,"n/a ")</f>
        <v>7.0985170709277012E-2</v>
      </c>
      <c r="Y95" s="228">
        <f t="shared" ref="Y95" si="895">IFERROR(Y93/U93-1,"n/a ")</f>
        <v>0.13153644256006469</v>
      </c>
      <c r="Z95" s="228">
        <f t="shared" ref="Z95" si="896">IFERROR(Z93/V93-1,"n/a ")</f>
        <v>0.14761200338123426</v>
      </c>
      <c r="AA95" s="228">
        <f t="shared" ref="AA95" si="897">IFERROR(AA93/W93-1,"n/a ")</f>
        <v>0.12266830792538586</v>
      </c>
      <c r="AB95" s="228">
        <f t="shared" ref="AB95" si="898">IFERROR(AB93/X93-1,"n/a ")</f>
        <v>0.17356303332796652</v>
      </c>
      <c r="AC95" s="228">
        <f t="shared" ref="AC95" si="899">IFERROR(AC93/Y93-1,"n/a ")</f>
        <v>0.15911321259702027</v>
      </c>
      <c r="AD95" s="228">
        <f t="shared" ref="AD95" si="900">IFERROR(AD93/Z93-1,"n/a ")</f>
        <v>0.16117300432741</v>
      </c>
      <c r="AE95" s="228">
        <f t="shared" ref="AE95" si="901">IFERROR(AE93/AA93-1,"n/a ")</f>
        <v>0.15346012735630254</v>
      </c>
      <c r="AF95" s="228">
        <f t="shared" ref="AF95" si="902">IFERROR(AF93/AB93-1,"n/a ")</f>
        <v>0.18050029725156636</v>
      </c>
      <c r="AG95" s="228">
        <f t="shared" ref="AG95" si="903">IFERROR(AG93/AC93-1,"n/a ")</f>
        <v>5.9418895516644143E-2</v>
      </c>
      <c r="AH95" s="228">
        <f t="shared" ref="AH95" si="904">IFERROR(AH93/AD93-1,"n/a ")</f>
        <v>6.8707132379177693E-2</v>
      </c>
      <c r="AI95" s="228">
        <f t="shared" ref="AI95" si="905">IFERROR(AI93/AE93-1,"n/a ")</f>
        <v>2.5921322023983562E-2</v>
      </c>
      <c r="AJ95" s="228">
        <f t="shared" ref="AJ95" si="906">IFERROR(AJ93/AF93-1,"n/a ")</f>
        <v>-4.3774695901448446E-3</v>
      </c>
      <c r="AK95" s="228">
        <f t="shared" ref="AK95" si="907">IFERROR(AK93/AG93-1,"n/a ")</f>
        <v>3.1603036797559048E-2</v>
      </c>
      <c r="AL95" s="228">
        <f t="shared" ref="AL95" si="908">IFERROR(AL93/AH93-1,"n/a ")</f>
        <v>3.798783202255529E-2</v>
      </c>
      <c r="AM95" s="228">
        <f t="shared" ref="AM95" si="909">IFERROR(AM93/AI93-1,"n/a ")</f>
        <v>7.5228965468087328E-2</v>
      </c>
      <c r="AN95" s="228">
        <f t="shared" ref="AN95" si="910">IFERROR(AN93/AJ93-1,"n/a ")</f>
        <v>6.6884557021127611E-2</v>
      </c>
      <c r="AO95" s="228">
        <f t="shared" ref="AO95" si="911">IFERROR(AO93/AK93-1,"n/a ")</f>
        <v>4.8397375963356248E-2</v>
      </c>
      <c r="AP95" s="228">
        <f t="shared" ref="AP95" si="912">IFERROR(AP93/AL93-1,"n/a ")</f>
        <v>4.3570096040861594E-2</v>
      </c>
      <c r="AQ95" s="228">
        <f t="shared" ref="AQ95" si="913">IFERROR(AQ93/AM93-1,"n/a ")</f>
        <v>5.9914955952729887E-2</v>
      </c>
      <c r="AR95" s="228"/>
      <c r="AS95" s="228"/>
      <c r="AT95" s="228">
        <f>IFERROR(AT93/AS93-1,"n/a ")</f>
        <v>0.10846984439791441</v>
      </c>
      <c r="AU95" s="228">
        <f t="shared" ref="AU95" si="914">IFERROR(AU93/AT93-1,"n/a ")</f>
        <v>0.15722804548316605</v>
      </c>
      <c r="AV95" s="228">
        <f t="shared" ref="AV95" si="915">IFERROR(AV93/AU93-1,"n/a ")</f>
        <v>0.15519779797721167</v>
      </c>
      <c r="AW95" s="228">
        <f t="shared" ref="AW95" si="916">IFERROR(AW93/AV93-1,"n/a ")</f>
        <v>-1.6097304186407313E-2</v>
      </c>
      <c r="AX95" s="228">
        <f t="shared" ref="AX95" si="917">IFERROR(AX93/AW93-1,"n/a ")</f>
        <v>5.6600585717503371E-3</v>
      </c>
      <c r="AY95" s="228">
        <f t="shared" ref="AY95" si="918">IFERROR(AY93/AX93-1,"n/a ")</f>
        <v>0.12048833758015287</v>
      </c>
      <c r="AZ95" s="228">
        <f t="shared" ref="AZ95" si="919">IFERROR(AZ93/AY93-1,"n/a ")</f>
        <v>5.6077568972411118E-2</v>
      </c>
      <c r="BA95" s="228">
        <f t="shared" ref="BA95" si="920">IFERROR(BA93/AZ93-1,"n/a ")</f>
        <v>0.11540463795551359</v>
      </c>
      <c r="BB95" s="228">
        <f t="shared" ref="BB95" si="921">IFERROR(BB93/BA93-1,"n/a ")</f>
        <v>0.13997496658675779</v>
      </c>
      <c r="BC95" s="228">
        <f t="shared" ref="BC95" si="922">IFERROR(BC93/BB93-1,"n/a ")</f>
        <v>0.10637387177817059</v>
      </c>
      <c r="BD95" s="228">
        <f t="shared" ref="BD95" si="923">IFERROR(BD93/BC93-1,"n/a ")</f>
        <v>-0.14613715496795676</v>
      </c>
      <c r="BE95" s="228">
        <f t="shared" ref="BE95" si="924">IFERROR(BE93/BD93-1,"n/a ")</f>
        <v>2.107834446348722E-2</v>
      </c>
      <c r="BF95" s="228"/>
      <c r="BG95" s="829">
        <f t="shared" ref="BG95" si="925">+BD95</f>
        <v>-0.14613715496795676</v>
      </c>
      <c r="BH95" s="228">
        <f t="shared" ref="BH95" si="926">IFERROR(BH93/BG93-1,"n/a ")</f>
        <v>1.9496372767857206E-2</v>
      </c>
      <c r="BI95" s="228">
        <f t="shared" ref="BI95" si="927">IFERROR(BI93/BH93-1,"n/a ")</f>
        <v>0.11253463788443785</v>
      </c>
      <c r="BJ95" s="228">
        <f t="shared" ref="BJ95" si="928">IFERROR(BJ93/BI93-1,"n/a ")</f>
        <v>9.4724865853845985E-2</v>
      </c>
      <c r="BK95" s="228">
        <f t="shared" ref="BK95" si="929">IFERROR(BK93/BJ93-1,"n/a ")</f>
        <v>8.5081879722479714E-2</v>
      </c>
      <c r="BL95" s="228">
        <f t="shared" ref="BL95" si="930">IFERROR(BL93/BK93-1,"n/a ")</f>
        <v>0.11941496246440586</v>
      </c>
      <c r="BM95" s="228">
        <f t="shared" ref="BM95" si="931">IFERROR(BM93/BL93-1,"n/a ")</f>
        <v>0.16119371921467063</v>
      </c>
      <c r="BN95" s="228">
        <f t="shared" ref="BN95" si="932">IFERROR(BN93/BM93-1,"n/a ")</f>
        <v>7.8992701166021195E-2</v>
      </c>
      <c r="BO95" s="228">
        <f t="shared" ref="BO95" si="933">IFERROR(BO93/BN93-1,"n/a ")</f>
        <v>3.5917312661498668E-2</v>
      </c>
      <c r="BP95" s="228">
        <f t="shared" ref="BP95" si="934">IFERROR(BP93/BO93-1,"n/a ")</f>
        <v>5.4522702653070576E-2</v>
      </c>
    </row>
    <row r="96" spans="2:69" s="3" customFormat="1">
      <c r="B96" s="13" t="s">
        <v>310</v>
      </c>
      <c r="D96" s="228"/>
      <c r="E96" s="228"/>
      <c r="F96" s="228"/>
      <c r="G96" s="228"/>
      <c r="H96" s="228"/>
      <c r="I96" s="228"/>
      <c r="J96" s="228"/>
      <c r="K96" s="228"/>
      <c r="L96" s="228"/>
      <c r="M96" s="228"/>
      <c r="N96" s="228"/>
      <c r="O96" s="228"/>
      <c r="P96" s="228"/>
      <c r="Q96" s="228"/>
      <c r="R96" s="228"/>
      <c r="S96" s="228"/>
      <c r="T96" s="228">
        <f t="shared" ref="T96:AQ96" si="935">+T93/T12</f>
        <v>0.52633489638481323</v>
      </c>
      <c r="U96" s="228">
        <f t="shared" si="935"/>
        <v>0.53682328076735486</v>
      </c>
      <c r="V96" s="228">
        <f t="shared" si="935"/>
        <v>0.5404757145712572</v>
      </c>
      <c r="W96" s="228">
        <f t="shared" si="935"/>
        <v>0.55535981910446186</v>
      </c>
      <c r="X96" s="228">
        <f t="shared" si="935"/>
        <v>0.50150724013565162</v>
      </c>
      <c r="Y96" s="228">
        <f t="shared" si="935"/>
        <v>0.52042900919305413</v>
      </c>
      <c r="Z96" s="228">
        <f t="shared" si="935"/>
        <v>0.52083633050400424</v>
      </c>
      <c r="AA96" s="228">
        <f t="shared" si="935"/>
        <v>0.51380221875541687</v>
      </c>
      <c r="AB96" s="228">
        <f t="shared" si="935"/>
        <v>0.48253414833285524</v>
      </c>
      <c r="AC96" s="228">
        <f t="shared" si="935"/>
        <v>0.5023391586761522</v>
      </c>
      <c r="AD96" s="228">
        <f t="shared" si="935"/>
        <v>0.51100081037277145</v>
      </c>
      <c r="AE96" s="228">
        <f t="shared" si="935"/>
        <v>0.52736913139882391</v>
      </c>
      <c r="AF96" s="228">
        <f t="shared" si="935"/>
        <v>0.51502334304297515</v>
      </c>
      <c r="AG96" s="228">
        <f t="shared" si="935"/>
        <v>0.52190645913511668</v>
      </c>
      <c r="AH96" s="228">
        <f t="shared" si="935"/>
        <v>0.5099797567020451</v>
      </c>
      <c r="AI96" s="228">
        <f t="shared" si="935"/>
        <v>0.49940379789638539</v>
      </c>
      <c r="AJ96" s="228">
        <f t="shared" si="935"/>
        <v>0.45474812888157545</v>
      </c>
      <c r="AK96" s="228">
        <f t="shared" si="935"/>
        <v>0.45790067720090294</v>
      </c>
      <c r="AL96" s="228">
        <f t="shared" si="935"/>
        <v>0.45232629570952826</v>
      </c>
      <c r="AM96" s="228">
        <f t="shared" si="935"/>
        <v>0.46614241352140529</v>
      </c>
      <c r="AN96" s="228">
        <f t="shared" si="935"/>
        <v>0.41808340321719906</v>
      </c>
      <c r="AO96" s="228">
        <f t="shared" si="935"/>
        <v>0.43181699082057751</v>
      </c>
      <c r="AP96" s="228">
        <f t="shared" si="935"/>
        <v>0.41903783894210866</v>
      </c>
      <c r="AQ96" s="228">
        <f t="shared" si="935"/>
        <v>0.43374921903471964</v>
      </c>
      <c r="AR96" s="228"/>
      <c r="AS96" s="228">
        <f t="shared" ref="AS96:BP96" si="936">+AS93/AS12</f>
        <v>0.61216949834120837</v>
      </c>
      <c r="AT96" s="228">
        <f t="shared" si="936"/>
        <v>0.60970597533986726</v>
      </c>
      <c r="AU96" s="228">
        <f t="shared" si="936"/>
        <v>0.61116544736121436</v>
      </c>
      <c r="AV96" s="228">
        <f t="shared" si="936"/>
        <v>0.59736842105263155</v>
      </c>
      <c r="AW96" s="228">
        <f t="shared" si="936"/>
        <v>0.6076971781576741</v>
      </c>
      <c r="AX96" s="228">
        <f t="shared" si="936"/>
        <v>0.5715543179053838</v>
      </c>
      <c r="AY96" s="228">
        <f t="shared" si="936"/>
        <v>0.57212301445462732</v>
      </c>
      <c r="AZ96" s="228">
        <f t="shared" si="936"/>
        <v>0.57322680845869001</v>
      </c>
      <c r="BA96" s="228">
        <f t="shared" si="936"/>
        <v>0.60549268455599947</v>
      </c>
      <c r="BB96" s="228">
        <f t="shared" si="936"/>
        <v>0.61883155021708336</v>
      </c>
      <c r="BC96" s="228">
        <f t="shared" si="936"/>
        <v>0.63529600341953407</v>
      </c>
      <c r="BD96" s="228">
        <f t="shared" si="936"/>
        <v>0.59497187060478196</v>
      </c>
      <c r="BE96" s="228">
        <f t="shared" si="936"/>
        <v>0.57624235686492498</v>
      </c>
      <c r="BF96" s="228" t="e">
        <f t="shared" si="936"/>
        <v>#DIV/0!</v>
      </c>
      <c r="BG96" s="228">
        <f t="shared" si="936"/>
        <v>0.62908923360466906</v>
      </c>
      <c r="BH96" s="228">
        <f t="shared" si="936"/>
        <v>0.60537842623561944</v>
      </c>
      <c r="BI96" s="228">
        <f t="shared" si="936"/>
        <v>0.58935302645886189</v>
      </c>
      <c r="BJ96" s="228">
        <f t="shared" si="936"/>
        <v>0.56580024316012811</v>
      </c>
      <c r="BK96" s="228">
        <f t="shared" si="936"/>
        <v>0.54022305352585398</v>
      </c>
      <c r="BL96" s="228">
        <f t="shared" si="936"/>
        <v>0.51452810432630525</v>
      </c>
      <c r="BM96" s="228">
        <f t="shared" si="936"/>
        <v>0.50651636657083776</v>
      </c>
      <c r="BN96" s="228">
        <f t="shared" si="936"/>
        <v>0.51133709270226269</v>
      </c>
      <c r="BO96" s="228">
        <f t="shared" si="936"/>
        <v>0.45794339145405144</v>
      </c>
      <c r="BP96" s="228">
        <f t="shared" si="936"/>
        <v>0.42588513606979461</v>
      </c>
    </row>
    <row r="97" spans="2:73">
      <c r="AL97" s="824"/>
      <c r="AM97" s="824"/>
    </row>
    <row r="98" spans="2:73" hidden="1" outlineLevel="1">
      <c r="B98" t="s">
        <v>311</v>
      </c>
      <c r="AK98" s="1224">
        <v>500</v>
      </c>
      <c r="AL98" s="1224">
        <v>670</v>
      </c>
      <c r="AM98" s="61">
        <f>+AVERAGE(AN98,AL98)</f>
        <v>620.875</v>
      </c>
      <c r="AN98" s="61">
        <f>+$BP$98/4</f>
        <v>571.75</v>
      </c>
      <c r="AO98" s="61">
        <f t="shared" ref="AO98:AQ98" si="937">+$BP$98/4</f>
        <v>571.75</v>
      </c>
      <c r="AP98" s="61">
        <f t="shared" si="937"/>
        <v>571.75</v>
      </c>
      <c r="AQ98" s="61">
        <f t="shared" si="937"/>
        <v>571.75</v>
      </c>
      <c r="BO98" s="11">
        <f>+SUM(AJ98:AM98)</f>
        <v>1790.875</v>
      </c>
      <c r="BP98" s="1098">
        <f>+Base!K38</f>
        <v>2287</v>
      </c>
    </row>
    <row r="99" spans="2:73" hidden="1" outlineLevel="1"/>
    <row r="100" spans="2:73" collapsed="1">
      <c r="B100" s="843" t="s">
        <v>133</v>
      </c>
      <c r="D100" s="8">
        <f t="shared" ref="D100:AK100" si="938">+-D114</f>
        <v>1500</v>
      </c>
      <c r="E100" s="8">
        <f t="shared" si="938"/>
        <v>2000</v>
      </c>
      <c r="F100" s="8">
        <f t="shared" si="938"/>
        <v>2300</v>
      </c>
      <c r="G100" s="8">
        <f t="shared" si="938"/>
        <v>3100</v>
      </c>
      <c r="H100" s="8">
        <f t="shared" si="938"/>
        <v>2300</v>
      </c>
      <c r="I100" s="8">
        <f t="shared" si="938"/>
        <v>2500</v>
      </c>
      <c r="J100" s="8">
        <f t="shared" si="938"/>
        <v>2100</v>
      </c>
      <c r="K100" s="8">
        <f t="shared" si="938"/>
        <v>3300</v>
      </c>
      <c r="L100" s="8">
        <f t="shared" si="938"/>
        <v>2700</v>
      </c>
      <c r="M100" s="8">
        <f t="shared" si="938"/>
        <v>3300</v>
      </c>
      <c r="N100" s="8">
        <f t="shared" si="938"/>
        <v>3500</v>
      </c>
      <c r="O100" s="8">
        <f t="shared" si="938"/>
        <v>4100</v>
      </c>
      <c r="P100" s="8">
        <f t="shared" si="938"/>
        <v>4300</v>
      </c>
      <c r="Q100" s="8">
        <f t="shared" si="938"/>
        <v>3900</v>
      </c>
      <c r="R100" s="8">
        <f t="shared" si="938"/>
        <v>3400</v>
      </c>
      <c r="S100" s="8">
        <f t="shared" si="938"/>
        <v>5300</v>
      </c>
      <c r="T100" s="8">
        <f t="shared" si="938"/>
        <v>4800</v>
      </c>
      <c r="U100" s="8">
        <f t="shared" si="938"/>
        <v>4500</v>
      </c>
      <c r="V100" s="8">
        <f t="shared" si="938"/>
        <v>3900</v>
      </c>
      <c r="W100" s="8">
        <f t="shared" si="938"/>
        <v>5800</v>
      </c>
      <c r="X100" s="8">
        <f t="shared" si="938"/>
        <v>5500</v>
      </c>
      <c r="Y100" s="8">
        <f t="shared" si="938"/>
        <v>5400</v>
      </c>
      <c r="Z100" s="8">
        <f t="shared" si="938"/>
        <v>6000</v>
      </c>
      <c r="AA100" s="8">
        <f t="shared" si="938"/>
        <v>7300</v>
      </c>
      <c r="AB100" s="8">
        <f t="shared" si="938"/>
        <v>7400</v>
      </c>
      <c r="AC100" s="8">
        <f t="shared" si="938"/>
        <v>6800</v>
      </c>
      <c r="AD100" s="8">
        <f t="shared" si="938"/>
        <v>6300</v>
      </c>
      <c r="AE100" s="8">
        <f t="shared" si="938"/>
        <v>8700</v>
      </c>
      <c r="AF100" s="8">
        <f t="shared" si="938"/>
        <v>6600</v>
      </c>
      <c r="AG100" s="8">
        <f t="shared" si="938"/>
        <v>6800</v>
      </c>
      <c r="AH100" s="8">
        <f t="shared" si="938"/>
        <v>7800</v>
      </c>
      <c r="AI100" s="11">
        <f t="shared" si="938"/>
        <v>10700</v>
      </c>
      <c r="AJ100" s="11">
        <f t="shared" si="938"/>
        <v>11200</v>
      </c>
      <c r="AK100" s="8">
        <f t="shared" si="938"/>
        <v>11500</v>
      </c>
      <c r="AL100" s="8">
        <f t="shared" ref="AL100:AM100" si="939">+-AL114</f>
        <v>14000</v>
      </c>
      <c r="AM100" s="8">
        <f t="shared" si="939"/>
        <v>19000</v>
      </c>
      <c r="AN100" s="8">
        <f t="shared" ref="AN100" si="940">+-AN114</f>
        <v>20000</v>
      </c>
      <c r="AO100" s="61">
        <v>21000</v>
      </c>
      <c r="AP100" s="61">
        <v>21000</v>
      </c>
      <c r="AQ100" s="61">
        <v>21000</v>
      </c>
      <c r="AS100" s="8">
        <f t="shared" ref="AS100:BE100" si="941">+-AS114</f>
        <v>812</v>
      </c>
      <c r="AT100" s="8">
        <f t="shared" si="941"/>
        <v>1578</v>
      </c>
      <c r="AU100" s="8">
        <f t="shared" si="941"/>
        <v>2264</v>
      </c>
      <c r="AV100" s="8">
        <f t="shared" si="941"/>
        <v>3182</v>
      </c>
      <c r="AW100" s="8">
        <f t="shared" si="941"/>
        <v>3119</v>
      </c>
      <c r="AX100" s="8">
        <f t="shared" si="941"/>
        <v>1977</v>
      </c>
      <c r="AY100" s="8">
        <f t="shared" si="941"/>
        <v>2355</v>
      </c>
      <c r="AZ100" s="8">
        <f t="shared" si="941"/>
        <v>2305</v>
      </c>
      <c r="BA100" s="8">
        <f t="shared" si="941"/>
        <v>4257</v>
      </c>
      <c r="BB100" s="8">
        <f t="shared" si="941"/>
        <v>5485</v>
      </c>
      <c r="BC100" s="8">
        <f t="shared" si="941"/>
        <v>5944</v>
      </c>
      <c r="BD100" s="8">
        <f t="shared" si="941"/>
        <v>8900</v>
      </c>
      <c r="BE100" s="8">
        <f t="shared" si="941"/>
        <v>10200</v>
      </c>
      <c r="BG100" s="8">
        <f t="shared" ref="BG100:BO100" si="942">+-BG114</f>
        <v>8900</v>
      </c>
      <c r="BH100" s="8">
        <f t="shared" si="942"/>
        <v>10200</v>
      </c>
      <c r="BI100" s="8">
        <f t="shared" si="942"/>
        <v>13600</v>
      </c>
      <c r="BJ100" s="8">
        <f t="shared" si="942"/>
        <v>16900</v>
      </c>
      <c r="BK100" s="11">
        <f t="shared" si="942"/>
        <v>19000</v>
      </c>
      <c r="BL100" s="11">
        <f t="shared" si="942"/>
        <v>24200</v>
      </c>
      <c r="BM100" s="11">
        <f t="shared" si="942"/>
        <v>29200</v>
      </c>
      <c r="BN100" s="11">
        <f t="shared" si="942"/>
        <v>31900</v>
      </c>
      <c r="BO100" s="11">
        <f t="shared" si="942"/>
        <v>55700</v>
      </c>
      <c r="BP100" s="11">
        <f t="shared" ref="BP100" si="943">+-BP114</f>
        <v>83000</v>
      </c>
    </row>
    <row r="101" spans="2:73" s="3" customFormat="1">
      <c r="B101" s="13" t="s">
        <v>113</v>
      </c>
      <c r="D101" s="228"/>
      <c r="E101" s="228"/>
      <c r="F101" s="228"/>
      <c r="G101" s="228"/>
      <c r="H101" s="228">
        <f>IFERROR(H100/D100-1,"n/a ")</f>
        <v>0.53333333333333344</v>
      </c>
      <c r="I101" s="228">
        <f t="shared" ref="I101" si="944">IFERROR(I100/E100-1,"n/a ")</f>
        <v>0.25</v>
      </c>
      <c r="J101" s="228">
        <f t="shared" ref="J101" si="945">IFERROR(J100/F100-1,"n/a ")</f>
        <v>-8.6956521739130488E-2</v>
      </c>
      <c r="K101" s="228">
        <f t="shared" ref="K101" si="946">IFERROR(K100/G100-1,"n/a ")</f>
        <v>6.4516129032258007E-2</v>
      </c>
      <c r="L101" s="228">
        <f t="shared" ref="L101" si="947">IFERROR(L100/H100-1,"n/a ")</f>
        <v>0.17391304347826098</v>
      </c>
      <c r="M101" s="228">
        <f t="shared" ref="M101" si="948">IFERROR(M100/I100-1,"n/a ")</f>
        <v>0.32000000000000006</v>
      </c>
      <c r="N101" s="228">
        <f t="shared" ref="N101" si="949">IFERROR(N100/J100-1,"n/a ")</f>
        <v>0.66666666666666674</v>
      </c>
      <c r="O101" s="228">
        <f t="shared" ref="O101" si="950">IFERROR(O100/K100-1,"n/a ")</f>
        <v>0.24242424242424243</v>
      </c>
      <c r="P101" s="228">
        <f t="shared" ref="P101" si="951">IFERROR(P100/L100-1,"n/a ")</f>
        <v>0.59259259259259256</v>
      </c>
      <c r="Q101" s="228">
        <f t="shared" ref="Q101" si="952">IFERROR(Q100/M100-1,"n/a ")</f>
        <v>0.18181818181818188</v>
      </c>
      <c r="R101" s="228">
        <f t="shared" ref="R101" si="953">IFERROR(R100/N100-1,"n/a ")</f>
        <v>-2.8571428571428581E-2</v>
      </c>
      <c r="S101" s="228">
        <f t="shared" ref="S101" si="954">IFERROR(S100/O100-1,"n/a ")</f>
        <v>0.29268292682926833</v>
      </c>
      <c r="T101" s="228">
        <f t="shared" ref="T101" si="955">IFERROR(T100/P100-1,"n/a ")</f>
        <v>0.11627906976744184</v>
      </c>
      <c r="U101" s="228">
        <f t="shared" ref="U101" si="956">IFERROR(U100/Q100-1,"n/a ")</f>
        <v>0.15384615384615374</v>
      </c>
      <c r="V101" s="228">
        <f t="shared" ref="V101" si="957">IFERROR(V100/R100-1,"n/a ")</f>
        <v>0.14705882352941169</v>
      </c>
      <c r="W101" s="228">
        <f t="shared" ref="W101" si="958">IFERROR(W100/S100-1,"n/a ")</f>
        <v>9.4339622641509413E-2</v>
      </c>
      <c r="X101" s="228">
        <f t="shared" ref="X101" si="959">IFERROR(X100/T100-1,"n/a ")</f>
        <v>0.14583333333333326</v>
      </c>
      <c r="Y101" s="228">
        <f t="shared" ref="Y101" si="960">IFERROR(Y100/U100-1,"n/a ")</f>
        <v>0.19999999999999996</v>
      </c>
      <c r="Z101" s="228">
        <f t="shared" ref="Z101" si="961">IFERROR(Z100/V100-1,"n/a ")</f>
        <v>0.53846153846153855</v>
      </c>
      <c r="AA101" s="228">
        <f t="shared" ref="AA101" si="962">IFERROR(AA100/W100-1,"n/a ")</f>
        <v>0.25862068965517238</v>
      </c>
      <c r="AB101" s="228">
        <f t="shared" ref="AB101" si="963">IFERROR(AB100/X100-1,"n/a ")</f>
        <v>0.34545454545454546</v>
      </c>
      <c r="AC101" s="228">
        <f t="shared" ref="AC101" si="964">IFERROR(AC100/Y100-1,"n/a ")</f>
        <v>0.2592592592592593</v>
      </c>
      <c r="AD101" s="228">
        <f t="shared" ref="AD101" si="965">IFERROR(AD100/Z100-1,"n/a ")</f>
        <v>5.0000000000000044E-2</v>
      </c>
      <c r="AE101" s="228">
        <f t="shared" ref="AE101" si="966">IFERROR(AE100/AA100-1,"n/a ")</f>
        <v>0.19178082191780832</v>
      </c>
      <c r="AF101" s="228">
        <f t="shared" ref="AF101" si="967">IFERROR(AF100/AB100-1,"n/a ")</f>
        <v>-0.10810810810810811</v>
      </c>
      <c r="AG101" s="228">
        <f t="shared" ref="AG101" si="968">IFERROR(AG100/AC100-1,"n/a ")</f>
        <v>0</v>
      </c>
      <c r="AH101" s="228">
        <f t="shared" ref="AH101" si="969">IFERROR(AH100/AD100-1,"n/a ")</f>
        <v>0.23809523809523814</v>
      </c>
      <c r="AI101" s="228">
        <f t="shared" ref="AI101" si="970">IFERROR(AI100/AE100-1,"n/a ")</f>
        <v>0.22988505747126431</v>
      </c>
      <c r="AJ101" s="228">
        <f t="shared" ref="AJ101" si="971">IFERROR(AJ100/AF100-1,"n/a ")</f>
        <v>0.69696969696969702</v>
      </c>
      <c r="AK101" s="228">
        <f t="shared" ref="AK101" si="972">IFERROR(AK100/AG100-1,"n/a ")</f>
        <v>0.69117647058823528</v>
      </c>
      <c r="AL101" s="228">
        <f t="shared" ref="AL101" si="973">IFERROR(AL100/AH100-1,"n/a ")</f>
        <v>0.79487179487179493</v>
      </c>
      <c r="AM101" s="228">
        <f t="shared" ref="AM101:AN101" si="974">IFERROR(AM100/AI100-1,"n/a ")</f>
        <v>0.77570093457943923</v>
      </c>
      <c r="AN101" s="228">
        <f t="shared" si="974"/>
        <v>0.78571428571428581</v>
      </c>
      <c r="AO101" s="228">
        <f t="shared" ref="AO101" si="975">IFERROR(AO100/AK100-1,"n/a ")</f>
        <v>0.82608695652173902</v>
      </c>
      <c r="AP101" s="228">
        <f t="shared" ref="AP101" si="976">IFERROR(AP100/AL100-1,"n/a ")</f>
        <v>0.5</v>
      </c>
      <c r="AQ101" s="228">
        <f t="shared" ref="AQ101" si="977">IFERROR(AQ100/AM100-1,"n/a ")</f>
        <v>0.10526315789473695</v>
      </c>
      <c r="AR101" s="228"/>
      <c r="AS101" s="228"/>
      <c r="AT101" s="228">
        <f>IFERROR(AT100/AS100-1,"n/a ")</f>
        <v>0.94334975369458118</v>
      </c>
      <c r="AU101" s="228">
        <f t="shared" ref="AU101" si="978">IFERROR(AU100/AT100-1,"n/a ")</f>
        <v>0.43472750316856779</v>
      </c>
      <c r="AV101" s="228">
        <f t="shared" ref="AV101" si="979">IFERROR(AV100/AU100-1,"n/a ")</f>
        <v>0.40547703180212014</v>
      </c>
      <c r="AW101" s="228">
        <f t="shared" ref="AW101" si="980">IFERROR(AW100/AV100-1,"n/a ")</f>
        <v>-1.9798868636077938E-2</v>
      </c>
      <c r="AX101" s="228">
        <f t="shared" ref="AX101" si="981">IFERROR(AX100/AW100-1,"n/a ")</f>
        <v>-0.36614299454953514</v>
      </c>
      <c r="AY101" s="228">
        <f t="shared" ref="AY101" si="982">IFERROR(AY100/AX100-1,"n/a ")</f>
        <v>0.19119878603945373</v>
      </c>
      <c r="AZ101" s="228">
        <f t="shared" ref="AZ101" si="983">IFERROR(AZ100/AY100-1,"n/a ")</f>
        <v>-2.1231422505307851E-2</v>
      </c>
      <c r="BA101" s="228">
        <f t="shared" ref="BA101" si="984">IFERROR(BA100/AZ100-1,"n/a ")</f>
        <v>0.84685466377440344</v>
      </c>
      <c r="BB101" s="228">
        <f t="shared" ref="BB101" si="985">IFERROR(BB100/BA100-1,"n/a ")</f>
        <v>0.28846605590791641</v>
      </c>
      <c r="BC101" s="228">
        <f t="shared" ref="BC101" si="986">IFERROR(BC100/BB100-1,"n/a ")</f>
        <v>8.3682771194165895E-2</v>
      </c>
      <c r="BD101" s="228">
        <f t="shared" ref="BD101" si="987">IFERROR(BD100/BC100-1,"n/a ")</f>
        <v>0.4973082099596231</v>
      </c>
      <c r="BE101" s="228">
        <f t="shared" ref="BE101" si="988">IFERROR(BE100/BD100-1,"n/a ")</f>
        <v>0.14606741573033699</v>
      </c>
      <c r="BF101" s="228"/>
      <c r="BG101" s="829">
        <f t="shared" ref="BG101" si="989">+BD101</f>
        <v>0.4973082099596231</v>
      </c>
      <c r="BH101" s="228">
        <f t="shared" ref="BH101" si="990">IFERROR(BH100/BG100-1,"n/a ")</f>
        <v>0.14606741573033699</v>
      </c>
      <c r="BI101" s="228">
        <f t="shared" ref="BI101" si="991">IFERROR(BI100/BH100-1,"n/a ")</f>
        <v>0.33333333333333326</v>
      </c>
      <c r="BJ101" s="228">
        <f t="shared" ref="BJ101" si="992">IFERROR(BJ100/BI100-1,"n/a ")</f>
        <v>0.24264705882352944</v>
      </c>
      <c r="BK101" s="228">
        <f t="shared" ref="BK101" si="993">IFERROR(BK100/BJ100-1,"n/a ")</f>
        <v>0.12426035502958577</v>
      </c>
      <c r="BL101" s="228">
        <f t="shared" ref="BL101" si="994">IFERROR(BL100/BK100-1,"n/a ")</f>
        <v>0.27368421052631575</v>
      </c>
      <c r="BM101" s="228">
        <f t="shared" ref="BM101" si="995">IFERROR(BM100/BL100-1,"n/a ")</f>
        <v>0.20661157024793386</v>
      </c>
      <c r="BN101" s="228">
        <f t="shared" ref="BN101" si="996">IFERROR(BN100/BM100-1,"n/a ")</f>
        <v>9.2465753424657571E-2</v>
      </c>
      <c r="BO101" s="228">
        <f t="shared" ref="BO101" si="997">IFERROR(BO100/BN100-1,"n/a ")</f>
        <v>0.74608150470219425</v>
      </c>
      <c r="BP101" s="228">
        <f t="shared" ref="BP101" si="998">IFERROR(BP100/BO100-1,"n/a ")</f>
        <v>0.49012567324955114</v>
      </c>
    </row>
    <row r="102" spans="2:73" s="3" customFormat="1">
      <c r="B102" s="13" t="s">
        <v>123</v>
      </c>
      <c r="D102" s="228">
        <f t="shared" ref="D102:AQ102" si="999">+D100/D12</f>
        <v>7.1736011477761832E-2</v>
      </c>
      <c r="E102" s="228">
        <f t="shared" si="999"/>
        <v>7.9198511067991917E-2</v>
      </c>
      <c r="F102" s="228">
        <f t="shared" si="999"/>
        <v>0.10689222475252126</v>
      </c>
      <c r="G102" s="228">
        <f t="shared" si="999"/>
        <v>0.13206100366362786</v>
      </c>
      <c r="H102" s="228">
        <f t="shared" si="999"/>
        <v>0.10488872674206494</v>
      </c>
      <c r="I102" s="228">
        <f t="shared" si="999"/>
        <v>9.6801672732904825E-2</v>
      </c>
      <c r="J102" s="228">
        <f t="shared" si="999"/>
        <v>9.0470446320868522E-2</v>
      </c>
      <c r="K102" s="228">
        <f t="shared" si="999"/>
        <v>0.12888107791446984</v>
      </c>
      <c r="L102" s="228">
        <f t="shared" si="999"/>
        <v>0.11003341755644307</v>
      </c>
      <c r="M102" s="228">
        <f t="shared" si="999"/>
        <v>0.11411577564146898</v>
      </c>
      <c r="N102" s="228">
        <f t="shared" si="999"/>
        <v>0.13050449308326187</v>
      </c>
      <c r="O102" s="228">
        <f t="shared" si="999"/>
        <v>0.13628053847432275</v>
      </c>
      <c r="P102" s="228">
        <f t="shared" si="999"/>
        <v>0.14784761380827946</v>
      </c>
      <c r="Q102" s="228">
        <f t="shared" si="999"/>
        <v>0.12010717255397124</v>
      </c>
      <c r="R102" s="228">
        <f t="shared" si="999"/>
        <v>0.11121651238101468</v>
      </c>
      <c r="S102" s="228">
        <f t="shared" si="999"/>
        <v>0.15719073464424474</v>
      </c>
      <c r="T102" s="228">
        <f t="shared" si="999"/>
        <v>0.14521252458024506</v>
      </c>
      <c r="U102" s="228">
        <f t="shared" si="999"/>
        <v>0.12193139326938709</v>
      </c>
      <c r="V102" s="228">
        <f t="shared" si="999"/>
        <v>0.11136175437594587</v>
      </c>
      <c r="W102" s="228">
        <f t="shared" si="999"/>
        <v>0.15249914547892621</v>
      </c>
      <c r="X102" s="228">
        <f t="shared" si="999"/>
        <v>0.14803251332292619</v>
      </c>
      <c r="Y102" s="228">
        <f t="shared" si="999"/>
        <v>0.12535982913919583</v>
      </c>
      <c r="Z102" s="228">
        <f t="shared" si="999"/>
        <v>0.14386419220256078</v>
      </c>
      <c r="AA102" s="228">
        <f t="shared" si="999"/>
        <v>0.15817299358641013</v>
      </c>
      <c r="AB102" s="228">
        <f t="shared" si="999"/>
        <v>0.1632941280314231</v>
      </c>
      <c r="AC102" s="228">
        <f t="shared" si="999"/>
        <v>0.13145685122177544</v>
      </c>
      <c r="AD102" s="228">
        <f t="shared" si="999"/>
        <v>0.12763371150729336</v>
      </c>
      <c r="AE102" s="228">
        <f t="shared" si="999"/>
        <v>0.16774317940807867</v>
      </c>
      <c r="AF102" s="228">
        <f t="shared" si="999"/>
        <v>0.13167870396233192</v>
      </c>
      <c r="AG102" s="228">
        <f t="shared" si="999"/>
        <v>0.12891728439532107</v>
      </c>
      <c r="AH102" s="228">
        <f t="shared" si="999"/>
        <v>0.14756796639990918</v>
      </c>
      <c r="AI102" s="228">
        <f t="shared" si="999"/>
        <v>0.19042873160227092</v>
      </c>
      <c r="AJ102" s="228">
        <f t="shared" si="999"/>
        <v>0.1981704619848895</v>
      </c>
      <c r="AK102" s="228">
        <f t="shared" si="999"/>
        <v>0.18542405675588519</v>
      </c>
      <c r="AL102" s="228">
        <f t="shared" si="999"/>
        <v>0.22632480843221572</v>
      </c>
      <c r="AM102" s="228">
        <f t="shared" ref="AM102:AN102" si="1000">+AM100/AM12</f>
        <v>0.29354056267091011</v>
      </c>
      <c r="AN102" s="228">
        <f t="shared" si="1000"/>
        <v>0.30494777769307008</v>
      </c>
      <c r="AO102" s="228">
        <f t="shared" si="999"/>
        <v>0.30457205135139193</v>
      </c>
      <c r="AP102" s="228">
        <f t="shared" si="999"/>
        <v>0.3013722081698762</v>
      </c>
      <c r="AQ102" s="228">
        <f t="shared" si="999"/>
        <v>0.28482813173613641</v>
      </c>
      <c r="AR102" s="228"/>
      <c r="AS102" s="228">
        <f t="shared" ref="AS102:BE102" si="1001">+AS100/AS12</f>
        <v>2.0408163265306121E-2</v>
      </c>
      <c r="AT102" s="228">
        <f t="shared" si="1001"/>
        <v>3.5635246827153244E-2</v>
      </c>
      <c r="AU102" s="228">
        <f t="shared" si="1001"/>
        <v>4.4286217284143815E-2</v>
      </c>
      <c r="AV102" s="228">
        <f t="shared" si="1001"/>
        <v>5.2664680569347901E-2</v>
      </c>
      <c r="AW102" s="228">
        <f t="shared" si="1001"/>
        <v>5.3373718705614595E-2</v>
      </c>
      <c r="AX102" s="228">
        <f t="shared" si="1001"/>
        <v>3.1640099865565582E-2</v>
      </c>
      <c r="AY102" s="228">
        <f t="shared" si="1001"/>
        <v>3.3670274366269674E-2</v>
      </c>
      <c r="AZ102" s="228">
        <f t="shared" si="1001"/>
        <v>3.1265683707933749E-2</v>
      </c>
      <c r="BA102" s="228">
        <f t="shared" si="1001"/>
        <v>5.4682783336972858E-2</v>
      </c>
      <c r="BB102" s="228">
        <f t="shared" si="1001"/>
        <v>6.3167229048863904E-2</v>
      </c>
      <c r="BC102" s="228">
        <f t="shared" si="1001"/>
        <v>6.3517845693524255E-2</v>
      </c>
      <c r="BD102" s="228">
        <f t="shared" si="1001"/>
        <v>0.10431317393342709</v>
      </c>
      <c r="BE102" s="228">
        <f t="shared" si="1001"/>
        <v>0.11339633129516398</v>
      </c>
      <c r="BF102" s="228"/>
      <c r="BG102" s="228">
        <f t="shared" ref="BG102:BP102" si="1002">+BG100/BG12</f>
        <v>9.7636966013559465E-2</v>
      </c>
      <c r="BH102" s="228">
        <f t="shared" si="1002"/>
        <v>0.10562177051081588</v>
      </c>
      <c r="BI102" s="228">
        <f t="shared" si="1002"/>
        <v>0.12323305545487495</v>
      </c>
      <c r="BJ102" s="228">
        <f t="shared" si="1002"/>
        <v>0.13429431911190928</v>
      </c>
      <c r="BK102" s="228">
        <f t="shared" si="1002"/>
        <v>0.13285319721707514</v>
      </c>
      <c r="BL102" s="228">
        <f t="shared" si="1002"/>
        <v>0.14397220503545763</v>
      </c>
      <c r="BM102" s="228">
        <f t="shared" si="1002"/>
        <v>0.14727391940283452</v>
      </c>
      <c r="BN102" s="228">
        <f t="shared" si="1002"/>
        <v>0.15053205294575656</v>
      </c>
      <c r="BO102" s="228">
        <f t="shared" si="1002"/>
        <v>0.22723378562511728</v>
      </c>
      <c r="BP102" s="228">
        <f t="shared" si="1002"/>
        <v>0.2986211431566882</v>
      </c>
    </row>
    <row r="104" spans="2:73">
      <c r="B104" s="843" t="s">
        <v>312</v>
      </c>
      <c r="D104" s="8">
        <f t="shared" ref="D104:AQ104" si="1003">+D89-D100</f>
        <v>6277</v>
      </c>
      <c r="E104" s="8">
        <f t="shared" si="1003"/>
        <v>7033</v>
      </c>
      <c r="F104" s="8">
        <f t="shared" si="1003"/>
        <v>5684</v>
      </c>
      <c r="G104" s="8">
        <f t="shared" si="1003"/>
        <v>5916</v>
      </c>
      <c r="H104" s="8">
        <f t="shared" si="1003"/>
        <v>6231</v>
      </c>
      <c r="I104" s="8">
        <f t="shared" si="1003"/>
        <v>7571</v>
      </c>
      <c r="J104" s="8">
        <f t="shared" si="1003"/>
        <v>7076</v>
      </c>
      <c r="K104" s="8">
        <f t="shared" si="1003"/>
        <v>7031</v>
      </c>
      <c r="L104" s="8">
        <f t="shared" si="1003"/>
        <v>7507</v>
      </c>
      <c r="M104" s="8">
        <f t="shared" si="1003"/>
        <v>7915</v>
      </c>
      <c r="N104" s="8">
        <f t="shared" si="1003"/>
        <v>7502</v>
      </c>
      <c r="O104" s="8">
        <f t="shared" si="1003"/>
        <v>8795</v>
      </c>
      <c r="P104" s="8">
        <f t="shared" si="1003"/>
        <v>8492</v>
      </c>
      <c r="Q104" s="8">
        <f t="shared" si="1003"/>
        <v>9353</v>
      </c>
      <c r="R104" s="8">
        <f t="shared" si="1003"/>
        <v>9867</v>
      </c>
      <c r="S104" s="8">
        <f t="shared" si="1003"/>
        <v>10029</v>
      </c>
      <c r="T104" s="8">
        <f t="shared" si="1003"/>
        <v>10857</v>
      </c>
      <c r="U104" s="8">
        <f t="shared" si="1003"/>
        <v>12594</v>
      </c>
      <c r="V104" s="8">
        <f t="shared" si="1003"/>
        <v>12193</v>
      </c>
      <c r="W104" s="8">
        <f t="shared" si="1003"/>
        <v>11111</v>
      </c>
      <c r="X104" s="8">
        <f t="shared" si="1003"/>
        <v>13021</v>
      </c>
      <c r="Y104" s="8">
        <f t="shared" si="1003"/>
        <v>15258</v>
      </c>
      <c r="Z104" s="8">
        <f t="shared" si="1003"/>
        <v>13984</v>
      </c>
      <c r="AA104" s="8">
        <f t="shared" si="1003"/>
        <v>15139</v>
      </c>
      <c r="AB104" s="8">
        <f t="shared" si="1003"/>
        <v>16050</v>
      </c>
      <c r="AC104" s="8">
        <f t="shared" si="1003"/>
        <v>18943</v>
      </c>
      <c r="AD104" s="8">
        <f t="shared" si="1003"/>
        <v>17837</v>
      </c>
      <c r="AE104" s="8">
        <f t="shared" si="1003"/>
        <v>15813</v>
      </c>
      <c r="AF104" s="8">
        <f t="shared" si="1003"/>
        <v>17708</v>
      </c>
      <c r="AG104" s="8">
        <f t="shared" si="1003"/>
        <v>18418</v>
      </c>
      <c r="AH104" s="8">
        <f t="shared" si="1003"/>
        <v>18101</v>
      </c>
      <c r="AI104" s="11">
        <f t="shared" si="1003"/>
        <v>17428</v>
      </c>
      <c r="AJ104" s="11">
        <f t="shared" si="1003"/>
        <v>19616</v>
      </c>
      <c r="AK104" s="8">
        <f t="shared" si="1003"/>
        <v>22121</v>
      </c>
      <c r="AL104" s="8">
        <f t="shared" ref="AL104" si="1004">+AL89-AL100</f>
        <v>19878</v>
      </c>
      <c r="AM104" s="8">
        <f t="shared" si="1003"/>
        <v>15555</v>
      </c>
      <c r="AN104" s="8">
        <f t="shared" si="1003"/>
        <v>18165</v>
      </c>
      <c r="AO104" s="8">
        <f t="shared" si="1003"/>
        <v>18175.765274016638</v>
      </c>
      <c r="AP104" s="8">
        <f t="shared" si="1003"/>
        <v>19482.184658974125</v>
      </c>
      <c r="AQ104" s="8">
        <f t="shared" si="1003"/>
        <v>20748.918296058291</v>
      </c>
      <c r="AS104" s="8">
        <f t="shared" ref="AS104:BE104" si="1005">+AS89-AS100</f>
        <v>14619</v>
      </c>
      <c r="AT104" s="8">
        <f t="shared" si="1005"/>
        <v>15705</v>
      </c>
      <c r="AU104" s="8">
        <f t="shared" si="1005"/>
        <v>17614</v>
      </c>
      <c r="AV104" s="8">
        <f t="shared" si="1005"/>
        <v>21145</v>
      </c>
      <c r="AW104" s="8">
        <f t="shared" si="1005"/>
        <v>19806</v>
      </c>
      <c r="AX104" s="8">
        <f t="shared" si="1005"/>
        <v>24794</v>
      </c>
      <c r="AY104" s="8">
        <f t="shared" si="1005"/>
        <v>27572</v>
      </c>
      <c r="AZ104" s="8">
        <f t="shared" si="1005"/>
        <v>29158</v>
      </c>
      <c r="BA104" s="8">
        <f t="shared" si="1005"/>
        <v>26455</v>
      </c>
      <c r="BB104" s="8">
        <f t="shared" si="1005"/>
        <v>27613</v>
      </c>
      <c r="BC104" s="8">
        <f t="shared" si="1005"/>
        <v>28185</v>
      </c>
      <c r="BD104" s="8">
        <f t="shared" si="1005"/>
        <v>25657</v>
      </c>
      <c r="BE104" s="8">
        <f t="shared" si="1005"/>
        <v>27917</v>
      </c>
      <c r="BG104" s="8">
        <f t="shared" ref="BG104:BP104" si="1006">+BG89-BG100</f>
        <v>24910</v>
      </c>
      <c r="BH104" s="8">
        <f t="shared" si="1006"/>
        <v>27909</v>
      </c>
      <c r="BI104" s="8">
        <f t="shared" si="1006"/>
        <v>31719</v>
      </c>
      <c r="BJ104" s="8">
        <f t="shared" si="1006"/>
        <v>37741</v>
      </c>
      <c r="BK104" s="11">
        <f t="shared" si="1006"/>
        <v>46755</v>
      </c>
      <c r="BL104" s="11">
        <f t="shared" si="1006"/>
        <v>57402</v>
      </c>
      <c r="BM104" s="11">
        <f t="shared" si="1006"/>
        <v>68643</v>
      </c>
      <c r="BN104" s="11">
        <f t="shared" si="1006"/>
        <v>71655</v>
      </c>
      <c r="BO104" s="11">
        <f t="shared" si="1006"/>
        <v>77170</v>
      </c>
      <c r="BP104" s="11">
        <f t="shared" si="1006"/>
        <v>76571.868229049054</v>
      </c>
      <c r="BR104" s="8">
        <f>+SUM(Z104:AC104)</f>
        <v>64116</v>
      </c>
      <c r="BS104" s="8">
        <f>+SUM(AD104:AG104)</f>
        <v>69776</v>
      </c>
      <c r="BT104" s="8">
        <f>+SUM(AH104:AK104)</f>
        <v>77266</v>
      </c>
      <c r="BU104" s="8">
        <f>+SUM(AL104:AO104)</f>
        <v>71773.765274016638</v>
      </c>
    </row>
    <row r="105" spans="2:73" s="3" customFormat="1">
      <c r="B105" s="13" t="s">
        <v>113</v>
      </c>
      <c r="D105" s="228"/>
      <c r="E105" s="228"/>
      <c r="F105" s="228"/>
      <c r="G105" s="228"/>
      <c r="H105" s="228">
        <f>IFERROR(H104/D104-1,"n/a ")</f>
        <v>-7.3283415644416205E-3</v>
      </c>
      <c r="I105" s="228">
        <f t="shared" ref="I105" si="1007">IFERROR(I104/E104-1,"n/a ")</f>
        <v>7.6496516422579264E-2</v>
      </c>
      <c r="J105" s="228">
        <f t="shared" ref="J105" si="1008">IFERROR(J104/F104-1,"n/a ")</f>
        <v>0.24489795918367352</v>
      </c>
      <c r="K105" s="228">
        <f t="shared" ref="K105" si="1009">IFERROR(K104/G104-1,"n/a ")</f>
        <v>0.18847194050033811</v>
      </c>
      <c r="L105" s="228">
        <f t="shared" ref="L105" si="1010">IFERROR(L104/H104-1,"n/a ")</f>
        <v>0.20478253891831177</v>
      </c>
      <c r="M105" s="228">
        <f t="shared" ref="M105" si="1011">IFERROR(M104/I104-1,"n/a ")</f>
        <v>4.5436534143442175E-2</v>
      </c>
      <c r="N105" s="228">
        <f t="shared" ref="N105" si="1012">IFERROR(N104/J104-1,"n/a ")</f>
        <v>6.0203504804974495E-2</v>
      </c>
      <c r="O105" s="228">
        <f t="shared" ref="O105" si="1013">IFERROR(O104/K104-1,"n/a ")</f>
        <v>0.25088892049495093</v>
      </c>
      <c r="P105" s="228">
        <f t="shared" ref="P105" si="1014">IFERROR(P104/L104-1,"n/a ")</f>
        <v>0.13121086985480224</v>
      </c>
      <c r="Q105" s="228">
        <f t="shared" ref="Q105" si="1015">IFERROR(Q104/M104-1,"n/a ")</f>
        <v>0.18168035375868596</v>
      </c>
      <c r="R105" s="228">
        <f t="shared" ref="R105" si="1016">IFERROR(R104/N104-1,"n/a ")</f>
        <v>0.31524926686217003</v>
      </c>
      <c r="S105" s="228">
        <f t="shared" ref="S105" si="1017">IFERROR(S104/O104-1,"n/a ")</f>
        <v>0.14030699260943713</v>
      </c>
      <c r="T105" s="228">
        <f t="shared" ref="T105" si="1018">IFERROR(T104/P104-1,"n/a ")</f>
        <v>0.27849740932642497</v>
      </c>
      <c r="U105" s="228">
        <f t="shared" ref="U105" si="1019">IFERROR(U104/Q104-1,"n/a ")</f>
        <v>0.34651983320859614</v>
      </c>
      <c r="V105" s="228">
        <f t="shared" ref="V105" si="1020">IFERROR(V104/R104-1,"n/a ")</f>
        <v>0.23573527921354009</v>
      </c>
      <c r="W105" s="228">
        <f t="shared" ref="W105" si="1021">IFERROR(W104/S104-1,"n/a ")</f>
        <v>0.10788712733074091</v>
      </c>
      <c r="X105" s="228">
        <f t="shared" ref="X105" si="1022">IFERROR(X104/T104-1,"n/a ")</f>
        <v>0.19931841208436962</v>
      </c>
      <c r="Y105" s="228">
        <f t="shared" ref="Y105" si="1023">IFERROR(Y104/U104-1,"n/a ")</f>
        <v>0.21152929966650791</v>
      </c>
      <c r="Z105" s="228">
        <f t="shared" ref="Z105" si="1024">IFERROR(Z104/V104-1,"n/a ")</f>
        <v>0.14688755843516765</v>
      </c>
      <c r="AA105" s="228">
        <f t="shared" ref="AA105" si="1025">IFERROR(AA104/W104-1,"n/a ")</f>
        <v>0.36252362523625226</v>
      </c>
      <c r="AB105" s="228">
        <f t="shared" ref="AB105" si="1026">IFERROR(AB104/X104-1,"n/a ")</f>
        <v>0.23262422240995306</v>
      </c>
      <c r="AC105" s="228">
        <f t="shared" ref="AC105" si="1027">IFERROR(AC104/Y104-1,"n/a ")</f>
        <v>0.24151264910211045</v>
      </c>
      <c r="AD105" s="228">
        <f t="shared" ref="AD105" si="1028">IFERROR(AD104/Z104-1,"n/a ")</f>
        <v>0.27552917620137296</v>
      </c>
      <c r="AE105" s="228">
        <f t="shared" ref="AE105" si="1029">IFERROR(AE104/AA104-1,"n/a ")</f>
        <v>4.4520774159455767E-2</v>
      </c>
      <c r="AF105" s="228">
        <f t="shared" ref="AF105" si="1030">IFERROR(AF104/AB104-1,"n/a ")</f>
        <v>0.10330218068535824</v>
      </c>
      <c r="AG105" s="228">
        <f t="shared" ref="AG105" si="1031">IFERROR(AG104/AC104-1,"n/a ")</f>
        <v>-2.7714723116718631E-2</v>
      </c>
      <c r="AH105" s="228">
        <f t="shared" ref="AH105" si="1032">IFERROR(AH104/AD104-1,"n/a ")</f>
        <v>1.4800695184167711E-2</v>
      </c>
      <c r="AI105" s="228">
        <f t="shared" ref="AI105" si="1033">IFERROR(AI104/AE104-1,"n/a ")</f>
        <v>0.10213115790805039</v>
      </c>
      <c r="AJ105" s="228">
        <f t="shared" ref="AJ105" si="1034">IFERROR(AJ104/AF104-1,"n/a ")</f>
        <v>0.10774791054890454</v>
      </c>
      <c r="AK105" s="228">
        <f t="shared" ref="AK105" si="1035">IFERROR(AK104/AG104-1,"n/a ")</f>
        <v>0.20105331740688448</v>
      </c>
      <c r="AL105" s="228">
        <f t="shared" ref="AL105" si="1036">IFERROR(AL104/AH104-1,"n/a ")</f>
        <v>9.8171371747417302E-2</v>
      </c>
      <c r="AM105" s="228">
        <f t="shared" ref="AM105" si="1037">IFERROR(AM104/AI104-1,"n/a ")</f>
        <v>-0.10747073674546703</v>
      </c>
      <c r="AN105" s="228">
        <f t="shared" ref="AN105" si="1038">IFERROR(AN104/AJ104-1,"n/a ")</f>
        <v>-7.3970228384991898E-2</v>
      </c>
      <c r="AO105" s="228">
        <f t="shared" ref="AO105" si="1039">IFERROR(AO104/AK104-1,"n/a ")</f>
        <v>-0.17834793752467626</v>
      </c>
      <c r="AP105" s="228">
        <f t="shared" ref="AP105" si="1040">IFERROR(AP104/AL104-1,"n/a ")</f>
        <v>-1.9912231664446889E-2</v>
      </c>
      <c r="AQ105" s="228">
        <f t="shared" ref="AQ105" si="1041">IFERROR(AQ104/AM104-1,"n/a ")</f>
        <v>0.33390667284206299</v>
      </c>
      <c r="AR105" s="228"/>
      <c r="AS105" s="228"/>
      <c r="AT105" s="228">
        <f>IFERROR(AT104/AS104-1,"n/a ")</f>
        <v>7.4286886927970475E-2</v>
      </c>
      <c r="AU105" s="228">
        <f t="shared" ref="AU105" si="1042">IFERROR(AU104/AT104-1,"n/a ")</f>
        <v>0.12155364533588031</v>
      </c>
      <c r="AV105" s="228">
        <f t="shared" ref="AV105" si="1043">IFERROR(AV104/AU104-1,"n/a ")</f>
        <v>0.20046553877597373</v>
      </c>
      <c r="AW105" s="228">
        <f t="shared" ref="AW105" si="1044">IFERROR(AW104/AV104-1,"n/a ")</f>
        <v>-6.3324663040908002E-2</v>
      </c>
      <c r="AX105" s="228">
        <f t="shared" ref="AX105" si="1045">IFERROR(AX104/AW104-1,"n/a ")</f>
        <v>0.25184287589619303</v>
      </c>
      <c r="AY105" s="228">
        <f t="shared" ref="AY105" si="1046">IFERROR(AY104/AX104-1,"n/a ")</f>
        <v>0.11204323626683865</v>
      </c>
      <c r="AZ105" s="228">
        <f t="shared" ref="AZ105" si="1047">IFERROR(AZ104/AY104-1,"n/a ")</f>
        <v>5.7522123893805288E-2</v>
      </c>
      <c r="BA105" s="228">
        <f t="shared" ref="BA105" si="1048">IFERROR(BA104/AZ104-1,"n/a ")</f>
        <v>-9.2701831401330703E-2</v>
      </c>
      <c r="BB105" s="228">
        <f t="shared" ref="BB105" si="1049">IFERROR(BB104/BA104-1,"n/a ")</f>
        <v>4.3772443772443825E-2</v>
      </c>
      <c r="BC105" s="228">
        <f t="shared" ref="BC105" si="1050">IFERROR(BC104/BB104-1,"n/a ")</f>
        <v>2.0714880672147107E-2</v>
      </c>
      <c r="BD105" s="228">
        <f t="shared" ref="BD105" si="1051">IFERROR(BD104/BC104-1,"n/a ")</f>
        <v>-8.9693099166223145E-2</v>
      </c>
      <c r="BE105" s="228">
        <f t="shared" ref="BE105" si="1052">IFERROR(BE104/BD104-1,"n/a ")</f>
        <v>8.8085122968390772E-2</v>
      </c>
      <c r="BF105" s="228"/>
      <c r="BG105" s="829">
        <f t="shared" ref="BG105" si="1053">+BD105</f>
        <v>-8.9693099166223145E-2</v>
      </c>
      <c r="BH105" s="228">
        <f t="shared" ref="BH105" si="1054">IFERROR(BH104/BG104-1,"n/a ")</f>
        <v>0.12039341629867528</v>
      </c>
      <c r="BI105" s="228">
        <f t="shared" ref="BI105" si="1055">IFERROR(BI104/BH104-1,"n/a ")</f>
        <v>0.13651510265505751</v>
      </c>
      <c r="BJ105" s="228">
        <f t="shared" ref="BJ105" si="1056">IFERROR(BJ104/BI104-1,"n/a ")</f>
        <v>0.18985466124404926</v>
      </c>
      <c r="BK105" s="228">
        <f t="shared" ref="BK105" si="1057">IFERROR(BK104/BJ104-1,"n/a ")</f>
        <v>0.23883839855859668</v>
      </c>
      <c r="BL105" s="228">
        <f t="shared" ref="BL105" si="1058">IFERROR(BL104/BK104-1,"n/a ")</f>
        <v>0.22771896053897978</v>
      </c>
      <c r="BM105" s="228">
        <f t="shared" ref="BM105" si="1059">IFERROR(BM104/BL104-1,"n/a ")</f>
        <v>0.19582941360928197</v>
      </c>
      <c r="BN105" s="228">
        <f t="shared" ref="BN105" si="1060">IFERROR(BN104/BM104-1,"n/a ")</f>
        <v>4.3879201083868669E-2</v>
      </c>
      <c r="BO105" s="228">
        <f t="shared" ref="BO105" si="1061">IFERROR(BO104/BN104-1,"n/a ")</f>
        <v>7.6966017723815394E-2</v>
      </c>
      <c r="BP105" s="228">
        <f t="shared" ref="BP105" si="1062">IFERROR(BP104/BO104-1,"n/a ")</f>
        <v>-7.7508328489173106E-3</v>
      </c>
    </row>
    <row r="106" spans="2:73" s="3" customFormat="1">
      <c r="B106" s="13" t="s">
        <v>123</v>
      </c>
      <c r="D106" s="228">
        <f t="shared" ref="D106:AQ106" si="1063">+D104/D12</f>
        <v>0.30019129603060735</v>
      </c>
      <c r="E106" s="228">
        <f t="shared" si="1063"/>
        <v>0.27850156417059357</v>
      </c>
      <c r="F106" s="228">
        <f t="shared" si="1063"/>
        <v>0.26416321977970908</v>
      </c>
      <c r="G106" s="228">
        <f t="shared" si="1063"/>
        <v>0.25202351537871687</v>
      </c>
      <c r="H106" s="228">
        <f t="shared" si="1063"/>
        <v>0.28415724188252461</v>
      </c>
      <c r="I106" s="228">
        <f t="shared" si="1063"/>
        <v>0.293154185704329</v>
      </c>
      <c r="J106" s="228">
        <f t="shared" si="1063"/>
        <v>0.30484232293641222</v>
      </c>
      <c r="K106" s="228">
        <f t="shared" si="1063"/>
        <v>0.27459480570201134</v>
      </c>
      <c r="L106" s="228">
        <f t="shared" si="1063"/>
        <v>0.30593365392452521</v>
      </c>
      <c r="M106" s="228">
        <f t="shared" si="1063"/>
        <v>0.27370495884915969</v>
      </c>
      <c r="N106" s="228">
        <f t="shared" si="1063"/>
        <v>0.27972705917446589</v>
      </c>
      <c r="O106" s="228">
        <f t="shared" si="1063"/>
        <v>0.292338374605285</v>
      </c>
      <c r="P106" s="228">
        <f t="shared" si="1063"/>
        <v>0.291981845688351</v>
      </c>
      <c r="Q106" s="228">
        <f t="shared" si="1063"/>
        <v>0.28804163715315206</v>
      </c>
      <c r="R106" s="228">
        <f t="shared" si="1063"/>
        <v>0.32275686107749174</v>
      </c>
      <c r="S106" s="228">
        <f t="shared" si="1063"/>
        <v>0.29744639202776046</v>
      </c>
      <c r="T106" s="228">
        <f t="shared" si="1063"/>
        <v>0.32845257903494174</v>
      </c>
      <c r="U106" s="228">
        <f t="shared" si="1063"/>
        <v>0.34124532596325802</v>
      </c>
      <c r="V106" s="228">
        <f t="shared" si="1063"/>
        <v>0.34816253105279688</v>
      </c>
      <c r="W106" s="228">
        <f t="shared" si="1063"/>
        <v>0.2921410354166119</v>
      </c>
      <c r="X106" s="228">
        <f t="shared" si="1063"/>
        <v>0.35046024654142222</v>
      </c>
      <c r="Y106" s="228">
        <f t="shared" si="1063"/>
        <v>0.35421116166775002</v>
      </c>
      <c r="Z106" s="228">
        <f t="shared" si="1063"/>
        <v>0.33529947729343501</v>
      </c>
      <c r="AA106" s="228">
        <f t="shared" si="1063"/>
        <v>0.328024787658173</v>
      </c>
      <c r="AB106" s="228">
        <f t="shared" si="1063"/>
        <v>0.35417172363572169</v>
      </c>
      <c r="AC106" s="228">
        <f t="shared" si="1063"/>
        <v>0.36620399010207239</v>
      </c>
      <c r="AD106" s="228">
        <f t="shared" si="1063"/>
        <v>0.36136547811993519</v>
      </c>
      <c r="AE106" s="228">
        <f t="shared" si="1063"/>
        <v>0.30488768919309744</v>
      </c>
      <c r="AF106" s="228">
        <f t="shared" si="1063"/>
        <v>0.35329795299469297</v>
      </c>
      <c r="AG106" s="228">
        <f t="shared" si="1063"/>
        <v>0.34917625646956224</v>
      </c>
      <c r="AH106" s="228">
        <f t="shared" si="1063"/>
        <v>0.34245227689804569</v>
      </c>
      <c r="AI106" s="228">
        <f t="shared" si="1063"/>
        <v>0.31016747050134369</v>
      </c>
      <c r="AJ106" s="228">
        <f t="shared" si="1063"/>
        <v>0.34708140913353502</v>
      </c>
      <c r="AK106" s="228">
        <f t="shared" si="1063"/>
        <v>0.35667526604321187</v>
      </c>
      <c r="AL106" s="228">
        <f t="shared" si="1063"/>
        <v>0.32134889585825599</v>
      </c>
      <c r="AM106" s="228">
        <f t="shared" si="1063"/>
        <v>0.24031702380768458</v>
      </c>
      <c r="AN106" s="228">
        <f t="shared" si="1063"/>
        <v>0.27696881908973087</v>
      </c>
      <c r="AO106" s="228">
        <f t="shared" si="1063"/>
        <v>0.26361095782803057</v>
      </c>
      <c r="AP106" s="228">
        <f t="shared" si="1063"/>
        <v>0.27958995288801519</v>
      </c>
      <c r="AQ106" s="228">
        <f t="shared" si="1063"/>
        <v>0.2814226492291439</v>
      </c>
      <c r="AR106" s="228"/>
      <c r="AS106" s="228">
        <f t="shared" ref="AS106:BE106" si="1064">+AS104/AS12</f>
        <v>0.36742233839348548</v>
      </c>
      <c r="AT106" s="228">
        <f t="shared" si="1064"/>
        <v>0.35465877783297955</v>
      </c>
      <c r="AU106" s="228">
        <f t="shared" si="1064"/>
        <v>0.34454833535464185</v>
      </c>
      <c r="AV106" s="228">
        <f t="shared" si="1064"/>
        <v>0.34996689837802053</v>
      </c>
      <c r="AW106" s="228">
        <f t="shared" si="1064"/>
        <v>0.33892910313671132</v>
      </c>
      <c r="AX106" s="228">
        <f t="shared" si="1064"/>
        <v>0.39680558222905066</v>
      </c>
      <c r="AY106" s="228">
        <f t="shared" si="1064"/>
        <v>0.394206711179103</v>
      </c>
      <c r="AZ106" s="228">
        <f t="shared" si="1064"/>
        <v>0.39550750783337629</v>
      </c>
      <c r="BA106" s="228">
        <f t="shared" si="1064"/>
        <v>0.33982453210702773</v>
      </c>
      <c r="BB106" s="228">
        <f t="shared" si="1064"/>
        <v>0.31800122073405274</v>
      </c>
      <c r="BC106" s="228">
        <f t="shared" si="1064"/>
        <v>0.30118615088694167</v>
      </c>
      <c r="BD106" s="228">
        <f t="shared" si="1064"/>
        <v>0.30071495546179089</v>
      </c>
      <c r="BE106" s="228">
        <f t="shared" si="1064"/>
        <v>0.31036131183991106</v>
      </c>
      <c r="BF106" s="228"/>
      <c r="BG106" s="228">
        <f t="shared" ref="BG106:BP106" si="1065">+BG104/BG12</f>
        <v>0.27327380038177151</v>
      </c>
      <c r="BH106" s="228">
        <f t="shared" si="1065"/>
        <v>0.28899980325356472</v>
      </c>
      <c r="BI106" s="228">
        <f t="shared" si="1065"/>
        <v>0.28741391808626315</v>
      </c>
      <c r="BJ106" s="228">
        <f t="shared" si="1065"/>
        <v>0.29990543772796263</v>
      </c>
      <c r="BK106" s="228">
        <f t="shared" si="1065"/>
        <v>0.32692374925707096</v>
      </c>
      <c r="BL106" s="228">
        <f t="shared" si="1065"/>
        <v>0.3414996906382371</v>
      </c>
      <c r="BM106" s="228">
        <f t="shared" si="1065"/>
        <v>0.34620971402632772</v>
      </c>
      <c r="BN106" s="228">
        <f t="shared" si="1065"/>
        <v>0.33813085435198076</v>
      </c>
      <c r="BO106" s="228">
        <f t="shared" si="1065"/>
        <v>0.31482282292083125</v>
      </c>
      <c r="BP106" s="228">
        <f t="shared" si="1065"/>
        <v>0.27549372077351714</v>
      </c>
      <c r="BR106" s="986">
        <f>+BR104/BR12</f>
        <v>0.34675478494129353</v>
      </c>
      <c r="BS106" s="986">
        <f>+BS104/BS12</f>
        <v>0.34188168197007263</v>
      </c>
      <c r="BT106" s="986">
        <f>+BT104/BT12</f>
        <v>0.33950690517305776</v>
      </c>
      <c r="BU106" s="986">
        <f>+BU104/BU12</f>
        <v>0.27486973239414525</v>
      </c>
    </row>
    <row r="107" spans="2:73" s="3" customFormat="1" hidden="1" outlineLevel="1">
      <c r="B107" s="13"/>
      <c r="D107" s="228"/>
      <c r="E107" s="228"/>
      <c r="F107" s="228"/>
      <c r="G107" s="228"/>
      <c r="H107" s="228"/>
      <c r="I107" s="228"/>
      <c r="J107" s="228"/>
      <c r="K107" s="228"/>
      <c r="L107" s="228"/>
      <c r="M107" s="228"/>
      <c r="N107" s="228"/>
      <c r="O107" s="228"/>
      <c r="P107" s="228"/>
      <c r="Q107" s="228"/>
      <c r="R107" s="228"/>
      <c r="S107" s="228"/>
      <c r="T107" s="228"/>
      <c r="U107" s="228"/>
      <c r="V107" s="228"/>
      <c r="W107" s="228"/>
      <c r="X107" s="228"/>
      <c r="Y107" s="228"/>
      <c r="Z107" s="228"/>
      <c r="AA107" s="228"/>
      <c r="AB107" s="228"/>
      <c r="AC107" s="228"/>
      <c r="AD107" s="228"/>
      <c r="AE107" s="228"/>
      <c r="AF107" s="228"/>
      <c r="AG107" s="228"/>
      <c r="AH107" s="228"/>
      <c r="AI107" s="228"/>
      <c r="AJ107" s="228"/>
      <c r="AK107" s="228"/>
      <c r="AL107" s="228"/>
      <c r="AM107" s="228"/>
      <c r="AN107" s="228"/>
      <c r="AO107" s="228"/>
      <c r="AP107" s="228"/>
      <c r="AQ107" s="228"/>
      <c r="AR107" s="228"/>
      <c r="AS107" s="228"/>
      <c r="AT107" s="228"/>
      <c r="AU107" s="228"/>
      <c r="AV107" s="228"/>
      <c r="AW107" s="228"/>
      <c r="AX107" s="228"/>
      <c r="AY107" s="228"/>
      <c r="AZ107" s="228"/>
      <c r="BA107" s="228"/>
      <c r="BB107" s="228"/>
      <c r="BC107" s="228"/>
      <c r="BD107" s="228"/>
      <c r="BE107" s="228"/>
      <c r="BF107" s="228"/>
      <c r="BG107" s="228"/>
      <c r="BH107" s="228"/>
      <c r="BI107" s="228"/>
      <c r="BJ107" s="228"/>
      <c r="BK107" s="228"/>
      <c r="BL107" s="228"/>
      <c r="BM107" s="228"/>
      <c r="BN107" s="228"/>
      <c r="BO107" s="228"/>
      <c r="BP107" s="228"/>
    </row>
    <row r="108" spans="2:73" hidden="1" outlineLevel="1">
      <c r="B108" s="24" t="s">
        <v>127</v>
      </c>
    </row>
    <row r="109" spans="2:73" s="3" customFormat="1" hidden="1" outlineLevel="1">
      <c r="B109" s="13" t="s">
        <v>313</v>
      </c>
      <c r="D109" s="14">
        <f t="shared" ref="D109:AQ109" si="1066">-D114/D19</f>
        <v>7.1736011477761832E-2</v>
      </c>
      <c r="E109" s="14">
        <f t="shared" si="1066"/>
        <v>7.9198511067991917E-2</v>
      </c>
      <c r="F109" s="14">
        <f t="shared" si="1066"/>
        <v>0.10689222475252126</v>
      </c>
      <c r="G109" s="14">
        <f t="shared" si="1066"/>
        <v>0.13206100366362786</v>
      </c>
      <c r="H109" s="14">
        <f t="shared" si="1066"/>
        <v>0.10488872674206494</v>
      </c>
      <c r="I109" s="14">
        <f t="shared" si="1066"/>
        <v>9.6801672732904825E-2</v>
      </c>
      <c r="J109" s="14">
        <f t="shared" si="1066"/>
        <v>9.0470446320868522E-2</v>
      </c>
      <c r="K109" s="14">
        <f t="shared" si="1066"/>
        <v>0.12888107791446984</v>
      </c>
      <c r="L109" s="14">
        <f t="shared" si="1066"/>
        <v>0.11003341755644307</v>
      </c>
      <c r="M109" s="14">
        <f t="shared" si="1066"/>
        <v>0.11411577564146898</v>
      </c>
      <c r="N109" s="14">
        <f t="shared" si="1066"/>
        <v>0.13050449308326187</v>
      </c>
      <c r="O109" s="14">
        <f t="shared" si="1066"/>
        <v>0.13628053847432275</v>
      </c>
      <c r="P109" s="14">
        <f t="shared" si="1066"/>
        <v>0.14784761380827946</v>
      </c>
      <c r="Q109" s="14">
        <f t="shared" si="1066"/>
        <v>0.12010717255397124</v>
      </c>
      <c r="R109" s="14">
        <f t="shared" si="1066"/>
        <v>0.11121651238101468</v>
      </c>
      <c r="S109" s="14">
        <f t="shared" si="1066"/>
        <v>0.15719073464424474</v>
      </c>
      <c r="T109" s="14">
        <f t="shared" si="1066"/>
        <v>0.14521252458024506</v>
      </c>
      <c r="U109" s="14">
        <f t="shared" si="1066"/>
        <v>0.12193139326938709</v>
      </c>
      <c r="V109" s="14">
        <f t="shared" si="1066"/>
        <v>0.11136175437594587</v>
      </c>
      <c r="W109" s="14">
        <f t="shared" si="1066"/>
        <v>0.15249914547892621</v>
      </c>
      <c r="X109" s="14">
        <f t="shared" si="1066"/>
        <v>0.14803251332292619</v>
      </c>
      <c r="Y109" s="14">
        <f t="shared" si="1066"/>
        <v>0.12535982913919583</v>
      </c>
      <c r="Z109" s="14">
        <f t="shared" si="1066"/>
        <v>0.14386419220256078</v>
      </c>
      <c r="AA109" s="14">
        <f t="shared" si="1066"/>
        <v>0.15817299358641013</v>
      </c>
      <c r="AB109" s="14">
        <f t="shared" si="1066"/>
        <v>0.1632941280314231</v>
      </c>
      <c r="AC109" s="14">
        <f t="shared" si="1066"/>
        <v>0.13145685122177544</v>
      </c>
      <c r="AD109" s="14">
        <f t="shared" si="1066"/>
        <v>0.12763371150729336</v>
      </c>
      <c r="AE109" s="14">
        <f t="shared" si="1066"/>
        <v>0.16774317940807867</v>
      </c>
      <c r="AF109" s="890">
        <f t="shared" si="1066"/>
        <v>0.13167870396233192</v>
      </c>
      <c r="AG109" s="890">
        <f t="shared" si="1066"/>
        <v>0.12891728439532107</v>
      </c>
      <c r="AH109" s="14">
        <f t="shared" si="1066"/>
        <v>0.14756796639990918</v>
      </c>
      <c r="AI109" s="14">
        <f t="shared" si="1066"/>
        <v>0.19042873160227092</v>
      </c>
      <c r="AJ109" s="14">
        <f t="shared" si="1066"/>
        <v>0.1981704619848895</v>
      </c>
      <c r="AK109" s="14">
        <f t="shared" si="1066"/>
        <v>0.18542405675588519</v>
      </c>
      <c r="AL109" s="14">
        <f t="shared" si="1066"/>
        <v>0.22632480843221572</v>
      </c>
      <c r="AM109" s="14">
        <f t="shared" ref="AM109:AN109" si="1067">-AM114/AM19</f>
        <v>0.29354056267091011</v>
      </c>
      <c r="AN109" s="14">
        <f t="shared" si="1067"/>
        <v>0.30494777769307008</v>
      </c>
      <c r="AO109" s="851">
        <f t="shared" si="1066"/>
        <v>0.30457205135139193</v>
      </c>
      <c r="AP109" s="851">
        <f t="shared" si="1066"/>
        <v>0.3013722081698762</v>
      </c>
      <c r="AQ109" s="851">
        <f t="shared" si="1066"/>
        <v>0.28482813173613641</v>
      </c>
      <c r="AS109" s="14">
        <f t="shared" ref="AS109:BE109" si="1068">-AS114/AS19</f>
        <v>2.0408163265306121E-2</v>
      </c>
      <c r="AT109" s="14">
        <f t="shared" si="1068"/>
        <v>3.5635246827153244E-2</v>
      </c>
      <c r="AU109" s="14">
        <f t="shared" si="1068"/>
        <v>4.4286217284143815E-2</v>
      </c>
      <c r="AV109" s="14">
        <f t="shared" si="1068"/>
        <v>5.2664680569347901E-2</v>
      </c>
      <c r="AW109" s="14">
        <f t="shared" si="1068"/>
        <v>5.3373718705614595E-2</v>
      </c>
      <c r="AX109" s="14">
        <f t="shared" si="1068"/>
        <v>3.1640099865565582E-2</v>
      </c>
      <c r="AY109" s="14">
        <f t="shared" si="1068"/>
        <v>3.3670274366269674E-2</v>
      </c>
      <c r="AZ109" s="14">
        <f t="shared" si="1068"/>
        <v>3.1038336722190054E-2</v>
      </c>
      <c r="BA109" s="14">
        <f t="shared" si="1068"/>
        <v>5.5064740198424507E-2</v>
      </c>
      <c r="BB109" s="14">
        <f t="shared" si="1068"/>
        <v>6.3167229048863904E-2</v>
      </c>
      <c r="BC109" s="14">
        <f t="shared" si="1068"/>
        <v>6.3517845693524255E-2</v>
      </c>
      <c r="BD109" s="14">
        <f t="shared" si="1068"/>
        <v>9.677805204266933E-2</v>
      </c>
      <c r="BE109" s="14">
        <f t="shared" si="1068"/>
        <v>0.10552779415872622</v>
      </c>
      <c r="BG109" s="14">
        <f t="shared" ref="BG109:BP109" si="1069">-BG114/BG19</f>
        <v>9.7636966013559465E-2</v>
      </c>
      <c r="BH109" s="14">
        <f t="shared" si="1069"/>
        <v>0.10562177051081588</v>
      </c>
      <c r="BI109" s="14">
        <f t="shared" si="1069"/>
        <v>0.12323305545487495</v>
      </c>
      <c r="BJ109" s="14">
        <f t="shared" si="1069"/>
        <v>0.13429431911190928</v>
      </c>
      <c r="BK109" s="14">
        <f t="shared" si="1069"/>
        <v>0.13285319721707514</v>
      </c>
      <c r="BL109" s="14">
        <f t="shared" si="1069"/>
        <v>0.14397220503545763</v>
      </c>
      <c r="BM109" s="14">
        <f t="shared" si="1069"/>
        <v>0.14727391940283452</v>
      </c>
      <c r="BN109" s="14">
        <f t="shared" si="1069"/>
        <v>0.15053205294575656</v>
      </c>
      <c r="BO109" s="14">
        <f t="shared" si="1069"/>
        <v>0.22723378562511728</v>
      </c>
      <c r="BP109" s="14">
        <f t="shared" si="1069"/>
        <v>0.2986211431566882</v>
      </c>
    </row>
    <row r="110" spans="2:73" s="3" customFormat="1" hidden="1" outlineLevel="1">
      <c r="B110" s="13" t="s">
        <v>314</v>
      </c>
      <c r="D110" s="14">
        <f t="shared" ref="D110:AQ110" si="1070">+D91-D109</f>
        <v>0.3001912960306074</v>
      </c>
      <c r="E110" s="14">
        <f t="shared" si="1070"/>
        <v>0.27850156417059357</v>
      </c>
      <c r="F110" s="14">
        <f t="shared" si="1070"/>
        <v>0.26416321977970908</v>
      </c>
      <c r="G110" s="14">
        <f t="shared" si="1070"/>
        <v>0.25202351537871681</v>
      </c>
      <c r="H110" s="14">
        <f t="shared" si="1070"/>
        <v>0.28415724188252461</v>
      </c>
      <c r="I110" s="14">
        <f t="shared" si="1070"/>
        <v>0.29315418570432894</v>
      </c>
      <c r="J110" s="14">
        <f t="shared" si="1070"/>
        <v>0.30484232293641217</v>
      </c>
      <c r="K110" s="14">
        <f t="shared" si="1070"/>
        <v>0.27459480570201134</v>
      </c>
      <c r="L110" s="14">
        <f t="shared" si="1070"/>
        <v>0.30593365392452521</v>
      </c>
      <c r="M110" s="14">
        <f t="shared" si="1070"/>
        <v>0.27370495884915969</v>
      </c>
      <c r="N110" s="14">
        <f t="shared" si="1070"/>
        <v>0.27972705917446583</v>
      </c>
      <c r="O110" s="14">
        <f t="shared" si="1070"/>
        <v>0.292338374605285</v>
      </c>
      <c r="P110" s="14">
        <f t="shared" si="1070"/>
        <v>0.29198184568835095</v>
      </c>
      <c r="Q110" s="14">
        <f t="shared" si="1070"/>
        <v>0.28804163715315206</v>
      </c>
      <c r="R110" s="14">
        <f t="shared" si="1070"/>
        <v>0.3227568610774918</v>
      </c>
      <c r="S110" s="14">
        <f t="shared" si="1070"/>
        <v>0.29744639202776046</v>
      </c>
      <c r="T110" s="14">
        <f t="shared" si="1070"/>
        <v>0.32845257903494174</v>
      </c>
      <c r="U110" s="14">
        <f t="shared" si="1070"/>
        <v>0.34124532596325796</v>
      </c>
      <c r="V110" s="14">
        <f t="shared" si="1070"/>
        <v>0.34816253105279688</v>
      </c>
      <c r="W110" s="14">
        <f t="shared" si="1070"/>
        <v>0.29214103541661185</v>
      </c>
      <c r="X110" s="14">
        <f t="shared" si="1070"/>
        <v>0.35046024654142216</v>
      </c>
      <c r="Y110" s="14">
        <f t="shared" si="1070"/>
        <v>0.35421116166775002</v>
      </c>
      <c r="Z110" s="14">
        <f t="shared" si="1070"/>
        <v>0.33529947729343501</v>
      </c>
      <c r="AA110" s="14">
        <f t="shared" si="1070"/>
        <v>0.328024787658173</v>
      </c>
      <c r="AB110" s="14">
        <f t="shared" si="1070"/>
        <v>0.35417172363572169</v>
      </c>
      <c r="AC110" s="14">
        <f t="shared" si="1070"/>
        <v>0.36620399010207239</v>
      </c>
      <c r="AD110" s="14">
        <f t="shared" si="1070"/>
        <v>0.36136547811993519</v>
      </c>
      <c r="AE110" s="14">
        <f t="shared" si="1070"/>
        <v>0.3048876891930975</v>
      </c>
      <c r="AF110" s="890">
        <f t="shared" si="1070"/>
        <v>0.35329795299469291</v>
      </c>
      <c r="AG110" s="890">
        <f t="shared" si="1070"/>
        <v>0.34917625646956224</v>
      </c>
      <c r="AH110" s="14">
        <f t="shared" si="1070"/>
        <v>0.34245227689804569</v>
      </c>
      <c r="AI110" s="14">
        <f t="shared" si="1070"/>
        <v>0.31016747050134363</v>
      </c>
      <c r="AJ110" s="14">
        <f t="shared" si="1070"/>
        <v>0.34708140913353502</v>
      </c>
      <c r="AK110" s="14">
        <f t="shared" si="1070"/>
        <v>0.35667526604321192</v>
      </c>
      <c r="AL110" s="14">
        <f t="shared" ref="AL110:AM110" si="1071">+AL91-AL109</f>
        <v>0.32134889585825599</v>
      </c>
      <c r="AM110" s="14">
        <f t="shared" si="1071"/>
        <v>0.2403170238076846</v>
      </c>
      <c r="AN110" s="14">
        <f t="shared" ref="AN110" si="1072">+AN91-AN109</f>
        <v>0.27696881908973087</v>
      </c>
      <c r="AO110" s="14">
        <f t="shared" si="1070"/>
        <v>0.26361095782803062</v>
      </c>
      <c r="AP110" s="14">
        <f t="shared" si="1070"/>
        <v>0.27958995288801514</v>
      </c>
      <c r="AQ110" s="14">
        <f t="shared" si="1070"/>
        <v>0.28142264922914395</v>
      </c>
      <c r="AS110" s="14">
        <f t="shared" ref="AS110:BE110" si="1073">+AS91-AS109</f>
        <v>0.36742233839348543</v>
      </c>
      <c r="AT110" s="14">
        <f t="shared" si="1073"/>
        <v>0.35465877783297955</v>
      </c>
      <c r="AU110" s="14">
        <f t="shared" si="1073"/>
        <v>0.3445483353546418</v>
      </c>
      <c r="AV110" s="14">
        <f t="shared" si="1073"/>
        <v>0.34996689837802047</v>
      </c>
      <c r="AW110" s="14">
        <f t="shared" si="1073"/>
        <v>0.33892910313671132</v>
      </c>
      <c r="AX110" s="14">
        <f t="shared" si="1073"/>
        <v>0.3968055822290506</v>
      </c>
      <c r="AY110" s="14">
        <f t="shared" si="1073"/>
        <v>0.394206711179103</v>
      </c>
      <c r="AZ110" s="14">
        <f t="shared" si="1073"/>
        <v>0.39263159312174301</v>
      </c>
      <c r="BA110" s="14">
        <f t="shared" si="1073"/>
        <v>0.34219819167237969</v>
      </c>
      <c r="BB110" s="14">
        <f t="shared" si="1073"/>
        <v>0.31800122073405274</v>
      </c>
      <c r="BC110" s="14">
        <f t="shared" si="1073"/>
        <v>0.30118615088694167</v>
      </c>
      <c r="BD110" s="14">
        <f t="shared" si="1073"/>
        <v>0.27899263834368171</v>
      </c>
      <c r="BE110" s="14">
        <f t="shared" si="1073"/>
        <v>0.28882543426756468</v>
      </c>
      <c r="BG110" s="14">
        <f t="shared" ref="BG110:BP110" si="1074">+BG91-BG109</f>
        <v>0.27327380038177151</v>
      </c>
      <c r="BH110" s="14">
        <f t="shared" si="1074"/>
        <v>0.28899980325356472</v>
      </c>
      <c r="BI110" s="14">
        <f t="shared" si="1074"/>
        <v>0.28741391808626315</v>
      </c>
      <c r="BJ110" s="14">
        <f t="shared" si="1074"/>
        <v>0.29990543772796263</v>
      </c>
      <c r="BK110" s="14">
        <f t="shared" si="1074"/>
        <v>0.32692374925707091</v>
      </c>
      <c r="BL110" s="14">
        <f t="shared" si="1074"/>
        <v>0.34149969063823715</v>
      </c>
      <c r="BM110" s="14">
        <f t="shared" si="1074"/>
        <v>0.34620971402632772</v>
      </c>
      <c r="BN110" s="14">
        <f t="shared" si="1074"/>
        <v>0.33813085435198076</v>
      </c>
      <c r="BO110" s="14">
        <f t="shared" si="1074"/>
        <v>0.31482282292083119</v>
      </c>
      <c r="BP110" s="14">
        <f t="shared" si="1074"/>
        <v>0.27549372077351719</v>
      </c>
    </row>
    <row r="111" spans="2:73" collapsed="1"/>
    <row r="112" spans="2:73" ht="10.5" hidden="1" outlineLevel="1">
      <c r="B112" s="45" t="s">
        <v>143</v>
      </c>
    </row>
    <row r="113" spans="2:70" hidden="1" outlineLevel="1">
      <c r="B113" t="s">
        <v>121</v>
      </c>
      <c r="D113" s="8">
        <f t="shared" ref="D113:AQ113" si="1075">+D89</f>
        <v>7777</v>
      </c>
      <c r="E113" s="8">
        <f t="shared" si="1075"/>
        <v>9033</v>
      </c>
      <c r="F113" s="8">
        <f t="shared" si="1075"/>
        <v>7984</v>
      </c>
      <c r="G113" s="8">
        <f t="shared" si="1075"/>
        <v>9016</v>
      </c>
      <c r="H113" s="8">
        <f t="shared" si="1075"/>
        <v>8531</v>
      </c>
      <c r="I113" s="8">
        <f t="shared" si="1075"/>
        <v>10071</v>
      </c>
      <c r="J113" s="8">
        <f t="shared" si="1075"/>
        <v>9176</v>
      </c>
      <c r="K113" s="8">
        <f t="shared" si="1075"/>
        <v>10331</v>
      </c>
      <c r="L113" s="8">
        <f t="shared" si="1075"/>
        <v>10207</v>
      </c>
      <c r="M113" s="8">
        <f t="shared" si="1075"/>
        <v>11215</v>
      </c>
      <c r="N113" s="8">
        <f t="shared" si="1075"/>
        <v>11002</v>
      </c>
      <c r="O113" s="8">
        <f t="shared" si="1075"/>
        <v>12895</v>
      </c>
      <c r="P113" s="8">
        <f t="shared" si="1075"/>
        <v>12792</v>
      </c>
      <c r="Q113" s="8">
        <f t="shared" si="1075"/>
        <v>13253</v>
      </c>
      <c r="R113" s="8">
        <f t="shared" si="1075"/>
        <v>13267</v>
      </c>
      <c r="S113" s="8">
        <f t="shared" si="1075"/>
        <v>15329</v>
      </c>
      <c r="T113" s="8">
        <f t="shared" si="1075"/>
        <v>15657</v>
      </c>
      <c r="U113" s="8">
        <f t="shared" si="1075"/>
        <v>17094</v>
      </c>
      <c r="V113" s="8">
        <f t="shared" si="1075"/>
        <v>16093</v>
      </c>
      <c r="W113" s="8">
        <f t="shared" si="1075"/>
        <v>16911</v>
      </c>
      <c r="X113" s="8">
        <f t="shared" si="1075"/>
        <v>18521</v>
      </c>
      <c r="Y113" s="8">
        <f t="shared" si="1075"/>
        <v>20658</v>
      </c>
      <c r="Z113" s="8">
        <f t="shared" si="1075"/>
        <v>19984</v>
      </c>
      <c r="AA113" s="8">
        <f t="shared" si="1075"/>
        <v>22439</v>
      </c>
      <c r="AB113" s="8">
        <f t="shared" si="1075"/>
        <v>23450</v>
      </c>
      <c r="AC113" s="8">
        <f t="shared" si="1075"/>
        <v>25743</v>
      </c>
      <c r="AD113" s="8">
        <f t="shared" si="1075"/>
        <v>24137</v>
      </c>
      <c r="AE113" s="8">
        <f t="shared" si="1075"/>
        <v>24513</v>
      </c>
      <c r="AF113" s="8">
        <f t="shared" si="1075"/>
        <v>24308</v>
      </c>
      <c r="AG113" s="8">
        <f t="shared" si="1075"/>
        <v>25218</v>
      </c>
      <c r="AH113" s="8">
        <f t="shared" si="1075"/>
        <v>25901</v>
      </c>
      <c r="AI113" s="8">
        <f t="shared" si="1075"/>
        <v>28128</v>
      </c>
      <c r="AJ113" s="8">
        <f t="shared" si="1075"/>
        <v>30816</v>
      </c>
      <c r="AK113" s="8">
        <f t="shared" si="1075"/>
        <v>33621</v>
      </c>
      <c r="AL113" s="8">
        <f t="shared" ref="AL113" si="1076">+AL89</f>
        <v>33878</v>
      </c>
      <c r="AM113" s="8">
        <f t="shared" si="1075"/>
        <v>34555</v>
      </c>
      <c r="AN113" s="8">
        <f t="shared" si="1075"/>
        <v>38165</v>
      </c>
      <c r="AO113" s="8">
        <f t="shared" si="1075"/>
        <v>39175.765274016638</v>
      </c>
      <c r="AP113" s="8">
        <f t="shared" si="1075"/>
        <v>40482.184658974125</v>
      </c>
      <c r="AQ113" s="8">
        <f t="shared" si="1075"/>
        <v>41748.918296058291</v>
      </c>
      <c r="AS113" s="8">
        <f t="shared" ref="AS113:BE113" si="1077">+AS89</f>
        <v>15431</v>
      </c>
      <c r="AT113" s="8">
        <f t="shared" si="1077"/>
        <v>17283</v>
      </c>
      <c r="AU113" s="8">
        <f t="shared" si="1077"/>
        <v>19878</v>
      </c>
      <c r="AV113" s="8">
        <f t="shared" si="1077"/>
        <v>24327</v>
      </c>
      <c r="AW113" s="8">
        <f t="shared" si="1077"/>
        <v>22925</v>
      </c>
      <c r="AX113" s="8">
        <f t="shared" si="1077"/>
        <v>26771</v>
      </c>
      <c r="AY113" s="8">
        <f t="shared" si="1077"/>
        <v>29927</v>
      </c>
      <c r="AZ113" s="8">
        <f t="shared" si="1077"/>
        <v>31463</v>
      </c>
      <c r="BA113" s="8">
        <f t="shared" si="1077"/>
        <v>30712</v>
      </c>
      <c r="BB113" s="8">
        <f t="shared" si="1077"/>
        <v>33098</v>
      </c>
      <c r="BC113" s="8">
        <f t="shared" si="1077"/>
        <v>34129</v>
      </c>
      <c r="BD113" s="8">
        <f t="shared" si="1077"/>
        <v>34557</v>
      </c>
      <c r="BE113" s="8">
        <f t="shared" si="1077"/>
        <v>38117</v>
      </c>
      <c r="BG113" s="8">
        <f t="shared" ref="BG113:BN113" si="1078">+BG89</f>
        <v>33810</v>
      </c>
      <c r="BH113" s="8">
        <f t="shared" si="1078"/>
        <v>38109</v>
      </c>
      <c r="BI113" s="8">
        <f t="shared" si="1078"/>
        <v>45319</v>
      </c>
      <c r="BJ113" s="8">
        <f t="shared" si="1078"/>
        <v>54641</v>
      </c>
      <c r="BK113" s="8">
        <f t="shared" si="1078"/>
        <v>65755</v>
      </c>
      <c r="BL113" s="8">
        <f t="shared" si="1078"/>
        <v>81602</v>
      </c>
      <c r="BM113" s="8">
        <f t="shared" si="1078"/>
        <v>97843</v>
      </c>
      <c r="BN113" s="8">
        <f t="shared" si="1078"/>
        <v>103555</v>
      </c>
      <c r="BO113" s="8">
        <f t="shared" ref="BO113:BO118" si="1079">SUM(AJ113:AM113)</f>
        <v>132870</v>
      </c>
      <c r="BP113" s="8">
        <f>+SUM(AN113:AQ113)</f>
        <v>159571.86822904905</v>
      </c>
      <c r="BQ113" s="8"/>
    </row>
    <row r="114" spans="2:70" hidden="1" outlineLevel="1">
      <c r="B114" t="s">
        <v>133</v>
      </c>
      <c r="D114" s="8">
        <f t="shared" ref="D114:AF114" si="1080">-D1199</f>
        <v>-1500</v>
      </c>
      <c r="E114" s="8">
        <f t="shared" si="1080"/>
        <v>-2000</v>
      </c>
      <c r="F114" s="8">
        <f t="shared" si="1080"/>
        <v>-2300</v>
      </c>
      <c r="G114" s="8">
        <f t="shared" si="1080"/>
        <v>-3100</v>
      </c>
      <c r="H114" s="8">
        <f t="shared" si="1080"/>
        <v>-2300</v>
      </c>
      <c r="I114" s="8">
        <f t="shared" si="1080"/>
        <v>-2500</v>
      </c>
      <c r="J114" s="8">
        <f t="shared" si="1080"/>
        <v>-2100</v>
      </c>
      <c r="K114" s="8">
        <f t="shared" si="1080"/>
        <v>-3300</v>
      </c>
      <c r="L114" s="8">
        <f t="shared" si="1080"/>
        <v>-2700</v>
      </c>
      <c r="M114" s="8">
        <f t="shared" si="1080"/>
        <v>-3300</v>
      </c>
      <c r="N114" s="8">
        <f t="shared" si="1080"/>
        <v>-3500</v>
      </c>
      <c r="O114" s="8">
        <f t="shared" si="1080"/>
        <v>-4100</v>
      </c>
      <c r="P114" s="8">
        <f t="shared" si="1080"/>
        <v>-4300</v>
      </c>
      <c r="Q114" s="8">
        <f t="shared" si="1080"/>
        <v>-3900</v>
      </c>
      <c r="R114" s="8">
        <f t="shared" si="1080"/>
        <v>-3400</v>
      </c>
      <c r="S114" s="8">
        <f t="shared" si="1080"/>
        <v>-5300</v>
      </c>
      <c r="T114" s="8">
        <f t="shared" si="1080"/>
        <v>-4800</v>
      </c>
      <c r="U114" s="8">
        <f t="shared" si="1080"/>
        <v>-4500</v>
      </c>
      <c r="V114" s="8">
        <f t="shared" si="1080"/>
        <v>-3900</v>
      </c>
      <c r="W114" s="8">
        <f t="shared" si="1080"/>
        <v>-5800</v>
      </c>
      <c r="X114" s="8">
        <f t="shared" si="1080"/>
        <v>-5500</v>
      </c>
      <c r="Y114" s="8">
        <f t="shared" si="1080"/>
        <v>-5400</v>
      </c>
      <c r="Z114" s="8">
        <f t="shared" si="1080"/>
        <v>-6000</v>
      </c>
      <c r="AA114" s="8">
        <f t="shared" si="1080"/>
        <v>-7300</v>
      </c>
      <c r="AB114" s="8">
        <f t="shared" si="1080"/>
        <v>-7400</v>
      </c>
      <c r="AC114" s="8">
        <f t="shared" si="1080"/>
        <v>-6800</v>
      </c>
      <c r="AD114" s="8">
        <f t="shared" si="1080"/>
        <v>-6300</v>
      </c>
      <c r="AE114" s="8">
        <f t="shared" si="1080"/>
        <v>-8700</v>
      </c>
      <c r="AF114" s="8">
        <f t="shared" si="1080"/>
        <v>-6600</v>
      </c>
      <c r="AG114" s="8">
        <f t="shared" ref="AG114:AH114" si="1081">-AG1199</f>
        <v>-6800</v>
      </c>
      <c r="AH114" s="8">
        <f t="shared" si="1081"/>
        <v>-7800</v>
      </c>
      <c r="AI114" s="8">
        <f t="shared" ref="AI114:AJ114" si="1082">-AI1199</f>
        <v>-10700</v>
      </c>
      <c r="AJ114" s="8">
        <f t="shared" si="1082"/>
        <v>-11200</v>
      </c>
      <c r="AK114" s="8">
        <f t="shared" ref="AK114:AN114" si="1083">-AK1199</f>
        <v>-11500</v>
      </c>
      <c r="AL114" s="8">
        <f t="shared" si="1083"/>
        <v>-14000</v>
      </c>
      <c r="AM114" s="8">
        <f t="shared" si="1083"/>
        <v>-19000</v>
      </c>
      <c r="AN114" s="8">
        <f t="shared" si="1083"/>
        <v>-20000</v>
      </c>
      <c r="AO114" s="8">
        <f t="shared" ref="AO114:AQ114" si="1084">+AO100*-1</f>
        <v>-21000</v>
      </c>
      <c r="AP114" s="8">
        <f t="shared" si="1084"/>
        <v>-21000</v>
      </c>
      <c r="AQ114" s="8">
        <f t="shared" si="1084"/>
        <v>-21000</v>
      </c>
      <c r="AS114" s="8">
        <f t="shared" ref="AS114:BE114" si="1085">-AS1199</f>
        <v>-812</v>
      </c>
      <c r="AT114" s="8">
        <f t="shared" si="1085"/>
        <v>-1578</v>
      </c>
      <c r="AU114" s="8">
        <f t="shared" si="1085"/>
        <v>-2264</v>
      </c>
      <c r="AV114" s="8">
        <f t="shared" si="1085"/>
        <v>-3182</v>
      </c>
      <c r="AW114" s="8">
        <f t="shared" si="1085"/>
        <v>-3119</v>
      </c>
      <c r="AX114" s="8">
        <f t="shared" si="1085"/>
        <v>-1977</v>
      </c>
      <c r="AY114" s="8">
        <f t="shared" si="1085"/>
        <v>-2355</v>
      </c>
      <c r="AZ114" s="8">
        <f t="shared" si="1085"/>
        <v>-2305</v>
      </c>
      <c r="BA114" s="8">
        <f t="shared" si="1085"/>
        <v>-4257</v>
      </c>
      <c r="BB114" s="8">
        <f t="shared" si="1085"/>
        <v>-5485</v>
      </c>
      <c r="BC114" s="8">
        <f t="shared" si="1085"/>
        <v>-5944</v>
      </c>
      <c r="BD114" s="8">
        <f t="shared" si="1085"/>
        <v>-8900</v>
      </c>
      <c r="BE114" s="8">
        <f t="shared" si="1085"/>
        <v>-10200</v>
      </c>
      <c r="BG114" s="8">
        <f>+SUM(D114:G114)</f>
        <v>-8900</v>
      </c>
      <c r="BH114" s="8">
        <f>-BH1199</f>
        <v>-10200</v>
      </c>
      <c r="BI114" s="8">
        <f>-BI1199</f>
        <v>-13600</v>
      </c>
      <c r="BJ114" s="8">
        <f>-BJ1199</f>
        <v>-16900</v>
      </c>
      <c r="BK114" s="8">
        <f>SUM(T114:W114)</f>
        <v>-19000</v>
      </c>
      <c r="BL114" s="8">
        <f>+SUM(X114:AA114)</f>
        <v>-24200</v>
      </c>
      <c r="BM114" s="8">
        <f>SUM(AB114:AE114)</f>
        <v>-29200</v>
      </c>
      <c r="BN114" s="8">
        <f>SUM(AF114:AI114)</f>
        <v>-31900</v>
      </c>
      <c r="BO114" s="8">
        <f t="shared" si="1079"/>
        <v>-55700</v>
      </c>
      <c r="BP114" s="8">
        <f t="shared" ref="BP114:BP118" si="1086">+SUM(AN114:AQ114)</f>
        <v>-83000</v>
      </c>
      <c r="BQ114" s="9"/>
    </row>
    <row r="115" spans="2:70" hidden="1" outlineLevel="1">
      <c r="B115" t="str">
        <f>+B71</f>
        <v>Interest and other, net</v>
      </c>
      <c r="D115" s="8">
        <f t="shared" ref="D115:AQ115" si="1087">+D71</f>
        <v>-295</v>
      </c>
      <c r="E115" s="8">
        <f t="shared" si="1087"/>
        <v>-176</v>
      </c>
      <c r="F115" s="8">
        <f t="shared" si="1087"/>
        <v>-212</v>
      </c>
      <c r="G115" s="8">
        <f t="shared" si="1087"/>
        <v>244</v>
      </c>
      <c r="H115" s="8">
        <f t="shared" si="1087"/>
        <v>112</v>
      </c>
      <c r="I115" s="8">
        <f t="shared" si="1087"/>
        <v>117</v>
      </c>
      <c r="J115" s="8">
        <f t="shared" si="1087"/>
        <v>371</v>
      </c>
      <c r="K115" s="8">
        <f t="shared" si="1087"/>
        <v>276</v>
      </c>
      <c r="L115" s="8">
        <f t="shared" si="1087"/>
        <v>276</v>
      </c>
      <c r="M115" s="8">
        <f t="shared" si="1087"/>
        <v>490</v>
      </c>
      <c r="N115" s="8">
        <f t="shared" si="1087"/>
        <v>349</v>
      </c>
      <c r="O115" s="8">
        <f t="shared" si="1087"/>
        <v>301</v>
      </c>
      <c r="P115" s="8">
        <f t="shared" si="1087"/>
        <v>266</v>
      </c>
      <c r="Q115" s="8">
        <f t="shared" si="1087"/>
        <v>127</v>
      </c>
      <c r="R115" s="8">
        <f t="shared" si="1087"/>
        <v>145</v>
      </c>
      <c r="S115" s="8">
        <f t="shared" si="1087"/>
        <v>191</v>
      </c>
      <c r="T115" s="8">
        <f t="shared" si="1087"/>
        <v>0</v>
      </c>
      <c r="U115" s="8">
        <f t="shared" si="1087"/>
        <v>194</v>
      </c>
      <c r="V115" s="8">
        <f t="shared" si="1087"/>
        <v>-132</v>
      </c>
      <c r="W115" s="8">
        <f t="shared" si="1087"/>
        <v>15</v>
      </c>
      <c r="X115" s="8">
        <f t="shared" si="1087"/>
        <v>248</v>
      </c>
      <c r="Y115" s="8">
        <f t="shared" si="1087"/>
        <v>440</v>
      </c>
      <c r="Z115" s="8">
        <f t="shared" si="1087"/>
        <v>188</v>
      </c>
      <c r="AA115" s="8">
        <f t="shared" si="1087"/>
        <v>310</v>
      </c>
      <c r="AB115" s="8">
        <f t="shared" si="1087"/>
        <v>286</v>
      </c>
      <c r="AC115" s="8">
        <f t="shared" si="1087"/>
        <v>268</v>
      </c>
      <c r="AD115" s="8">
        <f t="shared" si="1087"/>
        <v>-174</v>
      </c>
      <c r="AE115" s="8">
        <f t="shared" si="1087"/>
        <v>-47</v>
      </c>
      <c r="AF115" s="8">
        <f t="shared" si="1087"/>
        <v>54</v>
      </c>
      <c r="AG115" s="8">
        <f t="shared" si="1087"/>
        <v>-60</v>
      </c>
      <c r="AH115" s="8">
        <f t="shared" si="1087"/>
        <v>321</v>
      </c>
      <c r="AI115" s="8">
        <f t="shared" si="1087"/>
        <v>473</v>
      </c>
      <c r="AJ115" s="8">
        <f t="shared" si="1087"/>
        <v>389</v>
      </c>
      <c r="AK115" s="8">
        <f t="shared" si="1087"/>
        <v>-506</v>
      </c>
      <c r="AL115" s="8">
        <f t="shared" si="1087"/>
        <v>-854</v>
      </c>
      <c r="AM115" s="8">
        <f t="shared" si="1087"/>
        <v>-675</v>
      </c>
      <c r="AN115" s="8">
        <f t="shared" si="1087"/>
        <v>-283</v>
      </c>
      <c r="AO115" s="8">
        <f t="shared" si="1087"/>
        <v>0</v>
      </c>
      <c r="AP115" s="8">
        <f t="shared" si="1087"/>
        <v>0</v>
      </c>
      <c r="AQ115" s="8">
        <f t="shared" si="1087"/>
        <v>0</v>
      </c>
      <c r="AS115" s="8">
        <f t="shared" ref="AS115:BE115" si="1088">+AS71</f>
        <v>2052</v>
      </c>
      <c r="AT115" s="8">
        <f t="shared" si="1088"/>
        <v>1882</v>
      </c>
      <c r="AU115" s="8">
        <f t="shared" si="1088"/>
        <v>1663</v>
      </c>
      <c r="AV115" s="8">
        <f t="shared" si="1088"/>
        <v>1543</v>
      </c>
      <c r="AW115" s="8">
        <f t="shared" si="1088"/>
        <v>-542</v>
      </c>
      <c r="AX115" s="8">
        <f t="shared" si="1088"/>
        <v>915</v>
      </c>
      <c r="AY115" s="8">
        <f t="shared" si="1088"/>
        <v>910</v>
      </c>
      <c r="AZ115" s="8">
        <f t="shared" si="1088"/>
        <v>504</v>
      </c>
      <c r="BA115" s="8">
        <f t="shared" si="1088"/>
        <v>288</v>
      </c>
      <c r="BB115" s="8">
        <f t="shared" si="1088"/>
        <v>61</v>
      </c>
      <c r="BC115" s="8">
        <f t="shared" si="1088"/>
        <v>346</v>
      </c>
      <c r="BD115" s="8">
        <f t="shared" si="1088"/>
        <v>431</v>
      </c>
      <c r="BE115" s="8">
        <f t="shared" si="1088"/>
        <v>-823</v>
      </c>
      <c r="BG115" s="8">
        <f t="shared" ref="BG115:BN115" si="1089">+BG71</f>
        <v>-439</v>
      </c>
      <c r="BH115" s="8">
        <f t="shared" si="1089"/>
        <v>876</v>
      </c>
      <c r="BI115" s="8">
        <f t="shared" si="1089"/>
        <v>1416</v>
      </c>
      <c r="BJ115" s="8">
        <f t="shared" si="1089"/>
        <v>729</v>
      </c>
      <c r="BK115" s="8">
        <f t="shared" si="1089"/>
        <v>77</v>
      </c>
      <c r="BL115" s="8">
        <f t="shared" si="1089"/>
        <v>1186</v>
      </c>
      <c r="BM115" s="8">
        <f t="shared" si="1089"/>
        <v>333</v>
      </c>
      <c r="BN115" s="8">
        <f t="shared" si="1089"/>
        <v>788</v>
      </c>
      <c r="BO115" s="8">
        <f t="shared" si="1079"/>
        <v>-1646</v>
      </c>
      <c r="BP115" s="8">
        <f t="shared" si="1086"/>
        <v>-283</v>
      </c>
      <c r="BQ115" s="8"/>
    </row>
    <row r="116" spans="2:70" s="852" customFormat="1" hidden="1" outlineLevel="1">
      <c r="B116" t="s">
        <v>315</v>
      </c>
      <c r="D116" s="853">
        <f t="shared" ref="D116:AQ116" si="1090">+D73</f>
        <v>-2107.35</v>
      </c>
      <c r="E116" s="853">
        <f t="shared" si="1090"/>
        <v>-2559.5499999999997</v>
      </c>
      <c r="F116" s="853">
        <f t="shared" si="1090"/>
        <v>-2122.75</v>
      </c>
      <c r="G116" s="853">
        <f t="shared" si="1090"/>
        <v>-2572.5</v>
      </c>
      <c r="H116" s="853">
        <f t="shared" si="1090"/>
        <v>-2389.4499999999998</v>
      </c>
      <c r="I116" s="853">
        <f t="shared" si="1090"/>
        <v>-2807.7</v>
      </c>
      <c r="J116" s="853">
        <f t="shared" si="1090"/>
        <v>-2482.8999999999996</v>
      </c>
      <c r="K116" s="853">
        <f t="shared" si="1090"/>
        <v>-2892.3999999999996</v>
      </c>
      <c r="L116" s="853">
        <f t="shared" si="1090"/>
        <v>-2794.3999999999996</v>
      </c>
      <c r="M116" s="853">
        <f t="shared" si="1090"/>
        <v>-3209.1499999999996</v>
      </c>
      <c r="N116" s="853">
        <f t="shared" si="1090"/>
        <v>-1814.61</v>
      </c>
      <c r="O116" s="853">
        <f t="shared" si="1090"/>
        <v>-2242.7999999999997</v>
      </c>
      <c r="P116" s="853">
        <f t="shared" si="1090"/>
        <v>-2146.41</v>
      </c>
      <c r="Q116" s="853">
        <f t="shared" si="1090"/>
        <v>-2180.85</v>
      </c>
      <c r="R116" s="853">
        <f t="shared" si="1090"/>
        <v>-2202.06</v>
      </c>
      <c r="S116" s="853">
        <f t="shared" si="1090"/>
        <v>-2645.16</v>
      </c>
      <c r="T116" s="853">
        <f t="shared" si="1090"/>
        <v>-2664.06</v>
      </c>
      <c r="U116" s="853">
        <f t="shared" si="1090"/>
        <v>-2957.85</v>
      </c>
      <c r="V116" s="853">
        <f t="shared" si="1090"/>
        <v>-2697.0299999999997</v>
      </c>
      <c r="W116" s="853">
        <f t="shared" si="1090"/>
        <v>-2818.62</v>
      </c>
      <c r="X116" s="853">
        <f t="shared" si="1090"/>
        <v>-3386.04</v>
      </c>
      <c r="Y116" s="853">
        <f t="shared" si="1090"/>
        <v>-3850.77</v>
      </c>
      <c r="Z116" s="853">
        <f t="shared" si="1090"/>
        <v>-3619.56</v>
      </c>
      <c r="AA116" s="853">
        <f t="shared" si="1090"/>
        <v>-4075.0499999999997</v>
      </c>
      <c r="AB116" s="853">
        <f t="shared" si="1090"/>
        <v>-4310.04</v>
      </c>
      <c r="AC116" s="853">
        <f t="shared" si="1090"/>
        <v>-4728.1499999999996</v>
      </c>
      <c r="AD116" s="853">
        <f t="shared" si="1090"/>
        <v>-4239.8999999999996</v>
      </c>
      <c r="AE116" s="853">
        <f t="shared" si="1090"/>
        <v>-4302.2699999999995</v>
      </c>
      <c r="AF116" s="853">
        <f t="shared" si="1090"/>
        <v>-4530.12</v>
      </c>
      <c r="AG116" s="853">
        <f t="shared" si="1090"/>
        <v>-4517.0999999999995</v>
      </c>
      <c r="AH116" s="853">
        <f t="shared" si="1090"/>
        <v>-4761.33</v>
      </c>
      <c r="AI116" s="853">
        <f t="shared" si="1090"/>
        <v>-5192.67</v>
      </c>
      <c r="AJ116" s="853">
        <f t="shared" si="1090"/>
        <v>-5729.6399999999994</v>
      </c>
      <c r="AK116" s="853">
        <f t="shared" si="1090"/>
        <v>-5702.76</v>
      </c>
      <c r="AL116" s="853">
        <f t="shared" si="1090"/>
        <v>-5669.37</v>
      </c>
      <c r="AM116" s="853">
        <f t="shared" si="1090"/>
        <v>-5789.5162499999997</v>
      </c>
      <c r="AN116" s="853">
        <f t="shared" si="1090"/>
        <v>-6427.5225</v>
      </c>
      <c r="AO116" s="853">
        <f t="shared" si="1090"/>
        <v>-6573.2132075434947</v>
      </c>
      <c r="AP116" s="853">
        <f t="shared" si="1090"/>
        <v>-6760.4787208392509</v>
      </c>
      <c r="AQ116" s="853">
        <f t="shared" si="1090"/>
        <v>-6915.3010576122924</v>
      </c>
      <c r="AS116" s="853">
        <f t="shared" ref="AS116:BE116" si="1091">+AS73</f>
        <v>-5819.7999999999993</v>
      </c>
      <c r="AT116" s="853">
        <f t="shared" si="1091"/>
        <v>-6391.7</v>
      </c>
      <c r="AU116" s="853">
        <f t="shared" si="1091"/>
        <v>-7035.3499999999995</v>
      </c>
      <c r="AV116" s="853">
        <f t="shared" si="1091"/>
        <v>-8334.9</v>
      </c>
      <c r="AW116" s="853">
        <f t="shared" si="1091"/>
        <v>-6937.3499999999995</v>
      </c>
      <c r="AX116" s="853">
        <f t="shared" si="1091"/>
        <v>-8754.5499999999993</v>
      </c>
      <c r="AY116" s="853">
        <f t="shared" si="1091"/>
        <v>-9824.8499999999985</v>
      </c>
      <c r="AZ116" s="853">
        <f t="shared" si="1091"/>
        <v>-9961</v>
      </c>
      <c r="BA116" s="853">
        <f t="shared" si="1091"/>
        <v>-9724.75</v>
      </c>
      <c r="BB116" s="853">
        <f t="shared" si="1091"/>
        <v>-9781.4499999999989</v>
      </c>
      <c r="BC116" s="853">
        <f t="shared" si="1091"/>
        <v>-9981.2999999999993</v>
      </c>
      <c r="BD116" s="853">
        <f t="shared" si="1091"/>
        <v>-7603.0499999999993</v>
      </c>
      <c r="BE116" s="853">
        <f t="shared" si="1091"/>
        <v>-7633.15</v>
      </c>
      <c r="BG116" s="853">
        <f t="shared" ref="BG116:BN116" si="1092">+BG73</f>
        <v>-9362.15</v>
      </c>
      <c r="BH116" s="853">
        <f t="shared" si="1092"/>
        <v>-10572.449999999999</v>
      </c>
      <c r="BI116" s="853">
        <f t="shared" si="1092"/>
        <v>-10060.959999999999</v>
      </c>
      <c r="BJ116" s="853">
        <f t="shared" si="1092"/>
        <v>-9174.48</v>
      </c>
      <c r="BK116" s="853">
        <f t="shared" si="1092"/>
        <v>-11137.559999999998</v>
      </c>
      <c r="BL116" s="853">
        <f t="shared" si="1092"/>
        <v>-14931.419999999998</v>
      </c>
      <c r="BM116" s="853">
        <f t="shared" si="1092"/>
        <v>-17580.359999999997</v>
      </c>
      <c r="BN116" s="853">
        <f t="shared" si="1092"/>
        <v>-19001.22</v>
      </c>
      <c r="BO116" s="853">
        <f t="shared" si="1079"/>
        <v>-22891.286250000001</v>
      </c>
      <c r="BP116" s="853">
        <f t="shared" si="1086"/>
        <v>-26676.515485995042</v>
      </c>
    </row>
    <row r="117" spans="2:70" s="1" customFormat="1" ht="10.5" collapsed="1">
      <c r="B117" s="1038" t="s">
        <v>143</v>
      </c>
      <c r="D117" s="838">
        <f t="shared" ref="D117:V117" si="1093">SUM(D113:D116)</f>
        <v>3874.65</v>
      </c>
      <c r="E117" s="838">
        <f t="shared" si="1093"/>
        <v>4297.4500000000007</v>
      </c>
      <c r="F117" s="838">
        <f t="shared" si="1093"/>
        <v>3349.25</v>
      </c>
      <c r="G117" s="838">
        <f t="shared" si="1093"/>
        <v>3587.5</v>
      </c>
      <c r="H117" s="838">
        <f t="shared" si="1093"/>
        <v>3953.55</v>
      </c>
      <c r="I117" s="838">
        <f t="shared" si="1093"/>
        <v>4880.3</v>
      </c>
      <c r="J117" s="838">
        <f t="shared" si="1093"/>
        <v>4964.1000000000004</v>
      </c>
      <c r="K117" s="838">
        <f t="shared" si="1093"/>
        <v>4414.6000000000004</v>
      </c>
      <c r="L117" s="838">
        <f t="shared" si="1093"/>
        <v>4988.6000000000004</v>
      </c>
      <c r="M117" s="838">
        <f t="shared" si="1093"/>
        <v>5195.8500000000004</v>
      </c>
      <c r="N117" s="838">
        <f t="shared" si="1093"/>
        <v>6036.39</v>
      </c>
      <c r="O117" s="838">
        <f t="shared" si="1093"/>
        <v>6853.2000000000007</v>
      </c>
      <c r="P117" s="838">
        <f t="shared" si="1093"/>
        <v>6611.59</v>
      </c>
      <c r="Q117" s="838">
        <f t="shared" si="1093"/>
        <v>7299.15</v>
      </c>
      <c r="R117" s="838">
        <f t="shared" si="1093"/>
        <v>7809.9400000000005</v>
      </c>
      <c r="S117" s="838">
        <f t="shared" si="1093"/>
        <v>7574.84</v>
      </c>
      <c r="T117" s="838">
        <f t="shared" si="1093"/>
        <v>8192.94</v>
      </c>
      <c r="U117" s="838">
        <f t="shared" si="1093"/>
        <v>9830.15</v>
      </c>
      <c r="V117" s="838">
        <f t="shared" si="1093"/>
        <v>9363.9700000000012</v>
      </c>
      <c r="W117" s="838">
        <f t="shared" ref="W117:X117" si="1094">SUM(W113:W116)</f>
        <v>8307.380000000001</v>
      </c>
      <c r="X117" s="838">
        <f t="shared" si="1094"/>
        <v>9882.9599999999991</v>
      </c>
      <c r="Y117" s="838">
        <f t="shared" ref="Y117:Z117" si="1095">SUM(Y113:Y116)</f>
        <v>11847.23</v>
      </c>
      <c r="Z117" s="838">
        <f t="shared" si="1095"/>
        <v>10552.44</v>
      </c>
      <c r="AA117" s="838">
        <f t="shared" ref="AA117:AB117" si="1096">SUM(AA113:AA116)</f>
        <v>11373.95</v>
      </c>
      <c r="AB117" s="838">
        <f t="shared" si="1096"/>
        <v>12025.96</v>
      </c>
      <c r="AC117" s="838">
        <f t="shared" ref="AC117:AD117" si="1097">SUM(AC113:AC116)</f>
        <v>14482.85</v>
      </c>
      <c r="AD117" s="838">
        <f t="shared" si="1097"/>
        <v>13423.1</v>
      </c>
      <c r="AE117" s="838">
        <f t="shared" ref="AE117:AF117" si="1098">SUM(AE113:AE116)</f>
        <v>11463.73</v>
      </c>
      <c r="AF117" s="838">
        <f t="shared" si="1098"/>
        <v>13231.880000000001</v>
      </c>
      <c r="AG117" s="838">
        <f t="shared" ref="AG117:AH117" si="1099">SUM(AG113:AG116)</f>
        <v>13840.900000000001</v>
      </c>
      <c r="AH117" s="838">
        <f t="shared" si="1099"/>
        <v>13660.67</v>
      </c>
      <c r="AI117" s="838">
        <f t="shared" ref="AI117:AJ117" si="1100">SUM(AI113:AI116)</f>
        <v>12708.33</v>
      </c>
      <c r="AJ117" s="838">
        <f t="shared" si="1100"/>
        <v>14275.36</v>
      </c>
      <c r="AK117" s="838">
        <f t="shared" ref="AK117:AL117" si="1101">SUM(AK113:AK116)</f>
        <v>15912.24</v>
      </c>
      <c r="AL117" s="838">
        <f t="shared" si="1101"/>
        <v>13354.630000000001</v>
      </c>
      <c r="AM117" s="838">
        <f t="shared" ref="AM117" si="1102">SUM(AM113:AM116)</f>
        <v>9090.4837499999994</v>
      </c>
      <c r="AN117" s="838">
        <f t="shared" ref="AN117:AP117" si="1103">SUM(AN113:AN116)</f>
        <v>11454.477500000001</v>
      </c>
      <c r="AO117" s="838">
        <f t="shared" si="1103"/>
        <v>11602.552066473143</v>
      </c>
      <c r="AP117" s="838">
        <f t="shared" si="1103"/>
        <v>12721.705938134874</v>
      </c>
      <c r="AQ117" s="838">
        <f t="shared" ref="AQ117" si="1104">SUM(AQ113:AQ116)</f>
        <v>13833.617238445999</v>
      </c>
      <c r="AS117" s="838">
        <f t="shared" ref="AS117:BE117" si="1105">SUM(AS113:AS116)</f>
        <v>10851.2</v>
      </c>
      <c r="AT117" s="838">
        <f t="shared" si="1105"/>
        <v>11195.3</v>
      </c>
      <c r="AU117" s="838">
        <f t="shared" si="1105"/>
        <v>12241.650000000001</v>
      </c>
      <c r="AV117" s="838">
        <f t="shared" si="1105"/>
        <v>14353.1</v>
      </c>
      <c r="AW117" s="838">
        <f t="shared" si="1105"/>
        <v>12326.650000000001</v>
      </c>
      <c r="AX117" s="838">
        <f t="shared" si="1105"/>
        <v>16954.45</v>
      </c>
      <c r="AY117" s="838">
        <f t="shared" si="1105"/>
        <v>18657.150000000001</v>
      </c>
      <c r="AZ117" s="838">
        <f t="shared" si="1105"/>
        <v>19701</v>
      </c>
      <c r="BA117" s="838">
        <f t="shared" si="1105"/>
        <v>17018.25</v>
      </c>
      <c r="BB117" s="838">
        <f t="shared" si="1105"/>
        <v>17892.550000000003</v>
      </c>
      <c r="BC117" s="838">
        <f t="shared" si="1105"/>
        <v>18549.7</v>
      </c>
      <c r="BD117" s="838">
        <f t="shared" si="1105"/>
        <v>18484.95</v>
      </c>
      <c r="BE117" s="838">
        <f t="shared" si="1105"/>
        <v>19460.849999999999</v>
      </c>
      <c r="BG117" s="838">
        <f t="shared" ref="BG117:BL117" si="1106">SUM(BG113:BG116)</f>
        <v>15108.85</v>
      </c>
      <c r="BH117" s="838">
        <f t="shared" si="1106"/>
        <v>18212.550000000003</v>
      </c>
      <c r="BI117" s="838">
        <f t="shared" si="1106"/>
        <v>23074.04</v>
      </c>
      <c r="BJ117" s="838">
        <f t="shared" si="1106"/>
        <v>29295.52</v>
      </c>
      <c r="BK117" s="838">
        <f t="shared" si="1106"/>
        <v>35694.44</v>
      </c>
      <c r="BL117" s="838">
        <f t="shared" si="1106"/>
        <v>43656.58</v>
      </c>
      <c r="BM117" s="838">
        <f t="shared" ref="BM117:BN117" si="1107">SUM(BM113:BM116)</f>
        <v>51395.64</v>
      </c>
      <c r="BN117" s="838">
        <f t="shared" si="1107"/>
        <v>53441.78</v>
      </c>
      <c r="BO117" s="838">
        <f t="shared" si="1079"/>
        <v>52632.713749999995</v>
      </c>
      <c r="BP117" s="838">
        <f t="shared" si="1086"/>
        <v>49612.35274305402</v>
      </c>
    </row>
    <row r="118" spans="2:70" s="1" customFormat="1" ht="10.5">
      <c r="B118" s="1038" t="s">
        <v>316</v>
      </c>
      <c r="D118" s="854">
        <f t="shared" ref="D118:AQ118" si="1108">+D117/D75</f>
        <v>0.47929861454725387</v>
      </c>
      <c r="E118" s="854">
        <f t="shared" si="1108"/>
        <v>0.5337784126195505</v>
      </c>
      <c r="F118" s="854">
        <f t="shared" si="1108"/>
        <v>0.41944270507201004</v>
      </c>
      <c r="G118" s="854">
        <f t="shared" si="1108"/>
        <v>0.45245302055744735</v>
      </c>
      <c r="H118" s="854">
        <f t="shared" si="1108"/>
        <v>0.50197435246317934</v>
      </c>
      <c r="I118" s="854">
        <f t="shared" si="1108"/>
        <v>0.6232822477650064</v>
      </c>
      <c r="J118" s="854">
        <f t="shared" si="1108"/>
        <v>0.6353641366952516</v>
      </c>
      <c r="K118" s="854">
        <f t="shared" si="1108"/>
        <v>0.56553932872149637</v>
      </c>
      <c r="L118" s="854">
        <f t="shared" si="1108"/>
        <v>0.63964610847544556</v>
      </c>
      <c r="M118" s="854">
        <f t="shared" si="1108"/>
        <v>0.67391050583657597</v>
      </c>
      <c r="N118" s="854">
        <f t="shared" si="1108"/>
        <v>0.77449191685912244</v>
      </c>
      <c r="O118" s="854">
        <f t="shared" si="1108"/>
        <v>0.88144051446945348</v>
      </c>
      <c r="P118" s="854">
        <f t="shared" si="1108"/>
        <v>0.85135075972186458</v>
      </c>
      <c r="Q118" s="854">
        <f t="shared" si="1108"/>
        <v>0.93964340885684861</v>
      </c>
      <c r="R118" s="854">
        <f t="shared" si="1108"/>
        <v>1.008514979338843</v>
      </c>
      <c r="S118" s="854">
        <f t="shared" si="1108"/>
        <v>0.97942073959141451</v>
      </c>
      <c r="T118" s="854">
        <f t="shared" si="1108"/>
        <v>1.0626381322957199</v>
      </c>
      <c r="U118" s="854">
        <f t="shared" si="1108"/>
        <v>1.2742318224740321</v>
      </c>
      <c r="V118" s="854">
        <f t="shared" si="1108"/>
        <v>1.2200612377850164</v>
      </c>
      <c r="W118" s="854">
        <f t="shared" si="1108"/>
        <v>1.085932026143791</v>
      </c>
      <c r="X118" s="854">
        <f t="shared" si="1108"/>
        <v>1.2940893020819693</v>
      </c>
      <c r="Y118" s="854">
        <f t="shared" si="1108"/>
        <v>1.5555711659663864</v>
      </c>
      <c r="Z118" s="854">
        <f t="shared" si="1108"/>
        <v>1.3890272475977361</v>
      </c>
      <c r="AA118" s="854">
        <f t="shared" si="1108"/>
        <v>1.5003231763619576</v>
      </c>
      <c r="AB118" s="854">
        <f t="shared" si="1108"/>
        <v>1.5892639090788951</v>
      </c>
      <c r="AC118" s="854">
        <f t="shared" si="1108"/>
        <v>1.9169887491727333</v>
      </c>
      <c r="AD118" s="854">
        <f t="shared" si="1108"/>
        <v>1.7816697637377223</v>
      </c>
      <c r="AE118" s="854">
        <f t="shared" si="1108"/>
        <v>1.5272755129229949</v>
      </c>
      <c r="AF118" s="854">
        <f t="shared" si="1108"/>
        <v>1.7677862391449568</v>
      </c>
      <c r="AG118" s="854">
        <f t="shared" si="1108"/>
        <v>1.8521209688210893</v>
      </c>
      <c r="AH118" s="854">
        <f t="shared" si="1108"/>
        <v>1.8302076634512325</v>
      </c>
      <c r="AI118" s="854">
        <f t="shared" si="1108"/>
        <v>1.7019325030132584</v>
      </c>
      <c r="AJ118" s="854">
        <f t="shared" si="1108"/>
        <v>1.9130742428303404</v>
      </c>
      <c r="AK118" s="854">
        <f t="shared" si="1108"/>
        <v>2.1307230851633636</v>
      </c>
      <c r="AL118" s="854">
        <f t="shared" si="1108"/>
        <v>1.7872898822269809</v>
      </c>
      <c r="AM118" s="854">
        <f t="shared" si="1108"/>
        <v>1.2166064975910063</v>
      </c>
      <c r="AN118" s="854">
        <f t="shared" si="1108"/>
        <v>1.5333972556894244</v>
      </c>
      <c r="AO118" s="854">
        <f t="shared" si="1108"/>
        <v>1.5532198214823485</v>
      </c>
      <c r="AP118" s="854">
        <f t="shared" si="1108"/>
        <v>1.7030396168855253</v>
      </c>
      <c r="AQ118" s="854">
        <f t="shared" si="1108"/>
        <v>1.8518898578910306</v>
      </c>
      <c r="AS118" s="854">
        <f t="shared" ref="AS118:BE118" si="1109">+AS117/AS75</f>
        <v>1.3956527331189712</v>
      </c>
      <c r="AT118" s="854">
        <f t="shared" si="1109"/>
        <v>1.4399099678456591</v>
      </c>
      <c r="AU118" s="854">
        <f t="shared" si="1109"/>
        <v>1.5744887459807075</v>
      </c>
      <c r="AV118" s="854">
        <f t="shared" si="1109"/>
        <v>1.8460578778135048</v>
      </c>
      <c r="AW118" s="854">
        <f t="shared" si="1109"/>
        <v>1.5854212218649519</v>
      </c>
      <c r="AX118" s="854">
        <f t="shared" si="1109"/>
        <v>2.180636655948553</v>
      </c>
      <c r="AY118" s="854">
        <f t="shared" si="1109"/>
        <v>2.3996334405144695</v>
      </c>
      <c r="AZ118" s="854">
        <f t="shared" si="1109"/>
        <v>2.5338906752411576</v>
      </c>
      <c r="BA118" s="854">
        <f t="shared" si="1109"/>
        <v>2.1888424437299037</v>
      </c>
      <c r="BB118" s="854">
        <f t="shared" si="1109"/>
        <v>2.301292604501608</v>
      </c>
      <c r="BC118" s="854">
        <f t="shared" si="1109"/>
        <v>2.385813504823151</v>
      </c>
      <c r="BD118" s="854">
        <f t="shared" si="1109"/>
        <v>2.3601825842696629</v>
      </c>
      <c r="BE118" s="854">
        <f t="shared" si="1109"/>
        <v>2.4969014626635873</v>
      </c>
      <c r="BG118" s="854">
        <f t="shared" ref="BG118:BN118" si="1110">+BG117/BG75</f>
        <v>1.8857187431745142</v>
      </c>
      <c r="BH118" s="854">
        <f t="shared" si="1110"/>
        <v>2.3256249002394256</v>
      </c>
      <c r="BI118" s="854">
        <f t="shared" si="1110"/>
        <v>2.9698230259347449</v>
      </c>
      <c r="BJ118" s="854">
        <f t="shared" si="1110"/>
        <v>3.778604411195666</v>
      </c>
      <c r="BK118" s="854">
        <f t="shared" si="1110"/>
        <v>4.6432441869104935</v>
      </c>
      <c r="BL118" s="854">
        <f t="shared" si="1110"/>
        <v>5.7384351483684402</v>
      </c>
      <c r="BM118" s="854">
        <f t="shared" si="1110"/>
        <v>6.8159458921822162</v>
      </c>
      <c r="BN118" s="854">
        <f t="shared" si="1110"/>
        <v>7.1523131088016614</v>
      </c>
      <c r="BO118" s="854">
        <f t="shared" si="1079"/>
        <v>7.0476937078116908</v>
      </c>
      <c r="BP118" s="854">
        <f t="shared" si="1086"/>
        <v>6.6415465519483288</v>
      </c>
      <c r="BR118"/>
    </row>
    <row r="119" spans="2:70" s="1" customFormat="1" ht="10.5">
      <c r="B119" s="1138" t="s">
        <v>113</v>
      </c>
      <c r="C119" s="7"/>
      <c r="D119" s="7"/>
      <c r="E119" s="7"/>
      <c r="F119" s="7"/>
      <c r="G119" s="7"/>
      <c r="H119" s="855">
        <f>IFERROR(H118/D118-1,"n/a ")</f>
        <v>4.7310251329111486E-2</v>
      </c>
      <c r="I119" s="855">
        <f t="shared" ref="I119" si="1111">IFERROR(I118/E118-1,"n/a ")</f>
        <v>0.16767975817195446</v>
      </c>
      <c r="J119" s="855">
        <f t="shared" ref="J119" si="1112">IFERROR(J118/F118-1,"n/a ")</f>
        <v>0.51478170680348856</v>
      </c>
      <c r="K119" s="855">
        <f t="shared" ref="K119" si="1113">IFERROR(K118/G118-1,"n/a ")</f>
        <v>0.24994044248996361</v>
      </c>
      <c r="L119" s="855">
        <f t="shared" ref="L119" si="1114">IFERROR(L118/H118-1,"n/a ")</f>
        <v>0.27426053808668382</v>
      </c>
      <c r="M119" s="855">
        <f t="shared" ref="M119" si="1115">IFERROR(M118/I118-1,"n/a ")</f>
        <v>8.1228461508593641E-2</v>
      </c>
      <c r="N119" s="855">
        <f t="shared" ref="N119" si="1116">IFERROR(N118/J118-1,"n/a ")</f>
        <v>0.21897329756054917</v>
      </c>
      <c r="O119" s="855">
        <f t="shared" ref="O119" si="1117">IFERROR(O118/K118-1,"n/a ")</f>
        <v>0.55858393873704371</v>
      </c>
      <c r="P119" s="855">
        <f t="shared" ref="P119" si="1118">IFERROR(P118/L118-1,"n/a ")</f>
        <v>0.33097153010279867</v>
      </c>
      <c r="Q119" s="855">
        <f t="shared" ref="Q119" si="1119">IFERROR(Q118/M118-1,"n/a ")</f>
        <v>0.39431482477098112</v>
      </c>
      <c r="R119" s="855">
        <f t="shared" ref="R119" si="1120">IFERROR(R118/N118-1,"n/a ")</f>
        <v>0.30216333751910374</v>
      </c>
      <c r="S119" s="855">
        <f t="shared" ref="S119" si="1121">IFERROR(S118/O118-1,"n/a ")</f>
        <v>0.11115920304722571</v>
      </c>
      <c r="T119" s="855">
        <f t="shared" ref="T119" si="1122">IFERROR(T118/P118-1,"n/a ")</f>
        <v>0.24817899104580898</v>
      </c>
      <c r="U119" s="855">
        <f t="shared" ref="U119" si="1123">IFERROR(U118/Q118-1,"n/a ")</f>
        <v>0.35608020070532609</v>
      </c>
      <c r="V119" s="855">
        <f t="shared" ref="V119" si="1124">IFERROR(V118/R118-1,"n/a ")</f>
        <v>0.20976015505972723</v>
      </c>
      <c r="W119" s="855">
        <f t="shared" ref="W119:X119" si="1125">IFERROR(W118/S118-1,"n/a ")</f>
        <v>0.10874926601698243</v>
      </c>
      <c r="X119" s="855">
        <f t="shared" si="1125"/>
        <v>0.21780807854713724</v>
      </c>
      <c r="Y119" s="855">
        <f t="shared" ref="Y119" si="1126">IFERROR(Y118/U118-1,"n/a ")</f>
        <v>0.22079133367279247</v>
      </c>
      <c r="Z119" s="855">
        <f t="shared" ref="Z119" si="1127">IFERROR(Z118/V118-1,"n/a ")</f>
        <v>0.13848977787334049</v>
      </c>
      <c r="AA119" s="855">
        <f t="shared" ref="AA119" si="1128">IFERROR(AA118/W118-1,"n/a ")</f>
        <v>0.3815995294748733</v>
      </c>
      <c r="AB119" s="855">
        <f t="shared" ref="AB119" si="1129">IFERROR(AB118/X118-1,"n/a ")</f>
        <v>0.22809446498169805</v>
      </c>
      <c r="AC119" s="855">
        <f t="shared" ref="AC119" si="1130">IFERROR(AC118/Y118-1,"n/a ")</f>
        <v>0.23233754334975676</v>
      </c>
      <c r="AD119" s="855">
        <f t="shared" ref="AD119" si="1131">IFERROR(AD118/Z118-1,"n/a ")</f>
        <v>0.282674452080796</v>
      </c>
      <c r="AE119" s="855">
        <f t="shared" ref="AE119" si="1132">IFERROR(AE118/AA118-1,"n/a ")</f>
        <v>1.796435393765794E-2</v>
      </c>
      <c r="AF119" s="855">
        <f t="shared" ref="AF119" si="1133">IFERROR(AF118/AB118-1,"n/a ")</f>
        <v>0.11233019830515723</v>
      </c>
      <c r="AG119" s="855">
        <f t="shared" ref="AG119" si="1134">IFERROR(AG118/AC118-1,"n/a ")</f>
        <v>-3.3838373010606992E-2</v>
      </c>
      <c r="AH119" s="855">
        <f t="shared" ref="AH119" si="1135">IFERROR(AH118/AD118-1,"n/a ")</f>
        <v>2.7242927225572755E-2</v>
      </c>
      <c r="AI119" s="855">
        <f t="shared" ref="AI119" si="1136">IFERROR(AI118/AE118-1,"n/a ")</f>
        <v>0.11435853492864179</v>
      </c>
      <c r="AJ119" s="855">
        <f t="shared" ref="AJ119" si="1137">IFERROR(AJ118/AF118-1,"n/a ")</f>
        <v>8.2186409458451681E-2</v>
      </c>
      <c r="AK119" s="855">
        <f t="shared" ref="AK119" si="1138">IFERROR(AK118/AG118-1,"n/a ")</f>
        <v>0.15042328283751893</v>
      </c>
      <c r="AL119" s="855">
        <f t="shared" ref="AL119" si="1139">IFERROR(AL118/AH118-1,"n/a ")</f>
        <v>-2.3449678460706114E-2</v>
      </c>
      <c r="AM119" s="855">
        <f t="shared" ref="AM119" si="1140">IFERROR(AM118/AI118-1,"n/a ")</f>
        <v>-0.28516172325458633</v>
      </c>
      <c r="AN119" s="855">
        <f t="shared" ref="AN119" si="1141">IFERROR(AN118/AJ118-1,"n/a ")</f>
        <v>-0.1984643244055152</v>
      </c>
      <c r="AO119" s="855">
        <f t="shared" ref="AO119" si="1142">IFERROR(AO118/AK118-1,"n/a ")</f>
        <v>-0.27103628233170318</v>
      </c>
      <c r="AP119" s="855">
        <f t="shared" ref="AP119" si="1143">IFERROR(AP118/AL118-1,"n/a ")</f>
        <v>-4.7138556637762119E-2</v>
      </c>
      <c r="AQ119" s="855">
        <f t="shared" ref="AQ119" si="1144">IFERROR(AQ118/AM118-1,"n/a ")</f>
        <v>0.52217653083223237</v>
      </c>
      <c r="AR119" s="7"/>
      <c r="AS119" s="7"/>
      <c r="AT119" s="855">
        <f>IFERROR(AT118/AS118-1,"n/a ")</f>
        <v>3.171077853140658E-2</v>
      </c>
      <c r="AU119" s="855">
        <f t="shared" ref="AU119" si="1145">IFERROR(AU118/AT118-1,"n/a ")</f>
        <v>9.3463328361008902E-2</v>
      </c>
      <c r="AV119" s="855">
        <f t="shared" ref="AV119" si="1146">IFERROR(AV118/AU118-1,"n/a ")</f>
        <v>0.17248083387451851</v>
      </c>
      <c r="AW119" s="855">
        <f t="shared" ref="AW119" si="1147">IFERROR(AW118/AV118-1,"n/a ")</f>
        <v>-0.14118552786506045</v>
      </c>
      <c r="AX119" s="855">
        <f t="shared" ref="AX119" si="1148">IFERROR(AX118/AW118-1,"n/a ")</f>
        <v>0.37543046975455607</v>
      </c>
      <c r="AY119" s="855">
        <f t="shared" ref="AY119" si="1149">IFERROR(AY118/AX118-1,"n/a ")</f>
        <v>0.10042791125633688</v>
      </c>
      <c r="AZ119" s="855">
        <f t="shared" ref="AZ119" si="1150">IFERROR(AZ118/AY118-1,"n/a ")</f>
        <v>5.594905974385167E-2</v>
      </c>
      <c r="BA119" s="855">
        <f t="shared" ref="BA119" si="1151">IFERROR(BA118/AZ118-1,"n/a ")</f>
        <v>-0.13617329069590378</v>
      </c>
      <c r="BB119" s="855">
        <f t="shared" ref="BB119" si="1152">IFERROR(BB118/BA118-1,"n/a ")</f>
        <v>5.1374259985603743E-2</v>
      </c>
      <c r="BC119" s="855">
        <f t="shared" ref="BC119" si="1153">IFERROR(BC118/BB118-1,"n/a ")</f>
        <v>3.6727576561194297E-2</v>
      </c>
      <c r="BD119" s="855">
        <f t="shared" ref="BD119" si="1154">IFERROR(BD118/BC118-1,"n/a ")</f>
        <v>-1.0743052842006606E-2</v>
      </c>
      <c r="BE119" s="855">
        <f t="shared" ref="BE119" si="1155">IFERROR(BE118/BD118-1,"n/a ")</f>
        <v>5.7927246521154441E-2</v>
      </c>
      <c r="BF119" s="7"/>
      <c r="BG119" s="1177">
        <f t="shared" ref="BG119" si="1156">+BD119</f>
        <v>-1.0743052842006606E-2</v>
      </c>
      <c r="BH119" s="855">
        <f t="shared" ref="BH119" si="1157">IFERROR(BH118/BG118-1,"n/a ")</f>
        <v>0.23328301670499973</v>
      </c>
      <c r="BI119" s="855">
        <f t="shared" ref="BI119" si="1158">IFERROR(BI118/BH118-1,"n/a ")</f>
        <v>0.27700001218124148</v>
      </c>
      <c r="BJ119" s="855">
        <f t="shared" ref="BJ119" si="1159">IFERROR(BJ118/BI118-1,"n/a ")</f>
        <v>0.27233319231416453</v>
      </c>
      <c r="BK119" s="855">
        <f t="shared" ref="BK119" si="1160">IFERROR(BK118/BJ118-1,"n/a ")</f>
        <v>0.22882516443186729</v>
      </c>
      <c r="BL119" s="855">
        <f t="shared" ref="BL119" si="1161">IFERROR(BL118/BK118-1,"n/a ")</f>
        <v>0.23586762129489935</v>
      </c>
      <c r="BM119" s="855">
        <f t="shared" ref="BM119" si="1162">IFERROR(BM118/BL118-1,"n/a ")</f>
        <v>0.18777083228345548</v>
      </c>
      <c r="BN119" s="855">
        <f t="shared" ref="BN119:BP119" si="1163">IFERROR(BN118/BM118-1,"n/a ")</f>
        <v>4.9350042083704526E-2</v>
      </c>
      <c r="BO119" s="855">
        <f t="shared" si="1163"/>
        <v>-1.4627351934750399E-2</v>
      </c>
      <c r="BP119" s="855">
        <f t="shared" si="1163"/>
        <v>-5.7628377835601263E-2</v>
      </c>
    </row>
    <row r="121" spans="2:70">
      <c r="B121" t="s">
        <v>144</v>
      </c>
      <c r="D121" s="8">
        <f t="shared" ref="D121:N121" si="1164">+D1145</f>
        <v>674</v>
      </c>
      <c r="E121" s="8">
        <f t="shared" si="1164"/>
        <v>658</v>
      </c>
      <c r="F121" s="8">
        <f t="shared" si="1164"/>
        <v>672</v>
      </c>
      <c r="G121" s="8">
        <f t="shared" si="1164"/>
        <v>664</v>
      </c>
      <c r="H121" s="8">
        <f t="shared" si="1164"/>
        <v>703</v>
      </c>
      <c r="I121" s="8">
        <f t="shared" si="1164"/>
        <v>767</v>
      </c>
      <c r="J121" s="8">
        <f t="shared" si="1164"/>
        <v>883</v>
      </c>
      <c r="K121" s="8">
        <f t="shared" si="1164"/>
        <v>913</v>
      </c>
      <c r="L121" s="8">
        <f t="shared" si="1164"/>
        <v>973</v>
      </c>
      <c r="M121" s="8">
        <f t="shared" si="1164"/>
        <v>986</v>
      </c>
      <c r="N121" s="8">
        <f t="shared" si="1164"/>
        <v>969</v>
      </c>
      <c r="O121" s="8">
        <f t="shared" ref="O121:V121" si="1165">+O1145</f>
        <v>1012</v>
      </c>
      <c r="P121" s="8">
        <f t="shared" si="1165"/>
        <v>1107</v>
      </c>
      <c r="Q121" s="8">
        <f t="shared" si="1165"/>
        <v>1183</v>
      </c>
      <c r="R121" s="8">
        <f t="shared" si="1165"/>
        <v>1172</v>
      </c>
      <c r="S121" s="8">
        <f t="shared" si="1165"/>
        <v>1190</v>
      </c>
      <c r="T121" s="8">
        <f t="shared" si="1165"/>
        <v>1262</v>
      </c>
      <c r="U121" s="8">
        <f t="shared" si="1165"/>
        <v>1340</v>
      </c>
      <c r="V121" s="8">
        <f t="shared" si="1165"/>
        <v>1338</v>
      </c>
      <c r="W121" s="8">
        <f t="shared" ref="W121:X121" si="1166">+W1145</f>
        <v>1349</v>
      </c>
      <c r="X121" s="8">
        <f t="shared" si="1166"/>
        <v>1456</v>
      </c>
      <c r="Y121" s="8">
        <f t="shared" ref="Y121:Z121" si="1167">+Y1145</f>
        <v>1566</v>
      </c>
      <c r="Z121" s="8">
        <f t="shared" si="1167"/>
        <v>1525</v>
      </c>
      <c r="AA121" s="8">
        <f t="shared" ref="AA121:AB121" si="1168">+AA1145</f>
        <v>1571</v>
      </c>
      <c r="AB121" s="8">
        <f t="shared" si="1168"/>
        <v>1702</v>
      </c>
      <c r="AC121" s="8">
        <f t="shared" ref="AC121:AD121" si="1169">+AC1145</f>
        <v>1897</v>
      </c>
      <c r="AD121" s="8">
        <f t="shared" si="1169"/>
        <v>1906</v>
      </c>
      <c r="AE121" s="8">
        <f t="shared" ref="AE121:AF121" si="1170">+AE1145</f>
        <v>1997</v>
      </c>
      <c r="AF121" s="8">
        <f t="shared" si="1170"/>
        <v>2192</v>
      </c>
      <c r="AG121" s="8">
        <f t="shared" ref="AG121" si="1171">+AG1145</f>
        <v>2538</v>
      </c>
      <c r="AH121" s="8">
        <f t="shared" ref="AH121" si="1172">+AH1145</f>
        <v>2465</v>
      </c>
      <c r="AI121" s="8">
        <f t="shared" ref="AI121:AJ121" si="1173">+AI1145</f>
        <v>2416</v>
      </c>
      <c r="AJ121" s="8">
        <f t="shared" si="1173"/>
        <v>2507</v>
      </c>
      <c r="AK121" s="8">
        <f t="shared" ref="AK121:AN121" si="1174">+AK1145</f>
        <v>2828</v>
      </c>
      <c r="AL121" s="8">
        <f t="shared" si="1174"/>
        <v>2703</v>
      </c>
      <c r="AM121" s="8">
        <f t="shared" si="1174"/>
        <v>2696</v>
      </c>
      <c r="AN121" s="8">
        <f t="shared" si="1174"/>
        <v>2832</v>
      </c>
      <c r="AO121" s="61">
        <v>0</v>
      </c>
      <c r="AP121" s="61">
        <v>0</v>
      </c>
      <c r="AQ121" s="61">
        <v>0</v>
      </c>
      <c r="AS121" s="8">
        <f t="shared" ref="AS121:BE121" si="1175">+AS1145</f>
        <v>2448</v>
      </c>
      <c r="AT121" s="8">
        <f t="shared" si="1175"/>
        <v>1715</v>
      </c>
      <c r="AU121" s="8">
        <f t="shared" si="1175"/>
        <v>1550</v>
      </c>
      <c r="AV121" s="8">
        <f t="shared" si="1175"/>
        <v>1479</v>
      </c>
      <c r="AW121" s="8">
        <f t="shared" si="1175"/>
        <v>1708</v>
      </c>
      <c r="AX121" s="8">
        <f t="shared" si="1175"/>
        <v>1891</v>
      </c>
      <c r="AY121" s="8">
        <f t="shared" si="1175"/>
        <v>2166</v>
      </c>
      <c r="AZ121" s="8">
        <f t="shared" si="1175"/>
        <v>2244</v>
      </c>
      <c r="BA121" s="8">
        <f t="shared" si="1175"/>
        <v>2406</v>
      </c>
      <c r="BB121" s="8">
        <f t="shared" si="1175"/>
        <v>2446</v>
      </c>
      <c r="BC121" s="8">
        <f t="shared" si="1175"/>
        <v>2574</v>
      </c>
      <c r="BD121" s="8">
        <f t="shared" si="1175"/>
        <v>2668</v>
      </c>
      <c r="BE121" s="8">
        <f t="shared" si="1175"/>
        <v>3266</v>
      </c>
      <c r="BG121" s="8">
        <f>+SUM(D121:G121)</f>
        <v>2668</v>
      </c>
      <c r="BH121" s="8">
        <f>+BH1145</f>
        <v>3266</v>
      </c>
      <c r="BI121" s="8">
        <f>+BI1145</f>
        <v>3940</v>
      </c>
      <c r="BJ121" s="8">
        <f t="shared" ref="BJ121:BK121" si="1176">+BJ1145</f>
        <v>4652</v>
      </c>
      <c r="BK121" s="8">
        <f t="shared" si="1176"/>
        <v>5289</v>
      </c>
      <c r="BL121" s="8">
        <f>SUM(X121:AA121)</f>
        <v>6118</v>
      </c>
      <c r="BM121" s="8">
        <f t="shared" ref="BM121" si="1177">SUM(AB121:AE121)</f>
        <v>7502</v>
      </c>
      <c r="BN121" s="8">
        <f>SUM(AF121:AI121)</f>
        <v>9611</v>
      </c>
      <c r="BO121" s="8">
        <f t="shared" ref="BO121:BO125" si="1178">SUM(AJ121:AM121)</f>
        <v>10734</v>
      </c>
      <c r="BP121" s="8">
        <f t="shared" ref="BP121:BP125" si="1179">+SUM(AN121:AQ121)</f>
        <v>2832</v>
      </c>
      <c r="BQ121" s="8"/>
    </row>
    <row r="122" spans="2:70" s="100" customFormat="1">
      <c r="B122" s="100" t="s">
        <v>317</v>
      </c>
      <c r="D122" s="856" t="s">
        <v>273</v>
      </c>
      <c r="E122" s="856" t="s">
        <v>273</v>
      </c>
      <c r="F122" s="856" t="s">
        <v>273</v>
      </c>
      <c r="G122" s="856" t="s">
        <v>273</v>
      </c>
      <c r="H122" s="856" t="s">
        <v>273</v>
      </c>
      <c r="I122" s="856" t="s">
        <v>273</v>
      </c>
      <c r="J122" s="856" t="s">
        <v>273</v>
      </c>
      <c r="K122" s="856" t="s">
        <v>273</v>
      </c>
      <c r="L122" s="856" t="s">
        <v>273</v>
      </c>
      <c r="M122" s="856" t="s">
        <v>273</v>
      </c>
      <c r="N122" s="856" t="s">
        <v>273</v>
      </c>
      <c r="O122" s="856" t="s">
        <v>273</v>
      </c>
      <c r="P122" s="856" t="s">
        <v>273</v>
      </c>
      <c r="Q122" s="856" t="s">
        <v>273</v>
      </c>
      <c r="R122" s="856" t="s">
        <v>273</v>
      </c>
      <c r="S122" s="856" t="s">
        <v>273</v>
      </c>
      <c r="T122" s="856" t="s">
        <v>273</v>
      </c>
      <c r="U122" s="856" t="s">
        <v>273</v>
      </c>
      <c r="V122" s="856" t="s">
        <v>273</v>
      </c>
      <c r="W122" s="856" t="s">
        <v>273</v>
      </c>
      <c r="X122" s="856" t="s">
        <v>273</v>
      </c>
      <c r="Y122" s="856" t="s">
        <v>273</v>
      </c>
      <c r="Z122" s="856" t="s">
        <v>273</v>
      </c>
      <c r="AA122" s="856" t="s">
        <v>273</v>
      </c>
      <c r="AB122" s="856" t="s">
        <v>273</v>
      </c>
      <c r="AC122" s="856" t="s">
        <v>273</v>
      </c>
      <c r="AD122" s="856" t="s">
        <v>273</v>
      </c>
      <c r="AE122" s="856" t="s">
        <v>273</v>
      </c>
      <c r="AF122" s="856" t="s">
        <v>273</v>
      </c>
      <c r="AG122" s="856" t="s">
        <v>273</v>
      </c>
      <c r="AH122" s="856" t="s">
        <v>273</v>
      </c>
      <c r="AI122" s="856" t="s">
        <v>273</v>
      </c>
      <c r="AJ122" s="856" t="s">
        <v>273</v>
      </c>
      <c r="AK122" s="856" t="s">
        <v>273</v>
      </c>
      <c r="AL122" s="856" t="s">
        <v>273</v>
      </c>
      <c r="AM122" s="856" t="s">
        <v>273</v>
      </c>
      <c r="AN122" s="856" t="s">
        <v>273</v>
      </c>
      <c r="AO122" s="11">
        <f t="shared" ref="AO122:AQ122" si="1180">+$BP$122*0.25</f>
        <v>120.0675</v>
      </c>
      <c r="AP122" s="11">
        <f t="shared" si="1180"/>
        <v>120.0675</v>
      </c>
      <c r="AQ122" s="11">
        <f t="shared" si="1180"/>
        <v>120.0675</v>
      </c>
      <c r="AS122" s="11">
        <f t="shared" ref="AS122:BE122" si="1181">-AS1187-AS116</f>
        <v>1489.7999999999993</v>
      </c>
      <c r="AT122" s="11">
        <f t="shared" si="1181"/>
        <v>1591.6999999999998</v>
      </c>
      <c r="AU122" s="11">
        <f t="shared" si="1181"/>
        <v>1835.3499999999995</v>
      </c>
      <c r="AV122" s="11">
        <f t="shared" si="1181"/>
        <v>2934.8999999999996</v>
      </c>
      <c r="AW122" s="11">
        <f t="shared" si="1181"/>
        <v>337.34999999999945</v>
      </c>
      <c r="AX122" s="11">
        <f t="shared" si="1181"/>
        <v>4654.5499999999993</v>
      </c>
      <c r="AY122" s="11">
        <f t="shared" si="1181"/>
        <v>4524.8499999999985</v>
      </c>
      <c r="AZ122" s="11">
        <f t="shared" si="1181"/>
        <v>6461</v>
      </c>
      <c r="BA122" s="11">
        <f t="shared" si="1181"/>
        <v>5824.75</v>
      </c>
      <c r="BB122" s="11">
        <f t="shared" si="1181"/>
        <v>4281.4499999999989</v>
      </c>
      <c r="BC122" s="11">
        <f t="shared" si="1181"/>
        <v>5581.2999999999993</v>
      </c>
      <c r="BD122" s="11">
        <f t="shared" si="1181"/>
        <v>3703.0499999999993</v>
      </c>
      <c r="BE122" s="11">
        <f t="shared" si="1181"/>
        <v>5233.1499999999996</v>
      </c>
      <c r="BG122" s="11">
        <f t="shared" ref="BG122:BO122" si="1182">-BG1187-BG116</f>
        <v>5462.15</v>
      </c>
      <c r="BH122" s="11">
        <f t="shared" si="1182"/>
        <v>8172.4499999999989</v>
      </c>
      <c r="BI122" s="11">
        <f t="shared" si="1182"/>
        <v>4560.9599999999991</v>
      </c>
      <c r="BJ122" s="11">
        <f t="shared" si="1182"/>
        <v>774.47999999999956</v>
      </c>
      <c r="BK122" s="11">
        <f t="shared" si="1182"/>
        <v>-1362.4400000000023</v>
      </c>
      <c r="BL122" s="11">
        <f t="shared" si="1182"/>
        <v>1531.4199999999983</v>
      </c>
      <c r="BM122" s="11">
        <f t="shared" si="1182"/>
        <v>1580.3599999999969</v>
      </c>
      <c r="BN122" s="11">
        <f t="shared" si="1182"/>
        <v>-4098.7799999999988</v>
      </c>
      <c r="BO122" s="11">
        <f t="shared" si="1182"/>
        <v>-508.71374999999898</v>
      </c>
      <c r="BP122" s="1257">
        <f>+Base!K72</f>
        <v>480.27</v>
      </c>
    </row>
    <row r="123" spans="2:70" s="100" customFormat="1">
      <c r="B123" s="100" t="s">
        <v>318</v>
      </c>
      <c r="D123" s="856"/>
      <c r="E123" s="856"/>
      <c r="F123" s="856"/>
      <c r="G123" s="856"/>
      <c r="H123" s="856"/>
      <c r="I123" s="856"/>
      <c r="J123" s="856"/>
      <c r="K123" s="856"/>
      <c r="L123" s="856"/>
      <c r="M123" s="856"/>
      <c r="N123" s="856"/>
      <c r="O123" s="856"/>
      <c r="P123" s="856"/>
      <c r="Q123" s="856"/>
      <c r="R123" s="856"/>
      <c r="S123" s="856"/>
      <c r="T123" s="856">
        <v>0</v>
      </c>
      <c r="U123" s="856">
        <v>0</v>
      </c>
      <c r="V123" s="856">
        <v>0</v>
      </c>
      <c r="W123" s="856">
        <v>0</v>
      </c>
      <c r="X123" s="856">
        <v>0</v>
      </c>
      <c r="Y123" s="856">
        <v>0</v>
      </c>
      <c r="Z123" s="856">
        <v>0</v>
      </c>
      <c r="AA123" s="856">
        <v>0</v>
      </c>
      <c r="AB123" s="856">
        <v>0</v>
      </c>
      <c r="AC123" s="856">
        <v>0</v>
      </c>
      <c r="AD123" s="856">
        <v>0</v>
      </c>
      <c r="AE123" s="856">
        <v>0</v>
      </c>
      <c r="AF123" s="856">
        <v>0</v>
      </c>
      <c r="AG123" s="856">
        <v>0</v>
      </c>
      <c r="AH123" s="856">
        <v>0</v>
      </c>
      <c r="AI123" s="856">
        <v>0</v>
      </c>
      <c r="AJ123" s="856">
        <v>0</v>
      </c>
      <c r="AK123" s="29">
        <v>-550</v>
      </c>
      <c r="AL123" s="29">
        <v>-270</v>
      </c>
      <c r="AM123" s="29">
        <v>-250</v>
      </c>
      <c r="AN123" s="29">
        <v>-230</v>
      </c>
      <c r="AO123" s="61">
        <v>0</v>
      </c>
      <c r="AP123" s="61">
        <v>0</v>
      </c>
      <c r="AQ123" s="61">
        <v>0</v>
      </c>
      <c r="AS123" s="11"/>
      <c r="AT123" s="11"/>
      <c r="AU123" s="11"/>
      <c r="AV123" s="11"/>
      <c r="AW123" s="11"/>
      <c r="AX123" s="11"/>
      <c r="AY123" s="11"/>
      <c r="AZ123" s="11"/>
      <c r="BA123" s="11"/>
      <c r="BB123" s="11"/>
      <c r="BC123" s="11"/>
      <c r="BD123" s="11"/>
      <c r="BE123" s="11"/>
      <c r="BG123" s="11"/>
      <c r="BH123" s="11">
        <v>0</v>
      </c>
      <c r="BI123" s="11">
        <v>0</v>
      </c>
      <c r="BJ123" s="11">
        <v>0</v>
      </c>
      <c r="BK123" s="11">
        <v>0</v>
      </c>
      <c r="BL123" s="11">
        <v>0</v>
      </c>
      <c r="BM123" s="11">
        <v>0</v>
      </c>
      <c r="BN123" s="11">
        <v>0</v>
      </c>
      <c r="BO123" s="8">
        <f t="shared" si="1178"/>
        <v>-1070</v>
      </c>
      <c r="BP123" s="857">
        <f t="shared" si="1179"/>
        <v>-230</v>
      </c>
    </row>
    <row r="124" spans="2:70" ht="11.45">
      <c r="B124" t="s">
        <v>200</v>
      </c>
      <c r="D124" s="10">
        <f t="shared" ref="D124:N124" si="1183">+D125-SUM(D121:D122,D117)</f>
        <v>2827.3500000000004</v>
      </c>
      <c r="E124" s="10">
        <f t="shared" si="1183"/>
        <v>-1337.4500000000007</v>
      </c>
      <c r="F124" s="10">
        <f t="shared" si="1183"/>
        <v>4045.75</v>
      </c>
      <c r="G124" s="10">
        <f t="shared" si="1183"/>
        <v>1112.5</v>
      </c>
      <c r="H124" s="10">
        <f t="shared" si="1183"/>
        <v>4592.45</v>
      </c>
      <c r="I124" s="10">
        <f t="shared" si="1183"/>
        <v>-1854.3000000000002</v>
      </c>
      <c r="J124" s="10">
        <f t="shared" si="1183"/>
        <v>2712.8999999999996</v>
      </c>
      <c r="K124" s="10">
        <f t="shared" si="1183"/>
        <v>2377.3999999999996</v>
      </c>
      <c r="L124" s="10">
        <f t="shared" si="1183"/>
        <v>3778.3999999999996</v>
      </c>
      <c r="M124" s="10">
        <f t="shared" si="1183"/>
        <v>-1606.8500000000004</v>
      </c>
      <c r="N124" s="10">
        <f t="shared" si="1183"/>
        <v>1645.6099999999997</v>
      </c>
      <c r="O124" s="10">
        <f t="shared" ref="O124:V124" si="1184">+O125-SUM(O121:O122,O117)</f>
        <v>-547.20000000000073</v>
      </c>
      <c r="P124" s="10">
        <f t="shared" si="1184"/>
        <v>1638.4099999999999</v>
      </c>
      <c r="Q124" s="10">
        <f t="shared" si="1184"/>
        <v>-3482.1499999999996</v>
      </c>
      <c r="R124" s="10">
        <f t="shared" si="1184"/>
        <v>1138.0599999999995</v>
      </c>
      <c r="S124" s="10">
        <f t="shared" si="1184"/>
        <v>2043.1599999999999</v>
      </c>
      <c r="T124" s="10">
        <f t="shared" si="1184"/>
        <v>-436.94000000000051</v>
      </c>
      <c r="U124" s="10">
        <f t="shared" si="1184"/>
        <v>-4990.1499999999996</v>
      </c>
      <c r="V124" s="10">
        <f t="shared" si="1184"/>
        <v>2902.0299999999988</v>
      </c>
      <c r="W124" s="10">
        <f t="shared" ref="W124:X124" si="1185">+W125-SUM(W121:W122,W117)</f>
        <v>3216.619999999999</v>
      </c>
      <c r="X124" s="10">
        <f t="shared" si="1185"/>
        <v>2496.0400000000009</v>
      </c>
      <c r="Y124" s="10">
        <f t="shared" ref="Y124:Z124" si="1186">+Y125-SUM(Y121:Y122,Y117)</f>
        <v>-6297.23</v>
      </c>
      <c r="Z124" s="10">
        <f t="shared" si="1186"/>
        <v>4101.5599999999995</v>
      </c>
      <c r="AA124" s="10">
        <f t="shared" ref="AA124:AB124" si="1187">+AA125-SUM(AA121:AA122,AA117)</f>
        <v>2465.0499999999993</v>
      </c>
      <c r="AB124" s="10">
        <f t="shared" si="1187"/>
        <v>3412.0400000000009</v>
      </c>
      <c r="AC124" s="10">
        <f t="shared" ref="AC124:AD124" si="1188">+AC125-SUM(AC121:AC122,AC117)</f>
        <v>-8699.85</v>
      </c>
      <c r="AD124" s="10">
        <f t="shared" si="1188"/>
        <v>3756.8999999999996</v>
      </c>
      <c r="AE124" s="10">
        <f t="shared" ref="AE124:AF124" si="1189">+AE125-SUM(AE121:AE122,AE117)</f>
        <v>2468.2700000000004</v>
      </c>
      <c r="AF124" s="10">
        <f t="shared" si="1189"/>
        <v>1174.119999999999</v>
      </c>
      <c r="AG124" s="10">
        <f t="shared" ref="AG124" si="1190">+AG125-SUM(AG121:AG122,AG117)</f>
        <v>-12005.900000000001</v>
      </c>
      <c r="AH124" s="10">
        <f t="shared" ref="AH124" si="1191">+AH125-SUM(AH121:AH122,AH117)</f>
        <v>515.32999999999993</v>
      </c>
      <c r="AI124" s="10">
        <f t="shared" ref="AI124:AJ124" si="1192">+AI125-SUM(AI121:AI122,AI117)</f>
        <v>2945.67</v>
      </c>
      <c r="AJ124" s="10">
        <f t="shared" si="1192"/>
        <v>2600.6399999999994</v>
      </c>
      <c r="AK124" s="10">
        <f>+AK125-SUM(AK121:AK123,AK117)</f>
        <v>-10837.239999999998</v>
      </c>
      <c r="AL124" s="10">
        <f>+AL125-SUM(AL121:AL123,AL117)</f>
        <v>2129.369999999999</v>
      </c>
      <c r="AM124" s="10">
        <f t="shared" ref="AM124:AN124" si="1193">+AM125-SUM(AM121:AM123,AM117)</f>
        <v>6658.5162500000006</v>
      </c>
      <c r="AN124" s="10">
        <f t="shared" si="1193"/>
        <v>123.52249999999913</v>
      </c>
      <c r="AO124" s="58">
        <f>+AK124-$BO$124/4+AJ124</f>
        <v>-8374.4215624999997</v>
      </c>
      <c r="AP124" s="58">
        <f t="shared" ref="AP124" si="1194">+AL124-$BO$124/4</f>
        <v>1991.5484374999987</v>
      </c>
      <c r="AQ124" s="58">
        <f>+BP124-AP124-AO124-AN124</f>
        <v>6259.3506250000019</v>
      </c>
      <c r="AS124" s="10">
        <f t="shared" ref="AS124:BE124" si="1195">+AS125-SUM(AS121:AS122,AS117)</f>
        <v>1004</v>
      </c>
      <c r="AT124" s="10">
        <f t="shared" si="1195"/>
        <v>-1676</v>
      </c>
      <c r="AU124" s="10">
        <f t="shared" si="1195"/>
        <v>-95</v>
      </c>
      <c r="AV124" s="10">
        <f t="shared" si="1195"/>
        <v>-337</v>
      </c>
      <c r="AW124" s="10">
        <f t="shared" si="1195"/>
        <v>1546</v>
      </c>
      <c r="AX124" s="10">
        <f t="shared" si="1195"/>
        <v>-1404</v>
      </c>
      <c r="AY124" s="10">
        <f t="shared" si="1195"/>
        <v>-709</v>
      </c>
      <c r="AZ124" s="10">
        <f t="shared" si="1195"/>
        <v>915</v>
      </c>
      <c r="BA124" s="10">
        <f t="shared" si="1195"/>
        <v>-673</v>
      </c>
      <c r="BB124" s="10">
        <f t="shared" si="1195"/>
        <v>2397</v>
      </c>
      <c r="BC124" s="10">
        <f t="shared" si="1195"/>
        <v>-2981</v>
      </c>
      <c r="BD124" s="10">
        <f t="shared" si="1195"/>
        <v>-431</v>
      </c>
      <c r="BE124" s="10">
        <f t="shared" si="1195"/>
        <v>1347</v>
      </c>
      <c r="BG124" s="10">
        <f>+BG125-SUM(BG121:BG122,BG117)</f>
        <v>1186</v>
      </c>
      <c r="BH124" s="10">
        <f>+BH125-SUM(BH121:BH122,BH117)</f>
        <v>-344</v>
      </c>
      <c r="BI124" s="10">
        <f>+BI125-SUM(BI121:BI122,BI117)</f>
        <v>-1291</v>
      </c>
      <c r="BJ124" s="10">
        <f t="shared" ref="BJ124" si="1196">+BJ125-SUM(BJ121:BJ122,BJ117)</f>
        <v>563</v>
      </c>
      <c r="BK124" s="10">
        <f>+BK125-SUM(BK121:BK122,BK117)</f>
        <v>2054</v>
      </c>
      <c r="BL124" s="10">
        <f t="shared" ref="BL124:BN124" si="1197">+BL125-SUM(BL121:BL122,BL117)</f>
        <v>1234</v>
      </c>
      <c r="BM124" s="10">
        <f t="shared" si="1197"/>
        <v>-643</v>
      </c>
      <c r="BN124" s="10">
        <f t="shared" si="1197"/>
        <v>-3272</v>
      </c>
      <c r="BO124" s="10">
        <f t="shared" si="1178"/>
        <v>551.28625000000102</v>
      </c>
      <c r="BP124" s="1346">
        <f>+Base!K73</f>
        <v>0</v>
      </c>
    </row>
    <row r="125" spans="2:70" s="1" customFormat="1" ht="10.5">
      <c r="B125" s="837" t="s">
        <v>147</v>
      </c>
      <c r="D125" s="838">
        <f t="shared" ref="D125:V125" si="1198">+D128+D114</f>
        <v>7376</v>
      </c>
      <c r="E125" s="838">
        <f t="shared" si="1198"/>
        <v>3618</v>
      </c>
      <c r="F125" s="838">
        <f t="shared" si="1198"/>
        <v>8067</v>
      </c>
      <c r="G125" s="838">
        <f t="shared" si="1198"/>
        <v>5364</v>
      </c>
      <c r="H125" s="838">
        <f t="shared" si="1198"/>
        <v>9249</v>
      </c>
      <c r="I125" s="838">
        <f t="shared" si="1198"/>
        <v>3793</v>
      </c>
      <c r="J125" s="838">
        <f t="shared" si="1198"/>
        <v>8560</v>
      </c>
      <c r="K125" s="838">
        <f t="shared" si="1198"/>
        <v>7705</v>
      </c>
      <c r="L125" s="838">
        <f t="shared" si="1198"/>
        <v>9740</v>
      </c>
      <c r="M125" s="838">
        <f t="shared" si="1198"/>
        <v>4575</v>
      </c>
      <c r="N125" s="838">
        <f t="shared" si="1198"/>
        <v>8651</v>
      </c>
      <c r="O125" s="838">
        <f t="shared" si="1198"/>
        <v>7318</v>
      </c>
      <c r="P125" s="838">
        <f t="shared" si="1198"/>
        <v>9357</v>
      </c>
      <c r="Q125" s="838">
        <f t="shared" si="1198"/>
        <v>5000</v>
      </c>
      <c r="R125" s="838">
        <f t="shared" si="1198"/>
        <v>10120</v>
      </c>
      <c r="S125" s="838">
        <f t="shared" si="1198"/>
        <v>10808</v>
      </c>
      <c r="T125" s="838">
        <f t="shared" si="1198"/>
        <v>9018</v>
      </c>
      <c r="U125" s="838">
        <f t="shared" si="1198"/>
        <v>6180</v>
      </c>
      <c r="V125" s="838">
        <f t="shared" si="1198"/>
        <v>13604</v>
      </c>
      <c r="W125" s="838">
        <f t="shared" ref="W125:X125" si="1199">+W128+W114</f>
        <v>12873</v>
      </c>
      <c r="X125" s="838">
        <f t="shared" si="1199"/>
        <v>13835</v>
      </c>
      <c r="Y125" s="838">
        <f t="shared" ref="Y125:Z125" si="1200">+Y128+Y114</f>
        <v>7116</v>
      </c>
      <c r="Z125" s="838">
        <f t="shared" si="1200"/>
        <v>16179</v>
      </c>
      <c r="AA125" s="838">
        <f t="shared" ref="AA125:AB125" si="1201">+AA128+AA114</f>
        <v>15410</v>
      </c>
      <c r="AB125" s="838">
        <f t="shared" si="1201"/>
        <v>17140</v>
      </c>
      <c r="AC125" s="838">
        <f t="shared" ref="AC125:AD125" si="1202">+AC128+AC114</f>
        <v>7680</v>
      </c>
      <c r="AD125" s="838">
        <f t="shared" si="1202"/>
        <v>19086</v>
      </c>
      <c r="AE125" s="838">
        <f t="shared" ref="AE125:AF125" si="1203">+AE128+AE114</f>
        <v>15929</v>
      </c>
      <c r="AF125" s="838">
        <f t="shared" si="1203"/>
        <v>16598</v>
      </c>
      <c r="AG125" s="838">
        <f t="shared" ref="AG125" si="1204">+AG128+AG114</f>
        <v>4373</v>
      </c>
      <c r="AH125" s="838">
        <f t="shared" ref="AH125" si="1205">+AH128+AH114</f>
        <v>16641</v>
      </c>
      <c r="AI125" s="838">
        <f t="shared" ref="AI125:AJ125" si="1206">+AI128+AI114</f>
        <v>18070</v>
      </c>
      <c r="AJ125" s="838">
        <f t="shared" si="1206"/>
        <v>19383</v>
      </c>
      <c r="AK125" s="838">
        <f t="shared" ref="AK125:AL125" si="1207">+AK128+AK114</f>
        <v>7353</v>
      </c>
      <c r="AL125" s="838">
        <f t="shared" si="1207"/>
        <v>17917</v>
      </c>
      <c r="AM125" s="838">
        <f t="shared" ref="AM125:AN125" si="1208">+AM128+AM114</f>
        <v>18195</v>
      </c>
      <c r="AN125" s="838">
        <f t="shared" si="1208"/>
        <v>14180</v>
      </c>
      <c r="AO125" s="838">
        <f t="shared" ref="AO125:AQ125" si="1209">+AO124+AO122+AO121+AO117+AO123</f>
        <v>3348.1980039731425</v>
      </c>
      <c r="AP125" s="838">
        <f t="shared" si="1209"/>
        <v>14833.321875634872</v>
      </c>
      <c r="AQ125" s="838">
        <f t="shared" si="1209"/>
        <v>20213.035363446001</v>
      </c>
      <c r="AS125" s="838">
        <f t="shared" ref="AS125:BE125" si="1210">+AS128+AS114</f>
        <v>15793</v>
      </c>
      <c r="AT125" s="838">
        <f t="shared" si="1210"/>
        <v>12826</v>
      </c>
      <c r="AU125" s="838">
        <f t="shared" si="1210"/>
        <v>15532</v>
      </c>
      <c r="AV125" s="838">
        <f t="shared" si="1210"/>
        <v>18430</v>
      </c>
      <c r="AW125" s="838">
        <f t="shared" si="1210"/>
        <v>15918</v>
      </c>
      <c r="AX125" s="838">
        <f t="shared" si="1210"/>
        <v>22096</v>
      </c>
      <c r="AY125" s="838">
        <f t="shared" si="1210"/>
        <v>24639</v>
      </c>
      <c r="AZ125" s="838">
        <f t="shared" si="1210"/>
        <v>29321</v>
      </c>
      <c r="BA125" s="838">
        <f t="shared" si="1210"/>
        <v>24576</v>
      </c>
      <c r="BB125" s="838">
        <f t="shared" si="1210"/>
        <v>27017</v>
      </c>
      <c r="BC125" s="838">
        <f t="shared" si="1210"/>
        <v>23724</v>
      </c>
      <c r="BD125" s="838">
        <f t="shared" si="1210"/>
        <v>24425</v>
      </c>
      <c r="BE125" s="838">
        <f t="shared" si="1210"/>
        <v>29307</v>
      </c>
      <c r="BG125" s="838">
        <f>+BG128+BG114</f>
        <v>24425</v>
      </c>
      <c r="BH125" s="838">
        <f>+BH128+BH114</f>
        <v>29307</v>
      </c>
      <c r="BI125" s="838">
        <f>+BI128+BI114</f>
        <v>30284</v>
      </c>
      <c r="BJ125" s="838">
        <f>+BJ128+BJ114</f>
        <v>35285</v>
      </c>
      <c r="BK125" s="838">
        <f t="shared" ref="BK125:BM125" si="1211">+BK128+BK114</f>
        <v>41675</v>
      </c>
      <c r="BL125" s="838">
        <f t="shared" si="1211"/>
        <v>52540</v>
      </c>
      <c r="BM125" s="838">
        <f t="shared" si="1211"/>
        <v>59835</v>
      </c>
      <c r="BN125" s="838">
        <f t="shared" ref="BN125" si="1212">SUM(AF125:AI125)</f>
        <v>55682</v>
      </c>
      <c r="BO125" s="838">
        <f t="shared" si="1178"/>
        <v>62848</v>
      </c>
      <c r="BP125" s="838">
        <f t="shared" si="1179"/>
        <v>52574.555243054012</v>
      </c>
    </row>
    <row r="126" spans="2:70">
      <c r="W126" s="824"/>
      <c r="X126" s="824"/>
      <c r="Y126" s="824"/>
      <c r="Z126" s="824"/>
      <c r="AA126" s="824"/>
      <c r="AG126" s="8"/>
      <c r="AJ126" s="8"/>
      <c r="AN126" s="1606"/>
    </row>
    <row r="127" spans="2:70" ht="10.5">
      <c r="B127" s="858" t="s">
        <v>319</v>
      </c>
      <c r="AH127" s="8"/>
      <c r="AN127" s="9"/>
    </row>
    <row r="128" spans="2:70">
      <c r="B128" s="843" t="s">
        <v>320</v>
      </c>
      <c r="D128" s="8">
        <f>+D1158</f>
        <v>8876</v>
      </c>
      <c r="E128" s="8">
        <f t="shared" ref="E128:N128" si="1213">+E1158</f>
        <v>5618</v>
      </c>
      <c r="F128" s="8">
        <f t="shared" si="1213"/>
        <v>10367</v>
      </c>
      <c r="G128" s="8">
        <f t="shared" si="1213"/>
        <v>8464</v>
      </c>
      <c r="H128" s="8">
        <f t="shared" si="1213"/>
        <v>11549</v>
      </c>
      <c r="I128" s="8">
        <f t="shared" si="1213"/>
        <v>6293</v>
      </c>
      <c r="J128" s="8">
        <f t="shared" si="1213"/>
        <v>10660</v>
      </c>
      <c r="K128" s="8">
        <f t="shared" si="1213"/>
        <v>11005</v>
      </c>
      <c r="L128" s="8">
        <f t="shared" si="1213"/>
        <v>12440</v>
      </c>
      <c r="M128" s="8">
        <f t="shared" si="1213"/>
        <v>7875</v>
      </c>
      <c r="N128" s="8">
        <f t="shared" si="1213"/>
        <v>12151</v>
      </c>
      <c r="O128" s="8">
        <f t="shared" ref="O128:V128" si="1214">+O1158</f>
        <v>11418</v>
      </c>
      <c r="P128" s="8">
        <f t="shared" si="1214"/>
        <v>13657</v>
      </c>
      <c r="Q128" s="8">
        <f t="shared" si="1214"/>
        <v>8900</v>
      </c>
      <c r="R128" s="8">
        <f t="shared" si="1214"/>
        <v>13520</v>
      </c>
      <c r="S128" s="8">
        <f t="shared" si="1214"/>
        <v>16108</v>
      </c>
      <c r="T128" s="8">
        <f t="shared" si="1214"/>
        <v>13818</v>
      </c>
      <c r="U128" s="8">
        <f t="shared" si="1214"/>
        <v>10680</v>
      </c>
      <c r="V128" s="8">
        <f t="shared" si="1214"/>
        <v>17504</v>
      </c>
      <c r="W128" s="8">
        <f t="shared" ref="W128:X128" si="1215">+W1158</f>
        <v>18673</v>
      </c>
      <c r="X128" s="8">
        <f t="shared" si="1215"/>
        <v>19335</v>
      </c>
      <c r="Y128" s="8">
        <f t="shared" ref="Y128:Z128" si="1216">+Y1158</f>
        <v>12516</v>
      </c>
      <c r="Z128" s="8">
        <f t="shared" si="1216"/>
        <v>22179</v>
      </c>
      <c r="AA128" s="8">
        <f t="shared" ref="AA128:AB128" si="1217">+AA1158</f>
        <v>22710</v>
      </c>
      <c r="AB128" s="8">
        <f t="shared" si="1217"/>
        <v>24540</v>
      </c>
      <c r="AC128" s="8">
        <f t="shared" ref="AC128:AD128" si="1218">+AC1158</f>
        <v>14480</v>
      </c>
      <c r="AD128" s="8">
        <f t="shared" si="1218"/>
        <v>25386</v>
      </c>
      <c r="AE128" s="8">
        <f t="shared" ref="AE128:AF128" si="1219">+AE1158</f>
        <v>24629</v>
      </c>
      <c r="AF128" s="8">
        <f t="shared" si="1219"/>
        <v>23198</v>
      </c>
      <c r="AG128" s="8">
        <f t="shared" ref="AG128:AH128" si="1220">+AG1158</f>
        <v>11173</v>
      </c>
      <c r="AH128" s="8">
        <f t="shared" si="1220"/>
        <v>24441</v>
      </c>
      <c r="AI128" s="8">
        <f t="shared" ref="AI128:AK128" si="1221">+AI1158</f>
        <v>28770</v>
      </c>
      <c r="AJ128" s="8">
        <f t="shared" si="1221"/>
        <v>30583</v>
      </c>
      <c r="AK128" s="8">
        <f t="shared" si="1221"/>
        <v>18853</v>
      </c>
      <c r="AL128" s="8">
        <f t="shared" ref="AL128:AM128" si="1222">+AL1158</f>
        <v>31917</v>
      </c>
      <c r="AM128" s="8">
        <f t="shared" si="1222"/>
        <v>37195</v>
      </c>
      <c r="AN128" s="8">
        <f t="shared" ref="AN128" si="1223">+AN1158</f>
        <v>34180</v>
      </c>
      <c r="AO128" s="8"/>
      <c r="AP128" s="8"/>
      <c r="AQ128" s="8"/>
      <c r="AS128" s="8">
        <f t="shared" ref="AS128:BE128" si="1224">+AS1158</f>
        <v>16605</v>
      </c>
      <c r="AT128" s="8">
        <f t="shared" si="1224"/>
        <v>14404</v>
      </c>
      <c r="AU128" s="8">
        <f t="shared" si="1224"/>
        <v>17796</v>
      </c>
      <c r="AV128" s="8">
        <f t="shared" si="1224"/>
        <v>21612</v>
      </c>
      <c r="AW128" s="8">
        <f t="shared" si="1224"/>
        <v>19037</v>
      </c>
      <c r="AX128" s="8">
        <f t="shared" si="1224"/>
        <v>24073</v>
      </c>
      <c r="AY128" s="8">
        <f t="shared" si="1224"/>
        <v>26994</v>
      </c>
      <c r="AZ128" s="8">
        <f t="shared" si="1224"/>
        <v>31626</v>
      </c>
      <c r="BA128" s="8">
        <f t="shared" si="1224"/>
        <v>28833</v>
      </c>
      <c r="BB128" s="8">
        <f t="shared" si="1224"/>
        <v>32502</v>
      </c>
      <c r="BC128" s="8">
        <f t="shared" si="1224"/>
        <v>29668</v>
      </c>
      <c r="BD128" s="8">
        <f t="shared" si="1224"/>
        <v>33325</v>
      </c>
      <c r="BE128" s="8">
        <f t="shared" si="1224"/>
        <v>39507</v>
      </c>
      <c r="BG128" s="8">
        <f>+BG1158</f>
        <v>33325</v>
      </c>
      <c r="BH128" s="8">
        <f>+BH1158</f>
        <v>39507</v>
      </c>
      <c r="BI128" s="8">
        <f>+BI1158</f>
        <v>43884</v>
      </c>
      <c r="BJ128" s="8">
        <f>+BJ1158</f>
        <v>52185</v>
      </c>
      <c r="BK128" s="8">
        <f t="shared" ref="BK128" si="1225">+BK1158</f>
        <v>60675</v>
      </c>
      <c r="BL128" s="8">
        <f>SUM(X128:AA128)</f>
        <v>76740</v>
      </c>
      <c r="BM128" s="8">
        <f>SUM(AB128:AE128)</f>
        <v>89035</v>
      </c>
      <c r="BN128" s="8">
        <f t="shared" ref="BN128:BN134" si="1226">SUM(AF128:AI128)</f>
        <v>87582</v>
      </c>
      <c r="BO128" s="8">
        <f t="shared" ref="BO128:BO134" si="1227">SUM(AJ128:AM128)</f>
        <v>118548</v>
      </c>
      <c r="BP128" s="8"/>
    </row>
    <row r="129" spans="2:82">
      <c r="B129" s="843" t="s">
        <v>321</v>
      </c>
      <c r="D129" s="8">
        <f t="shared" ref="D129:N129" si="1228">+D1162</f>
        <v>-390</v>
      </c>
      <c r="E129" s="8">
        <f t="shared" si="1228"/>
        <v>-381</v>
      </c>
      <c r="F129" s="8">
        <f t="shared" si="1228"/>
        <v>-559</v>
      </c>
      <c r="G129" s="8">
        <f t="shared" si="1228"/>
        <v>-63</v>
      </c>
      <c r="H129" s="8">
        <f t="shared" si="1228"/>
        <v>-24</v>
      </c>
      <c r="I129" s="8">
        <f t="shared" si="1228"/>
        <v>-24760</v>
      </c>
      <c r="J129" s="8">
        <f t="shared" si="1228"/>
        <v>-802</v>
      </c>
      <c r="K129" s="8">
        <f t="shared" si="1228"/>
        <v>-358</v>
      </c>
      <c r="L129" s="8">
        <f t="shared" si="1228"/>
        <v>-179</v>
      </c>
      <c r="M129" s="8">
        <f t="shared" si="1228"/>
        <v>-27</v>
      </c>
      <c r="N129" s="8">
        <f t="shared" si="1228"/>
        <v>-248</v>
      </c>
      <c r="O129" s="8">
        <f t="shared" ref="O129:V129" si="1229">+O1162</f>
        <v>-434</v>
      </c>
      <c r="P129" s="8">
        <f t="shared" si="1229"/>
        <v>-245</v>
      </c>
      <c r="Q129" s="8">
        <f t="shared" si="1229"/>
        <v>-1593</v>
      </c>
      <c r="R129" s="8">
        <f t="shared" si="1229"/>
        <v>-269</v>
      </c>
      <c r="S129" s="8">
        <f t="shared" si="1229"/>
        <v>-281</v>
      </c>
      <c r="T129" s="8">
        <f t="shared" si="1229"/>
        <v>-462</v>
      </c>
      <c r="U129" s="8">
        <f t="shared" si="1229"/>
        <v>-80</v>
      </c>
      <c r="V129" s="8">
        <f t="shared" si="1229"/>
        <v>-329</v>
      </c>
      <c r="W129" s="8">
        <f t="shared" ref="W129:X129" si="1230">+W1162</f>
        <v>-1650</v>
      </c>
      <c r="X129" s="8">
        <f t="shared" si="1230"/>
        <v>-481</v>
      </c>
      <c r="Y129" s="8">
        <f t="shared" ref="Y129:Z129" si="1231">+Y1162</f>
        <v>-415</v>
      </c>
      <c r="Z129" s="8">
        <f t="shared" si="1231"/>
        <v>-7512</v>
      </c>
      <c r="AA129" s="8">
        <f t="shared" ref="AA129:AB129" si="1232">+AA1162</f>
        <v>-501</v>
      </c>
      <c r="AB129" s="8">
        <f t="shared" si="1232"/>
        <v>-1206</v>
      </c>
      <c r="AC129" s="8">
        <f t="shared" ref="AC129:AD129" si="1233">+AC1162</f>
        <v>-850</v>
      </c>
      <c r="AD129" s="8">
        <f t="shared" si="1233"/>
        <v>-18719</v>
      </c>
      <c r="AE129" s="8">
        <f t="shared" ref="AE129:AF129" si="1234">+AE1162</f>
        <v>-1263</v>
      </c>
      <c r="AF129" s="8">
        <f t="shared" si="1234"/>
        <v>-349</v>
      </c>
      <c r="AG129" s="8">
        <f t="shared" ref="AG129:AH129" si="1235">+AG1162</f>
        <v>-679</v>
      </c>
      <c r="AH129" s="8">
        <f t="shared" si="1235"/>
        <v>-301</v>
      </c>
      <c r="AI129" s="8">
        <f t="shared" ref="AI129:AK129" si="1236">+AI1162</f>
        <v>-341</v>
      </c>
      <c r="AJ129" s="8">
        <f t="shared" si="1236"/>
        <v>-1186</v>
      </c>
      <c r="AK129" s="8">
        <f t="shared" si="1236"/>
        <v>-65029</v>
      </c>
      <c r="AL129" s="8">
        <f t="shared" ref="AL129:AM129" si="1237">+AL1162</f>
        <v>-1575</v>
      </c>
      <c r="AM129" s="8">
        <f t="shared" si="1237"/>
        <v>-1342</v>
      </c>
      <c r="AN129" s="8">
        <f t="shared" ref="AN129" si="1238">+AN1162</f>
        <v>-1849</v>
      </c>
      <c r="AO129" s="61"/>
      <c r="AP129" s="61"/>
      <c r="AQ129" s="61"/>
      <c r="AS129" s="8">
        <f t="shared" ref="AS129:BE129" si="1239">+AS1162</f>
        <v>-207</v>
      </c>
      <c r="AT129" s="8">
        <f t="shared" si="1239"/>
        <v>-649</v>
      </c>
      <c r="AU129" s="8">
        <f t="shared" si="1239"/>
        <v>-1150</v>
      </c>
      <c r="AV129" s="8">
        <f t="shared" si="1239"/>
        <v>-8053</v>
      </c>
      <c r="AW129" s="8">
        <f t="shared" si="1239"/>
        <v>-868</v>
      </c>
      <c r="AX129" s="8">
        <f t="shared" si="1239"/>
        <v>-245</v>
      </c>
      <c r="AY129" s="8">
        <f t="shared" si="1239"/>
        <v>-71</v>
      </c>
      <c r="AZ129" s="8">
        <f t="shared" si="1239"/>
        <v>-10112</v>
      </c>
      <c r="BA129" s="8">
        <f t="shared" si="1239"/>
        <v>-1584</v>
      </c>
      <c r="BB129" s="8">
        <f t="shared" si="1239"/>
        <v>-5937</v>
      </c>
      <c r="BC129" s="8">
        <f t="shared" si="1239"/>
        <v>-3723</v>
      </c>
      <c r="BD129" s="8">
        <f t="shared" si="1239"/>
        <v>-1393</v>
      </c>
      <c r="BE129" s="8">
        <f t="shared" si="1239"/>
        <v>-25944</v>
      </c>
      <c r="BG129" s="8">
        <f>+SUM(D129:G129)</f>
        <v>-1393</v>
      </c>
      <c r="BH129" s="8">
        <f>+BH1162</f>
        <v>-25944</v>
      </c>
      <c r="BI129" s="8">
        <f>+BI1162</f>
        <v>-888</v>
      </c>
      <c r="BJ129" s="8">
        <f t="shared" ref="BJ129:BK129" si="1240">+BJ1162</f>
        <v>-2388</v>
      </c>
      <c r="BK129" s="8">
        <f t="shared" si="1240"/>
        <v>-2521</v>
      </c>
      <c r="BL129" s="8">
        <f>SUM(X129:AA129)</f>
        <v>-8909</v>
      </c>
      <c r="BM129" s="8">
        <f t="shared" ref="BM129:BM134" si="1241">SUM(AB129:AE129)</f>
        <v>-22038</v>
      </c>
      <c r="BN129" s="8">
        <f t="shared" si="1226"/>
        <v>-1670</v>
      </c>
      <c r="BO129" s="8">
        <f t="shared" si="1227"/>
        <v>-69132</v>
      </c>
      <c r="BP129" s="8"/>
    </row>
    <row r="130" spans="2:82">
      <c r="B130" s="843" t="s">
        <v>322</v>
      </c>
      <c r="D130" s="8">
        <f>+CapIQ!DV238</f>
        <v>0</v>
      </c>
      <c r="E130" s="8">
        <f>+CapIQ!DW238</f>
        <v>0</v>
      </c>
      <c r="F130" s="8">
        <f>+CapIQ!DX238</f>
        <v>0</v>
      </c>
      <c r="G130" s="8">
        <f>+CapIQ!DY238</f>
        <v>0</v>
      </c>
      <c r="H130" s="8">
        <f>+CapIQ!DZ238</f>
        <v>0</v>
      </c>
      <c r="I130" s="8">
        <f>+CapIQ!EA238</f>
        <v>0</v>
      </c>
      <c r="J130" s="8">
        <f>+CapIQ!EB238</f>
        <v>0</v>
      </c>
      <c r="K130" s="8">
        <f>+CapIQ!EC238</f>
        <v>0</v>
      </c>
      <c r="L130" s="8">
        <f>+CapIQ!ED238</f>
        <v>0</v>
      </c>
      <c r="M130" s="8">
        <f>+CapIQ!EE238</f>
        <v>0</v>
      </c>
      <c r="N130" s="8">
        <f>+CapIQ!EF238</f>
        <v>0</v>
      </c>
      <c r="O130" s="8">
        <f>+CapIQ!EG238</f>
        <v>0</v>
      </c>
      <c r="P130" s="8">
        <f>+CapIQ!EH238</f>
        <v>0</v>
      </c>
      <c r="Q130" s="8">
        <f>+CapIQ!EI238</f>
        <v>0</v>
      </c>
      <c r="R130" s="8">
        <f>+CapIQ!EJ238</f>
        <v>0</v>
      </c>
      <c r="S130" s="8">
        <f>+CapIQ!EK238</f>
        <v>0</v>
      </c>
      <c r="T130" s="8">
        <f>+CapIQ!EL238</f>
        <v>0</v>
      </c>
      <c r="U130" s="8">
        <f>+CapIQ!EM238</f>
        <v>0</v>
      </c>
      <c r="V130" s="8">
        <f>+CapIQ!EN238</f>
        <v>0</v>
      </c>
      <c r="W130" s="8">
        <v>0</v>
      </c>
      <c r="X130" s="8">
        <v>0</v>
      </c>
      <c r="Y130" s="8">
        <v>0</v>
      </c>
      <c r="Z130" s="8">
        <v>0</v>
      </c>
      <c r="AA130" s="8">
        <v>0</v>
      </c>
      <c r="AB130" s="8">
        <v>0</v>
      </c>
      <c r="AC130" s="8">
        <v>0</v>
      </c>
      <c r="AD130" s="8">
        <v>0</v>
      </c>
      <c r="AE130" s="8">
        <v>0</v>
      </c>
      <c r="AF130" s="8">
        <v>0</v>
      </c>
      <c r="AG130" s="8">
        <v>0</v>
      </c>
      <c r="AH130" s="8">
        <v>0</v>
      </c>
      <c r="AI130" s="8">
        <v>0</v>
      </c>
      <c r="AJ130" s="8">
        <v>0</v>
      </c>
      <c r="AK130" s="8">
        <v>0</v>
      </c>
      <c r="AL130" s="8">
        <v>0</v>
      </c>
      <c r="AM130" s="8">
        <v>0</v>
      </c>
      <c r="AN130" s="8">
        <v>0</v>
      </c>
      <c r="AO130" s="61"/>
      <c r="AP130" s="61"/>
      <c r="AQ130" s="61"/>
      <c r="AS130" s="8">
        <f>+CapIQ!P238</f>
        <v>0</v>
      </c>
      <c r="AT130" s="8">
        <f>+CapIQ!Q238</f>
        <v>0</v>
      </c>
      <c r="AU130" s="8">
        <f>+CapIQ!R238</f>
        <v>0</v>
      </c>
      <c r="AV130" s="8">
        <f>+CapIQ!S238</f>
        <v>0</v>
      </c>
      <c r="AW130" s="8">
        <f>+CapIQ!T238</f>
        <v>0</v>
      </c>
      <c r="AX130" s="8">
        <f>+CapIQ!U238</f>
        <v>0</v>
      </c>
      <c r="AY130" s="8">
        <f>+CapIQ!V238</f>
        <v>0</v>
      </c>
      <c r="AZ130" s="8">
        <f>+CapIQ!W238</f>
        <v>0</v>
      </c>
      <c r="BA130" s="8">
        <f>+CapIQ!X238</f>
        <v>0</v>
      </c>
      <c r="BB130" s="8">
        <f>+CapIQ!Y238</f>
        <v>0</v>
      </c>
      <c r="BC130" s="8">
        <f>+CapIQ!Z238</f>
        <v>0</v>
      </c>
      <c r="BD130" s="8">
        <f>+CapIQ!AA238</f>
        <v>0</v>
      </c>
      <c r="BE130" s="8">
        <f>+CapIQ!AB238</f>
        <v>0</v>
      </c>
      <c r="BG130" s="8">
        <f>+CapIQ!AA238</f>
        <v>0</v>
      </c>
      <c r="BH130" s="8">
        <f>+CapIQ!AB238</f>
        <v>0</v>
      </c>
      <c r="BI130" s="8">
        <f>+CapIQ!AC238</f>
        <v>0</v>
      </c>
      <c r="BJ130" s="8">
        <f>+CapIQ!AD238</f>
        <v>0</v>
      </c>
      <c r="BK130" s="8">
        <f>+CapIQ!AE238</f>
        <v>0</v>
      </c>
      <c r="BL130" s="8">
        <f>SUM(X130:AA130)</f>
        <v>0</v>
      </c>
      <c r="BM130" s="8">
        <f t="shared" si="1241"/>
        <v>0</v>
      </c>
      <c r="BN130" s="8">
        <f t="shared" si="1226"/>
        <v>0</v>
      </c>
      <c r="BO130" s="8">
        <f t="shared" si="1227"/>
        <v>0</v>
      </c>
      <c r="BP130" s="8"/>
    </row>
    <row r="131" spans="2:82">
      <c r="B131" s="843" t="s">
        <v>323</v>
      </c>
      <c r="D131" s="859" t="s">
        <v>273</v>
      </c>
      <c r="E131" s="859" t="s">
        <v>273</v>
      </c>
      <c r="F131" s="859" t="s">
        <v>273</v>
      </c>
      <c r="G131" s="859" t="s">
        <v>273</v>
      </c>
      <c r="H131" s="859" t="s">
        <v>273</v>
      </c>
      <c r="I131" s="859" t="s">
        <v>273</v>
      </c>
      <c r="J131" s="859" t="s">
        <v>273</v>
      </c>
      <c r="K131" s="859" t="s">
        <v>273</v>
      </c>
      <c r="L131" s="859" t="s">
        <v>273</v>
      </c>
      <c r="M131" s="859" t="s">
        <v>273</v>
      </c>
      <c r="N131" s="859" t="s">
        <v>273</v>
      </c>
      <c r="O131" s="859" t="s">
        <v>273</v>
      </c>
      <c r="P131" s="859" t="s">
        <v>273</v>
      </c>
      <c r="Q131" s="859" t="s">
        <v>273</v>
      </c>
      <c r="R131" s="859" t="s">
        <v>273</v>
      </c>
      <c r="S131" s="859" t="s">
        <v>273</v>
      </c>
      <c r="T131" s="859" t="s">
        <v>273</v>
      </c>
      <c r="U131" s="859" t="s">
        <v>273</v>
      </c>
      <c r="V131" s="859" t="s">
        <v>273</v>
      </c>
      <c r="W131" s="859" t="s">
        <v>273</v>
      </c>
      <c r="X131" s="859" t="s">
        <v>273</v>
      </c>
      <c r="Y131" s="859" t="s">
        <v>273</v>
      </c>
      <c r="Z131" s="859" t="s">
        <v>273</v>
      </c>
      <c r="AA131" s="859" t="s">
        <v>273</v>
      </c>
      <c r="AB131" s="859" t="s">
        <v>273</v>
      </c>
      <c r="AC131" s="859" t="s">
        <v>273</v>
      </c>
      <c r="AD131" s="859" t="s">
        <v>273</v>
      </c>
      <c r="AE131" s="859" t="s">
        <v>273</v>
      </c>
      <c r="AF131" s="859" t="s">
        <v>273</v>
      </c>
      <c r="AG131" s="859" t="s">
        <v>273</v>
      </c>
      <c r="AH131" s="859" t="s">
        <v>273</v>
      </c>
      <c r="AI131" s="859" t="s">
        <v>273</v>
      </c>
      <c r="AJ131" s="859" t="s">
        <v>273</v>
      </c>
      <c r="AK131" s="859" t="s">
        <v>273</v>
      </c>
      <c r="AL131" s="859" t="s">
        <v>273</v>
      </c>
      <c r="AM131" s="859" t="s">
        <v>273</v>
      </c>
      <c r="AN131" s="859" t="s">
        <v>273</v>
      </c>
      <c r="AO131" s="860"/>
      <c r="AP131" s="860"/>
      <c r="AQ131" s="860"/>
      <c r="AS131" s="8">
        <f t="shared" ref="AS131:BI131" si="1242">+AS1187</f>
        <v>4330</v>
      </c>
      <c r="AT131" s="8">
        <f t="shared" si="1242"/>
        <v>4800</v>
      </c>
      <c r="AU131" s="8">
        <f t="shared" si="1242"/>
        <v>5200</v>
      </c>
      <c r="AV131" s="8">
        <f t="shared" si="1242"/>
        <v>5400</v>
      </c>
      <c r="AW131" s="8">
        <f t="shared" si="1242"/>
        <v>6600</v>
      </c>
      <c r="AX131" s="8">
        <f t="shared" si="1242"/>
        <v>4100</v>
      </c>
      <c r="AY131" s="8">
        <f t="shared" si="1242"/>
        <v>5300</v>
      </c>
      <c r="AZ131" s="8">
        <f t="shared" si="1242"/>
        <v>3500</v>
      </c>
      <c r="BA131" s="8">
        <f t="shared" si="1242"/>
        <v>3900</v>
      </c>
      <c r="BB131" s="8">
        <f t="shared" si="1242"/>
        <v>5500</v>
      </c>
      <c r="BC131" s="8">
        <f t="shared" si="1242"/>
        <v>4400</v>
      </c>
      <c r="BD131" s="8">
        <f t="shared" si="1242"/>
        <v>3900</v>
      </c>
      <c r="BE131" s="8">
        <f t="shared" si="1242"/>
        <v>2400</v>
      </c>
      <c r="BG131" s="8">
        <f t="shared" si="1242"/>
        <v>3900</v>
      </c>
      <c r="BH131" s="8">
        <f t="shared" si="1242"/>
        <v>2400</v>
      </c>
      <c r="BI131" s="8">
        <f t="shared" si="1242"/>
        <v>5500</v>
      </c>
      <c r="BJ131" s="8">
        <f t="shared" ref="BJ131:BO131" si="1243">+BJ1187</f>
        <v>8400</v>
      </c>
      <c r="BK131" s="8">
        <f t="shared" si="1243"/>
        <v>12500</v>
      </c>
      <c r="BL131" s="8">
        <f t="shared" si="1243"/>
        <v>13400</v>
      </c>
      <c r="BM131" s="8">
        <f t="shared" si="1243"/>
        <v>16000</v>
      </c>
      <c r="BN131" s="8">
        <f t="shared" si="1243"/>
        <v>23100</v>
      </c>
      <c r="BO131" s="8">
        <f t="shared" si="1243"/>
        <v>23400</v>
      </c>
      <c r="BP131" s="8"/>
    </row>
    <row r="132" spans="2:82">
      <c r="B132" s="843" t="s">
        <v>324</v>
      </c>
      <c r="D132" s="8">
        <f>+D1175</f>
        <v>219</v>
      </c>
      <c r="E132" s="8">
        <f t="shared" ref="E132:N132" si="1244">+E1175</f>
        <v>117</v>
      </c>
      <c r="F132" s="8">
        <f t="shared" si="1244"/>
        <v>159</v>
      </c>
      <c r="G132" s="8">
        <f t="shared" si="1244"/>
        <v>173</v>
      </c>
      <c r="H132" s="8">
        <f t="shared" si="1244"/>
        <v>241</v>
      </c>
      <c r="I132" s="8">
        <f t="shared" si="1244"/>
        <v>131</v>
      </c>
      <c r="J132" s="8">
        <f t="shared" si="1244"/>
        <v>179</v>
      </c>
      <c r="K132" s="8">
        <f t="shared" si="1244"/>
        <v>221</v>
      </c>
      <c r="L132" s="8">
        <f t="shared" si="1244"/>
        <v>307</v>
      </c>
      <c r="M132" s="8">
        <f t="shared" si="1244"/>
        <v>189</v>
      </c>
      <c r="N132" s="8">
        <f t="shared" si="1244"/>
        <v>251</v>
      </c>
      <c r="O132" s="8">
        <f t="shared" ref="O132:V132" si="1245">+O1175</f>
        <v>255</v>
      </c>
      <c r="P132" s="8">
        <f t="shared" si="1245"/>
        <v>360</v>
      </c>
      <c r="Q132" s="8">
        <f t="shared" si="1245"/>
        <v>200</v>
      </c>
      <c r="R132" s="8">
        <f t="shared" si="1245"/>
        <v>274</v>
      </c>
      <c r="S132" s="8">
        <f t="shared" si="1245"/>
        <v>308</v>
      </c>
      <c r="T132" s="8">
        <f t="shared" si="1245"/>
        <v>427</v>
      </c>
      <c r="U132" s="8">
        <f t="shared" si="1245"/>
        <v>234</v>
      </c>
      <c r="V132" s="8">
        <f t="shared" si="1245"/>
        <v>342</v>
      </c>
      <c r="W132" s="8">
        <f t="shared" ref="W132:X132" si="1246">+W1175</f>
        <v>340</v>
      </c>
      <c r="X132" s="8">
        <f t="shared" si="1246"/>
        <v>545</v>
      </c>
      <c r="Y132" s="8">
        <f t="shared" ref="Y132:Z132" si="1247">+Y1175</f>
        <v>302</v>
      </c>
      <c r="Z132" s="8">
        <f t="shared" si="1247"/>
        <v>396</v>
      </c>
      <c r="AA132" s="8">
        <f t="shared" ref="AA132:AB132" si="1248">+AA1175</f>
        <v>450</v>
      </c>
      <c r="AB132" s="8">
        <f t="shared" si="1248"/>
        <v>612</v>
      </c>
      <c r="AC132" s="8">
        <f t="shared" ref="AC132:AD132" si="1249">+AC1175</f>
        <v>291</v>
      </c>
      <c r="AD132" s="8">
        <f t="shared" si="1249"/>
        <v>477</v>
      </c>
      <c r="AE132" s="8">
        <f t="shared" ref="AE132:AF132" si="1250">+AE1175</f>
        <v>461</v>
      </c>
      <c r="AF132" s="8">
        <f t="shared" si="1250"/>
        <v>575</v>
      </c>
      <c r="AG132" s="8">
        <f t="shared" ref="AG132:AH132" si="1251">+AG1175</f>
        <v>243</v>
      </c>
      <c r="AH132" s="8">
        <f t="shared" si="1251"/>
        <v>536</v>
      </c>
      <c r="AI132" s="8">
        <f t="shared" ref="AI132:AJ132" si="1252">+AI1175</f>
        <v>512</v>
      </c>
      <c r="AJ132" s="8">
        <f t="shared" si="1252"/>
        <v>685</v>
      </c>
      <c r="AK132" s="8">
        <f t="shared" ref="AK132:AL132" si="1253">+AK1175</f>
        <v>261</v>
      </c>
      <c r="AL132" s="8">
        <f t="shared" si="1253"/>
        <v>522</v>
      </c>
      <c r="AM132" s="8">
        <f t="shared" ref="AM132:AN132" si="1254">+AM1175</f>
        <v>534</v>
      </c>
      <c r="AN132" s="8">
        <f t="shared" si="1254"/>
        <v>706</v>
      </c>
      <c r="AO132" s="61"/>
      <c r="AP132" s="61"/>
      <c r="AQ132" s="61"/>
      <c r="AS132" s="8">
        <f t="shared" ref="AS132:BE132" si="1255">+AS1175</f>
        <v>3109</v>
      </c>
      <c r="AT132" s="8">
        <f t="shared" si="1255"/>
        <v>2101</v>
      </c>
      <c r="AU132" s="8">
        <f t="shared" si="1255"/>
        <v>6782</v>
      </c>
      <c r="AV132" s="8">
        <f t="shared" si="1255"/>
        <v>3494</v>
      </c>
      <c r="AW132" s="8">
        <f t="shared" si="1255"/>
        <v>579</v>
      </c>
      <c r="AX132" s="8">
        <f t="shared" si="1255"/>
        <v>2311</v>
      </c>
      <c r="AY132" s="8">
        <f t="shared" si="1255"/>
        <v>2422</v>
      </c>
      <c r="AZ132" s="8">
        <f t="shared" si="1255"/>
        <v>1913</v>
      </c>
      <c r="BA132" s="8">
        <f t="shared" si="1255"/>
        <v>931</v>
      </c>
      <c r="BB132" s="8">
        <f t="shared" si="1255"/>
        <v>607</v>
      </c>
      <c r="BC132" s="8">
        <f t="shared" si="1255"/>
        <v>634</v>
      </c>
      <c r="BD132" s="8">
        <f t="shared" si="1255"/>
        <v>668</v>
      </c>
      <c r="BE132" s="8">
        <f t="shared" si="1255"/>
        <v>772</v>
      </c>
      <c r="BG132" s="8">
        <f>+SUM(D132:G132)</f>
        <v>668</v>
      </c>
      <c r="BH132" s="8">
        <f t="shared" ref="BH132:BI134" si="1256">+BH1175</f>
        <v>772</v>
      </c>
      <c r="BI132" s="8">
        <f t="shared" si="1256"/>
        <v>1002</v>
      </c>
      <c r="BJ132" s="8">
        <f t="shared" ref="BJ132:BK132" si="1257">+BJ1175</f>
        <v>1142</v>
      </c>
      <c r="BK132" s="8">
        <f t="shared" si="1257"/>
        <v>1343</v>
      </c>
      <c r="BL132" s="8">
        <f>SUM(X132:AA132)</f>
        <v>1693</v>
      </c>
      <c r="BM132" s="8">
        <f t="shared" si="1241"/>
        <v>1841</v>
      </c>
      <c r="BN132" s="8">
        <f t="shared" si="1226"/>
        <v>1866</v>
      </c>
      <c r="BO132" s="8">
        <f t="shared" si="1227"/>
        <v>2002</v>
      </c>
      <c r="BP132" s="8"/>
    </row>
    <row r="133" spans="2:82">
      <c r="B133" s="843" t="s">
        <v>325</v>
      </c>
      <c r="D133" s="8">
        <f t="shared" ref="D133:N134" si="1258">+D1176</f>
        <v>-4757</v>
      </c>
      <c r="E133" s="8">
        <f t="shared" si="1258"/>
        <v>-3678</v>
      </c>
      <c r="F133" s="8">
        <f t="shared" si="1258"/>
        <v>-3857</v>
      </c>
      <c r="G133" s="8">
        <f t="shared" si="1258"/>
        <v>-3677</v>
      </c>
      <c r="H133" s="8">
        <f t="shared" si="1258"/>
        <v>-4362</v>
      </c>
      <c r="I133" s="8">
        <f t="shared" si="1258"/>
        <v>-3599</v>
      </c>
      <c r="J133" s="8">
        <f t="shared" si="1258"/>
        <v>-2062</v>
      </c>
      <c r="K133" s="8">
        <f t="shared" si="1258"/>
        <v>-1765</v>
      </c>
      <c r="L133" s="8">
        <f t="shared" si="1258"/>
        <v>-2570</v>
      </c>
      <c r="M133" s="8">
        <f t="shared" si="1258"/>
        <v>-2008</v>
      </c>
      <c r="N133" s="8">
        <f t="shared" si="1258"/>
        <v>-3781</v>
      </c>
      <c r="O133" s="8">
        <f t="shared" ref="O133:V133" si="1259">+O1176</f>
        <v>-2362</v>
      </c>
      <c r="P133" s="8">
        <f t="shared" si="1259"/>
        <v>-3744</v>
      </c>
      <c r="Q133" s="8">
        <f t="shared" si="1259"/>
        <v>-6413</v>
      </c>
      <c r="R133" s="8">
        <f t="shared" si="1259"/>
        <v>-4753</v>
      </c>
      <c r="S133" s="8">
        <f t="shared" si="1259"/>
        <v>-4633</v>
      </c>
      <c r="T133" s="8">
        <f t="shared" si="1259"/>
        <v>-4912</v>
      </c>
      <c r="U133" s="8">
        <f t="shared" si="1259"/>
        <v>-5206</v>
      </c>
      <c r="V133" s="8">
        <f t="shared" si="1259"/>
        <v>-7059</v>
      </c>
      <c r="W133" s="8">
        <f t="shared" ref="W133:X133" si="1260">+W1176</f>
        <v>-5791</v>
      </c>
      <c r="X133" s="8">
        <f t="shared" si="1260"/>
        <v>-6743</v>
      </c>
      <c r="Y133" s="8">
        <f t="shared" ref="Y133:Z133" si="1261">+Y1176</f>
        <v>-6535</v>
      </c>
      <c r="Z133" s="8">
        <f t="shared" si="1261"/>
        <v>-6930</v>
      </c>
      <c r="AA133" s="8">
        <f t="shared" ref="AA133:AB133" si="1262">+AA1176</f>
        <v>-7177</v>
      </c>
      <c r="AB133" s="8">
        <f t="shared" si="1262"/>
        <v>-7684</v>
      </c>
      <c r="AC133" s="8">
        <f t="shared" ref="AC133:AD133" si="1263">+AC1176</f>
        <v>-7433</v>
      </c>
      <c r="AD133" s="8">
        <f t="shared" si="1263"/>
        <v>-8822</v>
      </c>
      <c r="AE133" s="8">
        <f t="shared" ref="AE133:AF133" si="1264">+AE1176</f>
        <v>-8757</v>
      </c>
      <c r="AF133" s="8">
        <f t="shared" si="1264"/>
        <v>-5573</v>
      </c>
      <c r="AG133" s="8">
        <f t="shared" ref="AG133:AH133" si="1265">+AG1176</f>
        <v>-5459</v>
      </c>
      <c r="AH133" s="8">
        <f t="shared" si="1265"/>
        <v>-5509</v>
      </c>
      <c r="AI133" s="8">
        <f t="shared" ref="AI133:AJ133" si="1266">+AI1176</f>
        <v>-5704</v>
      </c>
      <c r="AJ133" s="8">
        <f t="shared" si="1266"/>
        <v>-4831</v>
      </c>
      <c r="AK133" s="8">
        <f t="shared" ref="AK133:AL133" si="1267">+AK1176</f>
        <v>-4000</v>
      </c>
      <c r="AL133" s="8">
        <f t="shared" si="1267"/>
        <v>-4213</v>
      </c>
      <c r="AM133" s="8">
        <f t="shared" ref="AM133:AN133" si="1268">+AM1176</f>
        <v>-4210</v>
      </c>
      <c r="AN133" s="8">
        <f t="shared" si="1268"/>
        <v>-4107</v>
      </c>
      <c r="AO133" s="61"/>
      <c r="AP133" s="61"/>
      <c r="AQ133" s="61"/>
      <c r="AS133" s="8">
        <f t="shared" ref="AS133:BE133" si="1269">+AS1176</f>
        <v>-8057</v>
      </c>
      <c r="AT133" s="8">
        <f t="shared" si="1269"/>
        <v>-19207</v>
      </c>
      <c r="AU133" s="8">
        <f t="shared" si="1269"/>
        <v>-27575</v>
      </c>
      <c r="AV133" s="8">
        <f t="shared" si="1269"/>
        <v>-12533</v>
      </c>
      <c r="AW133" s="8">
        <f t="shared" si="1269"/>
        <v>-9353</v>
      </c>
      <c r="AX133" s="8">
        <f t="shared" si="1269"/>
        <v>-11269</v>
      </c>
      <c r="AY133" s="8">
        <f t="shared" si="1269"/>
        <v>-11555</v>
      </c>
      <c r="AZ133" s="8">
        <f t="shared" si="1269"/>
        <v>-5029</v>
      </c>
      <c r="BA133" s="8">
        <f t="shared" si="1269"/>
        <v>-5360</v>
      </c>
      <c r="BB133" s="8">
        <f t="shared" si="1269"/>
        <v>-7316</v>
      </c>
      <c r="BC133" s="8">
        <f t="shared" si="1269"/>
        <v>-14443</v>
      </c>
      <c r="BD133" s="8">
        <f t="shared" si="1269"/>
        <v>-15969</v>
      </c>
      <c r="BE133" s="8">
        <f t="shared" si="1269"/>
        <v>-11788</v>
      </c>
      <c r="BG133" s="8">
        <f>+SUM(D133:G133)</f>
        <v>-15969</v>
      </c>
      <c r="BH133" s="8">
        <f t="shared" si="1256"/>
        <v>-11788</v>
      </c>
      <c r="BI133" s="8">
        <f t="shared" si="1256"/>
        <v>-10721</v>
      </c>
      <c r="BJ133" s="8">
        <f t="shared" ref="BJ133:BK133" si="1270">+BJ1176</f>
        <v>-19543</v>
      </c>
      <c r="BK133" s="8">
        <f t="shared" si="1270"/>
        <v>-22968</v>
      </c>
      <c r="BL133" s="8">
        <f>SUM(X133:AA133)</f>
        <v>-27385</v>
      </c>
      <c r="BM133" s="8">
        <f t="shared" si="1241"/>
        <v>-32696</v>
      </c>
      <c r="BN133" s="8">
        <f t="shared" si="1226"/>
        <v>-22245</v>
      </c>
      <c r="BO133" s="8">
        <f t="shared" si="1227"/>
        <v>-17254</v>
      </c>
      <c r="BP133" s="8"/>
    </row>
    <row r="134" spans="2:82">
      <c r="B134" s="843" t="s">
        <v>326</v>
      </c>
      <c r="D134" s="8">
        <f t="shared" si="1258"/>
        <v>-2475</v>
      </c>
      <c r="E134" s="8">
        <f t="shared" si="1258"/>
        <v>-2868</v>
      </c>
      <c r="F134" s="8">
        <f t="shared" si="1258"/>
        <v>-2842</v>
      </c>
      <c r="G134" s="8">
        <f t="shared" si="1258"/>
        <v>-2821</v>
      </c>
      <c r="H134" s="8">
        <f t="shared" si="1258"/>
        <v>-2800</v>
      </c>
      <c r="I134" s="8">
        <f t="shared" si="1258"/>
        <v>-3024</v>
      </c>
      <c r="J134" s="8">
        <f t="shared" si="1258"/>
        <v>-3012</v>
      </c>
      <c r="K134" s="8">
        <f t="shared" si="1258"/>
        <v>-3009</v>
      </c>
      <c r="L134" s="8">
        <f t="shared" si="1258"/>
        <v>-3003</v>
      </c>
      <c r="M134" s="8">
        <f t="shared" si="1258"/>
        <v>-3238</v>
      </c>
      <c r="N134" s="8">
        <f t="shared" si="1258"/>
        <v>-3232</v>
      </c>
      <c r="O134" s="8">
        <f t="shared" ref="O134:V134" si="1271">+O1177</f>
        <v>-3226</v>
      </c>
      <c r="P134" s="8">
        <f t="shared" si="1271"/>
        <v>-3220</v>
      </c>
      <c r="Q134" s="8">
        <f t="shared" si="1271"/>
        <v>-3544</v>
      </c>
      <c r="R134" s="8">
        <f t="shared" si="1271"/>
        <v>-3526</v>
      </c>
      <c r="S134" s="8">
        <f t="shared" si="1271"/>
        <v>-3521</v>
      </c>
      <c r="T134" s="8">
        <f t="shared" si="1271"/>
        <v>-3510</v>
      </c>
      <c r="U134" s="8">
        <f t="shared" si="1271"/>
        <v>-3886</v>
      </c>
      <c r="V134" s="8">
        <f t="shared" si="1271"/>
        <v>-3876</v>
      </c>
      <c r="W134" s="8">
        <f t="shared" ref="W134:X134" si="1272">+W1177</f>
        <v>-3865</v>
      </c>
      <c r="X134" s="8">
        <f t="shared" si="1272"/>
        <v>-3856</v>
      </c>
      <c r="Y134" s="8">
        <f t="shared" ref="Y134:Z134" si="1273">+Y1177</f>
        <v>-4230</v>
      </c>
      <c r="Z134" s="8">
        <f t="shared" si="1273"/>
        <v>-4221</v>
      </c>
      <c r="AA134" s="8">
        <f t="shared" ref="AA134:AB134" si="1274">+AA1177</f>
        <v>-4214</v>
      </c>
      <c r="AB134" s="8">
        <f t="shared" si="1274"/>
        <v>-4206</v>
      </c>
      <c r="AC134" s="8">
        <f t="shared" ref="AC134:AD134" si="1275">+AC1177</f>
        <v>-4652</v>
      </c>
      <c r="AD134" s="8">
        <f t="shared" si="1275"/>
        <v>-4645</v>
      </c>
      <c r="AE134" s="8">
        <f t="shared" ref="AE134:AF134" si="1276">+AE1177</f>
        <v>-4632</v>
      </c>
      <c r="AF134" s="8">
        <f t="shared" si="1276"/>
        <v>-4621</v>
      </c>
      <c r="AG134" s="8">
        <f t="shared" ref="AG134:AH134" si="1277">+AG1177</f>
        <v>-5066</v>
      </c>
      <c r="AH134" s="8">
        <f t="shared" si="1277"/>
        <v>-5059</v>
      </c>
      <c r="AI134" s="8">
        <f t="shared" ref="AI134:AJ134" si="1278">+AI1177</f>
        <v>-5054</v>
      </c>
      <c r="AJ134" s="8">
        <f t="shared" si="1278"/>
        <v>-5051</v>
      </c>
      <c r="AK134" s="8">
        <f t="shared" ref="AK134:AL134" si="1279">+AK1177</f>
        <v>-5574</v>
      </c>
      <c r="AL134" s="8">
        <f t="shared" si="1279"/>
        <v>-5572</v>
      </c>
      <c r="AM134" s="8">
        <f t="shared" ref="AM134:AN134" si="1280">+AM1177</f>
        <v>-5574</v>
      </c>
      <c r="AN134" s="8">
        <f t="shared" si="1280"/>
        <v>-5574</v>
      </c>
      <c r="AO134" s="61"/>
      <c r="AP134" s="61"/>
      <c r="AQ134" s="61"/>
      <c r="AS134" s="8">
        <f t="shared" ref="AS134:BE134" si="1281">+AS1177</f>
        <v>-36112</v>
      </c>
      <c r="AT134" s="8">
        <f t="shared" si="1281"/>
        <v>-3545</v>
      </c>
      <c r="AU134" s="8">
        <f t="shared" si="1281"/>
        <v>-3805</v>
      </c>
      <c r="AV134" s="8">
        <f t="shared" si="1281"/>
        <v>-4015</v>
      </c>
      <c r="AW134" s="8">
        <f t="shared" si="1281"/>
        <v>-4468</v>
      </c>
      <c r="AX134" s="8">
        <f t="shared" si="1281"/>
        <v>-4578</v>
      </c>
      <c r="AY134" s="8">
        <f t="shared" si="1281"/>
        <v>-5180</v>
      </c>
      <c r="AZ134" s="8">
        <f t="shared" si="1281"/>
        <v>-6385</v>
      </c>
      <c r="BA134" s="8">
        <f t="shared" si="1281"/>
        <v>-7455</v>
      </c>
      <c r="BB134" s="8">
        <f t="shared" si="1281"/>
        <v>-8879</v>
      </c>
      <c r="BC134" s="8">
        <f t="shared" si="1281"/>
        <v>-9882</v>
      </c>
      <c r="BD134" s="8">
        <f t="shared" si="1281"/>
        <v>-11006</v>
      </c>
      <c r="BE134" s="8">
        <f t="shared" si="1281"/>
        <v>-11845</v>
      </c>
      <c r="BG134" s="8">
        <f>+SUM(D134:G134)</f>
        <v>-11006</v>
      </c>
      <c r="BH134" s="8">
        <f t="shared" si="1256"/>
        <v>-11845</v>
      </c>
      <c r="BI134" s="8">
        <f t="shared" si="1256"/>
        <v>-12699</v>
      </c>
      <c r="BJ134" s="8">
        <f t="shared" ref="BJ134:BK134" si="1282">+BJ1177</f>
        <v>-13811</v>
      </c>
      <c r="BK134" s="8">
        <f t="shared" si="1282"/>
        <v>-15137</v>
      </c>
      <c r="BL134" s="8">
        <f>SUM(X134:AA134)</f>
        <v>-16521</v>
      </c>
      <c r="BM134" s="8">
        <f t="shared" si="1241"/>
        <v>-18135</v>
      </c>
      <c r="BN134" s="8">
        <f t="shared" si="1226"/>
        <v>-19800</v>
      </c>
      <c r="BO134" s="8">
        <f t="shared" si="1227"/>
        <v>-21771</v>
      </c>
      <c r="BP134" s="8"/>
    </row>
    <row r="136" spans="2:82" ht="10.5">
      <c r="B136" s="45" t="s">
        <v>148</v>
      </c>
    </row>
    <row r="137" spans="2:82">
      <c r="B137" t="s">
        <v>327</v>
      </c>
      <c r="D137" s="8">
        <f t="shared" ref="D137:AK137" si="1283">+SUM(D1228:D1229,D1235,D1236,D1253)</f>
        <v>38567</v>
      </c>
      <c r="E137" s="8">
        <f t="shared" si="1283"/>
        <v>44429</v>
      </c>
      <c r="F137" s="8">
        <f t="shared" si="1283"/>
        <v>46394</v>
      </c>
      <c r="G137" s="8">
        <f t="shared" si="1283"/>
        <v>53461</v>
      </c>
      <c r="H137" s="8">
        <f t="shared" si="1283"/>
        <v>74690</v>
      </c>
      <c r="I137" s="8">
        <f t="shared" si="1283"/>
        <v>84970</v>
      </c>
      <c r="J137" s="8">
        <f t="shared" si="1283"/>
        <v>84008</v>
      </c>
      <c r="K137" s="8">
        <f t="shared" si="1283"/>
        <v>94104</v>
      </c>
      <c r="L137" s="8">
        <f t="shared" si="1283"/>
        <v>91243</v>
      </c>
      <c r="M137" s="8">
        <f t="shared" si="1283"/>
        <v>98802</v>
      </c>
      <c r="N137" s="8">
        <f t="shared" si="1283"/>
        <v>87239</v>
      </c>
      <c r="O137" s="8">
        <f t="shared" si="1283"/>
        <v>86109</v>
      </c>
      <c r="P137" s="8">
        <f t="shared" si="1283"/>
        <v>86556</v>
      </c>
      <c r="Q137" s="8">
        <f t="shared" si="1283"/>
        <v>84062</v>
      </c>
      <c r="R137" s="8">
        <f t="shared" si="1283"/>
        <v>84882</v>
      </c>
      <c r="S137" s="8">
        <f t="shared" si="1283"/>
        <v>84940</v>
      </c>
      <c r="T137" s="8">
        <f t="shared" si="1283"/>
        <v>84019</v>
      </c>
      <c r="U137" s="8">
        <f t="shared" si="1283"/>
        <v>85531</v>
      </c>
      <c r="V137" s="8">
        <f t="shared" si="1283"/>
        <v>82468</v>
      </c>
      <c r="W137" s="8">
        <f t="shared" si="1283"/>
        <v>80494</v>
      </c>
      <c r="X137" s="8">
        <f t="shared" si="1283"/>
        <v>80689</v>
      </c>
      <c r="Y137" s="8">
        <f t="shared" si="1283"/>
        <v>80916</v>
      </c>
      <c r="Z137" s="8">
        <f t="shared" si="1283"/>
        <v>79384</v>
      </c>
      <c r="AA137" s="8">
        <f t="shared" si="1283"/>
        <v>80316</v>
      </c>
      <c r="AB137" s="8">
        <f t="shared" si="1283"/>
        <v>81182</v>
      </c>
      <c r="AC137" s="8">
        <f t="shared" si="1283"/>
        <v>96358</v>
      </c>
      <c r="AD137" s="8">
        <f t="shared" si="1283"/>
        <v>75822</v>
      </c>
      <c r="AE137" s="8">
        <f t="shared" si="1283"/>
        <v>76172</v>
      </c>
      <c r="AF137" s="8">
        <f t="shared" si="1283"/>
        <v>74912</v>
      </c>
      <c r="AG137" s="8">
        <f t="shared" si="1283"/>
        <v>75698</v>
      </c>
      <c r="AH137" s="8">
        <f t="shared" si="1283"/>
        <v>76985</v>
      </c>
      <c r="AI137" s="8">
        <f t="shared" si="1283"/>
        <v>77032</v>
      </c>
      <c r="AJ137" s="8">
        <f t="shared" si="1283"/>
        <v>103143</v>
      </c>
      <c r="AK137" s="8">
        <f t="shared" si="1283"/>
        <v>108571</v>
      </c>
      <c r="AL137" s="8">
        <f>+SUM(AL1228:AL1229,AL1235,AL1236,AL1253)</f>
        <v>102816</v>
      </c>
      <c r="AM137" s="8">
        <f t="shared" ref="AM137:AN137" si="1284">+SUM(AM1228:AM1229,AM1235,AM1236,AM1253)</f>
        <v>94272</v>
      </c>
      <c r="AN137" s="8">
        <f t="shared" si="1284"/>
        <v>92829</v>
      </c>
      <c r="AO137" s="8"/>
      <c r="AP137" s="8"/>
      <c r="AQ137" s="8"/>
      <c r="AS137" s="8">
        <f t="shared" ref="AS137:BN137" si="1285">+SUM(AS1228:AS1229,AS1235,AS1236,AS1253)</f>
        <v>0</v>
      </c>
      <c r="AT137" s="8">
        <f t="shared" si="1285"/>
        <v>0</v>
      </c>
      <c r="AU137" s="8">
        <f t="shared" si="1285"/>
        <v>0</v>
      </c>
      <c r="AV137" s="8">
        <f t="shared" si="1285"/>
        <v>0</v>
      </c>
      <c r="AW137" s="8">
        <f t="shared" si="1285"/>
        <v>5746</v>
      </c>
      <c r="AX137" s="8">
        <f t="shared" si="1285"/>
        <v>5939</v>
      </c>
      <c r="AY137" s="8">
        <f t="shared" si="1285"/>
        <v>11921</v>
      </c>
      <c r="AZ137" s="8">
        <f t="shared" si="1285"/>
        <v>11944</v>
      </c>
      <c r="BA137" s="8">
        <f t="shared" si="1285"/>
        <v>15600</v>
      </c>
      <c r="BB137" s="8">
        <f t="shared" si="1285"/>
        <v>22645</v>
      </c>
      <c r="BC137" s="8">
        <f t="shared" si="1285"/>
        <v>35292</v>
      </c>
      <c r="BD137" s="8">
        <f t="shared" si="1285"/>
        <v>53461</v>
      </c>
      <c r="BE137" s="8">
        <f t="shared" si="1285"/>
        <v>86194</v>
      </c>
      <c r="BF137">
        <f t="shared" si="1285"/>
        <v>0</v>
      </c>
      <c r="BG137" s="8">
        <f t="shared" si="1285"/>
        <v>53461</v>
      </c>
      <c r="BH137" s="8">
        <f t="shared" si="1285"/>
        <v>94104</v>
      </c>
      <c r="BI137" s="8">
        <f t="shared" si="1285"/>
        <v>86109</v>
      </c>
      <c r="BJ137" s="8">
        <f t="shared" si="1285"/>
        <v>84940</v>
      </c>
      <c r="BK137" s="8">
        <f t="shared" si="1285"/>
        <v>80494</v>
      </c>
      <c r="BL137" s="8">
        <f t="shared" si="1285"/>
        <v>80316</v>
      </c>
      <c r="BM137" s="8">
        <f t="shared" si="1285"/>
        <v>76172</v>
      </c>
      <c r="BN137" s="8">
        <f t="shared" si="1285"/>
        <v>77032</v>
      </c>
      <c r="BO137" s="8">
        <f t="shared" ref="BO137:BO138" si="1286">+AM137</f>
        <v>94272</v>
      </c>
      <c r="BP137" s="8"/>
      <c r="BQ137" s="8"/>
    </row>
    <row r="138" spans="2:82" ht="11.45">
      <c r="B138" t="s">
        <v>328</v>
      </c>
      <c r="D138" s="10">
        <f>+SUM(D1209:D1210)</f>
        <v>99355</v>
      </c>
      <c r="E138" s="10">
        <f t="shared" ref="E138:N138" si="1287">+SUM(E1209:E1210)</f>
        <v>102640</v>
      </c>
      <c r="F138" s="10">
        <f t="shared" si="1287"/>
        <v>105552</v>
      </c>
      <c r="G138" s="10">
        <f t="shared" si="1287"/>
        <v>113240</v>
      </c>
      <c r="H138" s="10">
        <f t="shared" si="1287"/>
        <v>136932</v>
      </c>
      <c r="I138" s="10">
        <f t="shared" si="1287"/>
        <v>122781</v>
      </c>
      <c r="J138" s="10">
        <f t="shared" si="1287"/>
        <v>126018</v>
      </c>
      <c r="K138" s="10">
        <f t="shared" si="1287"/>
        <v>132981</v>
      </c>
      <c r="L138" s="10">
        <f t="shared" si="1287"/>
        <v>138471</v>
      </c>
      <c r="M138" s="10">
        <f t="shared" si="1287"/>
        <v>142780</v>
      </c>
      <c r="N138" s="10">
        <f t="shared" si="1287"/>
        <v>132270</v>
      </c>
      <c r="O138" s="10">
        <f t="shared" ref="O138:V138" si="1288">+SUM(O1209:O1210)</f>
        <v>133768</v>
      </c>
      <c r="P138" s="10">
        <f t="shared" si="1288"/>
        <v>135880</v>
      </c>
      <c r="Q138" s="10">
        <f t="shared" si="1288"/>
        <v>127662</v>
      </c>
      <c r="R138" s="10">
        <f t="shared" si="1288"/>
        <v>131618</v>
      </c>
      <c r="S138" s="10">
        <f t="shared" si="1288"/>
        <v>133819</v>
      </c>
      <c r="T138" s="10">
        <f t="shared" si="1288"/>
        <v>136636</v>
      </c>
      <c r="U138" s="10">
        <f t="shared" si="1288"/>
        <v>134253</v>
      </c>
      <c r="V138" s="10">
        <f t="shared" si="1288"/>
        <v>137626</v>
      </c>
      <c r="W138" s="10">
        <f t="shared" ref="W138:X138" si="1289">+SUM(W1209:W1210)</f>
        <v>136527</v>
      </c>
      <c r="X138" s="10">
        <f t="shared" si="1289"/>
        <v>137977</v>
      </c>
      <c r="Y138" s="10">
        <f t="shared" ref="Y138:Z138" si="1290">+SUM(Y1209:Y1210)</f>
        <v>131968</v>
      </c>
      <c r="Z138" s="10">
        <f t="shared" si="1290"/>
        <v>125407</v>
      </c>
      <c r="AA138" s="10">
        <f t="shared" ref="AA138:AB138" si="1291">+SUM(AA1209:AA1210)</f>
        <v>130334</v>
      </c>
      <c r="AB138" s="10">
        <f t="shared" si="1291"/>
        <v>130615</v>
      </c>
      <c r="AC138" s="10">
        <f t="shared" ref="AC138:AD138" si="1292">+SUM(AC1209:AC1210)</f>
        <v>125369</v>
      </c>
      <c r="AD138" s="10">
        <f t="shared" si="1292"/>
        <v>104693</v>
      </c>
      <c r="AE138" s="10">
        <f t="shared" ref="AE138:AF138" si="1293">+SUM(AE1209:AE1210)</f>
        <v>104757</v>
      </c>
      <c r="AF138" s="10">
        <f t="shared" si="1293"/>
        <v>107262</v>
      </c>
      <c r="AG138" s="10">
        <f t="shared" ref="AG138:AH138" si="1294">+SUM(AG1209:AG1210)</f>
        <v>99508</v>
      </c>
      <c r="AH138" s="10">
        <f t="shared" si="1294"/>
        <v>104427</v>
      </c>
      <c r="AI138" s="10">
        <f t="shared" ref="AI138:AJ138" si="1295">+SUM(AI1209:AI1210)</f>
        <v>111262</v>
      </c>
      <c r="AJ138" s="10">
        <f t="shared" si="1295"/>
        <v>143951</v>
      </c>
      <c r="AK138" s="10">
        <f t="shared" ref="AK138:AL138" si="1296">+SUM(AK1209:AK1210)</f>
        <v>81017</v>
      </c>
      <c r="AL138" s="10">
        <f t="shared" si="1296"/>
        <v>80021</v>
      </c>
      <c r="AM138" s="10">
        <f t="shared" ref="AM138:AN138" si="1297">+SUM(AM1209:AM1210)</f>
        <v>75543</v>
      </c>
      <c r="AN138" s="10">
        <f t="shared" si="1297"/>
        <v>78428</v>
      </c>
      <c r="AO138" s="10"/>
      <c r="AP138" s="10"/>
      <c r="AQ138" s="10"/>
      <c r="AS138" s="10">
        <f t="shared" ref="AS138:BE138" si="1298">+SUM(AS1209:AS1210)</f>
        <v>0</v>
      </c>
      <c r="AT138" s="10">
        <f t="shared" si="1298"/>
        <v>34161</v>
      </c>
      <c r="AU138" s="10">
        <f t="shared" si="1298"/>
        <v>23411</v>
      </c>
      <c r="AV138" s="10">
        <f t="shared" si="1298"/>
        <v>23662</v>
      </c>
      <c r="AW138" s="10">
        <f t="shared" si="1298"/>
        <v>31447</v>
      </c>
      <c r="AX138" s="10">
        <f t="shared" si="1298"/>
        <v>36788</v>
      </c>
      <c r="AY138" s="10">
        <f t="shared" si="1298"/>
        <v>52772</v>
      </c>
      <c r="AZ138" s="10">
        <f t="shared" si="1298"/>
        <v>63040</v>
      </c>
      <c r="BA138" s="10">
        <f t="shared" si="1298"/>
        <v>77022</v>
      </c>
      <c r="BB138" s="10">
        <f t="shared" si="1298"/>
        <v>85709</v>
      </c>
      <c r="BC138" s="10">
        <f t="shared" si="1298"/>
        <v>96526</v>
      </c>
      <c r="BD138" s="10">
        <f t="shared" si="1298"/>
        <v>113240</v>
      </c>
      <c r="BE138" s="10">
        <f t="shared" si="1298"/>
        <v>132981</v>
      </c>
      <c r="BG138" s="10">
        <f>+G138</f>
        <v>113240</v>
      </c>
      <c r="BH138" s="10">
        <f t="shared" ref="BH138:BI138" si="1299">+SUM(BH1209:BH1210)</f>
        <v>132981</v>
      </c>
      <c r="BI138" s="10">
        <f t="shared" si="1299"/>
        <v>133768</v>
      </c>
      <c r="BJ138" s="10">
        <f t="shared" ref="BJ138:BK138" si="1300">+SUM(BJ1209:BJ1210)</f>
        <v>133819</v>
      </c>
      <c r="BK138" s="10">
        <f t="shared" si="1300"/>
        <v>136527</v>
      </c>
      <c r="BL138" s="10">
        <f t="shared" ref="BL138:BM138" si="1301">+SUM(BL1209:BL1210)</f>
        <v>130334</v>
      </c>
      <c r="BM138" s="10">
        <f t="shared" si="1301"/>
        <v>104757</v>
      </c>
      <c r="BN138" s="10">
        <f t="shared" ref="BN138" si="1302">+SUM(BN1209:BN1210)</f>
        <v>111262</v>
      </c>
      <c r="BO138" s="10">
        <f t="shared" si="1286"/>
        <v>75543</v>
      </c>
      <c r="BP138" s="10"/>
    </row>
    <row r="139" spans="2:82" s="1" customFormat="1" ht="10.5">
      <c r="B139" s="837" t="s">
        <v>148</v>
      </c>
      <c r="D139" s="838">
        <f>+D137-D138</f>
        <v>-60788</v>
      </c>
      <c r="E139" s="838">
        <f t="shared" ref="E139:AS139" si="1303">+E137-E138</f>
        <v>-58211</v>
      </c>
      <c r="F139" s="838">
        <f t="shared" si="1303"/>
        <v>-59158</v>
      </c>
      <c r="G139" s="838">
        <f t="shared" si="1303"/>
        <v>-59779</v>
      </c>
      <c r="H139" s="838">
        <f t="shared" si="1303"/>
        <v>-62242</v>
      </c>
      <c r="I139" s="838">
        <f t="shared" si="1303"/>
        <v>-37811</v>
      </c>
      <c r="J139" s="838">
        <f t="shared" si="1303"/>
        <v>-42010</v>
      </c>
      <c r="K139" s="838">
        <f t="shared" si="1303"/>
        <v>-38877</v>
      </c>
      <c r="L139" s="838">
        <f t="shared" si="1303"/>
        <v>-47228</v>
      </c>
      <c r="M139" s="838">
        <f t="shared" si="1303"/>
        <v>-43978</v>
      </c>
      <c r="N139" s="838">
        <f t="shared" si="1303"/>
        <v>-45031</v>
      </c>
      <c r="O139" s="838">
        <f t="shared" ref="O139:V139" si="1304">+O137-O138</f>
        <v>-47659</v>
      </c>
      <c r="P139" s="838">
        <f t="shared" si="1304"/>
        <v>-49324</v>
      </c>
      <c r="Q139" s="838">
        <f t="shared" si="1304"/>
        <v>-43600</v>
      </c>
      <c r="R139" s="838">
        <f t="shared" si="1304"/>
        <v>-46736</v>
      </c>
      <c r="S139" s="838">
        <f t="shared" si="1304"/>
        <v>-48879</v>
      </c>
      <c r="T139" s="838">
        <f t="shared" si="1304"/>
        <v>-52617</v>
      </c>
      <c r="U139" s="838">
        <f t="shared" si="1304"/>
        <v>-48722</v>
      </c>
      <c r="V139" s="838">
        <f t="shared" si="1304"/>
        <v>-55158</v>
      </c>
      <c r="W139" s="838">
        <f t="shared" ref="W139:X139" si="1305">+W137-W138</f>
        <v>-56033</v>
      </c>
      <c r="X139" s="838">
        <f t="shared" si="1305"/>
        <v>-57288</v>
      </c>
      <c r="Y139" s="838">
        <f t="shared" ref="Y139:Z139" si="1306">+Y137-Y138</f>
        <v>-51052</v>
      </c>
      <c r="Z139" s="838">
        <f t="shared" si="1306"/>
        <v>-46023</v>
      </c>
      <c r="AA139" s="838">
        <f t="shared" ref="AA139:AB139" si="1307">+AA137-AA138</f>
        <v>-50018</v>
      </c>
      <c r="AB139" s="838">
        <f t="shared" si="1307"/>
        <v>-49433</v>
      </c>
      <c r="AC139" s="838">
        <f t="shared" ref="AC139:AD139" si="1308">+AC137-AC138</f>
        <v>-29011</v>
      </c>
      <c r="AD139" s="838">
        <f t="shared" si="1308"/>
        <v>-28871</v>
      </c>
      <c r="AE139" s="838">
        <f t="shared" ref="AE139:AF139" si="1309">+AE137-AE138</f>
        <v>-28585</v>
      </c>
      <c r="AF139" s="838">
        <f t="shared" si="1309"/>
        <v>-32350</v>
      </c>
      <c r="AG139" s="838">
        <f t="shared" ref="AG139:AH139" si="1310">+AG137-AG138</f>
        <v>-23810</v>
      </c>
      <c r="AH139" s="838">
        <f t="shared" si="1310"/>
        <v>-27442</v>
      </c>
      <c r="AI139" s="838">
        <f t="shared" ref="AI139:AJ139" si="1311">+AI137-AI138</f>
        <v>-34230</v>
      </c>
      <c r="AJ139" s="838">
        <f t="shared" si="1311"/>
        <v>-40808</v>
      </c>
      <c r="AK139" s="838">
        <f t="shared" ref="AK139:AL139" si="1312">+AK137-AK138</f>
        <v>27554</v>
      </c>
      <c r="AL139" s="838">
        <f t="shared" si="1312"/>
        <v>22795</v>
      </c>
      <c r="AM139" s="838">
        <f t="shared" ref="AM139:AN139" si="1313">+AM137-AM138</f>
        <v>18729</v>
      </c>
      <c r="AN139" s="838">
        <f t="shared" si="1313"/>
        <v>14401</v>
      </c>
      <c r="AO139" s="838">
        <f t="shared" ref="AO139:AQ139" si="1314">+AN139-AO125</f>
        <v>11052.801996026858</v>
      </c>
      <c r="AP139" s="838">
        <f t="shared" si="1314"/>
        <v>-3780.5198796080149</v>
      </c>
      <c r="AQ139" s="838">
        <f t="shared" si="1314"/>
        <v>-23993.555243054016</v>
      </c>
      <c r="AS139" s="838">
        <f t="shared" si="1303"/>
        <v>0</v>
      </c>
      <c r="AT139" s="838">
        <f t="shared" ref="AT139" si="1315">+AT137-AT138</f>
        <v>-34161</v>
      </c>
      <c r="AU139" s="838">
        <f t="shared" ref="AU139" si="1316">+AU137-AU138</f>
        <v>-23411</v>
      </c>
      <c r="AV139" s="838">
        <f t="shared" ref="AV139" si="1317">+AV137-AV138</f>
        <v>-23662</v>
      </c>
      <c r="AW139" s="838">
        <f t="shared" ref="AW139" si="1318">+AW137-AW138</f>
        <v>-25701</v>
      </c>
      <c r="AX139" s="838">
        <f t="shared" ref="AX139" si="1319">+AX137-AX138</f>
        <v>-30849</v>
      </c>
      <c r="AY139" s="838">
        <f t="shared" ref="AY139" si="1320">+AY137-AY138</f>
        <v>-40851</v>
      </c>
      <c r="AZ139" s="838">
        <f t="shared" ref="AZ139" si="1321">+AZ137-AZ138</f>
        <v>-51096</v>
      </c>
      <c r="BA139" s="838">
        <f t="shared" ref="BA139" si="1322">+BA137-BA138</f>
        <v>-61422</v>
      </c>
      <c r="BB139" s="838">
        <f t="shared" ref="BB139" si="1323">+BB137-BB138</f>
        <v>-63064</v>
      </c>
      <c r="BC139" s="838">
        <f t="shared" ref="BC139" si="1324">+BC137-BC138</f>
        <v>-61234</v>
      </c>
      <c r="BD139" s="838">
        <f t="shared" ref="BD139" si="1325">+BD137-BD138</f>
        <v>-59779</v>
      </c>
      <c r="BE139" s="838">
        <f t="shared" ref="BE139" si="1326">+BE137-BE138</f>
        <v>-46787</v>
      </c>
      <c r="BG139" s="838">
        <f>+G139</f>
        <v>-59779</v>
      </c>
      <c r="BH139" s="838">
        <f t="shared" ref="BH139" si="1327">+BH137-BH138</f>
        <v>-38877</v>
      </c>
      <c r="BI139" s="838">
        <f t="shared" ref="BI139:BJ139" si="1328">+BI137-BI138</f>
        <v>-47659</v>
      </c>
      <c r="BJ139" s="838">
        <f t="shared" si="1328"/>
        <v>-48879</v>
      </c>
      <c r="BK139" s="838">
        <f t="shared" ref="BK139:BL139" si="1329">+BK137-BK138</f>
        <v>-56033</v>
      </c>
      <c r="BL139" s="838">
        <f t="shared" si="1329"/>
        <v>-50018</v>
      </c>
      <c r="BM139" s="838">
        <f t="shared" ref="BM139:BN139" si="1330">+BM137-BM138</f>
        <v>-28585</v>
      </c>
      <c r="BN139" s="838">
        <f t="shared" si="1330"/>
        <v>-34230</v>
      </c>
      <c r="BO139" s="838">
        <f>+AM139</f>
        <v>18729</v>
      </c>
      <c r="BP139" s="838">
        <f>+AQ139</f>
        <v>-23993.555243054016</v>
      </c>
    </row>
    <row r="140" spans="2:82" s="7" customFormat="1">
      <c r="B140" s="841" t="s">
        <v>329</v>
      </c>
      <c r="C140" s="861"/>
      <c r="D140" s="861"/>
      <c r="E140" s="861"/>
      <c r="F140" s="861"/>
      <c r="G140" s="861">
        <f t="shared" ref="G140:AQ140" si="1331">+G139/SUM(D89:G89)</f>
        <v>-1.768086364980775</v>
      </c>
      <c r="H140" s="861">
        <f t="shared" si="1331"/>
        <v>-1.8007753732206921</v>
      </c>
      <c r="I140" s="861">
        <f t="shared" si="1331"/>
        <v>-1.0620470760069658</v>
      </c>
      <c r="J140" s="861">
        <f t="shared" si="1331"/>
        <v>-1.1417622438441051</v>
      </c>
      <c r="K140" s="861">
        <f t="shared" si="1331"/>
        <v>-1.0201527198299614</v>
      </c>
      <c r="L140" s="861">
        <f t="shared" si="1331"/>
        <v>-1.1870805579992461</v>
      </c>
      <c r="M140" s="861">
        <f t="shared" si="1331"/>
        <v>-1.0744948569473967</v>
      </c>
      <c r="N140" s="861">
        <f t="shared" si="1331"/>
        <v>-1.0532335399368495</v>
      </c>
      <c r="O140" s="861">
        <f t="shared" si="1331"/>
        <v>-1.0516339725060129</v>
      </c>
      <c r="P140" s="861">
        <f t="shared" si="1331"/>
        <v>-1.0296426185704743</v>
      </c>
      <c r="Q140" s="861">
        <f t="shared" si="1331"/>
        <v>-0.87301269472588205</v>
      </c>
      <c r="R140" s="861">
        <f t="shared" si="1331"/>
        <v>-0.8952056237669278</v>
      </c>
      <c r="S140" s="861">
        <f t="shared" si="1331"/>
        <v>-0.89454804999908488</v>
      </c>
      <c r="T140" s="861">
        <f t="shared" si="1331"/>
        <v>-0.91498278440510561</v>
      </c>
      <c r="U140" s="861">
        <f t="shared" si="1331"/>
        <v>-0.79420346553213683</v>
      </c>
      <c r="V140" s="861">
        <f t="shared" si="1331"/>
        <v>-0.85952035902949842</v>
      </c>
      <c r="W140" s="861">
        <f t="shared" si="1331"/>
        <v>-0.85214812561782372</v>
      </c>
      <c r="X140" s="861">
        <f t="shared" si="1331"/>
        <v>-0.8348708083766887</v>
      </c>
      <c r="Y140" s="861">
        <f t="shared" si="1331"/>
        <v>-0.70725794162060318</v>
      </c>
      <c r="Z140" s="861">
        <f t="shared" si="1331"/>
        <v>-0.60497673318085021</v>
      </c>
      <c r="AA140" s="861">
        <f t="shared" si="1331"/>
        <v>-0.61295066297394674</v>
      </c>
      <c r="AB140" s="861">
        <f t="shared" si="1331"/>
        <v>-0.57127503438074212</v>
      </c>
      <c r="AC140" s="861">
        <f t="shared" si="1331"/>
        <v>-0.31665866224240308</v>
      </c>
      <c r="AD140" s="861">
        <f t="shared" si="1331"/>
        <v>-0.30146498344975931</v>
      </c>
      <c r="AE140" s="861">
        <f t="shared" si="1331"/>
        <v>-0.29215171243727195</v>
      </c>
      <c r="AF140" s="861">
        <f t="shared" si="1331"/>
        <v>-0.32775757084528018</v>
      </c>
      <c r="AG140" s="861">
        <f t="shared" si="1331"/>
        <v>-0.24252363102998697</v>
      </c>
      <c r="AH140" s="861">
        <f t="shared" si="1331"/>
        <v>-0.27458475085051032</v>
      </c>
      <c r="AI140" s="861">
        <f t="shared" si="1331"/>
        <v>-0.33054898363188645</v>
      </c>
      <c r="AJ140" s="861">
        <f t="shared" si="1331"/>
        <v>-0.37076946839537356</v>
      </c>
      <c r="AK140" s="861">
        <f t="shared" si="1331"/>
        <v>0.23258994141779077</v>
      </c>
      <c r="AL140" s="861">
        <f t="shared" ref="AL140" si="1332">+AL139/SUM(AI89:AL89)</f>
        <v>0.18027886083057187</v>
      </c>
      <c r="AM140" s="861">
        <f t="shared" ref="AM140:AN140" si="1333">+AM139/SUM(AJ89:AM89)</f>
        <v>0.14095732671031835</v>
      </c>
      <c r="AN140" s="861">
        <f t="shared" si="1333"/>
        <v>0.10270362789636212</v>
      </c>
      <c r="AO140" s="861">
        <f t="shared" si="1331"/>
        <v>7.5821612861892346E-2</v>
      </c>
      <c r="AP140" s="861">
        <f t="shared" si="1331"/>
        <v>-2.4810150558335534E-2</v>
      </c>
      <c r="AQ140" s="861">
        <f t="shared" si="1331"/>
        <v>-0.15036206262004609</v>
      </c>
      <c r="AR140" s="861"/>
      <c r="AS140" s="861">
        <f t="shared" ref="AS140:BE140" si="1334">+AS139/SUM(AS89)</f>
        <v>0</v>
      </c>
      <c r="AT140" s="861">
        <f t="shared" si="1334"/>
        <v>-1.9765665683041138</v>
      </c>
      <c r="AU140" s="861">
        <f t="shared" si="1334"/>
        <v>-1.1777341784887816</v>
      </c>
      <c r="AV140" s="861">
        <f t="shared" si="1334"/>
        <v>-0.97266411805812469</v>
      </c>
      <c r="AW140" s="861">
        <f t="shared" si="1334"/>
        <v>-1.1210905125408943</v>
      </c>
      <c r="AX140" s="861">
        <f t="shared" si="1334"/>
        <v>-1.152329012737664</v>
      </c>
      <c r="AY140" s="861">
        <f t="shared" si="1334"/>
        <v>-1.365021552444281</v>
      </c>
      <c r="AZ140" s="861">
        <f t="shared" si="1334"/>
        <v>-1.6240027969360837</v>
      </c>
      <c r="BA140" s="861">
        <f t="shared" si="1334"/>
        <v>-1.9999348788747069</v>
      </c>
      <c r="BB140" s="861">
        <f t="shared" si="1334"/>
        <v>-1.9053719257961206</v>
      </c>
      <c r="BC140" s="861">
        <f t="shared" si="1334"/>
        <v>-1.7941926221102289</v>
      </c>
      <c r="BD140" s="861">
        <f t="shared" si="1334"/>
        <v>-1.7298665972161935</v>
      </c>
      <c r="BE140" s="861">
        <f t="shared" si="1334"/>
        <v>-1.2274575648660702</v>
      </c>
      <c r="BF140" s="861"/>
      <c r="BG140" s="861">
        <f t="shared" ref="BG140:BP140" si="1335">+BG139/SUM(BG89)</f>
        <v>-1.768086364980775</v>
      </c>
      <c r="BH140" s="861">
        <f t="shared" si="1335"/>
        <v>-1.0201527198299614</v>
      </c>
      <c r="BI140" s="861">
        <f t="shared" si="1335"/>
        <v>-1.0516339725060129</v>
      </c>
      <c r="BJ140" s="861">
        <f t="shared" si="1335"/>
        <v>-0.89454804999908488</v>
      </c>
      <c r="BK140" s="861">
        <f t="shared" si="1335"/>
        <v>-0.85214812561782372</v>
      </c>
      <c r="BL140" s="861">
        <f t="shared" si="1335"/>
        <v>-0.61295066297394674</v>
      </c>
      <c r="BM140" s="861">
        <f t="shared" si="1335"/>
        <v>-0.29215171243727195</v>
      </c>
      <c r="BN140" s="861">
        <f t="shared" si="1335"/>
        <v>-0.33054898363188645</v>
      </c>
      <c r="BO140" s="861">
        <f t="shared" si="1335"/>
        <v>0.14095732671031835</v>
      </c>
      <c r="BP140" s="861">
        <f t="shared" si="1335"/>
        <v>-0.15036206262004609</v>
      </c>
      <c r="BQ140" s="862"/>
    </row>
    <row r="141" spans="2:82">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S141" s="8"/>
      <c r="AT141" s="8"/>
      <c r="AU141" s="8"/>
      <c r="AV141" s="8"/>
      <c r="AW141" s="8"/>
      <c r="AX141" s="8"/>
      <c r="AY141" s="8"/>
      <c r="AZ141" s="8"/>
      <c r="BA141" s="8"/>
      <c r="BB141" s="8"/>
      <c r="BC141" s="8"/>
      <c r="BD141" s="8"/>
      <c r="BE141" s="8"/>
      <c r="BG141" s="8"/>
      <c r="BH141" s="8"/>
      <c r="BI141" s="8"/>
      <c r="BJ141" s="8"/>
      <c r="BK141" s="8"/>
      <c r="BL141" s="8"/>
      <c r="BM141" s="8"/>
      <c r="BN141" s="8"/>
      <c r="BO141" s="8"/>
      <c r="BP141" s="8"/>
      <c r="BQ141" s="8"/>
    </row>
    <row r="142" spans="2:82" ht="10.5">
      <c r="B142" s="863" t="s">
        <v>163</v>
      </c>
      <c r="C142" s="864"/>
      <c r="D142" s="864"/>
      <c r="E142" s="864"/>
      <c r="F142" s="864"/>
      <c r="G142" s="864"/>
      <c r="H142" s="864"/>
      <c r="I142" s="864"/>
      <c r="J142" s="864"/>
      <c r="K142" s="864"/>
      <c r="L142" s="864"/>
      <c r="M142" s="864"/>
      <c r="N142" s="864"/>
      <c r="O142" s="864"/>
      <c r="P142" s="864"/>
      <c r="Q142" s="864"/>
      <c r="R142" s="864"/>
      <c r="S142" s="864"/>
      <c r="T142" s="864"/>
      <c r="U142" s="865"/>
      <c r="V142" s="8"/>
      <c r="W142" s="8"/>
      <c r="X142" s="8"/>
      <c r="Y142" s="8"/>
      <c r="Z142" s="8"/>
      <c r="AA142" s="8"/>
      <c r="AB142" s="8"/>
      <c r="AC142" s="8"/>
      <c r="AD142" s="8"/>
      <c r="AE142" s="8"/>
      <c r="AF142" s="8"/>
      <c r="AO142" s="8"/>
      <c r="AP142" s="8"/>
      <c r="AQ142" s="8"/>
      <c r="AS142" s="8"/>
      <c r="AT142" s="8"/>
      <c r="AU142" s="8"/>
      <c r="AV142" s="8"/>
      <c r="AW142" s="8"/>
      <c r="AX142" s="8"/>
      <c r="AY142" s="8"/>
      <c r="AZ142" s="8"/>
      <c r="BA142" s="8"/>
      <c r="BB142" s="8"/>
      <c r="BC142" s="8"/>
      <c r="BD142" s="8"/>
      <c r="BE142" s="8"/>
      <c r="BG142" s="8"/>
      <c r="BH142" s="8"/>
      <c r="BI142" s="8"/>
      <c r="BJ142" s="8"/>
      <c r="BK142" s="8"/>
      <c r="BL142" s="8"/>
      <c r="BM142" s="8"/>
      <c r="BN142" s="8"/>
      <c r="BO142" s="8"/>
      <c r="BP142" s="8"/>
      <c r="BQ142" s="8"/>
    </row>
    <row r="143" spans="2:82" ht="10.5">
      <c r="B143" s="100"/>
      <c r="C143" s="100"/>
      <c r="G143" s="866"/>
      <c r="K143" s="8"/>
      <c r="N143" s="866"/>
      <c r="T143" s="867" t="s">
        <v>164</v>
      </c>
      <c r="U143" s="867" t="s">
        <v>165</v>
      </c>
      <c r="V143" s="8"/>
      <c r="W143" s="8"/>
      <c r="X143" s="8"/>
      <c r="Y143" s="8"/>
      <c r="Z143" s="8"/>
      <c r="AA143" s="8"/>
      <c r="AB143" s="8"/>
      <c r="AC143" s="8"/>
      <c r="AD143" s="8"/>
      <c r="AE143" s="8"/>
      <c r="AF143" s="8"/>
      <c r="AO143" s="8"/>
      <c r="AP143" s="8"/>
      <c r="AQ143" s="8"/>
      <c r="AS143" s="8"/>
      <c r="AT143" s="8"/>
      <c r="AU143" s="8"/>
      <c r="AV143" s="8"/>
      <c r="AW143" s="8"/>
      <c r="AX143" s="8"/>
      <c r="AY143" s="8"/>
      <c r="AZ143" s="8"/>
      <c r="BA143" s="8"/>
      <c r="BB143" s="8"/>
      <c r="BC143" s="8"/>
      <c r="BD143" s="8"/>
      <c r="BE143" s="8"/>
      <c r="BG143" s="8"/>
      <c r="BH143" s="8"/>
      <c r="BI143" s="8"/>
      <c r="BJ143" s="8"/>
      <c r="BK143" s="8"/>
      <c r="BL143" s="8"/>
      <c r="BM143" s="8"/>
      <c r="BN143" s="8"/>
      <c r="BO143" s="8"/>
      <c r="BP143" s="8"/>
      <c r="BQ143" s="8"/>
    </row>
    <row r="144" spans="2:82">
      <c r="B144" s="100" t="s">
        <v>166</v>
      </c>
      <c r="C144" s="100"/>
      <c r="G144" s="866"/>
      <c r="K144" s="8"/>
      <c r="N144" s="866"/>
      <c r="T144" s="868">
        <f>+U144*U147</f>
        <v>3148605</v>
      </c>
      <c r="U144" s="869">
        <f>+Base!E100</f>
        <v>421.5</v>
      </c>
      <c r="V144" s="8"/>
      <c r="W144" s="8"/>
      <c r="X144" s="8"/>
      <c r="Y144" s="8"/>
      <c r="Z144" s="8"/>
      <c r="AA144" s="8"/>
      <c r="AB144" s="8"/>
      <c r="AC144" s="8"/>
      <c r="AD144" s="8"/>
      <c r="AE144" s="8"/>
      <c r="AF144" s="8"/>
      <c r="AO144" s="8"/>
      <c r="AP144" s="8"/>
      <c r="AQ144" s="8"/>
      <c r="AS144" s="8"/>
      <c r="AT144" s="8"/>
      <c r="AU144" s="8"/>
      <c r="AV144" s="8"/>
      <c r="AW144" s="8"/>
      <c r="AX144" s="8"/>
      <c r="AY144" s="8"/>
      <c r="AZ144" s="8"/>
      <c r="BA144" s="8"/>
      <c r="BB144" s="8"/>
      <c r="BC144" s="8"/>
      <c r="BD144" s="8"/>
      <c r="BE144" s="8"/>
      <c r="BG144" s="8"/>
      <c r="BH144" s="8"/>
      <c r="BI144" s="8"/>
      <c r="BJ144" s="8"/>
      <c r="BK144" s="8"/>
      <c r="BL144" s="8"/>
      <c r="BM144" s="8"/>
      <c r="BN144" s="8"/>
      <c r="BO144" s="8"/>
      <c r="BP144" s="8"/>
      <c r="BQ144" s="8"/>
      <c r="BT144" s="3"/>
      <c r="BU144" s="839"/>
      <c r="BV144" s="839" t="s">
        <v>90</v>
      </c>
      <c r="BW144" s="3"/>
      <c r="BX144" s="3"/>
      <c r="BY144" s="3"/>
      <c r="BZ144" s="3"/>
      <c r="CA144" s="3"/>
      <c r="CB144" s="3"/>
      <c r="CC144" s="3"/>
      <c r="CD144" s="3"/>
    </row>
    <row r="145" spans="2:82" ht="11.45">
      <c r="B145" s="100" t="s">
        <v>148</v>
      </c>
      <c r="C145" s="100"/>
      <c r="G145" s="866"/>
      <c r="K145" s="8"/>
      <c r="N145" s="872"/>
      <c r="T145" s="870">
        <f>+Base!D101</f>
        <v>14401</v>
      </c>
      <c r="U145" s="871">
        <f>+T145/U147</f>
        <v>1.9278447121820617</v>
      </c>
      <c r="V145" s="8"/>
      <c r="W145" s="8"/>
      <c r="X145" s="8"/>
      <c r="Y145" s="8"/>
      <c r="Z145" s="8"/>
      <c r="AA145" s="8"/>
      <c r="AB145" s="8"/>
      <c r="AC145" s="8"/>
      <c r="AD145" s="8"/>
      <c r="AE145" s="8"/>
      <c r="AF145" s="8"/>
      <c r="AO145" s="8"/>
      <c r="AP145" s="1514"/>
      <c r="AQ145" s="8"/>
      <c r="AS145" s="8"/>
      <c r="AT145" s="8"/>
      <c r="AU145" s="8"/>
      <c r="AV145" s="8"/>
      <c r="AW145" s="8"/>
      <c r="AX145" s="8"/>
      <c r="AY145" s="8"/>
      <c r="AZ145" s="8"/>
      <c r="BA145" s="8"/>
      <c r="BB145" s="8"/>
      <c r="BC145" s="8"/>
      <c r="BD145" s="8"/>
      <c r="BE145" s="8"/>
      <c r="BG145" s="8"/>
      <c r="BH145" s="8"/>
      <c r="BI145" s="8"/>
      <c r="BJ145" s="8"/>
      <c r="BK145" s="8"/>
      <c r="BL145" s="8"/>
      <c r="BM145" s="8"/>
      <c r="BN145" s="8"/>
      <c r="BO145" s="8"/>
      <c r="BP145" s="8"/>
      <c r="BQ145" s="8"/>
      <c r="BT145" s="3"/>
      <c r="BU145" s="932" t="s">
        <v>330</v>
      </c>
      <c r="BV145" s="932" t="s">
        <v>331</v>
      </c>
      <c r="BW145" s="932"/>
      <c r="BX145" s="932" t="s">
        <v>332</v>
      </c>
      <c r="BY145" s="932"/>
      <c r="BZ145" s="932"/>
      <c r="CA145" s="932" t="s">
        <v>333</v>
      </c>
      <c r="CB145" s="932" t="s">
        <v>334</v>
      </c>
      <c r="CC145" s="932" t="s">
        <v>335</v>
      </c>
      <c r="CD145" s="932"/>
    </row>
    <row r="146" spans="2:82" ht="10.5">
      <c r="B146" s="1096" t="s">
        <v>167</v>
      </c>
      <c r="C146" s="102"/>
      <c r="G146" s="866"/>
      <c r="K146" s="8"/>
      <c r="N146" s="866"/>
      <c r="T146" s="868">
        <f>+T145+T144</f>
        <v>3163006</v>
      </c>
      <c r="U146" s="869">
        <f>+U145+U144</f>
        <v>423.42784471218204</v>
      </c>
      <c r="V146" s="8"/>
      <c r="W146" s="8"/>
      <c r="X146" s="8"/>
      <c r="Y146" s="8"/>
      <c r="Z146" s="8"/>
      <c r="AA146" s="8"/>
      <c r="AB146" s="8"/>
      <c r="AC146" s="8"/>
      <c r="AD146" s="8"/>
      <c r="AE146" s="8"/>
      <c r="AF146" s="8"/>
      <c r="AO146" s="8"/>
      <c r="AP146" s="1248"/>
      <c r="AQ146" s="8"/>
      <c r="AS146" s="8"/>
      <c r="AT146" s="8"/>
      <c r="AU146" s="8"/>
      <c r="AV146" s="8"/>
      <c r="AW146" s="8"/>
      <c r="AX146" s="8"/>
      <c r="AY146" s="8"/>
      <c r="AZ146" s="8"/>
      <c r="BA146" s="874"/>
      <c r="BB146" s="8"/>
      <c r="BC146" s="8"/>
      <c r="BD146" s="8"/>
      <c r="BE146" s="8"/>
      <c r="BG146" s="8"/>
      <c r="BH146" s="8"/>
      <c r="BI146" s="8"/>
      <c r="BJ146" s="8"/>
      <c r="BK146" s="8"/>
      <c r="BL146" s="8"/>
      <c r="BM146" s="8"/>
      <c r="BN146" s="8"/>
      <c r="BO146" s="8"/>
      <c r="BP146" s="8"/>
      <c r="BQ146" s="8"/>
      <c r="BT146" s="3" t="s">
        <v>336</v>
      </c>
      <c r="BU146" s="1211">
        <v>28.7</v>
      </c>
      <c r="BV146" s="1211">
        <v>29</v>
      </c>
      <c r="BW146" s="885"/>
      <c r="BX146" s="1211">
        <f>AVERAGE(BU146:BV146)</f>
        <v>28.85</v>
      </c>
      <c r="BY146" s="1024">
        <f>+BX146/AK223*1000-1</f>
        <v>0.49877915735882383</v>
      </c>
      <c r="BZ146" s="839"/>
      <c r="CA146" s="3"/>
      <c r="CB146" s="839"/>
      <c r="CC146" s="839"/>
      <c r="CD146" s="839"/>
    </row>
    <row r="147" spans="2:82">
      <c r="B147" s="875" t="s">
        <v>168</v>
      </c>
      <c r="C147" s="872"/>
      <c r="G147" s="872"/>
      <c r="K147" s="8"/>
      <c r="N147" s="872"/>
      <c r="T147" s="872"/>
      <c r="U147" s="845">
        <f>+Base!E103</f>
        <v>7470</v>
      </c>
      <c r="V147" s="8"/>
      <c r="W147" s="8"/>
      <c r="X147" s="8"/>
      <c r="Y147" s="8"/>
      <c r="Z147" s="8"/>
      <c r="AA147" s="8"/>
      <c r="AB147" s="8"/>
      <c r="AC147" s="8"/>
      <c r="AD147" s="8"/>
      <c r="AE147" s="8"/>
      <c r="AF147" s="8"/>
      <c r="AO147" s="8"/>
      <c r="AP147" s="8"/>
      <c r="AQ147" s="8"/>
      <c r="AS147" s="8"/>
      <c r="AT147" s="8"/>
      <c r="AU147" s="8"/>
      <c r="AV147" s="8"/>
      <c r="AW147" s="8"/>
      <c r="AX147" s="8"/>
      <c r="AY147" s="8"/>
      <c r="AZ147" s="8"/>
      <c r="BA147" s="8"/>
      <c r="BB147" s="8"/>
      <c r="BC147" s="8"/>
      <c r="BD147" s="8"/>
      <c r="BE147" s="8"/>
      <c r="BG147" s="8"/>
      <c r="BH147" s="8"/>
      <c r="BI147" s="8"/>
      <c r="BJ147" s="8"/>
      <c r="BK147" s="8"/>
      <c r="BL147" s="8"/>
      <c r="BM147" s="8"/>
      <c r="BN147" s="8"/>
      <c r="BO147" s="8"/>
      <c r="BP147" s="8"/>
      <c r="BQ147" s="8"/>
      <c r="BT147" s="3" t="s">
        <v>337</v>
      </c>
      <c r="BU147" s="1211">
        <v>25.55</v>
      </c>
      <c r="BV147" s="1211">
        <v>25.85</v>
      </c>
      <c r="BW147" s="885"/>
      <c r="BX147" s="1211">
        <f t="shared" ref="BX147:BX152" si="1336">AVERAGE(BU147:BV147)</f>
        <v>25.700000000000003</v>
      </c>
      <c r="BY147" s="1024">
        <f>+BX147/AK224*1000-1</f>
        <v>-6.955177743431129E-3</v>
      </c>
      <c r="BZ147" s="839"/>
      <c r="CA147" s="3"/>
      <c r="CB147" s="839"/>
      <c r="CC147" s="839"/>
      <c r="CD147" s="839"/>
    </row>
    <row r="148" spans="2:82">
      <c r="B148" s="875"/>
      <c r="C148" s="872"/>
      <c r="G148" s="872"/>
      <c r="K148" s="8"/>
      <c r="N148" s="872"/>
      <c r="T148" s="872"/>
      <c r="U148" s="845"/>
      <c r="V148" s="8"/>
      <c r="W148" s="8"/>
      <c r="X148" s="8"/>
      <c r="Y148" s="8"/>
      <c r="Z148" s="8"/>
      <c r="AA148" s="8"/>
      <c r="AB148" s="8"/>
      <c r="AC148" s="8"/>
      <c r="AD148" s="8"/>
      <c r="AE148" s="8"/>
      <c r="AF148" s="8"/>
      <c r="AO148" s="8"/>
      <c r="AP148" s="8"/>
      <c r="AQ148" s="8"/>
      <c r="AS148" s="8"/>
      <c r="AT148" s="8"/>
      <c r="AU148" s="8"/>
      <c r="AV148" s="8"/>
      <c r="AW148" s="8"/>
      <c r="AX148" s="8"/>
      <c r="AY148" s="8"/>
      <c r="AZ148" s="8"/>
      <c r="BA148" s="8"/>
      <c r="BB148" s="8"/>
      <c r="BC148" s="8"/>
      <c r="BD148" s="8"/>
      <c r="BE148" s="8"/>
      <c r="BG148" s="8"/>
      <c r="BH148" s="8"/>
      <c r="BI148" s="8"/>
      <c r="BJ148" s="8"/>
      <c r="BK148" s="8"/>
      <c r="BL148" s="8"/>
      <c r="BM148" s="8"/>
      <c r="BN148" s="8"/>
      <c r="BO148" s="8"/>
      <c r="BP148" s="8"/>
      <c r="BQ148" s="8"/>
      <c r="BT148" s="3"/>
      <c r="BU148" s="1211"/>
      <c r="BV148" s="1211"/>
      <c r="BW148" s="885"/>
      <c r="BX148" s="1211"/>
      <c r="BY148" s="1024"/>
      <c r="BZ148" s="839"/>
      <c r="CA148" s="3"/>
      <c r="CB148" s="839"/>
      <c r="CC148" s="839"/>
      <c r="CD148" s="839"/>
    </row>
    <row r="149" spans="2:82" ht="10.5">
      <c r="B149" s="5" t="s">
        <v>338</v>
      </c>
      <c r="C149" s="4"/>
      <c r="I149" s="3"/>
      <c r="BT149" s="3" t="s">
        <v>339</v>
      </c>
      <c r="BU149" s="1209">
        <v>13.85</v>
      </c>
      <c r="BV149" s="1209">
        <v>14.25</v>
      </c>
      <c r="BW149" s="885"/>
      <c r="BX149" s="1211">
        <f t="shared" si="1336"/>
        <v>14.05</v>
      </c>
      <c r="BY149" s="1024">
        <f>+BX149/AK225*1000-1</f>
        <v>-0.16819608075306369</v>
      </c>
      <c r="BZ149" s="7"/>
      <c r="CA149" s="1209"/>
      <c r="CB149" s="7"/>
      <c r="CC149" s="7"/>
      <c r="CD149" s="7"/>
    </row>
    <row r="150" spans="2:82">
      <c r="X150" s="824"/>
      <c r="Y150" s="824"/>
      <c r="BC150" s="876" t="s">
        <v>264</v>
      </c>
      <c r="BD150" s="877"/>
      <c r="BT150" s="3"/>
      <c r="BU150" s="1210">
        <f>SUM(BU146:BU149)</f>
        <v>68.099999999999994</v>
      </c>
      <c r="BV150" s="1210">
        <f>SUM(BV146:BV149)</f>
        <v>69.099999999999994</v>
      </c>
      <c r="BW150" s="885"/>
      <c r="BX150" s="1210">
        <f t="shared" si="1336"/>
        <v>68.599999999999994</v>
      </c>
      <c r="BY150" s="1024">
        <f>+BX150/AK227*1000-1</f>
        <v>0.10609480812641081</v>
      </c>
      <c r="BZ150" s="3"/>
      <c r="CA150" s="1210">
        <f>+(1+BY150-CB150)*AH12/1000</f>
        <v>58.464853273137699</v>
      </c>
      <c r="CB150" s="1080">
        <v>0</v>
      </c>
      <c r="CC150" s="1080">
        <f>+CA150/AH227*1000-1</f>
        <v>0.10609480812641081</v>
      </c>
      <c r="CD150" s="3"/>
    </row>
    <row r="151" spans="2:82" ht="10.5">
      <c r="B151" s="45" t="s">
        <v>86</v>
      </c>
      <c r="AG151" s="824"/>
      <c r="AH151" s="824"/>
      <c r="BT151" s="3"/>
      <c r="BU151" s="1211"/>
      <c r="BV151" s="1211"/>
      <c r="BW151" s="3"/>
      <c r="BX151" s="1211"/>
      <c r="BY151" s="1024"/>
      <c r="BZ151" s="3"/>
      <c r="CA151" s="1211"/>
      <c r="CB151" s="3"/>
      <c r="CC151" s="3"/>
      <c r="CD151" s="3"/>
    </row>
    <row r="152" spans="2:82">
      <c r="B152" s="878" t="s">
        <v>340</v>
      </c>
      <c r="D152" s="879"/>
      <c r="E152" s="879"/>
      <c r="F152" s="879"/>
      <c r="G152" s="879"/>
      <c r="H152" s="879"/>
      <c r="I152" s="879"/>
      <c r="J152" s="879"/>
      <c r="K152" s="879"/>
      <c r="L152" s="879"/>
      <c r="M152" s="879"/>
      <c r="N152" s="879"/>
      <c r="O152" s="879"/>
      <c r="P152" s="879"/>
      <c r="Q152" s="879"/>
      <c r="R152" s="879"/>
      <c r="S152" s="879"/>
      <c r="T152" s="879"/>
      <c r="U152" s="879"/>
      <c r="V152" s="879"/>
      <c r="W152" s="879"/>
      <c r="X152" s="879"/>
      <c r="Y152" s="879"/>
      <c r="Z152" s="879"/>
      <c r="AA152" s="879"/>
      <c r="AB152" s="879"/>
      <c r="AC152" s="879"/>
      <c r="AD152" s="879"/>
      <c r="AE152" s="879"/>
      <c r="AF152" s="879">
        <v>22074</v>
      </c>
      <c r="AG152" s="879">
        <v>22602</v>
      </c>
      <c r="AH152" s="879">
        <v>23926</v>
      </c>
      <c r="AI152" s="879">
        <v>25549</v>
      </c>
      <c r="AJ152" s="879">
        <v>25226</v>
      </c>
      <c r="AK152" s="879">
        <v>25854</v>
      </c>
      <c r="AL152" s="879">
        <v>27113</v>
      </c>
      <c r="AM152" s="879">
        <v>28627</v>
      </c>
      <c r="AN152" s="879">
        <v>28317</v>
      </c>
      <c r="AO152" s="880">
        <f>+AO332</f>
        <v>29000</v>
      </c>
      <c r="AP152" s="880">
        <f t="shared" ref="AP152:AQ152" si="1337">+AP332</f>
        <v>30366.560000000001</v>
      </c>
      <c r="AQ152" s="880">
        <f t="shared" si="1337"/>
        <v>32062.240000000005</v>
      </c>
      <c r="AS152" s="879"/>
      <c r="AT152" s="879"/>
      <c r="AU152" s="879"/>
      <c r="AV152" s="879"/>
      <c r="AW152" s="879"/>
      <c r="AX152" s="879"/>
      <c r="AY152" s="879"/>
      <c r="AZ152" s="879"/>
      <c r="BA152" s="879"/>
      <c r="BB152" s="879"/>
      <c r="BC152" s="879"/>
      <c r="BD152" s="879"/>
      <c r="BE152" s="879"/>
      <c r="BG152" s="879"/>
      <c r="BH152" s="879"/>
      <c r="BI152" s="879"/>
      <c r="BJ152" s="879"/>
      <c r="BK152" s="880"/>
      <c r="BL152" s="880"/>
      <c r="BM152" s="880"/>
      <c r="BN152" s="880">
        <f>SUM(AF152:AI152)</f>
        <v>94151</v>
      </c>
      <c r="BO152" s="880">
        <f>SUM(AJ152:AM152)</f>
        <v>106820</v>
      </c>
      <c r="BP152" s="880">
        <f>+SUM(AN152:AQ152)</f>
        <v>119745.8</v>
      </c>
      <c r="BT152" s="3" t="s">
        <v>341</v>
      </c>
      <c r="BU152" s="1212">
        <v>21.9</v>
      </c>
      <c r="BV152" s="1212">
        <v>22.1</v>
      </c>
      <c r="BW152" s="839"/>
      <c r="BX152" s="1212">
        <f t="shared" si="1336"/>
        <v>22</v>
      </c>
      <c r="BY152" s="1024">
        <f>+BX152/AK1068*1000-1</f>
        <v>0.12113336390969787</v>
      </c>
      <c r="BZ152" s="3"/>
      <c r="CA152" s="1212">
        <f>+(1+BY152-CB152)*AH1068/1000</f>
        <v>18.081638893135608</v>
      </c>
      <c r="CB152" s="1080">
        <v>0</v>
      </c>
      <c r="CC152" s="1080">
        <f>+CA152*1000/AH1068-1</f>
        <v>0.12113336390969787</v>
      </c>
      <c r="CD152" s="3"/>
    </row>
    <row r="153" spans="2:82">
      <c r="B153" s="878" t="s">
        <v>342</v>
      </c>
      <c r="D153" s="879"/>
      <c r="E153" s="879"/>
      <c r="F153" s="879"/>
      <c r="G153" s="879"/>
      <c r="H153" s="879"/>
      <c r="I153" s="879"/>
      <c r="J153" s="879"/>
      <c r="K153" s="879"/>
      <c r="L153" s="879"/>
      <c r="M153" s="879"/>
      <c r="N153" s="879"/>
      <c r="O153" s="879"/>
      <c r="P153" s="879"/>
      <c r="Q153" s="879"/>
      <c r="R153" s="879"/>
      <c r="S153" s="879"/>
      <c r="T153" s="879"/>
      <c r="U153" s="879"/>
      <c r="V153" s="879"/>
      <c r="W153" s="879"/>
      <c r="X153" s="879"/>
      <c r="Y153" s="879"/>
      <c r="Z153" s="879"/>
      <c r="AA153" s="879"/>
      <c r="AB153" s="879"/>
      <c r="AC153" s="879"/>
      <c r="AD153" s="879"/>
      <c r="AE153" s="879"/>
      <c r="AF153" s="879">
        <v>16885</v>
      </c>
      <c r="AG153" s="879">
        <v>17926</v>
      </c>
      <c r="AH153" s="879">
        <v>18244</v>
      </c>
      <c r="AI153" s="879">
        <v>19889</v>
      </c>
      <c r="AJ153" s="879">
        <v>20013</v>
      </c>
      <c r="AK153" s="879">
        <v>21525</v>
      </c>
      <c r="AL153" s="879">
        <v>22141</v>
      </c>
      <c r="AM153" s="879">
        <v>23785</v>
      </c>
      <c r="AN153" s="879">
        <v>24092</v>
      </c>
      <c r="AO153" s="880">
        <f>+AO581</f>
        <v>25699.100154</v>
      </c>
      <c r="AP153" s="880">
        <f t="shared" ref="AP153:AQ153" si="1338">+AP581</f>
        <v>26809.402074197431</v>
      </c>
      <c r="AQ153" s="880">
        <f t="shared" si="1338"/>
        <v>29030.802804824049</v>
      </c>
      <c r="AS153" s="879"/>
      <c r="AT153" s="879"/>
      <c r="AU153" s="879"/>
      <c r="AV153" s="879"/>
      <c r="AW153" s="879"/>
      <c r="AX153" s="879"/>
      <c r="AY153" s="879"/>
      <c r="AZ153" s="879"/>
      <c r="BA153" s="879"/>
      <c r="BB153" s="879"/>
      <c r="BC153" s="879"/>
      <c r="BD153" s="879"/>
      <c r="BE153" s="879"/>
      <c r="BG153" s="879"/>
      <c r="BH153" s="879"/>
      <c r="BI153" s="879"/>
      <c r="BJ153" s="879"/>
      <c r="BK153" s="880"/>
      <c r="BL153" s="880"/>
      <c r="BM153" s="880"/>
      <c r="BN153" s="880">
        <f t="shared" ref="BN153:BN155" si="1339">SUM(AF153:AI153)</f>
        <v>72944</v>
      </c>
      <c r="BO153" s="880">
        <f t="shared" ref="BO153:BO156" si="1340">SUM(AJ153:AM153)</f>
        <v>87464</v>
      </c>
      <c r="BP153" s="880">
        <f t="shared" ref="BP153:BP156" si="1341">+SUM(AN153:AQ153)</f>
        <v>105631.30503302149</v>
      </c>
      <c r="BT153" s="3" t="s">
        <v>343</v>
      </c>
      <c r="BU153" s="1210">
        <f>+BU150-BU152</f>
        <v>46.199999999999996</v>
      </c>
      <c r="BV153" s="1210">
        <f>+BV150-BV152</f>
        <v>46.999999999999993</v>
      </c>
      <c r="BW153" s="3"/>
      <c r="BX153" s="1210">
        <f>+BX150-BX152</f>
        <v>46.599999999999994</v>
      </c>
      <c r="BY153" s="1024">
        <f>+BX153*1000/'Historical Financials'!AK22-1</f>
        <v>8.4300905135304749E-2</v>
      </c>
      <c r="BZ153" s="3"/>
      <c r="CA153" s="1210">
        <f>+CA150-CA152</f>
        <v>40.383214380002087</v>
      </c>
      <c r="CB153" s="1080">
        <f>+BY153-CC153</f>
        <v>-1.5190351909593947E-2</v>
      </c>
      <c r="CC153" s="1080">
        <f>+CA153*1000/'Historical Financials'!AH22-1</f>
        <v>9.9491257044898695E-2</v>
      </c>
      <c r="CD153" s="3"/>
    </row>
    <row r="154" spans="2:82" s="852" customFormat="1" ht="11.45">
      <c r="B154" s="878" t="s">
        <v>344</v>
      </c>
      <c r="D154" s="999"/>
      <c r="E154" s="999"/>
      <c r="F154" s="999"/>
      <c r="G154" s="999"/>
      <c r="H154" s="999"/>
      <c r="I154" s="999"/>
      <c r="J154" s="999"/>
      <c r="K154" s="999"/>
      <c r="L154" s="999"/>
      <c r="M154" s="999"/>
      <c r="N154" s="999"/>
      <c r="O154" s="999"/>
      <c r="P154" s="999"/>
      <c r="Q154" s="999"/>
      <c r="R154" s="999"/>
      <c r="S154" s="999"/>
      <c r="T154" s="999"/>
      <c r="U154" s="999"/>
      <c r="V154" s="999"/>
      <c r="W154" s="999"/>
      <c r="X154" s="999"/>
      <c r="Y154" s="999"/>
      <c r="Z154" s="999"/>
      <c r="AA154" s="999"/>
      <c r="AB154" s="999"/>
      <c r="AC154" s="999"/>
      <c r="AD154" s="999"/>
      <c r="AE154" s="999"/>
      <c r="AF154" s="999">
        <v>11163</v>
      </c>
      <c r="AG154" s="999">
        <v>12219</v>
      </c>
      <c r="AH154" s="999">
        <v>10687</v>
      </c>
      <c r="AI154" s="999">
        <v>10751</v>
      </c>
      <c r="AJ154" s="999">
        <v>11278</v>
      </c>
      <c r="AK154" s="999">
        <v>14641</v>
      </c>
      <c r="AL154" s="999">
        <v>12604</v>
      </c>
      <c r="AM154" s="999">
        <v>12315</v>
      </c>
      <c r="AN154" s="999">
        <v>13176</v>
      </c>
      <c r="AO154" s="906">
        <f>+AO700</f>
        <v>14250.102199999999</v>
      </c>
      <c r="AP154" s="906">
        <f t="shared" ref="AP154:AQ154" si="1342">+AP700</f>
        <v>12505.313872000001</v>
      </c>
      <c r="AQ154" s="906">
        <f t="shared" si="1342"/>
        <v>12635.629542240002</v>
      </c>
      <c r="AS154" s="999"/>
      <c r="AT154" s="999"/>
      <c r="AU154" s="999"/>
      <c r="AV154" s="999"/>
      <c r="AW154" s="999"/>
      <c r="AX154" s="999"/>
      <c r="AY154" s="999"/>
      <c r="AZ154" s="999"/>
      <c r="BA154" s="999"/>
      <c r="BB154" s="999"/>
      <c r="BC154" s="999"/>
      <c r="BD154" s="999"/>
      <c r="BE154" s="999"/>
      <c r="BG154" s="999"/>
      <c r="BH154" s="999"/>
      <c r="BI154" s="999"/>
      <c r="BJ154" s="999"/>
      <c r="BK154" s="1000"/>
      <c r="BL154" s="1000"/>
      <c r="BM154" s="1000"/>
      <c r="BN154" s="1000">
        <f t="shared" si="1339"/>
        <v>44820</v>
      </c>
      <c r="BO154" s="1000">
        <f t="shared" si="1340"/>
        <v>50838</v>
      </c>
      <c r="BP154" s="1000">
        <f t="shared" si="1341"/>
        <v>52567.04561424</v>
      </c>
      <c r="BR154"/>
      <c r="BS154"/>
      <c r="BT154"/>
      <c r="BU154" s="1210"/>
      <c r="BV154" s="1210"/>
      <c r="BW154"/>
      <c r="BX154" s="1210"/>
      <c r="BY154" s="1024"/>
      <c r="CA154" s="1210"/>
    </row>
    <row r="155" spans="2:82" ht="11.45" hidden="1" outlineLevel="1">
      <c r="B155" s="878" t="s">
        <v>345</v>
      </c>
      <c r="D155" s="10"/>
      <c r="E155" s="10"/>
      <c r="F155" s="10"/>
      <c r="G155" s="10"/>
      <c r="H155" s="10"/>
      <c r="I155" s="10"/>
      <c r="J155" s="10"/>
      <c r="K155" s="10"/>
      <c r="L155" s="10"/>
      <c r="M155" s="10"/>
      <c r="N155" s="10"/>
      <c r="O155" s="10"/>
      <c r="P155" s="10"/>
      <c r="Q155" s="10"/>
      <c r="R155" s="10"/>
      <c r="S155" s="10"/>
      <c r="T155" s="10"/>
      <c r="U155" s="10"/>
      <c r="V155" s="10"/>
      <c r="W155" s="10"/>
      <c r="X155" s="10"/>
      <c r="Y155" s="34"/>
      <c r="Z155" s="34"/>
      <c r="AA155" s="34"/>
      <c r="AB155" s="34"/>
      <c r="AC155" s="34"/>
      <c r="AD155" s="34"/>
      <c r="AE155" s="34"/>
      <c r="AF155" s="34"/>
      <c r="AG155" s="34"/>
      <c r="AH155" s="34"/>
      <c r="AI155" s="34"/>
      <c r="AJ155" s="34">
        <v>0</v>
      </c>
      <c r="AK155" s="34">
        <v>0</v>
      </c>
      <c r="AL155" s="34">
        <v>0</v>
      </c>
      <c r="AM155" s="34">
        <v>0</v>
      </c>
      <c r="AN155" s="34">
        <v>0</v>
      </c>
      <c r="AO155" s="34"/>
      <c r="AP155" s="34"/>
      <c r="AQ155" s="34"/>
      <c r="AS155" s="10"/>
      <c r="AT155" s="10"/>
      <c r="AU155" s="10"/>
      <c r="AV155" s="10"/>
      <c r="AW155" s="10"/>
      <c r="AX155" s="10"/>
      <c r="AY155" s="10"/>
      <c r="AZ155" s="10"/>
      <c r="BA155" s="10"/>
      <c r="BB155" s="10"/>
      <c r="BC155" s="10"/>
      <c r="BD155" s="10"/>
      <c r="BE155" s="10"/>
      <c r="BG155" s="10"/>
      <c r="BH155" s="10"/>
      <c r="BI155" s="10"/>
      <c r="BJ155" s="10"/>
      <c r="BK155" s="10"/>
      <c r="BL155" s="10"/>
      <c r="BM155" s="10"/>
      <c r="BN155" s="10">
        <f t="shared" si="1339"/>
        <v>0</v>
      </c>
      <c r="BO155" s="10">
        <f t="shared" si="1340"/>
        <v>0</v>
      </c>
      <c r="BP155" s="10">
        <f t="shared" si="1341"/>
        <v>0</v>
      </c>
      <c r="BU155" s="1210"/>
      <c r="BV155" s="1210"/>
      <c r="BX155" s="1210"/>
      <c r="BY155" s="1024"/>
      <c r="CA155" s="1210"/>
    </row>
    <row r="156" spans="2:82" s="1" customFormat="1" ht="10.5" collapsed="1">
      <c r="B156" s="882" t="s">
        <v>346</v>
      </c>
      <c r="D156" s="838">
        <f t="shared" ref="D156:AD156" si="1343">+D12</f>
        <v>20910</v>
      </c>
      <c r="E156" s="838">
        <f t="shared" si="1343"/>
        <v>25253</v>
      </c>
      <c r="F156" s="838">
        <f t="shared" si="1343"/>
        <v>21517</v>
      </c>
      <c r="G156" s="838">
        <f t="shared" si="1343"/>
        <v>23474</v>
      </c>
      <c r="H156" s="838">
        <f t="shared" si="1343"/>
        <v>21928</v>
      </c>
      <c r="I156" s="838">
        <f t="shared" si="1343"/>
        <v>25826</v>
      </c>
      <c r="J156" s="838">
        <f t="shared" si="1343"/>
        <v>23212</v>
      </c>
      <c r="K156" s="838">
        <f t="shared" si="1343"/>
        <v>25605</v>
      </c>
      <c r="L156" s="838">
        <f t="shared" si="1343"/>
        <v>24538</v>
      </c>
      <c r="M156" s="838">
        <f t="shared" si="1343"/>
        <v>28918</v>
      </c>
      <c r="N156" s="838">
        <f t="shared" si="1343"/>
        <v>26819</v>
      </c>
      <c r="O156" s="838">
        <f t="shared" si="1343"/>
        <v>30085</v>
      </c>
      <c r="P156" s="838">
        <f t="shared" si="1343"/>
        <v>29084</v>
      </c>
      <c r="Q156" s="838">
        <f t="shared" si="1343"/>
        <v>32471</v>
      </c>
      <c r="R156" s="838">
        <f t="shared" si="1343"/>
        <v>30571</v>
      </c>
      <c r="S156" s="838">
        <f t="shared" si="1343"/>
        <v>33717</v>
      </c>
      <c r="T156" s="838">
        <f t="shared" si="1343"/>
        <v>33055</v>
      </c>
      <c r="U156" s="838">
        <f t="shared" si="1343"/>
        <v>36906</v>
      </c>
      <c r="V156" s="838">
        <f t="shared" si="1343"/>
        <v>35021</v>
      </c>
      <c r="W156" s="838">
        <f t="shared" si="1343"/>
        <v>38033</v>
      </c>
      <c r="X156" s="838">
        <f t="shared" si="1343"/>
        <v>37154</v>
      </c>
      <c r="Y156" s="838">
        <f t="shared" si="1343"/>
        <v>43076</v>
      </c>
      <c r="Z156" s="838">
        <f t="shared" si="1343"/>
        <v>41706</v>
      </c>
      <c r="AA156" s="838">
        <f t="shared" si="1343"/>
        <v>46152</v>
      </c>
      <c r="AB156" s="838">
        <f t="shared" si="1343"/>
        <v>45317</v>
      </c>
      <c r="AC156" s="838">
        <f t="shared" si="1343"/>
        <v>51728</v>
      </c>
      <c r="AD156" s="838">
        <f t="shared" si="1343"/>
        <v>49360</v>
      </c>
      <c r="AE156" s="838">
        <f>+AE12</f>
        <v>51865</v>
      </c>
      <c r="AF156" s="849">
        <f t="shared" ref="AF156:AI156" si="1344">SUM(AF152:AF155)</f>
        <v>50122</v>
      </c>
      <c r="AG156" s="849">
        <f t="shared" si="1344"/>
        <v>52747</v>
      </c>
      <c r="AH156" s="849">
        <f t="shared" si="1344"/>
        <v>52857</v>
      </c>
      <c r="AI156" s="849">
        <f t="shared" si="1344"/>
        <v>56189</v>
      </c>
      <c r="AJ156" s="849">
        <f t="shared" ref="AJ156:AM156" si="1345">SUM(AJ152:AJ155)</f>
        <v>56517</v>
      </c>
      <c r="AK156" s="849">
        <f t="shared" si="1345"/>
        <v>62020</v>
      </c>
      <c r="AL156" s="849">
        <f t="shared" si="1345"/>
        <v>61858</v>
      </c>
      <c r="AM156" s="849">
        <f t="shared" si="1345"/>
        <v>64727</v>
      </c>
      <c r="AN156" s="849">
        <f t="shared" ref="AN156:AQ156" si="1346">SUM(AN152:AN155)</f>
        <v>65585</v>
      </c>
      <c r="AO156" s="849">
        <f t="shared" si="1346"/>
        <v>68949.202353999994</v>
      </c>
      <c r="AP156" s="849">
        <f t="shared" si="1346"/>
        <v>69681.275946197435</v>
      </c>
      <c r="AQ156" s="849">
        <f t="shared" si="1346"/>
        <v>73728.672347064057</v>
      </c>
      <c r="AR156" s="838"/>
      <c r="AS156" s="838">
        <f t="shared" ref="AS156:BN156" si="1347">+AS12</f>
        <v>39788</v>
      </c>
      <c r="AT156" s="838">
        <f t="shared" si="1347"/>
        <v>44282</v>
      </c>
      <c r="AU156" s="838">
        <f t="shared" si="1347"/>
        <v>51122</v>
      </c>
      <c r="AV156" s="838">
        <f t="shared" si="1347"/>
        <v>60420</v>
      </c>
      <c r="AW156" s="838">
        <f t="shared" si="1347"/>
        <v>58437</v>
      </c>
      <c r="AX156" s="838">
        <f t="shared" si="1347"/>
        <v>62484</v>
      </c>
      <c r="AY156" s="838">
        <f t="shared" si="1347"/>
        <v>69943</v>
      </c>
      <c r="AZ156" s="838">
        <f t="shared" si="1347"/>
        <v>73723</v>
      </c>
      <c r="BA156" s="838">
        <f t="shared" si="1347"/>
        <v>77849</v>
      </c>
      <c r="BB156" s="838">
        <f t="shared" si="1347"/>
        <v>86833</v>
      </c>
      <c r="BC156" s="838">
        <f t="shared" si="1347"/>
        <v>93580</v>
      </c>
      <c r="BD156" s="838">
        <f t="shared" si="1347"/>
        <v>85320</v>
      </c>
      <c r="BE156" s="838">
        <f t="shared" si="1347"/>
        <v>89950</v>
      </c>
      <c r="BF156" s="838">
        <f t="shared" si="1347"/>
        <v>0</v>
      </c>
      <c r="BG156" s="838">
        <f t="shared" si="1347"/>
        <v>91154</v>
      </c>
      <c r="BH156" s="838">
        <f t="shared" si="1347"/>
        <v>96571</v>
      </c>
      <c r="BI156" s="838">
        <f t="shared" si="1347"/>
        <v>110360</v>
      </c>
      <c r="BJ156" s="838">
        <f t="shared" si="1347"/>
        <v>125843</v>
      </c>
      <c r="BK156" s="838">
        <f t="shared" si="1347"/>
        <v>143015</v>
      </c>
      <c r="BL156" s="838">
        <f t="shared" si="1347"/>
        <v>168088</v>
      </c>
      <c r="BM156" s="838">
        <f t="shared" si="1347"/>
        <v>198270</v>
      </c>
      <c r="BN156" s="838">
        <f t="shared" si="1347"/>
        <v>211915</v>
      </c>
      <c r="BO156" s="838">
        <f t="shared" si="1340"/>
        <v>245122</v>
      </c>
      <c r="BP156" s="838">
        <f t="shared" si="1341"/>
        <v>277944.15064726153</v>
      </c>
      <c r="BR156"/>
      <c r="BS156"/>
      <c r="BT156" s="839" t="s">
        <v>347</v>
      </c>
      <c r="BU156" s="1210">
        <v>16.399999999999999</v>
      </c>
      <c r="BV156" s="1210">
        <v>16.5</v>
      </c>
      <c r="BW156" s="839"/>
      <c r="BX156" s="1210">
        <f t="shared" ref="BX156" si="1348">AVERAGE(BU156:BV156)</f>
        <v>16.45</v>
      </c>
      <c r="BY156" s="1024">
        <f>+BX156*1000/AK32-1</f>
        <v>0.110361120485994</v>
      </c>
      <c r="BZ156" s="839"/>
      <c r="CA156" s="1210">
        <f>+(1+BY156-CB156)*AH32/1000</f>
        <v>15.963661829227137</v>
      </c>
      <c r="CB156" s="1080">
        <v>0</v>
      </c>
      <c r="CC156" s="1080">
        <f>+CA156*1000/AH32-1</f>
        <v>0.110361120485994</v>
      </c>
      <c r="CD156" s="839"/>
    </row>
    <row r="157" spans="2:82">
      <c r="X157" s="826"/>
      <c r="AH157" s="100"/>
      <c r="AI157" s="100"/>
      <c r="AJ157" s="100"/>
      <c r="AK157" s="100"/>
      <c r="AL157" s="100"/>
      <c r="AM157" s="100"/>
      <c r="AN157" s="100"/>
      <c r="AO157" s="11"/>
      <c r="AP157" s="11"/>
      <c r="AQ157" s="11"/>
      <c r="BT157" s="7"/>
      <c r="BU157" s="1213"/>
      <c r="BV157" s="1213"/>
      <c r="BW157" s="7"/>
      <c r="BX157" s="1213"/>
      <c r="BY157" s="1024"/>
      <c r="BZ157" s="7"/>
      <c r="CA157" s="1213"/>
      <c r="CB157" s="7"/>
      <c r="CC157" s="7"/>
      <c r="CD157" s="7"/>
    </row>
    <row r="158" spans="2:82" s="3" customFormat="1">
      <c r="B158" s="883" t="s">
        <v>113</v>
      </c>
      <c r="AE158" s="986"/>
      <c r="AF158" s="986"/>
      <c r="AG158" s="986"/>
      <c r="AH158" s="1114"/>
      <c r="AI158" s="1114"/>
      <c r="AJ158" s="1114"/>
      <c r="AK158" s="1114"/>
      <c r="AL158" s="1114"/>
      <c r="AM158" s="1114"/>
      <c r="AN158" s="1114"/>
      <c r="AO158" s="1114"/>
      <c r="AP158" s="1344"/>
      <c r="AQ158" s="1344"/>
      <c r="BS158"/>
      <c r="BT158" s="3" t="s">
        <v>348</v>
      </c>
      <c r="BU158" s="1210">
        <f>+BU150-BU152-BU156</f>
        <v>29.799999999999997</v>
      </c>
      <c r="BV158" s="1210">
        <f>+BV150-BV152-BV156</f>
        <v>30.499999999999993</v>
      </c>
      <c r="BW158"/>
      <c r="BX158" s="1210">
        <f>+BX150-BX152-BX156</f>
        <v>30.149999999999995</v>
      </c>
      <c r="BY158" s="1024">
        <f>+BX158*1000/AK49-1</f>
        <v>7.0591577302748343E-2</v>
      </c>
      <c r="BZ158"/>
      <c r="CA158" s="1210">
        <f>+CA153-CA156</f>
        <v>24.419552550774952</v>
      </c>
      <c r="CB158" s="1080">
        <f>+BY158-CC158</f>
        <v>-2.190808942841449E-2</v>
      </c>
      <c r="CC158" s="1080">
        <f>+CA158*1000/AH259-1</f>
        <v>9.2499666731162833E-2</v>
      </c>
      <c r="CD158"/>
    </row>
    <row r="159" spans="2:82" s="3" customFormat="1">
      <c r="B159" s="884" t="str">
        <f>+B152</f>
        <v>Productivity and Business Processes</v>
      </c>
      <c r="L159" s="14"/>
      <c r="M159" s="14"/>
      <c r="N159" s="14"/>
      <c r="O159" s="14"/>
      <c r="P159" s="14"/>
      <c r="Q159" s="14"/>
      <c r="R159" s="14"/>
      <c r="S159" s="14"/>
      <c r="T159" s="14"/>
      <c r="U159" s="14"/>
      <c r="V159" s="14"/>
      <c r="W159" s="14"/>
      <c r="X159" s="14"/>
      <c r="Y159" s="14"/>
      <c r="Z159" s="14"/>
      <c r="AA159" s="14"/>
      <c r="AB159" s="14"/>
      <c r="AC159" s="14"/>
      <c r="AD159" s="14"/>
      <c r="AE159" s="890"/>
      <c r="AF159" s="890"/>
      <c r="AG159" s="890"/>
      <c r="AH159" s="890"/>
      <c r="AI159" s="890"/>
      <c r="AJ159" s="228">
        <f t="shared" ref="AJ159:AJ161" si="1349">+IFERROR(AJ152/AF152-1,"n/a ")</f>
        <v>0.1427924254779378</v>
      </c>
      <c r="AK159" s="228">
        <f t="shared" ref="AK159:AK161" si="1350">+IFERROR(AK152/AG152-1,"n/a ")</f>
        <v>0.14388107247146276</v>
      </c>
      <c r="AL159" s="228">
        <f t="shared" ref="AL159:AL161" si="1351">+IFERROR(AL152/AH152-1,"n/a ")</f>
        <v>0.13320237398645829</v>
      </c>
      <c r="AM159" s="228">
        <f t="shared" ref="AM159:AM161" si="1352">+IFERROR(AM152/AI152-1,"n/a ")</f>
        <v>0.12047438255900422</v>
      </c>
      <c r="AN159" s="228">
        <f t="shared" ref="AN159:AN161" si="1353">+IFERROR(AN152/AJ152-1,"n/a ")</f>
        <v>0.12253230793625614</v>
      </c>
      <c r="AO159" s="228">
        <f t="shared" ref="AO159" si="1354">+IFERROR(AO152/AK152-1,"n/a ")</f>
        <v>0.12168329852247228</v>
      </c>
      <c r="AP159" s="228">
        <f t="shared" ref="AP159" si="1355">+IFERROR(AP152/AL152-1,"n/a ")</f>
        <v>0.12000000000000011</v>
      </c>
      <c r="AQ159" s="228">
        <f t="shared" ref="AQ159" si="1356">+IFERROR(AQ152/AM152-1,"n/a ")</f>
        <v>0.12000000000000011</v>
      </c>
      <c r="BC159" s="14"/>
      <c r="BD159" s="14"/>
      <c r="BE159" s="14"/>
      <c r="BF159" s="14"/>
      <c r="BG159" s="829"/>
      <c r="BH159" s="14"/>
      <c r="BI159" s="14"/>
      <c r="BJ159" s="14"/>
      <c r="BK159" s="14"/>
      <c r="BL159" s="14"/>
      <c r="BM159" s="14"/>
      <c r="BN159" s="14"/>
      <c r="BO159" s="14">
        <f t="shared" ref="BO159:BO161" si="1357">+IFERROR(BO152/BN152-1,"n/a ")</f>
        <v>0.13456044014402391</v>
      </c>
      <c r="BP159" s="14">
        <f t="shared" ref="BP159:BP161" si="1358">+IFERROR(BP152/BO152-1,"n/a ")</f>
        <v>0.12100542969481376</v>
      </c>
      <c r="BT159"/>
      <c r="BU159" s="874">
        <f>+BU158/BU150</f>
        <v>0.43759177679882527</v>
      </c>
      <c r="BV159" s="874">
        <f>+BV158/BV150</f>
        <v>0.44138929088277851</v>
      </c>
      <c r="BW159"/>
      <c r="BX159" s="874">
        <f>+BX158/BX150</f>
        <v>0.43950437317784252</v>
      </c>
      <c r="BY159" s="1024"/>
      <c r="CA159" s="1027"/>
    </row>
    <row r="160" spans="2:82" s="3" customFormat="1">
      <c r="B160" s="884" t="str">
        <f t="shared" ref="B160:B163" si="1359">+B153</f>
        <v>Intelligent Cloud</v>
      </c>
      <c r="L160" s="14"/>
      <c r="M160" s="14"/>
      <c r="N160" s="14"/>
      <c r="O160" s="14"/>
      <c r="P160" s="14"/>
      <c r="Q160" s="14"/>
      <c r="R160" s="14"/>
      <c r="S160" s="14"/>
      <c r="T160" s="14"/>
      <c r="U160" s="14"/>
      <c r="V160" s="14"/>
      <c r="W160" s="14"/>
      <c r="X160" s="14"/>
      <c r="Y160" s="14"/>
      <c r="Z160" s="14"/>
      <c r="AA160" s="14"/>
      <c r="AB160" s="14"/>
      <c r="AC160" s="14"/>
      <c r="AD160" s="14"/>
      <c r="AE160" s="890"/>
      <c r="AF160" s="890"/>
      <c r="AG160" s="890"/>
      <c r="AH160" s="228"/>
      <c r="AI160" s="228"/>
      <c r="AJ160" s="228">
        <f t="shared" si="1349"/>
        <v>0.18525318329878582</v>
      </c>
      <c r="AK160" s="228">
        <f t="shared" si="1350"/>
        <v>0.2007698315296218</v>
      </c>
      <c r="AL160" s="228">
        <f t="shared" si="1351"/>
        <v>0.21360447270335459</v>
      </c>
      <c r="AM160" s="228">
        <f t="shared" si="1352"/>
        <v>0.19588717381467147</v>
      </c>
      <c r="AN160" s="228">
        <f t="shared" si="1353"/>
        <v>0.20381751861290165</v>
      </c>
      <c r="AO160" s="228">
        <f t="shared" ref="AO160:AO161" si="1360">+IFERROR(AO153/AK153-1,"n/a ")</f>
        <v>0.19391870634146335</v>
      </c>
      <c r="AP160" s="228">
        <f t="shared" ref="AP160:AP161" si="1361">+IFERROR(AP153/AL153-1,"n/a ")</f>
        <v>0.21084874550370047</v>
      </c>
      <c r="AQ160" s="228">
        <f t="shared" ref="AQ160:AQ161" si="1362">+IFERROR(AQ153/AM153-1,"n/a ")</f>
        <v>0.22055088521438093</v>
      </c>
      <c r="BC160" s="14"/>
      <c r="BD160" s="14"/>
      <c r="BE160" s="14"/>
      <c r="BF160" s="14"/>
      <c r="BG160" s="829"/>
      <c r="BH160" s="14"/>
      <c r="BI160" s="14"/>
      <c r="BJ160" s="14"/>
      <c r="BK160" s="14"/>
      <c r="BL160" s="14"/>
      <c r="BM160" s="14"/>
      <c r="BN160" s="14"/>
      <c r="BO160" s="14">
        <f t="shared" si="1357"/>
        <v>0.19905681070410175</v>
      </c>
      <c r="BP160" s="14">
        <f t="shared" si="1358"/>
        <v>0.20771180180441662</v>
      </c>
      <c r="BY160" s="1024"/>
    </row>
    <row r="161" spans="2:81" s="839" customFormat="1" ht="11.45">
      <c r="B161" s="884" t="str">
        <f t="shared" si="1359"/>
        <v>More Personal Computing</v>
      </c>
      <c r="L161" s="840"/>
      <c r="M161" s="840"/>
      <c r="N161" s="840"/>
      <c r="O161" s="840"/>
      <c r="P161" s="840"/>
      <c r="Q161" s="840"/>
      <c r="R161" s="840"/>
      <c r="S161" s="840"/>
      <c r="T161" s="840"/>
      <c r="U161" s="840"/>
      <c r="V161" s="840"/>
      <c r="W161" s="840"/>
      <c r="X161" s="840"/>
      <c r="Y161" s="840"/>
      <c r="Z161" s="840"/>
      <c r="AA161" s="840"/>
      <c r="AB161" s="840"/>
      <c r="AC161" s="840"/>
      <c r="AD161" s="840"/>
      <c r="AE161" s="840"/>
      <c r="AF161" s="840"/>
      <c r="AG161" s="840"/>
      <c r="AH161" s="840"/>
      <c r="AI161" s="840"/>
      <c r="AJ161" s="840">
        <f t="shared" si="1349"/>
        <v>1.0301890172892625E-2</v>
      </c>
      <c r="AK161" s="840">
        <f t="shared" si="1350"/>
        <v>0.1982158932809559</v>
      </c>
      <c r="AL161" s="840">
        <f t="shared" si="1351"/>
        <v>0.17937681295031349</v>
      </c>
      <c r="AM161" s="840">
        <f t="shared" si="1352"/>
        <v>0.14547483954980933</v>
      </c>
      <c r="AN161" s="840">
        <f t="shared" si="1353"/>
        <v>0.16829225039900697</v>
      </c>
      <c r="AO161" s="840">
        <f t="shared" si="1360"/>
        <v>-2.6698845707260443E-2</v>
      </c>
      <c r="AP161" s="840">
        <f t="shared" si="1361"/>
        <v>-7.8297467470643811E-3</v>
      </c>
      <c r="AQ161" s="840">
        <f t="shared" si="1362"/>
        <v>2.6035691615103662E-2</v>
      </c>
      <c r="BC161" s="840"/>
      <c r="BD161" s="840"/>
      <c r="BE161" s="840"/>
      <c r="BF161" s="886"/>
      <c r="BG161" s="908"/>
      <c r="BH161" s="840"/>
      <c r="BI161" s="840"/>
      <c r="BJ161" s="840"/>
      <c r="BK161" s="840"/>
      <c r="BL161" s="840"/>
      <c r="BM161" s="840"/>
      <c r="BN161" s="840"/>
      <c r="BO161" s="840">
        <f t="shared" si="1357"/>
        <v>0.1342704149933065</v>
      </c>
      <c r="BP161" s="840">
        <f t="shared" si="1358"/>
        <v>3.4010889772217556E-2</v>
      </c>
      <c r="BR161"/>
      <c r="BS161"/>
    </row>
    <row r="162" spans="2:81" s="839" customFormat="1" ht="11.45" hidden="1" outlineLevel="1">
      <c r="B162" s="884" t="str">
        <f t="shared" si="1359"/>
        <v>Corporate and Other</v>
      </c>
      <c r="L162" s="840"/>
      <c r="M162" s="840"/>
      <c r="N162" s="840"/>
      <c r="O162" s="840"/>
      <c r="P162" s="840"/>
      <c r="Q162" s="840"/>
      <c r="R162" s="840"/>
      <c r="S162" s="840"/>
      <c r="T162" s="840"/>
      <c r="U162" s="840"/>
      <c r="V162" s="840"/>
      <c r="W162" s="840"/>
      <c r="X162" s="840"/>
      <c r="Y162" s="840"/>
      <c r="Z162" s="840"/>
      <c r="AA162" s="840"/>
      <c r="AB162" s="840"/>
      <c r="AC162" s="840"/>
      <c r="AD162" s="840"/>
      <c r="AE162" s="840"/>
      <c r="AF162" s="840"/>
      <c r="AG162" s="840"/>
      <c r="AH162" s="840"/>
      <c r="AI162" s="840"/>
      <c r="AJ162" s="840" t="str">
        <f t="shared" ref="AJ162" si="1363">+IFERROR(AJ155/AF155-1,"NA ")</f>
        <v xml:space="preserve">NA </v>
      </c>
      <c r="AK162" s="840" t="str">
        <f t="shared" ref="AK162" si="1364">+IFERROR(AK155/AG155-1,"NA ")</f>
        <v xml:space="preserve">NA </v>
      </c>
      <c r="AL162" s="840" t="str">
        <f t="shared" ref="AL162" si="1365">+IFERROR(AL155/AH155-1,"NA ")</f>
        <v xml:space="preserve">NA </v>
      </c>
      <c r="AM162" s="840" t="str">
        <f t="shared" ref="AM162" si="1366">+IFERROR(AM155/AI155-1,"NA ")</f>
        <v xml:space="preserve">NA </v>
      </c>
      <c r="AN162" s="840" t="str">
        <f t="shared" ref="AN162" si="1367">+IFERROR(AN155/AJ155-1,"NA ")</f>
        <v xml:space="preserve">NA </v>
      </c>
      <c r="AO162" s="840" t="str">
        <f t="shared" ref="AO162" si="1368">+IFERROR(AO155/AK155-1,"NA ")</f>
        <v xml:space="preserve">NA </v>
      </c>
      <c r="AP162" s="840" t="str">
        <f t="shared" ref="AP162" si="1369">+IFERROR(AP155/AL155-1,"NA ")</f>
        <v xml:space="preserve">NA </v>
      </c>
      <c r="AQ162" s="840" t="str">
        <f t="shared" ref="AQ162" si="1370">+IFERROR(AQ155/AM155-1,"NA ")</f>
        <v xml:space="preserve">NA </v>
      </c>
      <c r="BC162" s="840"/>
      <c r="BD162" s="840"/>
      <c r="BE162" s="840"/>
      <c r="BF162" s="886"/>
      <c r="BG162" s="829"/>
      <c r="BH162" s="840"/>
      <c r="BI162" s="840"/>
      <c r="BJ162" s="840"/>
      <c r="BK162" s="840"/>
      <c r="BL162" s="840"/>
      <c r="BM162" s="840"/>
      <c r="BN162" s="840"/>
      <c r="BO162" s="840" t="s">
        <v>273</v>
      </c>
      <c r="BP162" s="840" t="s">
        <v>273</v>
      </c>
      <c r="BR162"/>
      <c r="BS162"/>
    </row>
    <row r="163" spans="2:81" s="7" customFormat="1" collapsed="1">
      <c r="B163" s="887" t="str">
        <f t="shared" si="1359"/>
        <v>Total Revenue</v>
      </c>
      <c r="L163" s="855"/>
      <c r="M163" s="855"/>
      <c r="N163" s="855"/>
      <c r="O163" s="855"/>
      <c r="P163" s="855"/>
      <c r="Q163" s="855"/>
      <c r="R163" s="855"/>
      <c r="S163" s="855"/>
      <c r="T163" s="855">
        <f t="shared" ref="T163" si="1371">+IFERROR(T156/P156-1,"n/a ")</f>
        <v>0.13653555219364599</v>
      </c>
      <c r="U163" s="855">
        <f t="shared" ref="U163" si="1372">+IFERROR(U156/Q156-1,"n/a ")</f>
        <v>0.13658341289150311</v>
      </c>
      <c r="V163" s="855">
        <f t="shared" ref="V163" si="1373">+IFERROR(V156/R156-1,"n/a ")</f>
        <v>0.14556278826338698</v>
      </c>
      <c r="W163" s="855">
        <f t="shared" ref="W163" si="1374">+IFERROR(W156/S156-1,"n/a ")</f>
        <v>0.12800664353293589</v>
      </c>
      <c r="X163" s="855">
        <f t="shared" ref="X163" si="1375">+IFERROR(X156/T156-1,"n/a ")</f>
        <v>0.12400544546967174</v>
      </c>
      <c r="Y163" s="855">
        <f t="shared" ref="Y163" si="1376">+IFERROR(Y156/U156-1,"n/a ")</f>
        <v>0.16718148810491518</v>
      </c>
      <c r="Z163" s="855">
        <f t="shared" ref="Z163" si="1377">+IFERROR(Z156/V156-1,"n/a ")</f>
        <v>0.19088546871876866</v>
      </c>
      <c r="AA163" s="855">
        <f t="shared" ref="AA163" si="1378">+IFERROR(AA156/W156-1,"n/a ")</f>
        <v>0.21347251071437956</v>
      </c>
      <c r="AB163" s="855">
        <f t="shared" ref="AB163" si="1379">+IFERROR(AB156/X156-1,"n/a ")</f>
        <v>0.21970716477364483</v>
      </c>
      <c r="AC163" s="855">
        <f t="shared" ref="AC163" si="1380">+IFERROR(AC156/Y156-1,"n/a ")</f>
        <v>0.2008543040208004</v>
      </c>
      <c r="AD163" s="855">
        <f t="shared" ref="AD163" si="1381">+IFERROR(AD156/Z156-1,"n/a ")</f>
        <v>0.18352275451973332</v>
      </c>
      <c r="AE163" s="902">
        <f t="shared" ref="AE163" si="1382">+IFERROR(AE156/AA156-1,"n/a ")</f>
        <v>0.12378661813139202</v>
      </c>
      <c r="AF163" s="902">
        <f t="shared" ref="AF163" si="1383">+IFERROR(AF156/AB156-1,"n/a ")</f>
        <v>0.1060308493501334</v>
      </c>
      <c r="AG163" s="855">
        <f t="shared" ref="AG163" si="1384">+IFERROR(AG156/AC156-1,"n/a ")</f>
        <v>1.9699195793380753E-2</v>
      </c>
      <c r="AH163" s="902">
        <f t="shared" ref="AH163" si="1385">+IFERROR(AH156/AD156-1,"n/a ")</f>
        <v>7.0846839546191198E-2</v>
      </c>
      <c r="AI163" s="902">
        <f t="shared" ref="AI163" si="1386">+IFERROR(AI156/AE156-1,"n/a ")</f>
        <v>8.3370288248336921E-2</v>
      </c>
      <c r="AJ163" s="902">
        <f t="shared" ref="AJ163" si="1387">+IFERROR(AJ156/AF156-1,"n/a ")</f>
        <v>0.12758868361198683</v>
      </c>
      <c r="AK163" s="902">
        <f t="shared" ref="AK163" si="1388">+IFERROR(AK156/AG156-1,"n/a ")</f>
        <v>0.17580146738203117</v>
      </c>
      <c r="AL163" s="902">
        <f t="shared" ref="AL163" si="1389">+IFERROR(AL156/AH156-1,"n/a ")</f>
        <v>0.17028964943148495</v>
      </c>
      <c r="AM163" s="902">
        <f t="shared" ref="AM163" si="1390">+IFERROR(AM156/AI156-1,"n/a ")</f>
        <v>0.15195144957198026</v>
      </c>
      <c r="AN163" s="902">
        <f t="shared" ref="AN163" si="1391">+IFERROR(AN156/AJ156-1,"n/a ")</f>
        <v>0.16044729904276589</v>
      </c>
      <c r="AO163" s="902">
        <f t="shared" ref="AO163" si="1392">+IFERROR(AO156/AK156-1,"n/a ")</f>
        <v>0.1117252878748789</v>
      </c>
      <c r="AP163" s="902">
        <f t="shared" ref="AP163" si="1393">+IFERROR(AP156/AL156-1,"n/a ")</f>
        <v>0.12647153070253547</v>
      </c>
      <c r="AQ163" s="902">
        <f t="shared" ref="AQ163" si="1394">+IFERROR(AQ156/AM156-1,"n/a ")</f>
        <v>0.13907136661770303</v>
      </c>
      <c r="BC163" s="855"/>
      <c r="BD163" s="855"/>
      <c r="BE163" s="855"/>
      <c r="BF163" s="855"/>
      <c r="BG163" s="1177"/>
      <c r="BH163" s="855"/>
      <c r="BI163" s="855">
        <f t="shared" ref="BI163" si="1395">+IFERROR(BI156/BH156-1,"n/a ")</f>
        <v>0.14278613662486661</v>
      </c>
      <c r="BJ163" s="855">
        <f t="shared" ref="BJ163" si="1396">+IFERROR(BJ156/BI156-1,"n/a ")</f>
        <v>0.14029539688292858</v>
      </c>
      <c r="BK163" s="855">
        <f t="shared" ref="BK163" si="1397">+IFERROR(BK156/BJ156-1,"n/a ")</f>
        <v>0.13645574247276371</v>
      </c>
      <c r="BL163" s="855">
        <f t="shared" ref="BL163" si="1398">+IFERROR(BL156/BK156-1,"n/a ")</f>
        <v>0.17531727441177503</v>
      </c>
      <c r="BM163" s="855">
        <f t="shared" ref="BM163" si="1399">+IFERROR(BM156/BL156-1,"n/a ")</f>
        <v>0.17956070629670173</v>
      </c>
      <c r="BN163" s="855">
        <f t="shared" ref="BN163" si="1400">+IFERROR(BN156/BM156-1,"n/a ")</f>
        <v>6.8820295556564215E-2</v>
      </c>
      <c r="BO163" s="855">
        <f t="shared" ref="BO163" si="1401">+IFERROR(BO156/BN156-1,"n/a ")</f>
        <v>0.1566996201307127</v>
      </c>
      <c r="BP163" s="855">
        <f t="shared" ref="BP163" si="1402">+IFERROR(BP156/BO156-1,"n/a ")</f>
        <v>0.13390128445125904</v>
      </c>
      <c r="BR163"/>
      <c r="BS163"/>
    </row>
    <row r="164" spans="2:81" s="7" customFormat="1">
      <c r="B164" s="887" t="s">
        <v>349</v>
      </c>
      <c r="L164" s="855"/>
      <c r="M164" s="855"/>
      <c r="N164" s="855"/>
      <c r="O164" s="855"/>
      <c r="P164" s="855"/>
      <c r="Q164" s="855"/>
      <c r="R164" s="855"/>
      <c r="S164" s="855"/>
      <c r="T164" s="855">
        <f t="shared" ref="T164:AH164" si="1403">+T235</f>
        <v>0.13653555219364599</v>
      </c>
      <c r="U164" s="855">
        <f t="shared" si="1403"/>
        <v>0.13658341289150311</v>
      </c>
      <c r="V164" s="855">
        <f t="shared" si="1403"/>
        <v>0.14556278826338698</v>
      </c>
      <c r="W164" s="855">
        <f t="shared" si="1403"/>
        <v>0.12800664353293589</v>
      </c>
      <c r="X164" s="855">
        <f t="shared" si="1403"/>
        <v>0.12400544546967174</v>
      </c>
      <c r="Y164" s="855">
        <f t="shared" si="1403"/>
        <v>0.16718148810491518</v>
      </c>
      <c r="Z164" s="855">
        <f t="shared" si="1403"/>
        <v>0.19088546871876866</v>
      </c>
      <c r="AA164" s="855">
        <f t="shared" si="1403"/>
        <v>0.21347251071437956</v>
      </c>
      <c r="AB164" s="855">
        <f t="shared" si="1403"/>
        <v>0.21970716477364483</v>
      </c>
      <c r="AC164" s="855">
        <f t="shared" si="1403"/>
        <v>0.2008543040208004</v>
      </c>
      <c r="AD164" s="855">
        <f t="shared" si="1403"/>
        <v>0.18088524432935316</v>
      </c>
      <c r="AE164" s="855">
        <f t="shared" si="1403"/>
        <v>0.11620298145259134</v>
      </c>
      <c r="AF164" s="855">
        <f t="shared" si="1403"/>
        <v>9.8307478429728423E-2</v>
      </c>
      <c r="AG164" s="855">
        <f t="shared" si="1403"/>
        <v>1.29330343334364E-2</v>
      </c>
      <c r="AH164" s="855">
        <f t="shared" si="1403"/>
        <v>6.6119665045921039E-2</v>
      </c>
      <c r="AI164" s="855">
        <f>+AI235</f>
        <v>8.3370288248336921E-2</v>
      </c>
      <c r="AJ164" s="902">
        <f t="shared" ref="AJ164:AQ164" si="1404">+(AJ12-AJ699)/(AF12-AF699)-1</f>
        <v>0.12758868361198683</v>
      </c>
      <c r="AK164" s="902">
        <f t="shared" si="1404"/>
        <v>0.13636794509640349</v>
      </c>
      <c r="AL164" s="902">
        <f t="shared" si="1404"/>
        <v>0.13301927843048222</v>
      </c>
      <c r="AM164" s="902">
        <f t="shared" si="1404"/>
        <v>0.12205235900265166</v>
      </c>
      <c r="AN164" s="902">
        <f t="shared" si="1404"/>
        <v>0.13054479183254597</v>
      </c>
      <c r="AO164" s="902">
        <f t="shared" si="1404"/>
        <v>0.11317321244577894</v>
      </c>
      <c r="AP164" s="902">
        <f t="shared" si="1404"/>
        <v>0.12832914684406616</v>
      </c>
      <c r="AQ164" s="902">
        <f t="shared" si="1404"/>
        <v>0.14091189663368686</v>
      </c>
      <c r="BC164" s="855"/>
      <c r="BD164" s="855"/>
      <c r="BE164" s="855"/>
      <c r="BF164" s="855"/>
      <c r="BG164" s="1177"/>
      <c r="BH164" s="855"/>
      <c r="BI164" s="855">
        <f t="shared" ref="BI164:BO164" si="1405">+BI235</f>
        <v>0.14278613662486661</v>
      </c>
      <c r="BJ164" s="855">
        <f t="shared" si="1405"/>
        <v>0.14029539688292858</v>
      </c>
      <c r="BK164" s="855">
        <f t="shared" si="1405"/>
        <v>0.13645574247276371</v>
      </c>
      <c r="BL164" s="855">
        <f t="shared" si="1405"/>
        <v>0.17531727441177503</v>
      </c>
      <c r="BM164" s="855">
        <f t="shared" si="1405"/>
        <v>0.1767843827836213</v>
      </c>
      <c r="BN164" s="855">
        <f t="shared" si="1405"/>
        <v>6.4112910004875401E-2</v>
      </c>
      <c r="BO164" s="855">
        <f t="shared" si="1405"/>
        <v>0.12966047707807368</v>
      </c>
      <c r="BP164" s="902">
        <f>+(BP12-BP699)/(BO12-BO699)-1</f>
        <v>0.12837125153414286</v>
      </c>
      <c r="BR164"/>
      <c r="BS164"/>
    </row>
    <row r="165" spans="2:81" s="3" customFormat="1">
      <c r="B165" s="888"/>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BC165" s="14"/>
      <c r="BD165" s="14"/>
      <c r="BE165" s="14"/>
      <c r="BF165" s="14"/>
      <c r="BG165" s="14"/>
      <c r="BH165" s="14"/>
      <c r="BI165" s="855"/>
      <c r="BJ165" s="855"/>
      <c r="BK165" s="855"/>
      <c r="BL165" s="855"/>
      <c r="BM165" s="855"/>
      <c r="BN165" s="855"/>
      <c r="BO165" s="855"/>
      <c r="BP165" s="855"/>
      <c r="BR165"/>
      <c r="BS165"/>
    </row>
    <row r="166" spans="2:81" s="3" customFormat="1" ht="10.5">
      <c r="B166" s="883" t="s">
        <v>272</v>
      </c>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330"/>
      <c r="AO166" s="14"/>
      <c r="AP166" s="14"/>
      <c r="AQ166" s="14"/>
      <c r="BC166" s="890"/>
      <c r="BD166" s="890"/>
      <c r="BE166" s="890"/>
      <c r="BF166" s="890"/>
      <c r="BG166" s="890"/>
      <c r="BH166" s="14"/>
      <c r="BI166" s="855"/>
      <c r="BJ166" s="855"/>
      <c r="BK166" s="855"/>
      <c r="BL166" s="855"/>
      <c r="BM166" s="855"/>
      <c r="BN166" s="855"/>
      <c r="BO166" s="855"/>
      <c r="BP166" s="855"/>
      <c r="BR166" s="1"/>
      <c r="BS166" s="1"/>
    </row>
    <row r="167" spans="2:81" s="3" customFormat="1">
      <c r="B167" s="884" t="s">
        <v>340</v>
      </c>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14"/>
      <c r="AK167" s="14"/>
      <c r="AL167" s="14"/>
      <c r="AM167" s="14"/>
      <c r="AN167" s="1330">
        <v>0.128</v>
      </c>
      <c r="AO167" s="23"/>
      <c r="AP167" s="23"/>
      <c r="AQ167" s="23"/>
      <c r="AR167" s="21"/>
      <c r="AS167" s="21"/>
      <c r="AT167" s="21"/>
      <c r="AU167" s="21"/>
      <c r="AV167" s="21"/>
      <c r="AW167" s="21"/>
      <c r="AX167" s="21"/>
      <c r="AY167" s="21"/>
      <c r="AZ167" s="21"/>
      <c r="BA167" s="21"/>
      <c r="BB167" s="21"/>
      <c r="BC167" s="891"/>
      <c r="BD167" s="891"/>
      <c r="BE167" s="891"/>
      <c r="BF167" s="891"/>
      <c r="BG167" s="829"/>
      <c r="BH167" s="23"/>
      <c r="BI167" s="855"/>
      <c r="BJ167" s="855"/>
      <c r="BK167" s="855"/>
      <c r="BL167" s="855"/>
      <c r="BM167" s="855"/>
      <c r="BN167" s="855"/>
      <c r="BO167" s="855"/>
      <c r="BP167" s="855"/>
    </row>
    <row r="168" spans="2:81" s="3" customFormat="1">
      <c r="B168" s="884" t="s">
        <v>342</v>
      </c>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14"/>
      <c r="AK168" s="14"/>
      <c r="AL168" s="14"/>
      <c r="AM168" s="14"/>
      <c r="AN168" s="1330">
        <v>0.20799999999999999</v>
      </c>
      <c r="AO168" s="23"/>
      <c r="AP168" s="23"/>
      <c r="AQ168" s="23"/>
      <c r="AR168" s="21"/>
      <c r="AS168" s="21"/>
      <c r="AT168" s="21"/>
      <c r="AU168" s="21"/>
      <c r="AV168" s="21"/>
      <c r="AW168" s="21"/>
      <c r="AX168" s="21"/>
      <c r="AY168" s="21"/>
      <c r="AZ168" s="21"/>
      <c r="BA168" s="21"/>
      <c r="BB168" s="21"/>
      <c r="BC168" s="891"/>
      <c r="BD168" s="891"/>
      <c r="BE168" s="891"/>
      <c r="BF168" s="891"/>
      <c r="BG168" s="829"/>
      <c r="BH168" s="23"/>
      <c r="BI168" s="855"/>
      <c r="BJ168" s="855"/>
      <c r="BK168" s="855"/>
      <c r="BL168" s="855"/>
      <c r="BM168" s="855"/>
      <c r="BN168" s="855"/>
      <c r="BO168" s="855"/>
      <c r="BP168" s="855"/>
    </row>
    <row r="169" spans="2:81" s="3" customFormat="1" ht="11.45">
      <c r="B169" s="884" t="s">
        <v>344</v>
      </c>
      <c r="C169" s="1083"/>
      <c r="D169" s="1083"/>
      <c r="E169" s="1083"/>
      <c r="F169" s="1083"/>
      <c r="G169" s="1083"/>
      <c r="H169" s="1083"/>
      <c r="I169" s="1083"/>
      <c r="J169" s="1083"/>
      <c r="K169" s="1083"/>
      <c r="L169" s="1083"/>
      <c r="M169" s="1083"/>
      <c r="N169" s="1083"/>
      <c r="O169" s="1083"/>
      <c r="P169" s="1083"/>
      <c r="Q169" s="1083"/>
      <c r="R169" s="1083"/>
      <c r="S169" s="1083"/>
      <c r="T169" s="1083"/>
      <c r="U169" s="1083"/>
      <c r="V169" s="1083"/>
      <c r="W169" s="1083"/>
      <c r="X169" s="1083"/>
      <c r="Y169" s="1083"/>
      <c r="Z169" s="1083"/>
      <c r="AA169" s="1083"/>
      <c r="AB169" s="1083"/>
      <c r="AC169" s="1083"/>
      <c r="AD169" s="1083"/>
      <c r="AE169" s="1083"/>
      <c r="AF169" s="1083"/>
      <c r="AG169" s="1083"/>
      <c r="AH169" s="1083"/>
      <c r="AI169" s="1083"/>
      <c r="AJ169" s="14"/>
      <c r="AK169" s="14"/>
      <c r="AL169" s="14"/>
      <c r="AM169" s="14"/>
      <c r="AN169" s="1331">
        <v>0.16800000000000001</v>
      </c>
      <c r="AO169" s="1083"/>
      <c r="AP169" s="1083"/>
      <c r="AQ169" s="1083"/>
      <c r="AR169" s="1083"/>
      <c r="AS169" s="1083"/>
      <c r="AT169" s="1083"/>
      <c r="AU169" s="1083"/>
      <c r="AV169" s="1083"/>
      <c r="AW169" s="1083"/>
      <c r="AX169" s="1083"/>
      <c r="AY169" s="1083"/>
      <c r="AZ169" s="1083"/>
      <c r="BA169" s="1083"/>
      <c r="BB169" s="1083"/>
      <c r="BC169" s="1083"/>
      <c r="BD169" s="1083"/>
      <c r="BE169" s="1083"/>
      <c r="BF169" s="1083"/>
      <c r="BG169" s="908"/>
      <c r="BH169" s="1083"/>
      <c r="BI169" s="855"/>
      <c r="BJ169" s="855"/>
      <c r="BK169" s="855"/>
      <c r="BL169" s="855"/>
      <c r="BM169" s="855"/>
      <c r="BN169" s="855"/>
      <c r="BO169" s="855"/>
      <c r="BP169" s="855"/>
      <c r="BU169"/>
      <c r="BV169"/>
      <c r="BX169" s="892"/>
      <c r="BY169" s="885"/>
      <c r="CA169" s="1081"/>
      <c r="CB169" s="1080"/>
      <c r="CC169" s="885"/>
    </row>
    <row r="170" spans="2:81" s="839" customFormat="1" ht="11.45" hidden="1" outlineLevel="1">
      <c r="B170" s="884" t="s">
        <v>345</v>
      </c>
      <c r="L170" s="840"/>
      <c r="M170" s="840"/>
      <c r="N170" s="840"/>
      <c r="O170" s="840"/>
      <c r="P170" s="840"/>
      <c r="Q170" s="840"/>
      <c r="R170" s="840"/>
      <c r="S170" s="840"/>
      <c r="T170" s="840"/>
      <c r="U170" s="840"/>
      <c r="V170" s="840"/>
      <c r="W170" s="840"/>
      <c r="X170" s="840"/>
      <c r="Y170" s="840"/>
      <c r="Z170" s="840"/>
      <c r="AA170" s="840"/>
      <c r="AB170" s="840"/>
      <c r="AC170" s="840"/>
      <c r="AD170" s="840"/>
      <c r="AE170" s="840"/>
      <c r="AF170" s="840"/>
      <c r="AG170" s="840"/>
      <c r="AH170" s="14"/>
      <c r="AI170" s="14"/>
      <c r="AJ170" s="935"/>
      <c r="AK170" s="935"/>
      <c r="AL170" s="935"/>
      <c r="AM170" s="935"/>
      <c r="AN170" s="840">
        <f t="shared" ref="AN170" si="1406">+IFERROR(AN163/AJ163-1,"NA ")</f>
        <v>0.25753550001900027</v>
      </c>
      <c r="AO170" s="14"/>
      <c r="AP170" s="14"/>
      <c r="AQ170" s="14"/>
      <c r="BC170" s="840"/>
      <c r="BD170" s="840"/>
      <c r="BE170" s="840"/>
      <c r="BF170" s="893"/>
      <c r="BG170" s="829"/>
      <c r="BH170" s="840"/>
      <c r="BI170" s="855"/>
      <c r="BJ170" s="855"/>
      <c r="BK170" s="855"/>
      <c r="BL170" s="855"/>
      <c r="BM170" s="855"/>
      <c r="BN170" s="855"/>
      <c r="BO170" s="855"/>
      <c r="BP170" s="855"/>
    </row>
    <row r="171" spans="2:81" s="7" customFormat="1" collapsed="1">
      <c r="B171" s="887" t="str">
        <f>+B163</f>
        <v>Total Revenue</v>
      </c>
      <c r="L171" s="895"/>
      <c r="M171" s="895"/>
      <c r="N171" s="895"/>
      <c r="O171" s="895"/>
      <c r="P171" s="895"/>
      <c r="Q171" s="895"/>
      <c r="R171" s="895"/>
      <c r="S171" s="895"/>
      <c r="T171" s="855">
        <f t="shared" ref="T171:AI171" si="1407">+T14</f>
        <v>0.15429033145372026</v>
      </c>
      <c r="U171" s="855">
        <f t="shared" si="1407"/>
        <v>0.15197037356410337</v>
      </c>
      <c r="V171" s="855">
        <f t="shared" si="1407"/>
        <v>0.15910928657878379</v>
      </c>
      <c r="W171" s="855">
        <f t="shared" si="1407"/>
        <v>0.14502413322656227</v>
      </c>
      <c r="X171" s="855">
        <f t="shared" si="1407"/>
        <v>0.12050704885796401</v>
      </c>
      <c r="Y171" s="855">
        <f t="shared" si="1407"/>
        <v>0.15363536010404813</v>
      </c>
      <c r="Z171" s="855">
        <f t="shared" si="1407"/>
        <v>0.16171448844978725</v>
      </c>
      <c r="AA171" s="855">
        <f t="shared" si="1407"/>
        <v>0.17445905660873451</v>
      </c>
      <c r="AB171" s="855">
        <f t="shared" si="1407"/>
        <v>0.20385421219787908</v>
      </c>
      <c r="AC171" s="855">
        <f t="shared" si="1407"/>
        <v>0.20078497539232981</v>
      </c>
      <c r="AD171" s="855">
        <f t="shared" si="1407"/>
        <v>0.20149706517047911</v>
      </c>
      <c r="AE171" s="902">
        <f t="shared" si="1407"/>
        <v>0.16459280637892182</v>
      </c>
      <c r="AF171" s="902">
        <f t="shared" si="1407"/>
        <v>0.15702183948628548</v>
      </c>
      <c r="AG171" s="855">
        <f t="shared" si="1407"/>
        <v>7.2159387565728428E-2</v>
      </c>
      <c r="AH171" s="902">
        <f t="shared" si="1407"/>
        <v>0.10162370340356562</v>
      </c>
      <c r="AI171" s="902">
        <f t="shared" si="1407"/>
        <v>9.8637809698255086E-2</v>
      </c>
      <c r="AJ171" s="902">
        <f t="shared" ref="AJ171:AL171" si="1408">+AJ14</f>
        <v>0.12288664059694347</v>
      </c>
      <c r="AK171" s="902">
        <f t="shared" si="1408"/>
        <v>0.16473771020152805</v>
      </c>
      <c r="AL171" s="902">
        <f t="shared" si="1408"/>
        <v>0.16792691034300095</v>
      </c>
      <c r="AM171" s="902">
        <f>+AM14</f>
        <v>0.16268447382939721</v>
      </c>
      <c r="AN171" s="902">
        <f>+SUMPRODUCT(AN167:AN169,AJ152:AJ154)/SUM(AJ152:AJ154)</f>
        <v>0.16431049064883133</v>
      </c>
      <c r="AO171" s="855">
        <f>+AO14</f>
        <v>0.11315503479674183</v>
      </c>
      <c r="AP171" s="855">
        <f t="shared" ref="AP171:AQ171" si="1409">+AP14</f>
        <v>0.14252796184915151</v>
      </c>
      <c r="AQ171" s="855">
        <f t="shared" si="1409"/>
        <v>0.14933871065351667</v>
      </c>
      <c r="AR171" s="896"/>
      <c r="AS171" s="896"/>
      <c r="AT171" s="896"/>
      <c r="AU171" s="896"/>
      <c r="AV171" s="896"/>
      <c r="AW171" s="896"/>
      <c r="AX171" s="896"/>
      <c r="AY171" s="896"/>
      <c r="AZ171" s="896"/>
      <c r="BA171" s="896"/>
      <c r="BB171" s="896"/>
      <c r="BC171" s="897"/>
      <c r="BD171" s="897"/>
      <c r="BE171" s="897"/>
      <c r="BF171" s="897"/>
      <c r="BG171" s="1177"/>
      <c r="BH171" s="895"/>
      <c r="BI171" s="855">
        <f t="shared" ref="BI171:BP171" si="1410">+BI14</f>
        <v>0.12866916569156372</v>
      </c>
      <c r="BJ171" s="855">
        <f t="shared" si="1410"/>
        <v>0.15088356288510332</v>
      </c>
      <c r="BK171" s="855">
        <f t="shared" si="1410"/>
        <v>0.15238217445818814</v>
      </c>
      <c r="BL171" s="855">
        <f t="shared" si="1410"/>
        <v>0.1534946089571024</v>
      </c>
      <c r="BM171" s="855">
        <f t="shared" si="1410"/>
        <v>0.19170277949645423</v>
      </c>
      <c r="BN171" s="855">
        <f t="shared" si="1410"/>
        <v>0.1058173979926363</v>
      </c>
      <c r="BO171" s="855">
        <f t="shared" si="1410"/>
        <v>0.15509017672179884</v>
      </c>
      <c r="BP171" s="855">
        <f t="shared" si="1410"/>
        <v>0.14191689300278601</v>
      </c>
    </row>
    <row r="172" spans="2:81" hidden="1" outlineLevel="1">
      <c r="AJ172" s="934"/>
      <c r="AK172" s="1326"/>
      <c r="AL172" s="1326"/>
      <c r="AM172" s="1326"/>
      <c r="AN172" s="1326"/>
      <c r="AO172" s="895"/>
      <c r="AP172" s="895"/>
      <c r="AQ172" s="895"/>
      <c r="BI172" s="855"/>
      <c r="BJ172" s="855"/>
      <c r="BK172" s="855"/>
      <c r="BL172" s="855"/>
      <c r="BM172" s="855"/>
      <c r="BN172" s="855"/>
      <c r="BO172" s="855"/>
      <c r="BP172" s="855"/>
    </row>
    <row r="173" spans="2:81" s="3" customFormat="1" ht="13.5" hidden="1" outlineLevel="1">
      <c r="B173" s="883" t="s">
        <v>350</v>
      </c>
      <c r="L173" s="6"/>
      <c r="M173" s="6"/>
      <c r="N173" s="6"/>
      <c r="O173" s="6"/>
      <c r="X173" s="6"/>
      <c r="Y173" s="6"/>
      <c r="Z173" s="6"/>
      <c r="AA173" s="6"/>
      <c r="AB173" s="6"/>
      <c r="AC173" s="6"/>
      <c r="AD173" s="6"/>
      <c r="AE173" s="6"/>
      <c r="AF173" s="6"/>
      <c r="AG173" s="6"/>
      <c r="AH173" s="6"/>
      <c r="AI173" s="6"/>
      <c r="AJ173" s="1327"/>
      <c r="AK173" s="1326"/>
      <c r="AL173" s="1326"/>
      <c r="AM173" s="1326"/>
      <c r="AN173" s="1326"/>
      <c r="AO173" s="895"/>
      <c r="AP173" s="895"/>
      <c r="AQ173" s="895"/>
      <c r="BI173" s="855"/>
      <c r="BJ173" s="855"/>
      <c r="BK173" s="855"/>
      <c r="BL173" s="855"/>
      <c r="BM173" s="855"/>
      <c r="BN173" s="855"/>
      <c r="BO173" s="855"/>
      <c r="BP173" s="855"/>
      <c r="BS173"/>
    </row>
    <row r="174" spans="2:81" s="3" customFormat="1" hidden="1" outlineLevel="1">
      <c r="B174" s="884" t="str">
        <f>+B167</f>
        <v>Productivity and Business Processes</v>
      </c>
      <c r="L174" s="890"/>
      <c r="M174" s="890"/>
      <c r="N174" s="890"/>
      <c r="O174" s="890"/>
      <c r="X174" s="890"/>
      <c r="Y174" s="890"/>
      <c r="Z174" s="890"/>
      <c r="AA174" s="890"/>
      <c r="AB174" s="890"/>
      <c r="AC174" s="890"/>
      <c r="AD174" s="890"/>
      <c r="AE174" s="890"/>
      <c r="AF174" s="890"/>
      <c r="AG174" s="890"/>
      <c r="AH174" s="890"/>
      <c r="AI174" s="890"/>
      <c r="AJ174" s="1328"/>
      <c r="AK174" s="1326"/>
      <c r="AL174" s="1326"/>
      <c r="AM174" s="1326"/>
      <c r="AN174" s="1326"/>
      <c r="AO174" s="895"/>
      <c r="AP174" s="895"/>
      <c r="AQ174" s="895"/>
      <c r="BC174" s="14"/>
      <c r="BD174" s="14"/>
      <c r="BE174" s="890"/>
      <c r="BF174" s="14"/>
      <c r="BG174" s="14"/>
      <c r="BH174" s="14"/>
      <c r="BI174" s="855"/>
      <c r="BJ174" s="855"/>
      <c r="BK174" s="855"/>
      <c r="BL174" s="855"/>
      <c r="BM174" s="855"/>
      <c r="BN174" s="855"/>
      <c r="BO174" s="855"/>
      <c r="BP174" s="855"/>
      <c r="BU174" s="839"/>
    </row>
    <row r="175" spans="2:81" s="3" customFormat="1" hidden="1" outlineLevel="1">
      <c r="B175" s="884" t="str">
        <f>+B168</f>
        <v>Intelligent Cloud</v>
      </c>
      <c r="L175" s="890"/>
      <c r="M175" s="890"/>
      <c r="N175" s="890"/>
      <c r="O175" s="890"/>
      <c r="X175" s="890"/>
      <c r="Y175" s="890"/>
      <c r="Z175" s="890"/>
      <c r="AA175" s="890"/>
      <c r="AB175" s="890"/>
      <c r="AC175" s="890"/>
      <c r="AD175" s="890"/>
      <c r="AE175" s="890"/>
      <c r="AF175" s="890"/>
      <c r="AG175" s="890"/>
      <c r="AH175" s="890"/>
      <c r="AI175" s="890"/>
      <c r="AJ175" s="1328"/>
      <c r="AK175" s="1326"/>
      <c r="AL175" s="1326"/>
      <c r="AM175" s="1326"/>
      <c r="AN175" s="1326"/>
      <c r="AO175" s="895"/>
      <c r="AP175" s="895"/>
      <c r="AQ175" s="895"/>
      <c r="BC175" s="14"/>
      <c r="BD175" s="14"/>
      <c r="BE175" s="890"/>
      <c r="BF175" s="14"/>
      <c r="BG175" s="14"/>
      <c r="BH175" s="14"/>
      <c r="BI175" s="855"/>
      <c r="BJ175" s="855"/>
      <c r="BK175" s="855"/>
      <c r="BL175" s="855"/>
      <c r="BM175" s="855"/>
      <c r="BN175" s="855"/>
      <c r="BO175" s="855"/>
      <c r="BP175" s="855"/>
    </row>
    <row r="176" spans="2:81" s="839" customFormat="1" ht="11.45" hidden="1" outlineLevel="1">
      <c r="B176" s="884" t="str">
        <f>+B169</f>
        <v>More Personal Computing</v>
      </c>
      <c r="L176" s="840"/>
      <c r="M176" s="840"/>
      <c r="N176" s="840"/>
      <c r="O176" s="840"/>
      <c r="X176" s="840"/>
      <c r="Y176" s="840"/>
      <c r="Z176" s="840"/>
      <c r="AA176" s="840"/>
      <c r="AB176" s="840"/>
      <c r="AC176" s="840"/>
      <c r="AD176" s="840"/>
      <c r="AE176" s="840"/>
      <c r="AF176" s="840"/>
      <c r="AG176" s="840"/>
      <c r="AH176" s="840"/>
      <c r="AI176" s="840"/>
      <c r="AJ176" s="1325"/>
      <c r="AK176" s="1326"/>
      <c r="AL176" s="1326"/>
      <c r="AM176" s="1326"/>
      <c r="AN176" s="1326"/>
      <c r="AO176" s="895"/>
      <c r="AP176" s="895"/>
      <c r="AQ176" s="895"/>
      <c r="AR176" s="840"/>
      <c r="AS176" s="840"/>
      <c r="AT176" s="840"/>
      <c r="AU176" s="840"/>
      <c r="AV176" s="840"/>
      <c r="AW176" s="840"/>
      <c r="AX176" s="840"/>
      <c r="AY176" s="840"/>
      <c r="AZ176" s="840"/>
      <c r="BA176" s="840"/>
      <c r="BB176" s="840"/>
      <c r="BC176" s="840"/>
      <c r="BD176" s="840"/>
      <c r="BE176" s="840"/>
      <c r="BF176" s="840"/>
      <c r="BG176" s="840"/>
      <c r="BH176" s="840"/>
      <c r="BI176" s="855"/>
      <c r="BJ176" s="855"/>
      <c r="BK176" s="855"/>
      <c r="BL176" s="855"/>
      <c r="BM176" s="855"/>
      <c r="BN176" s="855"/>
      <c r="BO176" s="855"/>
      <c r="BP176" s="855"/>
      <c r="BR176" s="852"/>
      <c r="BS176" s="852"/>
      <c r="BU176" s="852"/>
      <c r="BV176" s="852"/>
      <c r="BW176" s="901"/>
      <c r="BY176" s="901"/>
    </row>
    <row r="177" spans="2:77" s="7" customFormat="1" hidden="1" outlineLevel="1">
      <c r="B177" s="887" t="str">
        <f>+B171</f>
        <v>Total Revenue</v>
      </c>
      <c r="L177" s="902"/>
      <c r="M177" s="902"/>
      <c r="N177" s="902"/>
      <c r="O177" s="902"/>
      <c r="X177" s="902"/>
      <c r="Y177" s="902"/>
      <c r="Z177" s="902"/>
      <c r="AA177" s="902"/>
      <c r="AB177" s="902"/>
      <c r="AC177" s="902"/>
      <c r="AD177" s="902"/>
      <c r="AE177" s="902"/>
      <c r="AF177" s="902"/>
      <c r="AG177" s="902"/>
      <c r="AH177" s="902"/>
      <c r="AI177" s="902"/>
      <c r="AJ177" s="1329"/>
      <c r="AK177" s="1326"/>
      <c r="AL177" s="1326"/>
      <c r="AM177" s="1326"/>
      <c r="AN177" s="1326"/>
      <c r="AO177" s="895"/>
      <c r="AP177" s="895"/>
      <c r="AQ177" s="895"/>
      <c r="BC177" s="855"/>
      <c r="BD177" s="855"/>
      <c r="BE177" s="902"/>
      <c r="BF177" s="855"/>
      <c r="BG177" s="855"/>
      <c r="BH177" s="855"/>
      <c r="BI177" s="855"/>
      <c r="BJ177" s="855"/>
      <c r="BK177" s="855"/>
      <c r="BL177" s="855"/>
      <c r="BM177" s="855"/>
      <c r="BN177" s="855"/>
      <c r="BO177" s="855"/>
      <c r="BP177" s="855"/>
      <c r="BR177"/>
      <c r="BS177"/>
      <c r="BT177" s="3"/>
      <c r="BU177" s="839"/>
      <c r="BV177" s="839"/>
      <c r="BW177" s="885"/>
      <c r="BX177" s="839"/>
      <c r="BY177" s="885"/>
    </row>
    <row r="178" spans="2:77" s="7" customFormat="1" outlineLevel="1">
      <c r="B178" s="887" t="s">
        <v>349</v>
      </c>
      <c r="L178" s="902"/>
      <c r="M178" s="902"/>
      <c r="N178" s="902"/>
      <c r="O178" s="902"/>
      <c r="T178" s="855">
        <f t="shared" ref="T178:AA178" si="1411">+T171</f>
        <v>0.15429033145372026</v>
      </c>
      <c r="U178" s="855">
        <f t="shared" si="1411"/>
        <v>0.15197037356410337</v>
      </c>
      <c r="V178" s="855">
        <f t="shared" si="1411"/>
        <v>0.15910928657878379</v>
      </c>
      <c r="W178" s="855">
        <f t="shared" si="1411"/>
        <v>0.14502413322656227</v>
      </c>
      <c r="X178" s="855">
        <f t="shared" si="1411"/>
        <v>0.12050704885796401</v>
      </c>
      <c r="Y178" s="855">
        <f t="shared" si="1411"/>
        <v>0.15363536010404813</v>
      </c>
      <c r="Z178" s="855">
        <f t="shared" si="1411"/>
        <v>0.16171448844978725</v>
      </c>
      <c r="AA178" s="855">
        <f t="shared" si="1411"/>
        <v>0.17445905660873451</v>
      </c>
      <c r="AB178" s="855">
        <f>+AB171</f>
        <v>0.20385421219787908</v>
      </c>
      <c r="AC178" s="855">
        <f t="shared" ref="AC178:AM178" si="1412">+AC15</f>
        <v>0.20078497539232981</v>
      </c>
      <c r="AD178" s="855">
        <f t="shared" si="1412"/>
        <v>0.19885955498009894</v>
      </c>
      <c r="AE178" s="902">
        <f t="shared" si="1412"/>
        <v>0.15700916970012113</v>
      </c>
      <c r="AF178" s="902">
        <f t="shared" si="1412"/>
        <v>0.14929846856588047</v>
      </c>
      <c r="AG178" s="855">
        <f t="shared" si="1412"/>
        <v>6.5393226105784075E-2</v>
      </c>
      <c r="AH178" s="902">
        <f t="shared" si="1412"/>
        <v>9.6896528903295476E-2</v>
      </c>
      <c r="AI178" s="902">
        <f t="shared" si="1412"/>
        <v>9.8637809698255086E-2</v>
      </c>
      <c r="AJ178" s="902">
        <f t="shared" si="1412"/>
        <v>0.12288664059694347</v>
      </c>
      <c r="AK178" s="902">
        <f t="shared" si="1412"/>
        <v>0.12530418791590037</v>
      </c>
      <c r="AL178" s="902">
        <f t="shared" si="1412"/>
        <v>0.13065653934199822</v>
      </c>
      <c r="AM178" s="902">
        <f t="shared" si="1412"/>
        <v>0.13278538326006861</v>
      </c>
      <c r="AN178" s="902">
        <f>+AN15</f>
        <v>0.13440798343861141</v>
      </c>
      <c r="AO178" s="902">
        <f t="shared" ref="AO178:AQ178" si="1413">+AO15</f>
        <v>0.11425594568729491</v>
      </c>
      <c r="AP178" s="902">
        <f t="shared" si="1413"/>
        <v>0.14405663062226104</v>
      </c>
      <c r="AQ178" s="902">
        <f t="shared" si="1413"/>
        <v>0.15091277279632664</v>
      </c>
      <c r="BC178" s="895"/>
      <c r="BD178" s="895"/>
      <c r="BE178" s="895"/>
      <c r="BF178" s="895"/>
      <c r="BG178" s="895"/>
      <c r="BH178" s="895"/>
      <c r="BI178" s="855">
        <f t="shared" ref="BI178:BP178" si="1414">+BI15</f>
        <v>0.12866916569156372</v>
      </c>
      <c r="BJ178" s="855">
        <f t="shared" si="1414"/>
        <v>0.1508835628851033</v>
      </c>
      <c r="BK178" s="855">
        <f t="shared" si="1414"/>
        <v>0.15208497890228301</v>
      </c>
      <c r="BL178" s="855">
        <f t="shared" si="1414"/>
        <v>0.1534946089571024</v>
      </c>
      <c r="BM178" s="855">
        <f t="shared" si="1414"/>
        <v>0.18958755731124965</v>
      </c>
      <c r="BN178" s="855">
        <f t="shared" si="1414"/>
        <v>0.10029775894823553</v>
      </c>
      <c r="BO178" s="855">
        <f t="shared" si="1414"/>
        <v>0.12805103366915982</v>
      </c>
      <c r="BP178" s="855">
        <f t="shared" si="1414"/>
        <v>0.13614750371620046</v>
      </c>
      <c r="BR178"/>
      <c r="BS178"/>
      <c r="BT178" s="3"/>
      <c r="BU178" s="839"/>
      <c r="BV178" s="839"/>
      <c r="BW178" s="885"/>
      <c r="BX178" s="839"/>
      <c r="BY178" s="885"/>
    </row>
    <row r="179" spans="2:77" ht="10.5">
      <c r="T179" s="855"/>
      <c r="U179" s="855"/>
      <c r="V179" s="855"/>
      <c r="W179" s="855"/>
      <c r="X179" s="855"/>
      <c r="Y179" s="855"/>
      <c r="Z179" s="855"/>
      <c r="AA179" s="855"/>
      <c r="AB179" s="855"/>
      <c r="AC179" s="855"/>
      <c r="AD179" s="855"/>
      <c r="AE179" s="902"/>
      <c r="AF179" s="902"/>
      <c r="AG179" s="855"/>
      <c r="AH179" s="902"/>
      <c r="AI179" s="902"/>
      <c r="AJ179" s="902"/>
      <c r="AK179" s="902"/>
      <c r="AL179" s="902"/>
      <c r="AM179" s="902"/>
      <c r="AN179" s="902"/>
      <c r="AO179" s="838"/>
      <c r="AP179" s="838"/>
      <c r="AQ179" s="838"/>
      <c r="BI179" s="855"/>
      <c r="BJ179" s="855"/>
      <c r="BK179" s="855"/>
      <c r="BL179" s="855"/>
      <c r="BM179" s="855"/>
      <c r="BN179" s="855"/>
      <c r="BO179" s="855"/>
      <c r="BP179" s="855"/>
      <c r="BT179" s="3"/>
      <c r="BU179" s="899"/>
      <c r="BV179" s="899"/>
      <c r="BX179" s="899"/>
      <c r="BY179" s="900"/>
    </row>
    <row r="180" spans="2:77" s="1337" customFormat="1" hidden="1" outlineLevel="1">
      <c r="B180" s="1336" t="s">
        <v>127</v>
      </c>
      <c r="L180" s="1247"/>
      <c r="M180" s="1247"/>
      <c r="N180" s="1247"/>
      <c r="O180" s="1247"/>
      <c r="P180" s="1247"/>
      <c r="Q180" s="1247"/>
      <c r="R180" s="1247"/>
      <c r="S180" s="1247"/>
      <c r="T180" s="1338"/>
      <c r="U180" s="1338"/>
      <c r="V180" s="1338"/>
      <c r="W180" s="1338"/>
      <c r="X180" s="1338"/>
      <c r="Y180" s="1338"/>
      <c r="Z180" s="1338"/>
      <c r="AA180" s="1338"/>
      <c r="AB180" s="1338"/>
      <c r="AC180" s="1338"/>
      <c r="AD180" s="1338"/>
      <c r="AE180" s="1339"/>
      <c r="AF180" s="1339"/>
      <c r="AG180" s="1338"/>
      <c r="AH180" s="1339"/>
      <c r="AI180" s="1339"/>
      <c r="AJ180" s="1339"/>
      <c r="AK180" s="1339"/>
      <c r="AL180" s="1339"/>
      <c r="AM180" s="1339"/>
      <c r="AN180" s="1339"/>
      <c r="AO180" s="1247"/>
      <c r="AP180" s="1247"/>
      <c r="AQ180" s="1247"/>
      <c r="BC180" s="1247"/>
      <c r="BD180" s="1247"/>
      <c r="BE180" s="1247"/>
      <c r="BF180" s="1247"/>
      <c r="BG180" s="1247"/>
      <c r="BH180" s="1247"/>
      <c r="BI180" s="1338"/>
      <c r="BJ180" s="1338"/>
      <c r="BK180" s="1338"/>
      <c r="BL180" s="1338"/>
      <c r="BM180" s="1338"/>
      <c r="BN180" s="1338"/>
      <c r="BO180" s="1338"/>
      <c r="BP180" s="1338"/>
      <c r="BR180" s="1077"/>
      <c r="BS180" s="1077"/>
    </row>
    <row r="181" spans="2:77" s="1337" customFormat="1" hidden="1" outlineLevel="1">
      <c r="B181" s="1340" t="s">
        <v>351</v>
      </c>
      <c r="L181" s="1332"/>
      <c r="M181" s="1332"/>
      <c r="N181" s="1332"/>
      <c r="O181" s="1332"/>
      <c r="P181" s="1332"/>
      <c r="Q181" s="1332"/>
      <c r="R181" s="1332"/>
      <c r="S181" s="1332"/>
      <c r="T181" s="1332"/>
      <c r="U181" s="1332"/>
      <c r="V181" s="1332"/>
      <c r="W181" s="1332"/>
      <c r="X181" s="1332"/>
      <c r="Y181" s="1332"/>
      <c r="Z181" s="1332"/>
      <c r="AA181" s="1332"/>
      <c r="AB181" s="1332"/>
      <c r="AC181" s="1332"/>
      <c r="AD181" s="1332"/>
      <c r="AE181" s="1334"/>
      <c r="AF181" s="1334"/>
      <c r="AG181" s="1332"/>
      <c r="AH181" s="1334"/>
      <c r="AI181" s="1334"/>
      <c r="AJ181" s="1334"/>
      <c r="AK181" s="1334"/>
      <c r="AL181" s="1334"/>
      <c r="AM181" s="1334"/>
      <c r="AN181" s="1339"/>
      <c r="AO181" s="1332"/>
      <c r="AP181" s="1332"/>
      <c r="AQ181" s="1332"/>
      <c r="AR181" s="1333"/>
      <c r="AS181" s="1333"/>
      <c r="AT181" s="1333"/>
      <c r="AU181" s="1333"/>
      <c r="AV181" s="1333"/>
      <c r="AW181" s="1333"/>
      <c r="AX181" s="1333"/>
      <c r="AY181" s="1333"/>
      <c r="AZ181" s="1333"/>
      <c r="BA181" s="1333"/>
      <c r="BB181" s="1333"/>
      <c r="BC181" s="1334"/>
      <c r="BD181" s="1334"/>
      <c r="BE181" s="1334"/>
      <c r="BF181" s="1334"/>
      <c r="BG181" s="1335"/>
      <c r="BH181" s="1332"/>
      <c r="BI181" s="1332"/>
      <c r="BJ181" s="1332"/>
      <c r="BK181" s="1332"/>
      <c r="BL181" s="1332"/>
      <c r="BM181" s="1332"/>
      <c r="BN181" s="1332"/>
      <c r="BO181" s="1332"/>
      <c r="BP181" s="1338"/>
    </row>
    <row r="182" spans="2:77" s="1337" customFormat="1" hidden="1" outlineLevel="1">
      <c r="B182" s="1341"/>
      <c r="L182" s="1247"/>
      <c r="M182" s="1247"/>
      <c r="N182" s="1247"/>
      <c r="O182" s="1247"/>
      <c r="P182" s="1247"/>
      <c r="Q182" s="1247"/>
      <c r="R182" s="1247"/>
      <c r="S182" s="1247"/>
      <c r="T182" s="1338"/>
      <c r="U182" s="1338"/>
      <c r="V182" s="1338"/>
      <c r="W182" s="1338"/>
      <c r="X182" s="1338"/>
      <c r="Y182" s="1338"/>
      <c r="Z182" s="1338"/>
      <c r="AA182" s="1338"/>
      <c r="AB182" s="1338"/>
      <c r="AC182" s="1338"/>
      <c r="AD182" s="1338"/>
      <c r="AE182" s="1339"/>
      <c r="AF182" s="1339"/>
      <c r="AG182" s="1338"/>
      <c r="AH182" s="1339"/>
      <c r="AI182" s="1339"/>
      <c r="AJ182" s="1339"/>
      <c r="AK182" s="1339"/>
      <c r="AL182" s="1339"/>
      <c r="AM182" s="1339"/>
      <c r="AN182" s="1339"/>
      <c r="AO182" s="1247"/>
      <c r="AP182" s="1247"/>
      <c r="AQ182" s="1247"/>
      <c r="BC182" s="1247"/>
      <c r="BD182" s="1247"/>
      <c r="BE182" s="1247"/>
      <c r="BF182" s="1247"/>
      <c r="BG182" s="1247"/>
      <c r="BH182" s="1247"/>
      <c r="BI182" s="1247"/>
      <c r="BJ182" s="1247"/>
      <c r="BK182" s="1247"/>
      <c r="BL182" s="1247"/>
      <c r="BM182" s="1247"/>
      <c r="BN182" s="1247"/>
      <c r="BO182" s="1247"/>
      <c r="BP182" s="1247"/>
      <c r="BR182" s="1077"/>
      <c r="BS182" s="1077"/>
    </row>
    <row r="183" spans="2:77" ht="10.5" collapsed="1">
      <c r="B183" s="45" t="s">
        <v>352</v>
      </c>
      <c r="AG183" s="880"/>
      <c r="AH183" s="880"/>
      <c r="AI183" s="880"/>
      <c r="AJ183" s="880"/>
      <c r="AK183" s="880"/>
      <c r="AL183" s="880"/>
      <c r="AM183" s="880"/>
      <c r="AN183" s="880"/>
      <c r="AO183" s="880"/>
      <c r="AP183" s="880"/>
      <c r="AQ183" s="880"/>
    </row>
    <row r="184" spans="2:77">
      <c r="B184" t="s">
        <v>340</v>
      </c>
      <c r="H184" s="879"/>
      <c r="I184" s="879"/>
      <c r="J184" s="879"/>
      <c r="K184" s="879"/>
      <c r="L184" s="879"/>
      <c r="M184" s="879"/>
      <c r="N184" s="879"/>
      <c r="O184" s="879"/>
      <c r="P184" s="879"/>
      <c r="Q184" s="879"/>
      <c r="R184" s="879"/>
      <c r="S184" s="879"/>
      <c r="T184" s="879"/>
      <c r="U184" s="879"/>
      <c r="V184" s="879"/>
      <c r="W184" s="879"/>
      <c r="X184" s="879"/>
      <c r="Y184" s="879"/>
      <c r="Z184" s="879"/>
      <c r="AA184" s="879"/>
      <c r="AB184" s="879"/>
      <c r="AC184" s="879"/>
      <c r="AD184" s="879"/>
      <c r="AE184" s="879"/>
      <c r="AF184" s="1342">
        <v>11940</v>
      </c>
      <c r="AG184" s="1343" t="s">
        <v>273</v>
      </c>
      <c r="AH184" s="1342">
        <v>12776</v>
      </c>
      <c r="AI184" s="1342">
        <v>13875</v>
      </c>
      <c r="AJ184" s="1342">
        <v>14297</v>
      </c>
      <c r="AK184" s="1342">
        <v>14515</v>
      </c>
      <c r="AL184" s="1342">
        <v>15143</v>
      </c>
      <c r="AM184" s="1342">
        <v>15706</v>
      </c>
      <c r="AN184" s="1342">
        <v>16516</v>
      </c>
      <c r="AO184" s="880">
        <f>+AO210*AO152</f>
        <v>16759.656364758666</v>
      </c>
      <c r="AP184" s="880">
        <f t="shared" ref="AP184:AQ184" si="1415">+AP210*AP152</f>
        <v>17461.127911762898</v>
      </c>
      <c r="AQ184" s="880">
        <f t="shared" si="1415"/>
        <v>18119.662146204275</v>
      </c>
      <c r="BB184" s="879"/>
      <c r="BC184" s="879"/>
      <c r="BD184" s="879"/>
      <c r="BE184" s="879"/>
      <c r="BF184" s="879"/>
      <c r="BG184" s="879"/>
      <c r="BH184" s="880"/>
      <c r="BI184" s="880"/>
      <c r="BJ184" s="880"/>
      <c r="BK184" s="880"/>
      <c r="BL184" s="880"/>
      <c r="BM184" s="880"/>
      <c r="BN184" s="856" t="s">
        <v>273</v>
      </c>
      <c r="BO184" s="880">
        <f t="shared" ref="BO184:BO188" si="1416">SUM(AJ184:AM184)</f>
        <v>59661</v>
      </c>
      <c r="BP184" s="880">
        <f>+SUM(AN184:AQ184)</f>
        <v>68856.446422725829</v>
      </c>
    </row>
    <row r="185" spans="2:77">
      <c r="B185" t="s">
        <v>342</v>
      </c>
      <c r="H185" s="879"/>
      <c r="I185" s="879"/>
      <c r="J185" s="879"/>
      <c r="K185" s="879"/>
      <c r="L185" s="879"/>
      <c r="M185" s="879"/>
      <c r="N185" s="879"/>
      <c r="O185" s="879"/>
      <c r="P185" s="879"/>
      <c r="Q185" s="879"/>
      <c r="R185" s="879"/>
      <c r="S185" s="879"/>
      <c r="T185" s="879"/>
      <c r="U185" s="879"/>
      <c r="V185" s="879"/>
      <c r="W185" s="879"/>
      <c r="X185" s="879"/>
      <c r="Y185" s="879"/>
      <c r="Z185" s="879"/>
      <c r="AA185" s="879"/>
      <c r="AB185" s="879"/>
      <c r="AC185" s="879"/>
      <c r="AD185" s="879"/>
      <c r="AE185" s="879"/>
      <c r="AF185" s="879">
        <v>6750</v>
      </c>
      <c r="AG185" s="1343" t="s">
        <v>273</v>
      </c>
      <c r="AH185" s="879">
        <v>7017</v>
      </c>
      <c r="AI185" s="879">
        <v>7917</v>
      </c>
      <c r="AJ185" s="879">
        <v>8908</v>
      </c>
      <c r="AK185" s="879">
        <v>9555</v>
      </c>
      <c r="AL185" s="879">
        <v>9515</v>
      </c>
      <c r="AM185" s="879">
        <v>9835</v>
      </c>
      <c r="AN185" s="879">
        <v>10503</v>
      </c>
      <c r="AO185" s="880">
        <f t="shared" ref="AO185:AQ185" si="1417">+AO211*AO153</f>
        <v>11050.613066219999</v>
      </c>
      <c r="AP185" s="880">
        <f t="shared" si="1417"/>
        <v>11393.995881533909</v>
      </c>
      <c r="AQ185" s="880">
        <f t="shared" si="1417"/>
        <v>11902.62914997786</v>
      </c>
      <c r="BB185" s="879"/>
      <c r="BC185" s="879"/>
      <c r="BD185" s="879"/>
      <c r="BE185" s="879"/>
      <c r="BF185" s="879"/>
      <c r="BG185" s="879"/>
      <c r="BH185" s="880"/>
      <c r="BI185" s="880"/>
      <c r="BJ185" s="880"/>
      <c r="BK185" s="880"/>
      <c r="BL185" s="880"/>
      <c r="BM185" s="880"/>
      <c r="BN185" s="856" t="s">
        <v>273</v>
      </c>
      <c r="BO185" s="880">
        <f t="shared" si="1416"/>
        <v>37813</v>
      </c>
      <c r="BP185" s="880">
        <f t="shared" ref="BP185:BP188" si="1418">+SUM(AN185:AQ185)</f>
        <v>44850.238097731766</v>
      </c>
    </row>
    <row r="186" spans="2:77">
      <c r="B186" t="s">
        <v>344</v>
      </c>
      <c r="H186" s="879"/>
      <c r="I186" s="879"/>
      <c r="J186" s="879"/>
      <c r="K186" s="879"/>
      <c r="L186" s="879"/>
      <c r="M186" s="879"/>
      <c r="N186" s="879"/>
      <c r="O186" s="879"/>
      <c r="P186" s="879"/>
      <c r="Q186" s="879"/>
      <c r="R186" s="879"/>
      <c r="S186" s="879"/>
      <c r="T186" s="879"/>
      <c r="U186" s="879"/>
      <c r="V186" s="879"/>
      <c r="W186" s="879"/>
      <c r="X186" s="879"/>
      <c r="Y186" s="879"/>
      <c r="Z186" s="879"/>
      <c r="AA186" s="879"/>
      <c r="AB186" s="879"/>
      <c r="AC186" s="879"/>
      <c r="AD186" s="879"/>
      <c r="AE186" s="879"/>
      <c r="AF186" s="879">
        <v>2828</v>
      </c>
      <c r="AG186" s="1343" t="s">
        <v>273</v>
      </c>
      <c r="AH186" s="879">
        <v>2559</v>
      </c>
      <c r="AI186" s="879">
        <v>2462</v>
      </c>
      <c r="AJ186" s="879">
        <v>3690</v>
      </c>
      <c r="AK186" s="1214">
        <f>2962+580+550</f>
        <v>4092</v>
      </c>
      <c r="AL186" s="1214">
        <f>2923+670+270</f>
        <v>3863</v>
      </c>
      <c r="AM186" s="1214">
        <f>2384+690+250</f>
        <v>3324</v>
      </c>
      <c r="AN186" s="1214">
        <f>3533+680+230</f>
        <v>4443</v>
      </c>
      <c r="AO186" s="880">
        <f>+AO722</f>
        <v>4062.4958430379747</v>
      </c>
      <c r="AP186" s="880">
        <f t="shared" ref="AP186:AQ186" si="1419">+AP722</f>
        <v>3909.3820202234347</v>
      </c>
      <c r="AQ186" s="880">
        <f t="shared" si="1419"/>
        <v>3479.4637400668807</v>
      </c>
      <c r="BB186" s="879"/>
      <c r="BC186" s="879"/>
      <c r="BD186" s="879"/>
      <c r="BE186" s="879"/>
      <c r="BF186" s="879"/>
      <c r="BG186" s="879"/>
      <c r="BH186" s="880"/>
      <c r="BI186" s="880"/>
      <c r="BJ186" s="880"/>
      <c r="BK186" s="880"/>
      <c r="BL186" s="880"/>
      <c r="BM186" s="880"/>
      <c r="BN186" s="856" t="s">
        <v>273</v>
      </c>
      <c r="BO186" s="880">
        <f t="shared" si="1416"/>
        <v>14969</v>
      </c>
      <c r="BP186" s="880">
        <f t="shared" si="1418"/>
        <v>15894.341603328288</v>
      </c>
    </row>
    <row r="187" spans="2:77" ht="11.45">
      <c r="B187" t="s">
        <v>345</v>
      </c>
      <c r="H187" s="905"/>
      <c r="I187" s="905"/>
      <c r="J187" s="905"/>
      <c r="K187" s="905"/>
      <c r="L187" s="905"/>
      <c r="M187" s="905"/>
      <c r="N187" s="905"/>
      <c r="O187" s="905"/>
      <c r="P187" s="905"/>
      <c r="Q187" s="905"/>
      <c r="R187" s="905"/>
      <c r="S187" s="905"/>
      <c r="T187" s="905"/>
      <c r="U187" s="905"/>
      <c r="V187" s="905"/>
      <c r="W187" s="905"/>
      <c r="X187" s="905"/>
      <c r="Y187" s="905"/>
      <c r="Z187" s="905"/>
      <c r="AA187" s="906"/>
      <c r="AB187" s="906"/>
      <c r="AC187" s="906"/>
      <c r="AD187" s="906"/>
      <c r="AE187" s="906"/>
      <c r="AF187" s="906">
        <v>0</v>
      </c>
      <c r="AG187" s="906">
        <v>0</v>
      </c>
      <c r="AH187" s="906">
        <v>0</v>
      </c>
      <c r="AI187" s="906">
        <v>0</v>
      </c>
      <c r="AJ187" s="906">
        <v>0</v>
      </c>
      <c r="AK187" s="906">
        <v>0</v>
      </c>
      <c r="AL187" s="906">
        <v>0</v>
      </c>
      <c r="AM187" s="906">
        <v>0</v>
      </c>
      <c r="AN187" s="906">
        <v>0</v>
      </c>
      <c r="AO187" s="906">
        <v>0</v>
      </c>
      <c r="AP187" s="906">
        <v>0</v>
      </c>
      <c r="AQ187" s="906">
        <v>0</v>
      </c>
      <c r="BB187" s="905"/>
      <c r="BC187" s="905"/>
      <c r="BD187" s="905"/>
      <c r="BE187" s="905"/>
      <c r="BF187" s="905"/>
      <c r="BG187" s="905"/>
      <c r="BH187" s="906"/>
      <c r="BI187" s="906"/>
      <c r="BJ187" s="906"/>
      <c r="BK187" s="906"/>
      <c r="BL187" s="906"/>
      <c r="BM187" s="906"/>
      <c r="BN187" s="10">
        <f t="shared" ref="BN187" si="1420">SUM(AF187:AI187)</f>
        <v>0</v>
      </c>
      <c r="BO187" s="10">
        <f t="shared" si="1416"/>
        <v>0</v>
      </c>
      <c r="BP187" s="10">
        <f t="shared" si="1418"/>
        <v>0</v>
      </c>
    </row>
    <row r="188" spans="2:77" s="1" customFormat="1" ht="10.5">
      <c r="B188" s="882" t="s">
        <v>353</v>
      </c>
      <c r="D188" s="1">
        <f t="shared" ref="D188:AD188" si="1421">+D49</f>
        <v>6316</v>
      </c>
      <c r="E188" s="1">
        <f t="shared" si="1421"/>
        <v>7489</v>
      </c>
      <c r="F188" s="1">
        <f t="shared" si="1421"/>
        <v>6277</v>
      </c>
      <c r="G188" s="1">
        <f t="shared" si="1421"/>
        <v>7106</v>
      </c>
      <c r="H188" s="838">
        <f t="shared" si="1421"/>
        <v>6715</v>
      </c>
      <c r="I188" s="838">
        <f t="shared" si="1421"/>
        <v>7905</v>
      </c>
      <c r="J188" s="838">
        <f t="shared" si="1421"/>
        <v>6723</v>
      </c>
      <c r="K188" s="838">
        <f t="shared" si="1421"/>
        <v>7988</v>
      </c>
      <c r="L188" s="838">
        <f t="shared" si="1421"/>
        <v>7708</v>
      </c>
      <c r="M188" s="838">
        <f t="shared" si="1421"/>
        <v>8679</v>
      </c>
      <c r="N188" s="838">
        <f t="shared" si="1421"/>
        <v>8292</v>
      </c>
      <c r="O188" s="838">
        <f t="shared" si="1421"/>
        <v>10379</v>
      </c>
      <c r="P188" s="838">
        <f t="shared" si="1421"/>
        <v>9955</v>
      </c>
      <c r="Q188" s="838">
        <f t="shared" si="1421"/>
        <v>10258</v>
      </c>
      <c r="R188" s="838">
        <f t="shared" si="1421"/>
        <v>10341</v>
      </c>
      <c r="S188" s="838">
        <f t="shared" si="1421"/>
        <v>12405</v>
      </c>
      <c r="T188" s="838">
        <f t="shared" si="1421"/>
        <v>12686</v>
      </c>
      <c r="U188" s="838">
        <f t="shared" si="1421"/>
        <v>13891</v>
      </c>
      <c r="V188" s="838">
        <f t="shared" si="1421"/>
        <v>12975</v>
      </c>
      <c r="W188" s="838">
        <f t="shared" si="1421"/>
        <v>13407</v>
      </c>
      <c r="X188" s="838">
        <f t="shared" si="1421"/>
        <v>15876</v>
      </c>
      <c r="Y188" s="838">
        <f t="shared" si="1421"/>
        <v>17897</v>
      </c>
      <c r="Z188" s="838">
        <f t="shared" si="1421"/>
        <v>17048</v>
      </c>
      <c r="AA188" s="838">
        <f t="shared" si="1421"/>
        <v>19095</v>
      </c>
      <c r="AB188" s="838">
        <f t="shared" si="1421"/>
        <v>20238</v>
      </c>
      <c r="AC188" s="838">
        <f t="shared" si="1421"/>
        <v>22247</v>
      </c>
      <c r="AD188" s="838">
        <f t="shared" si="1421"/>
        <v>20364</v>
      </c>
      <c r="AE188" s="838">
        <f>+AE49</f>
        <v>20534</v>
      </c>
      <c r="AF188" s="838">
        <f t="shared" ref="AF188:AI188" si="1422">SUM(AF184:AF187)</f>
        <v>21518</v>
      </c>
      <c r="AG188" s="838">
        <f>+AG259</f>
        <v>21569.774000000001</v>
      </c>
      <c r="AH188" s="838">
        <f t="shared" si="1422"/>
        <v>22352</v>
      </c>
      <c r="AI188" s="838">
        <f t="shared" si="1422"/>
        <v>24254</v>
      </c>
      <c r="AJ188" s="838">
        <f t="shared" ref="AJ188:AQ188" si="1423">SUM(AJ184:AJ187)</f>
        <v>26895</v>
      </c>
      <c r="AK188" s="838">
        <f t="shared" si="1423"/>
        <v>28162</v>
      </c>
      <c r="AL188" s="838">
        <f t="shared" si="1423"/>
        <v>28521</v>
      </c>
      <c r="AM188" s="838">
        <f t="shared" si="1423"/>
        <v>28865</v>
      </c>
      <c r="AN188" s="838">
        <f t="shared" si="1423"/>
        <v>31462</v>
      </c>
      <c r="AO188" s="838">
        <f t="shared" si="1423"/>
        <v>31872.765274016641</v>
      </c>
      <c r="AP188" s="838">
        <f t="shared" si="1423"/>
        <v>32764.505813520242</v>
      </c>
      <c r="AQ188" s="838">
        <f t="shared" si="1423"/>
        <v>33501.755036249015</v>
      </c>
      <c r="AR188" s="838"/>
      <c r="AS188" s="838">
        <f t="shared" ref="AS188:BN188" si="1424">+AS49</f>
        <v>14576</v>
      </c>
      <c r="AT188" s="838">
        <f t="shared" si="1424"/>
        <v>16380</v>
      </c>
      <c r="AU188" s="838">
        <f t="shared" si="1424"/>
        <v>18438</v>
      </c>
      <c r="AV188" s="838">
        <f t="shared" si="1424"/>
        <v>22271</v>
      </c>
      <c r="AW188" s="838">
        <f t="shared" si="1424"/>
        <v>20363</v>
      </c>
      <c r="AX188" s="838">
        <f t="shared" si="1424"/>
        <v>24098</v>
      </c>
      <c r="AY188" s="838">
        <f t="shared" si="1424"/>
        <v>27161</v>
      </c>
      <c r="AZ188" s="838">
        <f t="shared" si="1424"/>
        <v>27956</v>
      </c>
      <c r="BA188" s="838">
        <f t="shared" si="1424"/>
        <v>27497</v>
      </c>
      <c r="BB188" s="838">
        <f t="shared" si="1424"/>
        <v>27886</v>
      </c>
      <c r="BC188" s="838">
        <f t="shared" si="1424"/>
        <v>28172</v>
      </c>
      <c r="BD188" s="838">
        <f t="shared" si="1424"/>
        <v>21292</v>
      </c>
      <c r="BE188" s="838">
        <f t="shared" si="1424"/>
        <v>22632</v>
      </c>
      <c r="BF188" s="838">
        <f t="shared" si="1424"/>
        <v>0</v>
      </c>
      <c r="BG188" s="838">
        <f t="shared" si="1424"/>
        <v>27188</v>
      </c>
      <c r="BH188" s="838">
        <f t="shared" si="1424"/>
        <v>29331</v>
      </c>
      <c r="BI188" s="838">
        <f t="shared" si="1424"/>
        <v>35058</v>
      </c>
      <c r="BJ188" s="838">
        <f t="shared" si="1424"/>
        <v>42959</v>
      </c>
      <c r="BK188" s="838">
        <f t="shared" si="1424"/>
        <v>52959</v>
      </c>
      <c r="BL188" s="838">
        <f t="shared" si="1424"/>
        <v>69916</v>
      </c>
      <c r="BM188" s="838">
        <f t="shared" si="1424"/>
        <v>83383</v>
      </c>
      <c r="BN188" s="838">
        <f t="shared" si="1424"/>
        <v>89694</v>
      </c>
      <c r="BO188" s="838">
        <f t="shared" si="1416"/>
        <v>112443</v>
      </c>
      <c r="BP188" s="838">
        <f t="shared" si="1418"/>
        <v>129601.02612378589</v>
      </c>
      <c r="BR188" s="1" t="s">
        <v>354</v>
      </c>
    </row>
    <row r="189" spans="2:77" ht="10.5">
      <c r="X189" s="826"/>
      <c r="AE189" s="987"/>
      <c r="AF189" s="987"/>
      <c r="AG189" s="987"/>
      <c r="AH189" s="987"/>
      <c r="AI189" s="987"/>
      <c r="AK189" s="8"/>
      <c r="AL189" s="8"/>
      <c r="AM189" s="8"/>
      <c r="AN189" s="8"/>
      <c r="AO189" s="8"/>
      <c r="AP189" s="8"/>
      <c r="AQ189" s="8"/>
      <c r="BR189" s="838">
        <v>23717.8</v>
      </c>
      <c r="BS189" s="838">
        <v>24341.3</v>
      </c>
      <c r="BT189" s="838">
        <v>23850</v>
      </c>
      <c r="BU189" s="838">
        <v>25901.7</v>
      </c>
      <c r="BW189" s="874"/>
    </row>
    <row r="190" spans="2:77" s="3" customFormat="1">
      <c r="B190" s="883" t="s">
        <v>113</v>
      </c>
      <c r="AG190" s="986"/>
      <c r="AN190" s="92"/>
      <c r="AO190" s="1206"/>
      <c r="AP190" s="1206"/>
      <c r="AQ190" s="1206"/>
    </row>
    <row r="191" spans="2:77" s="3" customFormat="1">
      <c r="B191" s="884" t="str">
        <f>+B184</f>
        <v>Productivity and Business Processes</v>
      </c>
      <c r="L191" s="228"/>
      <c r="M191" s="228"/>
      <c r="N191" s="228"/>
      <c r="O191" s="228"/>
      <c r="P191" s="228"/>
      <c r="Q191" s="228"/>
      <c r="R191" s="228"/>
      <c r="S191" s="228"/>
      <c r="T191" s="228"/>
      <c r="U191" s="228"/>
      <c r="V191" s="228"/>
      <c r="W191" s="228"/>
      <c r="X191" s="228"/>
      <c r="Y191" s="228"/>
      <c r="Z191" s="228"/>
      <c r="AA191" s="228"/>
      <c r="AB191" s="228"/>
      <c r="AC191" s="228"/>
      <c r="AD191" s="228"/>
      <c r="AE191" s="228"/>
      <c r="AF191" s="228"/>
      <c r="AG191" s="228"/>
      <c r="AH191" s="228"/>
      <c r="AI191" s="228"/>
      <c r="AJ191" s="228">
        <f t="shared" ref="AJ191:AJ193" si="1425">+IFERROR(AJ184/AF184-1,"n/a ")</f>
        <v>0.19740368509212725</v>
      </c>
      <c r="AK191" s="228" t="str">
        <f>+IFERROR(AK184/AG184-1,"NA ")</f>
        <v xml:space="preserve">NA </v>
      </c>
      <c r="AL191" s="228">
        <f t="shared" ref="AL191:AL193" si="1426">+IFERROR(AL184/AH184-1,"n/a ")</f>
        <v>0.18526925485284917</v>
      </c>
      <c r="AM191" s="228">
        <f t="shared" ref="AM191:AM193" si="1427">+IFERROR(AM184/AI184-1,"n/a ")</f>
        <v>0.13196396396396404</v>
      </c>
      <c r="AN191" s="228">
        <f t="shared" ref="AN191:AN193" si="1428">+IFERROR(AN184/AJ184-1,"n/a ")</f>
        <v>0.15520738616492968</v>
      </c>
      <c r="AO191" s="228">
        <f t="shared" ref="AO191:AO193" si="1429">+IFERROR(AO184/AK184-1,"n/a ")</f>
        <v>0.15464391076532324</v>
      </c>
      <c r="AP191" s="228">
        <f t="shared" ref="AP191:AP193" si="1430">+IFERROR(AP184/AL184-1,"n/a ")</f>
        <v>0.15308247452703538</v>
      </c>
      <c r="AQ191" s="228">
        <f t="shared" ref="AQ191:AQ193" si="1431">+IFERROR(AQ184/AM184-1,"n/a ")</f>
        <v>0.15367771209755987</v>
      </c>
      <c r="AR191" s="228"/>
      <c r="AS191" s="228"/>
      <c r="AT191" s="228"/>
      <c r="AU191" s="228"/>
      <c r="AV191" s="228"/>
      <c r="AW191" s="228"/>
      <c r="AX191" s="228"/>
      <c r="AY191" s="228"/>
      <c r="AZ191" s="228"/>
      <c r="BA191" s="228"/>
      <c r="BB191" s="228"/>
      <c r="BC191" s="228"/>
      <c r="BD191" s="228"/>
      <c r="BE191" s="228"/>
      <c r="BF191" s="228"/>
      <c r="BG191" s="829"/>
      <c r="BH191" s="228"/>
      <c r="BI191" s="228"/>
      <c r="BJ191" s="228"/>
      <c r="BK191" s="228"/>
      <c r="BL191" s="228"/>
      <c r="BM191" s="228"/>
      <c r="BN191" s="228"/>
      <c r="BO191" s="228"/>
      <c r="BP191" s="228">
        <f t="shared" ref="BP191:BP193" si="1432">+IFERROR(BP184/BO184-1,"n/a ")</f>
        <v>0.15412826507644573</v>
      </c>
    </row>
    <row r="192" spans="2:77" s="3" customFormat="1">
      <c r="B192" s="884" t="str">
        <f>+B185</f>
        <v>Intelligent Cloud</v>
      </c>
      <c r="L192" s="228"/>
      <c r="M192" s="228"/>
      <c r="N192" s="228"/>
      <c r="O192" s="228"/>
      <c r="P192" s="228"/>
      <c r="Q192" s="228"/>
      <c r="R192" s="228"/>
      <c r="S192" s="228"/>
      <c r="T192" s="228"/>
      <c r="U192" s="228"/>
      <c r="V192" s="228"/>
      <c r="W192" s="228"/>
      <c r="X192" s="228"/>
      <c r="Y192" s="228"/>
      <c r="Z192" s="228"/>
      <c r="AA192" s="228"/>
      <c r="AB192" s="228"/>
      <c r="AC192" s="228"/>
      <c r="AD192" s="228"/>
      <c r="AE192" s="228"/>
      <c r="AF192" s="228"/>
      <c r="AG192" s="228"/>
      <c r="AH192" s="228"/>
      <c r="AI192" s="228"/>
      <c r="AJ192" s="228">
        <f t="shared" si="1425"/>
        <v>0.3197037037037036</v>
      </c>
      <c r="AK192" s="228" t="str">
        <f t="shared" ref="AK192:AK193" si="1433">+IFERROR(AK185/AG185-1,"NA ")</f>
        <v xml:space="preserve">NA </v>
      </c>
      <c r="AL192" s="228">
        <f t="shared" si="1426"/>
        <v>0.35599258942568057</v>
      </c>
      <c r="AM192" s="228">
        <f t="shared" si="1427"/>
        <v>0.24226348364279393</v>
      </c>
      <c r="AN192" s="228">
        <f t="shared" si="1428"/>
        <v>0.1790525370453524</v>
      </c>
      <c r="AO192" s="228">
        <f t="shared" si="1429"/>
        <v>0.15652674685714274</v>
      </c>
      <c r="AP192" s="228">
        <f t="shared" si="1430"/>
        <v>0.19747723400251282</v>
      </c>
      <c r="AQ192" s="228">
        <f t="shared" si="1431"/>
        <v>0.21023173868610678</v>
      </c>
      <c r="AR192" s="228"/>
      <c r="AS192" s="228"/>
      <c r="AT192" s="228"/>
      <c r="AU192" s="228"/>
      <c r="AV192" s="228"/>
      <c r="AW192" s="228"/>
      <c r="AX192" s="228"/>
      <c r="AY192" s="228"/>
      <c r="AZ192" s="228"/>
      <c r="BA192" s="228"/>
      <c r="BB192" s="228"/>
      <c r="BC192" s="228"/>
      <c r="BD192" s="228"/>
      <c r="BE192" s="228"/>
      <c r="BF192" s="228"/>
      <c r="BG192" s="829"/>
      <c r="BH192" s="228"/>
      <c r="BI192" s="228"/>
      <c r="BJ192" s="228"/>
      <c r="BK192" s="228"/>
      <c r="BL192" s="228"/>
      <c r="BM192" s="228"/>
      <c r="BN192" s="228"/>
      <c r="BO192" s="228"/>
      <c r="BP192" s="228">
        <f t="shared" si="1432"/>
        <v>0.18610631522840726</v>
      </c>
    </row>
    <row r="193" spans="2:71" s="3" customFormat="1">
      <c r="B193" s="884" t="str">
        <f>+B186</f>
        <v>More Personal Computing</v>
      </c>
      <c r="L193" s="228"/>
      <c r="M193" s="228"/>
      <c r="N193" s="228"/>
      <c r="O193" s="228"/>
      <c r="P193" s="228"/>
      <c r="Q193" s="228"/>
      <c r="R193" s="228"/>
      <c r="S193" s="228"/>
      <c r="T193" s="228"/>
      <c r="U193" s="228"/>
      <c r="V193" s="228"/>
      <c r="W193" s="228"/>
      <c r="X193" s="228"/>
      <c r="Y193" s="228"/>
      <c r="Z193" s="228"/>
      <c r="AA193" s="228"/>
      <c r="AB193" s="228"/>
      <c r="AC193" s="228"/>
      <c r="AD193" s="228"/>
      <c r="AE193" s="228"/>
      <c r="AF193" s="228"/>
      <c r="AG193" s="228"/>
      <c r="AH193" s="228"/>
      <c r="AI193" s="228"/>
      <c r="AJ193" s="228">
        <f t="shared" si="1425"/>
        <v>0.30480905233380473</v>
      </c>
      <c r="AK193" s="228" t="str">
        <f t="shared" si="1433"/>
        <v xml:space="preserve">NA </v>
      </c>
      <c r="AL193" s="228">
        <f t="shared" si="1426"/>
        <v>0.50957405236420472</v>
      </c>
      <c r="AM193" s="228">
        <f t="shared" si="1427"/>
        <v>0.3501218521527214</v>
      </c>
      <c r="AN193" s="228">
        <f t="shared" si="1428"/>
        <v>0.20406504065040654</v>
      </c>
      <c r="AO193" s="228">
        <f t="shared" si="1429"/>
        <v>-7.2102045361742695E-3</v>
      </c>
      <c r="AP193" s="228">
        <f t="shared" si="1430"/>
        <v>1.2006735755484055E-2</v>
      </c>
      <c r="AQ193" s="228">
        <f t="shared" si="1431"/>
        <v>4.6770078239133817E-2</v>
      </c>
      <c r="AR193" s="228"/>
      <c r="AS193" s="228"/>
      <c r="AT193" s="228"/>
      <c r="AU193" s="228"/>
      <c r="AV193" s="228"/>
      <c r="AW193" s="228"/>
      <c r="AX193" s="228"/>
      <c r="AY193" s="228"/>
      <c r="AZ193" s="228"/>
      <c r="BA193" s="228"/>
      <c r="BB193" s="228"/>
      <c r="BC193" s="228"/>
      <c r="BD193" s="228"/>
      <c r="BE193" s="228"/>
      <c r="BF193" s="228"/>
      <c r="BG193" s="829"/>
      <c r="BH193" s="228"/>
      <c r="BI193" s="228"/>
      <c r="BJ193" s="228"/>
      <c r="BK193" s="228"/>
      <c r="BL193" s="228"/>
      <c r="BM193" s="228"/>
      <c r="BN193" s="228"/>
      <c r="BO193" s="228"/>
      <c r="BP193" s="228">
        <f t="shared" si="1432"/>
        <v>6.1817195759789501E-2</v>
      </c>
    </row>
    <row r="194" spans="2:71" s="3" customFormat="1" ht="11.45">
      <c r="B194" s="884" t="str">
        <f>+B187</f>
        <v>Corporate and Other</v>
      </c>
      <c r="L194" s="840"/>
      <c r="M194" s="840"/>
      <c r="N194" s="840"/>
      <c r="O194" s="840"/>
      <c r="P194" s="840"/>
      <c r="Q194" s="840"/>
      <c r="R194" s="840"/>
      <c r="S194" s="840"/>
      <c r="T194" s="840"/>
      <c r="U194" s="840"/>
      <c r="V194" s="840"/>
      <c r="W194" s="840"/>
      <c r="X194" s="840"/>
      <c r="Y194" s="840"/>
      <c r="Z194" s="840"/>
      <c r="AA194" s="840"/>
      <c r="AB194" s="840"/>
      <c r="AC194" s="840"/>
      <c r="AD194" s="840"/>
      <c r="AE194" s="840"/>
      <c r="AF194" s="840"/>
      <c r="AG194" s="840"/>
      <c r="AH194" s="840"/>
      <c r="AI194" s="840"/>
      <c r="AJ194" s="840" t="str">
        <f t="shared" ref="AJ194" si="1434">+IFERROR(AJ187/AF187-1,"NA ")</f>
        <v xml:space="preserve">NA </v>
      </c>
      <c r="AK194" s="840" t="str">
        <f t="shared" ref="AK194" si="1435">+IFERROR(AK187/AG187-1,"NA ")</f>
        <v xml:space="preserve">NA </v>
      </c>
      <c r="AL194" s="840" t="str">
        <f t="shared" ref="AL194" si="1436">+IFERROR(AL187/AH187-1,"NA ")</f>
        <v xml:space="preserve">NA </v>
      </c>
      <c r="AM194" s="840" t="str">
        <f t="shared" ref="AM194" si="1437">+IFERROR(AM187/AI187-1,"NA ")</f>
        <v xml:space="preserve">NA </v>
      </c>
      <c r="AN194" s="840" t="str">
        <f t="shared" ref="AN194" si="1438">+IFERROR(AN187/AJ187-1,"NA ")</f>
        <v xml:space="preserve">NA </v>
      </c>
      <c r="AO194" s="840" t="str">
        <f t="shared" ref="AO194" si="1439">+IFERROR(AO187/AK187-1,"NA ")</f>
        <v xml:space="preserve">NA </v>
      </c>
      <c r="AP194" s="840" t="str">
        <f t="shared" ref="AP194" si="1440">+IFERROR(AP187/AL187-1,"NA ")</f>
        <v xml:space="preserve">NA </v>
      </c>
      <c r="AQ194" s="840" t="str">
        <f t="shared" ref="AQ194" si="1441">+IFERROR(AQ187/AM187-1,"NA ")</f>
        <v xml:space="preserve">NA </v>
      </c>
      <c r="AR194" s="840"/>
      <c r="AS194" s="840"/>
      <c r="AT194" s="840"/>
      <c r="AU194" s="840"/>
      <c r="AV194" s="840"/>
      <c r="AW194" s="840"/>
      <c r="AX194" s="840"/>
      <c r="AY194" s="840"/>
      <c r="AZ194" s="840"/>
      <c r="BA194" s="840"/>
      <c r="BB194" s="840"/>
      <c r="BC194" s="840"/>
      <c r="BD194" s="840"/>
      <c r="BE194" s="840"/>
      <c r="BF194" s="840"/>
      <c r="BG194" s="908"/>
      <c r="BH194" s="840"/>
      <c r="BI194" s="840"/>
      <c r="BJ194" s="840"/>
      <c r="BK194" s="840"/>
      <c r="BL194" s="840"/>
      <c r="BM194" s="840"/>
      <c r="BN194" s="840"/>
      <c r="BO194" s="840"/>
      <c r="BP194" s="840" t="str">
        <f t="shared" ref="BP194" si="1442">+IFERROR(BP187/BO187-1,"NA ")</f>
        <v xml:space="preserve">NA </v>
      </c>
    </row>
    <row r="195" spans="2:71" s="7" customFormat="1">
      <c r="B195" s="887" t="str">
        <f>+B188</f>
        <v>Total operating income</v>
      </c>
      <c r="L195" s="842"/>
      <c r="M195" s="842"/>
      <c r="N195" s="842"/>
      <c r="O195" s="842"/>
      <c r="P195" s="842"/>
      <c r="Q195" s="842"/>
      <c r="R195" s="842"/>
      <c r="S195" s="842"/>
      <c r="T195" s="842">
        <f t="shared" ref="T195" si="1443">+IFERROR(T188/P188-1,"n/a ")</f>
        <v>0.27433450527373182</v>
      </c>
      <c r="U195" s="842">
        <f t="shared" ref="U195" si="1444">+IFERROR(U188/Q188-1,"n/a ")</f>
        <v>0.3541626047962565</v>
      </c>
      <c r="V195" s="842">
        <f t="shared" ref="V195" si="1445">+IFERROR(V188/R188-1,"n/a ")</f>
        <v>0.25471424427038003</v>
      </c>
      <c r="W195" s="842">
        <f t="shared" ref="W195" si="1446">+IFERROR(W188/S188-1,"n/a ")</f>
        <v>8.0773881499395461E-2</v>
      </c>
      <c r="X195" s="842">
        <f t="shared" ref="X195" si="1447">+IFERROR(X188/T188-1,"n/a ")</f>
        <v>0.25145830048872764</v>
      </c>
      <c r="Y195" s="842">
        <f t="shared" ref="Y195" si="1448">+IFERROR(Y188/U188-1,"n/a ")</f>
        <v>0.28838816499892017</v>
      </c>
      <c r="Z195" s="842">
        <f t="shared" ref="Z195" si="1449">+IFERROR(Z188/V188-1,"n/a ")</f>
        <v>0.31391136801541419</v>
      </c>
      <c r="AA195" s="842">
        <f t="shared" ref="AA195" si="1450">+IFERROR(AA188/W188-1,"n/a ")</f>
        <v>0.42425598567912282</v>
      </c>
      <c r="AB195" s="842">
        <f t="shared" ref="AB195" si="1451">+IFERROR(AB188/X188-1,"n/a ")</f>
        <v>0.27475434618291761</v>
      </c>
      <c r="AC195" s="842">
        <f t="shared" ref="AC195" si="1452">+IFERROR(AC188/Y188-1,"n/a ")</f>
        <v>0.24305749566966539</v>
      </c>
      <c r="AD195" s="842">
        <f t="shared" ref="AD195" si="1453">+IFERROR(AD188/Z188-1,"n/a ")</f>
        <v>0.19450961989676219</v>
      </c>
      <c r="AE195" s="842">
        <f t="shared" ref="AE195" si="1454">+IFERROR(AE188/AA188-1,"n/a ")</f>
        <v>7.5360041895784269E-2</v>
      </c>
      <c r="AF195" s="842">
        <f t="shared" ref="AF195" si="1455">+IFERROR(AF188/AB188-1,"n/a ")</f>
        <v>6.3247356458147941E-2</v>
      </c>
      <c r="AG195" s="842">
        <f t="shared" ref="AG195" si="1456">+IFERROR(AG188/AC188-1,"n/a ")</f>
        <v>-3.0441228030745671E-2</v>
      </c>
      <c r="AH195" s="842">
        <f t="shared" ref="AH195" si="1457">+IFERROR(AH188/AD188-1,"n/a ")</f>
        <v>9.7623256727558338E-2</v>
      </c>
      <c r="AI195" s="842">
        <f t="shared" ref="AI195" si="1458">+IFERROR(AI188/AE188-1,"n/a ")</f>
        <v>0.18116294925489429</v>
      </c>
      <c r="AJ195" s="842">
        <f t="shared" ref="AJ195" si="1459">+IFERROR(AJ188/AF188-1,"n/a ")</f>
        <v>0.2498838181987173</v>
      </c>
      <c r="AK195" s="842">
        <f t="shared" ref="AK195" si="1460">+IFERROR(AK188/AG188-1,"n/a ")</f>
        <v>0.30562332271075254</v>
      </c>
      <c r="AL195" s="842">
        <f t="shared" ref="AL195" si="1461">+IFERROR(AL188/AH188-1,"n/a ")</f>
        <v>0.2759931997136722</v>
      </c>
      <c r="AM195" s="842">
        <f t="shared" ref="AM195" si="1462">+IFERROR(AM188/AI188-1,"n/a ")</f>
        <v>0.19011297105632052</v>
      </c>
      <c r="AN195" s="842">
        <f t="shared" ref="AN195" si="1463">+IFERROR(AN188/AJ188-1,"n/a ")</f>
        <v>0.16980851459379065</v>
      </c>
      <c r="AO195" s="842">
        <f t="shared" ref="AO195" si="1464">+IFERROR(AO188/AK188-1,"n/a ")</f>
        <v>0.13176497670679077</v>
      </c>
      <c r="AP195" s="842">
        <f t="shared" ref="AP195" si="1465">+IFERROR(AP188/AL188-1,"n/a ")</f>
        <v>0.1487853095445546</v>
      </c>
      <c r="AQ195" s="842">
        <f t="shared" ref="AQ195" si="1466">+IFERROR(AQ188/AM188-1,"n/a ")</f>
        <v>0.16063589247354981</v>
      </c>
      <c r="AR195" s="842"/>
      <c r="AS195" s="842"/>
      <c r="AT195" s="842"/>
      <c r="AU195" s="842"/>
      <c r="AV195" s="842"/>
      <c r="AW195" s="842"/>
      <c r="AX195" s="842"/>
      <c r="AY195" s="842"/>
      <c r="AZ195" s="842"/>
      <c r="BA195" s="842"/>
      <c r="BB195" s="842"/>
      <c r="BC195" s="842"/>
      <c r="BD195" s="842"/>
      <c r="BE195" s="842"/>
      <c r="BF195" s="842"/>
      <c r="BG195" s="1177"/>
      <c r="BH195" s="842"/>
      <c r="BI195" s="842">
        <f t="shared" ref="BI195" si="1467">+IFERROR(BI188/BH188-1,"n/a ")</f>
        <v>0.19525416794517736</v>
      </c>
      <c r="BJ195" s="842">
        <f t="shared" ref="BJ195" si="1468">+IFERROR(BJ188/BI188-1,"n/a ")</f>
        <v>0.22536938787152727</v>
      </c>
      <c r="BK195" s="842">
        <f t="shared" ref="BK195" si="1469">+IFERROR(BK188/BJ188-1,"n/a ")</f>
        <v>0.23278009264647692</v>
      </c>
      <c r="BL195" s="842">
        <f t="shared" ref="BL195" si="1470">+IFERROR(BL188/BK188-1,"n/a ")</f>
        <v>0.3201910912215109</v>
      </c>
      <c r="BM195" s="842">
        <f t="shared" ref="BM195" si="1471">+IFERROR(BM188/BL188-1,"n/a ")</f>
        <v>0.19261685451112753</v>
      </c>
      <c r="BN195" s="842">
        <f t="shared" ref="BN195" si="1472">+IFERROR(BN188/BM188-1,"n/a ")</f>
        <v>7.5686890613194446E-2</v>
      </c>
      <c r="BO195" s="842">
        <f t="shared" ref="BO195" si="1473">+IFERROR(BO188/BN188-1,"n/a ")</f>
        <v>0.25362900528463439</v>
      </c>
      <c r="BP195" s="842">
        <f t="shared" ref="BP195" si="1474">+IFERROR(BP188/BO188-1,"n/a ")</f>
        <v>0.15259310160513229</v>
      </c>
    </row>
    <row r="196" spans="2:71" s="7" customFormat="1">
      <c r="B196" s="887" t="s">
        <v>349</v>
      </c>
      <c r="L196" s="842"/>
      <c r="M196" s="842"/>
      <c r="N196" s="842"/>
      <c r="O196" s="842"/>
      <c r="P196" s="842"/>
      <c r="Q196" s="842"/>
      <c r="R196" s="842"/>
      <c r="S196" s="842"/>
      <c r="T196" s="842">
        <f t="shared" ref="T196:AM196" si="1475">+T195+T204-T195</f>
        <v>0.32000000000000006</v>
      </c>
      <c r="U196" s="842">
        <f t="shared" si="1475"/>
        <v>0.39</v>
      </c>
      <c r="V196" s="842">
        <f t="shared" si="1475"/>
        <v>0.28000000000000003</v>
      </c>
      <c r="W196" s="842">
        <f t="shared" si="1475"/>
        <v>0.19332527206771477</v>
      </c>
      <c r="X196" s="842">
        <f t="shared" si="1475"/>
        <v>0.25</v>
      </c>
      <c r="Y196" s="842">
        <f t="shared" si="1475"/>
        <v>0.26</v>
      </c>
      <c r="Z196" s="842">
        <f t="shared" si="1475"/>
        <v>0.27</v>
      </c>
      <c r="AA196" s="842">
        <f t="shared" si="1475"/>
        <v>0.35</v>
      </c>
      <c r="AB196" s="842">
        <f t="shared" si="1475"/>
        <v>0.24</v>
      </c>
      <c r="AC196" s="842">
        <f t="shared" si="1475"/>
        <v>0.24</v>
      </c>
      <c r="AD196" s="842" t="s">
        <v>273</v>
      </c>
      <c r="AE196" s="842" t="s">
        <v>273</v>
      </c>
      <c r="AF196" s="842" t="s">
        <v>273</v>
      </c>
      <c r="AG196" s="842" t="s">
        <v>273</v>
      </c>
      <c r="AH196" s="842" t="s">
        <v>273</v>
      </c>
      <c r="AI196" s="842" t="s">
        <v>273</v>
      </c>
      <c r="AJ196" s="842">
        <f t="shared" si="1475"/>
        <v>0.24</v>
      </c>
      <c r="AK196" s="842">
        <f t="shared" si="1475"/>
        <v>0.24462076958738976</v>
      </c>
      <c r="AL196" s="842">
        <f t="shared" si="1475"/>
        <v>0.25059735146743023</v>
      </c>
      <c r="AM196" s="842">
        <f t="shared" si="1475"/>
        <v>0.17678708666611687</v>
      </c>
      <c r="AN196" s="842">
        <f>+AN195+AN204-AN195</f>
        <v>0.15619633903123731</v>
      </c>
      <c r="AO196" s="842"/>
      <c r="AP196" s="842"/>
      <c r="AQ196" s="842"/>
      <c r="AR196" s="842"/>
      <c r="AS196" s="842"/>
      <c r="AT196" s="842"/>
      <c r="AU196" s="842"/>
      <c r="AV196" s="842"/>
      <c r="AW196" s="842"/>
      <c r="AX196" s="842"/>
      <c r="AY196" s="842"/>
      <c r="AZ196" s="842"/>
      <c r="BA196" s="842"/>
      <c r="BB196" s="842"/>
      <c r="BC196" s="842"/>
      <c r="BD196" s="842"/>
      <c r="BE196" s="842"/>
      <c r="BF196" s="842"/>
      <c r="BG196" s="1177"/>
      <c r="BH196" s="842"/>
      <c r="BI196" s="842">
        <f t="shared" ref="BI196" si="1476">+BI195+BI204-BI195</f>
        <v>0.17249565306331183</v>
      </c>
      <c r="BJ196" s="842">
        <f t="shared" ref="BJ196" si="1477">+BJ195+BJ204-BJ195</f>
        <v>0.24103656797307321</v>
      </c>
      <c r="BK196" s="842">
        <f t="shared" ref="BK196" si="1478">+BK195+BK204-BK195</f>
        <v>0.29050722782187677</v>
      </c>
      <c r="BL196" s="842">
        <f t="shared" ref="BL196" si="1479">+BL195+BL204-BL195</f>
        <v>0.28283879982628068</v>
      </c>
      <c r="BM196" s="842" t="s">
        <v>273</v>
      </c>
      <c r="BN196" s="842" t="s">
        <v>273</v>
      </c>
      <c r="BO196" s="842">
        <f t="shared" ref="BO196" si="1480">+BO195+BO204-BO195</f>
        <v>0.23278034205186526</v>
      </c>
      <c r="BP196" s="842">
        <f t="shared" ref="BP196" si="1481">+BP195+BP204-BP195</f>
        <v>0.15344578957730942</v>
      </c>
    </row>
    <row r="197" spans="2:71" s="3" customFormat="1"/>
    <row r="198" spans="2:71" s="3" customFormat="1">
      <c r="B198" s="883" t="s">
        <v>355</v>
      </c>
    </row>
    <row r="199" spans="2:71" s="3" customFormat="1">
      <c r="B199" s="884" t="str">
        <f>+B191</f>
        <v>Productivity and Business Processes</v>
      </c>
      <c r="L199" s="228"/>
      <c r="M199" s="228"/>
      <c r="N199" s="228"/>
      <c r="O199" s="228"/>
      <c r="P199" s="228"/>
      <c r="Q199" s="228"/>
      <c r="R199" s="228"/>
      <c r="S199" s="228"/>
      <c r="T199" s="228"/>
      <c r="U199" s="228"/>
      <c r="V199" s="228"/>
      <c r="W199" s="228"/>
      <c r="X199" s="228"/>
      <c r="Y199" s="228"/>
      <c r="Z199" s="228"/>
      <c r="AA199" s="228"/>
      <c r="AB199" s="228"/>
      <c r="AC199" s="228"/>
      <c r="AD199" s="228"/>
      <c r="AE199" s="228"/>
      <c r="AF199" s="228"/>
      <c r="AG199" s="228"/>
      <c r="AH199" s="228"/>
      <c r="AI199" s="228"/>
      <c r="AN199" s="1330">
        <v>0.16</v>
      </c>
      <c r="AO199" s="228"/>
      <c r="AP199" s="228"/>
      <c r="AQ199" s="228"/>
      <c r="AR199" s="228"/>
      <c r="AS199" s="228"/>
      <c r="AT199" s="228"/>
      <c r="AU199" s="228"/>
      <c r="AV199" s="228"/>
      <c r="AW199" s="228"/>
      <c r="AX199" s="228"/>
      <c r="AY199" s="228"/>
      <c r="AZ199" s="228"/>
      <c r="BA199" s="228"/>
      <c r="BB199" s="228"/>
      <c r="BC199" s="228"/>
      <c r="BD199" s="228"/>
      <c r="BE199" s="228"/>
      <c r="BF199" s="228"/>
      <c r="BG199" s="829"/>
      <c r="BH199" s="228"/>
      <c r="BI199" s="228"/>
      <c r="BJ199" s="228"/>
      <c r="BK199" s="228"/>
      <c r="BL199" s="228"/>
      <c r="BM199" s="228"/>
    </row>
    <row r="200" spans="2:71" s="3" customFormat="1">
      <c r="B200" s="884" t="str">
        <f>+B192</f>
        <v>Intelligent Cloud</v>
      </c>
      <c r="L200" s="228"/>
      <c r="M200" s="228"/>
      <c r="N200" s="228"/>
      <c r="O200" s="228"/>
      <c r="P200" s="228"/>
      <c r="Q200" s="228"/>
      <c r="R200" s="228"/>
      <c r="S200" s="228"/>
      <c r="T200" s="228"/>
      <c r="U200" s="228"/>
      <c r="V200" s="228"/>
      <c r="W200" s="228"/>
      <c r="X200" s="228"/>
      <c r="Y200" s="228"/>
      <c r="Z200" s="228"/>
      <c r="AA200" s="228"/>
      <c r="AB200" s="228"/>
      <c r="AC200" s="228"/>
      <c r="AD200" s="228"/>
      <c r="AE200" s="228"/>
      <c r="AF200" s="228"/>
      <c r="AG200" s="228"/>
      <c r="AH200" s="228"/>
      <c r="AI200" s="228"/>
      <c r="AN200" s="1330">
        <v>0.18</v>
      </c>
      <c r="AO200" s="228"/>
      <c r="AP200" s="228"/>
      <c r="AQ200" s="228"/>
      <c r="AR200" s="228"/>
      <c r="AS200" s="228"/>
      <c r="AT200" s="228"/>
      <c r="AU200" s="228"/>
      <c r="AV200" s="228"/>
      <c r="AW200" s="228"/>
      <c r="AX200" s="228"/>
      <c r="AY200" s="228"/>
      <c r="AZ200" s="228"/>
      <c r="BA200" s="228"/>
      <c r="BB200" s="228"/>
      <c r="BC200" s="228"/>
      <c r="BD200" s="228"/>
      <c r="BE200" s="228"/>
      <c r="BF200" s="228"/>
      <c r="BG200" s="829"/>
      <c r="BH200" s="228"/>
      <c r="BI200" s="228"/>
      <c r="BJ200" s="228"/>
      <c r="BK200" s="228"/>
      <c r="BL200" s="228"/>
      <c r="BM200" s="228"/>
    </row>
    <row r="201" spans="2:71" s="3" customFormat="1">
      <c r="B201" s="884" t="str">
        <f>+B193</f>
        <v>More Personal Computing</v>
      </c>
      <c r="L201" s="228"/>
      <c r="M201" s="228"/>
      <c r="N201" s="228"/>
      <c r="O201" s="228"/>
      <c r="P201" s="228"/>
      <c r="Q201" s="228"/>
      <c r="R201" s="228"/>
      <c r="S201" s="228"/>
      <c r="T201" s="228"/>
      <c r="U201" s="228"/>
      <c r="V201" s="228"/>
      <c r="W201" s="228"/>
      <c r="X201" s="228"/>
      <c r="Y201" s="228"/>
      <c r="Z201" s="228"/>
      <c r="AA201" s="228"/>
      <c r="AB201" s="228"/>
      <c r="AC201" s="228"/>
      <c r="AD201" s="228"/>
      <c r="AE201" s="228"/>
      <c r="AF201" s="228"/>
      <c r="AG201" s="228"/>
      <c r="AH201" s="228"/>
      <c r="AI201" s="228"/>
      <c r="AN201" s="1063">
        <f>(AJ186*(1-4%)+680+230)/AJ186-1</f>
        <v>0.20661246612466111</v>
      </c>
      <c r="AO201" s="228"/>
      <c r="AP201" s="228"/>
      <c r="AQ201" s="228"/>
      <c r="AR201" s="228"/>
      <c r="AS201" s="228"/>
      <c r="AT201" s="228"/>
      <c r="AU201" s="228"/>
      <c r="AV201" s="228"/>
      <c r="AW201" s="228"/>
      <c r="AX201" s="228"/>
      <c r="AY201" s="228"/>
      <c r="AZ201" s="228"/>
      <c r="BA201" s="228"/>
      <c r="BB201" s="228"/>
      <c r="BC201" s="228"/>
      <c r="BD201" s="228"/>
      <c r="BE201" s="228"/>
      <c r="BF201" s="228"/>
      <c r="BG201" s="829"/>
      <c r="BH201" s="228"/>
      <c r="BI201" s="228"/>
      <c r="BJ201" s="228"/>
      <c r="BK201" s="228"/>
      <c r="BL201" s="228"/>
      <c r="BM201" s="228"/>
    </row>
    <row r="202" spans="2:71" s="3" customFormat="1" ht="11.45">
      <c r="B202" s="884" t="str">
        <f>+B194</f>
        <v>Corporate and Other</v>
      </c>
      <c r="L202" s="840"/>
      <c r="M202" s="840"/>
      <c r="N202" s="840"/>
      <c r="O202" s="840"/>
      <c r="P202" s="840"/>
      <c r="Q202" s="840"/>
      <c r="R202" s="840"/>
      <c r="S202" s="840"/>
      <c r="T202" s="840"/>
      <c r="U202" s="840"/>
      <c r="V202" s="840"/>
      <c r="W202" s="840"/>
      <c r="X202" s="840"/>
      <c r="Y202" s="840"/>
      <c r="Z202" s="840"/>
      <c r="AA202" s="840"/>
      <c r="AB202" s="840"/>
      <c r="AC202" s="840"/>
      <c r="AD202" s="840"/>
      <c r="AE202" s="840"/>
      <c r="AF202" s="840"/>
      <c r="AG202" s="840"/>
      <c r="AH202" s="840"/>
      <c r="AI202" s="840"/>
      <c r="AN202" s="1331" t="str">
        <f t="shared" ref="AN202" si="1482">+IFERROR(AN194/AJ194-1,"NA ")</f>
        <v xml:space="preserve">NA </v>
      </c>
      <c r="AO202" s="228"/>
      <c r="AP202" s="840"/>
      <c r="AQ202" s="840"/>
      <c r="AR202" s="840"/>
      <c r="AS202" s="840"/>
      <c r="AT202" s="840"/>
      <c r="AU202" s="840"/>
      <c r="AV202" s="840"/>
      <c r="AW202" s="840"/>
      <c r="AX202" s="840"/>
      <c r="AY202" s="840"/>
      <c r="AZ202" s="840"/>
      <c r="BA202" s="840"/>
      <c r="BB202" s="840"/>
      <c r="BC202" s="840"/>
      <c r="BD202" s="840"/>
      <c r="BE202" s="840"/>
      <c r="BF202" s="840"/>
      <c r="BG202" s="908"/>
      <c r="BH202" s="840"/>
      <c r="BI202" s="840"/>
      <c r="BJ202" s="840"/>
      <c r="BK202" s="840"/>
      <c r="BL202" s="840"/>
      <c r="BM202" s="840"/>
    </row>
    <row r="203" spans="2:71" s="7" customFormat="1">
      <c r="B203" s="887" t="str">
        <f>+B195</f>
        <v>Total operating income</v>
      </c>
      <c r="L203" s="842"/>
      <c r="M203" s="842"/>
      <c r="N203" s="842"/>
      <c r="O203" s="842"/>
      <c r="P203" s="842"/>
      <c r="Q203" s="842"/>
      <c r="R203" s="842"/>
      <c r="S203" s="842"/>
      <c r="T203" s="842">
        <f t="shared" ref="T203:AL203" si="1483">+T51</f>
        <v>0.32</v>
      </c>
      <c r="U203" s="842">
        <f t="shared" si="1483"/>
        <v>0.39</v>
      </c>
      <c r="V203" s="842">
        <f t="shared" si="1483"/>
        <v>0.28000000000000003</v>
      </c>
      <c r="W203" s="842">
        <f t="shared" si="1483"/>
        <v>0.19332527206771474</v>
      </c>
      <c r="X203" s="842">
        <f t="shared" si="1483"/>
        <v>0.25</v>
      </c>
      <c r="Y203" s="842">
        <f t="shared" si="1483"/>
        <v>0.26</v>
      </c>
      <c r="Z203" s="842">
        <f t="shared" si="1483"/>
        <v>0.27</v>
      </c>
      <c r="AA203" s="842">
        <f t="shared" si="1483"/>
        <v>0.35</v>
      </c>
      <c r="AB203" s="842">
        <f t="shared" si="1483"/>
        <v>0.24</v>
      </c>
      <c r="AC203" s="842">
        <f t="shared" si="1483"/>
        <v>0.24</v>
      </c>
      <c r="AD203" s="842">
        <f t="shared" si="1483"/>
        <v>0.23</v>
      </c>
      <c r="AE203" s="842">
        <f t="shared" si="1483"/>
        <v>0.14000000000000001</v>
      </c>
      <c r="AF203" s="842">
        <f t="shared" si="1483"/>
        <v>0.15</v>
      </c>
      <c r="AG203" s="842">
        <f t="shared" si="1483"/>
        <v>0.06</v>
      </c>
      <c r="AH203" s="842">
        <f t="shared" si="1483"/>
        <v>0.15</v>
      </c>
      <c r="AI203" s="842">
        <f t="shared" si="1483"/>
        <v>0.21</v>
      </c>
      <c r="AJ203" s="842">
        <f t="shared" si="1483"/>
        <v>0.24</v>
      </c>
      <c r="AK203" s="842">
        <f t="shared" si="1483"/>
        <v>0.27560964302271662</v>
      </c>
      <c r="AL203" s="842">
        <f t="shared" si="1483"/>
        <v>0.2759931997136722</v>
      </c>
      <c r="AM203" s="842">
        <f>+AM51</f>
        <v>0.20011297105632053</v>
      </c>
      <c r="AN203" s="842">
        <f>+SUMPRODUCT(AN199:AN201,AJ184:AJ186)/SUM(AJ184:AJ186)</f>
        <v>0.17301952035694365</v>
      </c>
      <c r="AO203" s="228"/>
      <c r="AP203" s="842"/>
      <c r="AQ203" s="842"/>
      <c r="AR203" s="842"/>
      <c r="AS203" s="842"/>
      <c r="AT203" s="842"/>
      <c r="AU203" s="842"/>
      <c r="AV203" s="842"/>
      <c r="AW203" s="842"/>
      <c r="AX203" s="842"/>
      <c r="AY203" s="842"/>
      <c r="AZ203" s="842"/>
      <c r="BA203" s="842"/>
      <c r="BB203" s="842"/>
      <c r="BC203" s="842"/>
      <c r="BD203" s="842"/>
      <c r="BE203" s="842"/>
      <c r="BF203" s="842"/>
      <c r="BG203" s="1177"/>
      <c r="BH203" s="842"/>
      <c r="BI203" s="842">
        <f t="shared" ref="BI203:BP203" si="1484">+BI51</f>
        <v>0.17249565306331185</v>
      </c>
      <c r="BJ203" s="842">
        <f t="shared" si="1484"/>
        <v>0.24103656797307321</v>
      </c>
      <c r="BK203" s="842">
        <f t="shared" si="1484"/>
        <v>0.29050722782187671</v>
      </c>
      <c r="BL203" s="842">
        <f t="shared" si="1484"/>
        <v>0.28283879982628074</v>
      </c>
      <c r="BM203" s="842">
        <f t="shared" si="1484"/>
        <v>0.21025030036043252</v>
      </c>
      <c r="BN203" s="842">
        <f t="shared" si="1484"/>
        <v>0.14076322511782977</v>
      </c>
      <c r="BO203" s="842">
        <f t="shared" si="1484"/>
        <v>0.24674738555533252</v>
      </c>
      <c r="BP203" s="842">
        <f t="shared" si="1484"/>
        <v>0.1605836161714907</v>
      </c>
    </row>
    <row r="204" spans="2:71" s="7" customFormat="1">
      <c r="B204" s="887" t="s">
        <v>349</v>
      </c>
      <c r="L204" s="842"/>
      <c r="M204" s="842"/>
      <c r="N204" s="842"/>
      <c r="O204" s="842"/>
      <c r="P204" s="842"/>
      <c r="Q204" s="842"/>
      <c r="R204" s="842"/>
      <c r="S204" s="842"/>
      <c r="T204" s="842">
        <f t="shared" ref="T204:AC204" si="1485">+T52</f>
        <v>0.32</v>
      </c>
      <c r="U204" s="842">
        <f t="shared" si="1485"/>
        <v>0.39</v>
      </c>
      <c r="V204" s="842">
        <f t="shared" si="1485"/>
        <v>0.28000000000000003</v>
      </c>
      <c r="W204" s="842">
        <f t="shared" si="1485"/>
        <v>0.19332527206771474</v>
      </c>
      <c r="X204" s="842">
        <f t="shared" si="1485"/>
        <v>0.25</v>
      </c>
      <c r="Y204" s="842">
        <f t="shared" si="1485"/>
        <v>0.26</v>
      </c>
      <c r="Z204" s="842">
        <f t="shared" si="1485"/>
        <v>0.27</v>
      </c>
      <c r="AA204" s="842">
        <f t="shared" si="1485"/>
        <v>0.35</v>
      </c>
      <c r="AB204" s="842">
        <f t="shared" si="1485"/>
        <v>0.24</v>
      </c>
      <c r="AC204" s="842">
        <f t="shared" si="1485"/>
        <v>0.24</v>
      </c>
      <c r="AD204" s="842" t="s">
        <v>273</v>
      </c>
      <c r="AE204" s="842" t="s">
        <v>273</v>
      </c>
      <c r="AF204" s="842" t="s">
        <v>273</v>
      </c>
      <c r="AG204" s="842" t="s">
        <v>273</v>
      </c>
      <c r="AH204" s="842" t="s">
        <v>273</v>
      </c>
      <c r="AI204" s="842" t="s">
        <v>273</v>
      </c>
      <c r="AJ204" s="842">
        <f>+AJ52</f>
        <v>0.24</v>
      </c>
      <c r="AK204" s="842">
        <f>+AK52</f>
        <v>0.24462076958738976</v>
      </c>
      <c r="AL204" s="842">
        <f>+AL52</f>
        <v>0.25059735146743023</v>
      </c>
      <c r="AM204" s="842">
        <f>+AM52</f>
        <v>0.17678708666611687</v>
      </c>
      <c r="AN204" s="842">
        <f>+AN52</f>
        <v>0.15619633903123731</v>
      </c>
      <c r="AO204" s="228"/>
      <c r="AP204" s="842"/>
      <c r="AQ204" s="842"/>
      <c r="AR204" s="842"/>
      <c r="AS204" s="842"/>
      <c r="AT204" s="842"/>
      <c r="AU204" s="842"/>
      <c r="AV204" s="842"/>
      <c r="AW204" s="842"/>
      <c r="AX204" s="842"/>
      <c r="AY204" s="842"/>
      <c r="AZ204" s="842"/>
      <c r="BA204" s="842"/>
      <c r="BB204" s="842"/>
      <c r="BC204" s="842"/>
      <c r="BD204" s="842"/>
      <c r="BE204" s="842"/>
      <c r="BF204" s="842"/>
      <c r="BG204" s="1177"/>
      <c r="BH204" s="842"/>
      <c r="BI204" s="842">
        <f t="shared" ref="BI204:BP204" si="1486">+BI52</f>
        <v>0.17249565306331185</v>
      </c>
      <c r="BJ204" s="842">
        <f t="shared" si="1486"/>
        <v>0.24103656797307321</v>
      </c>
      <c r="BK204" s="842">
        <f t="shared" si="1486"/>
        <v>0.29050722782187671</v>
      </c>
      <c r="BL204" s="842">
        <f t="shared" si="1486"/>
        <v>0.28283879982628074</v>
      </c>
      <c r="BM204" s="842" t="s">
        <v>273</v>
      </c>
      <c r="BN204" s="842" t="s">
        <v>273</v>
      </c>
      <c r="BO204" s="842">
        <f t="shared" si="1486"/>
        <v>0.23278034205186526</v>
      </c>
      <c r="BP204" s="842">
        <f t="shared" si="1486"/>
        <v>0.15344578957730942</v>
      </c>
    </row>
    <row r="205" spans="2:71" s="3" customFormat="1">
      <c r="AN205" s="228"/>
      <c r="AO205" s="228"/>
    </row>
    <row r="206" spans="2:71" s="3" customFormat="1">
      <c r="B206" s="1233" t="s">
        <v>127</v>
      </c>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N206" s="228"/>
      <c r="AO206" s="228"/>
      <c r="AP206" s="14"/>
      <c r="AQ206" s="14"/>
      <c r="BC206" s="14"/>
      <c r="BD206" s="14"/>
      <c r="BE206" s="14"/>
      <c r="BF206" s="14"/>
      <c r="BG206" s="14"/>
      <c r="BH206" s="14"/>
      <c r="BI206" s="14"/>
      <c r="BJ206" s="14"/>
      <c r="BK206" s="14"/>
      <c r="BL206" s="14"/>
      <c r="BM206" s="14"/>
      <c r="BR206"/>
      <c r="BS206"/>
    </row>
    <row r="207" spans="2:71" s="3" customFormat="1">
      <c r="B207" s="1234" t="s">
        <v>351</v>
      </c>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N207" s="836">
        <f>+AN726</f>
        <v>7.9241192411923983E-2</v>
      </c>
      <c r="AO207" s="228"/>
      <c r="AP207" s="23"/>
      <c r="AQ207" s="23"/>
      <c r="AR207" s="21"/>
      <c r="AS207" s="21"/>
      <c r="AT207" s="21"/>
      <c r="AU207" s="21"/>
      <c r="AV207" s="21"/>
      <c r="AW207" s="21"/>
      <c r="AX207" s="21"/>
      <c r="AY207" s="21"/>
      <c r="AZ207" s="21"/>
      <c r="BA207" s="21"/>
      <c r="BB207" s="21"/>
      <c r="BC207" s="891"/>
      <c r="BD207" s="891"/>
      <c r="BE207" s="891"/>
      <c r="BF207" s="891"/>
      <c r="BG207" s="829"/>
      <c r="BH207" s="23"/>
      <c r="BI207" s="23"/>
      <c r="BJ207" s="23"/>
      <c r="BK207" s="23"/>
      <c r="BL207" s="23"/>
      <c r="BM207" s="23"/>
    </row>
    <row r="208" spans="2:71" s="3" customFormat="1">
      <c r="AN208" s="228"/>
    </row>
    <row r="209" spans="2:82" s="3" customFormat="1">
      <c r="B209" s="883" t="s">
        <v>123</v>
      </c>
      <c r="AN209" s="228"/>
    </row>
    <row r="210" spans="2:82" s="3" customFormat="1">
      <c r="B210" s="884" t="str">
        <f>+B184</f>
        <v>Productivity and Business Processes</v>
      </c>
      <c r="H210" s="228"/>
      <c r="I210" s="228"/>
      <c r="J210" s="228"/>
      <c r="K210" s="228"/>
      <c r="L210" s="228"/>
      <c r="M210" s="228"/>
      <c r="N210" s="228"/>
      <c r="O210" s="228"/>
      <c r="P210" s="228"/>
      <c r="Q210" s="228"/>
      <c r="R210" s="228"/>
      <c r="S210" s="228"/>
      <c r="T210" s="228"/>
      <c r="U210" s="228"/>
      <c r="V210" s="228"/>
      <c r="W210" s="228"/>
      <c r="X210" s="228"/>
      <c r="Y210" s="228"/>
      <c r="Z210" s="228"/>
      <c r="AA210" s="228"/>
      <c r="AB210" s="228"/>
      <c r="AC210" s="228"/>
      <c r="AD210" s="228"/>
      <c r="AE210" s="228"/>
      <c r="AF210" s="228">
        <f t="shared" ref="AF210:AI210" si="1487">+IFERROR(AF184/AF152,"n/a ")</f>
        <v>0.54090785539548791</v>
      </c>
      <c r="AG210" s="228" t="str">
        <f t="shared" si="1487"/>
        <v xml:space="preserve">n/a </v>
      </c>
      <c r="AH210" s="228">
        <f t="shared" si="1487"/>
        <v>0.53397977096046145</v>
      </c>
      <c r="AI210" s="228">
        <f t="shared" si="1487"/>
        <v>0.54307409291948805</v>
      </c>
      <c r="AJ210" s="228">
        <f t="shared" ref="AJ210:AN212" si="1488">+IFERROR(AJ184/AJ152,"n/a ")</f>
        <v>0.56675652104971064</v>
      </c>
      <c r="AK210" s="228">
        <f t="shared" si="1488"/>
        <v>0.56142183027771331</v>
      </c>
      <c r="AL210" s="228">
        <f t="shared" si="1488"/>
        <v>0.55851436580238267</v>
      </c>
      <c r="AM210" s="228">
        <f t="shared" si="1488"/>
        <v>0.54864288957976737</v>
      </c>
      <c r="AN210" s="228">
        <f t="shared" si="1488"/>
        <v>0.58325387576367549</v>
      </c>
      <c r="AO210" s="829">
        <f>+AN210-AJ210+AK210</f>
        <v>0.57791918499167816</v>
      </c>
      <c r="AP210" s="829">
        <f>+AO210-AK210+AL210</f>
        <v>0.57501172051634752</v>
      </c>
      <c r="AQ210" s="829">
        <f>+AP210-AL210+AM210</f>
        <v>0.56514024429373222</v>
      </c>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f t="shared" ref="BO210:BP212" si="1489">+IFERROR(BO184/BO152,"n/a ")</f>
        <v>0.55851900393184795</v>
      </c>
      <c r="BP210" s="228">
        <f t="shared" si="1489"/>
        <v>0.5750218080527737</v>
      </c>
    </row>
    <row r="211" spans="2:82" s="3" customFormat="1">
      <c r="B211" s="884" t="str">
        <f>+B185</f>
        <v>Intelligent Cloud</v>
      </c>
      <c r="H211" s="228"/>
      <c r="I211" s="228"/>
      <c r="J211" s="228"/>
      <c r="K211" s="228"/>
      <c r="L211" s="228"/>
      <c r="M211" s="228"/>
      <c r="N211" s="228"/>
      <c r="O211" s="228"/>
      <c r="P211" s="228"/>
      <c r="Q211" s="228"/>
      <c r="R211" s="228"/>
      <c r="S211" s="228"/>
      <c r="T211" s="228"/>
      <c r="U211" s="228"/>
      <c r="V211" s="228"/>
      <c r="W211" s="228"/>
      <c r="X211" s="228"/>
      <c r="Y211" s="228"/>
      <c r="Z211" s="228"/>
      <c r="AA211" s="228"/>
      <c r="AB211" s="228"/>
      <c r="AC211" s="228"/>
      <c r="AD211" s="228"/>
      <c r="AE211" s="228"/>
      <c r="AF211" s="228">
        <f t="shared" ref="AF211:AI211" si="1490">+IFERROR(AF185/AF153,"n/a ")</f>
        <v>0.39976310334616522</v>
      </c>
      <c r="AG211" s="228" t="str">
        <f t="shared" si="1490"/>
        <v xml:space="preserve">n/a </v>
      </c>
      <c r="AH211" s="228">
        <f t="shared" si="1490"/>
        <v>0.38461960096470071</v>
      </c>
      <c r="AI211" s="228">
        <f t="shared" si="1490"/>
        <v>0.39805922871939264</v>
      </c>
      <c r="AJ211" s="228">
        <f t="shared" si="1488"/>
        <v>0.44511067805926147</v>
      </c>
      <c r="AK211" s="228">
        <f t="shared" si="1488"/>
        <v>0.44390243902439025</v>
      </c>
      <c r="AL211" s="228">
        <f t="shared" si="1488"/>
        <v>0.42974572060882527</v>
      </c>
      <c r="AM211" s="228">
        <f t="shared" si="1488"/>
        <v>0.41349590077780113</v>
      </c>
      <c r="AN211" s="228">
        <f t="shared" si="1488"/>
        <v>0.4359538435995351</v>
      </c>
      <c r="AO211" s="829">
        <v>0.43</v>
      </c>
      <c r="AP211" s="829">
        <v>0.42499999999999999</v>
      </c>
      <c r="AQ211" s="829">
        <v>0.41</v>
      </c>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f t="shared" si="1489"/>
        <v>0.43232644287935607</v>
      </c>
      <c r="BP211" s="228">
        <f t="shared" si="1489"/>
        <v>0.42459229376851015</v>
      </c>
    </row>
    <row r="212" spans="2:82" s="3" customFormat="1">
      <c r="B212" s="884" t="str">
        <f>+B186</f>
        <v>More Personal Computing</v>
      </c>
      <c r="H212" s="228"/>
      <c r="I212" s="228"/>
      <c r="J212" s="228"/>
      <c r="K212" s="228"/>
      <c r="L212" s="228"/>
      <c r="M212" s="228"/>
      <c r="N212" s="228"/>
      <c r="O212" s="228"/>
      <c r="P212" s="228"/>
      <c r="Q212" s="228"/>
      <c r="R212" s="228"/>
      <c r="S212" s="228"/>
      <c r="T212" s="228"/>
      <c r="U212" s="228"/>
      <c r="V212" s="228"/>
      <c r="W212" s="228"/>
      <c r="X212" s="228"/>
      <c r="Y212" s="228"/>
      <c r="Z212" s="228"/>
      <c r="AA212" s="228"/>
      <c r="AB212" s="228"/>
      <c r="AC212" s="228"/>
      <c r="AD212" s="228"/>
      <c r="AE212" s="228"/>
      <c r="AF212" s="228">
        <f t="shared" ref="AF212:AI212" si="1491">+IFERROR(AF186/AF154,"n/a ")</f>
        <v>0.25333691659948043</v>
      </c>
      <c r="AG212" s="228" t="str">
        <f t="shared" si="1491"/>
        <v xml:space="preserve">n/a </v>
      </c>
      <c r="AH212" s="228">
        <f t="shared" si="1491"/>
        <v>0.23944979882099748</v>
      </c>
      <c r="AI212" s="228">
        <f t="shared" si="1491"/>
        <v>0.22900195330666914</v>
      </c>
      <c r="AJ212" s="228">
        <f t="shared" si="1488"/>
        <v>0.32718567121830111</v>
      </c>
      <c r="AK212" s="228">
        <f t="shared" si="1488"/>
        <v>0.27948910593538695</v>
      </c>
      <c r="AL212" s="228">
        <f t="shared" si="1488"/>
        <v>0.3064900031735957</v>
      </c>
      <c r="AM212" s="228">
        <f t="shared" si="1488"/>
        <v>0.26991473812423872</v>
      </c>
      <c r="AN212" s="228">
        <f t="shared" si="1488"/>
        <v>0.33720400728597449</v>
      </c>
      <c r="AO212" s="228">
        <f>+IFERROR(AO186/AO154,"n/a ")</f>
        <v>0.28508538296925162</v>
      </c>
      <c r="AP212" s="228">
        <f>+IFERROR(AP186/AP154,"n/a ")</f>
        <v>0.31261766479742098</v>
      </c>
      <c r="AQ212" s="228">
        <f>+IFERROR(AQ186/AQ154,"n/a ")</f>
        <v>0.2753692428568979</v>
      </c>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f t="shared" si="1489"/>
        <v>0.29444510012195602</v>
      </c>
      <c r="BP212" s="228">
        <f t="shared" si="1489"/>
        <v>0.30236322809480159</v>
      </c>
    </row>
    <row r="213" spans="2:82" s="3" customFormat="1" ht="11.45">
      <c r="B213" s="884" t="str">
        <f>+B187</f>
        <v>Corporate and Other</v>
      </c>
      <c r="H213" s="840"/>
      <c r="I213" s="840"/>
      <c r="J213" s="840"/>
      <c r="K213" s="840"/>
      <c r="L213" s="840"/>
      <c r="M213" s="840"/>
      <c r="N213" s="840"/>
      <c r="O213" s="840"/>
      <c r="P213" s="840"/>
      <c r="Q213" s="840"/>
      <c r="R213" s="840"/>
      <c r="S213" s="840"/>
      <c r="T213" s="840"/>
      <c r="U213" s="840"/>
      <c r="V213" s="840"/>
      <c r="W213" s="840"/>
      <c r="X213" s="840"/>
      <c r="Y213" s="840"/>
      <c r="Z213" s="840"/>
      <c r="AA213" s="840"/>
      <c r="AB213" s="840"/>
      <c r="AC213" s="840"/>
      <c r="AD213" s="840"/>
      <c r="AE213" s="840"/>
      <c r="AF213" s="840">
        <f t="shared" ref="AF213:AI213" si="1492">+IFERROR(AF187/AF156,"n/a ")</f>
        <v>0</v>
      </c>
      <c r="AG213" s="840">
        <f t="shared" si="1492"/>
        <v>0</v>
      </c>
      <c r="AH213" s="840">
        <f t="shared" si="1492"/>
        <v>0</v>
      </c>
      <c r="AI213" s="840">
        <f t="shared" si="1492"/>
        <v>0</v>
      </c>
      <c r="AJ213" s="840">
        <f>+IFERROR(AJ187/AJ156,"n/a ")</f>
        <v>0</v>
      </c>
      <c r="AK213" s="840">
        <f>+IFERROR(AK187/AK156,"n/a ")</f>
        <v>0</v>
      </c>
      <c r="AL213" s="840">
        <f>+IFERROR(AL187/AL156,"n/a ")</f>
        <v>0</v>
      </c>
      <c r="AM213" s="840">
        <f>+IFERROR(AM187/AM156,"n/a ")</f>
        <v>0</v>
      </c>
      <c r="AN213" s="840">
        <f t="shared" ref="AN213" si="1493">+IFERROR(AN187/AN156,"n/a ")</f>
        <v>0</v>
      </c>
      <c r="AO213" s="908">
        <v>0</v>
      </c>
      <c r="AP213" s="908">
        <v>0</v>
      </c>
      <c r="AQ213" s="908">
        <v>0</v>
      </c>
      <c r="AR213" s="840"/>
      <c r="AS213" s="840"/>
      <c r="AT213" s="840"/>
      <c r="AU213" s="840"/>
      <c r="AV213" s="840"/>
      <c r="AW213" s="840"/>
      <c r="AX213" s="840"/>
      <c r="AY213" s="840"/>
      <c r="AZ213" s="840"/>
      <c r="BA213" s="840"/>
      <c r="BB213" s="840"/>
      <c r="BC213" s="840"/>
      <c r="BD213" s="840"/>
      <c r="BE213" s="840"/>
      <c r="BF213" s="840"/>
      <c r="BG213" s="840"/>
      <c r="BH213" s="840"/>
      <c r="BI213" s="840"/>
      <c r="BJ213" s="840"/>
      <c r="BK213" s="840"/>
      <c r="BL213" s="840"/>
      <c r="BM213" s="840"/>
      <c r="BN213" s="840"/>
      <c r="BO213" s="840">
        <f>+IFERROR(BO187/BO156,"n/a ")</f>
        <v>0</v>
      </c>
      <c r="BP213" s="840">
        <f>+IFERROR(BP187/BP156,"n/a ")</f>
        <v>0</v>
      </c>
    </row>
    <row r="214" spans="2:82" s="7" customFormat="1">
      <c r="B214" s="887" t="str">
        <f>+B188</f>
        <v>Total operating income</v>
      </c>
      <c r="H214" s="842"/>
      <c r="I214" s="842"/>
      <c r="J214" s="842"/>
      <c r="K214" s="842"/>
      <c r="L214" s="842"/>
      <c r="M214" s="842"/>
      <c r="N214" s="842"/>
      <c r="O214" s="842"/>
      <c r="P214" s="842"/>
      <c r="Q214" s="842"/>
      <c r="R214" s="842"/>
      <c r="S214" s="842"/>
      <c r="T214" s="842">
        <f t="shared" ref="T214:AE214" si="1494">+IFERROR(T188/T156,"n/a ")</f>
        <v>0.38378460142187265</v>
      </c>
      <c r="U214" s="842">
        <f t="shared" si="1494"/>
        <v>0.37638866309001245</v>
      </c>
      <c r="V214" s="842">
        <f t="shared" si="1494"/>
        <v>0.37049199051997372</v>
      </c>
      <c r="W214" s="842">
        <f t="shared" si="1494"/>
        <v>0.35250966266137301</v>
      </c>
      <c r="X214" s="842">
        <f t="shared" si="1494"/>
        <v>0.42730257845723207</v>
      </c>
      <c r="Y214" s="842">
        <f t="shared" si="1494"/>
        <v>0.41547497446373849</v>
      </c>
      <c r="Z214" s="842">
        <f t="shared" si="1494"/>
        <v>0.40876612477820939</v>
      </c>
      <c r="AA214" s="842">
        <f t="shared" si="1494"/>
        <v>0.41374154966198645</v>
      </c>
      <c r="AB214" s="842">
        <f t="shared" si="1494"/>
        <v>0.44658737339188381</v>
      </c>
      <c r="AC214" s="842">
        <f t="shared" si="1494"/>
        <v>0.43007655428394681</v>
      </c>
      <c r="AD214" s="842">
        <f t="shared" si="1494"/>
        <v>0.41256077795786061</v>
      </c>
      <c r="AE214" s="842">
        <f t="shared" si="1494"/>
        <v>0.3959124650535043</v>
      </c>
      <c r="AF214" s="842">
        <f t="shared" ref="AF214:AI214" si="1495">+IFERROR(AF188/AF156,"n/a ")</f>
        <v>0.42931247755476637</v>
      </c>
      <c r="AG214" s="842">
        <f t="shared" si="1495"/>
        <v>0.408928924867765</v>
      </c>
      <c r="AH214" s="842">
        <f t="shared" si="1495"/>
        <v>0.42287681858599618</v>
      </c>
      <c r="AI214" s="842">
        <f t="shared" si="1495"/>
        <v>0.4316503230169606</v>
      </c>
      <c r="AJ214" s="842">
        <f>+IFERROR(AJ188/AJ156,"n/a ")</f>
        <v>0.47587451563246458</v>
      </c>
      <c r="AK214" s="842">
        <f>+IFERROR(AK188/AK156,"n/a ")</f>
        <v>0.45407932924862948</v>
      </c>
      <c r="AL214" s="842">
        <f>+IFERROR(AL188/AL156,"n/a ")</f>
        <v>0.46107213294965887</v>
      </c>
      <c r="AM214" s="842">
        <f>+IFERROR(AM188/AM156,"n/a ")</f>
        <v>0.44594991271030637</v>
      </c>
      <c r="AN214" s="842">
        <f t="shared" ref="AN214:AQ214" si="1496">+IFERROR(AN188/AN156,"n/a ")</f>
        <v>0.47971334908896851</v>
      </c>
      <c r="AO214" s="842">
        <f t="shared" si="1496"/>
        <v>0.46226445246422182</v>
      </c>
      <c r="AP214" s="842">
        <f t="shared" si="1496"/>
        <v>0.47020530793406384</v>
      </c>
      <c r="AQ214" s="842">
        <f t="shared" si="1496"/>
        <v>0.45439249032650031</v>
      </c>
      <c r="AR214" s="842"/>
      <c r="AS214" s="842"/>
      <c r="AT214" s="842"/>
      <c r="AU214" s="842"/>
      <c r="AV214" s="842"/>
      <c r="AW214" s="842"/>
      <c r="AX214" s="842"/>
      <c r="AY214" s="842"/>
      <c r="AZ214" s="842"/>
      <c r="BA214" s="842"/>
      <c r="BB214" s="842"/>
      <c r="BC214" s="842"/>
      <c r="BD214" s="842"/>
      <c r="BE214" s="842"/>
      <c r="BF214" s="842"/>
      <c r="BG214" s="842"/>
      <c r="BH214" s="842"/>
      <c r="BI214" s="842">
        <f t="shared" ref="BI214:BM214" si="1497">+IFERROR(BI188/BI156,"n/a ")</f>
        <v>0.31766944545125048</v>
      </c>
      <c r="BJ214" s="842">
        <f t="shared" si="1497"/>
        <v>0.3413698020549415</v>
      </c>
      <c r="BK214" s="842">
        <f t="shared" si="1497"/>
        <v>0.37030381428521486</v>
      </c>
      <c r="BL214" s="842">
        <f t="shared" si="1497"/>
        <v>0.41594878872971303</v>
      </c>
      <c r="BM214" s="842">
        <f t="shared" si="1497"/>
        <v>0.4205527815604983</v>
      </c>
      <c r="BN214" s="842">
        <f>+IFERROR(BN188/BN156,"n/a ")</f>
        <v>0.42325460679989618</v>
      </c>
      <c r="BO214" s="842">
        <f>+IFERROR(BO188/BO156,"n/a ")</f>
        <v>0.45872259527908554</v>
      </c>
      <c r="BP214" s="842">
        <f>+IFERROR(BP188/BP156,"n/a ")</f>
        <v>0.46628441657065972</v>
      </c>
    </row>
    <row r="215" spans="2:82" s="7" customFormat="1">
      <c r="B215" s="887" t="s">
        <v>349</v>
      </c>
      <c r="H215" s="842"/>
      <c r="I215" s="842"/>
      <c r="J215" s="842"/>
      <c r="K215" s="842"/>
      <c r="L215" s="842"/>
      <c r="M215" s="842"/>
      <c r="N215" s="842"/>
      <c r="O215" s="842"/>
      <c r="P215" s="842"/>
      <c r="Q215" s="842"/>
      <c r="R215" s="842"/>
      <c r="S215" s="842"/>
      <c r="T215" s="842">
        <f>+T214</f>
        <v>0.38378460142187265</v>
      </c>
      <c r="U215" s="842">
        <f t="shared" ref="U215:AC215" si="1498">+U214</f>
        <v>0.37638866309001245</v>
      </c>
      <c r="V215" s="842">
        <f t="shared" si="1498"/>
        <v>0.37049199051997372</v>
      </c>
      <c r="W215" s="842">
        <f t="shared" si="1498"/>
        <v>0.35250966266137301</v>
      </c>
      <c r="X215" s="842">
        <f t="shared" si="1498"/>
        <v>0.42730257845723207</v>
      </c>
      <c r="Y215" s="842">
        <f t="shared" si="1498"/>
        <v>0.41547497446373849</v>
      </c>
      <c r="Z215" s="842">
        <f t="shared" si="1498"/>
        <v>0.40876612477820939</v>
      </c>
      <c r="AA215" s="842">
        <f t="shared" si="1498"/>
        <v>0.41374154966198645</v>
      </c>
      <c r="AB215" s="842">
        <f t="shared" si="1498"/>
        <v>0.44658737339188381</v>
      </c>
      <c r="AC215" s="842">
        <f t="shared" si="1498"/>
        <v>0.43007655428394681</v>
      </c>
      <c r="AD215" s="842" t="s">
        <v>273</v>
      </c>
      <c r="AE215" s="842" t="s">
        <v>273</v>
      </c>
      <c r="AF215" s="842" t="s">
        <v>273</v>
      </c>
      <c r="AG215" s="842" t="s">
        <v>273</v>
      </c>
      <c r="AH215" s="842" t="s">
        <v>273</v>
      </c>
      <c r="AI215" s="842" t="s">
        <v>273</v>
      </c>
      <c r="AJ215" s="842">
        <f>+(AJ184+AJ185+AJ720)/(AJ152+AJ153+AJ698)</f>
        <v>0.47587451563246458</v>
      </c>
      <c r="AK215" s="842">
        <f>+(AK184+AK185+AK720)/(AK152+AK153+AK698)</f>
        <v>0.45832499165832497</v>
      </c>
      <c r="AL215" s="842">
        <f>+(AL184+AL185+AL720)/(AL152+AL153+AL698)</f>
        <v>0.46638725621159499</v>
      </c>
      <c r="AM215" s="842">
        <f>+(AM184+AM185+AM720)/(AM152+AM153+AM698)</f>
        <v>0.44847494726156678</v>
      </c>
      <c r="AN215" s="842">
        <f>+(AN184+AN185+AN720)/(AN152+AN153+AN698)</f>
        <v>0.48504577822990846</v>
      </c>
      <c r="AO215" s="842"/>
      <c r="AP215" s="842"/>
      <c r="AQ215" s="842"/>
      <c r="AR215" s="842"/>
      <c r="AS215" s="842"/>
      <c r="AT215" s="842"/>
      <c r="AU215" s="842"/>
      <c r="AV215" s="842"/>
      <c r="AW215" s="842"/>
      <c r="AX215" s="842"/>
      <c r="AY215" s="842"/>
      <c r="AZ215" s="842"/>
      <c r="BA215" s="842"/>
      <c r="BB215" s="842"/>
      <c r="BC215" s="842"/>
      <c r="BD215" s="842"/>
      <c r="BE215" s="842"/>
      <c r="BF215" s="842"/>
      <c r="BG215" s="842"/>
      <c r="BH215" s="842"/>
      <c r="BI215" s="842">
        <f t="shared" ref="BI215:BK215" si="1499">+BI214</f>
        <v>0.31766944545125048</v>
      </c>
      <c r="BJ215" s="842">
        <f t="shared" si="1499"/>
        <v>0.3413698020549415</v>
      </c>
      <c r="BK215" s="842">
        <f t="shared" si="1499"/>
        <v>0.37030381428521486</v>
      </c>
      <c r="BL215" s="842">
        <f>+BL214</f>
        <v>0.41594878872971303</v>
      </c>
      <c r="BM215" s="842" t="s">
        <v>273</v>
      </c>
      <c r="BN215" s="842" t="s">
        <v>273</v>
      </c>
      <c r="BO215" s="842">
        <f>+(BO184+BO185+BO720)/(BO152+BO153+BO698)</f>
        <v>0.46189095709129796</v>
      </c>
      <c r="BP215" s="842">
        <f>+(BP184+BP185+BP720)/(BP152+BP153+BP698)</f>
        <v>0.470067718469524</v>
      </c>
    </row>
    <row r="216" spans="2:82">
      <c r="B216" s="887"/>
      <c r="AC216" s="909"/>
      <c r="AD216" s="909"/>
      <c r="AE216" s="909"/>
      <c r="AF216" s="909"/>
      <c r="AG216" s="909"/>
      <c r="AH216" s="909"/>
      <c r="AI216" s="909"/>
      <c r="AJ216" s="909"/>
      <c r="AK216" s="909"/>
      <c r="AL216" s="909"/>
      <c r="AM216" s="909"/>
      <c r="AN216" s="909"/>
      <c r="AO216" s="909"/>
      <c r="AP216" s="909"/>
      <c r="AQ216" s="909"/>
    </row>
    <row r="217" spans="2:82" s="3" customFormat="1">
      <c r="B217" s="1233" t="s">
        <v>127</v>
      </c>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N217" s="228"/>
      <c r="AO217" s="228"/>
      <c r="AP217" s="14"/>
      <c r="AQ217" s="14"/>
      <c r="BC217" s="14"/>
      <c r="BD217" s="14"/>
      <c r="BE217" s="14"/>
      <c r="BF217" s="14"/>
      <c r="BG217" s="14"/>
      <c r="BH217" s="14"/>
      <c r="BI217" s="14"/>
      <c r="BJ217" s="14"/>
      <c r="BK217" s="14"/>
      <c r="BL217" s="14"/>
      <c r="BM217" s="14"/>
      <c r="BR217"/>
      <c r="BS217"/>
    </row>
    <row r="218" spans="2:82" s="3" customFormat="1">
      <c r="B218" s="1234" t="s">
        <v>356</v>
      </c>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28"/>
      <c r="AK218" s="228">
        <f t="shared" ref="AK218:AM218" si="1500">+AK729</f>
        <v>0.2708383090518271</v>
      </c>
      <c r="AL218" s="228">
        <f t="shared" si="1500"/>
        <v>0.3077863456836562</v>
      </c>
      <c r="AM218" s="228">
        <f t="shared" si="1500"/>
        <v>0.25707569346497416</v>
      </c>
      <c r="AN218" s="228">
        <f>+AN729</f>
        <v>0.34589935573741948</v>
      </c>
      <c r="AO218" s="228"/>
      <c r="AP218" s="23"/>
      <c r="AQ218" s="23"/>
      <c r="AR218" s="21"/>
      <c r="AS218" s="21"/>
      <c r="AT218" s="21"/>
      <c r="AU218" s="21"/>
      <c r="AV218" s="21"/>
      <c r="AW218" s="21"/>
      <c r="AX218" s="21"/>
      <c r="AY218" s="21"/>
      <c r="AZ218" s="21"/>
      <c r="BA218" s="21"/>
      <c r="BB218" s="21"/>
      <c r="BC218" s="891"/>
      <c r="BD218" s="891"/>
      <c r="BE218" s="891"/>
      <c r="BF218" s="891"/>
      <c r="BG218" s="829"/>
      <c r="BH218" s="23"/>
      <c r="BI218" s="23"/>
      <c r="BJ218" s="23"/>
      <c r="BK218" s="23"/>
      <c r="BL218" s="23"/>
      <c r="BM218" s="23"/>
      <c r="BO218" s="228">
        <f t="shared" ref="BO218:BP218" si="1501">+BO729</f>
        <v>0.29039194821317726</v>
      </c>
      <c r="BP218" s="228">
        <f t="shared" si="1501"/>
        <v>0.29655070244186338</v>
      </c>
    </row>
    <row r="219" spans="2:82">
      <c r="B219" s="875"/>
      <c r="C219" s="872"/>
      <c r="G219" s="872"/>
      <c r="K219" s="8"/>
      <c r="N219" s="872"/>
      <c r="T219" s="872"/>
      <c r="U219" s="845"/>
      <c r="V219" s="8"/>
      <c r="W219" s="8"/>
      <c r="X219" s="8"/>
      <c r="Y219" s="8"/>
      <c r="Z219" s="8"/>
      <c r="AA219" s="8"/>
      <c r="AB219" s="8"/>
      <c r="AC219" s="8"/>
      <c r="AD219" s="8"/>
      <c r="AE219" s="8"/>
      <c r="AF219" s="8"/>
      <c r="AO219" s="8"/>
      <c r="AP219" s="8"/>
      <c r="AQ219" s="8"/>
      <c r="AS219" s="8"/>
      <c r="AT219" s="8"/>
      <c r="AU219" s="8"/>
      <c r="AV219" s="8"/>
      <c r="AW219" s="8"/>
      <c r="AX219" s="8"/>
      <c r="AY219" s="8"/>
      <c r="AZ219" s="8"/>
      <c r="BA219" s="8"/>
      <c r="BB219" s="8"/>
      <c r="BC219" s="8"/>
      <c r="BD219" s="8"/>
      <c r="BE219" s="8"/>
      <c r="BG219" s="8"/>
      <c r="BH219" s="8"/>
      <c r="BI219" s="8"/>
      <c r="BJ219" s="8"/>
      <c r="BK219" s="8"/>
      <c r="BL219" s="8"/>
      <c r="BM219" s="8"/>
      <c r="BN219" s="8"/>
      <c r="BO219" s="8"/>
      <c r="BP219" s="8"/>
      <c r="BQ219" s="8"/>
      <c r="CD219" s="839"/>
    </row>
    <row r="220" spans="2:82" ht="10.5" hidden="1" outlineLevel="1">
      <c r="B220" s="5" t="s">
        <v>357</v>
      </c>
      <c r="C220" s="4"/>
      <c r="I220" s="3"/>
      <c r="CD220" s="7"/>
    </row>
    <row r="221" spans="2:82" hidden="1" outlineLevel="1">
      <c r="X221" s="824"/>
      <c r="Y221" s="824"/>
      <c r="BC221" s="876" t="s">
        <v>264</v>
      </c>
      <c r="BD221" s="877"/>
      <c r="CD221" s="3"/>
    </row>
    <row r="222" spans="2:82" ht="10.5" hidden="1" outlineLevel="1">
      <c r="B222" s="45" t="s">
        <v>86</v>
      </c>
      <c r="AG222" s="824"/>
      <c r="AH222" s="824"/>
      <c r="BT222" s="852"/>
      <c r="BU222" s="852"/>
      <c r="BV222" s="852"/>
      <c r="BW222" s="852"/>
      <c r="BX222" s="852"/>
      <c r="BY222" s="852"/>
      <c r="BZ222" s="852"/>
      <c r="CA222" s="852"/>
      <c r="CB222" s="852"/>
      <c r="CC222" s="852"/>
      <c r="CD222" s="3"/>
    </row>
    <row r="223" spans="2:82" ht="10.5" hidden="1" outlineLevel="1">
      <c r="B223" s="878" t="s">
        <v>340</v>
      </c>
      <c r="D223" s="879"/>
      <c r="E223" s="879"/>
      <c r="F223" s="879"/>
      <c r="G223" s="879"/>
      <c r="H223" s="879">
        <v>6436</v>
      </c>
      <c r="I223" s="879">
        <v>7179</v>
      </c>
      <c r="J223" s="879">
        <v>7707</v>
      </c>
      <c r="K223" s="879">
        <v>8548</v>
      </c>
      <c r="L223" s="879">
        <v>8238</v>
      </c>
      <c r="M223" s="879">
        <v>8953</v>
      </c>
      <c r="N223" s="879">
        <v>9006</v>
      </c>
      <c r="O223" s="879">
        <v>9668</v>
      </c>
      <c r="P223" s="879">
        <v>9771</v>
      </c>
      <c r="Q223" s="879">
        <v>10100</v>
      </c>
      <c r="R223" s="879">
        <v>10242</v>
      </c>
      <c r="S223" s="879">
        <f>+BJ223-SUM(P223:R223)</f>
        <v>11047</v>
      </c>
      <c r="T223" s="879">
        <v>11077</v>
      </c>
      <c r="U223" s="879">
        <v>11826</v>
      </c>
      <c r="V223" s="879">
        <v>11743</v>
      </c>
      <c r="W223" s="879">
        <v>11752</v>
      </c>
      <c r="X223" s="879">
        <v>12319</v>
      </c>
      <c r="Y223" s="879">
        <v>13353</v>
      </c>
      <c r="Z223" s="879">
        <v>13552</v>
      </c>
      <c r="AA223" s="879">
        <v>14691</v>
      </c>
      <c r="AB223" s="879">
        <v>15039</v>
      </c>
      <c r="AC223" s="879">
        <v>15936</v>
      </c>
      <c r="AD223" s="879">
        <v>15789</v>
      </c>
      <c r="AE223" s="879">
        <v>16600</v>
      </c>
      <c r="AF223" s="879">
        <v>16465</v>
      </c>
      <c r="AG223" s="879">
        <v>17002</v>
      </c>
      <c r="AH223" s="879">
        <v>17516</v>
      </c>
      <c r="AI223" s="879">
        <v>18291</v>
      </c>
      <c r="AJ223" s="879">
        <v>18592</v>
      </c>
      <c r="AK223" s="879">
        <v>19249</v>
      </c>
      <c r="AL223" s="879">
        <v>19570</v>
      </c>
      <c r="AM223" s="879">
        <v>20317</v>
      </c>
      <c r="AN223" s="880">
        <f t="shared" ref="AN223:AQ223" si="1502">+AN418</f>
        <v>20660.314099771094</v>
      </c>
      <c r="AO223" s="880">
        <f t="shared" si="1502"/>
        <v>21393.980785930853</v>
      </c>
      <c r="AP223" s="880">
        <f t="shared" si="1502"/>
        <v>21757.307821543749</v>
      </c>
      <c r="AQ223" s="880">
        <f t="shared" si="1502"/>
        <v>22580.306179484829</v>
      </c>
      <c r="AS223" s="879"/>
      <c r="AT223" s="879"/>
      <c r="AU223" s="879"/>
      <c r="AV223" s="879"/>
      <c r="AW223" s="879"/>
      <c r="AX223" s="879"/>
      <c r="AY223" s="879"/>
      <c r="AZ223" s="879"/>
      <c r="BA223" s="879"/>
      <c r="BB223" s="879">
        <v>26976</v>
      </c>
      <c r="BC223" s="879">
        <v>26430</v>
      </c>
      <c r="BD223" s="879">
        <v>26487</v>
      </c>
      <c r="BE223" s="879">
        <v>30444</v>
      </c>
      <c r="BG223" s="879">
        <v>25792</v>
      </c>
      <c r="BH223" s="879">
        <f>+SUM(H223:K223)</f>
        <v>29870</v>
      </c>
      <c r="BI223" s="879">
        <f>+SUM(L223:O223)</f>
        <v>35865</v>
      </c>
      <c r="BJ223" s="879">
        <v>41160</v>
      </c>
      <c r="BK223" s="880">
        <f>SUM(T223:W223)</f>
        <v>46398</v>
      </c>
      <c r="BL223" s="880">
        <f>SUM(X223:AA223)</f>
        <v>53915</v>
      </c>
      <c r="BM223" s="880">
        <f>SUM(AB223:AE223)</f>
        <v>63364</v>
      </c>
      <c r="BN223" s="880">
        <f>SUM(AF223:AI223)</f>
        <v>69274</v>
      </c>
      <c r="BO223" s="880">
        <f>SUM(AJ223:AM223)</f>
        <v>77728</v>
      </c>
      <c r="BP223" s="880">
        <f>+SUM(AN223:AQ223)</f>
        <v>86391.908886730525</v>
      </c>
      <c r="BT223" s="1"/>
      <c r="BU223" s="1"/>
      <c r="BV223" s="1"/>
      <c r="BW223" s="1"/>
      <c r="BX223" s="1"/>
      <c r="BY223" s="1"/>
      <c r="BZ223" s="1"/>
      <c r="CA223" s="1"/>
      <c r="CB223" s="1"/>
      <c r="CC223" s="1"/>
      <c r="CD223" s="3"/>
    </row>
    <row r="224" spans="2:82" hidden="1" outlineLevel="1">
      <c r="B224" s="878" t="s">
        <v>342</v>
      </c>
      <c r="D224" s="879"/>
      <c r="E224" s="879"/>
      <c r="F224" s="879"/>
      <c r="G224" s="879"/>
      <c r="H224" s="879">
        <v>6097</v>
      </c>
      <c r="I224" s="879">
        <v>6758</v>
      </c>
      <c r="J224" s="879">
        <v>6730</v>
      </c>
      <c r="K224" s="879">
        <v>7822</v>
      </c>
      <c r="L224" s="879">
        <v>6922</v>
      </c>
      <c r="M224" s="879">
        <v>7795</v>
      </c>
      <c r="N224" s="879">
        <v>7896</v>
      </c>
      <c r="O224" s="879">
        <v>9606</v>
      </c>
      <c r="P224" s="879">
        <v>8567</v>
      </c>
      <c r="Q224" s="879">
        <v>9378</v>
      </c>
      <c r="R224" s="879">
        <v>9649</v>
      </c>
      <c r="S224" s="879">
        <f>+BJ224-SUM(P224:R224)</f>
        <v>11391</v>
      </c>
      <c r="T224" s="879">
        <v>10845</v>
      </c>
      <c r="U224" s="879">
        <v>11869</v>
      </c>
      <c r="V224" s="879">
        <v>12281</v>
      </c>
      <c r="W224" s="879">
        <v>13371</v>
      </c>
      <c r="X224" s="879">
        <v>12986</v>
      </c>
      <c r="Y224" s="879">
        <v>14601</v>
      </c>
      <c r="Z224" s="879">
        <v>15118</v>
      </c>
      <c r="AA224" s="879">
        <v>17375</v>
      </c>
      <c r="AB224" s="879">
        <v>16964</v>
      </c>
      <c r="AC224" s="879">
        <v>18327</v>
      </c>
      <c r="AD224" s="879">
        <v>19051</v>
      </c>
      <c r="AE224" s="879">
        <v>20909</v>
      </c>
      <c r="AF224" s="879">
        <v>20325</v>
      </c>
      <c r="AG224" s="879">
        <v>21508</v>
      </c>
      <c r="AH224" s="879">
        <v>22081</v>
      </c>
      <c r="AI224" s="879">
        <v>23993</v>
      </c>
      <c r="AJ224" s="879">
        <v>24259</v>
      </c>
      <c r="AK224" s="879">
        <v>25880</v>
      </c>
      <c r="AL224" s="879">
        <v>26708</v>
      </c>
      <c r="AM224" s="879">
        <v>28515</v>
      </c>
      <c r="AN224" s="880">
        <f t="shared" ref="AN224:AQ224" si="1503">+AN603</f>
        <v>28786.466269840344</v>
      </c>
      <c r="AO224" s="880">
        <f t="shared" si="1503"/>
        <v>30836.678296588609</v>
      </c>
      <c r="AP224" s="880">
        <f t="shared" si="1503"/>
        <v>31801.478778377572</v>
      </c>
      <c r="AQ224" s="880">
        <f t="shared" si="1503"/>
        <v>34338.436134781681</v>
      </c>
      <c r="AS224" s="879"/>
      <c r="AT224" s="879"/>
      <c r="AU224" s="879"/>
      <c r="AV224" s="879"/>
      <c r="AW224" s="879"/>
      <c r="AX224" s="879"/>
      <c r="AY224" s="879"/>
      <c r="AZ224" s="879"/>
      <c r="BA224" s="879"/>
      <c r="BB224" s="879">
        <v>21735</v>
      </c>
      <c r="BC224" s="879">
        <v>23715</v>
      </c>
      <c r="BD224" s="879">
        <v>25042</v>
      </c>
      <c r="BE224" s="879">
        <v>27440</v>
      </c>
      <c r="BG224" s="879">
        <v>24952</v>
      </c>
      <c r="BH224" s="879">
        <f>+SUM(H224:K224)</f>
        <v>27407</v>
      </c>
      <c r="BI224" s="879">
        <f>+SUM(L224:O224)</f>
        <v>32219</v>
      </c>
      <c r="BJ224" s="879">
        <v>38985</v>
      </c>
      <c r="BK224" s="880">
        <f>SUM(T224:W224)</f>
        <v>48366</v>
      </c>
      <c r="BL224" s="880">
        <f>SUM(X224:AA224)</f>
        <v>60080</v>
      </c>
      <c r="BM224" s="880">
        <f t="shared" ref="BM224:BM226" si="1504">SUM(AB224:AE224)</f>
        <v>75251</v>
      </c>
      <c r="BN224" s="880">
        <f t="shared" ref="BN224:BN226" si="1505">SUM(AF224:AI224)</f>
        <v>87907</v>
      </c>
      <c r="BO224" s="880">
        <f t="shared" ref="BO224:BO227" si="1506">SUM(AJ224:AM224)</f>
        <v>105362</v>
      </c>
      <c r="BP224" s="880">
        <f t="shared" ref="BP224:BP227" si="1507">+SUM(AN224:AQ224)</f>
        <v>125763.05947958821</v>
      </c>
      <c r="CD224" s="3"/>
    </row>
    <row r="225" spans="2:82" s="852" customFormat="1" hidden="1" outlineLevel="1">
      <c r="B225" s="878" t="s">
        <v>344</v>
      </c>
      <c r="D225" s="999"/>
      <c r="E225" s="999"/>
      <c r="F225" s="999"/>
      <c r="G225" s="999"/>
      <c r="H225" s="999">
        <v>9395</v>
      </c>
      <c r="I225" s="999">
        <v>11889</v>
      </c>
      <c r="J225" s="999">
        <v>8775</v>
      </c>
      <c r="K225" s="999">
        <v>9235</v>
      </c>
      <c r="L225" s="999">
        <v>9378</v>
      </c>
      <c r="M225" s="999">
        <v>12170</v>
      </c>
      <c r="N225" s="999">
        <v>9917</v>
      </c>
      <c r="O225" s="999">
        <v>10811</v>
      </c>
      <c r="P225" s="999">
        <v>10746</v>
      </c>
      <c r="Q225" s="999">
        <v>12993</v>
      </c>
      <c r="R225" s="999">
        <v>10680</v>
      </c>
      <c r="S225" s="999">
        <f>+BJ225-SUM(P225:R225)</f>
        <v>11279</v>
      </c>
      <c r="T225" s="999">
        <v>11133</v>
      </c>
      <c r="U225" s="999">
        <v>13211</v>
      </c>
      <c r="V225" s="999">
        <v>10997</v>
      </c>
      <c r="W225" s="999">
        <v>12910</v>
      </c>
      <c r="X225" s="999">
        <v>11849</v>
      </c>
      <c r="Y225" s="999">
        <v>15122</v>
      </c>
      <c r="Z225" s="999">
        <v>13036</v>
      </c>
      <c r="AA225" s="999">
        <v>14086</v>
      </c>
      <c r="AB225" s="999">
        <v>13314</v>
      </c>
      <c r="AC225" s="999">
        <v>17465</v>
      </c>
      <c r="AD225" s="999">
        <v>14520</v>
      </c>
      <c r="AE225" s="999">
        <v>14356</v>
      </c>
      <c r="AF225" s="999">
        <v>13332</v>
      </c>
      <c r="AG225" s="999">
        <v>14237</v>
      </c>
      <c r="AH225" s="999">
        <v>13260</v>
      </c>
      <c r="AI225" s="999">
        <v>13905</v>
      </c>
      <c r="AJ225" s="999">
        <v>13666</v>
      </c>
      <c r="AK225" s="999">
        <f>16891</f>
        <v>16891</v>
      </c>
      <c r="AL225" s="999">
        <v>15580</v>
      </c>
      <c r="AM225" s="999">
        <v>15895</v>
      </c>
      <c r="AN225" s="1000">
        <f t="shared" ref="AN225:AQ225" si="1508">+AN798</f>
        <v>15436.571565258873</v>
      </c>
      <c r="AO225" s="1000">
        <f t="shared" si="1508"/>
        <v>17071.803895385125</v>
      </c>
      <c r="AP225" s="1000">
        <f t="shared" si="1508"/>
        <v>16765.035449723946</v>
      </c>
      <c r="AQ225" s="1000">
        <f t="shared" si="1508"/>
        <v>17065.04031379622</v>
      </c>
      <c r="AS225" s="999"/>
      <c r="AT225" s="999"/>
      <c r="AU225" s="999"/>
      <c r="AV225" s="999"/>
      <c r="AW225" s="999"/>
      <c r="AX225" s="999"/>
      <c r="AY225" s="999"/>
      <c r="AZ225" s="999"/>
      <c r="BA225" s="999"/>
      <c r="BB225" s="999">
        <v>38460</v>
      </c>
      <c r="BC225" s="999">
        <v>43435</v>
      </c>
      <c r="BD225" s="999">
        <v>40434</v>
      </c>
      <c r="BE225" s="999">
        <v>38773</v>
      </c>
      <c r="BG225" s="999">
        <v>40410</v>
      </c>
      <c r="BH225" s="999">
        <f>+SUM(H225:K225)</f>
        <v>39294</v>
      </c>
      <c r="BI225" s="999">
        <f>+SUM(L225:O225)</f>
        <v>42276</v>
      </c>
      <c r="BJ225" s="999">
        <v>45698</v>
      </c>
      <c r="BK225" s="1000">
        <f>SUM(T225:W225)</f>
        <v>48251</v>
      </c>
      <c r="BL225" s="1000">
        <f>SUM(X225:AA225)</f>
        <v>54093</v>
      </c>
      <c r="BM225" s="1000">
        <f t="shared" si="1504"/>
        <v>59655</v>
      </c>
      <c r="BN225" s="1000">
        <f t="shared" si="1505"/>
        <v>54734</v>
      </c>
      <c r="BO225" s="1000">
        <f t="shared" si="1506"/>
        <v>62032</v>
      </c>
      <c r="BP225" s="1000">
        <f t="shared" si="1507"/>
        <v>66338.451224164164</v>
      </c>
      <c r="BR225"/>
      <c r="BS225"/>
      <c r="BT225" s="3"/>
      <c r="BU225" s="3"/>
      <c r="BV225" s="3"/>
      <c r="BW225" s="3"/>
      <c r="BX225" s="3"/>
      <c r="BY225" s="3"/>
      <c r="BZ225" s="3"/>
      <c r="CA225" s="3"/>
      <c r="CB225" s="3"/>
      <c r="CC225" s="3"/>
    </row>
    <row r="226" spans="2:82" ht="11.45" hidden="1" outlineLevel="2">
      <c r="B226" s="878" t="s">
        <v>345</v>
      </c>
      <c r="D226" s="10"/>
      <c r="E226" s="10"/>
      <c r="F226" s="10"/>
      <c r="G226" s="10"/>
      <c r="H226" s="10">
        <v>0</v>
      </c>
      <c r="I226" s="10">
        <v>0</v>
      </c>
      <c r="J226" s="10">
        <v>0</v>
      </c>
      <c r="K226" s="10">
        <v>0</v>
      </c>
      <c r="L226" s="10">
        <v>0</v>
      </c>
      <c r="M226" s="10">
        <v>0</v>
      </c>
      <c r="N226" s="10">
        <v>0</v>
      </c>
      <c r="O226" s="10">
        <v>0</v>
      </c>
      <c r="P226" s="10">
        <v>0</v>
      </c>
      <c r="Q226" s="10">
        <v>0</v>
      </c>
      <c r="R226" s="10">
        <v>0</v>
      </c>
      <c r="S226" s="10">
        <f>+BJ226-SUM(P226:R226)</f>
        <v>0</v>
      </c>
      <c r="T226" s="10">
        <v>0</v>
      </c>
      <c r="U226" s="10">
        <v>0</v>
      </c>
      <c r="V226" s="10">
        <v>0</v>
      </c>
      <c r="W226" s="10">
        <v>0</v>
      </c>
      <c r="X226" s="10">
        <v>0</v>
      </c>
      <c r="Y226" s="34">
        <v>0</v>
      </c>
      <c r="Z226" s="34">
        <v>0</v>
      </c>
      <c r="AA226" s="34">
        <v>0</v>
      </c>
      <c r="AB226" s="34">
        <v>0</v>
      </c>
      <c r="AC226" s="34">
        <v>0</v>
      </c>
      <c r="AD226" s="34">
        <v>0</v>
      </c>
      <c r="AE226" s="34">
        <v>0</v>
      </c>
      <c r="AF226" s="34">
        <v>0</v>
      </c>
      <c r="AG226" s="34">
        <v>0</v>
      </c>
      <c r="AH226" s="34">
        <v>0</v>
      </c>
      <c r="AI226" s="34">
        <v>0</v>
      </c>
      <c r="AJ226" s="34">
        <v>0</v>
      </c>
      <c r="AK226" s="34">
        <v>0</v>
      </c>
      <c r="AL226" s="34">
        <v>0</v>
      </c>
      <c r="AM226" s="34">
        <v>0</v>
      </c>
      <c r="AN226" s="34">
        <v>0</v>
      </c>
      <c r="AO226" s="34">
        <v>0</v>
      </c>
      <c r="AP226" s="34">
        <v>0</v>
      </c>
      <c r="AQ226" s="34">
        <v>0</v>
      </c>
      <c r="AS226" s="10"/>
      <c r="AT226" s="10"/>
      <c r="AU226" s="10"/>
      <c r="AV226" s="10"/>
      <c r="AW226" s="10"/>
      <c r="AX226" s="10"/>
      <c r="AY226" s="10"/>
      <c r="AZ226" s="10"/>
      <c r="BA226" s="10"/>
      <c r="BB226" s="10">
        <v>-338</v>
      </c>
      <c r="BC226" s="10">
        <v>0</v>
      </c>
      <c r="BD226" s="10">
        <v>-6643</v>
      </c>
      <c r="BE226" s="10">
        <v>-6707</v>
      </c>
      <c r="BG226" s="10">
        <v>0</v>
      </c>
      <c r="BH226" s="10">
        <f>+SUM(H226:K226)</f>
        <v>0</v>
      </c>
      <c r="BI226" s="10">
        <f>+SUM(L226:O226)</f>
        <v>0</v>
      </c>
      <c r="BJ226" s="10">
        <v>0</v>
      </c>
      <c r="BK226" s="10">
        <f>SUM(T226:W226)</f>
        <v>0</v>
      </c>
      <c r="BL226" s="10">
        <f>SUM(X226:AA226)</f>
        <v>0</v>
      </c>
      <c r="BM226" s="10">
        <f t="shared" si="1504"/>
        <v>0</v>
      </c>
      <c r="BN226" s="10">
        <f t="shared" si="1505"/>
        <v>0</v>
      </c>
      <c r="BO226" s="10">
        <f t="shared" si="1506"/>
        <v>0</v>
      </c>
      <c r="BP226" s="10">
        <f t="shared" si="1507"/>
        <v>0</v>
      </c>
      <c r="BT226" s="3"/>
      <c r="BU226" s="3"/>
      <c r="BV226" s="3"/>
      <c r="BW226" s="3"/>
      <c r="BX226" s="3"/>
      <c r="BY226" s="3"/>
      <c r="BZ226" s="3"/>
      <c r="CA226" s="3"/>
      <c r="CB226" s="3"/>
      <c r="CC226" s="3"/>
    </row>
    <row r="227" spans="2:82" s="1" customFormat="1" ht="10.5" hidden="1" outlineLevel="1" collapsed="1">
      <c r="B227" s="882" t="s">
        <v>346</v>
      </c>
      <c r="D227" s="838"/>
      <c r="E227" s="838"/>
      <c r="F227" s="838"/>
      <c r="G227" s="838"/>
      <c r="H227" s="838">
        <f>SUM(H223:H226)</f>
        <v>21928</v>
      </c>
      <c r="I227" s="838">
        <f t="shared" ref="I227:BB227" si="1509">SUM(I223:I226)</f>
        <v>25826</v>
      </c>
      <c r="J227" s="838">
        <f t="shared" si="1509"/>
        <v>23212</v>
      </c>
      <c r="K227" s="838">
        <f t="shared" si="1509"/>
        <v>25605</v>
      </c>
      <c r="L227" s="838">
        <f t="shared" si="1509"/>
        <v>24538</v>
      </c>
      <c r="M227" s="838">
        <f t="shared" si="1509"/>
        <v>28918</v>
      </c>
      <c r="N227" s="838">
        <f t="shared" si="1509"/>
        <v>26819</v>
      </c>
      <c r="O227" s="838">
        <f t="shared" si="1509"/>
        <v>30085</v>
      </c>
      <c r="P227" s="838">
        <f t="shared" si="1509"/>
        <v>29084</v>
      </c>
      <c r="Q227" s="838">
        <f t="shared" si="1509"/>
        <v>32471</v>
      </c>
      <c r="R227" s="838">
        <f t="shared" si="1509"/>
        <v>30571</v>
      </c>
      <c r="S227" s="838">
        <f t="shared" si="1509"/>
        <v>33717</v>
      </c>
      <c r="T227" s="838">
        <f t="shared" si="1509"/>
        <v>33055</v>
      </c>
      <c r="U227" s="838">
        <f t="shared" si="1509"/>
        <v>36906</v>
      </c>
      <c r="V227" s="838">
        <f t="shared" si="1509"/>
        <v>35021</v>
      </c>
      <c r="W227" s="838">
        <f t="shared" si="1509"/>
        <v>38033</v>
      </c>
      <c r="X227" s="838">
        <f t="shared" si="1509"/>
        <v>37154</v>
      </c>
      <c r="Y227" s="838">
        <f t="shared" si="1509"/>
        <v>43076</v>
      </c>
      <c r="Z227" s="838">
        <f t="shared" si="1509"/>
        <v>41706</v>
      </c>
      <c r="AA227" s="838">
        <f t="shared" si="1509"/>
        <v>46152</v>
      </c>
      <c r="AB227" s="838">
        <f t="shared" ref="AB227:AE227" si="1510">SUM(AB223:AB226)</f>
        <v>45317</v>
      </c>
      <c r="AC227" s="838">
        <f t="shared" si="1510"/>
        <v>51728</v>
      </c>
      <c r="AD227" s="838">
        <f t="shared" ref="AD227" si="1511">SUM(AD223:AD226)</f>
        <v>49360</v>
      </c>
      <c r="AE227" s="838">
        <f t="shared" si="1510"/>
        <v>51865</v>
      </c>
      <c r="AF227" s="838">
        <f t="shared" ref="AF227:AH227" si="1512">SUM(AF223:AF226)</f>
        <v>50122</v>
      </c>
      <c r="AG227" s="838">
        <f t="shared" si="1512"/>
        <v>52747</v>
      </c>
      <c r="AH227" s="849">
        <f t="shared" si="1512"/>
        <v>52857</v>
      </c>
      <c r="AI227" s="849">
        <f t="shared" ref="AI227:AM227" si="1513">SUM(AI223:AI226)</f>
        <v>56189</v>
      </c>
      <c r="AJ227" s="849">
        <f t="shared" si="1513"/>
        <v>56517</v>
      </c>
      <c r="AK227" s="849">
        <f t="shared" si="1513"/>
        <v>62020</v>
      </c>
      <c r="AL227" s="849">
        <f t="shared" si="1513"/>
        <v>61858</v>
      </c>
      <c r="AM227" s="849">
        <f t="shared" si="1513"/>
        <v>64727</v>
      </c>
      <c r="AN227" s="849">
        <f t="shared" ref="AN227:AQ227" si="1514">SUM(AN223:AN226)</f>
        <v>64883.351934870312</v>
      </c>
      <c r="AO227" s="849">
        <f t="shared" si="1514"/>
        <v>69302.462977904579</v>
      </c>
      <c r="AP227" s="849">
        <f t="shared" si="1514"/>
        <v>70323.82204964527</v>
      </c>
      <c r="AQ227" s="849">
        <f t="shared" si="1514"/>
        <v>73983.782628062734</v>
      </c>
      <c r="AS227" s="838"/>
      <c r="AT227" s="838"/>
      <c r="AU227" s="838"/>
      <c r="AV227" s="838"/>
      <c r="AW227" s="838"/>
      <c r="AX227" s="838"/>
      <c r="AY227" s="838"/>
      <c r="AZ227" s="838"/>
      <c r="BA227" s="838"/>
      <c r="BB227" s="838">
        <f t="shared" si="1509"/>
        <v>86833</v>
      </c>
      <c r="BC227" s="838">
        <f t="shared" ref="BC227" si="1515">SUM(BC223:BC226)</f>
        <v>93580</v>
      </c>
      <c r="BD227" s="838">
        <f t="shared" ref="BD227:BE227" si="1516">SUM(BD223:BD226)</f>
        <v>85320</v>
      </c>
      <c r="BE227" s="838">
        <f t="shared" si="1516"/>
        <v>89950</v>
      </c>
      <c r="BG227" s="838">
        <f t="shared" ref="BG227" si="1517">SUM(BG223:BG226)</f>
        <v>91154</v>
      </c>
      <c r="BH227" s="838">
        <f>+SUM(H227:K227)</f>
        <v>96571</v>
      </c>
      <c r="BI227" s="838">
        <f>+SUM(L227:O227)</f>
        <v>110360</v>
      </c>
      <c r="BJ227" s="838">
        <f>SUM(BJ223:BJ226)</f>
        <v>125843</v>
      </c>
      <c r="BK227" s="838">
        <f t="shared" ref="BK227:BM227" si="1518">SUM(BK223:BK226)</f>
        <v>143015</v>
      </c>
      <c r="BL227" s="838">
        <f t="shared" si="1518"/>
        <v>168088</v>
      </c>
      <c r="BM227" s="838">
        <f t="shared" si="1518"/>
        <v>198270</v>
      </c>
      <c r="BN227" s="838">
        <f t="shared" ref="BN227" si="1519">SUM(BN223:BN226)</f>
        <v>211915</v>
      </c>
      <c r="BO227" s="838">
        <f t="shared" si="1506"/>
        <v>245122</v>
      </c>
      <c r="BP227" s="838">
        <f t="shared" si="1507"/>
        <v>278493.4195904829</v>
      </c>
      <c r="BR227"/>
      <c r="BS227"/>
      <c r="BT227" s="3"/>
      <c r="BU227" s="3"/>
      <c r="BV227" s="3"/>
      <c r="BW227" s="3"/>
      <c r="BX227" s="3"/>
      <c r="BY227" s="3"/>
      <c r="BZ227" s="3"/>
      <c r="CA227" s="3"/>
      <c r="CB227" s="3"/>
      <c r="CC227" s="3"/>
      <c r="CD227" s="839"/>
    </row>
    <row r="228" spans="2:82" hidden="1" outlineLevel="1">
      <c r="X228" s="826"/>
      <c r="AH228" s="100"/>
      <c r="AI228" s="100"/>
      <c r="AJ228" s="100"/>
      <c r="AK228" s="100"/>
      <c r="AL228" s="100"/>
      <c r="AM228" s="100"/>
      <c r="AN228" s="100"/>
      <c r="AO228" s="100"/>
      <c r="AP228" s="100"/>
      <c r="AQ228" s="100"/>
      <c r="BT228" s="7"/>
      <c r="BU228" s="7"/>
      <c r="BV228" s="7"/>
      <c r="BW228" s="7"/>
      <c r="BX228" s="7"/>
      <c r="BY228" s="7"/>
      <c r="BZ228" s="7"/>
      <c r="CA228" s="7"/>
      <c r="CB228" s="7"/>
      <c r="CC228" s="7"/>
      <c r="CD228" s="7"/>
    </row>
    <row r="229" spans="2:82" s="3" customFormat="1" hidden="1" outlineLevel="1">
      <c r="B229" s="883" t="s">
        <v>113</v>
      </c>
      <c r="AE229" s="986"/>
      <c r="AF229" s="986"/>
      <c r="AG229" s="986"/>
      <c r="AH229" s="1114"/>
      <c r="AI229" s="1114"/>
      <c r="AJ229" s="1114"/>
      <c r="AK229" s="1114"/>
      <c r="AL229" s="1114"/>
      <c r="AM229" s="1114"/>
      <c r="AN229" s="1114"/>
      <c r="AO229" s="1114"/>
      <c r="AP229" s="1114"/>
      <c r="AQ229" s="1114"/>
      <c r="BS229"/>
      <c r="BT229"/>
      <c r="BU229"/>
      <c r="BV229"/>
      <c r="BW229"/>
      <c r="BX229"/>
      <c r="BY229"/>
      <c r="BZ229"/>
      <c r="CA229"/>
      <c r="CB229"/>
      <c r="CC229"/>
      <c r="CD229"/>
    </row>
    <row r="230" spans="2:82" s="3" customFormat="1" hidden="1" outlineLevel="1">
      <c r="B230" s="884" t="str">
        <f>+B223</f>
        <v>Productivity and Business Processes</v>
      </c>
      <c r="L230" s="14">
        <f t="shared" ref="L230:O232" si="1520">+IFERROR(L223/H223-1,"n/a ")</f>
        <v>0.27998756991920448</v>
      </c>
      <c r="M230" s="14">
        <f t="shared" si="1520"/>
        <v>0.24710962529600233</v>
      </c>
      <c r="N230" s="14">
        <f t="shared" si="1520"/>
        <v>0.1685480731802258</v>
      </c>
      <c r="O230" s="14">
        <f t="shared" si="1520"/>
        <v>0.13102480112306969</v>
      </c>
      <c r="P230" s="14">
        <f t="shared" ref="P230:P232" si="1521">+IFERROR(P223/L223-1,"n/a ")</f>
        <v>0.18608885651857254</v>
      </c>
      <c r="Q230" s="14">
        <f t="shared" ref="Q230:Q232" si="1522">+IFERROR(Q223/M223-1,"n/a ")</f>
        <v>0.12811348151457613</v>
      </c>
      <c r="R230" s="14">
        <f t="shared" ref="R230:R232" si="1523">+IFERROR(R223/N223-1,"n/a ")</f>
        <v>0.13724183877415053</v>
      </c>
      <c r="S230" s="14">
        <f t="shared" ref="S230:S232" si="1524">+IFERROR(S223/O223-1,"n/a ")</f>
        <v>0.14263549855192381</v>
      </c>
      <c r="T230" s="14">
        <f t="shared" ref="T230:T232" si="1525">+IFERROR(T223/P223-1,"n/a ")</f>
        <v>0.13366083307747423</v>
      </c>
      <c r="U230" s="14">
        <f t="shared" ref="U230:U232" si="1526">+IFERROR(U223/Q223-1,"n/a ")</f>
        <v>0.17089108910891082</v>
      </c>
      <c r="V230" s="14">
        <f t="shared" ref="V230:V232" si="1527">+IFERROR(V223/R223-1,"n/a ")</f>
        <v>0.14655340753759027</v>
      </c>
      <c r="W230" s="14">
        <f t="shared" ref="W230:X232" si="1528">+IFERROR(W223/S223-1,"n/a ")</f>
        <v>6.3818231193989217E-2</v>
      </c>
      <c r="X230" s="14">
        <f t="shared" si="1528"/>
        <v>0.11212422135957389</v>
      </c>
      <c r="Y230" s="14">
        <f t="shared" ref="Y230:Y232" si="1529">+IFERROR(Y223/U223-1,"n/a ")</f>
        <v>0.12912227295788936</v>
      </c>
      <c r="Z230" s="14">
        <f t="shared" ref="Z230:Z232" si="1530">+IFERROR(Z223/V223-1,"n/a ")</f>
        <v>0.15404922081239891</v>
      </c>
      <c r="AA230" s="14">
        <f t="shared" ref="AA230:AA232" si="1531">+IFERROR(AA223/W223-1,"n/a ")</f>
        <v>0.25008509189925121</v>
      </c>
      <c r="AB230" s="14">
        <f t="shared" ref="AB230:AB232" si="1532">+IFERROR(AB223/X223-1,"n/a ")</f>
        <v>0.22079714262521311</v>
      </c>
      <c r="AC230" s="14">
        <f t="shared" ref="AC230:AC232" si="1533">+IFERROR(AC223/Y223-1,"n/a ")</f>
        <v>0.19343967647719618</v>
      </c>
      <c r="AD230" s="14">
        <f t="shared" ref="AD230:AD232" si="1534">+IFERROR(AD223/Z223-1,"n/a ")</f>
        <v>0.16506788665879579</v>
      </c>
      <c r="AE230" s="890">
        <f t="shared" ref="AE230:AE232" si="1535">+IFERROR(AE223/AA223-1,"n/a ")</f>
        <v>0.12994350282485878</v>
      </c>
      <c r="AF230" s="890">
        <f t="shared" ref="AF230:AF232" si="1536">+IFERROR(AF223/AB223-1,"n/a ")</f>
        <v>9.4820134317441296E-2</v>
      </c>
      <c r="AG230" s="890">
        <f t="shared" ref="AG230:AG232" si="1537">+IFERROR(AG223/AC223-1,"n/a ")</f>
        <v>6.6892570281124497E-2</v>
      </c>
      <c r="AH230" s="890">
        <f t="shared" ref="AH230:AH232" si="1538">+IFERROR(AH223/AD223-1,"n/a ")</f>
        <v>0.10937994806510853</v>
      </c>
      <c r="AI230" s="890">
        <f t="shared" ref="AI230:AI232" si="1539">+IFERROR(AI223/AE223-1,"n/a ")</f>
        <v>0.10186746987951811</v>
      </c>
      <c r="AJ230" s="228">
        <f t="shared" ref="AJ230:AJ232" si="1540">+IFERROR(AJ223/AF223-1,"n/a ")</f>
        <v>0.12918311569996965</v>
      </c>
      <c r="AK230" s="228">
        <f t="shared" ref="AK230:AK232" si="1541">+IFERROR(AK223/AG223-1,"n/a ")</f>
        <v>0.13216092224444176</v>
      </c>
      <c r="AL230" s="228">
        <f t="shared" ref="AL230:AL232" si="1542">+IFERROR(AL223/AH223-1,"n/a ")</f>
        <v>0.11726421557433198</v>
      </c>
      <c r="AM230" s="228">
        <f t="shared" ref="AM230:AM232" si="1543">+IFERROR(AM223/AI223-1,"n/a ")</f>
        <v>0.1107648570335138</v>
      </c>
      <c r="AN230" s="228">
        <f t="shared" ref="AN230:AN232" si="1544">+IFERROR(AN223/AJ223-1,"n/a ")</f>
        <v>0.1112475311839014</v>
      </c>
      <c r="AO230" s="228">
        <f t="shared" ref="AO230:AO232" si="1545">+IFERROR(AO223/AK223-1,"n/a ")</f>
        <v>0.11143336204118937</v>
      </c>
      <c r="AP230" s="228">
        <f t="shared" ref="AP230:AP232" si="1546">+IFERROR(AP223/AL223-1,"n/a ")</f>
        <v>0.11176841193376341</v>
      </c>
      <c r="AQ230" s="228">
        <f t="shared" ref="AQ230:AQ232" si="1547">+IFERROR(AQ223/AM223-1,"n/a ")</f>
        <v>0.11139962491927102</v>
      </c>
      <c r="BC230" s="14">
        <f t="shared" ref="BC230:BE234" si="1548">+IFERROR(BC223/BB223-1,"n/a ")</f>
        <v>-2.0240213523131656E-2</v>
      </c>
      <c r="BD230" s="14">
        <f t="shared" si="1548"/>
        <v>2.1566401816117686E-3</v>
      </c>
      <c r="BE230" s="14">
        <f t="shared" si="1548"/>
        <v>0.14939404236040321</v>
      </c>
      <c r="BF230" s="14"/>
      <c r="BG230" s="829">
        <f t="shared" ref="BG230:BG235" si="1549">+BD230</f>
        <v>2.1566401816117686E-3</v>
      </c>
      <c r="BH230" s="14">
        <f t="shared" ref="BH230:BJ234" si="1550">+IFERROR(BH223/BG223-1,"n/a ")</f>
        <v>0.15811104218362293</v>
      </c>
      <c r="BI230" s="14">
        <f t="shared" si="1550"/>
        <v>0.20070304653498483</v>
      </c>
      <c r="BJ230" s="14">
        <f t="shared" si="1550"/>
        <v>0.14763697197825176</v>
      </c>
      <c r="BK230" s="14">
        <f t="shared" ref="BK230:BK234" si="1551">+IFERROR(BK223/BJ223-1,"n/a ")</f>
        <v>0.12725947521865888</v>
      </c>
      <c r="BL230" s="14">
        <f t="shared" ref="BL230:BL234" si="1552">+IFERROR(BL223/BK223-1,"n/a ")</f>
        <v>0.16201129359024091</v>
      </c>
      <c r="BM230" s="14">
        <f t="shared" ref="BM230:BM232" si="1553">+IFERROR(BM223/BL223-1,"n/a ")</f>
        <v>0.17525734953167027</v>
      </c>
      <c r="BN230" s="14">
        <f t="shared" ref="BN230:BN232" si="1554">+IFERROR(BN223/BM223-1,"n/a ")</f>
        <v>9.3270626854365268E-2</v>
      </c>
      <c r="BO230" s="14">
        <f t="shared" ref="BO230:BO232" si="1555">+IFERROR(BO223/BN223-1,"n/a ")</f>
        <v>0.12203712792678356</v>
      </c>
      <c r="BP230" s="14">
        <f t="shared" ref="BP230:BP232" si="1556">+IFERROR(BP223/BO223-1,"n/a ")</f>
        <v>0.1114644515069283</v>
      </c>
    </row>
    <row r="231" spans="2:82" s="3" customFormat="1" hidden="1" outlineLevel="1">
      <c r="B231" s="884" t="str">
        <f t="shared" ref="B231:B234" si="1557">+B224</f>
        <v>Intelligent Cloud</v>
      </c>
      <c r="L231" s="14">
        <f t="shared" si="1520"/>
        <v>0.13531244874528459</v>
      </c>
      <c r="M231" s="14">
        <f t="shared" si="1520"/>
        <v>0.1534477656111275</v>
      </c>
      <c r="N231" s="14">
        <f t="shared" si="1520"/>
        <v>0.17325408618127791</v>
      </c>
      <c r="O231" s="14">
        <f t="shared" si="1520"/>
        <v>0.22807466121196618</v>
      </c>
      <c r="P231" s="14">
        <f t="shared" si="1521"/>
        <v>0.23764807859000281</v>
      </c>
      <c r="Q231" s="14">
        <f t="shared" si="1522"/>
        <v>0.2030788967286723</v>
      </c>
      <c r="R231" s="14">
        <f t="shared" si="1523"/>
        <v>0.22201114488348539</v>
      </c>
      <c r="S231" s="14">
        <f t="shared" si="1524"/>
        <v>0.18582136164896945</v>
      </c>
      <c r="T231" s="14">
        <f t="shared" si="1525"/>
        <v>0.26590405042605347</v>
      </c>
      <c r="U231" s="14">
        <f t="shared" si="1526"/>
        <v>0.26562166773299212</v>
      </c>
      <c r="V231" s="14">
        <f t="shared" si="1527"/>
        <v>0.27277438076484617</v>
      </c>
      <c r="W231" s="14">
        <f t="shared" si="1528"/>
        <v>0.17382143797735061</v>
      </c>
      <c r="X231" s="14">
        <f t="shared" si="1528"/>
        <v>0.19741816505301979</v>
      </c>
      <c r="Y231" s="14">
        <f t="shared" si="1529"/>
        <v>0.23017945909512183</v>
      </c>
      <c r="Z231" s="14">
        <f t="shared" si="1530"/>
        <v>0.23100724696685937</v>
      </c>
      <c r="AA231" s="14">
        <f t="shared" si="1531"/>
        <v>0.29945404233041661</v>
      </c>
      <c r="AB231" s="14">
        <f t="shared" si="1532"/>
        <v>0.30632989373171116</v>
      </c>
      <c r="AC231" s="14">
        <f t="shared" si="1533"/>
        <v>0.25518800082186144</v>
      </c>
      <c r="AD231" s="14">
        <f t="shared" si="1534"/>
        <v>0.2601534594523085</v>
      </c>
      <c r="AE231" s="890">
        <f t="shared" si="1535"/>
        <v>0.20339568345323733</v>
      </c>
      <c r="AF231" s="890">
        <f t="shared" si="1536"/>
        <v>0.19812544211270922</v>
      </c>
      <c r="AG231" s="890">
        <f t="shared" si="1537"/>
        <v>0.17356905112675292</v>
      </c>
      <c r="AH231" s="228">
        <f t="shared" si="1538"/>
        <v>0.15904676919846716</v>
      </c>
      <c r="AI231" s="228">
        <f t="shared" si="1539"/>
        <v>0.14749629346214554</v>
      </c>
      <c r="AJ231" s="228">
        <f t="shared" si="1540"/>
        <v>0.19355473554735547</v>
      </c>
      <c r="AK231" s="228">
        <f t="shared" si="1541"/>
        <v>0.20327320066951837</v>
      </c>
      <c r="AL231" s="228">
        <f t="shared" si="1542"/>
        <v>0.20954666908201625</v>
      </c>
      <c r="AM231" s="228">
        <f t="shared" si="1543"/>
        <v>0.1884716375609552</v>
      </c>
      <c r="AN231" s="228">
        <f t="shared" si="1544"/>
        <v>0.18663037511193137</v>
      </c>
      <c r="AO231" s="228">
        <f t="shared" si="1545"/>
        <v>0.19152543649878706</v>
      </c>
      <c r="AP231" s="228">
        <f t="shared" si="1546"/>
        <v>0.19070985391558981</v>
      </c>
      <c r="AQ231" s="228">
        <f t="shared" si="1547"/>
        <v>0.20422360633988013</v>
      </c>
      <c r="BC231" s="14">
        <f t="shared" si="1548"/>
        <v>9.109730848861286E-2</v>
      </c>
      <c r="BD231" s="14">
        <f t="shared" si="1548"/>
        <v>5.5956145899219933E-2</v>
      </c>
      <c r="BE231" s="14">
        <f t="shared" si="1548"/>
        <v>9.5759124670553364E-2</v>
      </c>
      <c r="BF231" s="14"/>
      <c r="BG231" s="829">
        <f t="shared" si="1549"/>
        <v>5.5956145899219933E-2</v>
      </c>
      <c r="BH231" s="14">
        <f t="shared" si="1550"/>
        <v>9.8388906700865641E-2</v>
      </c>
      <c r="BI231" s="14">
        <f t="shared" si="1550"/>
        <v>0.17557558288028607</v>
      </c>
      <c r="BJ231" s="14">
        <f t="shared" si="1550"/>
        <v>0.2100003103758652</v>
      </c>
      <c r="BK231" s="14">
        <f t="shared" si="1551"/>
        <v>0.24063101192766445</v>
      </c>
      <c r="BL231" s="14">
        <f t="shared" si="1552"/>
        <v>0.24219493032295425</v>
      </c>
      <c r="BM231" s="14">
        <f t="shared" si="1553"/>
        <v>0.25251331557922763</v>
      </c>
      <c r="BN231" s="14">
        <f t="shared" si="1554"/>
        <v>0.16818381151081052</v>
      </c>
      <c r="BO231" s="14">
        <f t="shared" si="1555"/>
        <v>0.19856211678250868</v>
      </c>
      <c r="BP231" s="14">
        <f t="shared" si="1556"/>
        <v>0.19362824813109292</v>
      </c>
    </row>
    <row r="232" spans="2:82" s="839" customFormat="1" ht="11.45" hidden="1" outlineLevel="1">
      <c r="B232" s="884" t="str">
        <f t="shared" si="1557"/>
        <v>More Personal Computing</v>
      </c>
      <c r="L232" s="840">
        <f t="shared" si="1520"/>
        <v>-1.8094731240021478E-3</v>
      </c>
      <c r="M232" s="840">
        <f t="shared" si="1520"/>
        <v>2.3635293128101642E-2</v>
      </c>
      <c r="N232" s="840">
        <f t="shared" si="1520"/>
        <v>0.13014245014245018</v>
      </c>
      <c r="O232" s="840">
        <f t="shared" si="1520"/>
        <v>0.17065511640498099</v>
      </c>
      <c r="P232" s="840">
        <f t="shared" si="1521"/>
        <v>0.14587332053742808</v>
      </c>
      <c r="Q232" s="840">
        <f t="shared" si="1522"/>
        <v>6.7625308134757534E-2</v>
      </c>
      <c r="R232" s="840">
        <f t="shared" si="1523"/>
        <v>7.6938590299485687E-2</v>
      </c>
      <c r="S232" s="840">
        <f t="shared" si="1524"/>
        <v>4.328924243825738E-2</v>
      </c>
      <c r="T232" s="840">
        <f t="shared" si="1525"/>
        <v>3.6013400335008328E-2</v>
      </c>
      <c r="U232" s="840">
        <f t="shared" si="1526"/>
        <v>1.677826521973369E-2</v>
      </c>
      <c r="V232" s="840">
        <f t="shared" si="1527"/>
        <v>2.9681647940074996E-2</v>
      </c>
      <c r="W232" s="840">
        <f t="shared" si="1528"/>
        <v>0.14460501817537019</v>
      </c>
      <c r="X232" s="840">
        <f t="shared" si="1528"/>
        <v>6.4313302793496785E-2</v>
      </c>
      <c r="Y232" s="840">
        <f t="shared" si="1529"/>
        <v>0.14465218378623868</v>
      </c>
      <c r="Z232" s="840">
        <f t="shared" si="1530"/>
        <v>0.18541420387378382</v>
      </c>
      <c r="AA232" s="840">
        <f t="shared" si="1531"/>
        <v>9.1092176607281194E-2</v>
      </c>
      <c r="AB232" s="840">
        <f t="shared" si="1532"/>
        <v>0.12363912566461299</v>
      </c>
      <c r="AC232" s="840">
        <f t="shared" si="1533"/>
        <v>0.15493982277476515</v>
      </c>
      <c r="AD232" s="840">
        <f t="shared" si="1534"/>
        <v>0.11383860079779073</v>
      </c>
      <c r="AE232" s="840">
        <f t="shared" si="1535"/>
        <v>1.9167968195371365E-2</v>
      </c>
      <c r="AF232" s="840">
        <f t="shared" si="1536"/>
        <v>1.3519603424965165E-3</v>
      </c>
      <c r="AG232" s="840">
        <f t="shared" si="1537"/>
        <v>-0.18482679645004296</v>
      </c>
      <c r="AH232" s="840">
        <f t="shared" si="1538"/>
        <v>-8.6776859504132275E-2</v>
      </c>
      <c r="AI232" s="840">
        <f t="shared" si="1539"/>
        <v>-3.1415436054611279E-2</v>
      </c>
      <c r="AJ232" s="840">
        <f t="shared" si="1540"/>
        <v>2.5052505250525048E-2</v>
      </c>
      <c r="AK232" s="840">
        <f t="shared" si="1541"/>
        <v>0.1864156774601391</v>
      </c>
      <c r="AL232" s="840">
        <f t="shared" si="1542"/>
        <v>0.17496229260935148</v>
      </c>
      <c r="AM232" s="840">
        <f t="shared" si="1543"/>
        <v>0.14311398777418205</v>
      </c>
      <c r="AN232" s="840">
        <f t="shared" si="1544"/>
        <v>0.12956033698659986</v>
      </c>
      <c r="AO232" s="840">
        <f t="shared" si="1545"/>
        <v>1.0704155786224856E-2</v>
      </c>
      <c r="AP232" s="840">
        <f t="shared" si="1546"/>
        <v>7.6061325399483071E-2</v>
      </c>
      <c r="AQ232" s="840">
        <f t="shared" si="1547"/>
        <v>7.3610589103253909E-2</v>
      </c>
      <c r="BC232" s="840">
        <f t="shared" si="1548"/>
        <v>0.12935517420696829</v>
      </c>
      <c r="BD232" s="840">
        <f t="shared" si="1548"/>
        <v>-6.9091746287556099E-2</v>
      </c>
      <c r="BE232" s="840">
        <f t="shared" si="1548"/>
        <v>-4.1079289706682509E-2</v>
      </c>
      <c r="BF232" s="886"/>
      <c r="BG232" s="908">
        <f t="shared" si="1549"/>
        <v>-6.9091746287556099E-2</v>
      </c>
      <c r="BH232" s="840">
        <f t="shared" si="1550"/>
        <v>-2.76169265033408E-2</v>
      </c>
      <c r="BI232" s="840">
        <f t="shared" si="1550"/>
        <v>7.5889448770804613E-2</v>
      </c>
      <c r="BJ232" s="840">
        <f t="shared" si="1550"/>
        <v>8.0944270981171407E-2</v>
      </c>
      <c r="BK232" s="840">
        <f t="shared" si="1551"/>
        <v>5.5866777539498536E-2</v>
      </c>
      <c r="BL232" s="840">
        <f t="shared" si="1552"/>
        <v>0.12107521087645856</v>
      </c>
      <c r="BM232" s="840">
        <f t="shared" si="1553"/>
        <v>0.10282291608895799</v>
      </c>
      <c r="BN232" s="840">
        <f t="shared" si="1554"/>
        <v>-8.2490989858352237E-2</v>
      </c>
      <c r="BO232" s="840">
        <f t="shared" si="1555"/>
        <v>0.133335769357255</v>
      </c>
      <c r="BP232" s="840">
        <f t="shared" si="1556"/>
        <v>6.9423059455831826E-2</v>
      </c>
      <c r="BR232"/>
      <c r="BS232"/>
      <c r="BT232" s="3"/>
      <c r="BU232" s="3"/>
      <c r="BV232" s="3"/>
      <c r="BW232" s="3"/>
      <c r="BX232" s="3"/>
      <c r="BY232" s="3"/>
      <c r="BZ232" s="3"/>
      <c r="CA232" s="3"/>
      <c r="CB232" s="3"/>
      <c r="CC232" s="3"/>
    </row>
    <row r="233" spans="2:82" s="839" customFormat="1" ht="11.45" hidden="1" outlineLevel="2">
      <c r="B233" s="884" t="str">
        <f t="shared" si="1557"/>
        <v>Corporate and Other</v>
      </c>
      <c r="L233" s="840" t="str">
        <f t="shared" ref="L233:N233" si="1558">+IFERROR(L226/H226-1,"NA ")</f>
        <v xml:space="preserve">NA </v>
      </c>
      <c r="M233" s="840" t="str">
        <f t="shared" si="1558"/>
        <v xml:space="preserve">NA </v>
      </c>
      <c r="N233" s="840" t="str">
        <f t="shared" si="1558"/>
        <v xml:space="preserve">NA </v>
      </c>
      <c r="O233" s="840" t="str">
        <f>+IFERROR(O226/K226-1,"NA ")</f>
        <v xml:space="preserve">NA </v>
      </c>
      <c r="P233" s="840" t="str">
        <f t="shared" ref="P233" si="1559">+IFERROR(P226/L226-1,"NA ")</f>
        <v xml:space="preserve">NA </v>
      </c>
      <c r="Q233" s="840" t="str">
        <f t="shared" ref="Q233" si="1560">+IFERROR(Q226/M226-1,"NA ")</f>
        <v xml:space="preserve">NA </v>
      </c>
      <c r="R233" s="840" t="str">
        <f t="shared" ref="R233" si="1561">+IFERROR(R226/N226-1,"NA ")</f>
        <v xml:space="preserve">NA </v>
      </c>
      <c r="S233" s="840" t="str">
        <f t="shared" ref="S233" si="1562">+IFERROR(S226/O226-1,"NA ")</f>
        <v xml:space="preserve">NA </v>
      </c>
      <c r="T233" s="840" t="str">
        <f t="shared" ref="T233" si="1563">+IFERROR(T226/P226-1,"NA ")</f>
        <v xml:space="preserve">NA </v>
      </c>
      <c r="U233" s="840" t="str">
        <f t="shared" ref="U233" si="1564">+IFERROR(U226/Q226-1,"NA ")</f>
        <v xml:space="preserve">NA </v>
      </c>
      <c r="V233" s="840" t="str">
        <f t="shared" ref="V233" si="1565">+IFERROR(V226/R226-1,"NA ")</f>
        <v xml:space="preserve">NA </v>
      </c>
      <c r="W233" s="840" t="str">
        <f t="shared" ref="W233:X233" si="1566">+IFERROR(W226/S226-1,"NA ")</f>
        <v xml:space="preserve">NA </v>
      </c>
      <c r="X233" s="840" t="str">
        <f t="shared" si="1566"/>
        <v xml:space="preserve">NA </v>
      </c>
      <c r="Y233" s="840" t="str">
        <f t="shared" ref="Y233" si="1567">+IFERROR(Y226/U226-1,"NA ")</f>
        <v xml:space="preserve">NA </v>
      </c>
      <c r="Z233" s="840" t="str">
        <f t="shared" ref="Z233" si="1568">+IFERROR(Z226/V226-1,"NA ")</f>
        <v xml:space="preserve">NA </v>
      </c>
      <c r="AA233" s="840" t="str">
        <f t="shared" ref="AA233" si="1569">+IFERROR(AA226/W226-1,"NA ")</f>
        <v xml:space="preserve">NA </v>
      </c>
      <c r="AB233" s="840" t="str">
        <f t="shared" ref="AB233" si="1570">+IFERROR(AB226/X226-1,"NA ")</f>
        <v xml:space="preserve">NA </v>
      </c>
      <c r="AC233" s="840" t="str">
        <f t="shared" ref="AC233" si="1571">+IFERROR(AC226/Y226-1,"NA ")</f>
        <v xml:space="preserve">NA </v>
      </c>
      <c r="AD233" s="840" t="str">
        <f t="shared" ref="AD233" si="1572">+IFERROR(AD226/Z226-1,"NA ")</f>
        <v xml:space="preserve">NA </v>
      </c>
      <c r="AE233" s="840" t="str">
        <f t="shared" ref="AE233" si="1573">+IFERROR(AE226/AA226-1,"NA ")</f>
        <v xml:space="preserve">NA </v>
      </c>
      <c r="AF233" s="840" t="str">
        <f t="shared" ref="AF233" si="1574">+IFERROR(AF226/AB226-1,"NA ")</f>
        <v xml:space="preserve">NA </v>
      </c>
      <c r="AG233" s="840" t="str">
        <f t="shared" ref="AG233" si="1575">+IFERROR(AG226/AC226-1,"NA ")</f>
        <v xml:space="preserve">NA </v>
      </c>
      <c r="AH233" s="840" t="str">
        <f t="shared" ref="AH233" si="1576">+IFERROR(AH226/AD226-1,"NA ")</f>
        <v xml:space="preserve">NA </v>
      </c>
      <c r="AI233" s="840" t="str">
        <f t="shared" ref="AI233" si="1577">+IFERROR(AI226/AE226-1,"NA ")</f>
        <v xml:space="preserve">NA </v>
      </c>
      <c r="AJ233" s="840" t="str">
        <f t="shared" ref="AJ233" si="1578">+IFERROR(AJ226/AF226-1,"NA ")</f>
        <v xml:space="preserve">NA </v>
      </c>
      <c r="AK233" s="840" t="str">
        <f t="shared" ref="AK233" si="1579">+IFERROR(AK226/AG226-1,"NA ")</f>
        <v xml:space="preserve">NA </v>
      </c>
      <c r="AL233" s="840" t="str">
        <f t="shared" ref="AL233" si="1580">+IFERROR(AL226/AH226-1,"NA ")</f>
        <v xml:space="preserve">NA </v>
      </c>
      <c r="AM233" s="840" t="str">
        <f t="shared" ref="AM233" si="1581">+IFERROR(AM226/AI226-1,"NA ")</f>
        <v xml:space="preserve">NA </v>
      </c>
      <c r="AN233" s="840" t="str">
        <f t="shared" ref="AN233" si="1582">+IFERROR(AN226/AJ226-1,"NA ")</f>
        <v xml:space="preserve">NA </v>
      </c>
      <c r="AO233" s="840" t="str">
        <f t="shared" ref="AO233" si="1583">+IFERROR(AO226/AK226-1,"NA ")</f>
        <v xml:space="preserve">NA </v>
      </c>
      <c r="AP233" s="840" t="str">
        <f t="shared" ref="AP233" si="1584">+IFERROR(AP226/AL226-1,"NA ")</f>
        <v xml:space="preserve">NA </v>
      </c>
      <c r="AQ233" s="840" t="str">
        <f t="shared" ref="AQ233" si="1585">+IFERROR(AQ226/AM226-1,"NA ")</f>
        <v xml:space="preserve">NA </v>
      </c>
      <c r="BC233" s="840">
        <f t="shared" si="1548"/>
        <v>-1</v>
      </c>
      <c r="BD233" s="840" t="s">
        <v>273</v>
      </c>
      <c r="BE233" s="840">
        <f t="shared" si="1548"/>
        <v>9.6342014150232469E-3</v>
      </c>
      <c r="BF233" s="886"/>
      <c r="BG233" s="829" t="str">
        <f t="shared" si="1549"/>
        <v>NA</v>
      </c>
      <c r="BH233" s="840" t="s">
        <v>273</v>
      </c>
      <c r="BI233" s="840" t="s">
        <v>273</v>
      </c>
      <c r="BJ233" s="840" t="s">
        <v>273</v>
      </c>
      <c r="BK233" s="840" t="s">
        <v>273</v>
      </c>
      <c r="BL233" s="840" t="s">
        <v>273</v>
      </c>
      <c r="BM233" s="840" t="s">
        <v>273</v>
      </c>
      <c r="BN233" s="840" t="s">
        <v>273</v>
      </c>
      <c r="BO233" s="840" t="s">
        <v>273</v>
      </c>
      <c r="BP233" s="840" t="s">
        <v>273</v>
      </c>
      <c r="BR233"/>
      <c r="BS233"/>
      <c r="BT233" s="7"/>
      <c r="BU233" s="7"/>
      <c r="BV233" s="7"/>
      <c r="BW233" s="7"/>
      <c r="BX233" s="7"/>
      <c r="BY233" s="7"/>
      <c r="BZ233" s="7"/>
      <c r="CA233" s="7"/>
      <c r="CB233" s="7"/>
      <c r="CC233" s="7"/>
    </row>
    <row r="234" spans="2:82" s="7" customFormat="1" hidden="1" outlineLevel="1" collapsed="1">
      <c r="B234" s="887" t="str">
        <f t="shared" si="1557"/>
        <v>Total Revenue</v>
      </c>
      <c r="L234" s="855">
        <f>+IFERROR(L227/H227-1,"n/a ")</f>
        <v>0.11902590295512594</v>
      </c>
      <c r="M234" s="855">
        <f>+IFERROR(M227/I227-1,"n/a ")</f>
        <v>0.11972430883605667</v>
      </c>
      <c r="N234" s="855">
        <f>+IFERROR(N227/J227-1,"n/a ")</f>
        <v>0.15539376184732046</v>
      </c>
      <c r="O234" s="855">
        <f>+IFERROR(O227/K227-1,"n/a ")</f>
        <v>0.17496582698691654</v>
      </c>
      <c r="P234" s="855">
        <f t="shared" ref="P234" si="1586">+IFERROR(P227/L227-1,"n/a ")</f>
        <v>0.18526367267095933</v>
      </c>
      <c r="Q234" s="855">
        <f t="shared" ref="Q234" si="1587">+IFERROR(Q227/M227-1,"n/a ")</f>
        <v>0.12286465177398154</v>
      </c>
      <c r="R234" s="855">
        <f t="shared" ref="R234" si="1588">+IFERROR(R227/N227-1,"n/a ")</f>
        <v>0.13990081658525666</v>
      </c>
      <c r="S234" s="855">
        <f t="shared" ref="S234" si="1589">+IFERROR(S227/O227-1,"n/a ")</f>
        <v>0.12072461359481479</v>
      </c>
      <c r="T234" s="855">
        <f t="shared" ref="T234" si="1590">+IFERROR(T227/P227-1,"n/a ")</f>
        <v>0.13653555219364599</v>
      </c>
      <c r="U234" s="855">
        <f t="shared" ref="U234" si="1591">+IFERROR(U227/Q227-1,"n/a ")</f>
        <v>0.13658341289150311</v>
      </c>
      <c r="V234" s="855">
        <f t="shared" ref="V234" si="1592">+IFERROR(V227/R227-1,"n/a ")</f>
        <v>0.14556278826338698</v>
      </c>
      <c r="W234" s="855">
        <f t="shared" ref="W234:X234" si="1593">+IFERROR(W227/S227-1,"n/a ")</f>
        <v>0.12800664353293589</v>
      </c>
      <c r="X234" s="855">
        <f t="shared" si="1593"/>
        <v>0.12400544546967174</v>
      </c>
      <c r="Y234" s="855">
        <f t="shared" ref="Y234" si="1594">+IFERROR(Y227/U227-1,"n/a ")</f>
        <v>0.16718148810491518</v>
      </c>
      <c r="Z234" s="855">
        <f t="shared" ref="Z234" si="1595">+IFERROR(Z227/V227-1,"n/a ")</f>
        <v>0.19088546871876866</v>
      </c>
      <c r="AA234" s="855">
        <f t="shared" ref="AA234" si="1596">+IFERROR(AA227/W227-1,"n/a ")</f>
        <v>0.21347251071437956</v>
      </c>
      <c r="AB234" s="855">
        <f t="shared" ref="AB234" si="1597">+IFERROR(AB227/X227-1,"n/a ")</f>
        <v>0.21970716477364483</v>
      </c>
      <c r="AC234" s="855">
        <f t="shared" ref="AC234" si="1598">+IFERROR(AC227/Y227-1,"n/a ")</f>
        <v>0.2008543040208004</v>
      </c>
      <c r="AD234" s="855">
        <f t="shared" ref="AD234" si="1599">+IFERROR(AD227/Z227-1,"n/a ")</f>
        <v>0.18352275451973332</v>
      </c>
      <c r="AE234" s="902">
        <f t="shared" ref="AE234" si="1600">+IFERROR(AE227/AA227-1,"n/a ")</f>
        <v>0.12378661813139202</v>
      </c>
      <c r="AF234" s="902">
        <f t="shared" ref="AF234" si="1601">+IFERROR(AF227/AB227-1,"n/a ")</f>
        <v>0.1060308493501334</v>
      </c>
      <c r="AG234" s="855">
        <f t="shared" ref="AG234" si="1602">+IFERROR(AG227/AC227-1,"n/a ")</f>
        <v>1.9699195793380753E-2</v>
      </c>
      <c r="AH234" s="902">
        <f t="shared" ref="AH234" si="1603">+IFERROR(AH227/AD227-1,"n/a ")</f>
        <v>7.0846839546191198E-2</v>
      </c>
      <c r="AI234" s="902">
        <f t="shared" ref="AI234" si="1604">+IFERROR(AI227/AE227-1,"n/a ")</f>
        <v>8.3370288248336921E-2</v>
      </c>
      <c r="AJ234" s="902">
        <f t="shared" ref="AJ234" si="1605">+IFERROR(AJ227/AF227-1,"n/a ")</f>
        <v>0.12758868361198683</v>
      </c>
      <c r="AK234" s="902">
        <f t="shared" ref="AK234" si="1606">+IFERROR(AK227/AG227-1,"n/a ")</f>
        <v>0.17580146738203117</v>
      </c>
      <c r="AL234" s="902">
        <f t="shared" ref="AL234" si="1607">+IFERROR(AL227/AH227-1,"n/a ")</f>
        <v>0.17028964943148495</v>
      </c>
      <c r="AM234" s="902">
        <f t="shared" ref="AM234" si="1608">+IFERROR(AM227/AI227-1,"n/a ")</f>
        <v>0.15195144957198026</v>
      </c>
      <c r="AN234" s="902">
        <f t="shared" ref="AN234" si="1609">+IFERROR(AN227/AJ227-1,"n/a ")</f>
        <v>0.1480324846483414</v>
      </c>
      <c r="AO234" s="902">
        <f t="shared" ref="AO234" si="1610">+IFERROR(AO227/AK227-1,"n/a ")</f>
        <v>0.11742120248153132</v>
      </c>
      <c r="AP234" s="902">
        <f t="shared" ref="AP234" si="1611">+IFERROR(AP227/AL227-1,"n/a ")</f>
        <v>0.13685896811479958</v>
      </c>
      <c r="AQ234" s="902">
        <f t="shared" ref="AQ234" si="1612">+IFERROR(AQ227/AM227-1,"n/a ")</f>
        <v>0.14301269374546544</v>
      </c>
      <c r="BC234" s="855">
        <f t="shared" si="1548"/>
        <v>7.7700874091647165E-2</v>
      </c>
      <c r="BD234" s="855">
        <f t="shared" si="1548"/>
        <v>-8.8266723658901425E-2</v>
      </c>
      <c r="BE234" s="855">
        <f t="shared" si="1548"/>
        <v>5.4266291608063844E-2</v>
      </c>
      <c r="BF234" s="855"/>
      <c r="BG234" s="1177">
        <f t="shared" si="1549"/>
        <v>-8.8266723658901425E-2</v>
      </c>
      <c r="BH234" s="855">
        <f t="shared" si="1550"/>
        <v>5.9426903920837271E-2</v>
      </c>
      <c r="BI234" s="855">
        <f t="shared" si="1550"/>
        <v>0.14278613662486661</v>
      </c>
      <c r="BJ234" s="855">
        <f t="shared" si="1550"/>
        <v>0.14029539688292858</v>
      </c>
      <c r="BK234" s="855">
        <f t="shared" si="1551"/>
        <v>0.13645574247276371</v>
      </c>
      <c r="BL234" s="855">
        <f t="shared" si="1552"/>
        <v>0.17531727441177503</v>
      </c>
      <c r="BM234" s="855">
        <f t="shared" ref="BM234" si="1613">+IFERROR(BM227/BL227-1,"n/a ")</f>
        <v>0.17956070629670173</v>
      </c>
      <c r="BN234" s="855">
        <f t="shared" ref="BN234" si="1614">+IFERROR(BN227/BM227-1,"n/a ")</f>
        <v>6.8820295556564215E-2</v>
      </c>
      <c r="BO234" s="855">
        <f t="shared" ref="BO234" si="1615">+IFERROR(BO227/BN227-1,"n/a ")</f>
        <v>0.1566996201307127</v>
      </c>
      <c r="BP234" s="855">
        <f t="shared" ref="BP234" si="1616">+IFERROR(BP227/BO227-1,"n/a ")</f>
        <v>0.1361420826791675</v>
      </c>
      <c r="BR234"/>
      <c r="BS234"/>
      <c r="BT234"/>
      <c r="BU234"/>
      <c r="BV234"/>
      <c r="BW234"/>
      <c r="BX234"/>
      <c r="BY234"/>
      <c r="BZ234"/>
      <c r="CA234"/>
      <c r="CB234"/>
      <c r="CC234"/>
    </row>
    <row r="235" spans="2:82" s="7" customFormat="1" hidden="1" outlineLevel="1">
      <c r="B235" s="887" t="s">
        <v>349</v>
      </c>
      <c r="L235" s="855">
        <f>+L234</f>
        <v>0.11902590295512594</v>
      </c>
      <c r="M235" s="855">
        <f t="shared" ref="M235:AC235" si="1617">+M234</f>
        <v>0.11972430883605667</v>
      </c>
      <c r="N235" s="855">
        <f t="shared" si="1617"/>
        <v>0.15539376184732046</v>
      </c>
      <c r="O235" s="855">
        <f t="shared" si="1617"/>
        <v>0.17496582698691654</v>
      </c>
      <c r="P235" s="855">
        <f t="shared" si="1617"/>
        <v>0.18526367267095933</v>
      </c>
      <c r="Q235" s="855">
        <f t="shared" si="1617"/>
        <v>0.12286465177398154</v>
      </c>
      <c r="R235" s="855">
        <f t="shared" si="1617"/>
        <v>0.13990081658525666</v>
      </c>
      <c r="S235" s="855">
        <f t="shared" si="1617"/>
        <v>0.12072461359481479</v>
      </c>
      <c r="T235" s="855">
        <f t="shared" si="1617"/>
        <v>0.13653555219364599</v>
      </c>
      <c r="U235" s="855">
        <f t="shared" si="1617"/>
        <v>0.13658341289150311</v>
      </c>
      <c r="V235" s="855">
        <f t="shared" si="1617"/>
        <v>0.14556278826338698</v>
      </c>
      <c r="W235" s="855">
        <f t="shared" si="1617"/>
        <v>0.12800664353293589</v>
      </c>
      <c r="X235" s="855">
        <f t="shared" si="1617"/>
        <v>0.12400544546967174</v>
      </c>
      <c r="Y235" s="855">
        <f t="shared" si="1617"/>
        <v>0.16718148810491518</v>
      </c>
      <c r="Z235" s="855">
        <f t="shared" si="1617"/>
        <v>0.19088546871876866</v>
      </c>
      <c r="AA235" s="855">
        <f t="shared" si="1617"/>
        <v>0.21347251071437956</v>
      </c>
      <c r="AB235" s="855">
        <f t="shared" si="1617"/>
        <v>0.21970716477364483</v>
      </c>
      <c r="AC235" s="855">
        <f t="shared" si="1617"/>
        <v>0.2008543040208004</v>
      </c>
      <c r="AD235" s="855">
        <f>(AD227-110)/Z227-1</f>
        <v>0.18088524432935316</v>
      </c>
      <c r="AE235" s="902">
        <f>(AE227-350)/AA227-1</f>
        <v>0.11620298145259134</v>
      </c>
      <c r="AF235" s="902">
        <f t="shared" ref="AF235" si="1618">(AF227-350)/AB227-1</f>
        <v>9.8307478429728423E-2</v>
      </c>
      <c r="AG235" s="855">
        <f t="shared" ref="AG235" si="1619">(AG227-350)/AC227-1</f>
        <v>1.29330343334364E-2</v>
      </c>
      <c r="AH235" s="855">
        <f>(AH227-350/3*2)/AD227-1</f>
        <v>6.6119665045921039E-2</v>
      </c>
      <c r="AI235" s="855">
        <f>+AI234</f>
        <v>8.3370288248336921E-2</v>
      </c>
      <c r="AJ235" s="855">
        <f t="shared" ref="AJ235" si="1620">+AJ234</f>
        <v>0.12758868361198683</v>
      </c>
      <c r="AK235" s="855">
        <f t="shared" ref="AK235:AQ235" si="1621">+AK15-AK14+AK234</f>
        <v>0.13636794509640349</v>
      </c>
      <c r="AL235" s="855">
        <f t="shared" si="1621"/>
        <v>0.13301927843048222</v>
      </c>
      <c r="AM235" s="855">
        <f t="shared" si="1621"/>
        <v>0.12205235900265166</v>
      </c>
      <c r="AN235" s="855">
        <f t="shared" si="1621"/>
        <v>0.11812997743812148</v>
      </c>
      <c r="AO235" s="855">
        <f t="shared" si="1621"/>
        <v>0.1185221133720844</v>
      </c>
      <c r="AP235" s="855">
        <f t="shared" si="1621"/>
        <v>0.13838763688790912</v>
      </c>
      <c r="AQ235" s="855">
        <f t="shared" si="1621"/>
        <v>0.14458675588827541</v>
      </c>
      <c r="BC235" s="855">
        <f t="shared" ref="BC235" si="1622">+BC234</f>
        <v>7.7700874091647165E-2</v>
      </c>
      <c r="BD235" s="855">
        <f t="shared" ref="BD235" si="1623">+BD234</f>
        <v>-8.8266723658901425E-2</v>
      </c>
      <c r="BE235" s="855">
        <f t="shared" ref="BE235" si="1624">+BE234</f>
        <v>5.4266291608063844E-2</v>
      </c>
      <c r="BF235" s="855"/>
      <c r="BG235" s="1177">
        <f t="shared" si="1549"/>
        <v>-8.8266723658901425E-2</v>
      </c>
      <c r="BH235" s="855">
        <f t="shared" ref="BH235" si="1625">+BH234</f>
        <v>5.9426903920837271E-2</v>
      </c>
      <c r="BI235" s="855">
        <f t="shared" ref="BI235" si="1626">+BI234</f>
        <v>0.14278613662486661</v>
      </c>
      <c r="BJ235" s="855">
        <f t="shared" ref="BJ235" si="1627">+BJ234</f>
        <v>0.14029539688292858</v>
      </c>
      <c r="BK235" s="855">
        <f t="shared" ref="BK235" si="1628">+BK234</f>
        <v>0.13645574247276371</v>
      </c>
      <c r="BL235" s="855">
        <f t="shared" ref="BL235" si="1629">+BL234</f>
        <v>0.17531727441177503</v>
      </c>
      <c r="BM235" s="855">
        <f>(BM227-350/3*4)/BL227-1</f>
        <v>0.1767843827836213</v>
      </c>
      <c r="BN235" s="855">
        <f>(BN227-350/3*8)/BM227-1</f>
        <v>6.4112910004875401E-2</v>
      </c>
      <c r="BO235" s="855">
        <f>+BO15-BO14+BO234</f>
        <v>0.12966047707807368</v>
      </c>
      <c r="BP235" s="855">
        <f>+BP15-BP14+BP234</f>
        <v>0.13037269339258195</v>
      </c>
      <c r="BR235"/>
      <c r="BS235"/>
      <c r="BT235"/>
      <c r="BU235"/>
      <c r="BV235"/>
      <c r="BW235"/>
      <c r="BX235"/>
      <c r="BY235"/>
      <c r="BZ235"/>
      <c r="CA235"/>
      <c r="CB235"/>
      <c r="CC235"/>
    </row>
    <row r="236" spans="2:82" s="3" customFormat="1" hidden="1" outlineLevel="1">
      <c r="B236" s="888"/>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BC236" s="14"/>
      <c r="BD236" s="14"/>
      <c r="BE236" s="14"/>
      <c r="BF236" s="14"/>
      <c r="BG236" s="14"/>
      <c r="BH236" s="14"/>
      <c r="BI236" s="14"/>
      <c r="BJ236" s="14"/>
      <c r="BK236" s="14"/>
      <c r="BL236" s="14"/>
      <c r="BM236" s="14"/>
      <c r="BN236" s="14"/>
      <c r="BO236" s="14"/>
      <c r="BP236" s="14"/>
      <c r="BR236"/>
      <c r="BS236"/>
      <c r="BT236"/>
      <c r="BU236"/>
      <c r="BV236"/>
      <c r="BW236"/>
      <c r="BX236"/>
      <c r="BY236"/>
      <c r="BZ236"/>
      <c r="CA236"/>
      <c r="CB236"/>
      <c r="CC236"/>
    </row>
    <row r="237" spans="2:82" s="3" customFormat="1" ht="11.45" hidden="1" outlineLevel="1">
      <c r="B237" s="883" t="s">
        <v>272</v>
      </c>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BC237" s="890"/>
      <c r="BD237" s="890"/>
      <c r="BE237" s="890"/>
      <c r="BF237" s="890"/>
      <c r="BG237" s="890"/>
      <c r="BH237" s="14"/>
      <c r="BI237" s="14"/>
      <c r="BJ237" s="14"/>
      <c r="BK237" s="14"/>
      <c r="BL237" s="14"/>
      <c r="BM237" s="14"/>
      <c r="BN237" s="14"/>
      <c r="BO237" s="14"/>
      <c r="BP237" s="14"/>
      <c r="BR237" s="1"/>
      <c r="BS237" s="1"/>
      <c r="BT237" s="953"/>
      <c r="BU237" s="953"/>
      <c r="BV237" s="953"/>
      <c r="BW237" s="953"/>
      <c r="BX237" s="953"/>
      <c r="BY237" s="953"/>
      <c r="BZ237" s="953"/>
      <c r="CA237" s="953"/>
      <c r="CB237" s="953"/>
      <c r="CC237" s="953"/>
    </row>
    <row r="238" spans="2:82" s="3" customFormat="1" ht="10.5" hidden="1" outlineLevel="1">
      <c r="B238" s="884" t="s">
        <v>340</v>
      </c>
      <c r="L238" s="23">
        <f>+L420</f>
        <v>0.28000000000000003</v>
      </c>
      <c r="M238" s="23">
        <f>+M420</f>
        <v>0.24</v>
      </c>
      <c r="N238" s="23">
        <f>+N420</f>
        <v>0.14000000000000001</v>
      </c>
      <c r="O238" s="23">
        <f>+O420</f>
        <v>0.1</v>
      </c>
      <c r="P238" s="23">
        <f t="shared" ref="P238:Q238" si="1630">+P420</f>
        <v>0.18</v>
      </c>
      <c r="Q238" s="23">
        <f t="shared" si="1630"/>
        <v>0.13</v>
      </c>
      <c r="R238" s="23">
        <f t="shared" ref="R238:V238" si="1631">+R420</f>
        <v>0.15</v>
      </c>
      <c r="S238" s="23">
        <f t="shared" si="1631"/>
        <v>0.17</v>
      </c>
      <c r="T238" s="23">
        <f t="shared" si="1631"/>
        <v>0.15</v>
      </c>
      <c r="U238" s="23">
        <f t="shared" si="1631"/>
        <v>0.19</v>
      </c>
      <c r="V238" s="23">
        <f t="shared" si="1631"/>
        <v>0.16</v>
      </c>
      <c r="W238" s="23">
        <f t="shared" ref="W238:X238" si="1632">+W420</f>
        <v>0.08</v>
      </c>
      <c r="X238" s="23">
        <f t="shared" si="1632"/>
        <v>0.11</v>
      </c>
      <c r="Y238" s="23">
        <f t="shared" ref="Y238:Z238" si="1633">+Y420</f>
        <v>0.11</v>
      </c>
      <c r="Z238" s="23">
        <f t="shared" si="1633"/>
        <v>0.12</v>
      </c>
      <c r="AA238" s="23">
        <f t="shared" ref="AA238" si="1634">+AA420</f>
        <v>0.20499999999999999</v>
      </c>
      <c r="AB238" s="23">
        <v>0.2</v>
      </c>
      <c r="AC238" s="23">
        <v>0.19</v>
      </c>
      <c r="AD238" s="23">
        <f>+AD230+2%</f>
        <v>0.18506788665879578</v>
      </c>
      <c r="AE238" s="23">
        <v>0.17</v>
      </c>
      <c r="AF238" s="23">
        <v>0.15</v>
      </c>
      <c r="AG238" s="23">
        <v>0.13</v>
      </c>
      <c r="AH238" s="23">
        <f>+AH420</f>
        <v>0.14937994806510854</v>
      </c>
      <c r="AI238" s="23">
        <f t="shared" ref="AI238:AM238" si="1635">+AI420</f>
        <v>0.12</v>
      </c>
      <c r="AJ238" s="23">
        <f t="shared" si="1635"/>
        <v>0.12</v>
      </c>
      <c r="AK238" s="23">
        <f t="shared" si="1635"/>
        <v>0.12</v>
      </c>
      <c r="AL238" s="23">
        <f t="shared" si="1635"/>
        <v>0.11</v>
      </c>
      <c r="AM238" s="23">
        <f t="shared" si="1635"/>
        <v>0.12</v>
      </c>
      <c r="AN238" s="23">
        <f t="shared" ref="AN238:AQ238" si="1636">+AN420</f>
        <v>0.11511072278996684</v>
      </c>
      <c r="AO238" s="23">
        <f t="shared" si="1636"/>
        <v>0.11286310896305229</v>
      </c>
      <c r="AP238" s="23">
        <f t="shared" si="1636"/>
        <v>0.12782484308037945</v>
      </c>
      <c r="AQ238" s="23">
        <f t="shared" si="1636"/>
        <v>0.12166696895508466</v>
      </c>
      <c r="AR238" s="21"/>
      <c r="AS238" s="21"/>
      <c r="AT238" s="21"/>
      <c r="AU238" s="21"/>
      <c r="AV238" s="21"/>
      <c r="AW238" s="21"/>
      <c r="AX238" s="21"/>
      <c r="AY238" s="21"/>
      <c r="AZ238" s="21"/>
      <c r="BA238" s="21"/>
      <c r="BB238" s="21"/>
      <c r="BC238" s="891">
        <f>+BC230+2%</f>
        <v>-2.4021352313165559E-4</v>
      </c>
      <c r="BD238" s="891">
        <f>+BD230+6%</f>
        <v>6.2156640181611766E-2</v>
      </c>
      <c r="BE238" s="891">
        <f>+BE230+2%</f>
        <v>0.1693940423604032</v>
      </c>
      <c r="BF238" s="891"/>
      <c r="BG238" s="829">
        <f t="shared" ref="BG238:BG242" si="1637">+BD238</f>
        <v>6.2156640181611766E-2</v>
      </c>
      <c r="BH238" s="23">
        <f>+BE238-BE230+BH230</f>
        <v>0.17811104218362292</v>
      </c>
      <c r="BI238" s="23">
        <f>+BI420</f>
        <v>0.18275259457649817</v>
      </c>
      <c r="BJ238" s="23">
        <f t="shared" ref="BJ238" si="1638">+BJ420</f>
        <v>0.15728955806496586</v>
      </c>
      <c r="BK238" s="23">
        <f t="shared" ref="BK238" si="1639">+BK420</f>
        <v>0.14351627793974733</v>
      </c>
      <c r="BL238" s="23">
        <f t="shared" ref="BL238:BM238" si="1640">+BL420</f>
        <v>0.1365931721194879</v>
      </c>
      <c r="BM238" s="23">
        <f t="shared" si="1640"/>
        <v>0.1868352035611611</v>
      </c>
      <c r="BN238" s="23">
        <f t="shared" ref="BN238:BO238" si="1641">+BN420</f>
        <v>0.13695615807082887</v>
      </c>
      <c r="BO238" s="23">
        <f t="shared" si="1641"/>
        <v>0.11747149002511766</v>
      </c>
      <c r="BP238" s="23">
        <f t="shared" ref="BP238" si="1642">+BP420</f>
        <v>0.1194689240670587</v>
      </c>
      <c r="BT238" s="1"/>
      <c r="BU238" s="1"/>
      <c r="BV238" s="1"/>
      <c r="BW238" s="1"/>
      <c r="BX238" s="1"/>
      <c r="BY238" s="1"/>
      <c r="BZ238" s="1"/>
      <c r="CA238" s="1"/>
      <c r="CB238" s="1"/>
      <c r="CC238" s="1"/>
    </row>
    <row r="239" spans="2:82" s="3" customFormat="1" hidden="1" outlineLevel="1">
      <c r="B239" s="884" t="s">
        <v>342</v>
      </c>
      <c r="L239" s="23">
        <f>+L605</f>
        <v>0.13</v>
      </c>
      <c r="M239" s="23">
        <f>+M605</f>
        <v>0.15</v>
      </c>
      <c r="N239" s="23">
        <f>+N605</f>
        <v>0.15</v>
      </c>
      <c r="O239" s="23">
        <f>+O605</f>
        <v>0.2</v>
      </c>
      <c r="P239" s="23">
        <f t="shared" ref="P239:Q239" si="1643">+P605</f>
        <v>0.24</v>
      </c>
      <c r="Q239" s="23">
        <f t="shared" si="1643"/>
        <v>0.21</v>
      </c>
      <c r="R239" s="23">
        <f t="shared" ref="R239:V239" si="1644">+R605</f>
        <v>0.24</v>
      </c>
      <c r="S239" s="23">
        <f t="shared" si="1644"/>
        <v>0.21</v>
      </c>
      <c r="T239" s="23">
        <f t="shared" si="1644"/>
        <v>0.28999999999999998</v>
      </c>
      <c r="U239" s="23">
        <f t="shared" si="1644"/>
        <v>0.28000000000000003</v>
      </c>
      <c r="V239" s="23">
        <f t="shared" si="1644"/>
        <v>0.28999999999999998</v>
      </c>
      <c r="W239" s="23">
        <f>+W605</f>
        <v>0.19</v>
      </c>
      <c r="X239" s="23">
        <f>+X605</f>
        <v>0.19</v>
      </c>
      <c r="Y239" s="23">
        <f t="shared" ref="Y239:Z239" si="1645">+Y605</f>
        <v>0.22</v>
      </c>
      <c r="Z239" s="23">
        <f t="shared" si="1645"/>
        <v>0.2</v>
      </c>
      <c r="AA239" s="23">
        <f t="shared" ref="AA239" si="1646">+AA605</f>
        <v>0.255</v>
      </c>
      <c r="AB239" s="23">
        <v>0.28999999999999998</v>
      </c>
      <c r="AC239" s="23">
        <v>0.26</v>
      </c>
      <c r="AD239" s="23">
        <f>+AD231+2%</f>
        <v>0.28015345945230852</v>
      </c>
      <c r="AE239" s="23">
        <v>0.25</v>
      </c>
      <c r="AF239" s="23">
        <v>0.26</v>
      </c>
      <c r="AG239" s="23">
        <v>0.24</v>
      </c>
      <c r="AH239" s="23">
        <f>+AH605</f>
        <v>0.19</v>
      </c>
      <c r="AI239" s="23">
        <f t="shared" ref="AI239:AM239" si="1647">+AI605</f>
        <v>0.17</v>
      </c>
      <c r="AJ239" s="23">
        <f t="shared" si="1647"/>
        <v>0.19</v>
      </c>
      <c r="AK239" s="23">
        <f t="shared" si="1647"/>
        <v>0.19</v>
      </c>
      <c r="AL239" s="23">
        <f t="shared" si="1647"/>
        <v>0.21</v>
      </c>
      <c r="AM239" s="23">
        <f t="shared" si="1647"/>
        <v>0.2</v>
      </c>
      <c r="AN239" s="23">
        <f t="shared" ref="AN239:AQ239" si="1648">+AN605</f>
        <v>0.1904935667179968</v>
      </c>
      <c r="AO239" s="23">
        <f t="shared" si="1648"/>
        <v>0.19295518342064999</v>
      </c>
      <c r="AP239" s="23">
        <f t="shared" si="1648"/>
        <v>0.20676628506220585</v>
      </c>
      <c r="AQ239" s="23">
        <f t="shared" si="1648"/>
        <v>0.21449095037569377</v>
      </c>
      <c r="AR239" s="21"/>
      <c r="AS239" s="21"/>
      <c r="AT239" s="21"/>
      <c r="AU239" s="21"/>
      <c r="AV239" s="21"/>
      <c r="AW239" s="21"/>
      <c r="AX239" s="21"/>
      <c r="AY239" s="21"/>
      <c r="AZ239" s="21"/>
      <c r="BA239" s="21"/>
      <c r="BB239" s="21"/>
      <c r="BC239" s="891">
        <f>+BC231+2%</f>
        <v>0.11109730848861286</v>
      </c>
      <c r="BD239" s="891">
        <f>+BD231+5%</f>
        <v>0.10595614589921994</v>
      </c>
      <c r="BE239" s="891">
        <f>+BE231+1%</f>
        <v>0.10575912467055336</v>
      </c>
      <c r="BF239" s="891"/>
      <c r="BG239" s="829">
        <f t="shared" si="1637"/>
        <v>0.10595614589921994</v>
      </c>
      <c r="BH239" s="23">
        <f>+BE239-BE231+BH231</f>
        <v>0.10838890670086564</v>
      </c>
      <c r="BI239" s="23">
        <f>+BI605</f>
        <v>0.1598208486882913</v>
      </c>
      <c r="BJ239" s="23">
        <f t="shared" ref="BJ239" si="1649">+BJ605</f>
        <v>0.22379744871038831</v>
      </c>
      <c r="BK239" s="23">
        <f t="shared" ref="BK239" si="1650">+BK605</f>
        <v>0.25837552904963451</v>
      </c>
      <c r="BL239" s="23">
        <f t="shared" ref="BL239:BM239" si="1651">+BL605</f>
        <v>0.21787071496505808</v>
      </c>
      <c r="BM239" s="23">
        <f t="shared" si="1651"/>
        <v>0.2711413115845539</v>
      </c>
      <c r="BN239" s="23">
        <f t="shared" ref="BN239:BO239" si="1652">+BN605</f>
        <v>0.2124003667725346</v>
      </c>
      <c r="BO239" s="23">
        <f t="shared" si="1652"/>
        <v>0.19775307995950267</v>
      </c>
      <c r="BP239" s="23">
        <f t="shared" ref="BP239" si="1653">+BP605</f>
        <v>0.20171776326704699</v>
      </c>
      <c r="BT239"/>
      <c r="BU239"/>
      <c r="BV239"/>
      <c r="BW239"/>
      <c r="BX239"/>
      <c r="BY239"/>
      <c r="BZ239"/>
      <c r="CA239"/>
      <c r="CB239"/>
      <c r="CC239"/>
    </row>
    <row r="240" spans="2:82" s="3" customFormat="1" ht="11.45" hidden="1" outlineLevel="1">
      <c r="B240" s="884" t="s">
        <v>344</v>
      </c>
      <c r="C240" s="1083"/>
      <c r="D240" s="1083"/>
      <c r="E240" s="1083"/>
      <c r="F240" s="1083"/>
      <c r="G240" s="1083"/>
      <c r="H240" s="1083"/>
      <c r="I240" s="1083"/>
      <c r="J240" s="1083"/>
      <c r="K240" s="1083"/>
      <c r="L240" s="1083">
        <f>+L800</f>
        <v>-0.01</v>
      </c>
      <c r="M240" s="1083">
        <f>+M800</f>
        <v>0.02</v>
      </c>
      <c r="N240" s="1083">
        <f>+N800</f>
        <v>0.11</v>
      </c>
      <c r="O240" s="1083">
        <f>+O800</f>
        <v>0.16</v>
      </c>
      <c r="P240" s="1083">
        <f t="shared" ref="P240:Q240" si="1654">+P800</f>
        <v>0.15</v>
      </c>
      <c r="Q240" s="1083">
        <f t="shared" si="1654"/>
        <v>7.0000000000000007E-2</v>
      </c>
      <c r="R240" s="1083">
        <f t="shared" ref="R240:V240" si="1655">+R800</f>
        <v>0.09</v>
      </c>
      <c r="S240" s="1083">
        <f t="shared" si="1655"/>
        <v>0.06</v>
      </c>
      <c r="T240" s="1083">
        <f t="shared" si="1655"/>
        <v>0.05</v>
      </c>
      <c r="U240" s="1083">
        <f t="shared" si="1655"/>
        <v>0.03</v>
      </c>
      <c r="V240" s="1083">
        <f t="shared" si="1655"/>
        <v>0.04</v>
      </c>
      <c r="W240" s="1083">
        <f t="shared" ref="W240:X240" si="1656">+W800</f>
        <v>0.16</v>
      </c>
      <c r="X240" s="1083">
        <f t="shared" si="1656"/>
        <v>0.06</v>
      </c>
      <c r="Y240" s="1083">
        <f t="shared" ref="Y240:Z240" si="1657">+Y800</f>
        <v>0.13</v>
      </c>
      <c r="Z240" s="1083">
        <f t="shared" si="1657"/>
        <v>0.16</v>
      </c>
      <c r="AA240" s="1083">
        <f t="shared" ref="AA240" si="1658">+AA800</f>
        <v>0.06</v>
      </c>
      <c r="AB240" s="1083">
        <v>0.11</v>
      </c>
      <c r="AC240" s="1083">
        <v>0.15</v>
      </c>
      <c r="AD240" s="1083">
        <f>+AD232+1%</f>
        <v>0.12383860079779073</v>
      </c>
      <c r="AE240" s="1083">
        <v>0.05</v>
      </c>
      <c r="AF240" s="1083">
        <v>0.03</v>
      </c>
      <c r="AG240" s="1083">
        <v>-0.16</v>
      </c>
      <c r="AH240" s="1083">
        <f>+AH800</f>
        <v>-7.0000000000000007E-2</v>
      </c>
      <c r="AI240" s="1083">
        <f t="shared" ref="AI240:AM240" si="1659">+AI800</f>
        <v>-0.03</v>
      </c>
      <c r="AJ240" s="1083">
        <f t="shared" si="1659"/>
        <v>0.02</v>
      </c>
      <c r="AK240" s="1083">
        <f t="shared" si="1659"/>
        <v>0.18</v>
      </c>
      <c r="AL240" s="1083">
        <f t="shared" si="1659"/>
        <v>0.17</v>
      </c>
      <c r="AM240" s="1083">
        <f t="shared" si="1659"/>
        <v>0.15</v>
      </c>
      <c r="AN240" s="1083">
        <f t="shared" ref="AN240:AQ240" si="1660">+AN800</f>
        <v>0.13342352859266529</v>
      </c>
      <c r="AO240" s="1083">
        <f t="shared" si="1660"/>
        <v>1.2133902708087785E-2</v>
      </c>
      <c r="AP240" s="1083">
        <f t="shared" si="1660"/>
        <v>9.2117756546099105E-2</v>
      </c>
      <c r="AQ240" s="1083">
        <f t="shared" si="1660"/>
        <v>8.3877933139067551E-2</v>
      </c>
      <c r="AR240" s="1083"/>
      <c r="AS240" s="1083"/>
      <c r="AT240" s="1083"/>
      <c r="AU240" s="1083"/>
      <c r="AV240" s="1083"/>
      <c r="AW240" s="1083"/>
      <c r="AX240" s="1083"/>
      <c r="AY240" s="1083"/>
      <c r="AZ240" s="1083"/>
      <c r="BA240" s="1083"/>
      <c r="BB240" s="1083"/>
      <c r="BC240" s="1083">
        <f>+BC232+0%</f>
        <v>0.12935517420696829</v>
      </c>
      <c r="BD240" s="1083">
        <f>+BD232+2%</f>
        <v>-4.9091746287556096E-2</v>
      </c>
      <c r="BE240" s="1083">
        <f>+BE232+2%</f>
        <v>-2.1079289706682509E-2</v>
      </c>
      <c r="BF240" s="1083"/>
      <c r="BG240" s="908">
        <f t="shared" si="1637"/>
        <v>-4.9091746287556096E-2</v>
      </c>
      <c r="BH240" s="1083">
        <f>+BE240-BE232+BH232</f>
        <v>-7.6169265033407992E-3</v>
      </c>
      <c r="BI240" s="1083">
        <f>+BI800</f>
        <v>6.5828879727184819E-2</v>
      </c>
      <c r="BJ240" s="1083">
        <f t="shared" ref="BJ240" si="1661">+BJ800</f>
        <v>8.9880546882391901E-2</v>
      </c>
      <c r="BK240" s="1083">
        <f t="shared" ref="BK240" si="1662">+BK800</f>
        <v>6.9126219965862851E-2</v>
      </c>
      <c r="BL240" s="1083">
        <f t="shared" ref="BL240:BM240" si="1663">+BL800</f>
        <v>0.10195705788481069</v>
      </c>
      <c r="BM240" s="1083">
        <f t="shared" si="1663"/>
        <v>0.1103778677462888</v>
      </c>
      <c r="BN240" s="1083">
        <f t="shared" ref="BN240:BO240" si="1664">+BN800</f>
        <v>-6.4404660129075517E-2</v>
      </c>
      <c r="BO240" s="1083">
        <f t="shared" si="1664"/>
        <v>0.13098348375781049</v>
      </c>
      <c r="BP240" s="1083">
        <f t="shared" ref="BP240" si="1665">+BP800</f>
        <v>7.7327090640691543E-2</v>
      </c>
    </row>
    <row r="241" spans="2:81" s="839" customFormat="1" ht="11.45" hidden="1" outlineLevel="2">
      <c r="B241" s="884" t="s">
        <v>345</v>
      </c>
      <c r="L241" s="840" t="s">
        <v>273</v>
      </c>
      <c r="M241" s="840" t="s">
        <v>273</v>
      </c>
      <c r="N241" s="840" t="s">
        <v>273</v>
      </c>
      <c r="O241" s="840" t="s">
        <v>273</v>
      </c>
      <c r="P241" s="840" t="s">
        <v>273</v>
      </c>
      <c r="Q241" s="840" t="s">
        <v>273</v>
      </c>
      <c r="R241" s="840" t="s">
        <v>273</v>
      </c>
      <c r="S241" s="840" t="s">
        <v>273</v>
      </c>
      <c r="T241" s="840" t="s">
        <v>273</v>
      </c>
      <c r="U241" s="840" t="s">
        <v>273</v>
      </c>
      <c r="V241" s="840" t="s">
        <v>273</v>
      </c>
      <c r="W241" s="840" t="s">
        <v>273</v>
      </c>
      <c r="X241" s="840" t="s">
        <v>273</v>
      </c>
      <c r="Y241" s="840" t="s">
        <v>273</v>
      </c>
      <c r="Z241" s="840" t="s">
        <v>273</v>
      </c>
      <c r="AA241" s="840" t="s">
        <v>273</v>
      </c>
      <c r="AB241" s="840" t="s">
        <v>273</v>
      </c>
      <c r="AC241" s="840" t="s">
        <v>273</v>
      </c>
      <c r="AD241" s="840" t="s">
        <v>273</v>
      </c>
      <c r="AE241" s="840" t="s">
        <v>273</v>
      </c>
      <c r="AF241" s="840" t="s">
        <v>273</v>
      </c>
      <c r="AG241" s="840" t="s">
        <v>273</v>
      </c>
      <c r="AH241" s="14"/>
      <c r="AI241" s="14"/>
      <c r="AJ241" s="14"/>
      <c r="AK241" s="14"/>
      <c r="AL241" s="14"/>
      <c r="AM241" s="14"/>
      <c r="AN241" s="14"/>
      <c r="AO241" s="14"/>
      <c r="AP241" s="14"/>
      <c r="AQ241" s="14"/>
      <c r="BC241" s="840" t="s">
        <v>273</v>
      </c>
      <c r="BD241" s="840" t="s">
        <v>273</v>
      </c>
      <c r="BE241" s="840" t="s">
        <v>273</v>
      </c>
      <c r="BF241" s="893"/>
      <c r="BG241" s="829" t="str">
        <f t="shared" si="1637"/>
        <v>NA</v>
      </c>
      <c r="BH241" s="840" t="s">
        <v>273</v>
      </c>
      <c r="BI241" s="840" t="s">
        <v>273</v>
      </c>
      <c r="BJ241" s="840" t="s">
        <v>273</v>
      </c>
      <c r="BK241" s="840" t="s">
        <v>273</v>
      </c>
      <c r="BL241" s="840" t="s">
        <v>273</v>
      </c>
      <c r="BM241" s="840" t="s">
        <v>273</v>
      </c>
      <c r="BN241" s="840" t="s">
        <v>273</v>
      </c>
      <c r="BO241" s="840" t="s">
        <v>273</v>
      </c>
      <c r="BP241" s="840" t="s">
        <v>273</v>
      </c>
      <c r="BT241" s="3"/>
      <c r="BU241" s="3"/>
      <c r="BV241" s="3"/>
      <c r="BW241" s="3"/>
      <c r="BX241" s="3"/>
      <c r="BY241" s="3"/>
      <c r="BZ241" s="3"/>
      <c r="CA241" s="3"/>
      <c r="CB241" s="3"/>
      <c r="CC241" s="3"/>
    </row>
    <row r="242" spans="2:81" s="7" customFormat="1" hidden="1" outlineLevel="1" collapsed="1">
      <c r="B242" s="887" t="str">
        <f>+B234</f>
        <v>Total Revenue</v>
      </c>
      <c r="L242" s="895">
        <f t="shared" ref="L242:Q242" si="1666">+SUMPRODUCT(L238:L240,H223:H225)/H227</f>
        <v>0.11404323239693544</v>
      </c>
      <c r="M242" s="895">
        <f t="shared" si="1666"/>
        <v>0.11517230697746457</v>
      </c>
      <c r="N242" s="895">
        <f t="shared" si="1666"/>
        <v>0.13155824573496466</v>
      </c>
      <c r="O242" s="895">
        <f t="shared" si="1666"/>
        <v>0.15218902558094122</v>
      </c>
      <c r="P242" s="895">
        <f t="shared" si="1666"/>
        <v>0.18546010269785637</v>
      </c>
      <c r="Q242" s="895">
        <f t="shared" si="1666"/>
        <v>0.12631371464139982</v>
      </c>
      <c r="R242" s="895">
        <v>0.16</v>
      </c>
      <c r="S242" s="895">
        <f>+SUMPRODUCT(S238:S240,O223:O225)/O227</f>
        <v>0.14324347681568889</v>
      </c>
      <c r="T242" s="895">
        <f>+SUMPRODUCT(T238:T240,P223:P225)/P227</f>
        <v>0.15429033145372026</v>
      </c>
      <c r="U242" s="895">
        <f>+SUMPRODUCT(U238:U240,Q223:Q225)/Q227</f>
        <v>0.15197037356410337</v>
      </c>
      <c r="V242" s="895">
        <f>+SUMPRODUCT(V238:V240,R223:R225)/R227</f>
        <v>0.15910928657878379</v>
      </c>
      <c r="W242" s="895">
        <f t="shared" ref="W242:AH242" si="1667">+SUMPRODUCT(W238:W240,S223:S225)/S227+0.11%</f>
        <v>0.14502413322656227</v>
      </c>
      <c r="X242" s="895">
        <f t="shared" si="1667"/>
        <v>0.12050704885796401</v>
      </c>
      <c r="Y242" s="895">
        <f t="shared" si="1667"/>
        <v>0.15363536010404813</v>
      </c>
      <c r="Z242" s="895">
        <f t="shared" si="1667"/>
        <v>0.16171448844978725</v>
      </c>
      <c r="AA242" s="895">
        <f t="shared" si="1667"/>
        <v>0.17445905660873451</v>
      </c>
      <c r="AB242" s="895">
        <f t="shared" si="1667"/>
        <v>0.20385421219787908</v>
      </c>
      <c r="AC242" s="895">
        <f t="shared" si="1667"/>
        <v>0.20078497539232981</v>
      </c>
      <c r="AD242" s="895">
        <f t="shared" si="1667"/>
        <v>0.20149706517047911</v>
      </c>
      <c r="AE242" s="895">
        <f t="shared" si="1667"/>
        <v>0.16459280637892182</v>
      </c>
      <c r="AF242" s="895">
        <f t="shared" si="1667"/>
        <v>0.15702183948628548</v>
      </c>
      <c r="AG242" s="895">
        <f t="shared" si="1667"/>
        <v>7.2159387565728428E-2</v>
      </c>
      <c r="AH242" s="895">
        <f t="shared" si="1667"/>
        <v>0.10162370340356562</v>
      </c>
      <c r="AI242" s="895">
        <f>+SUMPRODUCT(AI238:AI240,AE223:AE225)/AE227</f>
        <v>9.8637809698255086E-2</v>
      </c>
      <c r="AJ242" s="895">
        <f>+SUMPRODUCT(AJ238:AJ240,AF223:AF225)/AF227+0.11%</f>
        <v>0.12288664059694347</v>
      </c>
      <c r="AK242" s="895">
        <f>+SUMPRODUCT(AK238:AK240,AG223:AG225)/AG227</f>
        <v>0.16473771020152805</v>
      </c>
      <c r="AL242" s="895">
        <f t="shared" ref="AL242:AQ242" si="1668">+SUMPRODUCT(AL238:AL240,AH223:AH225)/AH227+0.11%</f>
        <v>0.16792691034300095</v>
      </c>
      <c r="AM242" s="895">
        <f t="shared" si="1668"/>
        <v>0.16268447382939721</v>
      </c>
      <c r="AN242" s="895">
        <f t="shared" si="1668"/>
        <v>0.15299567625440683</v>
      </c>
      <c r="AO242" s="895">
        <f t="shared" si="1668"/>
        <v>0.11995094940339451</v>
      </c>
      <c r="AP242" s="895">
        <f t="shared" si="1668"/>
        <v>0.15401539926141555</v>
      </c>
      <c r="AQ242" s="895">
        <f t="shared" si="1668"/>
        <v>0.15438003778127893</v>
      </c>
      <c r="AR242" s="896"/>
      <c r="AS242" s="896"/>
      <c r="AT242" s="896"/>
      <c r="AU242" s="896"/>
      <c r="AV242" s="896"/>
      <c r="AW242" s="896"/>
      <c r="AX242" s="896"/>
      <c r="AY242" s="896"/>
      <c r="AZ242" s="896"/>
      <c r="BA242" s="896"/>
      <c r="BB242" s="896"/>
      <c r="BC242" s="897">
        <f>+BC234+2%</f>
        <v>9.7700874091647169E-2</v>
      </c>
      <c r="BD242" s="897">
        <f>+BD234+4%</f>
        <v>-4.8266723658901424E-2</v>
      </c>
      <c r="BE242" s="897">
        <f>+BE234+2%</f>
        <v>7.4266291608063847E-2</v>
      </c>
      <c r="BF242" s="897"/>
      <c r="BG242" s="1177">
        <f t="shared" si="1637"/>
        <v>-4.8266723658901424E-2</v>
      </c>
      <c r="BH242" s="895">
        <f>+BE242-BE234+BH234</f>
        <v>7.9426903920837275E-2</v>
      </c>
      <c r="BI242" s="895">
        <f t="shared" ref="BI242:BP242" si="1669">+SUMPRODUCT(BI238:BI240,BH223:BH225)/BH227</f>
        <v>0.12866916569156372</v>
      </c>
      <c r="BJ242" s="895">
        <f t="shared" si="1669"/>
        <v>0.15088356288510332</v>
      </c>
      <c r="BK242" s="895">
        <f t="shared" si="1669"/>
        <v>0.15208497890228301</v>
      </c>
      <c r="BL242" s="895">
        <f t="shared" si="1669"/>
        <v>0.15239460895710238</v>
      </c>
      <c r="BM242" s="895">
        <f t="shared" si="1669"/>
        <v>0.19236388082433009</v>
      </c>
      <c r="BN242" s="895">
        <f t="shared" si="1669"/>
        <v>0.10500514449992435</v>
      </c>
      <c r="BO242" s="895">
        <f t="shared" si="1669"/>
        <v>0.15426397376306539</v>
      </c>
      <c r="BP242" s="895">
        <f t="shared" si="1669"/>
        <v>0.14415769123069461</v>
      </c>
      <c r="BT242" s="3"/>
      <c r="BU242" s="3"/>
      <c r="BV242" s="3"/>
      <c r="BW242" s="3"/>
      <c r="BX242" s="3"/>
      <c r="BY242" s="3"/>
      <c r="BZ242" s="3"/>
      <c r="CA242" s="3"/>
      <c r="CB242" s="3"/>
      <c r="CC242" s="3"/>
    </row>
    <row r="243" spans="2:81" hidden="1" outlineLevel="2">
      <c r="AK243" s="895"/>
      <c r="AL243" s="895"/>
      <c r="AM243" s="895"/>
      <c r="AN243" s="895"/>
      <c r="AO243" s="895"/>
      <c r="AP243" s="895"/>
      <c r="AQ243" s="895"/>
      <c r="BT243" s="7"/>
      <c r="BU243" s="7"/>
      <c r="BV243" s="7"/>
      <c r="BW243" s="7"/>
      <c r="BX243" s="7"/>
      <c r="BY243" s="7"/>
      <c r="BZ243" s="7"/>
      <c r="CA243" s="7"/>
      <c r="CB243" s="7"/>
      <c r="CC243" s="7"/>
    </row>
    <row r="244" spans="2:81" s="3" customFormat="1" ht="13.5" hidden="1" outlineLevel="2">
      <c r="B244" s="883" t="s">
        <v>350</v>
      </c>
      <c r="L244" s="6" t="s">
        <v>222</v>
      </c>
      <c r="M244" s="6" t="s">
        <v>223</v>
      </c>
      <c r="N244" s="6" t="s">
        <v>224</v>
      </c>
      <c r="O244" s="6" t="s">
        <v>225</v>
      </c>
      <c r="X244" s="6" t="s">
        <v>226</v>
      </c>
      <c r="Y244" s="6" t="s">
        <v>227</v>
      </c>
      <c r="Z244" s="6" t="s">
        <v>228</v>
      </c>
      <c r="AA244" s="6" t="s">
        <v>229</v>
      </c>
      <c r="AB244" s="6" t="s">
        <v>230</v>
      </c>
      <c r="AC244" s="6" t="s">
        <v>231</v>
      </c>
      <c r="AD244" s="6" t="s">
        <v>232</v>
      </c>
      <c r="AE244" s="6" t="s">
        <v>358</v>
      </c>
      <c r="AF244" s="6" t="s">
        <v>234</v>
      </c>
      <c r="AG244" s="6" t="s">
        <v>359</v>
      </c>
      <c r="AH244" s="6" t="s">
        <v>360</v>
      </c>
      <c r="AI244" s="6" t="s">
        <v>361</v>
      </c>
      <c r="AJ244" s="6"/>
      <c r="AK244" s="895"/>
      <c r="AL244" s="895"/>
      <c r="AM244" s="895"/>
      <c r="AN244" s="895"/>
      <c r="AO244" s="895"/>
      <c r="AP244" s="895"/>
      <c r="AQ244" s="895"/>
      <c r="BS244"/>
      <c r="BT244"/>
      <c r="BU244"/>
      <c r="BV244"/>
      <c r="BW244"/>
      <c r="BX244"/>
      <c r="BY244"/>
      <c r="BZ244"/>
      <c r="CA244"/>
      <c r="CB244"/>
      <c r="CC244"/>
    </row>
    <row r="245" spans="2:81" s="3" customFormat="1" hidden="1" outlineLevel="2">
      <c r="B245" s="884" t="str">
        <f>+B238</f>
        <v>Productivity and Business Processes</v>
      </c>
      <c r="L245" s="890">
        <f t="shared" ref="L245:O247" si="1670">+T230+P230+L230</f>
        <v>0.59973725951525125</v>
      </c>
      <c r="M245" s="890">
        <f t="shared" si="1670"/>
        <v>0.54611419591948929</v>
      </c>
      <c r="N245" s="890">
        <f t="shared" si="1670"/>
        <v>0.4523433194919666</v>
      </c>
      <c r="O245" s="890">
        <f t="shared" si="1670"/>
        <v>0.33747853086898272</v>
      </c>
      <c r="X245" s="890">
        <f t="shared" ref="X245:AI247" si="1671">+X230+T230+P230</f>
        <v>0.43187391095562067</v>
      </c>
      <c r="Y245" s="890">
        <f t="shared" si="1671"/>
        <v>0.42812684358137632</v>
      </c>
      <c r="Z245" s="890">
        <f t="shared" si="1671"/>
        <v>0.43784446712413971</v>
      </c>
      <c r="AA245" s="890">
        <f t="shared" si="1671"/>
        <v>0.45653882164516424</v>
      </c>
      <c r="AB245" s="890">
        <f t="shared" si="1671"/>
        <v>0.46658219706226123</v>
      </c>
      <c r="AC245" s="890">
        <f t="shared" si="1671"/>
        <v>0.49345303854399636</v>
      </c>
      <c r="AD245" s="890">
        <f t="shared" si="1671"/>
        <v>0.46567051500878498</v>
      </c>
      <c r="AE245" s="890">
        <f t="shared" si="1671"/>
        <v>0.44384682591809921</v>
      </c>
      <c r="AF245" s="890">
        <f t="shared" si="1671"/>
        <v>0.4277414983022283</v>
      </c>
      <c r="AG245" s="890">
        <f t="shared" si="1671"/>
        <v>0.38945451971621003</v>
      </c>
      <c r="AH245" s="890">
        <f t="shared" si="1671"/>
        <v>0.42849705553630324</v>
      </c>
      <c r="AI245" s="890">
        <f t="shared" si="1671"/>
        <v>0.4818960646036281</v>
      </c>
      <c r="AJ245" s="890"/>
      <c r="AK245" s="895"/>
      <c r="AL245" s="895"/>
      <c r="AM245" s="895"/>
      <c r="AN245" s="895"/>
      <c r="AO245" s="895"/>
      <c r="AP245" s="895"/>
      <c r="AQ245" s="895"/>
      <c r="BC245" s="14"/>
      <c r="BD245" s="14"/>
      <c r="BE245" s="890">
        <f>+BE230+BD230+BC230</f>
        <v>0.13131046901888332</v>
      </c>
      <c r="BF245" s="14"/>
      <c r="BG245" s="14"/>
      <c r="BH245" s="14"/>
      <c r="BI245" s="14"/>
      <c r="BJ245" s="890">
        <f t="shared" ref="BJ245:BM247" si="1672">+BJ230+BI230+BH230</f>
        <v>0.50645106069685952</v>
      </c>
      <c r="BK245" s="890">
        <f t="shared" si="1672"/>
        <v>0.47559949373189547</v>
      </c>
      <c r="BL245" s="890">
        <f t="shared" si="1672"/>
        <v>0.43690774078715156</v>
      </c>
      <c r="BM245" s="890">
        <f t="shared" si="1672"/>
        <v>0.46452811834057006</v>
      </c>
      <c r="BN245" s="890"/>
      <c r="BO245" s="890"/>
      <c r="BP245" s="890"/>
    </row>
    <row r="246" spans="2:81" s="3" customFormat="1" hidden="1" outlineLevel="2">
      <c r="B246" s="884" t="str">
        <f>+B239</f>
        <v>Intelligent Cloud</v>
      </c>
      <c r="L246" s="890">
        <f t="shared" si="1670"/>
        <v>0.63886457776134087</v>
      </c>
      <c r="M246" s="890">
        <f t="shared" si="1670"/>
        <v>0.62214833007279191</v>
      </c>
      <c r="N246" s="890">
        <f t="shared" si="1670"/>
        <v>0.66803961182960947</v>
      </c>
      <c r="O246" s="890">
        <f t="shared" si="1670"/>
        <v>0.58771746083828624</v>
      </c>
      <c r="X246" s="890">
        <f t="shared" si="1671"/>
        <v>0.70097029406907607</v>
      </c>
      <c r="Y246" s="890">
        <f t="shared" si="1671"/>
        <v>0.69888002355678625</v>
      </c>
      <c r="Z246" s="890">
        <f t="shared" si="1671"/>
        <v>0.72579277261519093</v>
      </c>
      <c r="AA246" s="890">
        <f t="shared" si="1671"/>
        <v>0.65909684195673668</v>
      </c>
      <c r="AB246" s="890">
        <f t="shared" si="1671"/>
        <v>0.76965210921078442</v>
      </c>
      <c r="AC246" s="890">
        <f t="shared" si="1671"/>
        <v>0.75098912764997539</v>
      </c>
      <c r="AD246" s="890">
        <f t="shared" si="1671"/>
        <v>0.76393508718401404</v>
      </c>
      <c r="AE246" s="890">
        <f t="shared" si="1671"/>
        <v>0.67667116376100456</v>
      </c>
      <c r="AF246" s="890">
        <f t="shared" si="1671"/>
        <v>0.70187350089744016</v>
      </c>
      <c r="AG246" s="890">
        <f t="shared" si="1671"/>
        <v>0.65893651104373618</v>
      </c>
      <c r="AH246" s="890">
        <f t="shared" si="1671"/>
        <v>0.65020747561763503</v>
      </c>
      <c r="AI246" s="890">
        <f t="shared" si="1671"/>
        <v>0.65034601924579949</v>
      </c>
      <c r="AJ246" s="890"/>
      <c r="AK246" s="895"/>
      <c r="AL246" s="895"/>
      <c r="AM246" s="895"/>
      <c r="AN246" s="895"/>
      <c r="AO246" s="895"/>
      <c r="AP246" s="895"/>
      <c r="AQ246" s="895"/>
      <c r="BC246" s="14"/>
      <c r="BD246" s="14"/>
      <c r="BE246" s="890">
        <f>+BE231+BD231+BC231</f>
        <v>0.24281257905838616</v>
      </c>
      <c r="BF246" s="14"/>
      <c r="BG246" s="14"/>
      <c r="BH246" s="14"/>
      <c r="BI246" s="14"/>
      <c r="BJ246" s="890">
        <f t="shared" si="1672"/>
        <v>0.48396479995701691</v>
      </c>
      <c r="BK246" s="890">
        <f t="shared" si="1672"/>
        <v>0.62620690518381572</v>
      </c>
      <c r="BL246" s="890">
        <f t="shared" si="1672"/>
        <v>0.6928262526264839</v>
      </c>
      <c r="BM246" s="890">
        <f t="shared" si="1672"/>
        <v>0.73533925782984633</v>
      </c>
      <c r="BN246" s="890"/>
      <c r="BO246" s="890"/>
      <c r="BP246" s="890"/>
    </row>
    <row r="247" spans="2:81" s="839" customFormat="1" ht="11.45" hidden="1" outlineLevel="2">
      <c r="B247" s="884" t="str">
        <f>+B240</f>
        <v>More Personal Computing</v>
      </c>
      <c r="L247" s="840">
        <f t="shared" si="1670"/>
        <v>0.18007724774843425</v>
      </c>
      <c r="M247" s="840">
        <f t="shared" si="1670"/>
        <v>0.10803886648259287</v>
      </c>
      <c r="N247" s="840">
        <f t="shared" si="1670"/>
        <v>0.23676268838201087</v>
      </c>
      <c r="O247" s="840">
        <f t="shared" si="1670"/>
        <v>0.35854937701860856</v>
      </c>
      <c r="X247" s="840">
        <f t="shared" si="1671"/>
        <v>0.24620002366593319</v>
      </c>
      <c r="Y247" s="840">
        <f t="shared" si="1671"/>
        <v>0.2290557571407299</v>
      </c>
      <c r="Z247" s="840">
        <f t="shared" si="1671"/>
        <v>0.29203444211334451</v>
      </c>
      <c r="AA247" s="840">
        <f t="shared" si="1671"/>
        <v>0.27898643722090877</v>
      </c>
      <c r="AB247" s="840">
        <f t="shared" si="1671"/>
        <v>0.2239658287931181</v>
      </c>
      <c r="AC247" s="840">
        <f t="shared" si="1671"/>
        <v>0.31637027178073751</v>
      </c>
      <c r="AD247" s="840">
        <f t="shared" si="1671"/>
        <v>0.32893445261164955</v>
      </c>
      <c r="AE247" s="840">
        <f t="shared" si="1671"/>
        <v>0.25486516297802275</v>
      </c>
      <c r="AF247" s="840">
        <f t="shared" si="1671"/>
        <v>0.18930438880060629</v>
      </c>
      <c r="AG247" s="840">
        <f t="shared" si="1671"/>
        <v>0.11476521011096086</v>
      </c>
      <c r="AH247" s="840">
        <f t="shared" si="1671"/>
        <v>0.21247594516744228</v>
      </c>
      <c r="AI247" s="840">
        <f t="shared" si="1671"/>
        <v>7.8844708748041281E-2</v>
      </c>
      <c r="AJ247" s="840"/>
      <c r="AK247" s="895"/>
      <c r="AL247" s="895"/>
      <c r="AM247" s="895"/>
      <c r="AN247" s="895"/>
      <c r="AO247" s="895"/>
      <c r="AP247" s="895"/>
      <c r="AQ247" s="895"/>
      <c r="AR247" s="840"/>
      <c r="AS247" s="840"/>
      <c r="AT247" s="840"/>
      <c r="AU247" s="840"/>
      <c r="AV247" s="840"/>
      <c r="AW247" s="840"/>
      <c r="AX247" s="840"/>
      <c r="AY247" s="840"/>
      <c r="AZ247" s="840"/>
      <c r="BA247" s="840"/>
      <c r="BB247" s="840"/>
      <c r="BC247" s="840"/>
      <c r="BD247" s="840"/>
      <c r="BE247" s="840">
        <f>+BE232+BD232+BC232</f>
        <v>1.9184138212729684E-2</v>
      </c>
      <c r="BF247" s="840"/>
      <c r="BG247" s="840"/>
      <c r="BH247" s="840"/>
      <c r="BI247" s="840"/>
      <c r="BJ247" s="840">
        <f t="shared" si="1672"/>
        <v>0.12921679324863522</v>
      </c>
      <c r="BK247" s="840">
        <f t="shared" si="1672"/>
        <v>0.21270049729147456</v>
      </c>
      <c r="BL247" s="840">
        <f t="shared" si="1672"/>
        <v>0.2578862593971285</v>
      </c>
      <c r="BM247" s="840">
        <f t="shared" si="1672"/>
        <v>0.27976490450491509</v>
      </c>
      <c r="BN247" s="840"/>
      <c r="BO247" s="840"/>
      <c r="BP247" s="840"/>
      <c r="BR247" s="852"/>
      <c r="BS247" s="852"/>
      <c r="BT247" s="3"/>
      <c r="BU247" s="3"/>
      <c r="BV247" s="3"/>
      <c r="BW247" s="3"/>
      <c r="BX247" s="3"/>
      <c r="BY247" s="3"/>
      <c r="BZ247" s="3"/>
      <c r="CA247" s="3"/>
      <c r="CB247" s="3"/>
      <c r="CC247" s="3"/>
    </row>
    <row r="248" spans="2:81" s="7" customFormat="1" hidden="1" outlineLevel="2">
      <c r="B248" s="887" t="str">
        <f>+B242</f>
        <v>Total Revenue</v>
      </c>
      <c r="L248" s="902">
        <f>+T234+P234+L234</f>
        <v>0.44082512781973127</v>
      </c>
      <c r="M248" s="902">
        <f>+U234+Q234+M234</f>
        <v>0.37917237350154132</v>
      </c>
      <c r="N248" s="902">
        <f>+V234+R234+N234</f>
        <v>0.44085736669596409</v>
      </c>
      <c r="O248" s="902">
        <f>+W234+S234+O234</f>
        <v>0.42369708411466722</v>
      </c>
      <c r="X248" s="902">
        <f t="shared" ref="X248:AI248" si="1673">+X234+T234+P234</f>
        <v>0.44580467033427706</v>
      </c>
      <c r="Y248" s="902">
        <f t="shared" si="1673"/>
        <v>0.42662955277039982</v>
      </c>
      <c r="Z248" s="902">
        <f t="shared" si="1673"/>
        <v>0.4763490735674123</v>
      </c>
      <c r="AA248" s="902">
        <f t="shared" si="1673"/>
        <v>0.46220376784213024</v>
      </c>
      <c r="AB248" s="902">
        <f t="shared" si="1673"/>
        <v>0.48024816243696256</v>
      </c>
      <c r="AC248" s="902">
        <f t="shared" si="1673"/>
        <v>0.50461920501721869</v>
      </c>
      <c r="AD248" s="902">
        <f t="shared" si="1673"/>
        <v>0.51997101150188896</v>
      </c>
      <c r="AE248" s="902">
        <f t="shared" si="1673"/>
        <v>0.46526577237870748</v>
      </c>
      <c r="AF248" s="902">
        <f t="shared" si="1673"/>
        <v>0.44974345959344997</v>
      </c>
      <c r="AG248" s="902">
        <f t="shared" si="1673"/>
        <v>0.38773498791909633</v>
      </c>
      <c r="AH248" s="902">
        <f t="shared" si="1673"/>
        <v>0.44525506278469318</v>
      </c>
      <c r="AI248" s="902">
        <f t="shared" si="1673"/>
        <v>0.4206294170941085</v>
      </c>
      <c r="AJ248" s="902"/>
      <c r="AK248" s="895"/>
      <c r="AL248" s="895"/>
      <c r="AM248" s="895"/>
      <c r="AN248" s="895"/>
      <c r="AO248" s="895"/>
      <c r="AP248" s="895"/>
      <c r="AQ248" s="895"/>
      <c r="BC248" s="855"/>
      <c r="BD248" s="855"/>
      <c r="BE248" s="902">
        <f>+BE234+BD234+BC234</f>
        <v>4.3700442040809584E-2</v>
      </c>
      <c r="BF248" s="855"/>
      <c r="BG248" s="855"/>
      <c r="BH248" s="855"/>
      <c r="BI248" s="855"/>
      <c r="BJ248" s="902">
        <f>+BJ234+BI234+BH234</f>
        <v>0.34250843742863246</v>
      </c>
      <c r="BK248" s="902">
        <f>+BK234+BJ234+BI234</f>
        <v>0.4195372759805589</v>
      </c>
      <c r="BL248" s="902">
        <f>+BL234+BK234+BJ234</f>
        <v>0.45206841376746731</v>
      </c>
      <c r="BM248" s="902">
        <f>+BM234+BL234+BK234</f>
        <v>0.49133372318124047</v>
      </c>
      <c r="BN248" s="902"/>
      <c r="BO248" s="902"/>
      <c r="BP248" s="902"/>
      <c r="BR248"/>
      <c r="BS248"/>
    </row>
    <row r="249" spans="2:81" s="7" customFormat="1" hidden="1" outlineLevel="2">
      <c r="B249" s="887" t="s">
        <v>349</v>
      </c>
      <c r="L249" s="902"/>
      <c r="M249" s="902"/>
      <c r="N249" s="902"/>
      <c r="O249" s="902"/>
      <c r="T249" s="902">
        <f t="shared" ref="T249:W249" si="1674">+T242+T235-T234</f>
        <v>0.15429033145372029</v>
      </c>
      <c r="U249" s="902">
        <f t="shared" si="1674"/>
        <v>0.15197037356410337</v>
      </c>
      <c r="V249" s="902">
        <f t="shared" si="1674"/>
        <v>0.15910928657878376</v>
      </c>
      <c r="W249" s="902">
        <f t="shared" si="1674"/>
        <v>0.14502413322656227</v>
      </c>
      <c r="X249" s="902">
        <f t="shared" ref="X249:AA249" si="1675">+X242+X235-X234</f>
        <v>0.12050704885796401</v>
      </c>
      <c r="Y249" s="902">
        <f t="shared" si="1675"/>
        <v>0.1536353601040481</v>
      </c>
      <c r="Z249" s="902">
        <f t="shared" si="1675"/>
        <v>0.16171448844978725</v>
      </c>
      <c r="AA249" s="902">
        <f t="shared" si="1675"/>
        <v>0.17445905660873451</v>
      </c>
      <c r="AB249" s="895">
        <f t="shared" ref="AB249:AI249" si="1676">+AB242+AB235-AB234</f>
        <v>0.20385421219787908</v>
      </c>
      <c r="AC249" s="895">
        <f t="shared" si="1676"/>
        <v>0.20078497539232981</v>
      </c>
      <c r="AD249" s="895">
        <f t="shared" si="1676"/>
        <v>0.19885955498009894</v>
      </c>
      <c r="AE249" s="895">
        <f t="shared" si="1676"/>
        <v>0.15700916970012113</v>
      </c>
      <c r="AF249" s="895">
        <f t="shared" si="1676"/>
        <v>0.14929846856588047</v>
      </c>
      <c r="AG249" s="895">
        <f t="shared" si="1676"/>
        <v>6.5393226105784075E-2</v>
      </c>
      <c r="AH249" s="895">
        <f t="shared" si="1676"/>
        <v>9.6896528903295476E-2</v>
      </c>
      <c r="AI249" s="895">
        <f t="shared" si="1676"/>
        <v>9.8637809698255086E-2</v>
      </c>
      <c r="AJ249" s="895">
        <f>+AJ242</f>
        <v>0.12288664059694347</v>
      </c>
      <c r="AK249" s="895">
        <f t="shared" ref="AK249:AQ249" si="1677">+AK15</f>
        <v>0.12530418791590037</v>
      </c>
      <c r="AL249" s="895">
        <f t="shared" si="1677"/>
        <v>0.13065653934199822</v>
      </c>
      <c r="AM249" s="895">
        <f t="shared" si="1677"/>
        <v>0.13278538326006861</v>
      </c>
      <c r="AN249" s="895">
        <f t="shared" si="1677"/>
        <v>0.13440798343861141</v>
      </c>
      <c r="AO249" s="895">
        <f t="shared" si="1677"/>
        <v>0.11425594568729491</v>
      </c>
      <c r="AP249" s="895">
        <f t="shared" si="1677"/>
        <v>0.14405663062226104</v>
      </c>
      <c r="AQ249" s="895">
        <f t="shared" si="1677"/>
        <v>0.15091277279632664</v>
      </c>
      <c r="BC249" s="895">
        <f t="shared" ref="BC249:BN249" si="1678">+BC242+BC235-BC234</f>
        <v>9.7700874091647183E-2</v>
      </c>
      <c r="BD249" s="895">
        <f t="shared" si="1678"/>
        <v>-4.8266723658901417E-2</v>
      </c>
      <c r="BE249" s="895">
        <f t="shared" si="1678"/>
        <v>7.4266291608063861E-2</v>
      </c>
      <c r="BF249" s="895">
        <f t="shared" si="1678"/>
        <v>0</v>
      </c>
      <c r="BG249" s="895">
        <f t="shared" si="1678"/>
        <v>-4.8266723658901417E-2</v>
      </c>
      <c r="BH249" s="895">
        <f t="shared" si="1678"/>
        <v>7.9426903920837288E-2</v>
      </c>
      <c r="BI249" s="895">
        <f t="shared" si="1678"/>
        <v>0.12866916569156372</v>
      </c>
      <c r="BJ249" s="895">
        <f t="shared" si="1678"/>
        <v>0.1508835628851033</v>
      </c>
      <c r="BK249" s="895">
        <f t="shared" si="1678"/>
        <v>0.15208497890228301</v>
      </c>
      <c r="BL249" s="895">
        <f t="shared" si="1678"/>
        <v>0.15239460895710238</v>
      </c>
      <c r="BM249" s="895">
        <f t="shared" si="1678"/>
        <v>0.18958755731124965</v>
      </c>
      <c r="BN249" s="895">
        <f t="shared" si="1678"/>
        <v>0.10029775894823553</v>
      </c>
      <c r="BO249" s="895">
        <f>+BO15</f>
        <v>0.12805103366915982</v>
      </c>
      <c r="BP249" s="895">
        <f>+BP15</f>
        <v>0.13614750371620046</v>
      </c>
      <c r="BR249"/>
      <c r="BS249"/>
      <c r="BT249"/>
      <c r="BU249"/>
      <c r="BV249"/>
      <c r="BW249"/>
      <c r="BX249"/>
      <c r="BY249"/>
      <c r="BZ249"/>
      <c r="CA249"/>
      <c r="CB249"/>
      <c r="CC249"/>
    </row>
    <row r="250" spans="2:81" ht="10.5" hidden="1" outlineLevel="1" collapsed="1">
      <c r="AG250" s="838"/>
      <c r="AH250" s="1078"/>
      <c r="AI250" s="838"/>
      <c r="AJ250" s="838"/>
      <c r="AK250" s="838"/>
      <c r="AL250" s="838"/>
      <c r="AM250" s="838"/>
      <c r="AN250" s="838"/>
      <c r="AO250" s="838"/>
      <c r="AP250" s="838"/>
      <c r="AQ250" s="838"/>
    </row>
    <row r="251" spans="2:81" s="3" customFormat="1" hidden="1" outlineLevel="1">
      <c r="B251" s="1233" t="s">
        <v>127</v>
      </c>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BC251" s="14"/>
      <c r="BD251" s="14"/>
      <c r="BE251" s="14"/>
      <c r="BF251" s="14"/>
      <c r="BG251" s="14"/>
      <c r="BH251" s="14"/>
      <c r="BI251" s="14"/>
      <c r="BJ251" s="14"/>
      <c r="BK251" s="14"/>
      <c r="BL251" s="14"/>
      <c r="BM251" s="14"/>
      <c r="BN251" s="14"/>
      <c r="BO251" s="14"/>
      <c r="BP251" s="14"/>
      <c r="BR251"/>
      <c r="BS251"/>
      <c r="BT251"/>
      <c r="BU251"/>
      <c r="BV251"/>
      <c r="BW251"/>
      <c r="BX251"/>
      <c r="BY251"/>
      <c r="BZ251"/>
      <c r="CA251"/>
      <c r="CB251"/>
      <c r="CC251"/>
    </row>
    <row r="252" spans="2:81" s="3" customFormat="1" hidden="1" outlineLevel="1">
      <c r="B252" s="1234" t="s">
        <v>351</v>
      </c>
      <c r="L252" s="23"/>
      <c r="M252" s="23"/>
      <c r="N252" s="23"/>
      <c r="O252" s="23"/>
      <c r="P252" s="23"/>
      <c r="Q252" s="23"/>
      <c r="R252" s="23"/>
      <c r="S252" s="23"/>
      <c r="T252" s="23"/>
      <c r="U252" s="23"/>
      <c r="V252" s="23"/>
      <c r="W252" s="23"/>
      <c r="X252" s="23"/>
      <c r="Y252" s="23"/>
      <c r="Z252" s="23"/>
      <c r="AA252" s="23"/>
      <c r="AB252" s="23">
        <f t="shared" ref="AB252:AQ252" si="1679">+AB801</f>
        <v>0.11</v>
      </c>
      <c r="AC252" s="23">
        <f t="shared" si="1679"/>
        <v>0.15</v>
      </c>
      <c r="AD252" s="23">
        <f t="shared" si="1679"/>
        <v>0.13</v>
      </c>
      <c r="AE252" s="23">
        <f t="shared" si="1679"/>
        <v>0.05</v>
      </c>
      <c r="AF252" s="23">
        <f t="shared" si="1679"/>
        <v>0.03</v>
      </c>
      <c r="AG252" s="23">
        <f t="shared" si="1679"/>
        <v>-0.16</v>
      </c>
      <c r="AH252" s="23">
        <f t="shared" si="1679"/>
        <v>-7.0000000000000007E-2</v>
      </c>
      <c r="AI252" s="23">
        <f t="shared" si="1679"/>
        <v>-0.03</v>
      </c>
      <c r="AJ252" s="23">
        <f t="shared" si="1679"/>
        <v>0.02</v>
      </c>
      <c r="AK252" s="23">
        <f t="shared" si="1679"/>
        <v>3.3901805155580528E-2</v>
      </c>
      <c r="AL252" s="23">
        <f t="shared" si="1679"/>
        <v>2.1432880844645563E-2</v>
      </c>
      <c r="AM252" s="23">
        <f t="shared" si="1679"/>
        <v>2.918015102481121E-2</v>
      </c>
      <c r="AN252" s="23">
        <f t="shared" si="1679"/>
        <v>5.8957679832338794E-3</v>
      </c>
      <c r="AO252" s="23">
        <f t="shared" si="1679"/>
        <v>9.7251336068637784E-4</v>
      </c>
      <c r="AP252" s="23">
        <f t="shared" si="1679"/>
        <v>7.5491215997350869E-2</v>
      </c>
      <c r="AQ252" s="23">
        <f t="shared" si="1679"/>
        <v>7.2855456475288127E-2</v>
      </c>
      <c r="AR252" s="21"/>
      <c r="AS252" s="21"/>
      <c r="AT252" s="21"/>
      <c r="AU252" s="21"/>
      <c r="AV252" s="21"/>
      <c r="AW252" s="21"/>
      <c r="AX252" s="21"/>
      <c r="AY252" s="21"/>
      <c r="AZ252" s="21"/>
      <c r="BA252" s="21"/>
      <c r="BB252" s="21"/>
      <c r="BC252" s="891"/>
      <c r="BD252" s="891"/>
      <c r="BE252" s="891"/>
      <c r="BF252" s="891"/>
      <c r="BG252" s="829"/>
      <c r="BH252" s="23"/>
      <c r="BI252" s="23">
        <f t="shared" ref="BI252:BP252" si="1680">+BI801</f>
        <v>6.5828879727184819E-2</v>
      </c>
      <c r="BJ252" s="23">
        <f t="shared" si="1680"/>
        <v>8.9880546882391901E-2</v>
      </c>
      <c r="BK252" s="23">
        <f t="shared" si="1680"/>
        <v>6.9126219965862851E-2</v>
      </c>
      <c r="BL252" s="23">
        <f t="shared" si="1680"/>
        <v>0.10195705788481069</v>
      </c>
      <c r="BM252" s="23">
        <f t="shared" si="1680"/>
        <v>0.1103778677462888</v>
      </c>
      <c r="BN252" s="23">
        <f t="shared" si="1680"/>
        <v>-6.4404660129075517E-2</v>
      </c>
      <c r="BO252" s="23">
        <f t="shared" si="1680"/>
        <v>2.6295355720393265E-2</v>
      </c>
      <c r="BP252" s="23">
        <f t="shared" si="1680"/>
        <v>4.6233952398389677E-2</v>
      </c>
      <c r="BT252"/>
      <c r="BU252"/>
      <c r="BV252"/>
      <c r="BW252"/>
      <c r="BX252"/>
      <c r="BY252"/>
      <c r="BZ252"/>
      <c r="CA252"/>
      <c r="CB252"/>
      <c r="CC252"/>
    </row>
    <row r="253" spans="2:81" s="3" customFormat="1" hidden="1" outlineLevel="1">
      <c r="B253" s="888"/>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BC253" s="14"/>
      <c r="BD253" s="14"/>
      <c r="BE253" s="14"/>
      <c r="BF253" s="14"/>
      <c r="BG253" s="14"/>
      <c r="BH253" s="14"/>
      <c r="BI253" s="14"/>
      <c r="BJ253" s="14"/>
      <c r="BK253" s="14"/>
      <c r="BL253" s="14"/>
      <c r="BM253" s="14"/>
      <c r="BN253" s="14"/>
      <c r="BO253" s="14"/>
      <c r="BP253" s="14"/>
      <c r="BR253"/>
      <c r="BS253"/>
      <c r="BT253"/>
      <c r="BU253"/>
      <c r="BV253"/>
      <c r="BW253"/>
      <c r="BX253"/>
      <c r="BY253"/>
      <c r="BZ253"/>
      <c r="CA253"/>
      <c r="CB253"/>
      <c r="CC253"/>
    </row>
    <row r="254" spans="2:81" ht="10.5" hidden="1" outlineLevel="1">
      <c r="B254" s="45" t="s">
        <v>352</v>
      </c>
      <c r="AG254" s="880"/>
      <c r="AH254" s="880"/>
      <c r="AI254" s="880"/>
      <c r="AJ254" s="880"/>
      <c r="AK254" s="880"/>
      <c r="AL254" s="880"/>
      <c r="AM254" s="880"/>
      <c r="AN254" s="880"/>
      <c r="AO254" s="880"/>
      <c r="AP254" s="880"/>
      <c r="AQ254" s="880"/>
    </row>
    <row r="255" spans="2:81" hidden="1" outlineLevel="1">
      <c r="B255" t="s">
        <v>340</v>
      </c>
      <c r="H255" s="879">
        <v>2905</v>
      </c>
      <c r="I255" s="879">
        <v>3053</v>
      </c>
      <c r="J255" s="879">
        <v>2540</v>
      </c>
      <c r="K255" s="879">
        <v>2891</v>
      </c>
      <c r="L255" s="879">
        <v>3006</v>
      </c>
      <c r="M255" s="879">
        <v>3337</v>
      </c>
      <c r="N255" s="879">
        <v>3115</v>
      </c>
      <c r="O255" s="879">
        <v>3466</v>
      </c>
      <c r="P255" s="879">
        <v>3881</v>
      </c>
      <c r="Q255" s="879">
        <v>4015</v>
      </c>
      <c r="R255" s="879">
        <v>3979</v>
      </c>
      <c r="S255" s="879">
        <f>+BJ255-SUM(P255:R255)</f>
        <v>4344</v>
      </c>
      <c r="T255" s="879">
        <v>4782</v>
      </c>
      <c r="U255" s="879">
        <v>5182</v>
      </c>
      <c r="V255" s="879">
        <v>4788</v>
      </c>
      <c r="W255" s="879">
        <v>3972</v>
      </c>
      <c r="X255" s="879">
        <v>5706</v>
      </c>
      <c r="Y255" s="879">
        <v>6181</v>
      </c>
      <c r="Z255" s="879">
        <v>6029</v>
      </c>
      <c r="AA255" s="879">
        <v>6435</v>
      </c>
      <c r="AB255" s="879">
        <v>7581</v>
      </c>
      <c r="AC255" s="879">
        <v>7688</v>
      </c>
      <c r="AD255" s="879">
        <v>7184</v>
      </c>
      <c r="AE255" s="879">
        <v>7234</v>
      </c>
      <c r="AF255" s="879">
        <v>8323</v>
      </c>
      <c r="AG255" s="1214">
        <f>8175+2.8%*AC255</f>
        <v>8390.2639999999992</v>
      </c>
      <c r="AH255" s="879">
        <v>8639</v>
      </c>
      <c r="AI255" s="879">
        <v>9052</v>
      </c>
      <c r="AJ255" s="879">
        <v>9970</v>
      </c>
      <c r="AK255" s="879">
        <v>10284</v>
      </c>
      <c r="AL255" s="879">
        <v>10143</v>
      </c>
      <c r="AM255" s="879">
        <v>10143</v>
      </c>
      <c r="AN255" s="880">
        <f>+AN279*AN223</f>
        <v>11079.137885903498</v>
      </c>
      <c r="AO255" s="880">
        <f t="shared" ref="AN255:AQ256" si="1681">+AO279*AO223</f>
        <v>11536.950599161244</v>
      </c>
      <c r="AP255" s="880">
        <f t="shared" si="1681"/>
        <v>11385.453541351882</v>
      </c>
      <c r="AQ255" s="880">
        <f t="shared" si="1681"/>
        <v>11385.827926453589</v>
      </c>
      <c r="BB255" s="879">
        <v>14173</v>
      </c>
      <c r="BC255" s="879">
        <v>13274</v>
      </c>
      <c r="BD255" s="879">
        <v>12418</v>
      </c>
      <c r="BE255" s="879">
        <v>11913</v>
      </c>
      <c r="BF255" s="879"/>
      <c r="BG255" s="879">
        <v>11756</v>
      </c>
      <c r="BH255" s="880">
        <f>+SUM(H255:K255)</f>
        <v>11389</v>
      </c>
      <c r="BI255" s="880">
        <f>+SUM(L255:O255)</f>
        <v>12924</v>
      </c>
      <c r="BJ255" s="880">
        <v>16219</v>
      </c>
      <c r="BK255" s="880">
        <f>SUM(T255:W255)</f>
        <v>18724</v>
      </c>
      <c r="BL255" s="880">
        <f>SUM(X255:AA255)</f>
        <v>24351</v>
      </c>
      <c r="BM255" s="880">
        <f>SUM(AB255:AE255)</f>
        <v>29687</v>
      </c>
      <c r="BN255" s="880">
        <f>SUM(AF255:AI255)</f>
        <v>34404.263999999996</v>
      </c>
      <c r="BO255" s="880">
        <f t="shared" ref="BO255:BO259" si="1682">SUM(AJ255:AM255)</f>
        <v>40540</v>
      </c>
      <c r="BP255" s="880">
        <f>+SUM(AN255:AQ255)</f>
        <v>45387.369952870213</v>
      </c>
      <c r="BR255">
        <v>8175</v>
      </c>
      <c r="BS255" s="8">
        <f>+AG255-BR255</f>
        <v>215.26399999999921</v>
      </c>
      <c r="BT255" s="9">
        <f>+BS255/$BS$258</f>
        <v>0.18386469122136231</v>
      </c>
    </row>
    <row r="256" spans="2:81" hidden="1" outlineLevel="1">
      <c r="B256" t="s">
        <v>342</v>
      </c>
      <c r="H256" s="879">
        <v>1777</v>
      </c>
      <c r="I256" s="879">
        <v>2291</v>
      </c>
      <c r="J256" s="879">
        <v>2148</v>
      </c>
      <c r="K256" s="879">
        <v>2911</v>
      </c>
      <c r="L256" s="879">
        <v>2137</v>
      </c>
      <c r="M256" s="879">
        <v>2832</v>
      </c>
      <c r="N256" s="879">
        <v>2654</v>
      </c>
      <c r="O256" s="879">
        <v>3901</v>
      </c>
      <c r="P256" s="879">
        <v>2931</v>
      </c>
      <c r="Q256" s="879">
        <v>3279</v>
      </c>
      <c r="R256" s="879">
        <v>3208</v>
      </c>
      <c r="S256" s="879">
        <f>+BJ256-SUM(P256:R256)</f>
        <v>4502</v>
      </c>
      <c r="T256" s="879">
        <v>3889</v>
      </c>
      <c r="U256" s="879">
        <v>4531</v>
      </c>
      <c r="V256" s="879">
        <v>4560</v>
      </c>
      <c r="W256" s="879">
        <v>5344</v>
      </c>
      <c r="X256" s="879">
        <v>5422</v>
      </c>
      <c r="Y256" s="879">
        <v>6492</v>
      </c>
      <c r="Z256" s="879">
        <v>6425</v>
      </c>
      <c r="AA256" s="879">
        <v>7787</v>
      </c>
      <c r="AB256" s="879">
        <v>7562</v>
      </c>
      <c r="AC256" s="879">
        <v>8197</v>
      </c>
      <c r="AD256" s="879">
        <v>8281</v>
      </c>
      <c r="AE256" s="879">
        <v>8681</v>
      </c>
      <c r="AF256" s="879">
        <v>8978</v>
      </c>
      <c r="AG256" s="1214">
        <f>8904+7%*AC256</f>
        <v>9477.7900000000009</v>
      </c>
      <c r="AH256" s="879">
        <v>9476</v>
      </c>
      <c r="AI256" s="879">
        <v>10526</v>
      </c>
      <c r="AJ256" s="879">
        <v>11751</v>
      </c>
      <c r="AK256" s="879">
        <v>12461</v>
      </c>
      <c r="AL256" s="879">
        <v>12513</v>
      </c>
      <c r="AM256" s="879">
        <v>12859</v>
      </c>
      <c r="AN256" s="880">
        <f t="shared" si="1681"/>
        <v>13944.093537940307</v>
      </c>
      <c r="AO256" s="880">
        <f t="shared" si="1681"/>
        <v>15310.148638660216</v>
      </c>
      <c r="AP256" s="880">
        <f t="shared" si="1681"/>
        <v>15376.374583721437</v>
      </c>
      <c r="AQ256" s="880">
        <f t="shared" si="1681"/>
        <v>16000.187895946245</v>
      </c>
      <c r="BB256" s="879">
        <v>8446</v>
      </c>
      <c r="BC256" s="879">
        <v>9803</v>
      </c>
      <c r="BD256" s="879">
        <v>9315</v>
      </c>
      <c r="BE256" s="879">
        <v>9138</v>
      </c>
      <c r="BF256" s="879"/>
      <c r="BG256" s="879">
        <v>9249</v>
      </c>
      <c r="BH256" s="880">
        <f>+SUM(H256:K256)</f>
        <v>9127</v>
      </c>
      <c r="BI256" s="880">
        <f>+SUM(L256:O256)</f>
        <v>11524</v>
      </c>
      <c r="BJ256" s="880">
        <v>13920</v>
      </c>
      <c r="BK256" s="880">
        <f>SUM(T256:W256)</f>
        <v>18324</v>
      </c>
      <c r="BL256" s="880">
        <f>SUM(X256:AA256)</f>
        <v>26126</v>
      </c>
      <c r="BM256" s="880">
        <f t="shared" ref="BM256:BM258" si="1683">SUM(AB256:AE256)</f>
        <v>32721</v>
      </c>
      <c r="BN256" s="880">
        <f t="shared" ref="BN256:BN258" si="1684">SUM(AF256:AI256)</f>
        <v>38457.79</v>
      </c>
      <c r="BO256" s="880">
        <f t="shared" si="1682"/>
        <v>49584</v>
      </c>
      <c r="BP256" s="880">
        <f t="shared" ref="BP256:BP259" si="1685">+SUM(AN256:AQ256)</f>
        <v>60630.804656268199</v>
      </c>
      <c r="BR256">
        <v>8904</v>
      </c>
      <c r="BS256" s="8">
        <f t="shared" ref="BS256:BS257" si="1686">+AG256-BR256</f>
        <v>573.79000000000087</v>
      </c>
      <c r="BT256" s="9">
        <f t="shared" ref="BT256:BT257" si="1687">+BS256/$BS$258</f>
        <v>0.49009458699971209</v>
      </c>
    </row>
    <row r="257" spans="2:81" hidden="1" outlineLevel="1">
      <c r="B257" t="s">
        <v>344</v>
      </c>
      <c r="H257" s="879">
        <v>2033</v>
      </c>
      <c r="I257" s="879">
        <v>2561</v>
      </c>
      <c r="J257" s="879">
        <v>2035</v>
      </c>
      <c r="K257" s="879">
        <v>2186</v>
      </c>
      <c r="L257" s="879">
        <v>2565</v>
      </c>
      <c r="M257" s="879">
        <v>2510</v>
      </c>
      <c r="N257" s="879">
        <v>2523</v>
      </c>
      <c r="O257" s="879">
        <v>3012</v>
      </c>
      <c r="P257" s="879">
        <v>3143</v>
      </c>
      <c r="Q257" s="879">
        <v>2964</v>
      </c>
      <c r="R257" s="879">
        <v>3154</v>
      </c>
      <c r="S257" s="879">
        <f>+BJ257-SUM(P257:R257)</f>
        <v>3559</v>
      </c>
      <c r="T257" s="879">
        <v>4015</v>
      </c>
      <c r="U257" s="879">
        <v>4178</v>
      </c>
      <c r="V257" s="879">
        <v>3627</v>
      </c>
      <c r="W257" s="879">
        <v>4091</v>
      </c>
      <c r="X257" s="879">
        <v>4748</v>
      </c>
      <c r="Y257" s="879">
        <v>5224</v>
      </c>
      <c r="Z257" s="879">
        <v>4594</v>
      </c>
      <c r="AA257" s="879">
        <v>4873</v>
      </c>
      <c r="AB257" s="879">
        <v>5095</v>
      </c>
      <c r="AC257" s="879">
        <v>6362</v>
      </c>
      <c r="AD257" s="879">
        <v>4899</v>
      </c>
      <c r="AE257" s="879">
        <v>4619</v>
      </c>
      <c r="AF257" s="879">
        <v>4217</v>
      </c>
      <c r="AG257" s="1214">
        <f>3320+6%*AC257</f>
        <v>3701.72</v>
      </c>
      <c r="AH257" s="879">
        <v>4237</v>
      </c>
      <c r="AI257" s="879">
        <v>4676</v>
      </c>
      <c r="AJ257" s="879">
        <v>5174</v>
      </c>
      <c r="AK257" s="1214">
        <f>4287+580+550</f>
        <v>5417</v>
      </c>
      <c r="AL257" s="1214">
        <f>4925+670+270</f>
        <v>5865</v>
      </c>
      <c r="AM257" s="1214">
        <f>4923+690+250</f>
        <v>5863</v>
      </c>
      <c r="AN257" s="880">
        <f t="shared" ref="AN257:AQ257" si="1688">+AN825</f>
        <v>5674.5047035452517</v>
      </c>
      <c r="AO257" s="880">
        <f t="shared" si="1688"/>
        <v>5660.7970706559645</v>
      </c>
      <c r="AP257" s="880">
        <f t="shared" si="1688"/>
        <v>6466.0161643860265</v>
      </c>
      <c r="AQ257" s="880">
        <f t="shared" si="1688"/>
        <v>6409.7668219941952</v>
      </c>
      <c r="BB257" s="879">
        <v>5605</v>
      </c>
      <c r="BC257" s="879">
        <v>5095</v>
      </c>
      <c r="BD257" s="879">
        <v>6202</v>
      </c>
      <c r="BE257" s="879">
        <v>8288</v>
      </c>
      <c r="BF257" s="879"/>
      <c r="BG257" s="879">
        <v>6183</v>
      </c>
      <c r="BH257" s="880">
        <f>+SUM(H257:K257)</f>
        <v>8815</v>
      </c>
      <c r="BI257" s="880">
        <f>+SUM(L257:O257)</f>
        <v>10610</v>
      </c>
      <c r="BJ257" s="880">
        <v>12820</v>
      </c>
      <c r="BK257" s="880">
        <f>SUM(T257:W257)</f>
        <v>15911</v>
      </c>
      <c r="BL257" s="880">
        <f>SUM(X257:AA257)</f>
        <v>19439</v>
      </c>
      <c r="BM257" s="880">
        <f t="shared" si="1683"/>
        <v>20975</v>
      </c>
      <c r="BN257" s="880">
        <f t="shared" si="1684"/>
        <v>16831.72</v>
      </c>
      <c r="BO257" s="880">
        <f t="shared" si="1682"/>
        <v>22319</v>
      </c>
      <c r="BP257" s="880">
        <f t="shared" si="1685"/>
        <v>24211.084760581438</v>
      </c>
      <c r="BR257">
        <v>3320</v>
      </c>
      <c r="BS257" s="8">
        <f t="shared" si="1686"/>
        <v>381.7199999999998</v>
      </c>
      <c r="BT257" s="9">
        <f t="shared" si="1687"/>
        <v>0.32604072177892562</v>
      </c>
    </row>
    <row r="258" spans="2:81" ht="11.45" hidden="1" outlineLevel="1">
      <c r="B258" t="s">
        <v>345</v>
      </c>
      <c r="H258" s="905">
        <v>0</v>
      </c>
      <c r="I258" s="905">
        <v>0</v>
      </c>
      <c r="J258" s="905">
        <v>0</v>
      </c>
      <c r="K258" s="905">
        <v>-306</v>
      </c>
      <c r="L258" s="905">
        <v>0</v>
      </c>
      <c r="M258" s="905">
        <v>0</v>
      </c>
      <c r="N258" s="905">
        <v>0</v>
      </c>
      <c r="O258" s="905">
        <v>0</v>
      </c>
      <c r="P258" s="905">
        <v>0</v>
      </c>
      <c r="Q258" s="905">
        <v>0</v>
      </c>
      <c r="R258" s="905">
        <v>0</v>
      </c>
      <c r="S258" s="905">
        <f>+BJ258-SUM(P258:R258)</f>
        <v>0</v>
      </c>
      <c r="T258" s="905">
        <v>0</v>
      </c>
      <c r="U258" s="905">
        <v>0</v>
      </c>
      <c r="V258" s="905">
        <v>0</v>
      </c>
      <c r="W258" s="905">
        <v>0</v>
      </c>
      <c r="X258" s="905">
        <v>0</v>
      </c>
      <c r="Y258" s="905">
        <v>0</v>
      </c>
      <c r="Z258" s="905">
        <v>0</v>
      </c>
      <c r="AA258" s="906">
        <v>0</v>
      </c>
      <c r="AB258" s="906">
        <v>0</v>
      </c>
      <c r="AC258" s="906">
        <v>0</v>
      </c>
      <c r="AD258" s="906">
        <v>0</v>
      </c>
      <c r="AE258" s="906">
        <v>0</v>
      </c>
      <c r="AF258" s="906">
        <v>0</v>
      </c>
      <c r="AG258" s="906">
        <v>0</v>
      </c>
      <c r="AH258" s="906">
        <v>0</v>
      </c>
      <c r="AI258" s="906">
        <v>0</v>
      </c>
      <c r="AJ258" s="906">
        <v>0</v>
      </c>
      <c r="AK258" s="906">
        <v>0</v>
      </c>
      <c r="AL258" s="906">
        <v>0</v>
      </c>
      <c r="AM258" s="906">
        <v>0</v>
      </c>
      <c r="AN258" s="906">
        <f>+AN282*AN226</f>
        <v>0</v>
      </c>
      <c r="AO258" s="906">
        <f>+AO282*AO226</f>
        <v>0</v>
      </c>
      <c r="AP258" s="906">
        <f>+AP282*AP226</f>
        <v>0</v>
      </c>
      <c r="AQ258" s="906">
        <f>+AQ282*AQ226</f>
        <v>0</v>
      </c>
      <c r="BB258" s="905">
        <v>-338</v>
      </c>
      <c r="BC258" s="905">
        <v>0</v>
      </c>
      <c r="BD258" s="905">
        <v>-6643</v>
      </c>
      <c r="BE258" s="905">
        <v>-6707</v>
      </c>
      <c r="BF258" s="905"/>
      <c r="BG258" s="905">
        <v>-1110</v>
      </c>
      <c r="BH258" s="906">
        <f>+SUM(H258:K258)</f>
        <v>-306</v>
      </c>
      <c r="BI258" s="906">
        <f>+SUM(L258:O258)</f>
        <v>0</v>
      </c>
      <c r="BJ258" s="906">
        <v>0</v>
      </c>
      <c r="BK258" s="906">
        <f>SUM(T258:W258)</f>
        <v>0</v>
      </c>
      <c r="BL258" s="906">
        <f>SUM(X258:AA258)</f>
        <v>0</v>
      </c>
      <c r="BM258" s="906">
        <f t="shared" si="1683"/>
        <v>0</v>
      </c>
      <c r="BN258" s="10">
        <f t="shared" si="1684"/>
        <v>0</v>
      </c>
      <c r="BO258" s="10">
        <f t="shared" si="1682"/>
        <v>0</v>
      </c>
      <c r="BP258" s="10">
        <f t="shared" si="1685"/>
        <v>0</v>
      </c>
      <c r="BS258" s="8">
        <f>+SUM(BS255:BS257)</f>
        <v>1170.7739999999999</v>
      </c>
    </row>
    <row r="259" spans="2:81" s="1" customFormat="1" ht="10.5" hidden="1" outlineLevel="1">
      <c r="B259" s="882" t="s">
        <v>353</v>
      </c>
      <c r="H259" s="838">
        <f>SUM(H255:H258)</f>
        <v>6715</v>
      </c>
      <c r="I259" s="838">
        <f t="shared" ref="I259" si="1689">SUM(I255:I258)</f>
        <v>7905</v>
      </c>
      <c r="J259" s="838">
        <f t="shared" ref="J259" si="1690">SUM(J255:J258)</f>
        <v>6723</v>
      </c>
      <c r="K259" s="838">
        <f t="shared" ref="K259" si="1691">SUM(K255:K258)</f>
        <v>7682</v>
      </c>
      <c r="L259" s="838">
        <f t="shared" ref="L259" si="1692">SUM(L255:L258)</f>
        <v>7708</v>
      </c>
      <c r="M259" s="838">
        <f t="shared" ref="M259" si="1693">SUM(M255:M258)</f>
        <v>8679</v>
      </c>
      <c r="N259" s="838">
        <f t="shared" ref="N259" si="1694">SUM(N255:N258)</f>
        <v>8292</v>
      </c>
      <c r="O259" s="838">
        <f t="shared" ref="O259:P259" si="1695">SUM(O255:O258)</f>
        <v>10379</v>
      </c>
      <c r="P259" s="838">
        <f t="shared" si="1695"/>
        <v>9955</v>
      </c>
      <c r="Q259" s="838">
        <f t="shared" ref="Q259:V259" si="1696">SUM(Q255:Q258)</f>
        <v>10258</v>
      </c>
      <c r="R259" s="838">
        <f t="shared" si="1696"/>
        <v>10341</v>
      </c>
      <c r="S259" s="838">
        <f t="shared" si="1696"/>
        <v>12405</v>
      </c>
      <c r="T259" s="838">
        <f t="shared" si="1696"/>
        <v>12686</v>
      </c>
      <c r="U259" s="838">
        <f t="shared" si="1696"/>
        <v>13891</v>
      </c>
      <c r="V259" s="838">
        <f t="shared" si="1696"/>
        <v>12975</v>
      </c>
      <c r="W259" s="838">
        <f t="shared" ref="W259" si="1697">SUM(W255:W258)</f>
        <v>13407</v>
      </c>
      <c r="X259" s="838">
        <f>SUM(X255:X258)</f>
        <v>15876</v>
      </c>
      <c r="Y259" s="838">
        <f t="shared" ref="Y259:AB259" si="1698">SUM(Y255:Y258)</f>
        <v>17897</v>
      </c>
      <c r="Z259" s="838">
        <f t="shared" si="1698"/>
        <v>17048</v>
      </c>
      <c r="AA259" s="838">
        <f t="shared" si="1698"/>
        <v>19095</v>
      </c>
      <c r="AB259" s="838">
        <f t="shared" si="1698"/>
        <v>20238</v>
      </c>
      <c r="AC259" s="838">
        <f t="shared" ref="AC259" si="1699">SUM(AC255:AC258)</f>
        <v>22247</v>
      </c>
      <c r="AD259" s="838">
        <f t="shared" ref="AD259:AE259" si="1700">SUM(AD255:AD258)</f>
        <v>20364</v>
      </c>
      <c r="AE259" s="838">
        <f t="shared" si="1700"/>
        <v>20534</v>
      </c>
      <c r="AF259" s="838">
        <f t="shared" ref="AF259:AI259" si="1701">SUM(AF255:AF258)</f>
        <v>21518</v>
      </c>
      <c r="AG259" s="838">
        <f t="shared" si="1701"/>
        <v>21569.774000000001</v>
      </c>
      <c r="AH259" s="838">
        <f t="shared" si="1701"/>
        <v>22352</v>
      </c>
      <c r="AI259" s="838">
        <f t="shared" si="1701"/>
        <v>24254</v>
      </c>
      <c r="AJ259" s="838">
        <f t="shared" ref="AJ259:AM259" si="1702">SUM(AJ255:AJ258)</f>
        <v>26895</v>
      </c>
      <c r="AK259" s="838">
        <f t="shared" si="1702"/>
        <v>28162</v>
      </c>
      <c r="AL259" s="838">
        <f t="shared" si="1702"/>
        <v>28521</v>
      </c>
      <c r="AM259" s="838">
        <f t="shared" si="1702"/>
        <v>28865</v>
      </c>
      <c r="AN259" s="838">
        <f t="shared" ref="AN259:AQ259" si="1703">SUM(AN255:AN258)</f>
        <v>30697.736127389056</v>
      </c>
      <c r="AO259" s="838">
        <f t="shared" si="1703"/>
        <v>32507.896308477422</v>
      </c>
      <c r="AP259" s="838">
        <f t="shared" si="1703"/>
        <v>33227.844289459346</v>
      </c>
      <c r="AQ259" s="838">
        <f t="shared" si="1703"/>
        <v>33795.782644394028</v>
      </c>
      <c r="BB259" s="838">
        <f t="shared" ref="BB259:BC259" si="1704">SUM(BB255:BB258)</f>
        <v>27886</v>
      </c>
      <c r="BC259" s="838">
        <f t="shared" si="1704"/>
        <v>28172</v>
      </c>
      <c r="BD259" s="838">
        <f>SUM(BD255:BD258)</f>
        <v>21292</v>
      </c>
      <c r="BE259" s="838">
        <f>SUM(BE255:BE258)</f>
        <v>22632</v>
      </c>
      <c r="BF259" s="838"/>
      <c r="BG259" s="838">
        <f>SUM(BG255:BG258)</f>
        <v>26078</v>
      </c>
      <c r="BH259" s="907">
        <f>+SUM(H259:K259)</f>
        <v>29025</v>
      </c>
      <c r="BI259" s="907">
        <f>+SUM(L259:O259)</f>
        <v>35058</v>
      </c>
      <c r="BJ259" s="907">
        <f>+SUM(BJ255:BJ258)</f>
        <v>42959</v>
      </c>
      <c r="BK259" s="907">
        <f t="shared" ref="BK259:BL259" si="1705">+SUM(BK255:BK258)</f>
        <v>52959</v>
      </c>
      <c r="BL259" s="907">
        <f t="shared" si="1705"/>
        <v>69916</v>
      </c>
      <c r="BM259" s="907">
        <f t="shared" ref="BM259" si="1706">+SUM(BM255:BM258)</f>
        <v>83383</v>
      </c>
      <c r="BN259" s="838">
        <f t="shared" ref="BN259" si="1707">SUM(BN255:BN258)</f>
        <v>89693.774000000005</v>
      </c>
      <c r="BO259" s="838">
        <f t="shared" si="1682"/>
        <v>112443</v>
      </c>
      <c r="BP259" s="838">
        <f t="shared" si="1685"/>
        <v>130229.25936971986</v>
      </c>
      <c r="BR259" s="1" t="s">
        <v>354</v>
      </c>
      <c r="BT259"/>
      <c r="BU259"/>
      <c r="BV259"/>
      <c r="BW259"/>
      <c r="BX259"/>
      <c r="BY259"/>
      <c r="BZ259"/>
      <c r="CA259"/>
      <c r="CB259"/>
      <c r="CC259"/>
    </row>
    <row r="260" spans="2:81" ht="10.5" hidden="1" outlineLevel="1">
      <c r="X260" s="826"/>
      <c r="AE260" s="987"/>
      <c r="AF260" s="987"/>
      <c r="AG260" s="987"/>
      <c r="AH260" s="987"/>
      <c r="AI260" s="987"/>
      <c r="BR260" s="838">
        <v>23717.8</v>
      </c>
      <c r="BS260" s="838">
        <v>24341.3</v>
      </c>
      <c r="BT260" s="3"/>
      <c r="BU260" s="3"/>
      <c r="BV260" s="3"/>
      <c r="BW260" s="3"/>
      <c r="BX260" s="3"/>
      <c r="BY260" s="3"/>
      <c r="BZ260" s="3"/>
      <c r="CA260" s="3"/>
      <c r="CB260" s="3"/>
      <c r="CC260" s="3"/>
    </row>
    <row r="261" spans="2:81" s="3" customFormat="1" hidden="1" outlineLevel="1">
      <c r="B261" s="883" t="s">
        <v>113</v>
      </c>
      <c r="AN261" s="92"/>
    </row>
    <row r="262" spans="2:81" s="3" customFormat="1" hidden="1" outlineLevel="1">
      <c r="B262" s="884" t="str">
        <f>+B255</f>
        <v>Productivity and Business Processes</v>
      </c>
      <c r="L262" s="228">
        <f t="shared" ref="L262:O264" si="1708">+IFERROR(L255/H255-1,"n/a ")</f>
        <v>3.4767641996557686E-2</v>
      </c>
      <c r="M262" s="228">
        <f t="shared" si="1708"/>
        <v>9.3023255813953432E-2</v>
      </c>
      <c r="N262" s="228">
        <f t="shared" si="1708"/>
        <v>0.22637795275590555</v>
      </c>
      <c r="O262" s="228">
        <f t="shared" si="1708"/>
        <v>0.19889311656866138</v>
      </c>
      <c r="P262" s="228">
        <f t="shared" ref="P262:P266" si="1709">+IFERROR(P255/L255-1,"n/a ")</f>
        <v>0.29108449767132405</v>
      </c>
      <c r="Q262" s="228">
        <f t="shared" ref="Q262:Q266" si="1710">+IFERROR(Q255/M255-1,"n/a ")</f>
        <v>0.20317650584357216</v>
      </c>
      <c r="R262" s="228">
        <f t="shared" ref="R262:R264" si="1711">+IFERROR(R255/N255-1,"n/a ")</f>
        <v>0.27736757624398067</v>
      </c>
      <c r="S262" s="228">
        <f t="shared" ref="S262:S264" si="1712">+IFERROR(S255/O255-1,"n/a ")</f>
        <v>0.25331794575879973</v>
      </c>
      <c r="T262" s="228">
        <f t="shared" ref="T262:T264" si="1713">+IFERROR(T255/P255-1,"n/a ")</f>
        <v>0.23215666065447049</v>
      </c>
      <c r="U262" s="228">
        <f t="shared" ref="U262:U264" si="1714">+IFERROR(U255/Q255-1,"n/a ")</f>
        <v>0.29066002490660026</v>
      </c>
      <c r="V262" s="228">
        <f t="shared" ref="V262:V264" si="1715">+IFERROR(V255/R255-1,"n/a ")</f>
        <v>0.20331741643629053</v>
      </c>
      <c r="W262" s="228">
        <f t="shared" ref="W262:W264" si="1716">+IFERROR(W255/S255-1,"n/a ")</f>
        <v>-8.5635359116022047E-2</v>
      </c>
      <c r="X262" s="228">
        <f t="shared" ref="X262:X264" si="1717">+IFERROR(X255/T255-1,"n/a ")</f>
        <v>0.193224592220828</v>
      </c>
      <c r="Y262" s="228">
        <f t="shared" ref="Y262:Y264" si="1718">+IFERROR(Y255/U255-1,"n/a ")</f>
        <v>0.1927827093786183</v>
      </c>
      <c r="Z262" s="228">
        <f t="shared" ref="Z262:Z264" si="1719">+IFERROR(Z255/V255-1,"n/a ")</f>
        <v>0.25918964076858808</v>
      </c>
      <c r="AA262" s="228">
        <f t="shared" ref="AA262:AA264" si="1720">+IFERROR(AA255/W255-1,"n/a ")</f>
        <v>0.6200906344410877</v>
      </c>
      <c r="AB262" s="228">
        <f t="shared" ref="AB262:AB264" si="1721">+IFERROR(AB255/X255-1,"n/a ")</f>
        <v>0.32860147213459512</v>
      </c>
      <c r="AC262" s="228">
        <f t="shared" ref="AC262:AC264" si="1722">+IFERROR(AC255/Y255-1,"n/a ")</f>
        <v>0.24381168095777372</v>
      </c>
      <c r="AD262" s="228">
        <f t="shared" ref="AD262:AD264" si="1723">+IFERROR(AD255/Z255-1,"n/a ")</f>
        <v>0.19157405871620492</v>
      </c>
      <c r="AE262" s="228">
        <f t="shared" ref="AE262:AE264" si="1724">+IFERROR(AE255/AA255-1,"n/a ")</f>
        <v>0.12416472416472413</v>
      </c>
      <c r="AF262" s="228">
        <f t="shared" ref="AF262:AF264" si="1725">+IFERROR(AF255/AB255-1,"n/a ")</f>
        <v>9.787626962142193E-2</v>
      </c>
      <c r="AG262" s="228">
        <f t="shared" ref="AG262:AG264" si="1726">+IFERROR(AG255/AC255-1,"n/a ")</f>
        <v>9.1345473465140437E-2</v>
      </c>
      <c r="AH262" s="228">
        <f t="shared" ref="AH262:AH264" si="1727">+IFERROR(AH255/AD255-1,"n/a ")</f>
        <v>0.20253340757238303</v>
      </c>
      <c r="AI262" s="228">
        <f t="shared" ref="AI262:AJ264" si="1728">+IFERROR(AI255/AE255-1,"n/a ")</f>
        <v>0.25131324301907654</v>
      </c>
      <c r="AJ262" s="228">
        <f t="shared" si="1728"/>
        <v>0.19788537786855698</v>
      </c>
      <c r="AK262" s="228">
        <f t="shared" ref="AK262:AK264" si="1729">+IFERROR(AK255/AG255-1,"n/a ")</f>
        <v>0.22570636633126218</v>
      </c>
      <c r="AL262" s="228">
        <f t="shared" ref="AL262:AL264" si="1730">+IFERROR(AL255/AH255-1,"n/a ")</f>
        <v>0.17409422386850326</v>
      </c>
      <c r="AM262" s="228">
        <f t="shared" ref="AM262:AM264" si="1731">+IFERROR(AM255/AI255-1,"n/a ")</f>
        <v>0.12052585064074228</v>
      </c>
      <c r="AN262" s="228">
        <f t="shared" ref="AN262:AN264" si="1732">+IFERROR(AN255/AJ255-1,"n/a ")</f>
        <v>0.1112475311839014</v>
      </c>
      <c r="AO262" s="228">
        <f t="shared" ref="AO262:AO264" si="1733">+IFERROR(AO255/AK255-1,"n/a ")</f>
        <v>0.12183494740968914</v>
      </c>
      <c r="AP262" s="228">
        <f t="shared" ref="AP262:AP264" si="1734">+IFERROR(AP255/AL255-1,"n/a ")</f>
        <v>0.12249369430660373</v>
      </c>
      <c r="AQ262" s="228">
        <f t="shared" ref="AQ262:AQ264" si="1735">+IFERROR(AQ255/AM255-1,"n/a ")</f>
        <v>0.12253060499394541</v>
      </c>
      <c r="AR262" s="228"/>
      <c r="AS262" s="228"/>
      <c r="AT262" s="228"/>
      <c r="AU262" s="228"/>
      <c r="AV262" s="228"/>
      <c r="AW262" s="228"/>
      <c r="AX262" s="228"/>
      <c r="AY262" s="228"/>
      <c r="AZ262" s="228"/>
      <c r="BA262" s="228"/>
      <c r="BB262" s="228"/>
      <c r="BC262" s="228">
        <f t="shared" ref="BC262:BE266" si="1736">+IFERROR(BC255/BB255-1,"n/a ")</f>
        <v>-6.343046637973615E-2</v>
      </c>
      <c r="BD262" s="228">
        <f t="shared" si="1736"/>
        <v>-6.4486967003164031E-2</v>
      </c>
      <c r="BE262" s="228">
        <f t="shared" si="1736"/>
        <v>-4.0666774037687259E-2</v>
      </c>
      <c r="BF262" s="228"/>
      <c r="BG262" s="829">
        <f t="shared" ref="BG262:BG266" si="1737">+BD262</f>
        <v>-6.4486967003164031E-2</v>
      </c>
      <c r="BH262" s="228">
        <f t="shared" ref="BH262:BJ266" si="1738">+IFERROR(BH255/BG255-1,"n/a ")</f>
        <v>-3.1218101395032338E-2</v>
      </c>
      <c r="BI262" s="228">
        <f t="shared" si="1738"/>
        <v>0.13477917288611829</v>
      </c>
      <c r="BJ262" s="228">
        <f t="shared" si="1738"/>
        <v>0.25495202723614985</v>
      </c>
      <c r="BK262" s="228">
        <f t="shared" ref="BK262:BK264" si="1739">+IFERROR(BK255/BJ255-1,"n/a ")</f>
        <v>0.15444848634317765</v>
      </c>
      <c r="BL262" s="228">
        <f t="shared" ref="BL262:BL264" si="1740">+IFERROR(BL255/BK255-1,"n/a ")</f>
        <v>0.30052339243751325</v>
      </c>
      <c r="BM262" s="228">
        <f t="shared" ref="BM262:BM264" si="1741">+IFERROR(BM255/BL255-1,"n/a ")</f>
        <v>0.21912857788181173</v>
      </c>
      <c r="BN262" s="228">
        <f t="shared" ref="BN262:BN264" si="1742">+IFERROR(BN255/BM255-1,"n/a ")</f>
        <v>0.15889998989456644</v>
      </c>
      <c r="BO262" s="228">
        <f t="shared" ref="BO262:BO264" si="1743">+IFERROR(BO255/BN255-1,"n/a ")</f>
        <v>0.17834231245289844</v>
      </c>
      <c r="BP262" s="228">
        <f t="shared" ref="BP262:BP264" si="1744">+IFERROR(BP255/BO255-1,"n/a ")</f>
        <v>0.11957005310484004</v>
      </c>
    </row>
    <row r="263" spans="2:81" s="3" customFormat="1" hidden="1" outlineLevel="1">
      <c r="B263" s="884" t="str">
        <f>+B256</f>
        <v>Intelligent Cloud</v>
      </c>
      <c r="L263" s="228">
        <f t="shared" si="1708"/>
        <v>0.20258863252673054</v>
      </c>
      <c r="M263" s="228">
        <f t="shared" si="1708"/>
        <v>0.23614142295940632</v>
      </c>
      <c r="N263" s="228">
        <f t="shared" si="1708"/>
        <v>0.23556797020484166</v>
      </c>
      <c r="O263" s="228">
        <f t="shared" si="1708"/>
        <v>0.34008931638612161</v>
      </c>
      <c r="P263" s="228">
        <f t="shared" si="1709"/>
        <v>0.37154890032756205</v>
      </c>
      <c r="Q263" s="228">
        <f t="shared" si="1710"/>
        <v>0.15783898305084754</v>
      </c>
      <c r="R263" s="228">
        <f t="shared" si="1711"/>
        <v>0.20874152223059528</v>
      </c>
      <c r="S263" s="228">
        <f t="shared" si="1712"/>
        <v>0.15406306075365284</v>
      </c>
      <c r="T263" s="228">
        <f t="shared" si="1713"/>
        <v>0.32685090412828388</v>
      </c>
      <c r="U263" s="228">
        <f t="shared" si="1714"/>
        <v>0.38182372674595921</v>
      </c>
      <c r="V263" s="228">
        <f t="shared" si="1715"/>
        <v>0.42144638403990031</v>
      </c>
      <c r="W263" s="228">
        <f t="shared" si="1716"/>
        <v>0.18702798756108385</v>
      </c>
      <c r="X263" s="228">
        <f t="shared" si="1717"/>
        <v>0.39418873746464378</v>
      </c>
      <c r="Y263" s="228">
        <f t="shared" si="1718"/>
        <v>0.43279629220922544</v>
      </c>
      <c r="Z263" s="228">
        <f t="shared" si="1719"/>
        <v>0.40899122807017552</v>
      </c>
      <c r="AA263" s="228">
        <f t="shared" si="1720"/>
        <v>0.45714820359281427</v>
      </c>
      <c r="AB263" s="228">
        <f t="shared" si="1721"/>
        <v>0.39468830689782375</v>
      </c>
      <c r="AC263" s="228">
        <f t="shared" si="1722"/>
        <v>0.26263093037584717</v>
      </c>
      <c r="AD263" s="228">
        <f t="shared" si="1723"/>
        <v>0.28887159533073925</v>
      </c>
      <c r="AE263" s="228">
        <f t="shared" si="1724"/>
        <v>0.11480672916399137</v>
      </c>
      <c r="AF263" s="228">
        <f t="shared" si="1725"/>
        <v>0.18725204972229559</v>
      </c>
      <c r="AG263" s="228">
        <f t="shared" si="1726"/>
        <v>0.15625106746370632</v>
      </c>
      <c r="AH263" s="228">
        <f t="shared" si="1727"/>
        <v>0.14430624320734209</v>
      </c>
      <c r="AI263" s="228">
        <f t="shared" si="1728"/>
        <v>0.21253311830434285</v>
      </c>
      <c r="AJ263" s="228">
        <f t="shared" si="1728"/>
        <v>0.30886611717531753</v>
      </c>
      <c r="AK263" s="228">
        <f t="shared" si="1729"/>
        <v>0.31475797627928026</v>
      </c>
      <c r="AL263" s="228">
        <f t="shared" si="1730"/>
        <v>0.32049387927395534</v>
      </c>
      <c r="AM263" s="228">
        <f t="shared" si="1731"/>
        <v>0.22164164924947749</v>
      </c>
      <c r="AN263" s="228">
        <f t="shared" si="1732"/>
        <v>0.18663037511193159</v>
      </c>
      <c r="AO263" s="228">
        <f t="shared" si="1733"/>
        <v>0.22864526431748788</v>
      </c>
      <c r="AP263" s="228">
        <f t="shared" si="1734"/>
        <v>0.22883198143702055</v>
      </c>
      <c r="AQ263" s="228">
        <f t="shared" si="1735"/>
        <v>0.24427932933713703</v>
      </c>
      <c r="AR263" s="228"/>
      <c r="AS263" s="228"/>
      <c r="AT263" s="228"/>
      <c r="AU263" s="228"/>
      <c r="AV263" s="228"/>
      <c r="AW263" s="228"/>
      <c r="AX263" s="228"/>
      <c r="AY263" s="228"/>
      <c r="AZ263" s="228"/>
      <c r="BA263" s="228"/>
      <c r="BB263" s="228"/>
      <c r="BC263" s="228">
        <f t="shared" si="1736"/>
        <v>0.16066777172626101</v>
      </c>
      <c r="BD263" s="228">
        <f t="shared" si="1736"/>
        <v>-4.9780679383862103E-2</v>
      </c>
      <c r="BE263" s="228">
        <f t="shared" si="1736"/>
        <v>-1.900161030595815E-2</v>
      </c>
      <c r="BF263" s="228"/>
      <c r="BG263" s="829">
        <f t="shared" si="1737"/>
        <v>-4.9780679383862103E-2</v>
      </c>
      <c r="BH263" s="228">
        <f t="shared" si="1738"/>
        <v>-1.3190615201643441E-2</v>
      </c>
      <c r="BI263" s="228">
        <f t="shared" si="1738"/>
        <v>0.26262736934370556</v>
      </c>
      <c r="BJ263" s="228">
        <f t="shared" si="1738"/>
        <v>0.20791391877820198</v>
      </c>
      <c r="BK263" s="228">
        <f t="shared" si="1739"/>
        <v>0.31637931034482758</v>
      </c>
      <c r="BL263" s="228">
        <f t="shared" si="1740"/>
        <v>0.42578039729316752</v>
      </c>
      <c r="BM263" s="228">
        <f t="shared" si="1741"/>
        <v>0.25243052897496754</v>
      </c>
      <c r="BN263" s="228">
        <f t="shared" si="1742"/>
        <v>0.17532440940069072</v>
      </c>
      <c r="BO263" s="228">
        <f t="shared" si="1743"/>
        <v>0.28930965611908532</v>
      </c>
      <c r="BP263" s="228">
        <f t="shared" si="1744"/>
        <v>0.22278970345813565</v>
      </c>
    </row>
    <row r="264" spans="2:81" s="3" customFormat="1" hidden="1" outlineLevel="1">
      <c r="B264" s="884" t="str">
        <f>+B257</f>
        <v>More Personal Computing</v>
      </c>
      <c r="L264" s="228">
        <f t="shared" si="1708"/>
        <v>0.26168224299065423</v>
      </c>
      <c r="M264" s="228">
        <f t="shared" si="1708"/>
        <v>-1.991409605622807E-2</v>
      </c>
      <c r="N264" s="228">
        <f t="shared" si="1708"/>
        <v>0.23980343980343988</v>
      </c>
      <c r="O264" s="228">
        <f t="shared" si="1708"/>
        <v>0.37785910338517836</v>
      </c>
      <c r="P264" s="228">
        <f t="shared" si="1709"/>
        <v>0.22534113060428851</v>
      </c>
      <c r="Q264" s="228">
        <f t="shared" si="1710"/>
        <v>0.18087649402390449</v>
      </c>
      <c r="R264" s="228">
        <f t="shared" si="1711"/>
        <v>0.25009908838684103</v>
      </c>
      <c r="S264" s="228">
        <f t="shared" si="1712"/>
        <v>0.18160690571049143</v>
      </c>
      <c r="T264" s="228">
        <f t="shared" si="1713"/>
        <v>0.27744193445752474</v>
      </c>
      <c r="U264" s="228">
        <f t="shared" si="1714"/>
        <v>0.40958164642375161</v>
      </c>
      <c r="V264" s="228">
        <f t="shared" si="1715"/>
        <v>0.14996829422954971</v>
      </c>
      <c r="W264" s="228">
        <f t="shared" si="1716"/>
        <v>0.14948019106490595</v>
      </c>
      <c r="X264" s="228">
        <f t="shared" si="1717"/>
        <v>0.18256537982565391</v>
      </c>
      <c r="Y264" s="228">
        <f t="shared" si="1718"/>
        <v>0.2503590234561992</v>
      </c>
      <c r="Z264" s="228">
        <f t="shared" si="1719"/>
        <v>0.26661152467604077</v>
      </c>
      <c r="AA264" s="228">
        <f t="shared" si="1720"/>
        <v>0.1911513077487168</v>
      </c>
      <c r="AB264" s="228">
        <f t="shared" si="1721"/>
        <v>7.308340353833187E-2</v>
      </c>
      <c r="AC264" s="228">
        <f t="shared" si="1722"/>
        <v>0.21784073506891266</v>
      </c>
      <c r="AD264" s="228">
        <f t="shared" si="1723"/>
        <v>6.6390944710492006E-2</v>
      </c>
      <c r="AE264" s="228">
        <f t="shared" si="1724"/>
        <v>-5.2123948286476485E-2</v>
      </c>
      <c r="AF264" s="228">
        <f t="shared" si="1725"/>
        <v>-0.17232580961727184</v>
      </c>
      <c r="AG264" s="228">
        <f t="shared" si="1726"/>
        <v>-0.41815152467777428</v>
      </c>
      <c r="AH264" s="228">
        <f t="shared" si="1727"/>
        <v>-0.13512961828944681</v>
      </c>
      <c r="AI264" s="228">
        <f t="shared" si="1728"/>
        <v>1.2340333405499004E-2</v>
      </c>
      <c r="AJ264" s="228">
        <f t="shared" si="1728"/>
        <v>0.22693858193028227</v>
      </c>
      <c r="AK264" s="228">
        <f t="shared" si="1729"/>
        <v>0.46337378299817389</v>
      </c>
      <c r="AL264" s="228">
        <f t="shared" si="1730"/>
        <v>0.38423412792069866</v>
      </c>
      <c r="AM264" s="228">
        <f t="shared" si="1731"/>
        <v>0.2538494439692045</v>
      </c>
      <c r="AN264" s="228">
        <f t="shared" si="1732"/>
        <v>9.6734577415008127E-2</v>
      </c>
      <c r="AO264" s="228">
        <f t="shared" si="1733"/>
        <v>4.5005920372155117E-2</v>
      </c>
      <c r="AP264" s="228">
        <f t="shared" si="1734"/>
        <v>0.10247504934118101</v>
      </c>
      <c r="AQ264" s="228">
        <f t="shared" si="1735"/>
        <v>9.3257175847551554E-2</v>
      </c>
      <c r="AR264" s="228"/>
      <c r="AS264" s="228"/>
      <c r="AT264" s="228"/>
      <c r="AU264" s="228"/>
      <c r="AV264" s="228"/>
      <c r="AW264" s="228"/>
      <c r="AX264" s="228"/>
      <c r="AY264" s="228"/>
      <c r="AZ264" s="228"/>
      <c r="BA264" s="228"/>
      <c r="BB264" s="228"/>
      <c r="BC264" s="228">
        <f t="shared" si="1736"/>
        <v>-9.099018733273867E-2</v>
      </c>
      <c r="BD264" s="228">
        <f t="shared" si="1736"/>
        <v>0.21727183513248272</v>
      </c>
      <c r="BE264" s="228">
        <f t="shared" si="1736"/>
        <v>0.3363431151241536</v>
      </c>
      <c r="BF264" s="228"/>
      <c r="BG264" s="829">
        <f t="shared" si="1737"/>
        <v>0.21727183513248272</v>
      </c>
      <c r="BH264" s="228">
        <f t="shared" si="1738"/>
        <v>0.4256833252466441</v>
      </c>
      <c r="BI264" s="228">
        <f t="shared" si="1738"/>
        <v>0.20363017583664211</v>
      </c>
      <c r="BJ264" s="228">
        <f t="shared" si="1738"/>
        <v>0.20829406220546653</v>
      </c>
      <c r="BK264" s="228">
        <f t="shared" si="1739"/>
        <v>0.24110764430577225</v>
      </c>
      <c r="BL264" s="228">
        <f t="shared" si="1740"/>
        <v>0.22173339199296094</v>
      </c>
      <c r="BM264" s="228">
        <f t="shared" si="1741"/>
        <v>7.9016410309172391E-2</v>
      </c>
      <c r="BN264" s="228">
        <f t="shared" si="1742"/>
        <v>-0.19753420738974969</v>
      </c>
      <c r="BO264" s="228">
        <f t="shared" si="1743"/>
        <v>0.32600827485248085</v>
      </c>
      <c r="BP264" s="228">
        <f t="shared" si="1744"/>
        <v>8.4774620752786412E-2</v>
      </c>
    </row>
    <row r="265" spans="2:81" s="3" customFormat="1" ht="11.45" hidden="1" outlineLevel="1">
      <c r="B265" s="884" t="str">
        <f>+B258</f>
        <v>Corporate and Other</v>
      </c>
      <c r="L265" s="840" t="str">
        <f>+IFERROR(L258/H258-1,"NA ")</f>
        <v xml:space="preserve">NA </v>
      </c>
      <c r="M265" s="840" t="str">
        <f t="shared" ref="M265:Q265" si="1745">+IFERROR(M258/I258-1,"NA ")</f>
        <v xml:space="preserve">NA </v>
      </c>
      <c r="N265" s="840" t="str">
        <f t="shared" si="1745"/>
        <v xml:space="preserve">NA </v>
      </c>
      <c r="O265" s="840">
        <f t="shared" si="1745"/>
        <v>-1</v>
      </c>
      <c r="P265" s="840" t="str">
        <f t="shared" si="1745"/>
        <v xml:space="preserve">NA </v>
      </c>
      <c r="Q265" s="840" t="str">
        <f t="shared" si="1745"/>
        <v xml:space="preserve">NA </v>
      </c>
      <c r="R265" s="840" t="str">
        <f t="shared" ref="R265" si="1746">+IFERROR(R258/N258-1,"NA ")</f>
        <v xml:space="preserve">NA </v>
      </c>
      <c r="S265" s="840" t="str">
        <f t="shared" ref="S265" si="1747">+IFERROR(S258/O258-1,"NA ")</f>
        <v xml:space="preserve">NA </v>
      </c>
      <c r="T265" s="840" t="str">
        <f t="shared" ref="T265" si="1748">+IFERROR(T258/P258-1,"NA ")</f>
        <v xml:space="preserve">NA </v>
      </c>
      <c r="U265" s="840" t="str">
        <f t="shared" ref="U265" si="1749">+IFERROR(U258/Q258-1,"NA ")</f>
        <v xml:space="preserve">NA </v>
      </c>
      <c r="V265" s="840" t="str">
        <f t="shared" ref="V265" si="1750">+IFERROR(V258/R258-1,"NA ")</f>
        <v xml:space="preserve">NA </v>
      </c>
      <c r="W265" s="840" t="str">
        <f t="shared" ref="W265" si="1751">+IFERROR(W258/S258-1,"NA ")</f>
        <v xml:space="preserve">NA </v>
      </c>
      <c r="X265" s="840" t="str">
        <f t="shared" ref="X265" si="1752">+IFERROR(X258/T258-1,"NA ")</f>
        <v xml:space="preserve">NA </v>
      </c>
      <c r="Y265" s="840" t="str">
        <f t="shared" ref="Y265" si="1753">+IFERROR(Y258/U258-1,"NA ")</f>
        <v xml:space="preserve">NA </v>
      </c>
      <c r="Z265" s="840" t="str">
        <f t="shared" ref="Z265" si="1754">+IFERROR(Z258/V258-1,"NA ")</f>
        <v xml:space="preserve">NA </v>
      </c>
      <c r="AA265" s="840" t="str">
        <f t="shared" ref="AA265" si="1755">+IFERROR(AA258/W258-1,"NA ")</f>
        <v xml:space="preserve">NA </v>
      </c>
      <c r="AB265" s="840" t="str">
        <f t="shared" ref="AB265" si="1756">+IFERROR(AB258/X258-1,"NA ")</f>
        <v xml:space="preserve">NA </v>
      </c>
      <c r="AC265" s="840" t="str">
        <f t="shared" ref="AC265" si="1757">+IFERROR(AC258/Y258-1,"NA ")</f>
        <v xml:space="preserve">NA </v>
      </c>
      <c r="AD265" s="840" t="str">
        <f t="shared" ref="AD265" si="1758">+IFERROR(AD258/Z258-1,"NA ")</f>
        <v xml:space="preserve">NA </v>
      </c>
      <c r="AE265" s="840" t="str">
        <f t="shared" ref="AE265" si="1759">+IFERROR(AE258/AA258-1,"NA ")</f>
        <v xml:space="preserve">NA </v>
      </c>
      <c r="AF265" s="840" t="str">
        <f t="shared" ref="AF265" si="1760">+IFERROR(AF258/AB258-1,"NA ")</f>
        <v xml:space="preserve">NA </v>
      </c>
      <c r="AG265" s="840" t="str">
        <f t="shared" ref="AG265" si="1761">+IFERROR(AG258/AC258-1,"NA ")</f>
        <v xml:space="preserve">NA </v>
      </c>
      <c r="AH265" s="840" t="str">
        <f t="shared" ref="AH265" si="1762">+IFERROR(AH258/AD258-1,"NA ")</f>
        <v xml:space="preserve">NA </v>
      </c>
      <c r="AI265" s="840" t="str">
        <f t="shared" ref="AI265:AJ265" si="1763">+IFERROR(AI258/AE258-1,"NA ")</f>
        <v xml:space="preserve">NA </v>
      </c>
      <c r="AJ265" s="840" t="str">
        <f t="shared" si="1763"/>
        <v xml:space="preserve">NA </v>
      </c>
      <c r="AK265" s="840" t="str">
        <f t="shared" ref="AK265" si="1764">+IFERROR(AK258/AG258-1,"NA ")</f>
        <v xml:space="preserve">NA </v>
      </c>
      <c r="AL265" s="840" t="str">
        <f t="shared" ref="AL265" si="1765">+IFERROR(AL258/AH258-1,"NA ")</f>
        <v xml:space="preserve">NA </v>
      </c>
      <c r="AM265" s="840" t="str">
        <f t="shared" ref="AM265" si="1766">+IFERROR(AM258/AI258-1,"NA ")</f>
        <v xml:space="preserve">NA </v>
      </c>
      <c r="AN265" s="840" t="str">
        <f t="shared" ref="AN265" si="1767">+IFERROR(AN258/AJ258-1,"NA ")</f>
        <v xml:space="preserve">NA </v>
      </c>
      <c r="AO265" s="840" t="str">
        <f t="shared" ref="AO265" si="1768">+IFERROR(AO258/AK258-1,"NA ")</f>
        <v xml:space="preserve">NA </v>
      </c>
      <c r="AP265" s="840" t="str">
        <f t="shared" ref="AP265" si="1769">+IFERROR(AP258/AL258-1,"NA ")</f>
        <v xml:space="preserve">NA </v>
      </c>
      <c r="AQ265" s="840" t="str">
        <f t="shared" ref="AQ265" si="1770">+IFERROR(AQ258/AM258-1,"NA ")</f>
        <v xml:space="preserve">NA </v>
      </c>
      <c r="AR265" s="840"/>
      <c r="AS265" s="840"/>
      <c r="AT265" s="840"/>
      <c r="AU265" s="840"/>
      <c r="AV265" s="840"/>
      <c r="AW265" s="840"/>
      <c r="AX265" s="840"/>
      <c r="AY265" s="840"/>
      <c r="AZ265" s="840"/>
      <c r="BA265" s="840"/>
      <c r="BB265" s="840"/>
      <c r="BC265" s="840">
        <f t="shared" si="1736"/>
        <v>-1</v>
      </c>
      <c r="BD265" s="840" t="str">
        <f>+IFERROR(BD258/BC258-1,"NA ")</f>
        <v xml:space="preserve">NA </v>
      </c>
      <c r="BE265" s="840">
        <f t="shared" si="1736"/>
        <v>9.6342014150232469E-3</v>
      </c>
      <c r="BF265" s="840"/>
      <c r="BG265" s="908" t="str">
        <f t="shared" si="1737"/>
        <v xml:space="preserve">NA </v>
      </c>
      <c r="BH265" s="840">
        <f t="shared" si="1738"/>
        <v>-0.72432432432432425</v>
      </c>
      <c r="BI265" s="840">
        <f t="shared" si="1738"/>
        <v>-1</v>
      </c>
      <c r="BJ265" s="840" t="str">
        <f>+IFERROR(BJ258/BI258-1,"NA ")</f>
        <v xml:space="preserve">NA </v>
      </c>
      <c r="BK265" s="840" t="str">
        <f t="shared" ref="BK265:BL265" si="1771">+IFERROR(BK258/BJ258-1,"NA ")</f>
        <v xml:space="preserve">NA </v>
      </c>
      <c r="BL265" s="840" t="str">
        <f t="shared" si="1771"/>
        <v xml:space="preserve">NA </v>
      </c>
      <c r="BM265" s="840" t="str">
        <f t="shared" ref="BM265" si="1772">+IFERROR(BM258/BL258-1,"NA ")</f>
        <v xml:space="preserve">NA </v>
      </c>
      <c r="BN265" s="840" t="str">
        <f t="shared" ref="BN265" si="1773">+IFERROR(BN258/BM258-1,"NA ")</f>
        <v xml:space="preserve">NA </v>
      </c>
      <c r="BO265" s="840" t="str">
        <f t="shared" ref="BO265" si="1774">+IFERROR(BO258/BN258-1,"NA ")</f>
        <v xml:space="preserve">NA </v>
      </c>
      <c r="BP265" s="840" t="str">
        <f t="shared" ref="BP265" si="1775">+IFERROR(BP258/BO258-1,"NA ")</f>
        <v xml:space="preserve">NA </v>
      </c>
    </row>
    <row r="266" spans="2:81" s="7" customFormat="1" hidden="1" outlineLevel="1">
      <c r="B266" s="887" t="str">
        <f>+B259</f>
        <v>Total operating income</v>
      </c>
      <c r="L266" s="842">
        <f>+IFERROR(L259/H259-1,"n/a ")</f>
        <v>0.14787788533134782</v>
      </c>
      <c r="M266" s="842">
        <f>+IFERROR(M259/I259-1,"n/a ")</f>
        <v>9.7912713472485757E-2</v>
      </c>
      <c r="N266" s="842">
        <f>+IFERROR(N259/J259-1,"n/a ")</f>
        <v>0.23337795626952262</v>
      </c>
      <c r="O266" s="842">
        <f>+IFERROR(O259/K259-1,"n/a ")</f>
        <v>0.35108044780005199</v>
      </c>
      <c r="P266" s="842">
        <f t="shared" si="1709"/>
        <v>0.29151530877010901</v>
      </c>
      <c r="Q266" s="842">
        <f t="shared" si="1710"/>
        <v>0.18193340246572176</v>
      </c>
      <c r="R266" s="842">
        <f t="shared" ref="R266" si="1776">+IFERROR(R259/N259-1,"n/a ")</f>
        <v>0.2471056439942112</v>
      </c>
      <c r="S266" s="842">
        <f t="shared" ref="S266" si="1777">+IFERROR(S259/O259-1,"n/a ")</f>
        <v>0.19520184988919942</v>
      </c>
      <c r="T266" s="842">
        <f t="shared" ref="T266" si="1778">+IFERROR(T259/P259-1,"n/a ")</f>
        <v>0.27433450527373182</v>
      </c>
      <c r="U266" s="842">
        <f t="shared" ref="U266" si="1779">+IFERROR(U259/Q259-1,"n/a ")</f>
        <v>0.3541626047962565</v>
      </c>
      <c r="V266" s="842">
        <f t="shared" ref="V266" si="1780">+IFERROR(V259/R259-1,"n/a ")</f>
        <v>0.25471424427038003</v>
      </c>
      <c r="W266" s="842">
        <f t="shared" ref="W266" si="1781">+IFERROR(W259/S259-1,"n/a ")</f>
        <v>8.0773881499395461E-2</v>
      </c>
      <c r="X266" s="842">
        <f t="shared" ref="X266" si="1782">+IFERROR(X259/T259-1,"n/a ")</f>
        <v>0.25145830048872764</v>
      </c>
      <c r="Y266" s="842">
        <f t="shared" ref="Y266" si="1783">+IFERROR(Y259/U259-1,"n/a ")</f>
        <v>0.28838816499892017</v>
      </c>
      <c r="Z266" s="842">
        <f t="shared" ref="Z266" si="1784">+IFERROR(Z259/V259-1,"n/a ")</f>
        <v>0.31391136801541419</v>
      </c>
      <c r="AA266" s="842">
        <f t="shared" ref="AA266" si="1785">+IFERROR(AA259/W259-1,"n/a ")</f>
        <v>0.42425598567912282</v>
      </c>
      <c r="AB266" s="842">
        <f t="shared" ref="AB266" si="1786">+IFERROR(AB259/X259-1,"n/a ")</f>
        <v>0.27475434618291761</v>
      </c>
      <c r="AC266" s="842">
        <f t="shared" ref="AC266" si="1787">+IFERROR(AC259/Y259-1,"n/a ")</f>
        <v>0.24305749566966539</v>
      </c>
      <c r="AD266" s="842">
        <f t="shared" ref="AD266" si="1788">+IFERROR(AD259/Z259-1,"n/a ")</f>
        <v>0.19450961989676219</v>
      </c>
      <c r="AE266" s="842">
        <f t="shared" ref="AE266" si="1789">+IFERROR(AE259/AA259-1,"n/a ")</f>
        <v>7.5360041895784269E-2</v>
      </c>
      <c r="AF266" s="842">
        <f t="shared" ref="AF266" si="1790">+IFERROR(AF259/AB259-1,"n/a ")</f>
        <v>6.3247356458147941E-2</v>
      </c>
      <c r="AG266" s="842">
        <f t="shared" ref="AG266" si="1791">+IFERROR(AG259/AC259-1,"n/a ")</f>
        <v>-3.0441228030745671E-2</v>
      </c>
      <c r="AH266" s="842">
        <f t="shared" ref="AH266" si="1792">+IFERROR(AH259/AD259-1,"n/a ")</f>
        <v>9.7623256727558338E-2</v>
      </c>
      <c r="AI266" s="842">
        <f t="shared" ref="AI266:AJ266" si="1793">+IFERROR(AI259/AE259-1,"n/a ")</f>
        <v>0.18116294925489429</v>
      </c>
      <c r="AJ266" s="842">
        <f t="shared" si="1793"/>
        <v>0.2498838181987173</v>
      </c>
      <c r="AK266" s="842">
        <f t="shared" ref="AK266" si="1794">+IFERROR(AK259/AG259-1,"n/a ")</f>
        <v>0.30562332271075254</v>
      </c>
      <c r="AL266" s="842">
        <f t="shared" ref="AL266" si="1795">+IFERROR(AL259/AH259-1,"n/a ")</f>
        <v>0.2759931997136722</v>
      </c>
      <c r="AM266" s="842">
        <f t="shared" ref="AM266" si="1796">+IFERROR(AM259/AI259-1,"n/a ")</f>
        <v>0.19011297105632052</v>
      </c>
      <c r="AN266" s="842">
        <f t="shared" ref="AN266" si="1797">+IFERROR(AN259/AJ259-1,"n/a ")</f>
        <v>0.14139193632232971</v>
      </c>
      <c r="AO266" s="842">
        <f t="shared" ref="AO266" si="1798">+IFERROR(AO259/AK259-1,"n/a ")</f>
        <v>0.15431774406922183</v>
      </c>
      <c r="AP266" s="842">
        <f t="shared" ref="AP266" si="1799">+IFERROR(AP259/AL259-1,"n/a ")</f>
        <v>0.16503082954522452</v>
      </c>
      <c r="AQ266" s="842">
        <f t="shared" ref="AQ266" si="1800">+IFERROR(AQ259/AM259-1,"n/a ")</f>
        <v>0.17082219450524949</v>
      </c>
      <c r="AR266" s="842"/>
      <c r="AS266" s="842"/>
      <c r="AT266" s="842"/>
      <c r="AU266" s="842"/>
      <c r="AV266" s="842"/>
      <c r="AW266" s="842"/>
      <c r="AX266" s="842"/>
      <c r="AY266" s="842"/>
      <c r="AZ266" s="842"/>
      <c r="BA266" s="842"/>
      <c r="BB266" s="842"/>
      <c r="BC266" s="842">
        <f t="shared" si="1736"/>
        <v>1.025604245858136E-2</v>
      </c>
      <c r="BD266" s="842">
        <f t="shared" si="1736"/>
        <v>-0.24421411330398979</v>
      </c>
      <c r="BE266" s="842">
        <f t="shared" si="1736"/>
        <v>6.2934435468720684E-2</v>
      </c>
      <c r="BF266" s="842"/>
      <c r="BG266" s="1177">
        <f t="shared" si="1737"/>
        <v>-0.24421411330398979</v>
      </c>
      <c r="BH266" s="842">
        <f t="shared" si="1738"/>
        <v>0.11300713244880733</v>
      </c>
      <c r="BI266" s="842">
        <f t="shared" si="1738"/>
        <v>0.20785529715762263</v>
      </c>
      <c r="BJ266" s="842">
        <f t="shared" si="1738"/>
        <v>0.22536938787152727</v>
      </c>
      <c r="BK266" s="842">
        <f t="shared" ref="BK266" si="1801">+IFERROR(BK259/BJ259-1,"n/a ")</f>
        <v>0.23278009264647692</v>
      </c>
      <c r="BL266" s="842">
        <f t="shared" ref="BL266" si="1802">+IFERROR(BL259/BK259-1,"n/a ")</f>
        <v>0.3201910912215109</v>
      </c>
      <c r="BM266" s="842">
        <f t="shared" ref="BM266" si="1803">+IFERROR(BM259/BL259-1,"n/a ")</f>
        <v>0.19261685451112753</v>
      </c>
      <c r="BN266" s="842">
        <f t="shared" ref="BN266" si="1804">+IFERROR(BN259/BM259-1,"n/a ")</f>
        <v>7.5684180228583919E-2</v>
      </c>
      <c r="BO266" s="842">
        <f t="shared" ref="BO266" si="1805">+IFERROR(BO259/BN259-1,"n/a ")</f>
        <v>0.25363216403403865</v>
      </c>
      <c r="BP266" s="842">
        <f t="shared" ref="BP266" si="1806">+IFERROR(BP259/BO259-1,"n/a ")</f>
        <v>0.15818022793521935</v>
      </c>
      <c r="BT266" s="3"/>
      <c r="BU266" s="3"/>
      <c r="BV266" s="3"/>
      <c r="BW266" s="3"/>
      <c r="BX266" s="3"/>
      <c r="BY266" s="3"/>
      <c r="BZ266" s="3"/>
      <c r="CA266" s="3"/>
      <c r="CB266" s="3"/>
      <c r="CC266" s="3"/>
    </row>
    <row r="267" spans="2:81" s="3" customFormat="1" hidden="1" outlineLevel="1">
      <c r="BT267"/>
      <c r="BU267"/>
      <c r="BV267"/>
      <c r="BW267"/>
      <c r="BX267"/>
      <c r="BY267"/>
      <c r="BZ267"/>
      <c r="CA267"/>
      <c r="CB267"/>
      <c r="CC267"/>
    </row>
    <row r="268" spans="2:81" s="3" customFormat="1" hidden="1" outlineLevel="1">
      <c r="B268" s="883" t="s">
        <v>355</v>
      </c>
    </row>
    <row r="269" spans="2:81" s="3" customFormat="1" hidden="1" outlineLevel="1">
      <c r="B269" s="884" t="str">
        <f>+B262</f>
        <v>Productivity and Business Processes</v>
      </c>
      <c r="L269" s="228">
        <f t="shared" ref="L269:AK269" si="1807">+L439</f>
        <v>0.04</v>
      </c>
      <c r="M269" s="228">
        <f t="shared" si="1807"/>
        <v>0.1</v>
      </c>
      <c r="N269" s="228">
        <f t="shared" si="1807"/>
        <v>0.19</v>
      </c>
      <c r="O269" s="228">
        <f t="shared" si="1807"/>
        <v>0.13</v>
      </c>
      <c r="P269" s="228">
        <f t="shared" si="1807"/>
        <v>0.27</v>
      </c>
      <c r="Q269" s="228">
        <f t="shared" si="1807"/>
        <v>0.19</v>
      </c>
      <c r="R269" s="228">
        <f t="shared" si="1807"/>
        <v>0.3</v>
      </c>
      <c r="S269" s="228">
        <f t="shared" si="1807"/>
        <v>0.31</v>
      </c>
      <c r="T269" s="228">
        <f t="shared" si="1807"/>
        <v>0.27</v>
      </c>
      <c r="U269" s="228">
        <f t="shared" si="1807"/>
        <v>0.33</v>
      </c>
      <c r="V269" s="228">
        <f t="shared" si="1807"/>
        <v>0.23</v>
      </c>
      <c r="W269" s="228">
        <f t="shared" si="1807"/>
        <v>-0.05</v>
      </c>
      <c r="X269" s="228">
        <f t="shared" si="1807"/>
        <v>0.19</v>
      </c>
      <c r="Y269" s="228">
        <f t="shared" si="1807"/>
        <v>0.17</v>
      </c>
      <c r="Z269" s="228">
        <f t="shared" si="1807"/>
        <v>0.2</v>
      </c>
      <c r="AA269" s="228">
        <f t="shared" si="1807"/>
        <v>0.53</v>
      </c>
      <c r="AB269" s="228">
        <f t="shared" si="1807"/>
        <v>0.28999999999999998</v>
      </c>
      <c r="AC269" s="228">
        <f t="shared" si="1807"/>
        <v>0.24</v>
      </c>
      <c r="AD269" s="228">
        <f t="shared" si="1807"/>
        <v>0.23</v>
      </c>
      <c r="AE269" s="228">
        <f t="shared" si="1807"/>
        <v>0.19</v>
      </c>
      <c r="AF269" s="228">
        <f t="shared" si="1807"/>
        <v>0.19</v>
      </c>
      <c r="AG269" s="228">
        <f t="shared" si="1807"/>
        <v>0.20134547346514042</v>
      </c>
      <c r="AH269" s="228">
        <f t="shared" si="1807"/>
        <v>0.27</v>
      </c>
      <c r="AI269" s="228">
        <f t="shared" si="1807"/>
        <v>0.28999999999999998</v>
      </c>
      <c r="AJ269" s="228">
        <f t="shared" si="1807"/>
        <v>0.19</v>
      </c>
      <c r="AK269" s="228">
        <f t="shared" si="1807"/>
        <v>0.19570636633126218</v>
      </c>
      <c r="AL269" s="228">
        <f>+AL439</f>
        <v>0.16409422386850325</v>
      </c>
      <c r="AM269" s="228">
        <f t="shared" ref="AM269" si="1808">+AM439</f>
        <v>0.13052585064074229</v>
      </c>
      <c r="AN269" s="228"/>
      <c r="AO269" s="228"/>
      <c r="AP269" s="228"/>
      <c r="AQ269" s="228"/>
      <c r="AR269" s="228"/>
      <c r="AS269" s="228"/>
      <c r="AT269" s="228"/>
      <c r="AU269" s="228"/>
      <c r="AV269" s="228"/>
      <c r="AW269" s="228"/>
      <c r="AX269" s="228"/>
      <c r="AY269" s="228"/>
      <c r="AZ269" s="228"/>
      <c r="BA269" s="228"/>
      <c r="BB269" s="228"/>
      <c r="BC269" s="228"/>
      <c r="BD269" s="228"/>
      <c r="BE269" s="228"/>
      <c r="BF269" s="228"/>
      <c r="BG269" s="829"/>
      <c r="BH269" s="228"/>
      <c r="BI269" s="228">
        <f t="shared" ref="BI269:BM269" si="1809">+BI439</f>
        <v>0.11238300114145229</v>
      </c>
      <c r="BJ269" s="228">
        <f t="shared" si="1809"/>
        <v>0.26730191891055399</v>
      </c>
      <c r="BK269" s="228">
        <f t="shared" si="1809"/>
        <v>0.18933288118872929</v>
      </c>
      <c r="BL269" s="228">
        <f t="shared" si="1809"/>
        <v>0.25914761803033542</v>
      </c>
      <c r="BM269" s="228">
        <f t="shared" si="1809"/>
        <v>0.23602726787400929</v>
      </c>
      <c r="BN269" s="228">
        <f t="shared" ref="BN269:BO269" si="1810">+BN439</f>
        <v>0.49682725854319137</v>
      </c>
      <c r="BO269" s="228">
        <f t="shared" si="1810"/>
        <v>0.52151825959607245</v>
      </c>
      <c r="BP269" s="228"/>
    </row>
    <row r="270" spans="2:81" s="3" customFormat="1" hidden="1" outlineLevel="1">
      <c r="B270" s="884" t="str">
        <f>+B263</f>
        <v>Intelligent Cloud</v>
      </c>
      <c r="L270" s="228">
        <f t="shared" ref="L270:AK270" si="1811">+L619</f>
        <v>0.2</v>
      </c>
      <c r="M270" s="228">
        <f t="shared" si="1811"/>
        <v>0.24</v>
      </c>
      <c r="N270" s="228">
        <f t="shared" si="1811"/>
        <v>0.21</v>
      </c>
      <c r="O270" s="228">
        <f t="shared" si="1811"/>
        <v>0.3</v>
      </c>
      <c r="P270" s="228">
        <f t="shared" si="1811"/>
        <v>0.35</v>
      </c>
      <c r="Q270" s="228">
        <f t="shared" si="1811"/>
        <v>0.15</v>
      </c>
      <c r="R270" s="228">
        <f t="shared" si="1811"/>
        <v>0.23</v>
      </c>
      <c r="S270" s="228">
        <f t="shared" si="1811"/>
        <v>0.19</v>
      </c>
      <c r="T270" s="228">
        <f t="shared" si="1811"/>
        <v>0.38</v>
      </c>
      <c r="U270" s="228">
        <f t="shared" si="1811"/>
        <v>0.42</v>
      </c>
      <c r="V270" s="228">
        <f t="shared" si="1811"/>
        <v>0.46</v>
      </c>
      <c r="W270" s="228">
        <f t="shared" si="1811"/>
        <v>0.22</v>
      </c>
      <c r="X270" s="228">
        <f t="shared" si="1811"/>
        <v>0.38</v>
      </c>
      <c r="Y270" s="228">
        <f t="shared" si="1811"/>
        <v>0.41</v>
      </c>
      <c r="Z270" s="228">
        <f t="shared" si="1811"/>
        <v>0.36</v>
      </c>
      <c r="AA270" s="228">
        <f t="shared" si="1811"/>
        <v>0.39</v>
      </c>
      <c r="AB270" s="228">
        <f t="shared" si="1811"/>
        <v>0.37</v>
      </c>
      <c r="AC270" s="228">
        <f t="shared" si="1811"/>
        <v>0.26</v>
      </c>
      <c r="AD270" s="228">
        <f t="shared" si="1811"/>
        <v>0.33</v>
      </c>
      <c r="AE270" s="228">
        <f t="shared" si="1811"/>
        <v>0.18</v>
      </c>
      <c r="AF270" s="228">
        <f t="shared" si="1811"/>
        <v>0.25</v>
      </c>
      <c r="AG270" s="228">
        <f t="shared" si="1811"/>
        <v>0.23625106746370633</v>
      </c>
      <c r="AH270" s="228">
        <f t="shared" si="1811"/>
        <v>0.17</v>
      </c>
      <c r="AI270" s="228">
        <f t="shared" si="1811"/>
        <v>0.22</v>
      </c>
      <c r="AJ270" s="228">
        <f t="shared" si="1811"/>
        <v>0.3</v>
      </c>
      <c r="AK270" s="228">
        <f t="shared" si="1811"/>
        <v>0.28475797627928023</v>
      </c>
      <c r="AL270" s="228">
        <f>+AL619</f>
        <v>0.32049387927395534</v>
      </c>
      <c r="AM270" s="228">
        <f t="shared" ref="AM270" si="1812">+AM619</f>
        <v>0.23</v>
      </c>
      <c r="AN270" s="228"/>
      <c r="AO270" s="228"/>
      <c r="AP270" s="228"/>
      <c r="AQ270" s="228"/>
      <c r="AR270" s="228"/>
      <c r="AS270" s="228"/>
      <c r="AT270" s="228"/>
      <c r="AU270" s="228"/>
      <c r="AV270" s="228"/>
      <c r="AW270" s="228"/>
      <c r="AX270" s="228"/>
      <c r="AY270" s="228"/>
      <c r="AZ270" s="228"/>
      <c r="BA270" s="228"/>
      <c r="BB270" s="228"/>
      <c r="BC270" s="228"/>
      <c r="BD270" s="228"/>
      <c r="BE270" s="228"/>
      <c r="BF270" s="228"/>
      <c r="BG270" s="829"/>
      <c r="BH270" s="228"/>
      <c r="BI270" s="228">
        <f t="shared" ref="BI270:BM270" si="1813">+BI619</f>
        <v>0.24428837515065191</v>
      </c>
      <c r="BJ270" s="228">
        <f t="shared" si="1813"/>
        <v>0.21905241235682055</v>
      </c>
      <c r="BK270" s="228">
        <f t="shared" si="1813"/>
        <v>0.35611206896551723</v>
      </c>
      <c r="BL270" s="228">
        <f t="shared" si="1813"/>
        <v>0.38535745470421301</v>
      </c>
      <c r="BM270" s="228">
        <f t="shared" si="1813"/>
        <v>0.27619880578733824</v>
      </c>
      <c r="BN270" s="228">
        <f t="shared" ref="BN270:BO270" si="1814">+BN619</f>
        <v>0.21835029491763702</v>
      </c>
      <c r="BO270" s="228">
        <f t="shared" si="1814"/>
        <v>0.28213416059529162</v>
      </c>
      <c r="BP270" s="228"/>
    </row>
    <row r="271" spans="2:81" s="3" customFormat="1" hidden="1" outlineLevel="1">
      <c r="B271" s="884" t="str">
        <f>+B264</f>
        <v>More Personal Computing</v>
      </c>
      <c r="L271" s="228">
        <f t="shared" ref="L271:AK271" si="1815">+L827</f>
        <v>0.2</v>
      </c>
      <c r="M271" s="228">
        <f t="shared" si="1815"/>
        <v>0.24</v>
      </c>
      <c r="N271" s="228">
        <f t="shared" si="1815"/>
        <v>0.21</v>
      </c>
      <c r="O271" s="228">
        <f t="shared" si="1815"/>
        <v>0.3</v>
      </c>
      <c r="P271" s="228">
        <f t="shared" si="1815"/>
        <v>0.23</v>
      </c>
      <c r="Q271" s="228">
        <f t="shared" si="1815"/>
        <v>0.19</v>
      </c>
      <c r="R271" s="228">
        <f t="shared" si="1815"/>
        <v>0.28000000000000003</v>
      </c>
      <c r="S271" s="228">
        <f t="shared" si="1815"/>
        <v>0.22</v>
      </c>
      <c r="T271" s="228">
        <f t="shared" si="1815"/>
        <v>0.31</v>
      </c>
      <c r="U271" s="228">
        <f t="shared" si="1815"/>
        <v>0.45</v>
      </c>
      <c r="V271" s="228">
        <f t="shared" si="1815"/>
        <v>0.17</v>
      </c>
      <c r="W271" s="228">
        <f t="shared" si="1815"/>
        <v>0.19</v>
      </c>
      <c r="X271" s="228">
        <f t="shared" si="1815"/>
        <v>0.18</v>
      </c>
      <c r="Y271" s="228">
        <f t="shared" si="1815"/>
        <v>0.22</v>
      </c>
      <c r="Z271" s="228">
        <f t="shared" si="1815"/>
        <v>0.22</v>
      </c>
      <c r="AA271" s="228">
        <f t="shared" si="1815"/>
        <v>0.13</v>
      </c>
      <c r="AB271" s="228">
        <f t="shared" si="1815"/>
        <v>0.05</v>
      </c>
      <c r="AC271" s="228">
        <f t="shared" si="1815"/>
        <v>0.21</v>
      </c>
      <c r="AD271" s="228">
        <f t="shared" si="1815"/>
        <v>0.1</v>
      </c>
      <c r="AE271" s="228">
        <f t="shared" si="1815"/>
        <v>0</v>
      </c>
      <c r="AF271" s="228">
        <f t="shared" si="1815"/>
        <v>-0.09</v>
      </c>
      <c r="AG271" s="228">
        <f t="shared" si="1815"/>
        <v>-0.34815152467777427</v>
      </c>
      <c r="AH271" s="228">
        <f t="shared" si="1815"/>
        <v>-7.0000000000000007E-2</v>
      </c>
      <c r="AI271" s="228">
        <f t="shared" si="1815"/>
        <v>0.06</v>
      </c>
      <c r="AJ271" s="228">
        <f t="shared" si="1815"/>
        <v>0.22</v>
      </c>
      <c r="AK271" s="228">
        <f t="shared" si="1815"/>
        <v>0.43337378299817386</v>
      </c>
      <c r="AL271" s="228">
        <f>+AL827</f>
        <v>0.37423412792069866</v>
      </c>
      <c r="AM271" s="228">
        <f t="shared" ref="AM271" si="1816">+AM827</f>
        <v>0.26384944396920451</v>
      </c>
      <c r="AN271" s="228"/>
      <c r="AO271" s="228"/>
      <c r="AP271" s="228"/>
      <c r="AQ271" s="228"/>
      <c r="AR271" s="228"/>
      <c r="AS271" s="228"/>
      <c r="AT271" s="228"/>
      <c r="AU271" s="228"/>
      <c r="AV271" s="228"/>
      <c r="AW271" s="228"/>
      <c r="AX271" s="228"/>
      <c r="AY271" s="228"/>
      <c r="AZ271" s="228"/>
      <c r="BA271" s="228"/>
      <c r="BB271" s="228"/>
      <c r="BC271" s="228"/>
      <c r="BD271" s="228"/>
      <c r="BE271" s="228"/>
      <c r="BF271" s="228"/>
      <c r="BG271" s="829"/>
      <c r="BH271" s="228"/>
      <c r="BI271" s="228">
        <f t="shared" ref="BI271:BM271" si="1817">+BI827</f>
        <v>0.23872830402722631</v>
      </c>
      <c r="BJ271" s="228">
        <f t="shared" si="1817"/>
        <v>0.22958812441093307</v>
      </c>
      <c r="BK271" s="228">
        <f t="shared" si="1817"/>
        <v>0.27461154446177849</v>
      </c>
      <c r="BL271" s="228">
        <f t="shared" si="1817"/>
        <v>0.18676575953742694</v>
      </c>
      <c r="BM271" s="228">
        <f t="shared" si="1817"/>
        <v>9.2280467102217198E-2</v>
      </c>
      <c r="BN271" s="228">
        <f t="shared" ref="BN271:BO271" si="1818">+BN827</f>
        <v>-0.1305973778307509</v>
      </c>
      <c r="BO271" s="228">
        <f t="shared" si="1818"/>
        <v>0.31793295040554381</v>
      </c>
      <c r="BP271" s="228"/>
    </row>
    <row r="272" spans="2:81" s="3" customFormat="1" ht="11.45" hidden="1" outlineLevel="1">
      <c r="B272" s="884" t="str">
        <f>+B265</f>
        <v>Corporate and Other</v>
      </c>
      <c r="L272" s="840">
        <v>0</v>
      </c>
      <c r="M272" s="840">
        <v>0</v>
      </c>
      <c r="N272" s="840">
        <v>0</v>
      </c>
      <c r="O272" s="840">
        <v>0</v>
      </c>
      <c r="P272" s="840">
        <v>0</v>
      </c>
      <c r="Q272" s="840">
        <v>0</v>
      </c>
      <c r="R272" s="840">
        <v>0</v>
      </c>
      <c r="S272" s="840">
        <v>0</v>
      </c>
      <c r="T272" s="840">
        <v>0</v>
      </c>
      <c r="U272" s="840">
        <v>0</v>
      </c>
      <c r="V272" s="840">
        <v>0</v>
      </c>
      <c r="W272" s="840">
        <v>0</v>
      </c>
      <c r="X272" s="840">
        <v>0</v>
      </c>
      <c r="Y272" s="840">
        <v>0</v>
      </c>
      <c r="Z272" s="840">
        <v>0</v>
      </c>
      <c r="AA272" s="840">
        <v>0</v>
      </c>
      <c r="AB272" s="840">
        <v>0</v>
      </c>
      <c r="AC272" s="840">
        <v>0</v>
      </c>
      <c r="AD272" s="840">
        <v>0</v>
      </c>
      <c r="AE272" s="840">
        <v>0</v>
      </c>
      <c r="AF272" s="840">
        <v>0</v>
      </c>
      <c r="AG272" s="840">
        <v>0</v>
      </c>
      <c r="AH272" s="840">
        <v>0</v>
      </c>
      <c r="AI272" s="840">
        <v>0</v>
      </c>
      <c r="AJ272" s="840">
        <v>0</v>
      </c>
      <c r="AK272" s="840">
        <v>0</v>
      </c>
      <c r="AL272" s="840">
        <v>0</v>
      </c>
      <c r="AM272" s="840">
        <v>0</v>
      </c>
      <c r="AN272" s="840"/>
      <c r="AO272" s="840"/>
      <c r="AP272" s="840"/>
      <c r="AQ272" s="840"/>
      <c r="AR272" s="840"/>
      <c r="AS272" s="840"/>
      <c r="AT272" s="840"/>
      <c r="AU272" s="840"/>
      <c r="AV272" s="840"/>
      <c r="AW272" s="840"/>
      <c r="AX272" s="840"/>
      <c r="AY272" s="840"/>
      <c r="AZ272" s="840"/>
      <c r="BA272" s="840"/>
      <c r="BB272" s="840"/>
      <c r="BC272" s="840"/>
      <c r="BD272" s="840"/>
      <c r="BE272" s="840"/>
      <c r="BF272" s="840"/>
      <c r="BG272" s="908"/>
      <c r="BH272" s="840"/>
      <c r="BI272" s="840">
        <v>0</v>
      </c>
      <c r="BJ272" s="840">
        <v>0</v>
      </c>
      <c r="BK272" s="840">
        <v>0</v>
      </c>
      <c r="BL272" s="840">
        <v>0</v>
      </c>
      <c r="BM272" s="840">
        <v>0</v>
      </c>
      <c r="BN272" s="840">
        <v>0</v>
      </c>
      <c r="BO272" s="840">
        <v>0</v>
      </c>
      <c r="BP272" s="840"/>
      <c r="BT272"/>
      <c r="BU272"/>
      <c r="BV272"/>
      <c r="BW272"/>
      <c r="BX272"/>
      <c r="BY272"/>
      <c r="BZ272"/>
      <c r="CA272"/>
      <c r="CB272"/>
      <c r="CC272"/>
    </row>
    <row r="273" spans="2:81" s="7" customFormat="1" hidden="1" outlineLevel="1">
      <c r="B273" s="887" t="str">
        <f>+B266</f>
        <v>Total operating income</v>
      </c>
      <c r="L273" s="842">
        <f t="shared" ref="L273:AM273" si="1819">+L51</f>
        <v>0.15</v>
      </c>
      <c r="M273" s="842">
        <f t="shared" si="1819"/>
        <v>0.1</v>
      </c>
      <c r="N273" s="842">
        <f t="shared" si="1819"/>
        <v>0.2</v>
      </c>
      <c r="O273" s="842">
        <f t="shared" si="1819"/>
        <v>0.24</v>
      </c>
      <c r="P273" s="842">
        <f t="shared" si="1819"/>
        <v>0.28000000000000003</v>
      </c>
      <c r="Q273" s="842">
        <f t="shared" si="1819"/>
        <v>0.18</v>
      </c>
      <c r="R273" s="842">
        <f t="shared" si="1819"/>
        <v>0.27</v>
      </c>
      <c r="S273" s="842">
        <f t="shared" si="1819"/>
        <v>0.24</v>
      </c>
      <c r="T273" s="842">
        <f t="shared" si="1819"/>
        <v>0.32</v>
      </c>
      <c r="U273" s="842">
        <f t="shared" si="1819"/>
        <v>0.39</v>
      </c>
      <c r="V273" s="842">
        <f t="shared" si="1819"/>
        <v>0.28000000000000003</v>
      </c>
      <c r="W273" s="842">
        <f t="shared" si="1819"/>
        <v>0.19332527206771474</v>
      </c>
      <c r="X273" s="842">
        <f t="shared" si="1819"/>
        <v>0.25</v>
      </c>
      <c r="Y273" s="842">
        <f t="shared" si="1819"/>
        <v>0.26</v>
      </c>
      <c r="Z273" s="842">
        <f t="shared" si="1819"/>
        <v>0.27</v>
      </c>
      <c r="AA273" s="842">
        <f t="shared" si="1819"/>
        <v>0.35</v>
      </c>
      <c r="AB273" s="842">
        <f t="shared" si="1819"/>
        <v>0.24</v>
      </c>
      <c r="AC273" s="842">
        <f t="shared" si="1819"/>
        <v>0.24</v>
      </c>
      <c r="AD273" s="842">
        <f t="shared" si="1819"/>
        <v>0.23</v>
      </c>
      <c r="AE273" s="842">
        <f t="shared" si="1819"/>
        <v>0.14000000000000001</v>
      </c>
      <c r="AF273" s="842">
        <f t="shared" si="1819"/>
        <v>0.15</v>
      </c>
      <c r="AG273" s="842">
        <f t="shared" si="1819"/>
        <v>0.06</v>
      </c>
      <c r="AH273" s="842">
        <f t="shared" si="1819"/>
        <v>0.15</v>
      </c>
      <c r="AI273" s="842">
        <f t="shared" si="1819"/>
        <v>0.21</v>
      </c>
      <c r="AJ273" s="842">
        <f t="shared" si="1819"/>
        <v>0.24</v>
      </c>
      <c r="AK273" s="842">
        <f t="shared" si="1819"/>
        <v>0.27560964302271662</v>
      </c>
      <c r="AL273" s="842">
        <f t="shared" si="1819"/>
        <v>0.2759931997136722</v>
      </c>
      <c r="AM273" s="842">
        <f t="shared" si="1819"/>
        <v>0.20011297105632053</v>
      </c>
      <c r="AN273" s="842"/>
      <c r="AO273" s="842"/>
      <c r="AP273" s="842"/>
      <c r="AQ273" s="842"/>
      <c r="AR273" s="842"/>
      <c r="AS273" s="842"/>
      <c r="AT273" s="842"/>
      <c r="AU273" s="842"/>
      <c r="AV273" s="842"/>
      <c r="AW273" s="842"/>
      <c r="AX273" s="842"/>
      <c r="AY273" s="842"/>
      <c r="AZ273" s="842"/>
      <c r="BA273" s="842"/>
      <c r="BB273" s="842"/>
      <c r="BC273" s="842"/>
      <c r="BD273" s="842"/>
      <c r="BE273" s="842"/>
      <c r="BF273" s="842"/>
      <c r="BG273" s="1177"/>
      <c r="BH273" s="842"/>
      <c r="BI273" s="842">
        <f t="shared" ref="BI273:BO273" si="1820">+BI51</f>
        <v>0.17249565306331185</v>
      </c>
      <c r="BJ273" s="842">
        <f t="shared" si="1820"/>
        <v>0.24103656797307321</v>
      </c>
      <c r="BK273" s="842">
        <f t="shared" si="1820"/>
        <v>0.29050722782187671</v>
      </c>
      <c r="BL273" s="842">
        <f t="shared" si="1820"/>
        <v>0.28283879982628074</v>
      </c>
      <c r="BM273" s="842">
        <f t="shared" si="1820"/>
        <v>0.21025030036043252</v>
      </c>
      <c r="BN273" s="842">
        <f t="shared" si="1820"/>
        <v>0.14076322511782977</v>
      </c>
      <c r="BO273" s="842">
        <f t="shared" si="1820"/>
        <v>0.24674738555533252</v>
      </c>
      <c r="BP273" s="842"/>
      <c r="BT273"/>
      <c r="BU273"/>
      <c r="BV273"/>
      <c r="BW273"/>
      <c r="BX273"/>
      <c r="BY273"/>
      <c r="BZ273"/>
      <c r="CA273"/>
      <c r="CB273"/>
      <c r="CC273"/>
    </row>
    <row r="274" spans="2:81" s="3" customFormat="1" hidden="1" outlineLevel="1">
      <c r="BT274"/>
      <c r="BU274"/>
      <c r="BV274"/>
      <c r="BW274"/>
      <c r="BX274"/>
      <c r="BY274"/>
      <c r="BZ274"/>
      <c r="CA274"/>
      <c r="CB274"/>
      <c r="CC274"/>
    </row>
    <row r="275" spans="2:81" s="3" customFormat="1" hidden="1" outlineLevel="1">
      <c r="B275" s="1233" t="s">
        <v>127</v>
      </c>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BC275" s="14"/>
      <c r="BD275" s="14"/>
      <c r="BE275" s="14"/>
      <c r="BF275" s="14"/>
      <c r="BG275" s="14"/>
      <c r="BH275" s="14"/>
      <c r="BI275" s="14"/>
      <c r="BJ275" s="14"/>
      <c r="BK275" s="14"/>
      <c r="BL275" s="14"/>
      <c r="BM275" s="14"/>
      <c r="BN275" s="14"/>
      <c r="BO275" s="14"/>
      <c r="BP275" s="14"/>
      <c r="BR275"/>
      <c r="BS275"/>
      <c r="BT275"/>
      <c r="BU275"/>
      <c r="BV275"/>
      <c r="BW275"/>
      <c r="BX275"/>
      <c r="BY275"/>
      <c r="BZ275"/>
      <c r="CA275"/>
      <c r="CB275"/>
      <c r="CC275"/>
    </row>
    <row r="276" spans="2:81" s="3" customFormat="1" hidden="1" outlineLevel="1">
      <c r="B276" s="1234" t="s">
        <v>351</v>
      </c>
      <c r="L276" s="23"/>
      <c r="M276" s="23"/>
      <c r="N276" s="23"/>
      <c r="O276" s="23"/>
      <c r="P276" s="23"/>
      <c r="Q276" s="23"/>
      <c r="R276" s="23"/>
      <c r="S276" s="23"/>
      <c r="T276" s="23"/>
      <c r="U276" s="23"/>
      <c r="V276" s="23"/>
      <c r="W276" s="23"/>
      <c r="X276" s="23"/>
      <c r="Y276" s="23"/>
      <c r="Z276" s="23"/>
      <c r="AA276" s="23"/>
      <c r="AB276" s="23">
        <f t="shared" ref="AB276:AK276" si="1821">+AB828</f>
        <v>0.05</v>
      </c>
      <c r="AC276" s="23">
        <f t="shared" si="1821"/>
        <v>0.21</v>
      </c>
      <c r="AD276" s="23">
        <f t="shared" si="1821"/>
        <v>0.1</v>
      </c>
      <c r="AE276" s="23">
        <f t="shared" si="1821"/>
        <v>0</v>
      </c>
      <c r="AF276" s="23">
        <f t="shared" si="1821"/>
        <v>-0.09</v>
      </c>
      <c r="AG276" s="23">
        <f t="shared" si="1821"/>
        <v>-0.34815152467777427</v>
      </c>
      <c r="AH276" s="23">
        <f t="shared" si="1821"/>
        <v>-7.0000000000000007E-2</v>
      </c>
      <c r="AI276" s="23">
        <f t="shared" si="1821"/>
        <v>0.06</v>
      </c>
      <c r="AJ276" s="23">
        <f t="shared" si="1821"/>
        <v>0.22</v>
      </c>
      <c r="AK276" s="23">
        <f t="shared" si="1821"/>
        <v>0.24697394724614508</v>
      </c>
      <c r="AL276" s="23">
        <f>+AL828</f>
        <v>0.23498465895680912</v>
      </c>
      <c r="AM276" s="23">
        <f t="shared" ref="AM276" si="1822">+AM828</f>
        <v>0.13767322497861426</v>
      </c>
      <c r="AN276" s="23"/>
      <c r="AO276" s="23"/>
      <c r="AP276" s="23"/>
      <c r="AQ276" s="23"/>
      <c r="AR276" s="21"/>
      <c r="AS276" s="21"/>
      <c r="AT276" s="21"/>
      <c r="AU276" s="21"/>
      <c r="AV276" s="21"/>
      <c r="AW276" s="21"/>
      <c r="AX276" s="21"/>
      <c r="AY276" s="21"/>
      <c r="AZ276" s="21"/>
      <c r="BA276" s="21"/>
      <c r="BB276" s="21"/>
      <c r="BC276" s="891"/>
      <c r="BD276" s="891"/>
      <c r="BE276" s="891"/>
      <c r="BF276" s="891"/>
      <c r="BG276" s="829"/>
      <c r="BH276" s="23"/>
      <c r="BI276" s="23">
        <f t="shared" ref="BI276:BN276" si="1823">+BI828</f>
        <v>0.23872830402722631</v>
      </c>
      <c r="BJ276" s="23">
        <f t="shared" si="1823"/>
        <v>0.22958812441093307</v>
      </c>
      <c r="BK276" s="23">
        <f t="shared" si="1823"/>
        <v>0.27461154446177849</v>
      </c>
      <c r="BL276" s="23">
        <f t="shared" si="1823"/>
        <v>0.18676575953742694</v>
      </c>
      <c r="BM276" s="23">
        <f t="shared" si="1823"/>
        <v>9.2280467102217198E-2</v>
      </c>
      <c r="BN276" s="23">
        <f t="shared" si="1823"/>
        <v>-0.1305973778307509</v>
      </c>
      <c r="BO276" s="23">
        <f t="shared" ref="BO276" si="1824">+BO828</f>
        <v>0.20683319351795301</v>
      </c>
      <c r="BP276" s="23"/>
      <c r="BT276"/>
      <c r="BU276"/>
      <c r="BV276"/>
      <c r="BW276"/>
      <c r="BX276"/>
      <c r="BY276"/>
      <c r="BZ276"/>
      <c r="CA276"/>
      <c r="CB276"/>
      <c r="CC276"/>
    </row>
    <row r="277" spans="2:81" s="3" customFormat="1" hidden="1" outlineLevel="1">
      <c r="BT277"/>
      <c r="BU277"/>
      <c r="BV277"/>
      <c r="BW277"/>
      <c r="BX277"/>
      <c r="BY277"/>
      <c r="BZ277"/>
      <c r="CA277"/>
      <c r="CB277"/>
      <c r="CC277"/>
    </row>
    <row r="278" spans="2:81" s="3" customFormat="1" hidden="1" outlineLevel="1">
      <c r="B278" s="883" t="s">
        <v>123</v>
      </c>
      <c r="BT278"/>
      <c r="BU278"/>
      <c r="BV278"/>
      <c r="BW278"/>
      <c r="BX278"/>
      <c r="BY278"/>
      <c r="BZ278"/>
      <c r="CA278"/>
      <c r="CB278"/>
      <c r="CC278"/>
    </row>
    <row r="279" spans="2:81" s="3" customFormat="1" hidden="1" outlineLevel="1">
      <c r="B279" s="884" t="str">
        <f>+B255</f>
        <v>Productivity and Business Processes</v>
      </c>
      <c r="H279" s="228">
        <f t="shared" ref="H279:AL279" si="1825">+IFERROR(H255/H223,"n/a ")</f>
        <v>0.45136730888750776</v>
      </c>
      <c r="I279" s="228">
        <f t="shared" si="1825"/>
        <v>0.4252681431954311</v>
      </c>
      <c r="J279" s="228">
        <f t="shared" si="1825"/>
        <v>0.32957052030621514</v>
      </c>
      <c r="K279" s="228">
        <f t="shared" si="1825"/>
        <v>0.33820776789892371</v>
      </c>
      <c r="L279" s="228">
        <f t="shared" si="1825"/>
        <v>0.36489439184268024</v>
      </c>
      <c r="M279" s="228">
        <f t="shared" si="1825"/>
        <v>0.37272422651625153</v>
      </c>
      <c r="N279" s="228">
        <f t="shared" si="1825"/>
        <v>0.34588052409504777</v>
      </c>
      <c r="O279" s="228">
        <f t="shared" si="1825"/>
        <v>0.35850227554820024</v>
      </c>
      <c r="P279" s="228">
        <f t="shared" si="1825"/>
        <v>0.3971957834407942</v>
      </c>
      <c r="Q279" s="228">
        <f t="shared" si="1825"/>
        <v>0.39752475247524754</v>
      </c>
      <c r="R279" s="228">
        <f t="shared" si="1825"/>
        <v>0.38849834016793594</v>
      </c>
      <c r="S279" s="228">
        <f t="shared" si="1825"/>
        <v>0.3932289309314746</v>
      </c>
      <c r="T279" s="228">
        <f t="shared" si="1825"/>
        <v>0.43170533537961542</v>
      </c>
      <c r="U279" s="228">
        <f t="shared" si="1825"/>
        <v>0.43818704549298154</v>
      </c>
      <c r="V279" s="228">
        <f t="shared" si="1825"/>
        <v>0.40773226603082685</v>
      </c>
      <c r="W279" s="228">
        <f t="shared" si="1825"/>
        <v>0.33798502382573181</v>
      </c>
      <c r="X279" s="228">
        <f t="shared" si="1825"/>
        <v>0.46318694699245067</v>
      </c>
      <c r="Y279" s="228">
        <f t="shared" si="1825"/>
        <v>0.46289223395491652</v>
      </c>
      <c r="Z279" s="228">
        <f t="shared" si="1825"/>
        <v>0.44487898465171194</v>
      </c>
      <c r="AA279" s="228">
        <f t="shared" si="1825"/>
        <v>0.43802327955891363</v>
      </c>
      <c r="AB279" s="228">
        <f t="shared" si="1825"/>
        <v>0.50408936764412526</v>
      </c>
      <c r="AC279" s="228">
        <f t="shared" si="1825"/>
        <v>0.48242971887550201</v>
      </c>
      <c r="AD279" s="228">
        <f t="shared" si="1825"/>
        <v>0.45500031667616697</v>
      </c>
      <c r="AE279" s="228">
        <f t="shared" si="1825"/>
        <v>0.43578313253012047</v>
      </c>
      <c r="AF279" s="228">
        <f t="shared" si="1825"/>
        <v>0.50549650774369881</v>
      </c>
      <c r="AG279" s="228">
        <f t="shared" si="1825"/>
        <v>0.4934868838960122</v>
      </c>
      <c r="AH279" s="228">
        <f t="shared" si="1825"/>
        <v>0.4932062114638045</v>
      </c>
      <c r="AI279" s="228">
        <f t="shared" si="1825"/>
        <v>0.49488819638073367</v>
      </c>
      <c r="AJ279" s="228">
        <f t="shared" si="1825"/>
        <v>0.53625215146299487</v>
      </c>
      <c r="AK279" s="228">
        <f t="shared" si="1825"/>
        <v>0.5342615200789651</v>
      </c>
      <c r="AL279" s="228">
        <f t="shared" si="1825"/>
        <v>0.51829330608073587</v>
      </c>
      <c r="AM279" s="228">
        <f t="shared" ref="AM279" si="1826">+IFERROR(AM255/AM223,"n/a ")</f>
        <v>0.49923709209036765</v>
      </c>
      <c r="AN279" s="829">
        <f>+AJ279</f>
        <v>0.53625215146299487</v>
      </c>
      <c r="AO279" s="829">
        <f>+AK279+0.5%</f>
        <v>0.53926152007896511</v>
      </c>
      <c r="AP279" s="829">
        <f t="shared" ref="AP279:AQ279" si="1827">+AL279+0.5%</f>
        <v>0.52329330608073588</v>
      </c>
      <c r="AQ279" s="829">
        <f t="shared" si="1827"/>
        <v>0.5042370920903676</v>
      </c>
      <c r="AR279" s="228"/>
      <c r="AS279" s="228"/>
      <c r="AT279" s="228"/>
      <c r="AU279" s="228"/>
      <c r="AV279" s="228"/>
      <c r="AW279" s="228"/>
      <c r="AX279" s="228"/>
      <c r="AY279" s="228"/>
      <c r="AZ279" s="228"/>
      <c r="BA279" s="228"/>
      <c r="BB279" s="228">
        <f t="shared" ref="BB279:BE281" si="1828">+IFERROR(BB255/BB223,"n/a ")</f>
        <v>0.52539294187425856</v>
      </c>
      <c r="BC279" s="228">
        <f t="shared" si="1828"/>
        <v>0.50223231176693151</v>
      </c>
      <c r="BD279" s="228">
        <f t="shared" si="1828"/>
        <v>0.46883376750858913</v>
      </c>
      <c r="BE279" s="228">
        <f t="shared" si="1828"/>
        <v>0.39130863224280649</v>
      </c>
      <c r="BF279" s="228"/>
      <c r="BG279" s="228">
        <f t="shared" ref="BG279:BP279" si="1829">+IFERROR(BG255/BG223,"n/a ")</f>
        <v>0.45580024813895781</v>
      </c>
      <c r="BH279" s="228">
        <f t="shared" si="1829"/>
        <v>0.38128557080682962</v>
      </c>
      <c r="BI279" s="228">
        <f t="shared" si="1829"/>
        <v>0.3603513174404015</v>
      </c>
      <c r="BJ279" s="228">
        <f t="shared" si="1829"/>
        <v>0.39404761904761904</v>
      </c>
      <c r="BK279" s="228">
        <f t="shared" si="1829"/>
        <v>0.40355187723608776</v>
      </c>
      <c r="BL279" s="228">
        <f t="shared" si="1829"/>
        <v>0.45165538347398682</v>
      </c>
      <c r="BM279" s="228">
        <f t="shared" si="1829"/>
        <v>0.46851524524966859</v>
      </c>
      <c r="BN279" s="228">
        <f t="shared" si="1829"/>
        <v>0.496640355689003</v>
      </c>
      <c r="BO279" s="228">
        <f t="shared" si="1829"/>
        <v>0.52156237134623307</v>
      </c>
      <c r="BP279" s="228">
        <f t="shared" si="1829"/>
        <v>0.52536598088575792</v>
      </c>
      <c r="BT279"/>
      <c r="BU279"/>
      <c r="BV279"/>
      <c r="BW279"/>
      <c r="BX279"/>
      <c r="BY279"/>
      <c r="BZ279"/>
      <c r="CA279"/>
      <c r="CB279"/>
      <c r="CC279"/>
    </row>
    <row r="280" spans="2:81" s="3" customFormat="1" hidden="1" outlineLevel="1">
      <c r="B280" s="884" t="str">
        <f>+B256</f>
        <v>Intelligent Cloud</v>
      </c>
      <c r="H280" s="228">
        <f t="shared" ref="H280:AL280" si="1830">+IFERROR(H256/H224,"n/a ")</f>
        <v>0.29145481384287353</v>
      </c>
      <c r="I280" s="228">
        <f t="shared" si="1830"/>
        <v>0.3390056229653744</v>
      </c>
      <c r="J280" s="228">
        <f t="shared" si="1830"/>
        <v>0.31916790490341751</v>
      </c>
      <c r="K280" s="228">
        <f t="shared" si="1830"/>
        <v>0.37215545896190233</v>
      </c>
      <c r="L280" s="228">
        <f t="shared" si="1830"/>
        <v>0.30872580179138975</v>
      </c>
      <c r="M280" s="228">
        <f t="shared" si="1830"/>
        <v>0.36330981398332263</v>
      </c>
      <c r="N280" s="228">
        <f t="shared" si="1830"/>
        <v>0.33611955420466061</v>
      </c>
      <c r="O280" s="228">
        <f t="shared" si="1830"/>
        <v>0.40610035394545074</v>
      </c>
      <c r="P280" s="228">
        <f t="shared" si="1830"/>
        <v>0.34212676549550602</v>
      </c>
      <c r="Q280" s="228">
        <f t="shared" si="1830"/>
        <v>0.34964811260396672</v>
      </c>
      <c r="R280" s="228">
        <f t="shared" si="1830"/>
        <v>0.33246968597782156</v>
      </c>
      <c r="S280" s="228">
        <f t="shared" si="1830"/>
        <v>0.39522429988587482</v>
      </c>
      <c r="T280" s="228">
        <f t="shared" si="1830"/>
        <v>0.35859843245735362</v>
      </c>
      <c r="U280" s="228">
        <f t="shared" si="1830"/>
        <v>0.38175077934114077</v>
      </c>
      <c r="V280" s="228">
        <f t="shared" si="1830"/>
        <v>0.37130526830062699</v>
      </c>
      <c r="W280" s="228">
        <f t="shared" si="1830"/>
        <v>0.39967092962381273</v>
      </c>
      <c r="X280" s="228">
        <f t="shared" si="1830"/>
        <v>0.41752656707223162</v>
      </c>
      <c r="Y280" s="228">
        <f t="shared" si="1830"/>
        <v>0.44462708033696324</v>
      </c>
      <c r="Z280" s="228">
        <f t="shared" si="1830"/>
        <v>0.42499007805265249</v>
      </c>
      <c r="AA280" s="228">
        <f t="shared" si="1830"/>
        <v>0.44817266187050359</v>
      </c>
      <c r="AB280" s="228">
        <f t="shared" si="1830"/>
        <v>0.44576750766328699</v>
      </c>
      <c r="AC280" s="228">
        <f t="shared" si="1830"/>
        <v>0.44726360015278005</v>
      </c>
      <c r="AD280" s="228">
        <f t="shared" si="1830"/>
        <v>0.43467534512624006</v>
      </c>
      <c r="AE280" s="228">
        <f t="shared" si="1830"/>
        <v>0.41518006600028695</v>
      </c>
      <c r="AF280" s="228">
        <f t="shared" si="1830"/>
        <v>0.44172201722017218</v>
      </c>
      <c r="AG280" s="228">
        <f t="shared" si="1830"/>
        <v>0.44066347405616518</v>
      </c>
      <c r="AH280" s="228">
        <f t="shared" si="1830"/>
        <v>0.42914723065078575</v>
      </c>
      <c r="AI280" s="228">
        <f t="shared" si="1830"/>
        <v>0.43871129079314802</v>
      </c>
      <c r="AJ280" s="228">
        <f t="shared" si="1830"/>
        <v>0.48439754317985079</v>
      </c>
      <c r="AK280" s="228">
        <f t="shared" si="1830"/>
        <v>0.48149149922720247</v>
      </c>
      <c r="AL280" s="228">
        <f t="shared" si="1830"/>
        <v>0.46851130747341618</v>
      </c>
      <c r="AM280" s="228">
        <f t="shared" ref="AM280" si="1831">+IFERROR(AM256/AM224,"n/a ")</f>
        <v>0.4509556373838331</v>
      </c>
      <c r="AN280" s="829">
        <f>+AJ280</f>
        <v>0.48439754317985079</v>
      </c>
      <c r="AO280" s="829">
        <f>+AK280+1.5%</f>
        <v>0.49649149922720248</v>
      </c>
      <c r="AP280" s="829">
        <f t="shared" ref="AP280:AQ280" si="1832">+AL280+1.5%</f>
        <v>0.4835113074734162</v>
      </c>
      <c r="AQ280" s="829">
        <f t="shared" si="1832"/>
        <v>0.46595563738383311</v>
      </c>
      <c r="AR280" s="228"/>
      <c r="AS280" s="228"/>
      <c r="AT280" s="228"/>
      <c r="AU280" s="228"/>
      <c r="AV280" s="228"/>
      <c r="AW280" s="228"/>
      <c r="AX280" s="228"/>
      <c r="AY280" s="228"/>
      <c r="AZ280" s="228"/>
      <c r="BA280" s="228"/>
      <c r="BB280" s="228">
        <f t="shared" si="1828"/>
        <v>0.38858983206809294</v>
      </c>
      <c r="BC280" s="228">
        <f t="shared" si="1828"/>
        <v>0.41336706725701033</v>
      </c>
      <c r="BD280" s="228">
        <f t="shared" si="1828"/>
        <v>0.37197508186247102</v>
      </c>
      <c r="BE280" s="228">
        <f t="shared" si="1828"/>
        <v>0.33301749271137027</v>
      </c>
      <c r="BF280" s="228"/>
      <c r="BG280" s="228">
        <f t="shared" ref="BG280:BP280" si="1833">+IFERROR(BG256/BG224,"n/a ")</f>
        <v>0.37067168964411673</v>
      </c>
      <c r="BH280" s="228">
        <f t="shared" si="1833"/>
        <v>0.33301711241653592</v>
      </c>
      <c r="BI280" s="228">
        <f t="shared" si="1833"/>
        <v>0.35767714702504733</v>
      </c>
      <c r="BJ280" s="228">
        <f t="shared" si="1833"/>
        <v>0.35706040784917276</v>
      </c>
      <c r="BK280" s="228">
        <f t="shared" si="1833"/>
        <v>0.37886118347599551</v>
      </c>
      <c r="BL280" s="228">
        <f t="shared" si="1833"/>
        <v>0.43485352862849536</v>
      </c>
      <c r="BM280" s="228">
        <f t="shared" si="1833"/>
        <v>0.43482478638157634</v>
      </c>
      <c r="BN280" s="228">
        <f t="shared" si="1833"/>
        <v>0.43748268056013745</v>
      </c>
      <c r="BO280" s="228">
        <f t="shared" si="1833"/>
        <v>0.47060610087128185</v>
      </c>
      <c r="BP280" s="228">
        <f t="shared" si="1833"/>
        <v>0.48210344839860386</v>
      </c>
      <c r="BT280"/>
      <c r="BU280"/>
      <c r="BV280"/>
      <c r="BW280"/>
      <c r="BX280"/>
      <c r="BY280"/>
      <c r="BZ280"/>
      <c r="CA280"/>
      <c r="CB280"/>
      <c r="CC280"/>
    </row>
    <row r="281" spans="2:81" s="3" customFormat="1" hidden="1" outlineLevel="1">
      <c r="B281" s="884" t="str">
        <f>+B257</f>
        <v>More Personal Computing</v>
      </c>
      <c r="H281" s="228">
        <f t="shared" ref="H281:AL281" si="1834">+IFERROR(H257/H225,"n/a ")</f>
        <v>0.2163916977115487</v>
      </c>
      <c r="I281" s="228">
        <f t="shared" si="1834"/>
        <v>0.21540920178316089</v>
      </c>
      <c r="J281" s="228">
        <f t="shared" si="1834"/>
        <v>0.23190883190883191</v>
      </c>
      <c r="K281" s="228">
        <f t="shared" si="1834"/>
        <v>0.23670817541959935</v>
      </c>
      <c r="L281" s="228">
        <f t="shared" si="1834"/>
        <v>0.27351247600767753</v>
      </c>
      <c r="M281" s="228">
        <f t="shared" si="1834"/>
        <v>0.20624486442070666</v>
      </c>
      <c r="N281" s="228">
        <f t="shared" si="1834"/>
        <v>0.25441161641625493</v>
      </c>
      <c r="O281" s="228">
        <f t="shared" si="1834"/>
        <v>0.27860512441032281</v>
      </c>
      <c r="P281" s="228">
        <f t="shared" si="1834"/>
        <v>0.29248092313418944</v>
      </c>
      <c r="Q281" s="228">
        <f t="shared" si="1834"/>
        <v>0.2281228353728931</v>
      </c>
      <c r="R281" s="228">
        <f t="shared" si="1834"/>
        <v>0.29531835205992507</v>
      </c>
      <c r="S281" s="228">
        <f t="shared" si="1834"/>
        <v>0.31554215799272983</v>
      </c>
      <c r="T281" s="228">
        <f t="shared" si="1834"/>
        <v>0.3606395401059912</v>
      </c>
      <c r="U281" s="228">
        <f t="shared" si="1834"/>
        <v>0.31625160850806144</v>
      </c>
      <c r="V281" s="228">
        <f t="shared" si="1834"/>
        <v>0.32981722287896698</v>
      </c>
      <c r="W281" s="228">
        <f t="shared" si="1834"/>
        <v>0.31688613477924088</v>
      </c>
      <c r="X281" s="228">
        <f t="shared" si="1834"/>
        <v>0.40070892058401553</v>
      </c>
      <c r="Y281" s="228">
        <f t="shared" si="1834"/>
        <v>0.34545695013887051</v>
      </c>
      <c r="Z281" s="228">
        <f t="shared" si="1834"/>
        <v>0.35240871432954896</v>
      </c>
      <c r="AA281" s="228">
        <f t="shared" si="1834"/>
        <v>0.34594632968905298</v>
      </c>
      <c r="AB281" s="228">
        <f t="shared" si="1834"/>
        <v>0.38267988583445994</v>
      </c>
      <c r="AC281" s="228">
        <f t="shared" si="1834"/>
        <v>0.3642713999427426</v>
      </c>
      <c r="AD281" s="228">
        <f t="shared" si="1834"/>
        <v>0.33739669421487606</v>
      </c>
      <c r="AE281" s="228">
        <f t="shared" si="1834"/>
        <v>0.32174700473669549</v>
      </c>
      <c r="AF281" s="228">
        <f t="shared" si="1834"/>
        <v>0.3163066306630663</v>
      </c>
      <c r="AG281" s="228">
        <f t="shared" si="1834"/>
        <v>0.26000702395167519</v>
      </c>
      <c r="AH281" s="228">
        <f t="shared" si="1834"/>
        <v>0.31953242835595774</v>
      </c>
      <c r="AI281" s="228">
        <f t="shared" si="1834"/>
        <v>0.33628191298094212</v>
      </c>
      <c r="AJ281" s="228">
        <f t="shared" si="1834"/>
        <v>0.37860383433338213</v>
      </c>
      <c r="AK281" s="228">
        <f t="shared" si="1834"/>
        <v>0.32070333313598959</v>
      </c>
      <c r="AL281" s="228">
        <f t="shared" si="1834"/>
        <v>0.37644415917843388</v>
      </c>
      <c r="AM281" s="228">
        <f t="shared" ref="AM281" si="1835">+IFERROR(AM257/AM225,"n/a ")</f>
        <v>0.36885813148788926</v>
      </c>
      <c r="AN281" s="228">
        <f>+IFERROR(AN257/AN225,"n/a ")</f>
        <v>0.36760136015669032</v>
      </c>
      <c r="AO281" s="228">
        <f>+IFERROR(AO257/AO225,"n/a ")</f>
        <v>0.33158751736752318</v>
      </c>
      <c r="AP281" s="228">
        <f>+IFERROR(AP257/AP225,"n/a ")</f>
        <v>0.38568461031751033</v>
      </c>
      <c r="AQ281" s="228">
        <f>+IFERROR(AQ257/AQ225,"n/a ")</f>
        <v>0.37560806796408347</v>
      </c>
      <c r="AR281" s="228"/>
      <c r="AS281" s="228"/>
      <c r="AT281" s="228"/>
      <c r="AU281" s="228"/>
      <c r="AV281" s="228"/>
      <c r="AW281" s="228"/>
      <c r="AX281" s="228"/>
      <c r="AY281" s="228"/>
      <c r="AZ281" s="228"/>
      <c r="BA281" s="228"/>
      <c r="BB281" s="228">
        <f t="shared" si="1828"/>
        <v>0.14573582943317734</v>
      </c>
      <c r="BC281" s="228">
        <f t="shared" si="1828"/>
        <v>0.1173017152066306</v>
      </c>
      <c r="BD281" s="228">
        <f t="shared" si="1828"/>
        <v>0.15338576445565613</v>
      </c>
      <c r="BE281" s="228">
        <f t="shared" si="1828"/>
        <v>0.21375699584762592</v>
      </c>
      <c r="BF281" s="228"/>
      <c r="BG281" s="228">
        <f t="shared" ref="BG281:BP281" si="1836">+IFERROR(BG257/BG225,"n/a ")</f>
        <v>0.15300668151447661</v>
      </c>
      <c r="BH281" s="228">
        <f t="shared" si="1836"/>
        <v>0.22433450399552093</v>
      </c>
      <c r="BI281" s="228">
        <f t="shared" si="1836"/>
        <v>0.25096981739048158</v>
      </c>
      <c r="BJ281" s="228">
        <f t="shared" si="1836"/>
        <v>0.28053744146352139</v>
      </c>
      <c r="BK281" s="228">
        <f t="shared" si="1836"/>
        <v>0.3297548237342231</v>
      </c>
      <c r="BL281" s="228">
        <f t="shared" si="1836"/>
        <v>0.359362579261642</v>
      </c>
      <c r="BM281" s="228">
        <f t="shared" si="1836"/>
        <v>0.35160506244237699</v>
      </c>
      <c r="BN281" s="228">
        <f t="shared" si="1836"/>
        <v>0.3075185442321044</v>
      </c>
      <c r="BO281" s="228">
        <f t="shared" si="1836"/>
        <v>0.35979816868712922</v>
      </c>
      <c r="BP281" s="228">
        <f t="shared" si="1836"/>
        <v>0.36496306913723076</v>
      </c>
      <c r="BT281"/>
      <c r="BU281"/>
      <c r="BV281"/>
      <c r="BW281"/>
      <c r="BX281"/>
      <c r="BY281"/>
      <c r="BZ281"/>
      <c r="CA281"/>
      <c r="CB281"/>
      <c r="CC281"/>
    </row>
    <row r="282" spans="2:81" s="3" customFormat="1" ht="11.45" hidden="1" outlineLevel="1">
      <c r="B282" s="884" t="str">
        <f>+B258</f>
        <v>Corporate and Other</v>
      </c>
      <c r="H282" s="840">
        <f t="shared" ref="H282:AL282" si="1837">+IFERROR(H258/H227,"n/a ")</f>
        <v>0</v>
      </c>
      <c r="I282" s="840">
        <f t="shared" si="1837"/>
        <v>0</v>
      </c>
      <c r="J282" s="840">
        <f t="shared" si="1837"/>
        <v>0</v>
      </c>
      <c r="K282" s="840">
        <f t="shared" si="1837"/>
        <v>-1.1950790861159929E-2</v>
      </c>
      <c r="L282" s="840">
        <f t="shared" si="1837"/>
        <v>0</v>
      </c>
      <c r="M282" s="840">
        <f t="shared" si="1837"/>
        <v>0</v>
      </c>
      <c r="N282" s="840">
        <f t="shared" si="1837"/>
        <v>0</v>
      </c>
      <c r="O282" s="840">
        <f t="shared" si="1837"/>
        <v>0</v>
      </c>
      <c r="P282" s="840">
        <f t="shared" si="1837"/>
        <v>0</v>
      </c>
      <c r="Q282" s="840">
        <f t="shared" si="1837"/>
        <v>0</v>
      </c>
      <c r="R282" s="840">
        <f t="shared" si="1837"/>
        <v>0</v>
      </c>
      <c r="S282" s="840">
        <f t="shared" si="1837"/>
        <v>0</v>
      </c>
      <c r="T282" s="840">
        <f t="shared" si="1837"/>
        <v>0</v>
      </c>
      <c r="U282" s="840">
        <f t="shared" si="1837"/>
        <v>0</v>
      </c>
      <c r="V282" s="840">
        <f t="shared" si="1837"/>
        <v>0</v>
      </c>
      <c r="W282" s="840">
        <f t="shared" si="1837"/>
        <v>0</v>
      </c>
      <c r="X282" s="840">
        <f t="shared" si="1837"/>
        <v>0</v>
      </c>
      <c r="Y282" s="840">
        <f t="shared" si="1837"/>
        <v>0</v>
      </c>
      <c r="Z282" s="840">
        <f t="shared" si="1837"/>
        <v>0</v>
      </c>
      <c r="AA282" s="840">
        <f t="shared" si="1837"/>
        <v>0</v>
      </c>
      <c r="AB282" s="840">
        <f t="shared" si="1837"/>
        <v>0</v>
      </c>
      <c r="AC282" s="840">
        <f t="shared" si="1837"/>
        <v>0</v>
      </c>
      <c r="AD282" s="840">
        <f t="shared" si="1837"/>
        <v>0</v>
      </c>
      <c r="AE282" s="840">
        <f t="shared" si="1837"/>
        <v>0</v>
      </c>
      <c r="AF282" s="840">
        <f t="shared" si="1837"/>
        <v>0</v>
      </c>
      <c r="AG282" s="840">
        <f t="shared" si="1837"/>
        <v>0</v>
      </c>
      <c r="AH282" s="840">
        <f t="shared" si="1837"/>
        <v>0</v>
      </c>
      <c r="AI282" s="840">
        <f t="shared" si="1837"/>
        <v>0</v>
      </c>
      <c r="AJ282" s="840">
        <f t="shared" si="1837"/>
        <v>0</v>
      </c>
      <c r="AK282" s="840">
        <f t="shared" si="1837"/>
        <v>0</v>
      </c>
      <c r="AL282" s="840">
        <f t="shared" si="1837"/>
        <v>0</v>
      </c>
      <c r="AM282" s="840">
        <f t="shared" ref="AM282" si="1838">+IFERROR(AM258/AM227,"n/a ")</f>
        <v>0</v>
      </c>
      <c r="AN282" s="908">
        <f t="shared" ref="AN282" si="1839">+AJ282</f>
        <v>0</v>
      </c>
      <c r="AO282" s="908">
        <f t="shared" ref="AO282" si="1840">+AK282</f>
        <v>0</v>
      </c>
      <c r="AP282" s="908">
        <f t="shared" ref="AP282" si="1841">+AL282</f>
        <v>0</v>
      </c>
      <c r="AQ282" s="908">
        <f t="shared" ref="AQ282" si="1842">+AM282</f>
        <v>0</v>
      </c>
      <c r="AR282" s="840"/>
      <c r="AS282" s="840"/>
      <c r="AT282" s="840"/>
      <c r="AU282" s="840"/>
      <c r="AV282" s="840"/>
      <c r="AW282" s="840"/>
      <c r="AX282" s="840"/>
      <c r="AY282" s="840"/>
      <c r="AZ282" s="840"/>
      <c r="BA282" s="840"/>
      <c r="BB282" s="840">
        <f>+IFERROR(BB258/BB227,"n/a ")</f>
        <v>-3.8925293379245217E-3</v>
      </c>
      <c r="BC282" s="840">
        <f>+IFERROR(BC258/BC227,"n/a ")</f>
        <v>0</v>
      </c>
      <c r="BD282" s="840">
        <f>+IFERROR(BD258/BD227,"n/a ")</f>
        <v>-7.7859821847163613E-2</v>
      </c>
      <c r="BE282" s="840">
        <f>+IFERROR(BE258/BE227,"n/a ")</f>
        <v>-7.4563646470261258E-2</v>
      </c>
      <c r="BF282" s="840"/>
      <c r="BG282" s="840">
        <f t="shared" ref="BG282:BP282" si="1843">+IFERROR(BG258/BG227,"n/a ")</f>
        <v>-1.2177194637646181E-2</v>
      </c>
      <c r="BH282" s="840">
        <f t="shared" si="1843"/>
        <v>-3.1686531153244761E-3</v>
      </c>
      <c r="BI282" s="840">
        <f t="shared" si="1843"/>
        <v>0</v>
      </c>
      <c r="BJ282" s="840">
        <f t="shared" si="1843"/>
        <v>0</v>
      </c>
      <c r="BK282" s="840">
        <f t="shared" si="1843"/>
        <v>0</v>
      </c>
      <c r="BL282" s="840">
        <f t="shared" si="1843"/>
        <v>0</v>
      </c>
      <c r="BM282" s="840">
        <f t="shared" si="1843"/>
        <v>0</v>
      </c>
      <c r="BN282" s="840">
        <f t="shared" si="1843"/>
        <v>0</v>
      </c>
      <c r="BO282" s="840">
        <f t="shared" si="1843"/>
        <v>0</v>
      </c>
      <c r="BP282" s="840">
        <f t="shared" si="1843"/>
        <v>0</v>
      </c>
      <c r="BT282"/>
      <c r="BU282"/>
      <c r="BV282"/>
      <c r="BW282"/>
      <c r="BX282"/>
      <c r="BY282"/>
      <c r="BZ282"/>
      <c r="CA282"/>
      <c r="CB282"/>
      <c r="CC282"/>
    </row>
    <row r="283" spans="2:81" s="7" customFormat="1" hidden="1" outlineLevel="1">
      <c r="B283" s="887" t="str">
        <f>+B259</f>
        <v>Total operating income</v>
      </c>
      <c r="H283" s="842">
        <f t="shared" ref="H283:AQ283" si="1844">+IFERROR(H259/H227,"n/a ")</f>
        <v>0.30622947829259395</v>
      </c>
      <c r="I283" s="842">
        <f t="shared" si="1844"/>
        <v>0.30608688918144505</v>
      </c>
      <c r="J283" s="842">
        <f t="shared" si="1844"/>
        <v>0.28963467172152335</v>
      </c>
      <c r="K283" s="842">
        <f t="shared" si="1844"/>
        <v>0.30001952743604765</v>
      </c>
      <c r="L283" s="842">
        <f t="shared" si="1844"/>
        <v>0.3141250305648382</v>
      </c>
      <c r="M283" s="842">
        <f t="shared" si="1844"/>
        <v>0.30012448993706342</v>
      </c>
      <c r="N283" s="842">
        <f t="shared" si="1844"/>
        <v>0.30918378761325926</v>
      </c>
      <c r="O283" s="842">
        <f t="shared" si="1844"/>
        <v>0.3449891972743892</v>
      </c>
      <c r="P283" s="842">
        <f t="shared" si="1844"/>
        <v>0.34228441754916794</v>
      </c>
      <c r="Q283" s="842">
        <f t="shared" si="1844"/>
        <v>0.3159126605278556</v>
      </c>
      <c r="R283" s="842">
        <f t="shared" si="1844"/>
        <v>0.3382617513329626</v>
      </c>
      <c r="S283" s="842">
        <f t="shared" si="1844"/>
        <v>0.3679152949550672</v>
      </c>
      <c r="T283" s="842">
        <f t="shared" si="1844"/>
        <v>0.38378460142187265</v>
      </c>
      <c r="U283" s="842">
        <f t="shared" si="1844"/>
        <v>0.37638866309001245</v>
      </c>
      <c r="V283" s="842">
        <f t="shared" si="1844"/>
        <v>0.37049199051997372</v>
      </c>
      <c r="W283" s="842">
        <f t="shared" si="1844"/>
        <v>0.35250966266137301</v>
      </c>
      <c r="X283" s="842">
        <f t="shared" si="1844"/>
        <v>0.42730257845723207</v>
      </c>
      <c r="Y283" s="842">
        <f t="shared" si="1844"/>
        <v>0.41547497446373849</v>
      </c>
      <c r="Z283" s="842">
        <f t="shared" si="1844"/>
        <v>0.40876612477820939</v>
      </c>
      <c r="AA283" s="842">
        <f t="shared" si="1844"/>
        <v>0.41374154966198645</v>
      </c>
      <c r="AB283" s="842">
        <f t="shared" si="1844"/>
        <v>0.44658737339188381</v>
      </c>
      <c r="AC283" s="842">
        <f t="shared" si="1844"/>
        <v>0.43007655428394681</v>
      </c>
      <c r="AD283" s="842">
        <f t="shared" si="1844"/>
        <v>0.41256077795786061</v>
      </c>
      <c r="AE283" s="842">
        <f t="shared" si="1844"/>
        <v>0.3959124650535043</v>
      </c>
      <c r="AF283" s="842">
        <f t="shared" si="1844"/>
        <v>0.42931247755476637</v>
      </c>
      <c r="AG283" s="842">
        <f t="shared" si="1844"/>
        <v>0.408928924867765</v>
      </c>
      <c r="AH283" s="842">
        <f t="shared" si="1844"/>
        <v>0.42287681858599618</v>
      </c>
      <c r="AI283" s="842">
        <f t="shared" si="1844"/>
        <v>0.4316503230169606</v>
      </c>
      <c r="AJ283" s="842">
        <f t="shared" si="1844"/>
        <v>0.47587451563246458</v>
      </c>
      <c r="AK283" s="842">
        <f t="shared" si="1844"/>
        <v>0.45407932924862948</v>
      </c>
      <c r="AL283" s="842">
        <f t="shared" si="1844"/>
        <v>0.46107213294965887</v>
      </c>
      <c r="AM283" s="842">
        <f t="shared" ref="AM283" si="1845">+IFERROR(AM259/AM227,"n/a ")</f>
        <v>0.44594991271030637</v>
      </c>
      <c r="AN283" s="842">
        <f t="shared" si="1844"/>
        <v>0.4731219212935136</v>
      </c>
      <c r="AO283" s="842">
        <f t="shared" si="1844"/>
        <v>0.46907274159710288</v>
      </c>
      <c r="AP283" s="842">
        <f t="shared" si="1844"/>
        <v>0.47249770164656396</v>
      </c>
      <c r="AQ283" s="842">
        <f t="shared" si="1844"/>
        <v>0.45679987483601542</v>
      </c>
      <c r="AR283" s="842"/>
      <c r="AS283" s="842"/>
      <c r="AT283" s="842"/>
      <c r="AU283" s="842"/>
      <c r="AV283" s="842"/>
      <c r="AW283" s="842"/>
      <c r="AX283" s="842"/>
      <c r="AY283" s="842"/>
      <c r="AZ283" s="842"/>
      <c r="BA283" s="842"/>
      <c r="BB283" s="842">
        <f>+IFERROR(BB259/BB227,"n/a ")</f>
        <v>0.32114518673776099</v>
      </c>
      <c r="BC283" s="842">
        <f>+IFERROR(BC259/BC227,"n/a ")</f>
        <v>0.30104723231459712</v>
      </c>
      <c r="BD283" s="842">
        <f>+IFERROR(BD259/BD227,"n/a ")</f>
        <v>0.24955461790904829</v>
      </c>
      <c r="BE283" s="842">
        <f>+IFERROR(BE259/BE227,"n/a ")</f>
        <v>0.25160644802668147</v>
      </c>
      <c r="BF283" s="842"/>
      <c r="BG283" s="842">
        <f t="shared" ref="BG283:BP283" si="1846">+IFERROR(BG259/BG227,"n/a ")</f>
        <v>0.28608728086534874</v>
      </c>
      <c r="BH283" s="842">
        <f t="shared" si="1846"/>
        <v>0.30055606755651282</v>
      </c>
      <c r="BI283" s="842">
        <f t="shared" si="1846"/>
        <v>0.31766944545125048</v>
      </c>
      <c r="BJ283" s="842">
        <f t="shared" si="1846"/>
        <v>0.3413698020549415</v>
      </c>
      <c r="BK283" s="842">
        <f t="shared" si="1846"/>
        <v>0.37030381428521486</v>
      </c>
      <c r="BL283" s="842">
        <f t="shared" si="1846"/>
        <v>0.41594878872971303</v>
      </c>
      <c r="BM283" s="842">
        <f t="shared" si="1846"/>
        <v>0.4205527815604983</v>
      </c>
      <c r="BN283" s="842">
        <f t="shared" si="1846"/>
        <v>0.42325354033456813</v>
      </c>
      <c r="BO283" s="842">
        <f t="shared" si="1846"/>
        <v>0.45872259527908554</v>
      </c>
      <c r="BP283" s="842">
        <f t="shared" si="1846"/>
        <v>0.4676205978626658</v>
      </c>
      <c r="BT283"/>
      <c r="BU283"/>
      <c r="BV283"/>
      <c r="BW283"/>
      <c r="BX283"/>
      <c r="BY283"/>
      <c r="BZ283"/>
      <c r="CA283"/>
      <c r="CB283"/>
      <c r="CC283"/>
    </row>
    <row r="284" spans="2:81" hidden="1" outlineLevel="1">
      <c r="AC284" s="909"/>
      <c r="AD284" s="909"/>
      <c r="AE284" s="909"/>
      <c r="AF284" s="909"/>
      <c r="AG284" s="909"/>
      <c r="AH284" s="909"/>
      <c r="AI284" s="909"/>
      <c r="AJ284" s="909"/>
      <c r="AK284" s="909"/>
      <c r="AL284" s="909"/>
      <c r="AM284" s="909"/>
      <c r="AN284" s="909"/>
      <c r="AO284" s="909"/>
      <c r="AP284" s="909"/>
      <c r="AQ284" s="909"/>
    </row>
    <row r="285" spans="2:81" ht="10.5" collapsed="1">
      <c r="B285" s="5" t="s">
        <v>362</v>
      </c>
      <c r="C285" s="4"/>
      <c r="AG285" s="838"/>
      <c r="AH285" s="838"/>
      <c r="AI285" s="838"/>
      <c r="AJ285" s="838"/>
      <c r="AK285" s="838"/>
      <c r="AL285" s="838"/>
      <c r="AM285" s="838"/>
      <c r="AN285" s="838"/>
      <c r="AO285" s="838"/>
      <c r="AP285" s="838"/>
      <c r="AQ285" s="838"/>
    </row>
    <row r="286" spans="2:81">
      <c r="B286" s="19"/>
    </row>
    <row r="287" spans="2:81" ht="10.5">
      <c r="B287" s="45" t="s">
        <v>86</v>
      </c>
    </row>
    <row r="288" spans="2:81">
      <c r="B288" t="s">
        <v>363</v>
      </c>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f t="shared" ref="AF288:AM288" si="1847">AF577</f>
        <v>9460</v>
      </c>
      <c r="AG288" s="8">
        <f t="shared" si="1847"/>
        <v>10293</v>
      </c>
      <c r="AH288" s="8">
        <f t="shared" si="1847"/>
        <v>10677.868114218852</v>
      </c>
      <c r="AI288" s="8">
        <f t="shared" si="1847"/>
        <v>11584.312794341437</v>
      </c>
      <c r="AJ288" s="8">
        <f t="shared" si="1847"/>
        <v>12392.6</v>
      </c>
      <c r="AK288" s="8">
        <f t="shared" si="1847"/>
        <v>13689.69</v>
      </c>
      <c r="AL288" s="8">
        <f t="shared" si="1847"/>
        <v>14415.121954195452</v>
      </c>
      <c r="AM288" s="8">
        <f t="shared" si="1847"/>
        <v>15522.979144417526</v>
      </c>
      <c r="AN288" s="8">
        <f>AN577</f>
        <v>16482.158000000003</v>
      </c>
      <c r="AO288" s="8"/>
      <c r="AP288" s="8"/>
      <c r="AQ288" s="8"/>
      <c r="AR288" s="856"/>
      <c r="AS288" s="856"/>
      <c r="AT288" s="856"/>
      <c r="AU288" s="856"/>
      <c r="AV288" s="856"/>
      <c r="AW288" s="856"/>
      <c r="AX288" s="856"/>
      <c r="AY288" s="856"/>
      <c r="AZ288" s="856"/>
      <c r="BA288" s="856"/>
      <c r="BB288" s="856"/>
      <c r="BC288" s="856"/>
      <c r="BD288" s="856"/>
      <c r="BE288" s="856"/>
      <c r="BF288" s="856"/>
      <c r="BG288" s="856"/>
      <c r="BH288" s="856"/>
      <c r="BI288" s="8"/>
      <c r="BJ288" s="8"/>
      <c r="BK288" s="880"/>
      <c r="BL288" s="880"/>
      <c r="BM288" s="8"/>
      <c r="BN288" s="8">
        <f t="shared" ref="BN288" si="1848">BN577</f>
        <v>42015.180908560287</v>
      </c>
      <c r="BO288" s="8">
        <f>BO577</f>
        <v>56020.391098612985</v>
      </c>
      <c r="BP288" s="8"/>
      <c r="BR288" s="8"/>
    </row>
    <row r="289" spans="2:81" s="852" customFormat="1">
      <c r="B289" t="s">
        <v>364</v>
      </c>
      <c r="H289" s="853"/>
      <c r="I289" s="853"/>
      <c r="J289" s="853"/>
      <c r="K289" s="853"/>
      <c r="L289" s="853"/>
      <c r="M289" s="853"/>
      <c r="N289" s="853"/>
      <c r="O289" s="853"/>
      <c r="P289" s="853"/>
      <c r="Q289" s="853"/>
      <c r="R289" s="853"/>
      <c r="S289" s="853"/>
      <c r="T289" s="853"/>
      <c r="U289" s="853"/>
      <c r="V289" s="853"/>
      <c r="W289" s="853"/>
      <c r="X289" s="853"/>
      <c r="Y289" s="853"/>
      <c r="Z289" s="853"/>
      <c r="AA289" s="853"/>
      <c r="AB289" s="853"/>
      <c r="AC289" s="853"/>
      <c r="AD289" s="853"/>
      <c r="AE289" s="853"/>
      <c r="AF289" s="853">
        <f>AF290-AF288</f>
        <v>16240</v>
      </c>
      <c r="AG289" s="853">
        <f t="shared" ref="AG289:AN289" si="1849">AG290-AG288</f>
        <v>16807</v>
      </c>
      <c r="AH289" s="853">
        <f t="shared" si="1849"/>
        <v>17822.131885781149</v>
      </c>
      <c r="AI289" s="853">
        <f t="shared" si="1849"/>
        <v>18715.687205658563</v>
      </c>
      <c r="AJ289" s="853">
        <f t="shared" si="1849"/>
        <v>19407.400000000001</v>
      </c>
      <c r="AK289" s="853">
        <f t="shared" si="1849"/>
        <v>20010.309999999998</v>
      </c>
      <c r="AL289" s="853">
        <f t="shared" si="1849"/>
        <v>20684.878045804548</v>
      </c>
      <c r="AM289" s="853">
        <f t="shared" si="1849"/>
        <v>21277.020855582472</v>
      </c>
      <c r="AN289" s="853">
        <f t="shared" si="1849"/>
        <v>22417.841999999997</v>
      </c>
      <c r="AO289" s="853"/>
      <c r="AP289" s="853"/>
      <c r="AQ289" s="853"/>
      <c r="AR289" s="1001"/>
      <c r="AS289" s="1001"/>
      <c r="AT289" s="1001"/>
      <c r="AU289" s="1001"/>
      <c r="AV289" s="1001"/>
      <c r="AW289" s="1001"/>
      <c r="AX289" s="1001"/>
      <c r="AY289" s="1001"/>
      <c r="AZ289" s="1001"/>
      <c r="BA289" s="1001"/>
      <c r="BB289" s="1001"/>
      <c r="BC289" s="1001"/>
      <c r="BD289" s="1001"/>
      <c r="BE289" s="1001"/>
      <c r="BF289" s="1001"/>
      <c r="BG289" s="1001"/>
      <c r="BH289" s="1001"/>
      <c r="BI289" s="853"/>
      <c r="BJ289" s="853"/>
      <c r="BK289" s="1000"/>
      <c r="BL289" s="1000"/>
      <c r="BM289" s="853"/>
      <c r="BN289" s="853">
        <f t="shared" ref="BN289" si="1850">BN290-BN288</f>
        <v>69584.819091439713</v>
      </c>
      <c r="BO289" s="853">
        <f t="shared" ref="BO289" si="1851">BO290-BO288</f>
        <v>81379.608901387022</v>
      </c>
      <c r="BP289" s="853"/>
      <c r="BR289" s="853"/>
      <c r="BT289"/>
      <c r="BU289"/>
      <c r="BV289"/>
      <c r="BW289"/>
      <c r="BX289"/>
      <c r="BY289"/>
      <c r="BZ289"/>
      <c r="CA289"/>
      <c r="CB289"/>
      <c r="CC289"/>
    </row>
    <row r="290" spans="2:81" ht="13.5">
      <c r="B290" s="12" t="s">
        <v>365</v>
      </c>
      <c r="H290" s="903"/>
      <c r="I290" s="821"/>
      <c r="J290" s="31"/>
      <c r="K290" s="31"/>
      <c r="L290" s="879">
        <v>5800</v>
      </c>
      <c r="M290" s="879">
        <v>6100</v>
      </c>
      <c r="N290" s="879">
        <v>6800</v>
      </c>
      <c r="O290" s="879">
        <v>7900</v>
      </c>
      <c r="P290" s="879">
        <v>8500</v>
      </c>
      <c r="Q290" s="879">
        <v>9000</v>
      </c>
      <c r="R290" s="879">
        <v>9600</v>
      </c>
      <c r="S290" s="879">
        <v>11000</v>
      </c>
      <c r="T290" s="879">
        <v>11600</v>
      </c>
      <c r="U290" s="879">
        <v>12500</v>
      </c>
      <c r="V290" s="879">
        <v>13300</v>
      </c>
      <c r="W290" s="879">
        <v>14300</v>
      </c>
      <c r="X290" s="879">
        <v>15200</v>
      </c>
      <c r="Y290" s="879">
        <v>16700</v>
      </c>
      <c r="Z290" s="879">
        <v>17700</v>
      </c>
      <c r="AA290" s="879">
        <v>19500</v>
      </c>
      <c r="AB290" s="879">
        <v>20700</v>
      </c>
      <c r="AC290" s="879">
        <v>22100</v>
      </c>
      <c r="AD290" s="879">
        <v>23400</v>
      </c>
      <c r="AE290" s="879">
        <v>25100</v>
      </c>
      <c r="AF290" s="879">
        <v>25700</v>
      </c>
      <c r="AG290" s="879">
        <v>27100</v>
      </c>
      <c r="AH290" s="879">
        <v>28500</v>
      </c>
      <c r="AI290" s="879">
        <v>30300</v>
      </c>
      <c r="AJ290" s="879">
        <v>31800</v>
      </c>
      <c r="AK290" s="879">
        <v>33700</v>
      </c>
      <c r="AL290" s="879">
        <v>35100</v>
      </c>
      <c r="AM290" s="879">
        <v>36800</v>
      </c>
      <c r="AN290" s="879">
        <v>38900</v>
      </c>
      <c r="AO290" s="879"/>
      <c r="AP290" s="879"/>
      <c r="AQ290" s="879"/>
      <c r="BB290" s="879">
        <v>2800</v>
      </c>
      <c r="BC290" s="879">
        <v>5800</v>
      </c>
      <c r="BD290" s="879">
        <v>9500</v>
      </c>
      <c r="BE290" s="879">
        <v>14900</v>
      </c>
      <c r="BF290" s="879"/>
      <c r="BG290" s="856"/>
      <c r="BH290" s="856"/>
      <c r="BI290" s="880">
        <f>+SUM(L290:O290)</f>
        <v>26600</v>
      </c>
      <c r="BJ290" s="880">
        <v>38100</v>
      </c>
      <c r="BK290" s="880">
        <f>SUM(T290:W290)</f>
        <v>51700</v>
      </c>
      <c r="BL290" s="880">
        <f>SUM(X290:AA290)</f>
        <v>69100</v>
      </c>
      <c r="BM290" s="880">
        <f>SUM(AB290:AE290)</f>
        <v>91300</v>
      </c>
      <c r="BN290" s="8">
        <f>SUM(AF290:AI290)</f>
        <v>111600</v>
      </c>
      <c r="BO290" s="8">
        <f>SUM(AJ290:AM290)</f>
        <v>137400</v>
      </c>
      <c r="BP290" s="8"/>
      <c r="BQ290" s="8"/>
      <c r="BR290" s="8"/>
    </row>
    <row r="291" spans="2:81" s="852" customFormat="1">
      <c r="B291" t="s">
        <v>366</v>
      </c>
      <c r="H291" s="853"/>
      <c r="I291" s="853"/>
      <c r="J291" s="853"/>
      <c r="K291" s="853"/>
      <c r="L291" s="853">
        <f t="shared" ref="L291:O291" si="1852">+L292-L290</f>
        <v>18738</v>
      </c>
      <c r="M291" s="853">
        <f t="shared" si="1852"/>
        <v>22818</v>
      </c>
      <c r="N291" s="853">
        <f t="shared" si="1852"/>
        <v>20019</v>
      </c>
      <c r="O291" s="853">
        <f t="shared" si="1852"/>
        <v>22185</v>
      </c>
      <c r="P291" s="853">
        <f>+P292-P290</f>
        <v>20584</v>
      </c>
      <c r="Q291" s="853">
        <f t="shared" ref="Q291:AF291" si="1853">+Q292-Q290</f>
        <v>23471</v>
      </c>
      <c r="R291" s="853">
        <f t="shared" si="1853"/>
        <v>20971</v>
      </c>
      <c r="S291" s="853">
        <f t="shared" si="1853"/>
        <v>22717</v>
      </c>
      <c r="T291" s="853">
        <f t="shared" si="1853"/>
        <v>21455</v>
      </c>
      <c r="U291" s="853">
        <f t="shared" si="1853"/>
        <v>24406</v>
      </c>
      <c r="V291" s="853">
        <f t="shared" si="1853"/>
        <v>21721</v>
      </c>
      <c r="W291" s="853">
        <f t="shared" si="1853"/>
        <v>23733</v>
      </c>
      <c r="X291" s="853">
        <f t="shared" si="1853"/>
        <v>21954</v>
      </c>
      <c r="Y291" s="853">
        <f t="shared" si="1853"/>
        <v>26376</v>
      </c>
      <c r="Z291" s="853">
        <f t="shared" si="1853"/>
        <v>24006</v>
      </c>
      <c r="AA291" s="853">
        <f t="shared" si="1853"/>
        <v>26652</v>
      </c>
      <c r="AB291" s="853">
        <f t="shared" si="1853"/>
        <v>24617</v>
      </c>
      <c r="AC291" s="853">
        <f t="shared" si="1853"/>
        <v>29628</v>
      </c>
      <c r="AD291" s="853">
        <f t="shared" si="1853"/>
        <v>25960</v>
      </c>
      <c r="AE291" s="853">
        <f t="shared" si="1853"/>
        <v>26765</v>
      </c>
      <c r="AF291" s="853">
        <f t="shared" si="1853"/>
        <v>24422</v>
      </c>
      <c r="AG291" s="853">
        <f t="shared" ref="AG291:AH291" si="1854">+AG292-AG290</f>
        <v>25647</v>
      </c>
      <c r="AH291" s="853">
        <f t="shared" si="1854"/>
        <v>24357</v>
      </c>
      <c r="AI291" s="853">
        <f t="shared" ref="AI291:AJ291" si="1855">+AI292-AI290</f>
        <v>25889</v>
      </c>
      <c r="AJ291" s="853">
        <f t="shared" si="1855"/>
        <v>24717</v>
      </c>
      <c r="AK291" s="853">
        <f t="shared" ref="AK291:AL291" si="1856">+AK292-AK290</f>
        <v>28320</v>
      </c>
      <c r="AL291" s="853">
        <f t="shared" si="1856"/>
        <v>26758</v>
      </c>
      <c r="AM291" s="853">
        <f t="shared" ref="AM291:AN291" si="1857">+AM292-AM290</f>
        <v>27927</v>
      </c>
      <c r="AN291" s="853">
        <f t="shared" si="1857"/>
        <v>25983.351934870312</v>
      </c>
      <c r="AO291" s="853"/>
      <c r="AP291" s="853"/>
      <c r="AQ291" s="853"/>
      <c r="AR291" s="1001"/>
      <c r="AS291" s="1001"/>
      <c r="AT291" s="1001"/>
      <c r="AU291" s="1001"/>
      <c r="AV291" s="1001"/>
      <c r="AW291" s="1001"/>
      <c r="AX291" s="1001"/>
      <c r="AY291" s="1001"/>
      <c r="AZ291" s="1001"/>
      <c r="BA291" s="1001"/>
      <c r="BB291" s="1001">
        <f t="shared" ref="BB291" si="1858">+BB292-BB290</f>
        <v>84033</v>
      </c>
      <c r="BC291" s="1001">
        <f t="shared" ref="BC291" si="1859">+BC292-BC290</f>
        <v>87780</v>
      </c>
      <c r="BD291" s="1001">
        <f t="shared" ref="BD291" si="1860">+BD292-BD290</f>
        <v>75820</v>
      </c>
      <c r="BE291" s="1001">
        <f t="shared" ref="BE291" si="1861">+BE292-BE290</f>
        <v>75050</v>
      </c>
      <c r="BF291" s="1001"/>
      <c r="BG291" s="1001"/>
      <c r="BH291" s="1001"/>
      <c r="BI291" s="853">
        <f>+BI292-BI290</f>
        <v>83760</v>
      </c>
      <c r="BJ291" s="853">
        <f t="shared" ref="BJ291:BM291" si="1862">+BJ292-BJ290</f>
        <v>87743</v>
      </c>
      <c r="BK291" s="1000">
        <f t="shared" si="1862"/>
        <v>91315</v>
      </c>
      <c r="BL291" s="1000">
        <f t="shared" si="1862"/>
        <v>98988</v>
      </c>
      <c r="BM291" s="1000">
        <f t="shared" si="1862"/>
        <v>106970</v>
      </c>
      <c r="BN291" s="853">
        <f t="shared" ref="BN291:BN292" si="1863">SUM(AF291:AI291)</f>
        <v>100315</v>
      </c>
      <c r="BO291" s="853">
        <f t="shared" ref="BO291:BO292" si="1864">SUM(AJ291:AM291)</f>
        <v>107722</v>
      </c>
      <c r="BP291" s="853"/>
      <c r="BR291" s="853"/>
      <c r="BT291"/>
      <c r="BU291"/>
      <c r="BV291"/>
      <c r="BW291"/>
      <c r="BX291"/>
      <c r="BY291"/>
      <c r="BZ291"/>
      <c r="CA291"/>
      <c r="CB291"/>
      <c r="CC291"/>
    </row>
    <row r="292" spans="2:81" s="1" customFormat="1" ht="10.5">
      <c r="B292" s="837" t="s">
        <v>346</v>
      </c>
      <c r="D292" s="838"/>
      <c r="E292" s="838"/>
      <c r="F292" s="838"/>
      <c r="G292" s="838"/>
      <c r="H292" s="838"/>
      <c r="I292" s="838"/>
      <c r="J292" s="838"/>
      <c r="K292" s="838"/>
      <c r="L292" s="838">
        <f t="shared" ref="L292:AL292" si="1865">+L227</f>
        <v>24538</v>
      </c>
      <c r="M292" s="838">
        <f t="shared" si="1865"/>
        <v>28918</v>
      </c>
      <c r="N292" s="838">
        <f t="shared" si="1865"/>
        <v>26819</v>
      </c>
      <c r="O292" s="838">
        <f t="shared" si="1865"/>
        <v>30085</v>
      </c>
      <c r="P292" s="838">
        <f t="shared" si="1865"/>
        <v>29084</v>
      </c>
      <c r="Q292" s="838">
        <f t="shared" si="1865"/>
        <v>32471</v>
      </c>
      <c r="R292" s="838">
        <f t="shared" si="1865"/>
        <v>30571</v>
      </c>
      <c r="S292" s="838">
        <f t="shared" si="1865"/>
        <v>33717</v>
      </c>
      <c r="T292" s="838">
        <f t="shared" si="1865"/>
        <v>33055</v>
      </c>
      <c r="U292" s="838">
        <f t="shared" si="1865"/>
        <v>36906</v>
      </c>
      <c r="V292" s="838">
        <f t="shared" si="1865"/>
        <v>35021</v>
      </c>
      <c r="W292" s="838">
        <f t="shared" si="1865"/>
        <v>38033</v>
      </c>
      <c r="X292" s="838">
        <f t="shared" si="1865"/>
        <v>37154</v>
      </c>
      <c r="Y292" s="838">
        <f t="shared" si="1865"/>
        <v>43076</v>
      </c>
      <c r="Z292" s="838">
        <f t="shared" si="1865"/>
        <v>41706</v>
      </c>
      <c r="AA292" s="838">
        <f t="shared" si="1865"/>
        <v>46152</v>
      </c>
      <c r="AB292" s="838">
        <f t="shared" si="1865"/>
        <v>45317</v>
      </c>
      <c r="AC292" s="838">
        <f t="shared" si="1865"/>
        <v>51728</v>
      </c>
      <c r="AD292" s="838">
        <f t="shared" si="1865"/>
        <v>49360</v>
      </c>
      <c r="AE292" s="838">
        <f t="shared" si="1865"/>
        <v>51865</v>
      </c>
      <c r="AF292" s="838">
        <f t="shared" si="1865"/>
        <v>50122</v>
      </c>
      <c r="AG292" s="838">
        <f t="shared" si="1865"/>
        <v>52747</v>
      </c>
      <c r="AH292" s="838">
        <f t="shared" si="1865"/>
        <v>52857</v>
      </c>
      <c r="AI292" s="838">
        <f t="shared" si="1865"/>
        <v>56189</v>
      </c>
      <c r="AJ292" s="838">
        <f t="shared" si="1865"/>
        <v>56517</v>
      </c>
      <c r="AK292" s="838">
        <f t="shared" si="1865"/>
        <v>62020</v>
      </c>
      <c r="AL292" s="838">
        <f t="shared" si="1865"/>
        <v>61858</v>
      </c>
      <c r="AM292" s="838">
        <f t="shared" ref="AM292:AN292" si="1866">+AM227</f>
        <v>64727</v>
      </c>
      <c r="AN292" s="838">
        <f t="shared" si="1866"/>
        <v>64883.351934870312</v>
      </c>
      <c r="AO292" s="838"/>
      <c r="AP292" s="838"/>
      <c r="AQ292" s="838"/>
      <c r="AR292" s="838"/>
      <c r="AS292" s="838"/>
      <c r="AT292" s="838"/>
      <c r="AU292" s="838"/>
      <c r="AV292" s="838"/>
      <c r="AW292" s="838"/>
      <c r="AX292" s="838"/>
      <c r="AY292" s="838"/>
      <c r="AZ292" s="838"/>
      <c r="BA292" s="838"/>
      <c r="BB292" s="838">
        <f>+BB227</f>
        <v>86833</v>
      </c>
      <c r="BC292" s="838">
        <f>+BC227</f>
        <v>93580</v>
      </c>
      <c r="BD292" s="838">
        <f>+BD227</f>
        <v>85320</v>
      </c>
      <c r="BE292" s="838">
        <f>+BE227</f>
        <v>89950</v>
      </c>
      <c r="BF292" s="838"/>
      <c r="BG292" s="838">
        <f t="shared" ref="BG292:BM292" si="1867">+BG227</f>
        <v>91154</v>
      </c>
      <c r="BH292" s="838">
        <f t="shared" si="1867"/>
        <v>96571</v>
      </c>
      <c r="BI292" s="838">
        <f t="shared" si="1867"/>
        <v>110360</v>
      </c>
      <c r="BJ292" s="838">
        <f t="shared" si="1867"/>
        <v>125843</v>
      </c>
      <c r="BK292" s="838">
        <f t="shared" si="1867"/>
        <v>143015</v>
      </c>
      <c r="BL292" s="838">
        <f t="shared" si="1867"/>
        <v>168088</v>
      </c>
      <c r="BM292" s="838">
        <f t="shared" si="1867"/>
        <v>198270</v>
      </c>
      <c r="BN292" s="838">
        <f t="shared" si="1863"/>
        <v>211915</v>
      </c>
      <c r="BO292" s="838">
        <f t="shared" si="1864"/>
        <v>245122</v>
      </c>
      <c r="BP292" s="838"/>
      <c r="BR292" s="838"/>
      <c r="BT292"/>
      <c r="BU292"/>
      <c r="BV292"/>
      <c r="BW292"/>
      <c r="BX292"/>
      <c r="BY292"/>
      <c r="BZ292"/>
      <c r="CA292"/>
      <c r="CB292"/>
      <c r="CC292"/>
    </row>
    <row r="293" spans="2:81">
      <c r="B293" s="19"/>
    </row>
    <row r="294" spans="2:81" s="3" customFormat="1">
      <c r="B294" s="883" t="s">
        <v>113</v>
      </c>
      <c r="BT294"/>
      <c r="BU294"/>
      <c r="BV294"/>
      <c r="BW294"/>
      <c r="BX294"/>
      <c r="BY294"/>
      <c r="BZ294"/>
      <c r="CA294"/>
      <c r="CB294"/>
      <c r="CC294"/>
    </row>
    <row r="295" spans="2:81" s="3" customFormat="1">
      <c r="B295" s="884" t="str">
        <f t="shared" ref="B295:B296" si="1868">+B288</f>
        <v>Azure</v>
      </c>
      <c r="AJ295" s="228">
        <f t="shared" ref="AJ295:AN299" si="1869">+IFERROR(AJ288/AF288-1,"NA ")</f>
        <v>0.31000000000000005</v>
      </c>
      <c r="AK295" s="228">
        <f t="shared" si="1869"/>
        <v>0.33000000000000007</v>
      </c>
      <c r="AL295" s="228">
        <f t="shared" si="1869"/>
        <v>0.35000000000000009</v>
      </c>
      <c r="AM295" s="228">
        <f t="shared" si="1869"/>
        <v>0.34000000000000008</v>
      </c>
      <c r="AN295" s="228">
        <f t="shared" si="1869"/>
        <v>0.33000000000000029</v>
      </c>
      <c r="BO295" s="228">
        <f>+IFERROR(BO288/BN288-1,"NA ")</f>
        <v>0.33333690078671641</v>
      </c>
      <c r="BT295"/>
      <c r="BU295"/>
      <c r="BV295"/>
      <c r="BW295"/>
      <c r="BX295"/>
      <c r="BY295"/>
      <c r="BZ295"/>
      <c r="CA295"/>
      <c r="CB295"/>
      <c r="CC295"/>
    </row>
    <row r="296" spans="2:81" s="3" customFormat="1" ht="11.45">
      <c r="B296" s="884" t="str">
        <f t="shared" si="1868"/>
        <v>Other Cloud</v>
      </c>
      <c r="AJ296" s="840">
        <f t="shared" si="1869"/>
        <v>0.19503694581280806</v>
      </c>
      <c r="AK296" s="840">
        <f t="shared" si="1869"/>
        <v>0.19059380020229644</v>
      </c>
      <c r="AL296" s="840">
        <f t="shared" si="1869"/>
        <v>0.16062871593422301</v>
      </c>
      <c r="AM296" s="840">
        <f t="shared" si="1869"/>
        <v>0.13685490795921762</v>
      </c>
      <c r="AN296" s="840">
        <f t="shared" si="1869"/>
        <v>0.15511825386192868</v>
      </c>
      <c r="BO296" s="840">
        <f>+IFERROR(BO289/BN289-1,"NA ")</f>
        <v>0.16950234209056525</v>
      </c>
      <c r="BT296"/>
      <c r="BU296"/>
      <c r="BV296"/>
      <c r="BW296"/>
      <c r="BX296"/>
      <c r="BY296"/>
      <c r="BZ296"/>
      <c r="CA296"/>
      <c r="CB296"/>
      <c r="CC296"/>
    </row>
    <row r="297" spans="2:81" s="3" customFormat="1">
      <c r="B297" s="1234" t="str">
        <f>+B290</f>
        <v>Cloud</v>
      </c>
      <c r="L297" s="228"/>
      <c r="M297" s="228"/>
      <c r="N297" s="228"/>
      <c r="O297" s="228"/>
      <c r="P297" s="228">
        <f t="shared" ref="P297:Y299" si="1870">+IFERROR(P290/L290-1,"NA ")</f>
        <v>0.46551724137931028</v>
      </c>
      <c r="Q297" s="228">
        <f t="shared" si="1870"/>
        <v>0.47540983606557385</v>
      </c>
      <c r="R297" s="228">
        <f t="shared" si="1870"/>
        <v>0.41176470588235303</v>
      </c>
      <c r="S297" s="228">
        <f t="shared" si="1870"/>
        <v>0.39240506329113933</v>
      </c>
      <c r="T297" s="228">
        <f t="shared" si="1870"/>
        <v>0.36470588235294121</v>
      </c>
      <c r="U297" s="228">
        <f t="shared" si="1870"/>
        <v>0.38888888888888884</v>
      </c>
      <c r="V297" s="228">
        <f t="shared" si="1870"/>
        <v>0.38541666666666674</v>
      </c>
      <c r="W297" s="228">
        <f t="shared" si="1870"/>
        <v>0.30000000000000004</v>
      </c>
      <c r="X297" s="228">
        <f t="shared" si="1870"/>
        <v>0.31034482758620685</v>
      </c>
      <c r="Y297" s="228">
        <f t="shared" si="1870"/>
        <v>0.33600000000000008</v>
      </c>
      <c r="Z297" s="228">
        <f t="shared" ref="Z297:AI299" si="1871">+IFERROR(Z290/V290-1,"NA ")</f>
        <v>0.33082706766917291</v>
      </c>
      <c r="AA297" s="228">
        <f t="shared" si="1871"/>
        <v>0.36363636363636354</v>
      </c>
      <c r="AB297" s="228">
        <f t="shared" si="1871"/>
        <v>0.36184210526315796</v>
      </c>
      <c r="AC297" s="228">
        <f t="shared" si="1871"/>
        <v>0.32335329341317376</v>
      </c>
      <c r="AD297" s="228">
        <f t="shared" si="1871"/>
        <v>0.32203389830508478</v>
      </c>
      <c r="AE297" s="228">
        <f t="shared" si="1871"/>
        <v>0.28717948717948727</v>
      </c>
      <c r="AF297" s="228">
        <f t="shared" si="1871"/>
        <v>0.24154589371980673</v>
      </c>
      <c r="AG297" s="228">
        <f t="shared" si="1871"/>
        <v>0.2262443438914028</v>
      </c>
      <c r="AH297" s="228">
        <f t="shared" si="1871"/>
        <v>0.21794871794871784</v>
      </c>
      <c r="AI297" s="228">
        <f t="shared" si="1871"/>
        <v>0.20717131474103589</v>
      </c>
      <c r="AJ297" s="228">
        <f t="shared" si="1869"/>
        <v>0.23735408560311289</v>
      </c>
      <c r="AK297" s="228">
        <f t="shared" si="1869"/>
        <v>0.24354243542435428</v>
      </c>
      <c r="AL297" s="228">
        <f t="shared" si="1869"/>
        <v>0.23157894736842111</v>
      </c>
      <c r="AM297" s="228">
        <f t="shared" si="1869"/>
        <v>0.21452145214521456</v>
      </c>
      <c r="AN297" s="228">
        <f t="shared" si="1869"/>
        <v>0.22327044025157239</v>
      </c>
      <c r="AO297" s="228"/>
      <c r="AP297" s="228"/>
      <c r="AQ297" s="228"/>
      <c r="AR297" s="228"/>
      <c r="AS297" s="228"/>
      <c r="AT297" s="228"/>
      <c r="AU297" s="228"/>
      <c r="AV297" s="228"/>
      <c r="AW297" s="228"/>
      <c r="AX297" s="228"/>
      <c r="AY297" s="228"/>
      <c r="AZ297" s="228"/>
      <c r="BA297" s="228"/>
      <c r="BB297" s="228"/>
      <c r="BC297" s="228">
        <f t="shared" ref="BC297:BE297" si="1872">+IFERROR(BC290/BB290-1,"NA ")</f>
        <v>1.0714285714285716</v>
      </c>
      <c r="BD297" s="228">
        <f t="shared" si="1872"/>
        <v>0.63793103448275867</v>
      </c>
      <c r="BE297" s="228">
        <f t="shared" si="1872"/>
        <v>0.56842105263157894</v>
      </c>
      <c r="BF297" s="228"/>
      <c r="BG297" s="228"/>
      <c r="BH297" s="228"/>
      <c r="BI297" s="228" t="str">
        <f t="shared" ref="BI297:BK297" si="1873">+IFERROR(BI290/BH290-1,"NA ")</f>
        <v xml:space="preserve">NA </v>
      </c>
      <c r="BJ297" s="228">
        <f t="shared" si="1873"/>
        <v>0.43233082706766912</v>
      </c>
      <c r="BK297" s="228">
        <f t="shared" si="1873"/>
        <v>0.35695538057742793</v>
      </c>
      <c r="BL297" s="228">
        <f t="shared" ref="BL297:BM297" si="1874">+IFERROR(BL290/BK290-1,"NA ")</f>
        <v>0.33655705996131524</v>
      </c>
      <c r="BM297" s="228">
        <f t="shared" si="1874"/>
        <v>0.32127351664254711</v>
      </c>
      <c r="BN297" s="228">
        <f>+IFERROR(BN290/BM290-1,"NA ")</f>
        <v>0.22234392113910184</v>
      </c>
      <c r="BO297" s="228">
        <f>+IFERROR(BO290/BN290-1,"NA ")</f>
        <v>0.23118279569892475</v>
      </c>
      <c r="BP297" s="228"/>
      <c r="BT297"/>
      <c r="BU297"/>
      <c r="BV297"/>
      <c r="BW297"/>
      <c r="BX297"/>
      <c r="BY297"/>
      <c r="BZ297"/>
      <c r="CA297"/>
      <c r="CB297"/>
      <c r="CC297"/>
    </row>
    <row r="298" spans="2:81" s="3" customFormat="1" ht="11.45">
      <c r="B298" s="884" t="str">
        <f>+B291</f>
        <v>Non-Cloud</v>
      </c>
      <c r="L298" s="840"/>
      <c r="M298" s="840"/>
      <c r="N298" s="840"/>
      <c r="O298" s="840"/>
      <c r="P298" s="840">
        <f t="shared" si="1870"/>
        <v>9.8516383818977538E-2</v>
      </c>
      <c r="Q298" s="840">
        <f t="shared" si="1870"/>
        <v>2.8617757910421648E-2</v>
      </c>
      <c r="R298" s="840">
        <f t="shared" si="1870"/>
        <v>4.7554822918227657E-2</v>
      </c>
      <c r="S298" s="840">
        <f t="shared" si="1870"/>
        <v>2.3980166779355327E-2</v>
      </c>
      <c r="T298" s="840">
        <f t="shared" si="1870"/>
        <v>4.2314418966187262E-2</v>
      </c>
      <c r="U298" s="840">
        <f t="shared" si="1870"/>
        <v>3.9836393847727081E-2</v>
      </c>
      <c r="V298" s="840">
        <f t="shared" si="1870"/>
        <v>3.5763673644556793E-2</v>
      </c>
      <c r="W298" s="840">
        <f t="shared" si="1870"/>
        <v>4.4724215345335994E-2</v>
      </c>
      <c r="X298" s="840">
        <f t="shared" si="1870"/>
        <v>2.3257981822419005E-2</v>
      </c>
      <c r="Y298" s="840">
        <f t="shared" si="1870"/>
        <v>8.071785626485295E-2</v>
      </c>
      <c r="Z298" s="840">
        <f t="shared" si="1871"/>
        <v>0.10519773491091566</v>
      </c>
      <c r="AA298" s="840">
        <f t="shared" si="1871"/>
        <v>0.12299330046770329</v>
      </c>
      <c r="AB298" s="840">
        <f t="shared" si="1871"/>
        <v>0.12129907989432454</v>
      </c>
      <c r="AC298" s="840">
        <f t="shared" si="1871"/>
        <v>0.12329390354868064</v>
      </c>
      <c r="AD298" s="840">
        <f t="shared" si="1871"/>
        <v>8.139631758726984E-2</v>
      </c>
      <c r="AE298" s="840">
        <f t="shared" si="1871"/>
        <v>4.2398319075491742E-3</v>
      </c>
      <c r="AF298" s="840">
        <f t="shared" si="1871"/>
        <v>-7.9213551610675115E-3</v>
      </c>
      <c r="AG298" s="840">
        <f t="shared" si="1871"/>
        <v>-0.13436614013770753</v>
      </c>
      <c r="AH298" s="840">
        <f t="shared" si="1871"/>
        <v>-6.1748844375963063E-2</v>
      </c>
      <c r="AI298" s="840">
        <f t="shared" si="1871"/>
        <v>-3.2729310666915756E-2</v>
      </c>
      <c r="AJ298" s="840">
        <f t="shared" si="1869"/>
        <v>1.2079272786831519E-2</v>
      </c>
      <c r="AK298" s="840">
        <f t="shared" si="1869"/>
        <v>0.10422271610714695</v>
      </c>
      <c r="AL298" s="840">
        <f t="shared" si="1869"/>
        <v>9.8575358213244701E-2</v>
      </c>
      <c r="AM298" s="840">
        <f t="shared" si="1869"/>
        <v>7.8720692185870522E-2</v>
      </c>
      <c r="AN298" s="840">
        <f t="shared" si="1869"/>
        <v>5.1234046804641054E-2</v>
      </c>
      <c r="AO298" s="840"/>
      <c r="AP298" s="840"/>
      <c r="AQ298" s="840"/>
      <c r="AR298" s="840"/>
      <c r="AS298" s="840"/>
      <c r="AT298" s="840"/>
      <c r="AU298" s="840"/>
      <c r="AV298" s="840"/>
      <c r="AW298" s="840"/>
      <c r="AX298" s="840"/>
      <c r="AY298" s="840"/>
      <c r="AZ298" s="840"/>
      <c r="BA298" s="840"/>
      <c r="BB298" s="840"/>
      <c r="BC298" s="840">
        <f t="shared" ref="BC298:BE298" si="1875">+IFERROR(BC291/BB291-1,"NA ")</f>
        <v>4.458962550426615E-2</v>
      </c>
      <c r="BD298" s="840">
        <f t="shared" si="1875"/>
        <v>-0.13624971519708362</v>
      </c>
      <c r="BE298" s="840">
        <f t="shared" si="1875"/>
        <v>-1.0155631759430239E-2</v>
      </c>
      <c r="BF298" s="840"/>
      <c r="BG298" s="840"/>
      <c r="BH298" s="840"/>
      <c r="BI298" s="840" t="str">
        <f t="shared" ref="BI298:BK299" si="1876">+IFERROR(BI291/BH291-1,"NA ")</f>
        <v xml:space="preserve">NA </v>
      </c>
      <c r="BJ298" s="840">
        <f t="shared" si="1876"/>
        <v>4.7552531041069823E-2</v>
      </c>
      <c r="BK298" s="840">
        <f t="shared" si="1876"/>
        <v>4.0709800211982783E-2</v>
      </c>
      <c r="BL298" s="840">
        <f t="shared" ref="BL298:BM298" si="1877">+IFERROR(BL291/BK291-1,"NA ")</f>
        <v>8.4027815802442118E-2</v>
      </c>
      <c r="BM298" s="840">
        <f t="shared" si="1877"/>
        <v>8.0636036691316137E-2</v>
      </c>
      <c r="BN298" s="840">
        <f>+IFERROR(BN291/BM291-1,"NA ")</f>
        <v>-6.2213704777040246E-2</v>
      </c>
      <c r="BO298" s="840">
        <f>+IFERROR(BO291/BN291-1,"NA ")</f>
        <v>7.3837412151722015E-2</v>
      </c>
      <c r="BP298" s="840"/>
      <c r="BT298"/>
      <c r="BU298"/>
      <c r="BV298"/>
      <c r="BW298"/>
      <c r="BX298"/>
      <c r="BY298"/>
      <c r="BZ298"/>
      <c r="CA298"/>
      <c r="CB298"/>
      <c r="CC298"/>
    </row>
    <row r="299" spans="2:81" s="7" customFormat="1">
      <c r="B299" s="887" t="str">
        <f>+B292</f>
        <v>Total Revenue</v>
      </c>
      <c r="L299" s="842"/>
      <c r="M299" s="842"/>
      <c r="N299" s="842"/>
      <c r="O299" s="842"/>
      <c r="P299" s="842">
        <f t="shared" si="1870"/>
        <v>0.18526367267095933</v>
      </c>
      <c r="Q299" s="842">
        <f t="shared" si="1870"/>
        <v>0.12286465177398154</v>
      </c>
      <c r="R299" s="842">
        <f t="shared" si="1870"/>
        <v>0.13990081658525666</v>
      </c>
      <c r="S299" s="842">
        <f t="shared" si="1870"/>
        <v>0.12072461359481479</v>
      </c>
      <c r="T299" s="842">
        <f t="shared" si="1870"/>
        <v>0.13653555219364599</v>
      </c>
      <c r="U299" s="842">
        <f t="shared" si="1870"/>
        <v>0.13658341289150311</v>
      </c>
      <c r="V299" s="842">
        <f t="shared" si="1870"/>
        <v>0.14556278826338698</v>
      </c>
      <c r="W299" s="842">
        <f t="shared" si="1870"/>
        <v>0.12800664353293589</v>
      </c>
      <c r="X299" s="842">
        <f t="shared" si="1870"/>
        <v>0.12400544546967174</v>
      </c>
      <c r="Y299" s="842">
        <f t="shared" si="1870"/>
        <v>0.16718148810491518</v>
      </c>
      <c r="Z299" s="842">
        <f t="shared" si="1871"/>
        <v>0.19088546871876866</v>
      </c>
      <c r="AA299" s="842">
        <f t="shared" si="1871"/>
        <v>0.21347251071437956</v>
      </c>
      <c r="AB299" s="842">
        <f t="shared" si="1871"/>
        <v>0.21970716477364483</v>
      </c>
      <c r="AC299" s="842">
        <f t="shared" si="1871"/>
        <v>0.2008543040208004</v>
      </c>
      <c r="AD299" s="842">
        <f t="shared" si="1871"/>
        <v>0.18352275451973332</v>
      </c>
      <c r="AE299" s="842">
        <f t="shared" si="1871"/>
        <v>0.12378661813139202</v>
      </c>
      <c r="AF299" s="842">
        <f t="shared" si="1871"/>
        <v>0.1060308493501334</v>
      </c>
      <c r="AG299" s="842">
        <f t="shared" si="1871"/>
        <v>1.9699195793380753E-2</v>
      </c>
      <c r="AH299" s="842">
        <f t="shared" si="1871"/>
        <v>7.0846839546191198E-2</v>
      </c>
      <c r="AI299" s="842">
        <f t="shared" si="1871"/>
        <v>8.3370288248336921E-2</v>
      </c>
      <c r="AJ299" s="842">
        <f t="shared" si="1869"/>
        <v>0.12758868361198683</v>
      </c>
      <c r="AK299" s="842">
        <f t="shared" si="1869"/>
        <v>0.17580146738203117</v>
      </c>
      <c r="AL299" s="842">
        <f t="shared" si="1869"/>
        <v>0.17028964943148495</v>
      </c>
      <c r="AM299" s="842">
        <f t="shared" si="1869"/>
        <v>0.15195144957198026</v>
      </c>
      <c r="AN299" s="842">
        <f t="shared" si="1869"/>
        <v>0.1480324846483414</v>
      </c>
      <c r="AO299" s="842"/>
      <c r="AP299" s="842"/>
      <c r="AQ299" s="842"/>
      <c r="AR299" s="842"/>
      <c r="AS299" s="842"/>
      <c r="AT299" s="842"/>
      <c r="AU299" s="842"/>
      <c r="AV299" s="842"/>
      <c r="AW299" s="842"/>
      <c r="AX299" s="842"/>
      <c r="AY299" s="842"/>
      <c r="AZ299" s="842"/>
      <c r="BA299" s="842"/>
      <c r="BB299" s="842"/>
      <c r="BC299" s="842">
        <f t="shared" ref="BC299:BE299" si="1878">+IFERROR(BC292/BB292-1,"NA ")</f>
        <v>7.7700874091647165E-2</v>
      </c>
      <c r="BD299" s="842">
        <f t="shared" si="1878"/>
        <v>-8.8266723658901425E-2</v>
      </c>
      <c r="BE299" s="842">
        <f t="shared" si="1878"/>
        <v>5.4266291608063844E-2</v>
      </c>
      <c r="BF299" s="842"/>
      <c r="BG299" s="1177">
        <f t="shared" ref="BG299" si="1879">+BD299</f>
        <v>-8.8266723658901425E-2</v>
      </c>
      <c r="BH299" s="842">
        <f>+IFERROR(BH292/BG292-1,"NA ")</f>
        <v>5.9426903920837271E-2</v>
      </c>
      <c r="BI299" s="842">
        <f t="shared" si="1876"/>
        <v>0.14278613662486661</v>
      </c>
      <c r="BJ299" s="842">
        <f t="shared" si="1876"/>
        <v>0.14029539688292858</v>
      </c>
      <c r="BK299" s="842">
        <f t="shared" si="1876"/>
        <v>0.13645574247276371</v>
      </c>
      <c r="BL299" s="842">
        <f t="shared" ref="BL299:BM299" si="1880">+IFERROR(BL292/BK292-1,"NA ")</f>
        <v>0.17531727441177503</v>
      </c>
      <c r="BM299" s="842">
        <f t="shared" si="1880"/>
        <v>0.17956070629670173</v>
      </c>
      <c r="BN299" s="842">
        <f>+IFERROR(BN292/BM292-1,"NA ")</f>
        <v>6.8820295556564215E-2</v>
      </c>
      <c r="BO299" s="842">
        <f>+IFERROR(BO292/BN292-1,"NA ")</f>
        <v>0.1566996201307127</v>
      </c>
      <c r="BP299" s="842"/>
      <c r="BT299"/>
      <c r="BU299"/>
      <c r="BV299"/>
      <c r="BW299"/>
      <c r="BX299"/>
      <c r="BY299"/>
      <c r="BZ299"/>
      <c r="CA299"/>
      <c r="CB299"/>
      <c r="CC299"/>
    </row>
    <row r="300" spans="2:81">
      <c r="B300" s="19"/>
    </row>
    <row r="301" spans="2:81" s="3" customFormat="1">
      <c r="B301" s="883" t="str">
        <f>+B237</f>
        <v>Constant-FX %</v>
      </c>
      <c r="BT301"/>
      <c r="BU301"/>
      <c r="BV301"/>
      <c r="BW301"/>
      <c r="BX301"/>
      <c r="BY301"/>
      <c r="BZ301"/>
      <c r="CA301"/>
      <c r="CB301"/>
      <c r="CC301"/>
    </row>
    <row r="302" spans="2:81" s="3" customFormat="1">
      <c r="B302" s="884" t="str">
        <f t="shared" ref="B302:B303" si="1881">+B295</f>
        <v>Azure</v>
      </c>
      <c r="L302" s="228"/>
      <c r="M302" s="228"/>
      <c r="N302" s="228"/>
      <c r="O302" s="228"/>
      <c r="P302" s="228"/>
      <c r="Q302" s="228"/>
      <c r="R302" s="228"/>
      <c r="S302" s="228"/>
      <c r="T302" s="228"/>
      <c r="U302" s="228"/>
      <c r="V302" s="228"/>
      <c r="W302" s="228"/>
      <c r="X302" s="228"/>
      <c r="Y302" s="228"/>
      <c r="Z302" s="228"/>
      <c r="AA302" s="228"/>
      <c r="AB302" s="228"/>
      <c r="AC302" s="228"/>
      <c r="AD302" s="228"/>
      <c r="AE302" s="228"/>
      <c r="AF302" s="228"/>
      <c r="AG302" s="228"/>
      <c r="AH302" s="228"/>
      <c r="AI302" s="228"/>
      <c r="AJ302" s="228">
        <f t="shared" ref="AJ302:AM302" si="1882">AJ570</f>
        <v>0.3</v>
      </c>
      <c r="AK302" s="228">
        <f t="shared" si="1882"/>
        <v>0.31</v>
      </c>
      <c r="AL302" s="228">
        <f t="shared" si="1882"/>
        <v>0.35</v>
      </c>
      <c r="AM302" s="228">
        <f t="shared" si="1882"/>
        <v>0.35</v>
      </c>
      <c r="AN302" s="228">
        <f>AN570</f>
        <v>0.35</v>
      </c>
      <c r="AO302" s="228"/>
      <c r="AP302" s="228"/>
      <c r="AQ302" s="228"/>
      <c r="AR302" s="228"/>
      <c r="AS302" s="228"/>
      <c r="AT302" s="228"/>
      <c r="AU302" s="228"/>
      <c r="AV302" s="228"/>
      <c r="AW302" s="228"/>
      <c r="AX302" s="228"/>
      <c r="AY302" s="228"/>
      <c r="AZ302" s="228"/>
      <c r="BA302" s="228"/>
      <c r="BB302" s="228"/>
      <c r="BC302" s="228"/>
      <c r="BD302" s="228"/>
      <c r="BE302" s="228"/>
      <c r="BF302" s="228"/>
      <c r="BG302" s="228"/>
      <c r="BH302" s="228"/>
      <c r="BI302" s="228"/>
      <c r="BJ302" s="228"/>
      <c r="BK302" s="228"/>
      <c r="BL302" s="228"/>
      <c r="BM302" s="228"/>
      <c r="BN302" s="228"/>
      <c r="BO302" s="228">
        <f>BO570</f>
        <v>0.32750000000000001</v>
      </c>
      <c r="BP302" s="228"/>
      <c r="BT302"/>
      <c r="BU302"/>
      <c r="BV302"/>
      <c r="BW302"/>
      <c r="BX302"/>
      <c r="BY302"/>
      <c r="BZ302"/>
      <c r="CA302"/>
      <c r="CB302"/>
      <c r="CC302"/>
    </row>
    <row r="303" spans="2:81" s="3" customFormat="1" ht="11.45">
      <c r="B303" s="884" t="str">
        <f t="shared" si="1881"/>
        <v>Other Cloud</v>
      </c>
      <c r="L303" s="840"/>
      <c r="M303" s="840"/>
      <c r="N303" s="840"/>
      <c r="O303" s="840"/>
      <c r="P303" s="840"/>
      <c r="Q303" s="840"/>
      <c r="R303" s="840"/>
      <c r="S303" s="840"/>
      <c r="T303" s="840"/>
      <c r="U303" s="840"/>
      <c r="V303" s="840"/>
      <c r="W303" s="840"/>
      <c r="X303" s="840"/>
      <c r="Y303" s="840"/>
      <c r="Z303" s="840"/>
      <c r="AA303" s="840"/>
      <c r="AB303" s="840"/>
      <c r="AC303" s="840"/>
      <c r="AD303" s="840"/>
      <c r="AE303" s="840"/>
      <c r="AF303" s="840"/>
      <c r="AG303" s="840"/>
      <c r="AH303" s="840"/>
      <c r="AI303" s="840"/>
      <c r="AJ303" s="840">
        <f t="shared" ref="AJ303:AM303" si="1883">(AJ304*AF290-AJ302*AF288)/AF289</f>
        <v>0.18922413793103449</v>
      </c>
      <c r="AK303" s="840">
        <f t="shared" si="1883"/>
        <v>0.1648818944487416</v>
      </c>
      <c r="AL303" s="840">
        <f t="shared" si="1883"/>
        <v>0.15810376548001284</v>
      </c>
      <c r="AM303" s="840">
        <f t="shared" si="1883"/>
        <v>0.13953484546327161</v>
      </c>
      <c r="AN303" s="840">
        <f>(AN304*AJ290-AN302*AJ288)/AJ289</f>
        <v>0.13698846831620928</v>
      </c>
      <c r="AO303" s="840"/>
      <c r="AP303" s="840"/>
      <c r="AQ303" s="840"/>
      <c r="AR303" s="840"/>
      <c r="AS303" s="840"/>
      <c r="AT303" s="840"/>
      <c r="AU303" s="840"/>
      <c r="AV303" s="840"/>
      <c r="AW303" s="840"/>
      <c r="AX303" s="840"/>
      <c r="AY303" s="840"/>
      <c r="AZ303" s="840"/>
      <c r="BA303" s="840"/>
      <c r="BB303" s="840"/>
      <c r="BC303" s="840"/>
      <c r="BD303" s="840"/>
      <c r="BE303" s="840"/>
      <c r="BF303" s="840"/>
      <c r="BG303" s="840"/>
      <c r="BH303" s="840"/>
      <c r="BI303" s="840"/>
      <c r="BJ303" s="840"/>
      <c r="BK303" s="840"/>
      <c r="BL303" s="840"/>
      <c r="BM303" s="840"/>
      <c r="BN303" s="840"/>
      <c r="BO303" s="840">
        <f>(BO304*BN290-BO302*BN288)/BN289</f>
        <v>0.16288076049393382</v>
      </c>
      <c r="BP303" s="840"/>
      <c r="BT303"/>
      <c r="BU303"/>
      <c r="BV303"/>
      <c r="BW303"/>
      <c r="BX303"/>
      <c r="BY303"/>
      <c r="BZ303"/>
      <c r="CA303"/>
      <c r="CB303"/>
      <c r="CC303"/>
    </row>
    <row r="304" spans="2:81" s="3" customFormat="1">
      <c r="B304" s="1234" t="str">
        <f>+B297</f>
        <v>Cloud</v>
      </c>
      <c r="L304" s="228"/>
      <c r="M304" s="228"/>
      <c r="N304" s="228"/>
      <c r="O304" s="228"/>
      <c r="P304" s="904">
        <v>0.46</v>
      </c>
      <c r="Q304" s="904">
        <v>0.47</v>
      </c>
      <c r="R304" s="904">
        <v>0.13</v>
      </c>
      <c r="S304" s="904">
        <v>0.42</v>
      </c>
      <c r="T304" s="904">
        <v>0.39</v>
      </c>
      <c r="U304" s="904">
        <v>0.41</v>
      </c>
      <c r="V304" s="904">
        <v>0.4</v>
      </c>
      <c r="W304" s="904">
        <v>0.32</v>
      </c>
      <c r="X304" s="904">
        <v>0.31</v>
      </c>
      <c r="Y304" s="904">
        <v>0.32</v>
      </c>
      <c r="Z304" s="904">
        <v>0.28999999999999998</v>
      </c>
      <c r="AA304" s="904">
        <v>0.31</v>
      </c>
      <c r="AB304" s="904">
        <v>0.34</v>
      </c>
      <c r="AC304" s="904">
        <v>0.32</v>
      </c>
      <c r="AD304" s="904">
        <v>0.35</v>
      </c>
      <c r="AE304" s="904">
        <v>0.33</v>
      </c>
      <c r="AF304" s="904">
        <v>0.31</v>
      </c>
      <c r="AG304" s="904">
        <v>0.28999999999999998</v>
      </c>
      <c r="AH304" s="904">
        <v>0.25</v>
      </c>
      <c r="AI304" s="904">
        <v>0.23</v>
      </c>
      <c r="AJ304" s="904">
        <v>0.23</v>
      </c>
      <c r="AK304" s="904">
        <v>0.22</v>
      </c>
      <c r="AL304" s="904">
        <v>0.23</v>
      </c>
      <c r="AM304" s="904">
        <v>0.22</v>
      </c>
      <c r="AN304" s="904">
        <v>0.22</v>
      </c>
      <c r="AO304" s="904"/>
      <c r="AP304" s="904"/>
      <c r="AQ304" s="904"/>
      <c r="BI304" s="14" t="s">
        <v>273</v>
      </c>
      <c r="BJ304" s="14">
        <f>+SUMPRODUCT(P304:S304,L290:O290)/BI290</f>
        <v>0.36605263157894735</v>
      </c>
      <c r="BK304" s="14">
        <f>+SUMPRODUCT(T304:W304,P290:S290)/BJ290</f>
        <v>0.37703412073490816</v>
      </c>
      <c r="BL304" s="14">
        <f>+SUMPRODUCT(X304:AA304,T290:W290)/BK290</f>
        <v>0.30727272727272725</v>
      </c>
      <c r="BM304" s="14">
        <f>+SUMPRODUCT(AB304:AE304,X290:AA290)/BL290</f>
        <v>0.33490593342981184</v>
      </c>
      <c r="BN304" s="14">
        <f>+SUMPRODUCT(AG304:AJ304,AB290:AE290)/BM290</f>
        <v>0.24844468784227822</v>
      </c>
      <c r="BO304" s="14">
        <f>+SUMPRODUCT(AJ304:AM304,AF290:AI290)/BN290</f>
        <v>0.22485663082437277</v>
      </c>
      <c r="BP304" s="228"/>
      <c r="BT304"/>
      <c r="BU304"/>
      <c r="BV304"/>
      <c r="BW304"/>
      <c r="BX304"/>
      <c r="BY304"/>
      <c r="BZ304"/>
      <c r="CA304"/>
      <c r="CB304"/>
      <c r="CC304"/>
    </row>
    <row r="305" spans="2:81" s="3" customFormat="1" ht="11.45">
      <c r="B305" s="884" t="str">
        <f>+B298</f>
        <v>Non-Cloud</v>
      </c>
      <c r="L305" s="840"/>
      <c r="M305" s="840"/>
      <c r="N305" s="840"/>
      <c r="O305" s="840"/>
      <c r="P305" s="840">
        <f t="shared" ref="P305:AL305" si="1884">+(P242*L227-P304*L290)/L291</f>
        <v>0.10048137474650441</v>
      </c>
      <c r="Q305" s="840">
        <f t="shared" si="1884"/>
        <v>3.4435095100359359E-2</v>
      </c>
      <c r="R305" s="840">
        <f t="shared" si="1884"/>
        <v>0.17019031919676308</v>
      </c>
      <c r="S305" s="840">
        <f t="shared" si="1884"/>
        <v>4.4691458192472409E-2</v>
      </c>
      <c r="T305" s="840">
        <f t="shared" si="1884"/>
        <v>5.6955888068402648E-2</v>
      </c>
      <c r="U305" s="840">
        <f t="shared" si="1884"/>
        <v>5.3028418047803678E-2</v>
      </c>
      <c r="V305" s="840">
        <f t="shared" si="1884"/>
        <v>4.8835534786133193E-2</v>
      </c>
      <c r="W305" s="840">
        <f t="shared" si="1884"/>
        <v>6.0297517277809562E-2</v>
      </c>
      <c r="X305" s="840">
        <f t="shared" si="1884"/>
        <v>1.8054556047541376E-2</v>
      </c>
      <c r="Y305" s="840">
        <f t="shared" si="1884"/>
        <v>6.8428525772351062E-2</v>
      </c>
      <c r="Z305" s="840">
        <f t="shared" si="1884"/>
        <v>8.3163901293678927E-2</v>
      </c>
      <c r="AA305" s="840">
        <f t="shared" si="1884"/>
        <v>9.2790683857919345E-2</v>
      </c>
      <c r="AB305" s="840">
        <f t="shared" si="1884"/>
        <v>0.10959275758403934</v>
      </c>
      <c r="AC305" s="840">
        <f t="shared" si="1884"/>
        <v>0.12530382165605089</v>
      </c>
      <c r="AD305" s="840">
        <f t="shared" si="1884"/>
        <v>9.2003524118970323E-2</v>
      </c>
      <c r="AE305" s="840">
        <f t="shared" si="1884"/>
        <v>4.3572234729100996E-2</v>
      </c>
      <c r="AF305" s="840">
        <f t="shared" si="1884"/>
        <v>2.8385209408132567E-2</v>
      </c>
      <c r="AG305" s="840">
        <f t="shared" si="1884"/>
        <v>-9.0331416227892536E-2</v>
      </c>
      <c r="AH305" s="840">
        <f t="shared" si="1884"/>
        <v>-3.2120724191063217E-2</v>
      </c>
      <c r="AI305" s="840">
        <f t="shared" si="1884"/>
        <v>-2.4552587334205105E-2</v>
      </c>
      <c r="AJ305" s="840">
        <f t="shared" si="1884"/>
        <v>1.0168053394480424E-2</v>
      </c>
      <c r="AK305" s="840">
        <f t="shared" si="1884"/>
        <v>0.10634460170780209</v>
      </c>
      <c r="AL305" s="840">
        <f t="shared" si="1884"/>
        <v>9.5295508478055652E-2</v>
      </c>
      <c r="AM305" s="840">
        <f t="shared" ref="AM305" si="1885">+(AM242*AI227-AM304*AI290)/AI291</f>
        <v>9.5603457066707878E-2</v>
      </c>
      <c r="AN305" s="840">
        <f t="shared" ref="AN305" si="1886">+(AN242*AJ227-AN304*AJ290)/AJ291</f>
        <v>6.6790331952514853E-2</v>
      </c>
      <c r="AO305" s="840"/>
      <c r="AP305" s="840"/>
      <c r="AQ305" s="840"/>
      <c r="AR305" s="840"/>
      <c r="AS305" s="840"/>
      <c r="AT305" s="840"/>
      <c r="AU305" s="840"/>
      <c r="AV305" s="840"/>
      <c r="AW305" s="840"/>
      <c r="AX305" s="840"/>
      <c r="AY305" s="840"/>
      <c r="AZ305" s="840"/>
      <c r="BA305" s="840"/>
      <c r="BB305" s="840"/>
      <c r="BC305" s="840"/>
      <c r="BD305" s="840"/>
      <c r="BE305" s="840"/>
      <c r="BF305" s="840"/>
      <c r="BG305" s="840"/>
      <c r="BH305" s="840"/>
      <c r="BI305" s="840" t="s">
        <v>273</v>
      </c>
      <c r="BJ305" s="840">
        <f>+SUMPRODUCT(P305:S305,L291:O291)/BI291</f>
        <v>8.4372970391595026E-2</v>
      </c>
      <c r="BK305" s="840">
        <f>+SUMPRODUCT(T305:W305,P291:S291)/BJ291</f>
        <v>5.4829658206352633E-2</v>
      </c>
      <c r="BL305" s="840">
        <f>+SUMPRODUCT(X305:AA305,T291:W291)/BK291</f>
        <v>6.6429737721075396E-2</v>
      </c>
      <c r="BM305" s="840">
        <f>+SUMPRODUCT(AB305:AE305,X291:AA291)/BL291</f>
        <v>9.173775407120055E-2</v>
      </c>
      <c r="BN305" s="840">
        <f>+SUMPRODUCT(AF305:AI305,AB291:AE291)/BM291</f>
        <v>-3.2425768907170249E-2</v>
      </c>
      <c r="BO305" s="840">
        <f>+SUMPRODUCT(AJ305:AM305,AF291:AI291)/BN291</f>
        <v>7.7475300802472238E-2</v>
      </c>
      <c r="BP305" s="840"/>
      <c r="BT305"/>
      <c r="BU305"/>
      <c r="BV305"/>
      <c r="BW305"/>
      <c r="BX305"/>
      <c r="BY305"/>
      <c r="BZ305"/>
      <c r="CA305"/>
      <c r="CB305"/>
      <c r="CC305"/>
    </row>
    <row r="306" spans="2:81" s="7" customFormat="1">
      <c r="B306" s="887" t="str">
        <f>+B299</f>
        <v>Total Revenue</v>
      </c>
      <c r="L306" s="842"/>
      <c r="M306" s="842"/>
      <c r="N306" s="842"/>
      <c r="O306" s="842"/>
      <c r="P306" s="842">
        <f t="shared" ref="P306:AN306" si="1887">+P14</f>
        <v>0.18546010269785637</v>
      </c>
      <c r="Q306" s="842">
        <f t="shared" si="1887"/>
        <v>0.12631371464139982</v>
      </c>
      <c r="R306" s="842">
        <f t="shared" si="1887"/>
        <v>0.16</v>
      </c>
      <c r="S306" s="842">
        <f t="shared" si="1887"/>
        <v>0.14324347681568889</v>
      </c>
      <c r="T306" s="842">
        <f t="shared" si="1887"/>
        <v>0.15429033145372026</v>
      </c>
      <c r="U306" s="842">
        <f t="shared" si="1887"/>
        <v>0.15197037356410337</v>
      </c>
      <c r="V306" s="842">
        <f t="shared" si="1887"/>
        <v>0.15910928657878379</v>
      </c>
      <c r="W306" s="842">
        <f t="shared" si="1887"/>
        <v>0.14502413322656227</v>
      </c>
      <c r="X306" s="842">
        <f t="shared" si="1887"/>
        <v>0.12050704885796401</v>
      </c>
      <c r="Y306" s="842">
        <f t="shared" si="1887"/>
        <v>0.15363536010404813</v>
      </c>
      <c r="Z306" s="842">
        <f t="shared" si="1887"/>
        <v>0.16171448844978725</v>
      </c>
      <c r="AA306" s="842">
        <f t="shared" si="1887"/>
        <v>0.17445905660873451</v>
      </c>
      <c r="AB306" s="842">
        <f t="shared" si="1887"/>
        <v>0.20385421219787908</v>
      </c>
      <c r="AC306" s="842">
        <f t="shared" si="1887"/>
        <v>0.20078497539232981</v>
      </c>
      <c r="AD306" s="842">
        <f t="shared" si="1887"/>
        <v>0.20149706517047911</v>
      </c>
      <c r="AE306" s="842">
        <f t="shared" si="1887"/>
        <v>0.16459280637892182</v>
      </c>
      <c r="AF306" s="842">
        <f t="shared" si="1887"/>
        <v>0.15702183948628548</v>
      </c>
      <c r="AG306" s="842">
        <f t="shared" si="1887"/>
        <v>7.2159387565728428E-2</v>
      </c>
      <c r="AH306" s="842">
        <f t="shared" si="1887"/>
        <v>0.10162370340356562</v>
      </c>
      <c r="AI306" s="842">
        <f t="shared" si="1887"/>
        <v>9.8637809698255086E-2</v>
      </c>
      <c r="AJ306" s="842">
        <f t="shared" si="1887"/>
        <v>0.12288664059694347</v>
      </c>
      <c r="AK306" s="842">
        <f t="shared" si="1887"/>
        <v>0.16473771020152805</v>
      </c>
      <c r="AL306" s="842">
        <f t="shared" si="1887"/>
        <v>0.16792691034300095</v>
      </c>
      <c r="AM306" s="842">
        <f t="shared" si="1887"/>
        <v>0.16268447382939721</v>
      </c>
      <c r="AN306" s="842">
        <f t="shared" si="1887"/>
        <v>0.16431049064883133</v>
      </c>
      <c r="AO306" s="842"/>
      <c r="AP306" s="842"/>
      <c r="AQ306" s="842"/>
      <c r="AR306" s="842"/>
      <c r="AS306" s="842"/>
      <c r="AT306" s="842"/>
      <c r="AU306" s="842"/>
      <c r="AV306" s="842"/>
      <c r="AW306" s="842"/>
      <c r="AX306" s="842"/>
      <c r="AY306" s="842"/>
      <c r="AZ306" s="842"/>
      <c r="BA306" s="842"/>
      <c r="BB306" s="842"/>
      <c r="BC306" s="842">
        <f>+BC14</f>
        <v>9.7700874091647169E-2</v>
      </c>
      <c r="BD306" s="842">
        <f>+BD14</f>
        <v>-4.8266723658901424E-2</v>
      </c>
      <c r="BE306" s="842">
        <f>+BE14</f>
        <v>7.4266291608063847E-2</v>
      </c>
      <c r="BF306" s="842"/>
      <c r="BG306" s="1177">
        <f t="shared" ref="BG306" si="1888">+BD306</f>
        <v>-4.8266723658901424E-2</v>
      </c>
      <c r="BH306" s="842" t="s">
        <v>273</v>
      </c>
      <c r="BI306" s="842">
        <f t="shared" ref="BI306:BN306" si="1889">+BI14</f>
        <v>0.12866916569156372</v>
      </c>
      <c r="BJ306" s="842">
        <f t="shared" si="1889"/>
        <v>0.15088356288510332</v>
      </c>
      <c r="BK306" s="842">
        <f t="shared" si="1889"/>
        <v>0.15238217445818814</v>
      </c>
      <c r="BL306" s="842">
        <f t="shared" si="1889"/>
        <v>0.1534946089571024</v>
      </c>
      <c r="BM306" s="842">
        <f t="shared" si="1889"/>
        <v>0.19170277949645423</v>
      </c>
      <c r="BN306" s="842">
        <f t="shared" si="1889"/>
        <v>0.1058173979926363</v>
      </c>
      <c r="BO306" s="842">
        <f>+SUMPRODUCT(AJ306:AM306,AF292:AI292)/BN292</f>
        <v>0.15509017672179884</v>
      </c>
      <c r="BP306" s="842"/>
      <c r="BT306"/>
      <c r="BU306"/>
      <c r="BV306"/>
      <c r="BW306"/>
      <c r="BX306"/>
      <c r="BY306"/>
      <c r="BZ306"/>
      <c r="CA306"/>
      <c r="CB306"/>
      <c r="CC306"/>
    </row>
    <row r="307" spans="2:81">
      <c r="B307" s="19"/>
    </row>
    <row r="308" spans="2:81" ht="10.5">
      <c r="B308" s="45" t="s">
        <v>278</v>
      </c>
    </row>
    <row r="309" spans="2:81" ht="13.5">
      <c r="B309" t="s">
        <v>365</v>
      </c>
      <c r="H309" s="903"/>
      <c r="I309" s="821"/>
      <c r="J309" s="31"/>
      <c r="K309" s="31"/>
      <c r="L309" s="8">
        <f t="shared" ref="L309:AF309" si="1890">+L319*L290</f>
        <v>3363.9999999999995</v>
      </c>
      <c r="M309" s="8">
        <f t="shared" si="1890"/>
        <v>3476.9999999999995</v>
      </c>
      <c r="N309" s="8">
        <f t="shared" si="1890"/>
        <v>3943.9999999999995</v>
      </c>
      <c r="O309" s="8">
        <f t="shared" si="1890"/>
        <v>4661</v>
      </c>
      <c r="P309" s="8">
        <f t="shared" si="1890"/>
        <v>5270</v>
      </c>
      <c r="Q309" s="8">
        <f t="shared" si="1890"/>
        <v>5580</v>
      </c>
      <c r="R309" s="8">
        <f t="shared" si="1890"/>
        <v>6048</v>
      </c>
      <c r="S309" s="8">
        <f t="shared" si="1890"/>
        <v>7150</v>
      </c>
      <c r="T309" s="8">
        <f t="shared" si="1890"/>
        <v>7656</v>
      </c>
      <c r="U309" s="8">
        <f t="shared" si="1890"/>
        <v>8375</v>
      </c>
      <c r="V309" s="8">
        <f t="shared" si="1890"/>
        <v>8911</v>
      </c>
      <c r="W309" s="8">
        <f t="shared" si="1890"/>
        <v>9438</v>
      </c>
      <c r="X309" s="8">
        <f t="shared" si="1890"/>
        <v>10792</v>
      </c>
      <c r="Y309" s="8">
        <f t="shared" si="1890"/>
        <v>11857</v>
      </c>
      <c r="Z309" s="8">
        <f t="shared" si="1890"/>
        <v>12390</v>
      </c>
      <c r="AA309" s="8">
        <f t="shared" si="1890"/>
        <v>13650</v>
      </c>
      <c r="AB309" s="8">
        <f t="shared" si="1890"/>
        <v>14697</v>
      </c>
      <c r="AC309" s="8">
        <f t="shared" si="1890"/>
        <v>15469.999999999998</v>
      </c>
      <c r="AD309" s="8">
        <f t="shared" si="1890"/>
        <v>16379.999999999998</v>
      </c>
      <c r="AE309" s="8">
        <f t="shared" si="1890"/>
        <v>17319</v>
      </c>
      <c r="AF309" s="8">
        <f t="shared" si="1890"/>
        <v>18761</v>
      </c>
      <c r="AG309" s="8">
        <f t="shared" ref="AG309:AH309" si="1891">+AG319*AG290</f>
        <v>19512</v>
      </c>
      <c r="AH309" s="8">
        <f t="shared" si="1891"/>
        <v>20520</v>
      </c>
      <c r="AI309" s="8">
        <f t="shared" ref="AI309:AJ309" si="1892">+AI319*AI290</f>
        <v>21816</v>
      </c>
      <c r="AJ309" s="8">
        <f t="shared" si="1892"/>
        <v>23214</v>
      </c>
      <c r="AK309" s="8">
        <f t="shared" ref="AK309:AL309" si="1893">+AK319*AK290</f>
        <v>24264</v>
      </c>
      <c r="AL309" s="8">
        <f t="shared" si="1893"/>
        <v>25623</v>
      </c>
      <c r="AM309" s="8">
        <f t="shared" ref="AM309:AN309" si="1894">+AM319*AM290</f>
        <v>25391.999999999996</v>
      </c>
      <c r="AN309" s="8">
        <f t="shared" si="1894"/>
        <v>27619</v>
      </c>
      <c r="AO309" s="8"/>
      <c r="AP309" s="8"/>
      <c r="AQ309" s="8"/>
      <c r="BB309" s="8">
        <f>+BB319*BB290</f>
        <v>420</v>
      </c>
      <c r="BC309" s="8">
        <f>+BC319*BC290</f>
        <v>2552</v>
      </c>
      <c r="BD309" s="8">
        <f>+BD319*BD290</f>
        <v>4275</v>
      </c>
      <c r="BE309" s="8">
        <f>+BE319*BE290</f>
        <v>7152</v>
      </c>
      <c r="BG309" s="856"/>
      <c r="BH309" s="856"/>
      <c r="BI309" s="880">
        <f>+SUM(L309:O309)</f>
        <v>15445.999999999998</v>
      </c>
      <c r="BJ309" s="880">
        <f>SUM(P309:S309)</f>
        <v>24048</v>
      </c>
      <c r="BK309" s="880">
        <f>SUM(T309:W309)</f>
        <v>34380</v>
      </c>
      <c r="BL309" s="880">
        <f>SUM(X309:AA309)</f>
        <v>48689</v>
      </c>
      <c r="BM309" s="880">
        <f>SUM(AB309:AE309)</f>
        <v>63866</v>
      </c>
      <c r="BN309" s="8">
        <f t="shared" ref="BN309:BN311" si="1895">SUM(AF309:AI309)</f>
        <v>80609</v>
      </c>
      <c r="BO309" s="8">
        <f t="shared" ref="BO309:BO311" si="1896">SUM(AJ309:AM309)</f>
        <v>98493</v>
      </c>
      <c r="BP309" s="8"/>
      <c r="BQ309" s="8"/>
    </row>
    <row r="310" spans="2:81" s="953" customFormat="1" ht="11.45">
      <c r="B310" t="s">
        <v>366</v>
      </c>
      <c r="H310" s="10"/>
      <c r="I310" s="10"/>
      <c r="J310" s="10"/>
      <c r="K310" s="10"/>
      <c r="L310" s="10">
        <f t="shared" ref="L310:AN310" si="1897">+L1072-L309</f>
        <v>12896</v>
      </c>
      <c r="M310" s="10">
        <f t="shared" si="1897"/>
        <v>14377</v>
      </c>
      <c r="N310" s="10">
        <f t="shared" si="1897"/>
        <v>13606</v>
      </c>
      <c r="O310" s="10">
        <f t="shared" si="1897"/>
        <v>15682</v>
      </c>
      <c r="P310" s="10">
        <f t="shared" si="1897"/>
        <v>13909</v>
      </c>
      <c r="Q310" s="10">
        <f t="shared" si="1897"/>
        <v>14468</v>
      </c>
      <c r="R310" s="10">
        <f t="shared" si="1897"/>
        <v>14353</v>
      </c>
      <c r="S310" s="10">
        <f t="shared" si="1897"/>
        <v>16155</v>
      </c>
      <c r="T310" s="10">
        <f t="shared" si="1897"/>
        <v>14993</v>
      </c>
      <c r="U310" s="10">
        <f t="shared" si="1897"/>
        <v>16173</v>
      </c>
      <c r="V310" s="10">
        <f t="shared" si="1897"/>
        <v>15135</v>
      </c>
      <c r="W310" s="10">
        <f t="shared" si="1897"/>
        <v>16256</v>
      </c>
      <c r="X310" s="10">
        <f t="shared" si="1897"/>
        <v>15360</v>
      </c>
      <c r="Y310" s="10">
        <f t="shared" si="1897"/>
        <v>17025</v>
      </c>
      <c r="Z310" s="10">
        <f t="shared" si="1897"/>
        <v>16271</v>
      </c>
      <c r="AA310" s="10">
        <f t="shared" si="1897"/>
        <v>18511</v>
      </c>
      <c r="AB310" s="10">
        <f t="shared" si="1897"/>
        <v>16974</v>
      </c>
      <c r="AC310" s="10">
        <f t="shared" si="1897"/>
        <v>19298</v>
      </c>
      <c r="AD310" s="10">
        <f t="shared" si="1897"/>
        <v>17365</v>
      </c>
      <c r="AE310" s="10">
        <f t="shared" si="1897"/>
        <v>18117</v>
      </c>
      <c r="AF310" s="10">
        <f t="shared" si="1897"/>
        <v>15909</v>
      </c>
      <c r="AG310" s="10">
        <f t="shared" si="1897"/>
        <v>15747</v>
      </c>
      <c r="AH310" s="10">
        <f t="shared" si="1897"/>
        <v>16209</v>
      </c>
      <c r="AI310" s="10">
        <f t="shared" si="1897"/>
        <v>17578</v>
      </c>
      <c r="AJ310" s="10">
        <f t="shared" si="1897"/>
        <v>17001</v>
      </c>
      <c r="AK310" s="10">
        <f t="shared" si="1897"/>
        <v>18133</v>
      </c>
      <c r="AL310" s="10">
        <f t="shared" si="1897"/>
        <v>17730</v>
      </c>
      <c r="AM310" s="10">
        <f t="shared" si="1897"/>
        <v>19651.000000000004</v>
      </c>
      <c r="AN310" s="10">
        <f t="shared" si="1897"/>
        <v>17867</v>
      </c>
      <c r="AO310" s="10"/>
      <c r="AP310" s="10"/>
      <c r="AQ310" s="10"/>
      <c r="AR310" s="942"/>
      <c r="AS310" s="942"/>
      <c r="AT310" s="942"/>
      <c r="AU310" s="942"/>
      <c r="AV310" s="942"/>
      <c r="AW310" s="942"/>
      <c r="AX310" s="942"/>
      <c r="AY310" s="942"/>
      <c r="AZ310" s="942"/>
      <c r="BA310" s="942"/>
      <c r="BB310" s="10">
        <f>+BB1072-BB309</f>
        <v>59335</v>
      </c>
      <c r="BC310" s="10">
        <f>+BC1072-BC309</f>
        <v>57990</v>
      </c>
      <c r="BD310" s="10">
        <f>+BD1072-BD309</f>
        <v>48265</v>
      </c>
      <c r="BE310" s="10">
        <f>+BE1072-BE309</f>
        <v>48537</v>
      </c>
      <c r="BF310" s="942"/>
      <c r="BG310" s="1002"/>
      <c r="BH310" s="1002"/>
      <c r="BI310" s="10">
        <f>+BI1072-BI309</f>
        <v>56561</v>
      </c>
      <c r="BJ310" s="10">
        <f>+BJ1072-BJ309</f>
        <v>58885</v>
      </c>
      <c r="BK310" s="10">
        <f>+BK1072-BK309</f>
        <v>62557</v>
      </c>
      <c r="BL310" s="10">
        <f>+BL1072-BL309</f>
        <v>67167</v>
      </c>
      <c r="BM310" s="10">
        <f>+BM1072-BM309</f>
        <v>71754</v>
      </c>
      <c r="BN310" s="10">
        <f t="shared" si="1895"/>
        <v>65443</v>
      </c>
      <c r="BO310" s="10">
        <f t="shared" si="1896"/>
        <v>72515</v>
      </c>
      <c r="BP310" s="10"/>
      <c r="BT310"/>
      <c r="BU310"/>
      <c r="BV310"/>
      <c r="BW310"/>
      <c r="BX310"/>
      <c r="BY310"/>
      <c r="BZ310"/>
      <c r="CA310"/>
      <c r="CB310"/>
      <c r="CC310"/>
    </row>
    <row r="311" spans="2:81" s="1" customFormat="1" ht="10.5">
      <c r="B311" s="837" t="s">
        <v>367</v>
      </c>
      <c r="D311" s="838"/>
      <c r="E311" s="838"/>
      <c r="F311" s="838"/>
      <c r="G311" s="838"/>
      <c r="H311" s="838"/>
      <c r="I311" s="838"/>
      <c r="J311" s="838"/>
      <c r="K311" s="838"/>
      <c r="L311" s="838">
        <f>+SUM(L309:L310)</f>
        <v>16260</v>
      </c>
      <c r="M311" s="838">
        <f t="shared" ref="M311:AF311" si="1898">+SUM(M309:M310)</f>
        <v>17854</v>
      </c>
      <c r="N311" s="838">
        <f t="shared" si="1898"/>
        <v>17550</v>
      </c>
      <c r="O311" s="838">
        <f t="shared" si="1898"/>
        <v>20343</v>
      </c>
      <c r="P311" s="838">
        <f t="shared" si="1898"/>
        <v>19179</v>
      </c>
      <c r="Q311" s="838">
        <f t="shared" si="1898"/>
        <v>20048</v>
      </c>
      <c r="R311" s="838">
        <f t="shared" si="1898"/>
        <v>20401</v>
      </c>
      <c r="S311" s="838">
        <f t="shared" si="1898"/>
        <v>23305</v>
      </c>
      <c r="T311" s="838">
        <f t="shared" si="1898"/>
        <v>22649</v>
      </c>
      <c r="U311" s="838">
        <f t="shared" si="1898"/>
        <v>24548</v>
      </c>
      <c r="V311" s="838">
        <f t="shared" si="1898"/>
        <v>24046</v>
      </c>
      <c r="W311" s="838">
        <f t="shared" si="1898"/>
        <v>25694</v>
      </c>
      <c r="X311" s="838">
        <f t="shared" si="1898"/>
        <v>26152</v>
      </c>
      <c r="Y311" s="838">
        <f t="shared" si="1898"/>
        <v>28882</v>
      </c>
      <c r="Z311" s="838">
        <f t="shared" si="1898"/>
        <v>28661</v>
      </c>
      <c r="AA311" s="838">
        <f t="shared" si="1898"/>
        <v>32161</v>
      </c>
      <c r="AB311" s="838">
        <f t="shared" si="1898"/>
        <v>31671</v>
      </c>
      <c r="AC311" s="838">
        <f t="shared" si="1898"/>
        <v>34768</v>
      </c>
      <c r="AD311" s="838">
        <f t="shared" si="1898"/>
        <v>33745</v>
      </c>
      <c r="AE311" s="838">
        <f t="shared" si="1898"/>
        <v>35436</v>
      </c>
      <c r="AF311" s="838">
        <f t="shared" si="1898"/>
        <v>34670</v>
      </c>
      <c r="AG311" s="838">
        <f t="shared" ref="AG311:AH311" si="1899">+SUM(AG309:AG310)</f>
        <v>35259</v>
      </c>
      <c r="AH311" s="838">
        <f t="shared" si="1899"/>
        <v>36729</v>
      </c>
      <c r="AI311" s="838">
        <f t="shared" ref="AI311:AJ311" si="1900">+SUM(AI309:AI310)</f>
        <v>39394</v>
      </c>
      <c r="AJ311" s="838">
        <f t="shared" si="1900"/>
        <v>40215</v>
      </c>
      <c r="AK311" s="838">
        <f t="shared" ref="AK311:AL311" si="1901">+SUM(AK309:AK310)</f>
        <v>42397</v>
      </c>
      <c r="AL311" s="838">
        <f t="shared" si="1901"/>
        <v>43353</v>
      </c>
      <c r="AM311" s="838">
        <f t="shared" ref="AM311:AN311" si="1902">+SUM(AM309:AM310)</f>
        <v>45043</v>
      </c>
      <c r="AN311" s="838">
        <f t="shared" si="1902"/>
        <v>45486</v>
      </c>
      <c r="AO311" s="838"/>
      <c r="AP311" s="838"/>
      <c r="AQ311" s="838"/>
      <c r="AR311" s="838"/>
      <c r="AS311" s="838">
        <f t="shared" ref="AS311:BH311" si="1903">+AS1072</f>
        <v>33757</v>
      </c>
      <c r="AT311" s="838">
        <f t="shared" si="1903"/>
        <v>36632</v>
      </c>
      <c r="AU311" s="838">
        <f t="shared" si="1903"/>
        <v>40429</v>
      </c>
      <c r="AV311" s="838">
        <f t="shared" si="1903"/>
        <v>48822</v>
      </c>
      <c r="AW311" s="838">
        <f t="shared" si="1903"/>
        <v>46282</v>
      </c>
      <c r="AX311" s="838">
        <f t="shared" si="1903"/>
        <v>50089</v>
      </c>
      <c r="AY311" s="838">
        <f t="shared" si="1903"/>
        <v>54366</v>
      </c>
      <c r="AZ311" s="838">
        <f t="shared" si="1903"/>
        <v>56193</v>
      </c>
      <c r="BA311" s="838">
        <f t="shared" si="1903"/>
        <v>57464</v>
      </c>
      <c r="BB311" s="838">
        <f t="shared" si="1903"/>
        <v>59755</v>
      </c>
      <c r="BC311" s="838">
        <f t="shared" si="1903"/>
        <v>60542</v>
      </c>
      <c r="BD311" s="838">
        <f t="shared" si="1903"/>
        <v>52540</v>
      </c>
      <c r="BE311" s="838">
        <f t="shared" si="1903"/>
        <v>55689</v>
      </c>
      <c r="BF311" s="838">
        <f t="shared" si="1903"/>
        <v>0</v>
      </c>
      <c r="BG311" s="838">
        <f t="shared" si="1903"/>
        <v>58374</v>
      </c>
      <c r="BH311" s="838">
        <f t="shared" si="1903"/>
        <v>62310</v>
      </c>
      <c r="BI311" s="838">
        <f t="shared" ref="BI311:BM311" si="1904">+SUM(BI309:BI310)</f>
        <v>72007</v>
      </c>
      <c r="BJ311" s="838">
        <f t="shared" si="1904"/>
        <v>82933</v>
      </c>
      <c r="BK311" s="838">
        <f t="shared" si="1904"/>
        <v>96937</v>
      </c>
      <c r="BL311" s="838">
        <f t="shared" si="1904"/>
        <v>115856</v>
      </c>
      <c r="BM311" s="838">
        <f t="shared" si="1904"/>
        <v>135620</v>
      </c>
      <c r="BN311" s="838">
        <f t="shared" si="1895"/>
        <v>146052</v>
      </c>
      <c r="BO311" s="838">
        <f t="shared" si="1896"/>
        <v>171008</v>
      </c>
      <c r="BP311" s="838"/>
      <c r="BT311"/>
      <c r="BU311"/>
      <c r="BV311"/>
      <c r="BW311"/>
      <c r="BX311"/>
      <c r="BY311"/>
      <c r="BZ311"/>
      <c r="CA311"/>
      <c r="CB311"/>
      <c r="CC311"/>
    </row>
    <row r="312" spans="2:81">
      <c r="B312" s="19"/>
    </row>
    <row r="313" spans="2:81" s="3" customFormat="1">
      <c r="B313" s="883" t="s">
        <v>113</v>
      </c>
      <c r="BT313"/>
      <c r="BU313"/>
      <c r="BV313"/>
      <c r="BW313"/>
      <c r="BX313"/>
      <c r="BY313"/>
      <c r="BZ313"/>
      <c r="CA313"/>
      <c r="CB313"/>
      <c r="CC313"/>
    </row>
    <row r="314" spans="2:81" s="3" customFormat="1">
      <c r="B314" s="884" t="str">
        <f>+B309</f>
        <v>Cloud</v>
      </c>
      <c r="L314" s="228"/>
      <c r="M314" s="228"/>
      <c r="N314" s="228"/>
      <c r="O314" s="228"/>
      <c r="P314" s="228">
        <f t="shared" ref="P314:P316" si="1905">+IFERROR(P309/L309-1,"NA ")</f>
        <v>0.5665873959571941</v>
      </c>
      <c r="Q314" s="228">
        <f t="shared" ref="Q314:Q316" si="1906">+IFERROR(Q309/M309-1,"NA ")</f>
        <v>0.60483175150992263</v>
      </c>
      <c r="R314" s="228">
        <f t="shared" ref="R314:R316" si="1907">+IFERROR(R309/N309-1,"NA ")</f>
        <v>0.53346855983772845</v>
      </c>
      <c r="S314" s="228">
        <f t="shared" ref="S314:S316" si="1908">+IFERROR(S309/O309-1,"NA ")</f>
        <v>0.53400557820210248</v>
      </c>
      <c r="T314" s="228">
        <f t="shared" ref="T314:T316" si="1909">+IFERROR(T309/P309-1,"NA ")</f>
        <v>0.45275142314990502</v>
      </c>
      <c r="U314" s="228">
        <f t="shared" ref="U314:U316" si="1910">+IFERROR(U309/Q309-1,"NA ")</f>
        <v>0.50089605734767018</v>
      </c>
      <c r="V314" s="228">
        <f t="shared" ref="V314:V316" si="1911">+IFERROR(V309/R309-1,"NA ")</f>
        <v>0.47337962962962954</v>
      </c>
      <c r="W314" s="228">
        <f t="shared" ref="W314:W316" si="1912">+IFERROR(W309/S309-1,"NA ")</f>
        <v>0.32000000000000006</v>
      </c>
      <c r="X314" s="228">
        <f t="shared" ref="X314:X316" si="1913">+IFERROR(X309/T309-1,"NA ")</f>
        <v>0.40961337513061657</v>
      </c>
      <c r="Y314" s="228">
        <f t="shared" ref="Y314:Y316" si="1914">+IFERROR(Y309/U309-1,"NA ")</f>
        <v>0.41576119402985068</v>
      </c>
      <c r="Z314" s="228">
        <f t="shared" ref="Z314:Z316" si="1915">+IFERROR(Z309/V309-1,"NA ")</f>
        <v>0.3904163393558524</v>
      </c>
      <c r="AA314" s="228">
        <f t="shared" ref="AA314:AA316" si="1916">+IFERROR(AA309/W309-1,"NA ")</f>
        <v>0.44628099173553726</v>
      </c>
      <c r="AB314" s="228">
        <f t="shared" ref="AB314:AB316" si="1917">+IFERROR(AB309/X309-1,"NA ")</f>
        <v>0.36184210526315796</v>
      </c>
      <c r="AC314" s="228">
        <f t="shared" ref="AC314:AC316" si="1918">+IFERROR(AC309/Y309-1,"NA ")</f>
        <v>0.30471451463270616</v>
      </c>
      <c r="AD314" s="228">
        <f t="shared" ref="AD314:AD316" si="1919">+IFERROR(AD309/Z309-1,"NA ")</f>
        <v>0.32203389830508455</v>
      </c>
      <c r="AE314" s="228">
        <f t="shared" ref="AE314:AE316" si="1920">+IFERROR(AE309/AA309-1,"NA ")</f>
        <v>0.26879120879120877</v>
      </c>
      <c r="AF314" s="228">
        <f t="shared" ref="AF314:AF315" si="1921">+IFERROR(AF309/AB309-1,"NA ")</f>
        <v>0.27651901748656194</v>
      </c>
      <c r="AG314" s="228">
        <f t="shared" ref="AG314:AG316" si="1922">+IFERROR(AG309/AC309-1,"NA ")</f>
        <v>0.2612798965740144</v>
      </c>
      <c r="AH314" s="228">
        <f t="shared" ref="AH314:AH316" si="1923">+IFERROR(AH309/AD309-1,"NA ")</f>
        <v>0.25274725274725296</v>
      </c>
      <c r="AI314" s="228">
        <f t="shared" ref="AI314:AJ316" si="1924">+IFERROR(AI309/AE309-1,"NA ")</f>
        <v>0.25965702407760261</v>
      </c>
      <c r="AJ314" s="228">
        <f t="shared" si="1924"/>
        <v>0.23735408560311289</v>
      </c>
      <c r="AK314" s="228">
        <f t="shared" ref="AK314:AK316" si="1925">+IFERROR(AK309/AG309-1,"NA ")</f>
        <v>0.24354243542435428</v>
      </c>
      <c r="AL314" s="228">
        <f t="shared" ref="AL314:AL316" si="1926">+IFERROR(AL309/AH309-1,"NA ")</f>
        <v>0.24868421052631584</v>
      </c>
      <c r="AM314" s="228">
        <f t="shared" ref="AM314:AM316" si="1927">+IFERROR(AM309/AI309-1,"NA ")</f>
        <v>0.16391639163916372</v>
      </c>
      <c r="AN314" s="228">
        <f t="shared" ref="AN314:AN316" si="1928">+IFERROR(AN309/AJ309-1,"NA ")</f>
        <v>0.189756181614543</v>
      </c>
      <c r="AO314" s="228"/>
      <c r="AP314" s="228"/>
      <c r="AQ314" s="228"/>
      <c r="AR314" s="228"/>
      <c r="AS314" s="228"/>
      <c r="AT314" s="228"/>
      <c r="AU314" s="228"/>
      <c r="AV314" s="228"/>
      <c r="AW314" s="228"/>
      <c r="AX314" s="228"/>
      <c r="AY314" s="228"/>
      <c r="AZ314" s="228"/>
      <c r="BA314" s="228"/>
      <c r="BB314" s="228"/>
      <c r="BC314" s="228"/>
      <c r="BD314" s="228" t="str">
        <f t="shared" ref="BD314" si="1929">+IFERROR(BD307/BC307-1,"n/a ")</f>
        <v xml:space="preserve">n/a </v>
      </c>
      <c r="BE314" s="228" t="str">
        <f t="shared" ref="BE314" si="1930">+IFERROR(BE307/BD307-1,"n/a ")</f>
        <v xml:space="preserve">n/a </v>
      </c>
      <c r="BF314" s="228"/>
      <c r="BG314" s="228"/>
      <c r="BH314" s="228"/>
      <c r="BI314" s="228" t="str">
        <f>+IFERROR(#REF!/#REF!-1,"NA ")</f>
        <v xml:space="preserve">NA </v>
      </c>
      <c r="BJ314" s="228">
        <f t="shared" ref="BJ314:BM314" si="1931">+IFERROR(BJ309/BI309-1,"NA ")</f>
        <v>0.55690793733005317</v>
      </c>
      <c r="BK314" s="228">
        <f t="shared" si="1931"/>
        <v>0.42964071856287434</v>
      </c>
      <c r="BL314" s="228">
        <f t="shared" si="1931"/>
        <v>0.41620127981384525</v>
      </c>
      <c r="BM314" s="228">
        <f t="shared" si="1931"/>
        <v>0.31171311795272039</v>
      </c>
      <c r="BN314" s="228">
        <f t="shared" ref="BN314:BN316" si="1932">+IFERROR(BN309/BM309-1,"NA ")</f>
        <v>0.26215826887545801</v>
      </c>
      <c r="BO314" s="228">
        <f t="shared" ref="BO314:BO316" si="1933">+IFERROR(BO309/BN309-1,"NA ")</f>
        <v>0.22186108250939718</v>
      </c>
      <c r="BP314" s="228"/>
      <c r="BT314"/>
      <c r="BU314"/>
      <c r="BV314"/>
      <c r="BW314"/>
      <c r="BX314"/>
      <c r="BY314"/>
      <c r="BZ314"/>
      <c r="CA314"/>
      <c r="CB314"/>
      <c r="CC314"/>
    </row>
    <row r="315" spans="2:81" s="3" customFormat="1" ht="11.45">
      <c r="B315" s="884" t="str">
        <f t="shared" ref="B315:B316" si="1934">+B310</f>
        <v>Non-Cloud</v>
      </c>
      <c r="L315" s="840"/>
      <c r="M315" s="840"/>
      <c r="N315" s="840"/>
      <c r="O315" s="840"/>
      <c r="P315" s="840">
        <f t="shared" si="1905"/>
        <v>7.8551488833746852E-2</v>
      </c>
      <c r="Q315" s="840">
        <f t="shared" si="1906"/>
        <v>6.3295541489880591E-3</v>
      </c>
      <c r="R315" s="840">
        <f t="shared" si="1907"/>
        <v>5.4902249007790616E-2</v>
      </c>
      <c r="S315" s="840">
        <f t="shared" si="1908"/>
        <v>3.016196913658975E-2</v>
      </c>
      <c r="T315" s="840">
        <f t="shared" si="1909"/>
        <v>7.7935149902940593E-2</v>
      </c>
      <c r="U315" s="840">
        <f t="shared" si="1910"/>
        <v>0.11784628144871445</v>
      </c>
      <c r="V315" s="840">
        <f t="shared" si="1911"/>
        <v>5.4483383264822605E-2</v>
      </c>
      <c r="W315" s="840">
        <f t="shared" si="1912"/>
        <v>6.2519343856390908E-3</v>
      </c>
      <c r="X315" s="840">
        <f t="shared" si="1913"/>
        <v>2.4478089775228362E-2</v>
      </c>
      <c r="Y315" s="840">
        <f t="shared" si="1914"/>
        <v>5.2680393248005997E-2</v>
      </c>
      <c r="Z315" s="840">
        <f t="shared" si="1915"/>
        <v>7.5057813016187636E-2</v>
      </c>
      <c r="AA315" s="840">
        <f t="shared" si="1916"/>
        <v>0.13871801181102361</v>
      </c>
      <c r="AB315" s="840">
        <f t="shared" si="1917"/>
        <v>0.10507812499999991</v>
      </c>
      <c r="AC315" s="840">
        <f t="shared" si="1918"/>
        <v>0.13350954478707777</v>
      </c>
      <c r="AD315" s="840">
        <f t="shared" si="1919"/>
        <v>6.7236187081310295E-2</v>
      </c>
      <c r="AE315" s="840">
        <f t="shared" si="1920"/>
        <v>-2.1284641564475182E-2</v>
      </c>
      <c r="AF315" s="840">
        <f t="shared" si="1921"/>
        <v>-6.2743018734535139E-2</v>
      </c>
      <c r="AG315" s="840">
        <f t="shared" si="1922"/>
        <v>-0.18400870556534354</v>
      </c>
      <c r="AH315" s="840">
        <f t="shared" si="1923"/>
        <v>-6.6570688165850878E-2</v>
      </c>
      <c r="AI315" s="840">
        <f t="shared" si="1924"/>
        <v>-2.9751062537947792E-2</v>
      </c>
      <c r="AJ315" s="840">
        <f t="shared" si="1924"/>
        <v>6.8640392230812752E-2</v>
      </c>
      <c r="AK315" s="840">
        <f t="shared" si="1925"/>
        <v>0.15152092462056266</v>
      </c>
      <c r="AL315" s="840">
        <f t="shared" si="1926"/>
        <v>9.3836757357023792E-2</v>
      </c>
      <c r="AM315" s="840">
        <f t="shared" si="1927"/>
        <v>0.1179315052907044</v>
      </c>
      <c r="AN315" s="840">
        <f t="shared" si="1928"/>
        <v>5.0938180107052533E-2</v>
      </c>
      <c r="AO315" s="840"/>
      <c r="AP315" s="840"/>
      <c r="AQ315" s="840"/>
      <c r="AR315" s="840"/>
      <c r="AS315" s="840"/>
      <c r="AT315" s="840"/>
      <c r="AU315" s="840"/>
      <c r="AV315" s="840"/>
      <c r="AW315" s="840"/>
      <c r="AX315" s="840"/>
      <c r="AY315" s="840"/>
      <c r="AZ315" s="840"/>
      <c r="BA315" s="840"/>
      <c r="BB315" s="840"/>
      <c r="BC315" s="840"/>
      <c r="BD315" s="840" t="str">
        <f>+IFERROR(#REF!/#REF!-1,"NA ")</f>
        <v xml:space="preserve">NA </v>
      </c>
      <c r="BE315" s="840" t="str">
        <f>+IFERROR(#REF!/#REF!-1,"n/a ")</f>
        <v xml:space="preserve">n/a </v>
      </c>
      <c r="BF315" s="840"/>
      <c r="BG315" s="840"/>
      <c r="BH315" s="840"/>
      <c r="BI315" s="840" t="str">
        <f>+IFERROR(#REF!/#REF!-1,"NA ")</f>
        <v xml:space="preserve">NA </v>
      </c>
      <c r="BJ315" s="840">
        <f t="shared" ref="BJ315:BM315" si="1935">+IFERROR(BJ310/BI310-1,"NA ")</f>
        <v>4.1088382454341321E-2</v>
      </c>
      <c r="BK315" s="840">
        <f t="shared" si="1935"/>
        <v>6.2358835017406911E-2</v>
      </c>
      <c r="BL315" s="840">
        <f t="shared" si="1935"/>
        <v>7.3692792173537747E-2</v>
      </c>
      <c r="BM315" s="840">
        <f t="shared" si="1935"/>
        <v>6.8292465049801132E-2</v>
      </c>
      <c r="BN315" s="840">
        <f t="shared" si="1932"/>
        <v>-8.7953284834294987E-2</v>
      </c>
      <c r="BO315" s="840">
        <f t="shared" si="1933"/>
        <v>0.10806350564613476</v>
      </c>
      <c r="BP315" s="840"/>
      <c r="BT315"/>
      <c r="BU315"/>
      <c r="BV315"/>
      <c r="BW315"/>
      <c r="BX315"/>
      <c r="BY315"/>
      <c r="BZ315"/>
      <c r="CA315"/>
      <c r="CB315"/>
      <c r="CC315"/>
    </row>
    <row r="316" spans="2:81" s="7" customFormat="1">
      <c r="B316" s="887" t="str">
        <f t="shared" si="1934"/>
        <v>Total Gross Profit</v>
      </c>
      <c r="L316" s="842"/>
      <c r="M316" s="842"/>
      <c r="N316" s="842"/>
      <c r="O316" s="842"/>
      <c r="P316" s="842">
        <f t="shared" si="1905"/>
        <v>0.17952029520295198</v>
      </c>
      <c r="Q316" s="842">
        <f t="shared" si="1906"/>
        <v>0.12288562787050528</v>
      </c>
      <c r="R316" s="842">
        <f t="shared" si="1907"/>
        <v>0.16245014245014255</v>
      </c>
      <c r="S316" s="842">
        <f t="shared" si="1908"/>
        <v>0.14560291009192361</v>
      </c>
      <c r="T316" s="842">
        <f t="shared" si="1909"/>
        <v>0.1809270556337661</v>
      </c>
      <c r="U316" s="842">
        <f t="shared" si="1910"/>
        <v>0.22446129289704708</v>
      </c>
      <c r="V316" s="842">
        <f t="shared" si="1911"/>
        <v>0.17866771236704082</v>
      </c>
      <c r="W316" s="842">
        <f t="shared" si="1912"/>
        <v>0.10251019094614899</v>
      </c>
      <c r="X316" s="842">
        <f t="shared" si="1913"/>
        <v>0.15466466510662724</v>
      </c>
      <c r="Y316" s="842">
        <f t="shared" si="1914"/>
        <v>0.17655206126772049</v>
      </c>
      <c r="Z316" s="842">
        <f t="shared" si="1915"/>
        <v>0.19192381269233971</v>
      </c>
      <c r="AA316" s="842">
        <f t="shared" si="1916"/>
        <v>0.25169300225733626</v>
      </c>
      <c r="AB316" s="842">
        <f t="shared" si="1917"/>
        <v>0.2110354848577547</v>
      </c>
      <c r="AC316" s="842">
        <f t="shared" si="1918"/>
        <v>0.20379475105602096</v>
      </c>
      <c r="AD316" s="842">
        <f t="shared" si="1919"/>
        <v>0.17738390146889493</v>
      </c>
      <c r="AE316" s="842">
        <f t="shared" si="1920"/>
        <v>0.10183141071484103</v>
      </c>
      <c r="AF316" s="842">
        <f t="shared" ref="AF316" si="1936">+IFERROR(AF311/AB311-1,"NA ")</f>
        <v>9.4692305263490262E-2</v>
      </c>
      <c r="AG316" s="842">
        <f t="shared" si="1922"/>
        <v>1.4122181316152727E-2</v>
      </c>
      <c r="AH316" s="842">
        <f t="shared" si="1923"/>
        <v>8.8427915246703126E-2</v>
      </c>
      <c r="AI316" s="842">
        <f t="shared" si="1924"/>
        <v>0.11169432215825714</v>
      </c>
      <c r="AJ316" s="842">
        <f t="shared" si="1924"/>
        <v>0.15993654456302275</v>
      </c>
      <c r="AK316" s="842">
        <f t="shared" si="1925"/>
        <v>0.20244476587537941</v>
      </c>
      <c r="AL316" s="842">
        <f t="shared" si="1926"/>
        <v>0.18034795393285963</v>
      </c>
      <c r="AM316" s="842">
        <f t="shared" si="1927"/>
        <v>0.14339747169619743</v>
      </c>
      <c r="AN316" s="842">
        <f t="shared" si="1928"/>
        <v>0.13107049608355092</v>
      </c>
      <c r="AO316" s="842"/>
      <c r="AP316" s="842"/>
      <c r="AQ316" s="842"/>
      <c r="AR316" s="842"/>
      <c r="AS316" s="842"/>
      <c r="AT316" s="842"/>
      <c r="AU316" s="842"/>
      <c r="AV316" s="842"/>
      <c r="AW316" s="842"/>
      <c r="AX316" s="842"/>
      <c r="AY316" s="842"/>
      <c r="AZ316" s="842"/>
      <c r="BA316" s="842"/>
      <c r="BB316" s="842"/>
      <c r="BC316" s="842">
        <f>+IFERROR(BC311/BB311-1,"n/a ")</f>
        <v>1.3170445987783497E-2</v>
      </c>
      <c r="BD316" s="842">
        <f>+IFERROR(BD311/BC311-1,"n/a ")</f>
        <v>-0.13217270655082425</v>
      </c>
      <c r="BE316" s="842">
        <f>+IFERROR(BE311/BD311-1,"n/a ")</f>
        <v>5.9935287400076032E-2</v>
      </c>
      <c r="BF316" s="842"/>
      <c r="BG316" s="1177">
        <f t="shared" ref="BG316" si="1937">+BD316</f>
        <v>-0.13217270655082425</v>
      </c>
      <c r="BH316" s="842">
        <f t="shared" ref="BH316:BM316" si="1938">+IFERROR(BH311/BG311-1,"NA ")</f>
        <v>6.7427279268167384E-2</v>
      </c>
      <c r="BI316" s="842">
        <f t="shared" si="1938"/>
        <v>0.15562510030492693</v>
      </c>
      <c r="BJ316" s="842">
        <f t="shared" si="1938"/>
        <v>0.15173524796200377</v>
      </c>
      <c r="BK316" s="842">
        <f t="shared" si="1938"/>
        <v>0.16885919959485363</v>
      </c>
      <c r="BL316" s="842">
        <f t="shared" si="1938"/>
        <v>0.19516799570855303</v>
      </c>
      <c r="BM316" s="842">
        <f t="shared" si="1938"/>
        <v>0.17059107858030664</v>
      </c>
      <c r="BN316" s="842">
        <f t="shared" si="1932"/>
        <v>7.6920808140392261E-2</v>
      </c>
      <c r="BO316" s="842">
        <f t="shared" si="1933"/>
        <v>0.1708706488100129</v>
      </c>
      <c r="BP316" s="842"/>
      <c r="BT316"/>
      <c r="BU316"/>
      <c r="BV316"/>
      <c r="BW316"/>
      <c r="BX316"/>
      <c r="BY316"/>
      <c r="BZ316"/>
      <c r="CA316"/>
      <c r="CB316"/>
      <c r="CC316"/>
    </row>
    <row r="317" spans="2:81">
      <c r="B317" s="19"/>
    </row>
    <row r="318" spans="2:81" s="3" customFormat="1">
      <c r="B318" s="883" t="s">
        <v>123</v>
      </c>
    </row>
    <row r="319" spans="2:81" s="3" customFormat="1">
      <c r="B319" s="884" t="str">
        <f>+B314</f>
        <v>Cloud</v>
      </c>
      <c r="L319" s="904">
        <v>0.57999999999999996</v>
      </c>
      <c r="M319" s="904">
        <v>0.56999999999999995</v>
      </c>
      <c r="N319" s="904">
        <v>0.57999999999999996</v>
      </c>
      <c r="O319" s="904">
        <v>0.59</v>
      </c>
      <c r="P319" s="904">
        <v>0.62</v>
      </c>
      <c r="Q319" s="904">
        <v>0.62</v>
      </c>
      <c r="R319" s="904">
        <v>0.63</v>
      </c>
      <c r="S319" s="904">
        <v>0.65</v>
      </c>
      <c r="T319" s="904">
        <v>0.66</v>
      </c>
      <c r="U319" s="904">
        <v>0.67</v>
      </c>
      <c r="V319" s="904">
        <v>0.67</v>
      </c>
      <c r="W319" s="904">
        <v>0.66</v>
      </c>
      <c r="X319" s="904">
        <v>0.71</v>
      </c>
      <c r="Y319" s="904">
        <v>0.71</v>
      </c>
      <c r="Z319" s="904">
        <v>0.7</v>
      </c>
      <c r="AA319" s="904">
        <v>0.7</v>
      </c>
      <c r="AB319" s="904">
        <v>0.71</v>
      </c>
      <c r="AC319" s="904">
        <v>0.7</v>
      </c>
      <c r="AD319" s="904">
        <v>0.7</v>
      </c>
      <c r="AE319" s="904">
        <v>0.69</v>
      </c>
      <c r="AF319" s="904">
        <v>0.73</v>
      </c>
      <c r="AG319" s="904">
        <v>0.72</v>
      </c>
      <c r="AH319" s="904">
        <v>0.72</v>
      </c>
      <c r="AI319" s="904">
        <v>0.72</v>
      </c>
      <c r="AJ319" s="904">
        <v>0.73</v>
      </c>
      <c r="AK319" s="904">
        <v>0.72</v>
      </c>
      <c r="AL319" s="904">
        <v>0.73</v>
      </c>
      <c r="AM319" s="904">
        <v>0.69</v>
      </c>
      <c r="AN319" s="904">
        <v>0.71</v>
      </c>
      <c r="AO319" s="904"/>
      <c r="AP319" s="904"/>
      <c r="AQ319" s="904"/>
      <c r="BB319" s="904">
        <v>0.15</v>
      </c>
      <c r="BC319" s="904">
        <v>0.44</v>
      </c>
      <c r="BD319" s="904">
        <v>0.45</v>
      </c>
      <c r="BE319" s="851">
        <v>0.48</v>
      </c>
      <c r="BG319" s="33"/>
      <c r="BH319" s="33"/>
      <c r="BI319" s="33">
        <f t="shared" ref="BI319:BM320" si="1939">+BI309/BI290</f>
        <v>0.58067669172932324</v>
      </c>
      <c r="BJ319" s="33">
        <f t="shared" si="1939"/>
        <v>0.6311811023622047</v>
      </c>
      <c r="BK319" s="33">
        <f t="shared" si="1939"/>
        <v>0.66499032882011611</v>
      </c>
      <c r="BL319" s="33">
        <f t="shared" si="1939"/>
        <v>0.70461649782923297</v>
      </c>
      <c r="BM319" s="33">
        <f t="shared" si="1939"/>
        <v>0.69951807228915663</v>
      </c>
      <c r="BN319" s="33">
        <f t="shared" ref="BN319:BO319" si="1940">+BN309/BN290</f>
        <v>0.72230286738351257</v>
      </c>
      <c r="BO319" s="33">
        <f t="shared" si="1940"/>
        <v>0.71683406113537118</v>
      </c>
      <c r="BP319" s="228"/>
      <c r="BT319"/>
      <c r="BU319"/>
      <c r="BV319"/>
      <c r="BW319"/>
      <c r="BX319"/>
      <c r="BY319"/>
      <c r="BZ319"/>
      <c r="CA319"/>
      <c r="CB319"/>
      <c r="CC319"/>
    </row>
    <row r="320" spans="2:81" s="3" customFormat="1" ht="11.45">
      <c r="B320" s="884" t="str">
        <f t="shared" ref="B320:B321" si="1941">+B315</f>
        <v>Non-Cloud</v>
      </c>
      <c r="L320" s="840">
        <f t="shared" ref="L320:AF320" si="1942">+L310/L291</f>
        <v>0.68822713203116659</v>
      </c>
      <c r="M320" s="840">
        <f t="shared" si="1942"/>
        <v>0.630072749583662</v>
      </c>
      <c r="N320" s="840">
        <f t="shared" si="1942"/>
        <v>0.67965432838803141</v>
      </c>
      <c r="O320" s="840">
        <f t="shared" si="1942"/>
        <v>0.70687401397340544</v>
      </c>
      <c r="P320" s="840">
        <f t="shared" si="1942"/>
        <v>0.67571900505246796</v>
      </c>
      <c r="Q320" s="840">
        <f t="shared" si="1942"/>
        <v>0.61642026330365129</v>
      </c>
      <c r="R320" s="840">
        <f t="shared" si="1942"/>
        <v>0.68442134376043107</v>
      </c>
      <c r="S320" s="840">
        <f t="shared" si="1942"/>
        <v>0.71114143592903989</v>
      </c>
      <c r="T320" s="840">
        <f t="shared" si="1942"/>
        <v>0.69881146585877418</v>
      </c>
      <c r="U320" s="840">
        <f t="shared" si="1942"/>
        <v>0.66266491846267306</v>
      </c>
      <c r="V320" s="840">
        <f t="shared" si="1942"/>
        <v>0.69679112379724695</v>
      </c>
      <c r="W320" s="840">
        <f t="shared" si="1942"/>
        <v>0.68495344035730843</v>
      </c>
      <c r="X320" s="840">
        <f t="shared" si="1942"/>
        <v>0.6996447116698552</v>
      </c>
      <c r="Y320" s="840">
        <f t="shared" si="1942"/>
        <v>0.64547315741583255</v>
      </c>
      <c r="Z320" s="840">
        <f t="shared" si="1942"/>
        <v>0.67778888611180543</v>
      </c>
      <c r="AA320" s="840">
        <f t="shared" si="1942"/>
        <v>0.69454449947471109</v>
      </c>
      <c r="AB320" s="840">
        <f t="shared" si="1942"/>
        <v>0.68952350002031115</v>
      </c>
      <c r="AC320" s="840">
        <f t="shared" si="1942"/>
        <v>0.65134332388281357</v>
      </c>
      <c r="AD320" s="840">
        <f t="shared" si="1942"/>
        <v>0.66891371340523886</v>
      </c>
      <c r="AE320" s="840">
        <f t="shared" si="1942"/>
        <v>0.67689146273117873</v>
      </c>
      <c r="AF320" s="840">
        <f t="shared" si="1942"/>
        <v>0.65142085005323069</v>
      </c>
      <c r="AG320" s="840">
        <f t="shared" ref="AG320:AH320" si="1943">+AG310/AG291</f>
        <v>0.61398994034389986</v>
      </c>
      <c r="AH320" s="840">
        <f t="shared" si="1943"/>
        <v>0.66547604384776449</v>
      </c>
      <c r="AI320" s="840">
        <f t="shared" ref="AI320:AJ320" si="1944">+AI310/AI291</f>
        <v>0.67897562671404843</v>
      </c>
      <c r="AJ320" s="840">
        <f t="shared" si="1944"/>
        <v>0.68782619249908972</v>
      </c>
      <c r="AK320" s="840">
        <f t="shared" ref="AK320:AL320" si="1945">+AK310/AK291</f>
        <v>0.64028954802259885</v>
      </c>
      <c r="AL320" s="840">
        <f t="shared" si="1945"/>
        <v>0.66260557590253377</v>
      </c>
      <c r="AM320" s="840">
        <f t="shared" ref="AM320:AN320" si="1946">+AM310/AM291</f>
        <v>0.70365596018190291</v>
      </c>
      <c r="AN320" s="840">
        <f t="shared" si="1946"/>
        <v>0.68763260586183406</v>
      </c>
      <c r="AO320" s="840"/>
      <c r="AP320" s="840"/>
      <c r="AQ320" s="840"/>
      <c r="AR320" s="840"/>
      <c r="AS320" s="840"/>
      <c r="AT320" s="840"/>
      <c r="AU320" s="840"/>
      <c r="AV320" s="840"/>
      <c r="AW320" s="840"/>
      <c r="AX320" s="840"/>
      <c r="AY320" s="840"/>
      <c r="AZ320" s="840"/>
      <c r="BA320" s="840"/>
      <c r="BB320" s="840">
        <f>+BB310/BB291</f>
        <v>0.70609165446907762</v>
      </c>
      <c r="BC320" s="840">
        <f>+BC310/BC291</f>
        <v>0.66062884483937112</v>
      </c>
      <c r="BD320" s="840">
        <f>+BD310/BD291</f>
        <v>0.63657346346610388</v>
      </c>
      <c r="BE320" s="840">
        <f>+BE310/BE291</f>
        <v>0.64672884743504333</v>
      </c>
      <c r="BF320" s="840"/>
      <c r="BG320" s="840"/>
      <c r="BH320" s="840"/>
      <c r="BI320" s="840">
        <f t="shared" si="1939"/>
        <v>0.67527459407831902</v>
      </c>
      <c r="BJ320" s="840">
        <f t="shared" si="1939"/>
        <v>0.67110766670845534</v>
      </c>
      <c r="BK320" s="840">
        <f t="shared" si="1939"/>
        <v>0.68506817061818981</v>
      </c>
      <c r="BL320" s="840">
        <f t="shared" si="1939"/>
        <v>0.67853679233846531</v>
      </c>
      <c r="BM320" s="840">
        <f t="shared" si="1939"/>
        <v>0.67078620173880532</v>
      </c>
      <c r="BN320" s="840">
        <f t="shared" ref="BN320:BO320" si="1947">+BN310/BN291</f>
        <v>0.65237501869112291</v>
      </c>
      <c r="BO320" s="840">
        <f t="shared" si="1947"/>
        <v>0.67316796940272183</v>
      </c>
      <c r="BP320" s="840"/>
      <c r="BT320"/>
      <c r="BU320"/>
      <c r="BV320"/>
      <c r="BW320"/>
      <c r="BX320"/>
      <c r="BY320"/>
      <c r="BZ320"/>
      <c r="CA320"/>
      <c r="CB320"/>
      <c r="CC320"/>
    </row>
    <row r="321" spans="2:81" s="7" customFormat="1">
      <c r="B321" s="887" t="str">
        <f t="shared" si="1941"/>
        <v>Total Gross Profit</v>
      </c>
      <c r="L321" s="842">
        <f t="shared" ref="L321:AF321" si="1948">+L311/L292</f>
        <v>0.66264569239546822</v>
      </c>
      <c r="M321" s="842">
        <f t="shared" si="1948"/>
        <v>0.6174009267584204</v>
      </c>
      <c r="N321" s="842">
        <f t="shared" si="1948"/>
        <v>0.65438681531749876</v>
      </c>
      <c r="O321" s="842">
        <f t="shared" si="1948"/>
        <v>0.67618414492271894</v>
      </c>
      <c r="P321" s="842">
        <f t="shared" si="1948"/>
        <v>0.65943474075092834</v>
      </c>
      <c r="Q321" s="842">
        <f t="shared" si="1948"/>
        <v>0.61741246034923469</v>
      </c>
      <c r="R321" s="842">
        <f t="shared" si="1948"/>
        <v>0.66733178502502366</v>
      </c>
      <c r="S321" s="842">
        <f t="shared" si="1948"/>
        <v>0.69119435299700449</v>
      </c>
      <c r="T321" s="842">
        <f t="shared" si="1948"/>
        <v>0.6851913477537438</v>
      </c>
      <c r="U321" s="842">
        <f t="shared" si="1948"/>
        <v>0.66514929821709212</v>
      </c>
      <c r="V321" s="842">
        <f t="shared" si="1948"/>
        <v>0.68661660146769077</v>
      </c>
      <c r="W321" s="842">
        <f t="shared" si="1948"/>
        <v>0.67557121447164303</v>
      </c>
      <c r="X321" s="842">
        <f t="shared" si="1948"/>
        <v>0.70388114334930285</v>
      </c>
      <c r="Y321" s="842">
        <f t="shared" si="1948"/>
        <v>0.67048936762930633</v>
      </c>
      <c r="Z321" s="842">
        <f t="shared" si="1948"/>
        <v>0.68721526878626582</v>
      </c>
      <c r="AA321" s="842">
        <f t="shared" si="1948"/>
        <v>0.69684954064829263</v>
      </c>
      <c r="AB321" s="842">
        <f t="shared" si="1948"/>
        <v>0.6988768012004325</v>
      </c>
      <c r="AC321" s="842">
        <f t="shared" si="1948"/>
        <v>0.67213114754098358</v>
      </c>
      <c r="AD321" s="842">
        <f t="shared" si="1948"/>
        <v>0.68365072933549431</v>
      </c>
      <c r="AE321" s="842">
        <f t="shared" si="1948"/>
        <v>0.68323532247180174</v>
      </c>
      <c r="AF321" s="842">
        <f t="shared" si="1948"/>
        <v>0.69171222217788597</v>
      </c>
      <c r="AG321" s="842">
        <f t="shared" ref="AG321:AH321" si="1949">+AG311/AG292</f>
        <v>0.66845507801391546</v>
      </c>
      <c r="AH321" s="842">
        <f t="shared" si="1949"/>
        <v>0.69487485101311086</v>
      </c>
      <c r="AI321" s="842">
        <f t="shared" ref="AI321:AJ321" si="1950">+AI311/AI292</f>
        <v>0.70109807969531401</v>
      </c>
      <c r="AJ321" s="842">
        <f t="shared" si="1950"/>
        <v>0.71155581506449384</v>
      </c>
      <c r="AK321" s="842">
        <f t="shared" ref="AK321:AL321" si="1951">+AK311/AK292</f>
        <v>0.68360206385037081</v>
      </c>
      <c r="AL321" s="842">
        <f t="shared" si="1951"/>
        <v>0.70084710142584628</v>
      </c>
      <c r="AM321" s="842">
        <f t="shared" ref="AM321:AN321" si="1952">+AM311/AM292</f>
        <v>0.69589197707293715</v>
      </c>
      <c r="AN321" s="842">
        <f t="shared" si="1952"/>
        <v>0.7010426965249682</v>
      </c>
      <c r="AO321" s="842"/>
      <c r="AP321" s="842"/>
      <c r="AQ321" s="842"/>
      <c r="AR321" s="842"/>
      <c r="AS321" s="842"/>
      <c r="AT321" s="842"/>
      <c r="AU321" s="842"/>
      <c r="AV321" s="842"/>
      <c r="AW321" s="842"/>
      <c r="AX321" s="842"/>
      <c r="AY321" s="842"/>
      <c r="AZ321" s="842"/>
      <c r="BA321" s="842"/>
      <c r="BB321" s="842">
        <f t="shared" ref="BB321:BE321" si="1953">+BB311/BB292</f>
        <v>0.68816003132449644</v>
      </c>
      <c r="BC321" s="842">
        <f t="shared" si="1953"/>
        <v>0.64695447745244705</v>
      </c>
      <c r="BD321" s="842">
        <f t="shared" si="1953"/>
        <v>0.61579934364744493</v>
      </c>
      <c r="BE321" s="842">
        <f t="shared" si="1953"/>
        <v>0.61911061700944969</v>
      </c>
      <c r="BF321" s="842"/>
      <c r="BG321" s="1177">
        <f t="shared" ref="BG321" si="1954">+BD321</f>
        <v>0.61579934364744493</v>
      </c>
      <c r="BH321" s="842">
        <f t="shared" ref="BH321:BM321" si="1955">+BH311/BH292</f>
        <v>0.64522475691460168</v>
      </c>
      <c r="BI321" s="842">
        <f t="shared" si="1955"/>
        <v>0.65247372236317502</v>
      </c>
      <c r="BJ321" s="842">
        <f t="shared" si="1955"/>
        <v>0.65901957200638894</v>
      </c>
      <c r="BK321" s="842">
        <f t="shared" si="1955"/>
        <v>0.67781001992797962</v>
      </c>
      <c r="BL321" s="842">
        <f t="shared" si="1955"/>
        <v>0.68925800771024703</v>
      </c>
      <c r="BM321" s="842">
        <f t="shared" si="1955"/>
        <v>0.68401674484289099</v>
      </c>
      <c r="BN321" s="842">
        <f t="shared" ref="BN321:BO321" si="1956">+BN311/BN292</f>
        <v>0.68920085883491022</v>
      </c>
      <c r="BO321" s="842">
        <f t="shared" si="1956"/>
        <v>0.69764443827971379</v>
      </c>
      <c r="BP321" s="842"/>
      <c r="BT321"/>
      <c r="BU321"/>
      <c r="BV321"/>
      <c r="BW321"/>
      <c r="BX321"/>
      <c r="BY321"/>
      <c r="BZ321"/>
      <c r="CA321"/>
      <c r="CB321"/>
      <c r="CC321"/>
    </row>
    <row r="322" spans="2:81">
      <c r="B322" s="19"/>
    </row>
    <row r="323" spans="2:81" ht="10.5">
      <c r="B323" s="5" t="s">
        <v>368</v>
      </c>
      <c r="C323" s="4"/>
    </row>
    <row r="325" spans="2:81">
      <c r="B325" t="s">
        <v>369</v>
      </c>
      <c r="H325" s="911">
        <v>0.18</v>
      </c>
      <c r="I325" s="911">
        <v>7.0000000000000007E-2</v>
      </c>
      <c r="J325" s="911">
        <v>0.12</v>
      </c>
      <c r="K325" s="911">
        <v>0.3</v>
      </c>
      <c r="L325" s="911">
        <v>0.14000000000000001</v>
      </c>
      <c r="M325" s="911">
        <v>7.0000000000000007E-2</v>
      </c>
      <c r="N325" s="911">
        <v>0.26</v>
      </c>
      <c r="O325" s="911">
        <v>0.18</v>
      </c>
      <c r="P325" s="911">
        <v>0.15</v>
      </c>
      <c r="Q325" s="911">
        <v>0.18</v>
      </c>
      <c r="R325" s="911">
        <v>0.3</v>
      </c>
      <c r="S325" s="911">
        <v>0.22</v>
      </c>
      <c r="T325" s="911">
        <v>0.3</v>
      </c>
      <c r="U325" s="911">
        <v>0.31</v>
      </c>
      <c r="V325" s="911">
        <v>7.0000000000000007E-2</v>
      </c>
      <c r="W325" s="911">
        <v>0.12</v>
      </c>
      <c r="X325" s="911">
        <v>0.23</v>
      </c>
      <c r="Y325" s="911">
        <v>0.19</v>
      </c>
      <c r="Z325" s="911">
        <v>0.39</v>
      </c>
      <c r="AA325" s="911">
        <v>0.3</v>
      </c>
      <c r="AB325" s="911">
        <v>0.11</v>
      </c>
      <c r="AC325" s="911">
        <v>0.32</v>
      </c>
      <c r="AD325" s="911">
        <v>0.28000000000000003</v>
      </c>
      <c r="AE325" s="911">
        <v>0.25</v>
      </c>
      <c r="AF325" s="911">
        <v>-0.03</v>
      </c>
      <c r="AG325" s="911">
        <v>7.0000000000000007E-2</v>
      </c>
      <c r="AH325" s="911">
        <v>0.11</v>
      </c>
      <c r="AI325" s="911">
        <v>-0.02</v>
      </c>
      <c r="AJ325" s="911">
        <v>0.14000000000000001</v>
      </c>
      <c r="AK325" s="911">
        <v>0.17</v>
      </c>
      <c r="AL325" s="911">
        <v>0.28999999999999998</v>
      </c>
      <c r="AM325" s="911">
        <v>0.17</v>
      </c>
      <c r="AN325" s="911">
        <v>0.3</v>
      </c>
      <c r="AO325" s="911"/>
      <c r="AP325" s="911"/>
      <c r="AQ325" s="911"/>
      <c r="BH325" s="912">
        <f>+AVERAGE(H325:K325)</f>
        <v>0.16749999999999998</v>
      </c>
      <c r="BI325" s="912">
        <f>+AVERAGE(L325:O325)</f>
        <v>0.16250000000000001</v>
      </c>
      <c r="BJ325" s="912">
        <f>+AVERAGE(P325:S325)</f>
        <v>0.21249999999999997</v>
      </c>
      <c r="BK325" s="912">
        <f>AVERAGE(T325:W325)</f>
        <v>0.19999999999999998</v>
      </c>
      <c r="BL325" s="912">
        <f>AVERAGE(X325:AA325)</f>
        <v>0.27750000000000002</v>
      </c>
      <c r="BM325" s="912">
        <f>AVERAGE(AB325:AE325)</f>
        <v>0.24</v>
      </c>
      <c r="BN325" s="912">
        <f>AVERAGE(AF325:AI325)</f>
        <v>3.2500000000000008E-2</v>
      </c>
      <c r="BO325" s="912">
        <f>AVERAGE(AJ325:AM325)</f>
        <v>0.19250000000000003</v>
      </c>
      <c r="BP325" s="912"/>
    </row>
    <row r="326" spans="2:81">
      <c r="B326" s="12" t="s">
        <v>370</v>
      </c>
      <c r="H326" s="911">
        <v>0.18</v>
      </c>
      <c r="I326" s="911">
        <v>0.12</v>
      </c>
      <c r="J326" s="911">
        <v>0.11</v>
      </c>
      <c r="K326" s="911">
        <v>0.3</v>
      </c>
      <c r="L326" s="911">
        <v>0.09</v>
      </c>
      <c r="M326" s="911">
        <v>0.04</v>
      </c>
      <c r="N326" s="911">
        <v>0.18</v>
      </c>
      <c r="O326" s="911">
        <v>0.18</v>
      </c>
      <c r="P326" s="911">
        <v>0.16</v>
      </c>
      <c r="Q326" s="911">
        <v>0.22</v>
      </c>
      <c r="R326" s="911">
        <v>0.34</v>
      </c>
      <c r="S326" s="911">
        <v>0.25</v>
      </c>
      <c r="T326" s="911">
        <v>0.35</v>
      </c>
      <c r="U326" s="911">
        <v>0.3</v>
      </c>
      <c r="V326" s="911">
        <v>0.12</v>
      </c>
      <c r="W326" s="911">
        <v>0.14000000000000001</v>
      </c>
      <c r="X326" s="911">
        <v>0.18</v>
      </c>
      <c r="Y326" s="911">
        <v>0.11</v>
      </c>
      <c r="Z326" s="911">
        <v>0.38</v>
      </c>
      <c r="AA326" s="911">
        <v>0.25</v>
      </c>
      <c r="AB326" s="911">
        <v>0.14000000000000001</v>
      </c>
      <c r="AC326" s="911">
        <v>0.37</v>
      </c>
      <c r="AD326" s="911">
        <v>0.35</v>
      </c>
      <c r="AE326" s="911">
        <v>0.35</v>
      </c>
      <c r="AF326" s="911">
        <v>0.16</v>
      </c>
      <c r="AG326" s="911">
        <v>0.04</v>
      </c>
      <c r="AH326" s="911">
        <v>0.12</v>
      </c>
      <c r="AI326" s="911">
        <v>-0.01</v>
      </c>
      <c r="AJ326" s="911">
        <v>0.17</v>
      </c>
      <c r="AK326" s="911">
        <v>0.09</v>
      </c>
      <c r="AL326" s="911">
        <v>0.31</v>
      </c>
      <c r="AM326" s="911">
        <v>0.19</v>
      </c>
      <c r="AN326" s="911">
        <v>0.23</v>
      </c>
      <c r="AO326" s="911"/>
      <c r="AP326" s="911"/>
      <c r="AQ326" s="911"/>
      <c r="BH326" s="912">
        <f>+AVERAGE(H326:K326)</f>
        <v>0.17749999999999999</v>
      </c>
      <c r="BI326" s="912">
        <f>+AVERAGE(L326:O326)</f>
        <v>0.1225</v>
      </c>
      <c r="BJ326" s="912">
        <f>+AVERAGE(P326:S326)</f>
        <v>0.24249999999999999</v>
      </c>
      <c r="BK326" s="912">
        <f>AVERAGE(T326:W326)</f>
        <v>0.22749999999999998</v>
      </c>
      <c r="BL326" s="912">
        <f>AVERAGE(X326:AA326)</f>
        <v>0.22999999999999998</v>
      </c>
      <c r="BM326" s="912">
        <f>AVERAGE(AB326:AE326)</f>
        <v>0.30249999999999999</v>
      </c>
      <c r="BN326" s="912">
        <f>AVERAGE(AF326:AI326)</f>
        <v>7.7499999999999999E-2</v>
      </c>
      <c r="BO326" s="912">
        <f t="shared" ref="BO326:BO328" si="1957">AVERAGE(AJ326:AM326)</f>
        <v>0.19</v>
      </c>
      <c r="BP326" s="912"/>
    </row>
    <row r="327" spans="2:81">
      <c r="B327" s="13"/>
      <c r="H327" s="879"/>
      <c r="I327" s="879"/>
      <c r="J327" s="879"/>
      <c r="K327" s="879"/>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c r="AJ327" s="33"/>
      <c r="AK327" s="33"/>
      <c r="AL327" s="33"/>
      <c r="AM327" s="33"/>
      <c r="AN327" s="33"/>
      <c r="AO327" s="33"/>
      <c r="AP327" s="33"/>
      <c r="AQ327" s="33"/>
      <c r="BH327" s="8"/>
      <c r="BI327" s="33"/>
      <c r="BJ327" s="33"/>
      <c r="BK327" s="33"/>
      <c r="BL327" s="33"/>
      <c r="BM327" s="33"/>
      <c r="BN327" s="33"/>
      <c r="BO327" s="33"/>
      <c r="BP327" s="33"/>
    </row>
    <row r="328" spans="2:81">
      <c r="B328" t="s">
        <v>371</v>
      </c>
      <c r="H328" s="911">
        <v>0.87</v>
      </c>
      <c r="I328" s="911">
        <v>0.83</v>
      </c>
      <c r="J328" s="911">
        <v>0.87</v>
      </c>
      <c r="K328" s="911">
        <v>0.86</v>
      </c>
      <c r="L328" s="911">
        <v>0.89</v>
      </c>
      <c r="M328" s="911">
        <v>0.86</v>
      </c>
      <c r="N328" s="911">
        <v>0.89</v>
      </c>
      <c r="O328" s="911">
        <v>0.89</v>
      </c>
      <c r="P328" s="911">
        <v>0.9</v>
      </c>
      <c r="Q328" s="911">
        <v>0.89</v>
      </c>
      <c r="R328" s="911">
        <v>0.9</v>
      </c>
      <c r="S328" s="911">
        <v>0.9</v>
      </c>
      <c r="T328" s="911">
        <v>0.91</v>
      </c>
      <c r="U328" s="911">
        <v>0.89</v>
      </c>
      <c r="V328" s="911">
        <v>0.92</v>
      </c>
      <c r="W328" s="911">
        <v>0.94</v>
      </c>
      <c r="X328" s="911">
        <v>0.93</v>
      </c>
      <c r="Y328" s="911">
        <v>0.93</v>
      </c>
      <c r="Z328" s="911">
        <v>0.94</v>
      </c>
      <c r="AA328" s="911">
        <v>0.95</v>
      </c>
      <c r="AB328" s="911">
        <v>0.95</v>
      </c>
      <c r="AC328" s="911">
        <v>0.94</v>
      </c>
      <c r="AD328" s="911">
        <v>0.96</v>
      </c>
      <c r="AE328" s="911">
        <v>0.96</v>
      </c>
      <c r="AF328" s="911">
        <v>0.96</v>
      </c>
      <c r="AG328" s="911">
        <v>0.96</v>
      </c>
      <c r="AH328" s="911">
        <v>0.96</v>
      </c>
      <c r="AI328" s="911">
        <v>0.97</v>
      </c>
      <c r="AJ328" s="911">
        <v>0.96</v>
      </c>
      <c r="AK328" s="911">
        <v>0.96</v>
      </c>
      <c r="AL328" s="911">
        <v>0.97</v>
      </c>
      <c r="AM328" s="911">
        <v>0.97</v>
      </c>
      <c r="AN328" s="911">
        <v>0.98</v>
      </c>
      <c r="AO328" s="911"/>
      <c r="AP328" s="911"/>
      <c r="AQ328" s="911"/>
      <c r="BH328" s="912">
        <f>+AVERAGE(H328:K328)</f>
        <v>0.85749999999999993</v>
      </c>
      <c r="BI328" s="912">
        <f>+AVERAGE(L328:O328)</f>
        <v>0.88250000000000006</v>
      </c>
      <c r="BJ328" s="912">
        <f>+AVERAGE(P328:S328)</f>
        <v>0.89749999999999996</v>
      </c>
      <c r="BK328" s="913">
        <f>+AVERAGE(T328:W328)</f>
        <v>0.91500000000000004</v>
      </c>
      <c r="BL328" s="913">
        <f>+AVERAGE(X328:AA328)</f>
        <v>0.9375</v>
      </c>
      <c r="BM328" s="912">
        <f>AVERAGE(AB328:AE328)</f>
        <v>0.9524999999999999</v>
      </c>
      <c r="BN328" s="912">
        <f>AVERAGE(AF328:AI328)</f>
        <v>0.96249999999999991</v>
      </c>
      <c r="BO328" s="912">
        <f t="shared" si="1957"/>
        <v>0.96499999999999986</v>
      </c>
      <c r="BP328" s="912"/>
      <c r="BT328" s="3"/>
      <c r="BU328" s="3"/>
      <c r="BV328" s="3"/>
      <c r="BW328" s="3"/>
      <c r="BX328" s="3"/>
      <c r="BY328" s="3"/>
      <c r="BZ328" s="3"/>
      <c r="CA328" s="3"/>
      <c r="CB328" s="3"/>
      <c r="CC328" s="3"/>
    </row>
    <row r="329" spans="2:81">
      <c r="H329" s="911"/>
      <c r="I329" s="911"/>
      <c r="J329" s="911"/>
      <c r="K329" s="911"/>
      <c r="L329" s="911"/>
      <c r="M329" s="911"/>
      <c r="N329" s="911"/>
      <c r="O329" s="911"/>
      <c r="P329" s="911"/>
      <c r="Q329" s="911"/>
      <c r="R329" s="911"/>
      <c r="S329" s="911"/>
      <c r="T329" s="911"/>
      <c r="U329" s="911"/>
      <c r="V329" s="911"/>
      <c r="W329" s="911"/>
      <c r="X329" s="911"/>
      <c r="Y329" s="911"/>
      <c r="Z329" s="911"/>
      <c r="AA329" s="911"/>
      <c r="AB329" s="911"/>
      <c r="AC329" s="911"/>
      <c r="AD329" s="911"/>
      <c r="AE329" s="911"/>
      <c r="AF329" s="911"/>
      <c r="AG329" s="911"/>
      <c r="AH329" s="911"/>
      <c r="AI329" s="911"/>
      <c r="AJ329" s="911"/>
      <c r="AK329" s="911"/>
      <c r="AL329" s="911"/>
      <c r="AM329" s="911"/>
      <c r="AN329" s="911"/>
      <c r="AO329" s="911"/>
      <c r="AP329" s="911"/>
      <c r="AQ329" s="911"/>
      <c r="BH329" s="912"/>
      <c r="BI329" s="912"/>
      <c r="BJ329" s="912"/>
      <c r="BK329" s="912"/>
      <c r="BL329" s="912"/>
      <c r="BM329" s="912"/>
      <c r="BN329" s="912"/>
      <c r="BO329" s="912"/>
      <c r="BP329" s="912"/>
      <c r="BT329" s="3"/>
      <c r="BU329" s="3"/>
      <c r="BV329" s="3"/>
      <c r="BW329" s="3"/>
      <c r="BX329" s="3"/>
      <c r="BY329" s="3"/>
      <c r="BZ329" s="3"/>
      <c r="CA329" s="3"/>
      <c r="CB329" s="3"/>
      <c r="CC329" s="3"/>
    </row>
    <row r="330" spans="2:81" ht="10.5">
      <c r="B330" s="5" t="s">
        <v>336</v>
      </c>
      <c r="C330" s="4"/>
      <c r="H330" s="911"/>
      <c r="I330" s="911"/>
      <c r="J330" s="911"/>
      <c r="K330" s="911"/>
      <c r="L330" s="911"/>
      <c r="M330" s="911"/>
      <c r="N330" s="911"/>
      <c r="O330" s="911"/>
      <c r="P330" s="911"/>
      <c r="Q330" s="911"/>
      <c r="R330" s="911"/>
      <c r="S330" s="911"/>
      <c r="T330" s="911"/>
      <c r="U330" s="911"/>
      <c r="V330" s="911"/>
      <c r="W330" s="911"/>
      <c r="X330" s="911"/>
      <c r="Y330" s="911"/>
      <c r="Z330" s="911"/>
      <c r="AA330" s="911"/>
      <c r="AB330" s="911"/>
      <c r="AC330" s="911"/>
      <c r="AD330" s="911"/>
      <c r="AE330" s="911"/>
      <c r="AF330" s="911"/>
      <c r="AG330" s="911"/>
      <c r="AH330" s="911"/>
      <c r="AI330" s="911"/>
      <c r="AJ330" s="911"/>
      <c r="AK330" s="911"/>
      <c r="AL330" s="911"/>
      <c r="AM330" s="911"/>
      <c r="AN330" s="911"/>
      <c r="AO330" s="911"/>
      <c r="AP330" s="911"/>
      <c r="AQ330" s="911"/>
      <c r="BH330" s="912"/>
      <c r="BI330" s="912"/>
      <c r="BJ330" s="912"/>
      <c r="BK330" s="912"/>
      <c r="BL330" s="912"/>
      <c r="BM330" s="912"/>
      <c r="BN330" s="912"/>
      <c r="BO330" s="912"/>
      <c r="BP330" s="912"/>
      <c r="BT330" s="3"/>
      <c r="BU330" s="3"/>
      <c r="BV330" s="3"/>
      <c r="BW330" s="3"/>
      <c r="BX330" s="3"/>
      <c r="BY330" s="3"/>
      <c r="BZ330" s="3"/>
      <c r="CA330" s="3"/>
      <c r="CB330" s="3"/>
      <c r="CC330" s="3"/>
    </row>
    <row r="331" spans="2:81">
      <c r="H331" s="911"/>
      <c r="I331" s="911"/>
      <c r="J331" s="911"/>
      <c r="K331" s="911"/>
      <c r="L331" s="911"/>
      <c r="M331" s="911"/>
      <c r="N331" s="911"/>
      <c r="O331" s="911"/>
      <c r="P331" s="911"/>
      <c r="Q331" s="911"/>
      <c r="R331" s="911"/>
      <c r="S331" s="911"/>
      <c r="T331" s="911"/>
      <c r="U331" s="911"/>
      <c r="V331" s="911"/>
      <c r="W331" s="911"/>
      <c r="X331" s="911"/>
      <c r="Y331" s="911"/>
      <c r="Z331" s="911"/>
      <c r="AA331" s="911"/>
      <c r="AB331" s="911"/>
      <c r="AC331" s="911"/>
      <c r="AD331" s="911"/>
      <c r="AE331" s="911"/>
      <c r="AF331" s="911"/>
      <c r="AG331" s="911"/>
      <c r="AH331" s="911"/>
      <c r="AI331" s="911"/>
      <c r="AJ331" s="911"/>
      <c r="AK331" s="911"/>
      <c r="AL331" s="911"/>
      <c r="AM331" s="911"/>
      <c r="AN331" s="911"/>
      <c r="AO331" s="911"/>
      <c r="AP331" s="911"/>
      <c r="AQ331" s="911"/>
      <c r="BH331" s="912"/>
      <c r="BI331" s="912"/>
      <c r="BJ331" s="912"/>
      <c r="BK331" s="912"/>
      <c r="BL331" s="912"/>
      <c r="BM331" s="912"/>
      <c r="BN331" s="912"/>
      <c r="BO331" s="912"/>
      <c r="BP331" s="912"/>
      <c r="BT331" s="3"/>
      <c r="BU331" s="3"/>
      <c r="BV331" s="3"/>
      <c r="BW331" s="3"/>
      <c r="BX331" s="3"/>
      <c r="BY331" s="3"/>
      <c r="BZ331" s="3"/>
      <c r="CA331" s="3"/>
      <c r="CB331" s="3"/>
      <c r="CC331" s="3"/>
    </row>
    <row r="332" spans="2:81">
      <c r="B332" t="s">
        <v>86</v>
      </c>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f t="shared" ref="AF332:AM332" si="1958">+AF152</f>
        <v>22074</v>
      </c>
      <c r="AG332" s="8">
        <f t="shared" si="1958"/>
        <v>22602</v>
      </c>
      <c r="AH332" s="8">
        <f t="shared" si="1958"/>
        <v>23926</v>
      </c>
      <c r="AI332" s="8">
        <f t="shared" si="1958"/>
        <v>25549</v>
      </c>
      <c r="AJ332" s="8">
        <f t="shared" si="1958"/>
        <v>25226</v>
      </c>
      <c r="AK332" s="8">
        <f t="shared" si="1958"/>
        <v>25854</v>
      </c>
      <c r="AL332" s="8">
        <f t="shared" si="1958"/>
        <v>27113</v>
      </c>
      <c r="AM332" s="8">
        <f t="shared" si="1958"/>
        <v>28627</v>
      </c>
      <c r="AN332" s="8">
        <f>+AN152</f>
        <v>28317</v>
      </c>
      <c r="AO332" s="8">
        <f>+AO396</f>
        <v>29000</v>
      </c>
      <c r="AP332" s="8">
        <f t="shared" ref="AP332:AQ332" si="1959">+AP396</f>
        <v>30366.560000000001</v>
      </c>
      <c r="AQ332" s="8">
        <f t="shared" si="1959"/>
        <v>32062.240000000005</v>
      </c>
      <c r="BB332" s="8"/>
      <c r="BC332" s="8"/>
      <c r="BD332" s="8"/>
      <c r="BE332" s="8"/>
      <c r="BG332" s="8"/>
      <c r="BH332" s="8"/>
      <c r="BI332" s="8"/>
      <c r="BJ332" s="8"/>
      <c r="BK332" s="8"/>
      <c r="BL332" s="8"/>
      <c r="BM332" s="8"/>
      <c r="BN332" s="8">
        <f>+SUM(AF332:AI332)</f>
        <v>94151</v>
      </c>
      <c r="BO332" s="8">
        <f>+SUM(AJ332:AM332)</f>
        <v>106820</v>
      </c>
      <c r="BP332" s="8">
        <f>+SUM(AN332:AQ332)</f>
        <v>119745.8</v>
      </c>
    </row>
    <row r="333" spans="2:81" s="3" customFormat="1">
      <c r="B333" s="13" t="s">
        <v>113</v>
      </c>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f t="shared" ref="AJ333:AM333" si="1960">+AJ332/AF332-1</f>
        <v>0.1427924254779378</v>
      </c>
      <c r="AK333" s="14">
        <f t="shared" si="1960"/>
        <v>0.14388107247146276</v>
      </c>
      <c r="AL333" s="14">
        <f t="shared" si="1960"/>
        <v>0.13320237398645829</v>
      </c>
      <c r="AM333" s="14">
        <f t="shared" si="1960"/>
        <v>0.12047438255900422</v>
      </c>
      <c r="AN333" s="14">
        <f>+AN332/AJ332-1</f>
        <v>0.12253230793625614</v>
      </c>
      <c r="AO333" s="14">
        <f t="shared" ref="AO333:AQ333" si="1961">+AO332/AK332-1</f>
        <v>0.12168329852247228</v>
      </c>
      <c r="AP333" s="14">
        <f t="shared" si="1961"/>
        <v>0.12000000000000011</v>
      </c>
      <c r="AQ333" s="14">
        <f t="shared" si="1961"/>
        <v>0.12000000000000011</v>
      </c>
      <c r="BC333" s="14"/>
      <c r="BD333" s="14"/>
      <c r="BE333" s="14"/>
      <c r="BG333" s="829"/>
      <c r="BH333" s="14"/>
      <c r="BI333" s="14"/>
      <c r="BJ333" s="14"/>
      <c r="BK333" s="14"/>
      <c r="BL333" s="14"/>
      <c r="BM333" s="14"/>
      <c r="BN333" s="14"/>
      <c r="BO333" s="14">
        <f>+BO332/BN332-1</f>
        <v>0.13456044014402391</v>
      </c>
      <c r="BP333" s="14">
        <f>+BP332/BO332-1</f>
        <v>0.12100542969481376</v>
      </c>
      <c r="BT333"/>
      <c r="BU333"/>
      <c r="BV333"/>
      <c r="BW333"/>
      <c r="BX333"/>
      <c r="BY333"/>
      <c r="BZ333"/>
      <c r="CA333"/>
      <c r="CB333"/>
      <c r="CC333"/>
    </row>
    <row r="334" spans="2:81" s="3" customFormat="1">
      <c r="B334" s="13" t="s">
        <v>272</v>
      </c>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3" t="s">
        <v>273</v>
      </c>
      <c r="AK334" s="23" t="s">
        <v>273</v>
      </c>
      <c r="AL334" s="23" t="s">
        <v>273</v>
      </c>
      <c r="AM334" s="23" t="s">
        <v>273</v>
      </c>
      <c r="AN334" s="22">
        <v>0.13</v>
      </c>
      <c r="AO334" s="891">
        <f>+AO333+AO14-AO13</f>
        <v>0.12311304544433521</v>
      </c>
      <c r="AP334" s="891">
        <f t="shared" ref="AP334:AQ334" si="1962">+AP333+AP14-AP13</f>
        <v>0.13605643114661614</v>
      </c>
      <c r="AQ334" s="891">
        <f t="shared" si="1962"/>
        <v>0.13026734403581375</v>
      </c>
      <c r="BI334" s="23"/>
      <c r="BJ334" s="23"/>
      <c r="BK334" s="23"/>
      <c r="BL334" s="23"/>
      <c r="BM334" s="23"/>
      <c r="BN334" s="23"/>
      <c r="BO334" s="23" t="s">
        <v>273</v>
      </c>
      <c r="BP334" s="23">
        <f>+SUMPRODUCT(AN334:AQ334,AJ332:AM332)/SUM(AJ332:AM332)</f>
        <v>0.12994201415754808</v>
      </c>
      <c r="BT334"/>
      <c r="BU334"/>
      <c r="BV334"/>
      <c r="BW334"/>
      <c r="BX334"/>
      <c r="BY334"/>
      <c r="BZ334"/>
      <c r="CA334"/>
      <c r="CB334"/>
      <c r="CC334"/>
    </row>
    <row r="335" spans="2:81" s="3" customFormat="1">
      <c r="B335" s="921"/>
      <c r="L335" s="14"/>
      <c r="M335" s="14"/>
      <c r="N335" s="90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BI335" s="14"/>
      <c r="BJ335" s="14"/>
      <c r="BK335" s="14"/>
      <c r="BL335" s="14"/>
      <c r="BM335" s="14"/>
      <c r="BN335" s="14"/>
      <c r="BO335" s="14"/>
      <c r="BP335" s="14"/>
      <c r="BT335"/>
      <c r="BU335"/>
      <c r="BV335"/>
      <c r="BW335"/>
      <c r="BX335"/>
      <c r="BY335"/>
      <c r="BZ335"/>
      <c r="CA335"/>
      <c r="CB335"/>
      <c r="CC335"/>
    </row>
    <row r="336" spans="2:81" s="3" customFormat="1">
      <c r="B336" s="922" t="s">
        <v>127</v>
      </c>
      <c r="L336" s="14"/>
      <c r="M336" s="14"/>
      <c r="N336" s="90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BI336" s="14"/>
      <c r="BJ336" s="14"/>
      <c r="BK336" s="14"/>
      <c r="BL336" s="14"/>
      <c r="BM336" s="14"/>
      <c r="BN336" s="14"/>
      <c r="BO336" s="14"/>
      <c r="BP336" s="14"/>
      <c r="BT336"/>
      <c r="BU336"/>
      <c r="BV336"/>
      <c r="BW336"/>
      <c r="BX336"/>
      <c r="BY336"/>
      <c r="BZ336"/>
      <c r="CA336"/>
      <c r="CB336"/>
      <c r="CC336"/>
    </row>
    <row r="337" spans="2:81" s="3" customFormat="1">
      <c r="B337" s="12" t="s">
        <v>372</v>
      </c>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f t="shared" ref="AF337:AN337" si="1963">+AF332-AF384</f>
        <v>18411</v>
      </c>
      <c r="AG337" s="8">
        <f t="shared" si="1963"/>
        <v>18726</v>
      </c>
      <c r="AH337" s="8">
        <f t="shared" si="1963"/>
        <v>20229</v>
      </c>
      <c r="AI337" s="8">
        <f t="shared" si="1963"/>
        <v>21640</v>
      </c>
      <c r="AJ337" s="8">
        <f t="shared" si="1963"/>
        <v>21313</v>
      </c>
      <c r="AK337" s="8">
        <f t="shared" si="1963"/>
        <v>21659</v>
      </c>
      <c r="AL337" s="8">
        <f t="shared" si="1963"/>
        <v>23100</v>
      </c>
      <c r="AM337" s="8">
        <f t="shared" si="1963"/>
        <v>24376</v>
      </c>
      <c r="AN337" s="8">
        <f t="shared" si="1963"/>
        <v>24025</v>
      </c>
      <c r="AO337" s="8"/>
      <c r="AP337" s="8"/>
      <c r="AQ337" s="8"/>
      <c r="BG337" s="8"/>
      <c r="BH337" s="8"/>
      <c r="BI337" s="8"/>
      <c r="BJ337" s="8"/>
      <c r="BK337" s="8"/>
      <c r="BL337" s="8"/>
      <c r="BM337" s="8"/>
      <c r="BN337" s="8">
        <f>+SUM(AF337:AI337)</f>
        <v>79006</v>
      </c>
      <c r="BO337" s="8">
        <f>+SUM(AJ337:AM337)</f>
        <v>90448</v>
      </c>
      <c r="BP337" s="8"/>
      <c r="BT337"/>
      <c r="BU337"/>
      <c r="BV337"/>
      <c r="BW337"/>
      <c r="BX337"/>
      <c r="BY337"/>
      <c r="BZ337"/>
      <c r="CA337"/>
      <c r="CB337"/>
      <c r="CC337"/>
    </row>
    <row r="338" spans="2:81" s="3" customFormat="1">
      <c r="B338" s="15" t="s">
        <v>113</v>
      </c>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f t="shared" ref="AJ338:AK338" si="1964">+AJ337/AF337-1</f>
        <v>0.157623160067351</v>
      </c>
      <c r="AK338" s="14">
        <f t="shared" si="1964"/>
        <v>0.15662714941792166</v>
      </c>
      <c r="AL338" s="14">
        <f t="shared" ref="AL338" si="1965">+AL337/AH337-1</f>
        <v>0.1419249592169658</v>
      </c>
      <c r="AM338" s="14">
        <f t="shared" ref="AM338" si="1966">+AM337/AI337-1</f>
        <v>0.12643253234750462</v>
      </c>
      <c r="AN338" s="14">
        <f>+AN337/AJ337-1</f>
        <v>0.12724628161216156</v>
      </c>
      <c r="AO338" s="14"/>
      <c r="AP338" s="14"/>
      <c r="AQ338" s="14"/>
      <c r="BI338" s="14"/>
      <c r="BJ338" s="14"/>
      <c r="BK338" s="14"/>
      <c r="BL338" s="14"/>
      <c r="BM338" s="14"/>
      <c r="BN338" s="14"/>
      <c r="BO338" s="14">
        <f>+BO337/BN337-1</f>
        <v>0.14482444371313563</v>
      </c>
      <c r="BP338" s="14"/>
    </row>
    <row r="339" spans="2:81" s="3" customFormat="1">
      <c r="B339" s="15" t="s">
        <v>272</v>
      </c>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f>+(AJ332*(1+AN334)-AJ384*(1+AN386))/AJ337-1</f>
        <v>0.13734387463050712</v>
      </c>
      <c r="AO339" s="14"/>
      <c r="AP339" s="14"/>
      <c r="AQ339" s="14"/>
      <c r="BI339" s="14"/>
      <c r="BJ339" s="14"/>
      <c r="BK339" s="14"/>
      <c r="BL339" s="23"/>
      <c r="BM339" s="23"/>
      <c r="BN339" s="23"/>
      <c r="BO339" s="23" t="s">
        <v>273</v>
      </c>
      <c r="BP339" s="14"/>
    </row>
    <row r="341" spans="2:81" s="3" customFormat="1">
      <c r="B341" t="s">
        <v>373</v>
      </c>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f>+AN341/(1+AN342)</f>
        <v>20570.915619389587</v>
      </c>
      <c r="AK341" s="8"/>
      <c r="AL341" s="8"/>
      <c r="AM341" s="8"/>
      <c r="AN341" s="8">
        <f>+AN346+AN351</f>
        <v>22916</v>
      </c>
      <c r="AO341" s="8"/>
      <c r="AP341" s="8"/>
      <c r="AQ341" s="8"/>
      <c r="BG341" s="8"/>
      <c r="BH341" s="8"/>
      <c r="BI341" s="8"/>
      <c r="BJ341" s="8"/>
      <c r="BK341" s="8"/>
      <c r="BL341" s="8"/>
      <c r="BM341" s="8"/>
      <c r="BN341" s="8"/>
      <c r="BO341" s="8"/>
      <c r="BP341" s="8"/>
      <c r="BT341"/>
      <c r="BU341"/>
      <c r="BV341"/>
      <c r="BW341"/>
      <c r="BX341"/>
      <c r="BY341"/>
      <c r="BZ341"/>
      <c r="CA341"/>
      <c r="CB341"/>
      <c r="CC341"/>
    </row>
    <row r="342" spans="2:81" s="3" customFormat="1">
      <c r="B342" s="13" t="s">
        <v>113</v>
      </c>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3" t="s">
        <v>273</v>
      </c>
      <c r="AK342" s="22"/>
      <c r="AL342" s="22"/>
      <c r="AM342" s="22"/>
      <c r="AN342" s="22">
        <v>0.114</v>
      </c>
      <c r="AO342" s="22"/>
      <c r="AP342" s="22"/>
      <c r="AQ342" s="22"/>
      <c r="BG342" s="21"/>
      <c r="BH342" s="21"/>
      <c r="BI342" s="21"/>
      <c r="BJ342" s="21"/>
      <c r="BK342" s="21"/>
      <c r="BL342" s="21"/>
      <c r="BM342" s="21"/>
      <c r="BN342" s="21"/>
      <c r="BO342" s="21"/>
      <c r="BP342" s="21"/>
      <c r="BS342" s="21"/>
      <c r="BT342"/>
      <c r="BU342"/>
      <c r="BV342"/>
      <c r="BW342"/>
      <c r="BX342"/>
      <c r="BY342"/>
      <c r="BZ342"/>
      <c r="CA342"/>
      <c r="CB342"/>
      <c r="CC342"/>
    </row>
    <row r="343" spans="2:81" s="3" customFormat="1">
      <c r="B343" s="13" t="s">
        <v>272</v>
      </c>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3" t="s">
        <v>273</v>
      </c>
      <c r="AK343" s="22"/>
      <c r="AL343" s="22"/>
      <c r="AM343" s="22"/>
      <c r="AN343" s="22">
        <v>0.12</v>
      </c>
      <c r="AO343" s="22"/>
      <c r="AP343" s="22"/>
      <c r="AQ343" s="22"/>
      <c r="BG343" s="21"/>
      <c r="BH343" s="21"/>
      <c r="BI343" s="21"/>
      <c r="BJ343" s="21"/>
      <c r="BK343" s="21"/>
      <c r="BL343" s="21"/>
      <c r="BM343" s="21"/>
      <c r="BN343" s="21"/>
      <c r="BO343" s="21"/>
      <c r="BP343" s="21"/>
      <c r="BS343" s="21"/>
      <c r="BT343"/>
      <c r="BU343"/>
      <c r="BV343"/>
      <c r="BW343"/>
      <c r="BX343"/>
      <c r="BY343"/>
      <c r="BZ343"/>
      <c r="CA343"/>
      <c r="CB343"/>
      <c r="CC343"/>
    </row>
    <row r="344" spans="2:81" s="3" customFormat="1">
      <c r="B344" s="13" t="s">
        <v>123</v>
      </c>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f>+AJ341/AJ332</f>
        <v>0.81546482277767329</v>
      </c>
      <c r="AK344" s="14"/>
      <c r="AL344" s="14"/>
      <c r="AM344" s="14"/>
      <c r="AN344" s="14">
        <f>+AN341/AN332</f>
        <v>0.80926651834586993</v>
      </c>
      <c r="AO344" s="14"/>
      <c r="AP344" s="14"/>
      <c r="AQ344" s="14"/>
      <c r="BB344" s="14"/>
      <c r="BC344" s="14"/>
      <c r="BD344" s="14"/>
      <c r="BE344" s="14"/>
      <c r="BG344" s="14"/>
      <c r="BH344" s="14"/>
      <c r="BI344" s="14"/>
      <c r="BJ344" s="14"/>
      <c r="BK344" s="14"/>
      <c r="BL344" s="14"/>
      <c r="BM344" s="14"/>
      <c r="BN344" s="14"/>
      <c r="BO344" s="14"/>
      <c r="BP344" s="14"/>
      <c r="BT344"/>
      <c r="BU344"/>
      <c r="BV344"/>
      <c r="BW344"/>
      <c r="BX344"/>
      <c r="BY344"/>
      <c r="BZ344"/>
      <c r="CA344"/>
      <c r="CB344"/>
      <c r="CC344"/>
    </row>
    <row r="345" spans="2:81">
      <c r="B345" s="921"/>
    </row>
    <row r="346" spans="2:81">
      <c r="B346" t="s">
        <v>374</v>
      </c>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f>+AJ341-AJ351</f>
        <v>6273.9156193895869</v>
      </c>
      <c r="AK346" s="8"/>
      <c r="AL346" s="8"/>
      <c r="AM346" s="8"/>
      <c r="AN346" s="61">
        <v>6400</v>
      </c>
      <c r="AO346" s="8"/>
      <c r="AP346" s="8"/>
      <c r="AQ346" s="8"/>
      <c r="BB346" s="8"/>
      <c r="BC346" s="8"/>
      <c r="BD346" s="8"/>
      <c r="BE346" s="8"/>
      <c r="BG346" s="8"/>
      <c r="BH346" s="8"/>
      <c r="BI346" s="8"/>
      <c r="BJ346" s="8"/>
      <c r="BK346" s="8"/>
      <c r="BL346" s="8"/>
      <c r="BM346" s="8"/>
      <c r="BN346" s="8"/>
      <c r="BO346" s="8"/>
      <c r="BP346" s="8"/>
    </row>
    <row r="347" spans="2:81">
      <c r="B347" s="13" t="s">
        <v>113</v>
      </c>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23" t="s">
        <v>273</v>
      </c>
      <c r="AK347" s="14"/>
      <c r="AL347" s="14"/>
      <c r="AM347" s="14"/>
      <c r="AN347" s="23">
        <f>+AN346/AJ346-1</f>
        <v>2.0096601270942926E-2</v>
      </c>
      <c r="AO347" s="14"/>
      <c r="AP347" s="14"/>
      <c r="AQ347" s="14"/>
      <c r="BC347" s="14"/>
      <c r="BD347" s="14"/>
      <c r="BE347" s="14"/>
      <c r="BG347" s="14"/>
      <c r="BH347" s="14"/>
      <c r="BI347" s="14"/>
      <c r="BJ347" s="14"/>
      <c r="BK347" s="14"/>
      <c r="BL347" s="14"/>
      <c r="BM347" s="14"/>
      <c r="BN347" s="14"/>
      <c r="BO347" s="14"/>
      <c r="BP347" s="14"/>
    </row>
    <row r="348" spans="2:81">
      <c r="B348" s="13" t="s">
        <v>272</v>
      </c>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23" t="s">
        <v>273</v>
      </c>
      <c r="AK348" s="14"/>
      <c r="AL348" s="14"/>
      <c r="AM348" s="14"/>
      <c r="AN348" s="23">
        <f t="shared" ref="AN348" si="1967">(AJ341*(1+AN343)-AJ351*(1+AN353))/AJ346-1</f>
        <v>1.9732792379951958E-2</v>
      </c>
      <c r="AO348" s="14"/>
      <c r="AP348" s="14"/>
      <c r="AQ348" s="14"/>
      <c r="BC348" s="14"/>
      <c r="BD348" s="14"/>
      <c r="BE348" s="14"/>
      <c r="BG348" s="14"/>
      <c r="BH348" s="14"/>
      <c r="BI348" s="14"/>
      <c r="BJ348" s="14"/>
      <c r="BK348" s="14"/>
      <c r="BL348" s="14"/>
      <c r="BM348" s="14"/>
      <c r="BN348" s="14"/>
      <c r="BO348" s="14"/>
      <c r="BP348" s="14"/>
    </row>
    <row r="349" spans="2:81">
      <c r="B349" s="13" t="s">
        <v>123</v>
      </c>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f>+AJ346/AJ332</f>
        <v>0.24870830172796268</v>
      </c>
      <c r="AK349" s="14"/>
      <c r="AL349" s="14"/>
      <c r="AM349" s="14"/>
      <c r="AN349" s="14">
        <f>+AN346/AN332</f>
        <v>0.22601264258219445</v>
      </c>
      <c r="AO349" s="14"/>
      <c r="AP349" s="14"/>
      <c r="AQ349" s="14"/>
      <c r="BB349" s="14"/>
      <c r="BC349" s="14"/>
      <c r="BD349" s="14"/>
      <c r="BE349" s="14"/>
      <c r="BG349" s="14"/>
      <c r="BH349" s="14"/>
      <c r="BI349" s="14"/>
      <c r="BJ349" s="14"/>
      <c r="BK349" s="14"/>
      <c r="BL349" s="14"/>
      <c r="BM349" s="14"/>
      <c r="BN349" s="14"/>
      <c r="BO349" s="14"/>
      <c r="BP349" s="14"/>
    </row>
    <row r="350" spans="2:81">
      <c r="B350" s="13"/>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BB350" s="14"/>
      <c r="BC350" s="14"/>
      <c r="BD350" s="14"/>
      <c r="BE350" s="14"/>
      <c r="BG350" s="14"/>
      <c r="BH350" s="14"/>
      <c r="BI350" s="14"/>
      <c r="BJ350" s="14"/>
      <c r="BK350" s="14"/>
      <c r="BL350" s="14"/>
      <c r="BM350" s="14"/>
      <c r="BN350" s="14"/>
      <c r="BO350" s="14"/>
      <c r="BP350" s="14"/>
    </row>
    <row r="351" spans="2:81">
      <c r="B351" t="s">
        <v>352</v>
      </c>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f t="shared" ref="AF351:AQ351" si="1968">+AF184</f>
        <v>11940</v>
      </c>
      <c r="AG351" s="859" t="str">
        <f t="shared" si="1968"/>
        <v>NA</v>
      </c>
      <c r="AH351" s="8">
        <f t="shared" si="1968"/>
        <v>12776</v>
      </c>
      <c r="AI351" s="8">
        <f t="shared" si="1968"/>
        <v>13875</v>
      </c>
      <c r="AJ351" s="8">
        <f t="shared" si="1968"/>
        <v>14297</v>
      </c>
      <c r="AK351" s="8">
        <f t="shared" si="1968"/>
        <v>14515</v>
      </c>
      <c r="AL351" s="8">
        <f t="shared" si="1968"/>
        <v>15143</v>
      </c>
      <c r="AM351" s="8">
        <f t="shared" si="1968"/>
        <v>15706</v>
      </c>
      <c r="AN351" s="8">
        <f t="shared" si="1968"/>
        <v>16516</v>
      </c>
      <c r="AO351" s="8">
        <f t="shared" si="1968"/>
        <v>16759.656364758666</v>
      </c>
      <c r="AP351" s="8">
        <f t="shared" si="1968"/>
        <v>17461.127911762898</v>
      </c>
      <c r="AQ351" s="8">
        <f t="shared" si="1968"/>
        <v>18119.662146204275</v>
      </c>
      <c r="BB351" s="8"/>
      <c r="BC351" s="8"/>
      <c r="BD351" s="8"/>
      <c r="BE351" s="8"/>
      <c r="BG351" s="61"/>
      <c r="BH351" s="8"/>
      <c r="BI351" s="8"/>
      <c r="BJ351" s="8"/>
      <c r="BK351" s="8"/>
      <c r="BL351" s="8"/>
      <c r="BM351" s="8"/>
      <c r="BN351" s="859" t="s">
        <v>273</v>
      </c>
      <c r="BO351" s="8">
        <f>+SUM(AJ351:AM351)</f>
        <v>59661</v>
      </c>
      <c r="BP351" s="8">
        <f>+SUM(AN351:AQ351)</f>
        <v>68856.446422725829</v>
      </c>
    </row>
    <row r="352" spans="2:81">
      <c r="B352" s="13" t="s">
        <v>113</v>
      </c>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f t="shared" ref="AJ352" si="1969">+AJ351/AF351-1</f>
        <v>0.19740368509212725</v>
      </c>
      <c r="AK352" s="14" t="s">
        <v>273</v>
      </c>
      <c r="AL352" s="14">
        <f t="shared" ref="AL352" si="1970">+AL351/AH351-1</f>
        <v>0.18526925485284917</v>
      </c>
      <c r="AM352" s="14">
        <f t="shared" ref="AM352" si="1971">+AM351/AI351-1</f>
        <v>0.13196396396396404</v>
      </c>
      <c r="AN352" s="14">
        <f t="shared" ref="AN352" si="1972">+AN351/AJ351-1</f>
        <v>0.15520738616492968</v>
      </c>
      <c r="AO352" s="14">
        <f t="shared" ref="AO352" si="1973">+AO351/AK351-1</f>
        <v>0.15464391076532324</v>
      </c>
      <c r="AP352" s="14">
        <f t="shared" ref="AP352" si="1974">+AP351/AL351-1</f>
        <v>0.15308247452703538</v>
      </c>
      <c r="AQ352" s="14">
        <f t="shared" ref="AQ352" si="1975">+AQ351/AM351-1</f>
        <v>0.15367771209755987</v>
      </c>
      <c r="BC352" s="14"/>
      <c r="BD352" s="14"/>
      <c r="BE352" s="14"/>
      <c r="BG352" s="829"/>
      <c r="BH352" s="829"/>
      <c r="BI352" s="14"/>
      <c r="BJ352" s="14"/>
      <c r="BK352" s="14"/>
      <c r="BL352" s="14"/>
      <c r="BM352" s="14"/>
      <c r="BN352" s="14"/>
      <c r="BO352" s="23" t="s">
        <v>273</v>
      </c>
      <c r="BP352" s="14">
        <f>+BP351/BO351-1</f>
        <v>0.15412826507644573</v>
      </c>
    </row>
    <row r="353" spans="2:81">
      <c r="B353" s="13" t="s">
        <v>272</v>
      </c>
      <c r="L353" s="22"/>
      <c r="M353" s="22"/>
      <c r="N353" s="22"/>
      <c r="O353" s="22"/>
      <c r="P353" s="22"/>
      <c r="Q353" s="22"/>
      <c r="R353" s="22"/>
      <c r="S353" s="22"/>
      <c r="T353" s="22"/>
      <c r="U353" s="22"/>
      <c r="V353" s="22"/>
      <c r="W353" s="22"/>
      <c r="X353" s="22"/>
      <c r="Y353" s="22"/>
      <c r="Z353" s="22"/>
      <c r="AA353" s="22"/>
      <c r="AB353" s="22"/>
      <c r="AC353" s="22"/>
      <c r="AD353" s="22"/>
      <c r="AE353" s="22"/>
      <c r="AF353" s="22"/>
      <c r="AG353" s="93"/>
      <c r="AH353" s="22"/>
      <c r="AI353" s="22"/>
      <c r="AJ353" s="23" t="s">
        <v>273</v>
      </c>
      <c r="AK353" s="23" t="s">
        <v>273</v>
      </c>
      <c r="AL353" s="23" t="s">
        <v>273</v>
      </c>
      <c r="AM353" s="23" t="s">
        <v>273</v>
      </c>
      <c r="AN353" s="22">
        <v>0.16400000000000001</v>
      </c>
      <c r="AO353" s="891">
        <f>+AO352+AO51-AO50</f>
        <v>0.15607365768718617</v>
      </c>
      <c r="AP353" s="891">
        <f t="shared" ref="AP353:AQ353" si="1976">+AP352+AP51-AP50</f>
        <v>0.16913890567365142</v>
      </c>
      <c r="AQ353" s="891">
        <f t="shared" si="1976"/>
        <v>0.16394505613337351</v>
      </c>
      <c r="BB353" s="932"/>
      <c r="BC353" s="932"/>
      <c r="BD353" s="932"/>
      <c r="BE353" s="932"/>
      <c r="BG353" s="829"/>
      <c r="BH353" s="829"/>
      <c r="BI353" s="23"/>
      <c r="BJ353" s="23"/>
      <c r="BK353" s="23"/>
      <c r="BL353" s="23"/>
      <c r="BM353" s="23"/>
      <c r="BN353" s="23"/>
      <c r="BO353" s="23" t="s">
        <v>273</v>
      </c>
      <c r="BP353" s="23">
        <f>+SUMPRODUCT(AN353:AQ353,AJ351:AM351)/SUM(AJ351:AM351)</f>
        <v>0.16336146966320336</v>
      </c>
      <c r="BT353" s="1273"/>
      <c r="BU353" s="1273"/>
      <c r="BV353" s="1273"/>
      <c r="BW353" s="1273"/>
      <c r="BX353" s="1273"/>
      <c r="BY353" s="1273"/>
      <c r="BZ353" s="1273"/>
      <c r="CA353" s="1273"/>
      <c r="CB353" s="1273"/>
      <c r="CC353" s="1273"/>
    </row>
    <row r="354" spans="2:81">
      <c r="B354" s="13" t="s">
        <v>123</v>
      </c>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f t="shared" ref="AF354:AQ354" si="1977">+AF351/AF332</f>
        <v>0.54090785539548791</v>
      </c>
      <c r="AG354" s="14" t="s">
        <v>273</v>
      </c>
      <c r="AH354" s="14">
        <f t="shared" si="1977"/>
        <v>0.53397977096046145</v>
      </c>
      <c r="AI354" s="14">
        <f t="shared" si="1977"/>
        <v>0.54307409291948805</v>
      </c>
      <c r="AJ354" s="14">
        <f t="shared" si="1977"/>
        <v>0.56675652104971064</v>
      </c>
      <c r="AK354" s="14">
        <f t="shared" si="1977"/>
        <v>0.56142183027771331</v>
      </c>
      <c r="AL354" s="14">
        <f t="shared" si="1977"/>
        <v>0.55851436580238267</v>
      </c>
      <c r="AM354" s="14">
        <f t="shared" si="1977"/>
        <v>0.54864288957976737</v>
      </c>
      <c r="AN354" s="14">
        <f t="shared" si="1977"/>
        <v>0.58325387576367549</v>
      </c>
      <c r="AO354" s="14">
        <f t="shared" si="1977"/>
        <v>0.57791918499167816</v>
      </c>
      <c r="AP354" s="14">
        <f t="shared" si="1977"/>
        <v>0.57501172051634752</v>
      </c>
      <c r="AQ354" s="14">
        <f t="shared" si="1977"/>
        <v>0.56514024429373222</v>
      </c>
      <c r="BB354" s="14"/>
      <c r="BC354" s="14"/>
      <c r="BD354" s="14"/>
      <c r="BE354" s="14"/>
      <c r="BG354" s="829"/>
      <c r="BH354" s="14"/>
      <c r="BI354" s="14"/>
      <c r="BJ354" s="14"/>
      <c r="BK354" s="14"/>
      <c r="BL354" s="14"/>
      <c r="BM354" s="14"/>
      <c r="BN354" s="14" t="s">
        <v>273</v>
      </c>
      <c r="BO354" s="14">
        <f>+BO351/BO332</f>
        <v>0.55851900393184795</v>
      </c>
      <c r="BP354" s="14">
        <f>+BP351/BP332</f>
        <v>0.5750218080527737</v>
      </c>
      <c r="BT354" s="1273"/>
      <c r="BU354" s="1273"/>
      <c r="BV354" s="1273"/>
      <c r="BW354" s="1273"/>
      <c r="BX354" s="1273"/>
      <c r="BY354" s="1273"/>
      <c r="BZ354" s="1273"/>
      <c r="CA354" s="1273"/>
      <c r="CB354" s="1273"/>
      <c r="CC354" s="1273"/>
    </row>
    <row r="355" spans="2:81">
      <c r="H355" s="911"/>
      <c r="I355" s="911"/>
      <c r="J355" s="911"/>
      <c r="K355" s="911"/>
      <c r="L355" s="911"/>
      <c r="M355" s="911"/>
      <c r="N355" s="911"/>
      <c r="O355" s="911"/>
      <c r="P355" s="911"/>
      <c r="Q355" s="911"/>
      <c r="R355" s="911"/>
      <c r="S355" s="911"/>
      <c r="T355" s="911"/>
      <c r="U355" s="911"/>
      <c r="V355" s="911"/>
      <c r="W355" s="911"/>
      <c r="X355" s="911"/>
      <c r="Y355" s="911"/>
      <c r="Z355" s="911"/>
      <c r="AA355" s="911"/>
      <c r="AB355" s="911"/>
      <c r="AC355" s="911"/>
      <c r="AD355" s="911"/>
      <c r="AE355" s="911"/>
      <c r="AF355" s="911"/>
      <c r="AG355" s="911"/>
      <c r="AH355" s="911"/>
      <c r="AI355" s="911"/>
      <c r="AJ355" s="911"/>
      <c r="AK355" s="911"/>
      <c r="AL355" s="911"/>
      <c r="AM355" s="911"/>
      <c r="AN355" s="911"/>
      <c r="AO355" s="911"/>
      <c r="AP355" s="911"/>
      <c r="AQ355" s="911"/>
      <c r="BH355" s="912"/>
      <c r="BI355" s="912"/>
      <c r="BJ355" s="912"/>
      <c r="BK355" s="912"/>
      <c r="BL355" s="912"/>
      <c r="BM355" s="912"/>
      <c r="BN355" s="912"/>
      <c r="BO355" s="912"/>
      <c r="BP355" s="912"/>
      <c r="BT355" s="3"/>
      <c r="BU355" s="3"/>
      <c r="BV355" s="3"/>
      <c r="BW355" s="3"/>
      <c r="BX355" s="3"/>
      <c r="BY355" s="3"/>
      <c r="BZ355" s="3"/>
      <c r="CA355" s="3"/>
      <c r="CB355" s="3"/>
      <c r="CC355" s="3"/>
    </row>
    <row r="356" spans="2:81" ht="10.5">
      <c r="B356" s="45" t="s">
        <v>375</v>
      </c>
      <c r="H356" s="911"/>
      <c r="I356" s="911"/>
      <c r="J356" s="911"/>
      <c r="K356" s="911"/>
      <c r="L356" s="911"/>
      <c r="M356" s="911"/>
      <c r="N356" s="911"/>
      <c r="O356" s="911"/>
      <c r="P356" s="911"/>
      <c r="Q356" s="911"/>
      <c r="R356" s="911"/>
      <c r="S356" s="911"/>
      <c r="T356" s="911"/>
      <c r="U356" s="911"/>
      <c r="V356" s="911"/>
      <c r="W356" s="911"/>
      <c r="X356" s="911"/>
      <c r="Y356" s="911"/>
      <c r="Z356" s="911"/>
      <c r="AA356" s="911"/>
      <c r="AB356" s="911"/>
      <c r="AC356" s="911"/>
      <c r="AD356" s="911"/>
      <c r="AE356" s="911"/>
      <c r="AF356" s="911"/>
      <c r="AG356" s="911"/>
      <c r="AH356" s="911"/>
      <c r="AI356" s="911"/>
      <c r="AJ356" s="911"/>
      <c r="AK356" s="911"/>
      <c r="AL356" s="911"/>
      <c r="AM356" s="911"/>
      <c r="AN356" s="911"/>
      <c r="AO356" s="911"/>
      <c r="AP356" s="911"/>
      <c r="AQ356" s="911"/>
      <c r="BH356" s="912"/>
      <c r="BI356" s="912"/>
      <c r="BJ356" s="912"/>
      <c r="BK356" s="912"/>
      <c r="BL356" s="912"/>
      <c r="BM356" s="912"/>
      <c r="BN356" s="912"/>
      <c r="BO356" s="912"/>
      <c r="BP356" s="912"/>
      <c r="BT356" s="3"/>
      <c r="BU356" s="3"/>
      <c r="BV356" s="3"/>
      <c r="BW356" s="3"/>
      <c r="BX356" s="3"/>
      <c r="BY356" s="3"/>
      <c r="BZ356" s="3"/>
      <c r="CA356" s="3"/>
      <c r="CB356" s="3"/>
      <c r="CC356" s="3"/>
    </row>
    <row r="357" spans="2:81" ht="10.5">
      <c r="B357" s="45"/>
      <c r="H357" s="911"/>
      <c r="I357" s="911"/>
      <c r="J357" s="911"/>
      <c r="K357" s="911"/>
      <c r="L357" s="911"/>
      <c r="M357" s="911"/>
      <c r="N357" s="911"/>
      <c r="O357" s="911"/>
      <c r="P357" s="911"/>
      <c r="Q357" s="911"/>
      <c r="R357" s="911"/>
      <c r="S357" s="911"/>
      <c r="T357" s="911"/>
      <c r="U357" s="911"/>
      <c r="V357" s="911"/>
      <c r="W357" s="911"/>
      <c r="X357" s="911"/>
      <c r="Y357" s="911"/>
      <c r="Z357" s="911"/>
      <c r="AA357" s="911"/>
      <c r="AB357" s="911"/>
      <c r="AC357" s="911"/>
      <c r="AD357" s="911"/>
      <c r="AE357" s="911"/>
      <c r="AF357" s="911"/>
      <c r="AG357" s="911"/>
      <c r="AH357" s="911"/>
      <c r="AI357" s="911"/>
      <c r="AJ357" s="911"/>
      <c r="AK357" s="911"/>
      <c r="AL357" s="911"/>
      <c r="AM357" s="911"/>
      <c r="AN357" s="911"/>
      <c r="AO357" s="911"/>
      <c r="AP357" s="911"/>
      <c r="AQ357" s="911"/>
      <c r="BH357" s="912"/>
      <c r="BI357" s="912"/>
      <c r="BJ357" s="912"/>
      <c r="BK357" s="912"/>
      <c r="BL357" s="912"/>
      <c r="BM357" s="912"/>
      <c r="BN357" s="912"/>
      <c r="BO357" s="912"/>
      <c r="BP357" s="912"/>
      <c r="BT357" s="3"/>
      <c r="BU357" s="3"/>
      <c r="BV357" s="3"/>
      <c r="BW357" s="3"/>
      <c r="BX357" s="3"/>
      <c r="BY357" s="3"/>
      <c r="BZ357" s="3"/>
      <c r="CA357" s="3"/>
      <c r="CB357" s="3"/>
      <c r="CC357" s="3"/>
    </row>
    <row r="358" spans="2:81">
      <c r="B358" s="852" t="s">
        <v>376</v>
      </c>
      <c r="H358" s="911"/>
      <c r="I358" s="911"/>
      <c r="J358" s="911"/>
      <c r="K358" s="911"/>
      <c r="L358" s="911"/>
      <c r="M358" s="911"/>
      <c r="N358" s="911"/>
      <c r="O358" s="911"/>
      <c r="P358" s="911"/>
      <c r="Q358" s="911"/>
      <c r="R358" s="911"/>
      <c r="S358" s="911"/>
      <c r="T358" s="911"/>
      <c r="U358" s="911"/>
      <c r="V358" s="911"/>
      <c r="W358" s="911"/>
      <c r="X358" s="911"/>
      <c r="Y358" s="911"/>
      <c r="Z358" s="911"/>
      <c r="AA358" s="911"/>
      <c r="AB358" s="911"/>
      <c r="AC358" s="911"/>
      <c r="AD358" s="911"/>
      <c r="AE358" s="911"/>
      <c r="AF358" s="911"/>
      <c r="AG358" s="911"/>
      <c r="AH358" s="911"/>
      <c r="AI358" s="911"/>
      <c r="AJ358" s="911"/>
      <c r="AK358" s="911"/>
      <c r="AL358" s="911"/>
      <c r="AM358" s="911"/>
      <c r="AN358" s="911"/>
      <c r="AO358" s="911"/>
      <c r="AP358" s="911"/>
      <c r="AQ358" s="911"/>
      <c r="BH358" s="912"/>
      <c r="BI358" s="912"/>
      <c r="BJ358" s="912"/>
      <c r="BK358" s="912"/>
      <c r="BL358" s="912"/>
      <c r="BM358" s="912"/>
      <c r="BN358" s="912"/>
      <c r="BO358" s="912"/>
      <c r="BP358" s="912"/>
      <c r="BT358" s="3"/>
      <c r="BU358" s="3"/>
      <c r="BV358" s="3"/>
      <c r="BW358" s="3"/>
      <c r="BX358" s="3"/>
      <c r="BY358" s="3"/>
      <c r="BZ358" s="3"/>
      <c r="CA358" s="3"/>
      <c r="CB358" s="3"/>
      <c r="CC358" s="3"/>
    </row>
    <row r="359" spans="2:81">
      <c r="B359" t="s">
        <v>377</v>
      </c>
      <c r="D359" s="911">
        <v>-0.13</v>
      </c>
      <c r="E359" s="911">
        <v>-0.14000000000000001</v>
      </c>
      <c r="F359" s="911">
        <v>0.03</v>
      </c>
      <c r="G359" s="911">
        <v>0.19</v>
      </c>
      <c r="H359" s="911">
        <v>0.03</v>
      </c>
      <c r="I359" s="911">
        <v>0.2</v>
      </c>
      <c r="J359" s="911">
        <v>0.11</v>
      </c>
      <c r="K359" s="911">
        <v>0.11</v>
      </c>
      <c r="L359" s="911">
        <v>0.12</v>
      </c>
      <c r="M359" s="911">
        <v>0.12</v>
      </c>
      <c r="N359" s="911">
        <v>0.12</v>
      </c>
      <c r="O359" s="911">
        <v>0.08</v>
      </c>
      <c r="P359" s="911">
        <v>0.16</v>
      </c>
      <c r="Q359" s="911">
        <v>0.01</v>
      </c>
      <c r="R359" s="911">
        <v>0.08</v>
      </c>
      <c r="S359" s="911">
        <v>0.06</v>
      </c>
      <c r="T359" s="911">
        <v>0.05</v>
      </c>
      <c r="U359" s="911">
        <v>0.19</v>
      </c>
      <c r="V359" s="911">
        <v>0.15</v>
      </c>
      <c r="W359" s="911">
        <v>0.06</v>
      </c>
      <c r="X359" s="911">
        <v>0.11</v>
      </c>
      <c r="Y359" s="911">
        <v>7.0000000000000007E-2</v>
      </c>
      <c r="Z359" s="911">
        <v>0.05</v>
      </c>
      <c r="AA359" s="911">
        <v>0.18</v>
      </c>
      <c r="AB359" s="911">
        <v>0.1</v>
      </c>
      <c r="AC359" s="911">
        <v>0.15</v>
      </c>
      <c r="AD359" s="911">
        <v>0.12</v>
      </c>
      <c r="AE359" s="911">
        <v>0.09</v>
      </c>
      <c r="AF359" s="911">
        <v>7.0000000000000007E-2</v>
      </c>
      <c r="AG359" s="911">
        <v>-0.02</v>
      </c>
      <c r="AH359" s="911">
        <v>0.01</v>
      </c>
      <c r="AI359" s="911">
        <v>0.03</v>
      </c>
      <c r="AJ359" s="911">
        <v>0.03</v>
      </c>
      <c r="AK359" s="911">
        <v>0.05</v>
      </c>
      <c r="AL359" s="911">
        <v>0.04</v>
      </c>
      <c r="AM359" s="911">
        <v>0.03</v>
      </c>
      <c r="AN359" s="911">
        <v>0.02</v>
      </c>
      <c r="AO359" s="911"/>
      <c r="AP359" s="911"/>
      <c r="AQ359" s="911"/>
      <c r="BG359" s="912"/>
      <c r="BH359" s="912">
        <f>+AVERAGE(H359:K359)</f>
        <v>0.1125</v>
      </c>
      <c r="BI359" s="912">
        <f>+AVERAGE(L359:O359)</f>
        <v>0.11</v>
      </c>
      <c r="BJ359" s="912">
        <f>AVERAGE(P359:S359)</f>
        <v>7.7499999999999999E-2</v>
      </c>
      <c r="BK359" s="912">
        <f t="shared" ref="BK359:BK361" si="1978">+AVERAGE(T359:W359)</f>
        <v>0.1125</v>
      </c>
      <c r="BL359" s="912">
        <f t="shared" ref="BL359:BL361" si="1979">+AVERAGE(X359:AA359)</f>
        <v>0.10249999999999999</v>
      </c>
      <c r="BM359" s="912">
        <f>+AVERAGE(AB359:AE359)</f>
        <v>0.11499999999999999</v>
      </c>
      <c r="BN359" s="912">
        <f t="shared" ref="BN359:BN361" si="1980">AVERAGE(AF359:AI359)</f>
        <v>2.2499999999999999E-2</v>
      </c>
      <c r="BO359" s="912">
        <f t="shared" ref="BO359:BO361" si="1981">AVERAGE(AJ359:AM359)</f>
        <v>3.7499999999999999E-2</v>
      </c>
      <c r="BP359" s="912"/>
      <c r="BT359" s="7"/>
      <c r="BU359" s="7"/>
      <c r="BV359" s="7"/>
      <c r="BW359" s="7"/>
      <c r="BX359" s="7"/>
      <c r="BY359" s="7"/>
      <c r="BZ359" s="7"/>
      <c r="CA359" s="7"/>
      <c r="CB359" s="7"/>
      <c r="CC359" s="7"/>
    </row>
    <row r="360" spans="2:81" collapsed="1">
      <c r="B360" t="s">
        <v>378</v>
      </c>
      <c r="D360">
        <v>0.03</v>
      </c>
      <c r="E360">
        <v>0.03</v>
      </c>
      <c r="F360">
        <v>0.04</v>
      </c>
      <c r="G360">
        <v>0.06</v>
      </c>
      <c r="H360" s="911">
        <v>0.1</v>
      </c>
      <c r="I360" s="911">
        <v>0.01</v>
      </c>
      <c r="J360" s="911">
        <v>0.1</v>
      </c>
      <c r="K360" s="911">
        <v>0.02</v>
      </c>
      <c r="L360" s="911">
        <v>0.13</v>
      </c>
      <c r="M360" s="911">
        <v>0.1</v>
      </c>
      <c r="N360" s="911">
        <v>0.17</v>
      </c>
      <c r="O360" s="911">
        <v>0.11</v>
      </c>
      <c r="P360" s="911">
        <v>0.2</v>
      </c>
      <c r="Q360" s="911">
        <v>0.17</v>
      </c>
      <c r="R360" s="911">
        <v>0.13</v>
      </c>
      <c r="S360" s="911">
        <v>0.12</v>
      </c>
      <c r="T360" s="911">
        <v>0.14000000000000001</v>
      </c>
      <c r="U360" s="911">
        <v>0.12</v>
      </c>
      <c r="V360" s="911">
        <v>0.17</v>
      </c>
      <c r="W360" s="911">
        <v>0.13</v>
      </c>
      <c r="X360" s="911">
        <v>0.19</v>
      </c>
      <c r="Y360" s="911">
        <v>0.21</v>
      </c>
      <c r="Z360" s="911">
        <v>0.26</v>
      </c>
      <c r="AA360" s="911">
        <v>0.33</v>
      </c>
      <c r="AB360" s="911">
        <v>0.31</v>
      </c>
      <c r="AC360" s="911">
        <v>0.28999999999999998</v>
      </c>
      <c r="AD360" s="911">
        <v>0.22</v>
      </c>
      <c r="AE360" s="911">
        <v>0.19</v>
      </c>
      <c r="AF360" s="911">
        <v>0.15</v>
      </c>
      <c r="AG360" s="911">
        <v>0.13</v>
      </c>
      <c r="AH360" s="911">
        <v>0.17</v>
      </c>
      <c r="AI360" s="911">
        <v>0.19</v>
      </c>
      <c r="AJ360" s="911">
        <v>0.22</v>
      </c>
      <c r="AK360" s="911">
        <v>0.21</v>
      </c>
      <c r="AL360" s="911">
        <v>0.17</v>
      </c>
      <c r="AM360" s="911">
        <v>0.16</v>
      </c>
      <c r="AN360" s="911">
        <v>0.14000000000000001</v>
      </c>
      <c r="AO360" s="911"/>
      <c r="AP360" s="911"/>
      <c r="AQ360" s="911"/>
      <c r="BG360" s="912"/>
      <c r="BH360" s="912">
        <f>+AVERAGE(H360:K360)</f>
        <v>5.7500000000000002E-2</v>
      </c>
      <c r="BI360" s="912">
        <f>+AVERAGE(L360:O360)</f>
        <v>0.1275</v>
      </c>
      <c r="BJ360" s="912">
        <f>AVERAGE(P360:S360)</f>
        <v>0.155</v>
      </c>
      <c r="BK360" s="912">
        <f t="shared" si="1978"/>
        <v>0.14000000000000001</v>
      </c>
      <c r="BL360" s="912">
        <f t="shared" si="1979"/>
        <v>0.2475</v>
      </c>
      <c r="BM360" s="912">
        <f>+AVERAGE(AB360:AE360)</f>
        <v>0.2525</v>
      </c>
      <c r="BN360" s="912">
        <f t="shared" si="1980"/>
        <v>0.16000000000000003</v>
      </c>
      <c r="BO360" s="912">
        <f t="shared" si="1981"/>
        <v>0.19</v>
      </c>
      <c r="BP360" s="912"/>
    </row>
    <row r="361" spans="2:81" collapsed="1">
      <c r="B361" t="s">
        <v>379</v>
      </c>
      <c r="H361" s="911"/>
      <c r="I361" s="911"/>
      <c r="J361" s="911"/>
      <c r="K361" s="911"/>
      <c r="L361" s="911">
        <v>0.69</v>
      </c>
      <c r="M361" s="911">
        <v>0.67</v>
      </c>
      <c r="N361" s="911">
        <v>0.65</v>
      </c>
      <c r="O361" s="911">
        <v>0.61</v>
      </c>
      <c r="P361" s="911">
        <v>0.51</v>
      </c>
      <c r="Q361" s="911">
        <v>0.51</v>
      </c>
      <c r="R361" s="911">
        <v>0.43</v>
      </c>
      <c r="S361" s="911">
        <v>0.45</v>
      </c>
      <c r="T361" s="911">
        <v>0.41</v>
      </c>
      <c r="U361" s="911">
        <v>0.42</v>
      </c>
      <c r="V361" s="911">
        <v>0.47</v>
      </c>
      <c r="W361" s="911">
        <v>0.38</v>
      </c>
      <c r="X361" s="911">
        <v>0.38</v>
      </c>
      <c r="Y361" s="911">
        <v>0.39</v>
      </c>
      <c r="Z361" s="911">
        <v>0.45</v>
      </c>
      <c r="AA361" s="911">
        <v>0.49</v>
      </c>
      <c r="AB361" s="911">
        <v>0.48</v>
      </c>
      <c r="AC361" s="911">
        <v>0.45</v>
      </c>
      <c r="AD361" s="911">
        <v>0.35</v>
      </c>
      <c r="AE361" s="911">
        <v>0.31</v>
      </c>
      <c r="AF361" s="911">
        <v>0.24</v>
      </c>
      <c r="AG361" s="911">
        <v>0.21</v>
      </c>
      <c r="AH361" s="911">
        <v>0.25</v>
      </c>
      <c r="AI361" s="911">
        <v>0.26</v>
      </c>
      <c r="AJ361" s="911">
        <v>0.28000000000000003</v>
      </c>
      <c r="AK361" s="911">
        <v>0.27</v>
      </c>
      <c r="AL361" s="911">
        <v>0.23</v>
      </c>
      <c r="AM361" s="911">
        <v>0.19</v>
      </c>
      <c r="AN361" s="911">
        <v>0.18</v>
      </c>
      <c r="AO361" s="911"/>
      <c r="AP361" s="911"/>
      <c r="AQ361" s="911"/>
      <c r="BG361" s="912"/>
      <c r="BH361" s="912"/>
      <c r="BI361" s="912">
        <f>+AVERAGE(L361:O361)</f>
        <v>0.65499999999999992</v>
      </c>
      <c r="BJ361" s="912">
        <f>AVERAGE(P361:S361)</f>
        <v>0.47499999999999998</v>
      </c>
      <c r="BK361" s="912">
        <f t="shared" si="1978"/>
        <v>0.41999999999999993</v>
      </c>
      <c r="BL361" s="912">
        <f t="shared" si="1979"/>
        <v>0.42749999999999999</v>
      </c>
      <c r="BM361" s="912">
        <f t="shared" ref="BM361" si="1982">+AVERAGE(AB361:AE361)</f>
        <v>0.39749999999999996</v>
      </c>
      <c r="BN361" s="912">
        <f t="shared" si="1980"/>
        <v>0.24</v>
      </c>
      <c r="BO361" s="912">
        <f t="shared" si="1981"/>
        <v>0.24249999999999999</v>
      </c>
      <c r="BP361" s="912"/>
      <c r="BT361" s="872"/>
      <c r="BU361" s="872"/>
      <c r="BV361" s="872"/>
      <c r="BW361" s="872"/>
      <c r="BX361" s="872"/>
      <c r="BY361" s="872"/>
      <c r="BZ361" s="872"/>
      <c r="CA361" s="872"/>
      <c r="CB361" s="872"/>
      <c r="CC361" s="872"/>
    </row>
    <row r="362" spans="2:81">
      <c r="B362" t="s">
        <v>380</v>
      </c>
      <c r="H362" s="911"/>
      <c r="I362" s="911"/>
      <c r="J362" s="911"/>
      <c r="K362" s="911"/>
      <c r="L362" s="911"/>
      <c r="M362" s="911"/>
      <c r="N362" s="911"/>
      <c r="O362" s="911"/>
      <c r="P362" s="911"/>
      <c r="Q362" s="911"/>
      <c r="R362" s="911"/>
      <c r="S362" s="911"/>
      <c r="T362" s="911"/>
      <c r="U362" s="911"/>
      <c r="V362" s="911"/>
      <c r="W362" s="911"/>
      <c r="X362" s="911"/>
      <c r="Y362" s="911"/>
      <c r="Z362" s="911"/>
      <c r="AA362" s="911"/>
      <c r="AB362" s="911"/>
      <c r="AC362" s="911"/>
      <c r="AD362" s="911"/>
      <c r="AE362" s="911"/>
      <c r="AF362" s="911"/>
      <c r="AG362" s="911"/>
      <c r="AH362" s="911"/>
      <c r="AI362" s="911"/>
      <c r="AJ362" s="911"/>
      <c r="AK362" s="911"/>
      <c r="AL362" s="911"/>
      <c r="AM362" s="911"/>
      <c r="AN362" s="911">
        <v>0.13</v>
      </c>
      <c r="AO362" s="911"/>
      <c r="AP362" s="911"/>
      <c r="AQ362" s="911"/>
      <c r="BG362" s="912"/>
      <c r="BH362" s="912"/>
      <c r="BI362" s="912"/>
      <c r="BJ362" s="912"/>
      <c r="BK362" s="912"/>
      <c r="BL362" s="912"/>
      <c r="BM362" s="912"/>
      <c r="BN362" s="912"/>
      <c r="BO362" s="912"/>
      <c r="BP362" s="912"/>
      <c r="BT362" s="1161"/>
      <c r="BU362" s="1161"/>
      <c r="BV362" s="1161"/>
      <c r="BW362" s="1161"/>
      <c r="BX362" s="1161"/>
      <c r="BY362" s="1161"/>
      <c r="BZ362" s="1161"/>
      <c r="CA362" s="1161"/>
      <c r="CB362" s="1161"/>
      <c r="CC362" s="1161"/>
    </row>
    <row r="363" spans="2:81">
      <c r="B363" t="s">
        <v>381</v>
      </c>
      <c r="H363" s="911"/>
      <c r="I363" s="911"/>
      <c r="J363" s="911"/>
      <c r="K363" s="911"/>
      <c r="L363" s="911"/>
      <c r="M363" s="911"/>
      <c r="N363" s="911"/>
      <c r="O363" s="911"/>
      <c r="P363" s="911"/>
      <c r="Q363" s="911"/>
      <c r="R363" s="911"/>
      <c r="S363" s="911"/>
      <c r="T363" s="911"/>
      <c r="U363" s="911"/>
      <c r="V363" s="911"/>
      <c r="W363" s="911"/>
      <c r="X363" s="911"/>
      <c r="Y363" s="911"/>
      <c r="Z363" s="911"/>
      <c r="AA363" s="911"/>
      <c r="AB363" s="911"/>
      <c r="AC363" s="911"/>
      <c r="AD363" s="911"/>
      <c r="AE363" s="911"/>
      <c r="AF363" s="911"/>
      <c r="AG363" s="911"/>
      <c r="AH363" s="911"/>
      <c r="AI363" s="911"/>
      <c r="AJ363" s="911"/>
      <c r="AK363" s="911"/>
      <c r="AL363" s="911"/>
      <c r="AM363" s="911"/>
      <c r="AN363" s="911">
        <v>0.15</v>
      </c>
      <c r="AO363" s="911"/>
      <c r="AP363" s="911"/>
      <c r="AQ363" s="911"/>
      <c r="BG363" s="912"/>
      <c r="BH363" s="912"/>
      <c r="BI363" s="912"/>
      <c r="BJ363" s="912"/>
      <c r="BK363" s="912"/>
      <c r="BL363" s="912"/>
      <c r="BM363" s="912"/>
      <c r="BN363" s="912"/>
      <c r="BO363" s="912"/>
      <c r="BP363" s="912"/>
      <c r="BT363" s="1161"/>
      <c r="BU363" s="1161"/>
      <c r="BV363" s="1161"/>
      <c r="BW363" s="1161"/>
      <c r="BX363" s="1161"/>
      <c r="BY363" s="1161"/>
      <c r="BZ363" s="1161"/>
      <c r="CA363" s="1161"/>
      <c r="CB363" s="1161"/>
      <c r="CC363" s="1161"/>
    </row>
    <row r="364" spans="2:81">
      <c r="B364" t="s">
        <v>382</v>
      </c>
      <c r="H364" s="911"/>
      <c r="I364" s="911"/>
      <c r="J364" s="911"/>
      <c r="K364" s="911"/>
      <c r="L364" s="911"/>
      <c r="M364" s="911"/>
      <c r="N364" s="911"/>
      <c r="O364" s="911"/>
      <c r="P364" s="911"/>
      <c r="Q364" s="911"/>
      <c r="R364" s="911"/>
      <c r="S364" s="911"/>
      <c r="T364" s="911"/>
      <c r="U364" s="911"/>
      <c r="V364" s="911"/>
      <c r="W364" s="911"/>
      <c r="X364" s="911"/>
      <c r="Y364" s="911"/>
      <c r="Z364" s="911"/>
      <c r="AA364" s="911"/>
      <c r="AB364" s="911"/>
      <c r="AC364" s="911"/>
      <c r="AD364" s="911"/>
      <c r="AE364" s="911"/>
      <c r="AF364" s="911"/>
      <c r="AG364" s="911"/>
      <c r="AH364" s="911"/>
      <c r="AI364" s="911"/>
      <c r="AJ364" s="911"/>
      <c r="AK364" s="911"/>
      <c r="AL364" s="911"/>
      <c r="AM364" s="911"/>
      <c r="AN364" s="911">
        <v>0.05</v>
      </c>
      <c r="AO364" s="911"/>
      <c r="AP364" s="911"/>
      <c r="AQ364" s="911"/>
      <c r="BG364" s="912"/>
      <c r="BH364" s="912"/>
      <c r="BI364" s="912"/>
      <c r="BJ364" s="912"/>
      <c r="BK364" s="912"/>
      <c r="BL364" s="912"/>
      <c r="BM364" s="912"/>
      <c r="BN364" s="912"/>
      <c r="BO364" s="912"/>
      <c r="BP364" s="912"/>
      <c r="BT364" s="1161"/>
      <c r="BU364" s="1161"/>
      <c r="BV364" s="1161"/>
      <c r="BW364" s="1161"/>
      <c r="BX364" s="1161"/>
      <c r="BY364" s="1161"/>
      <c r="BZ364" s="1161"/>
      <c r="CA364" s="1161"/>
      <c r="CB364" s="1161"/>
      <c r="CC364" s="1161"/>
    </row>
    <row r="365" spans="2:81">
      <c r="B365" t="s">
        <v>383</v>
      </c>
      <c r="H365" s="911"/>
      <c r="I365" s="911"/>
      <c r="J365" s="911"/>
      <c r="K365" s="911"/>
      <c r="L365" s="911"/>
      <c r="M365" s="911"/>
      <c r="N365" s="911"/>
      <c r="O365" s="911"/>
      <c r="P365" s="911"/>
      <c r="Q365" s="911"/>
      <c r="R365" s="911"/>
      <c r="S365" s="911"/>
      <c r="T365" s="911"/>
      <c r="U365" s="911"/>
      <c r="V365" s="911"/>
      <c r="W365" s="911"/>
      <c r="X365" s="911"/>
      <c r="Y365" s="911"/>
      <c r="Z365" s="911"/>
      <c r="AA365" s="911"/>
      <c r="AB365" s="911"/>
      <c r="AC365" s="911"/>
      <c r="AD365" s="911"/>
      <c r="AE365" s="911"/>
      <c r="AF365" s="911"/>
      <c r="AG365" s="911"/>
      <c r="AH365" s="911"/>
      <c r="AI365" s="911"/>
      <c r="AJ365" s="911"/>
      <c r="AK365" s="911"/>
      <c r="AL365" s="911"/>
      <c r="AM365" s="911"/>
      <c r="AN365" s="911">
        <v>0.06</v>
      </c>
      <c r="AO365" s="911"/>
      <c r="AP365" s="911"/>
      <c r="AQ365" s="911"/>
      <c r="BG365" s="912"/>
      <c r="BH365" s="912"/>
      <c r="BI365" s="912"/>
      <c r="BJ365" s="912"/>
      <c r="BK365" s="912"/>
      <c r="BL365" s="912"/>
      <c r="BM365" s="912"/>
      <c r="BN365" s="912"/>
      <c r="BO365" s="912"/>
      <c r="BP365" s="912"/>
      <c r="BT365" s="1161"/>
      <c r="BU365" s="1161"/>
      <c r="BV365" s="1161"/>
      <c r="BW365" s="1161"/>
      <c r="BX365" s="1161"/>
      <c r="BY365" s="1161"/>
      <c r="BZ365" s="1161"/>
      <c r="CA365" s="1161"/>
      <c r="CB365" s="1161"/>
      <c r="CC365" s="1161"/>
    </row>
    <row r="366" spans="2:81">
      <c r="H366" s="911"/>
      <c r="I366" s="911"/>
      <c r="J366" s="911"/>
      <c r="K366" s="911"/>
      <c r="L366" s="911"/>
      <c r="M366" s="911"/>
      <c r="N366" s="911"/>
      <c r="O366" s="911"/>
      <c r="P366" s="911"/>
      <c r="Q366" s="911"/>
      <c r="R366" s="911"/>
      <c r="S366" s="911"/>
      <c r="T366" s="911"/>
      <c r="U366" s="911"/>
      <c r="V366" s="911"/>
      <c r="W366" s="911"/>
      <c r="X366" s="911"/>
      <c r="Y366" s="911"/>
      <c r="Z366" s="911"/>
      <c r="AA366" s="911"/>
      <c r="AB366" s="911"/>
      <c r="AC366" s="911"/>
      <c r="AD366" s="911"/>
      <c r="AE366" s="911"/>
      <c r="AF366" s="911"/>
      <c r="AG366" s="911"/>
      <c r="AH366" s="911"/>
      <c r="AI366" s="911"/>
      <c r="AJ366" s="911"/>
      <c r="AK366" s="911"/>
      <c r="AL366" s="911"/>
      <c r="AM366" s="911"/>
      <c r="AN366" s="911"/>
      <c r="AO366" s="911"/>
      <c r="AP366" s="911"/>
      <c r="AQ366" s="911"/>
      <c r="BH366" s="912"/>
      <c r="BI366" s="912"/>
      <c r="BJ366" s="912"/>
      <c r="BK366" s="912"/>
      <c r="BL366" s="912"/>
      <c r="BM366" s="912"/>
      <c r="BN366" s="912"/>
      <c r="BO366" s="912"/>
      <c r="BP366" s="912"/>
      <c r="BT366" s="3"/>
      <c r="BU366" s="3"/>
      <c r="BV366" s="3"/>
      <c r="BW366" s="3"/>
      <c r="BX366" s="3"/>
      <c r="BY366" s="3"/>
      <c r="BZ366" s="3"/>
      <c r="CA366" s="3"/>
      <c r="CB366" s="3"/>
      <c r="CC366" s="3"/>
    </row>
    <row r="367" spans="2:81">
      <c r="B367" s="852" t="s">
        <v>384</v>
      </c>
      <c r="H367" s="911"/>
      <c r="I367" s="911"/>
      <c r="J367" s="911"/>
      <c r="K367" s="911"/>
      <c r="L367" s="911"/>
      <c r="M367" s="911"/>
      <c r="N367" s="911"/>
      <c r="O367" s="911"/>
      <c r="P367" s="911"/>
      <c r="Q367" s="911"/>
      <c r="R367" s="911"/>
      <c r="S367" s="911"/>
      <c r="T367" s="911"/>
      <c r="U367" s="911"/>
      <c r="V367" s="911"/>
      <c r="W367" s="911"/>
      <c r="X367" s="911"/>
      <c r="Y367" s="911"/>
      <c r="Z367" s="911"/>
      <c r="AA367" s="911"/>
      <c r="AB367" s="911"/>
      <c r="AC367" s="911"/>
      <c r="AD367" s="911"/>
      <c r="AE367" s="911"/>
      <c r="AF367" s="911"/>
      <c r="AG367" s="911"/>
      <c r="AH367" s="911"/>
      <c r="AI367" s="911"/>
      <c r="AJ367" s="911"/>
      <c r="AK367" s="911"/>
      <c r="AL367" s="911"/>
      <c r="AM367" s="911"/>
      <c r="AN367" s="911"/>
      <c r="AO367" s="911"/>
      <c r="AP367" s="911"/>
      <c r="AQ367" s="911"/>
      <c r="BH367" s="912"/>
      <c r="BI367" s="912"/>
      <c r="BJ367" s="912"/>
      <c r="BK367" s="912"/>
      <c r="BL367" s="912"/>
      <c r="BM367" s="912"/>
      <c r="BN367" s="912"/>
      <c r="BO367" s="912"/>
      <c r="BP367" s="912"/>
      <c r="BT367" s="3"/>
      <c r="BU367" s="3"/>
      <c r="BV367" s="3"/>
      <c r="BW367" s="3"/>
      <c r="BX367" s="3"/>
      <c r="BY367" s="3"/>
      <c r="BZ367" s="3"/>
      <c r="CA367" s="3"/>
      <c r="CB367" s="3"/>
      <c r="CC367" s="3"/>
    </row>
    <row r="368" spans="2:81">
      <c r="B368" t="s">
        <v>377</v>
      </c>
      <c r="D368" s="911">
        <v>-0.04</v>
      </c>
      <c r="E368" s="911">
        <v>-0.08</v>
      </c>
      <c r="F368" s="911">
        <v>0.06</v>
      </c>
      <c r="G368" s="911">
        <v>0.18</v>
      </c>
      <c r="H368" s="911">
        <v>0.03</v>
      </c>
      <c r="I368" s="911">
        <v>0.19</v>
      </c>
      <c r="J368" s="911">
        <v>0.11</v>
      </c>
      <c r="K368" s="911">
        <v>0.11</v>
      </c>
      <c r="L368" s="911">
        <v>0.1</v>
      </c>
      <c r="M368" s="911">
        <v>0.11</v>
      </c>
      <c r="N368" s="911">
        <v>0.09</v>
      </c>
      <c r="O368" s="911">
        <v>0.06</v>
      </c>
      <c r="P368" s="911">
        <v>0.17</v>
      </c>
      <c r="Q368" s="911">
        <v>0.02</v>
      </c>
      <c r="R368" s="911">
        <v>0.1</v>
      </c>
      <c r="S368" s="911">
        <v>0.08</v>
      </c>
      <c r="T368" s="911">
        <v>0.06</v>
      </c>
      <c r="U368" s="911">
        <v>0.2</v>
      </c>
      <c r="V368" s="911">
        <v>0.17</v>
      </c>
      <c r="W368" s="911">
        <v>7.0000000000000007E-2</v>
      </c>
      <c r="X368" s="911">
        <v>0.12</v>
      </c>
      <c r="Y368" s="911">
        <v>0.06</v>
      </c>
      <c r="Z368" s="911">
        <v>0.03</v>
      </c>
      <c r="AA368" s="911">
        <v>0.15</v>
      </c>
      <c r="AB368" s="911">
        <v>0.08</v>
      </c>
      <c r="AC368" s="911">
        <v>0.15</v>
      </c>
      <c r="AD368" s="911">
        <v>0.14000000000000001</v>
      </c>
      <c r="AE368" s="911">
        <v>0.12</v>
      </c>
      <c r="AF368" s="911">
        <v>0.11</v>
      </c>
      <c r="AG368" s="911">
        <v>0.03</v>
      </c>
      <c r="AH368" s="911">
        <v>0.04</v>
      </c>
      <c r="AI368" s="911">
        <v>0.06</v>
      </c>
      <c r="AJ368" s="911">
        <v>0.04</v>
      </c>
      <c r="AK368" s="911">
        <v>0.04</v>
      </c>
      <c r="AL368" s="911">
        <v>0.04</v>
      </c>
      <c r="AM368" s="911">
        <v>0.04</v>
      </c>
      <c r="AN368" s="911">
        <v>0.03</v>
      </c>
      <c r="AO368" s="911"/>
      <c r="AP368" s="911"/>
      <c r="AQ368" s="911"/>
      <c r="BG368" s="912"/>
      <c r="BH368" s="912">
        <f>+AVERAGE(H368:K368)</f>
        <v>0.11</v>
      </c>
      <c r="BI368" s="912">
        <f>+AVERAGE(L368:O368)</f>
        <v>9.0000000000000011E-2</v>
      </c>
      <c r="BJ368" s="912">
        <f>AVERAGE(P368:S368)</f>
        <v>9.2500000000000013E-2</v>
      </c>
      <c r="BK368" s="912">
        <f t="shared" ref="BK368:BK370" si="1983">+AVERAGE(T368:W368)</f>
        <v>0.125</v>
      </c>
      <c r="BL368" s="912">
        <f t="shared" ref="BL368:BL370" si="1984">+AVERAGE(X368:AA368)</f>
        <v>0.09</v>
      </c>
      <c r="BM368" s="912">
        <f t="shared" ref="BM368:BM369" si="1985">+AVERAGE(AB368:AE368)</f>
        <v>0.1225</v>
      </c>
      <c r="BN368" s="912">
        <f t="shared" ref="BN368:BN370" si="1986">AVERAGE(AF368:AI368)</f>
        <v>6.0000000000000005E-2</v>
      </c>
      <c r="BO368" s="912">
        <f t="shared" ref="BO368:BO370" si="1987">AVERAGE(AJ368:AM368)</f>
        <v>0.04</v>
      </c>
      <c r="BP368" s="912"/>
      <c r="BT368" s="7"/>
      <c r="BU368" s="7"/>
      <c r="BV368" s="7"/>
      <c r="BW368" s="7"/>
      <c r="BX368" s="7"/>
      <c r="BY368" s="7"/>
      <c r="BZ368" s="7"/>
      <c r="CA368" s="7"/>
      <c r="CB368" s="7"/>
      <c r="CC368" s="7"/>
    </row>
    <row r="369" spans="2:81" collapsed="1">
      <c r="B369" t="s">
        <v>378</v>
      </c>
      <c r="D369">
        <v>0.12</v>
      </c>
      <c r="E369">
        <v>0.11</v>
      </c>
      <c r="F369">
        <v>0.09</v>
      </c>
      <c r="G369">
        <v>7.0000000000000007E-2</v>
      </c>
      <c r="H369" s="911">
        <v>0.12</v>
      </c>
      <c r="I369" s="911">
        <v>0.02</v>
      </c>
      <c r="J369" s="911">
        <v>0.12</v>
      </c>
      <c r="K369" s="911">
        <v>0.04</v>
      </c>
      <c r="L369" s="911">
        <v>0.12</v>
      </c>
      <c r="M369" s="911">
        <v>0.09</v>
      </c>
      <c r="N369" s="911">
        <v>0.14000000000000001</v>
      </c>
      <c r="O369" s="911">
        <v>0.08</v>
      </c>
      <c r="P369" s="911">
        <v>0.2</v>
      </c>
      <c r="Q369" s="911">
        <v>0.17</v>
      </c>
      <c r="R369" s="911">
        <v>0.15</v>
      </c>
      <c r="S369" s="911">
        <v>0.15</v>
      </c>
      <c r="T369" s="911">
        <v>0.16</v>
      </c>
      <c r="U369" s="911">
        <v>0.15</v>
      </c>
      <c r="V369" s="911">
        <v>0.2</v>
      </c>
      <c r="W369" s="911">
        <v>0.15</v>
      </c>
      <c r="X369" s="911">
        <v>0.18</v>
      </c>
      <c r="Y369" s="911">
        <v>0.18</v>
      </c>
      <c r="Z369" s="911">
        <v>0.22</v>
      </c>
      <c r="AA369" s="911">
        <v>0.26</v>
      </c>
      <c r="AB369" s="911">
        <v>0.28999999999999998</v>
      </c>
      <c r="AC369" s="911">
        <v>0.28999999999999998</v>
      </c>
      <c r="AD369" s="911">
        <v>0.25</v>
      </c>
      <c r="AE369" s="911">
        <v>0.24</v>
      </c>
      <c r="AF369" s="911">
        <v>0.22</v>
      </c>
      <c r="AG369" s="911">
        <v>0.2</v>
      </c>
      <c r="AH369" s="911">
        <v>0.21</v>
      </c>
      <c r="AI369" s="911">
        <v>0.21</v>
      </c>
      <c r="AJ369" s="911">
        <v>0.21</v>
      </c>
      <c r="AK369" s="911">
        <v>0.19</v>
      </c>
      <c r="AL369" s="911">
        <v>0.17</v>
      </c>
      <c r="AM369" s="911">
        <v>0.16</v>
      </c>
      <c r="AN369" s="911">
        <v>0.14000000000000001</v>
      </c>
      <c r="AO369" s="911"/>
      <c r="AP369" s="911"/>
      <c r="AQ369" s="911"/>
      <c r="BG369" s="912"/>
      <c r="BH369" s="912">
        <f>+AVERAGE(H369:K369)</f>
        <v>7.4999999999999997E-2</v>
      </c>
      <c r="BI369" s="912">
        <f>+AVERAGE(L369:O369)</f>
        <v>0.1075</v>
      </c>
      <c r="BJ369" s="912">
        <f>AVERAGE(P369:S369)</f>
        <v>0.16750000000000001</v>
      </c>
      <c r="BK369" s="912">
        <f t="shared" si="1983"/>
        <v>0.16500000000000001</v>
      </c>
      <c r="BL369" s="912">
        <f t="shared" si="1984"/>
        <v>0.21</v>
      </c>
      <c r="BM369" s="912">
        <f t="shared" si="1985"/>
        <v>0.26749999999999996</v>
      </c>
      <c r="BN369" s="912">
        <f t="shared" si="1986"/>
        <v>0.21</v>
      </c>
      <c r="BO369" s="912">
        <f t="shared" si="1987"/>
        <v>0.18250000000000002</v>
      </c>
      <c r="BP369" s="912"/>
      <c r="BT369" s="1261"/>
      <c r="BU369" s="1261"/>
      <c r="BV369" s="1261"/>
      <c r="BW369" s="1261"/>
      <c r="BX369" s="1261"/>
      <c r="BY369" s="1261"/>
      <c r="BZ369" s="1261"/>
      <c r="CA369" s="1261"/>
      <c r="CB369" s="1261"/>
      <c r="CC369" s="1261"/>
    </row>
    <row r="370" spans="2:81">
      <c r="B370" t="s">
        <v>379</v>
      </c>
      <c r="H370" s="911"/>
      <c r="I370" s="911"/>
      <c r="J370" s="911"/>
      <c r="K370" s="911"/>
      <c r="L370" s="911">
        <v>0.69</v>
      </c>
      <c r="M370" s="911">
        <v>0.68</v>
      </c>
      <c r="N370" s="911">
        <v>0.62</v>
      </c>
      <c r="O370" s="911">
        <v>0.56000000000000005</v>
      </c>
      <c r="P370" s="911">
        <v>0.49</v>
      </c>
      <c r="Q370" s="911">
        <v>0.5</v>
      </c>
      <c r="R370" s="911">
        <v>0.44</v>
      </c>
      <c r="S370" s="911">
        <v>0.48</v>
      </c>
      <c r="T370" s="911">
        <v>0.44</v>
      </c>
      <c r="U370" s="911">
        <v>0.45</v>
      </c>
      <c r="V370" s="911">
        <v>0.49</v>
      </c>
      <c r="W370" s="911">
        <v>0.4</v>
      </c>
      <c r="X370" s="911">
        <v>0.37</v>
      </c>
      <c r="Y370" s="911">
        <v>0.37</v>
      </c>
      <c r="Z370" s="911">
        <v>0.4</v>
      </c>
      <c r="AA370" s="911">
        <v>0.42</v>
      </c>
      <c r="AB370" s="911">
        <v>0.45</v>
      </c>
      <c r="AC370" s="911">
        <v>0.44</v>
      </c>
      <c r="AD370" s="911">
        <v>0.38</v>
      </c>
      <c r="AE370" s="911">
        <v>0.36</v>
      </c>
      <c r="AF370" s="911">
        <v>0.32</v>
      </c>
      <c r="AG370" s="911">
        <v>0.28999999999999998</v>
      </c>
      <c r="AH370" s="911">
        <v>0.28999999999999998</v>
      </c>
      <c r="AI370" s="911">
        <v>0.28000000000000003</v>
      </c>
      <c r="AJ370" s="911">
        <v>0.26</v>
      </c>
      <c r="AK370" s="911">
        <v>0.24</v>
      </c>
      <c r="AL370" s="911">
        <v>0.22</v>
      </c>
      <c r="AM370" s="911">
        <v>0.2</v>
      </c>
      <c r="AN370" s="911">
        <v>0.19</v>
      </c>
      <c r="AO370" s="911"/>
      <c r="AP370" s="911"/>
      <c r="AQ370" s="911"/>
      <c r="BG370" s="912"/>
      <c r="BH370" s="912"/>
      <c r="BI370" s="912">
        <f>+AVERAGE(L370:O370)</f>
        <v>0.63750000000000007</v>
      </c>
      <c r="BJ370" s="912">
        <f>AVERAGE(P370:S370)</f>
        <v>0.47749999999999998</v>
      </c>
      <c r="BK370" s="912">
        <f t="shared" si="1983"/>
        <v>0.44499999999999995</v>
      </c>
      <c r="BL370" s="912">
        <f t="shared" si="1984"/>
        <v>0.39</v>
      </c>
      <c r="BM370" s="912">
        <f>+AVERAGE(AB370:AE370)</f>
        <v>0.40749999999999997</v>
      </c>
      <c r="BN370" s="912">
        <f t="shared" si="1986"/>
        <v>0.29499999999999998</v>
      </c>
      <c r="BO370" s="912">
        <f t="shared" si="1987"/>
        <v>0.22999999999999998</v>
      </c>
      <c r="BP370" s="912"/>
      <c r="BT370" s="1262"/>
      <c r="BU370" s="1262"/>
      <c r="BV370" s="1262"/>
      <c r="BW370" s="1262"/>
      <c r="BX370" s="1262"/>
      <c r="BY370" s="1262"/>
      <c r="BZ370" s="1262"/>
      <c r="CA370" s="1262"/>
      <c r="CB370" s="1262"/>
      <c r="CC370" s="1262"/>
    </row>
    <row r="371" spans="2:81" ht="11.45">
      <c r="B371" t="s">
        <v>380</v>
      </c>
      <c r="H371" s="911"/>
      <c r="I371" s="911"/>
      <c r="J371" s="911"/>
      <c r="K371" s="911"/>
      <c r="L371" s="911"/>
      <c r="M371" s="911"/>
      <c r="N371" s="911"/>
      <c r="O371" s="911"/>
      <c r="P371" s="911"/>
      <c r="Q371" s="911"/>
      <c r="R371" s="911"/>
      <c r="S371" s="911"/>
      <c r="T371" s="911"/>
      <c r="U371" s="911"/>
      <c r="V371" s="911"/>
      <c r="W371" s="911"/>
      <c r="X371" s="911"/>
      <c r="Y371" s="911"/>
      <c r="Z371" s="911"/>
      <c r="AA371" s="911"/>
      <c r="AB371" s="911"/>
      <c r="AC371" s="911"/>
      <c r="AD371" s="911"/>
      <c r="AE371" s="911"/>
      <c r="AF371" s="911"/>
      <c r="AG371" s="911"/>
      <c r="AH371" s="911"/>
      <c r="AI371" s="911"/>
      <c r="AJ371" s="911"/>
      <c r="AK371" s="911"/>
      <c r="AL371" s="911"/>
      <c r="AM371" s="911"/>
      <c r="AN371" s="911">
        <v>0.14000000000000001</v>
      </c>
      <c r="AO371" s="911"/>
      <c r="AP371" s="911"/>
      <c r="AQ371" s="911"/>
      <c r="BG371" s="912"/>
      <c r="BH371" s="912"/>
      <c r="BI371" s="912"/>
      <c r="BJ371" s="912"/>
      <c r="BK371" s="912"/>
      <c r="BL371" s="912"/>
      <c r="BM371" s="912"/>
      <c r="BN371" s="912"/>
      <c r="BO371" s="912"/>
      <c r="BP371" s="912"/>
      <c r="BT371" s="1263"/>
      <c r="BU371" s="1263"/>
      <c r="BV371" s="1263"/>
      <c r="BW371" s="1263"/>
      <c r="BX371" s="1263"/>
      <c r="BY371" s="1263"/>
      <c r="BZ371" s="1263"/>
      <c r="CA371" s="1263"/>
      <c r="CB371" s="1263"/>
      <c r="CC371" s="1263"/>
    </row>
    <row r="372" spans="2:81" ht="11.45">
      <c r="B372" t="s">
        <v>381</v>
      </c>
      <c r="H372" s="911"/>
      <c r="I372" s="911"/>
      <c r="J372" s="911"/>
      <c r="K372" s="911"/>
      <c r="L372" s="911"/>
      <c r="M372" s="911"/>
      <c r="N372" s="911"/>
      <c r="O372" s="911"/>
      <c r="P372" s="911"/>
      <c r="Q372" s="911"/>
      <c r="R372" s="911"/>
      <c r="S372" s="911"/>
      <c r="T372" s="911"/>
      <c r="U372" s="911"/>
      <c r="V372" s="911"/>
      <c r="W372" s="911"/>
      <c r="X372" s="911"/>
      <c r="Y372" s="911"/>
      <c r="Z372" s="911"/>
      <c r="AA372" s="911"/>
      <c r="AB372" s="911"/>
      <c r="AC372" s="911"/>
      <c r="AD372" s="911"/>
      <c r="AE372" s="911"/>
      <c r="AF372" s="911"/>
      <c r="AG372" s="911"/>
      <c r="AH372" s="911"/>
      <c r="AI372" s="911"/>
      <c r="AJ372" s="911"/>
      <c r="AK372" s="911"/>
      <c r="AL372" s="911"/>
      <c r="AM372" s="911"/>
      <c r="AN372" s="911">
        <v>0.16</v>
      </c>
      <c r="AO372" s="911"/>
      <c r="AP372" s="911"/>
      <c r="AQ372" s="911"/>
      <c r="BG372" s="912"/>
      <c r="BH372" s="912"/>
      <c r="BI372" s="912"/>
      <c r="BJ372" s="912"/>
      <c r="BK372" s="912"/>
      <c r="BL372" s="912"/>
      <c r="BM372" s="912"/>
      <c r="BN372" s="912"/>
      <c r="BO372" s="912"/>
      <c r="BP372" s="912"/>
      <c r="BT372" s="1263"/>
      <c r="BU372" s="1263"/>
      <c r="BV372" s="1263"/>
      <c r="BW372" s="1263"/>
      <c r="BX372" s="1263"/>
      <c r="BY372" s="1263"/>
      <c r="BZ372" s="1263"/>
      <c r="CA372" s="1263"/>
      <c r="CB372" s="1263"/>
      <c r="CC372" s="1263"/>
    </row>
    <row r="373" spans="2:81" ht="11.45">
      <c r="B373" t="s">
        <v>382</v>
      </c>
      <c r="H373" s="911"/>
      <c r="I373" s="911"/>
      <c r="J373" s="911"/>
      <c r="K373" s="911"/>
      <c r="L373" s="911"/>
      <c r="M373" s="911"/>
      <c r="N373" s="911"/>
      <c r="O373" s="911"/>
      <c r="P373" s="911"/>
      <c r="Q373" s="911"/>
      <c r="R373" s="911"/>
      <c r="S373" s="911"/>
      <c r="T373" s="911"/>
      <c r="U373" s="911"/>
      <c r="V373" s="911"/>
      <c r="W373" s="911"/>
      <c r="X373" s="911"/>
      <c r="Y373" s="911"/>
      <c r="Z373" s="911"/>
      <c r="AA373" s="911"/>
      <c r="AB373" s="911"/>
      <c r="AC373" s="911"/>
      <c r="AD373" s="911"/>
      <c r="AE373" s="911"/>
      <c r="AF373" s="911"/>
      <c r="AG373" s="911"/>
      <c r="AH373" s="911"/>
      <c r="AI373" s="911"/>
      <c r="AJ373" s="911"/>
      <c r="AK373" s="911"/>
      <c r="AL373" s="911"/>
      <c r="AM373" s="911"/>
      <c r="AN373" s="911">
        <v>0.06</v>
      </c>
      <c r="AO373" s="911"/>
      <c r="AP373" s="911"/>
      <c r="AQ373" s="911"/>
      <c r="BG373" s="912"/>
      <c r="BH373" s="912"/>
      <c r="BI373" s="912"/>
      <c r="BJ373" s="912"/>
      <c r="BK373" s="912"/>
      <c r="BL373" s="912"/>
      <c r="BM373" s="912"/>
      <c r="BN373" s="912"/>
      <c r="BO373" s="912"/>
      <c r="BP373" s="912"/>
      <c r="BT373" s="1263"/>
      <c r="BU373" s="1263"/>
      <c r="BV373" s="1263"/>
      <c r="BW373" s="1263"/>
      <c r="BX373" s="1263"/>
      <c r="BY373" s="1263"/>
      <c r="BZ373" s="1263"/>
      <c r="CA373" s="1263"/>
      <c r="CB373" s="1263"/>
      <c r="CC373" s="1263"/>
    </row>
    <row r="374" spans="2:81" ht="11.45">
      <c r="B374" t="s">
        <v>383</v>
      </c>
      <c r="H374" s="911"/>
      <c r="I374" s="911"/>
      <c r="J374" s="911"/>
      <c r="K374" s="911"/>
      <c r="L374" s="911"/>
      <c r="M374" s="911"/>
      <c r="N374" s="911"/>
      <c r="O374" s="911"/>
      <c r="P374" s="911"/>
      <c r="Q374" s="911"/>
      <c r="R374" s="911"/>
      <c r="S374" s="911"/>
      <c r="T374" s="911"/>
      <c r="U374" s="911"/>
      <c r="V374" s="911"/>
      <c r="W374" s="911"/>
      <c r="X374" s="911"/>
      <c r="Y374" s="911"/>
      <c r="Z374" s="911"/>
      <c r="AA374" s="911"/>
      <c r="AB374" s="911"/>
      <c r="AC374" s="911"/>
      <c r="AD374" s="911"/>
      <c r="AE374" s="911"/>
      <c r="AF374" s="911"/>
      <c r="AG374" s="911"/>
      <c r="AH374" s="911"/>
      <c r="AI374" s="911"/>
      <c r="AJ374" s="911"/>
      <c r="AK374" s="911"/>
      <c r="AL374" s="911"/>
      <c r="AM374" s="911"/>
      <c r="AN374" s="911">
        <v>7.0000000000000007E-2</v>
      </c>
      <c r="AO374" s="911"/>
      <c r="AP374" s="911"/>
      <c r="AQ374" s="911"/>
      <c r="BG374" s="912"/>
      <c r="BH374" s="912"/>
      <c r="BI374" s="912"/>
      <c r="BJ374" s="912"/>
      <c r="BK374" s="912"/>
      <c r="BL374" s="912"/>
      <c r="BM374" s="912"/>
      <c r="BN374" s="912"/>
      <c r="BO374" s="912"/>
      <c r="BP374" s="912"/>
      <c r="BT374" s="1263"/>
      <c r="BU374" s="1263"/>
      <c r="BV374" s="1263"/>
      <c r="BW374" s="1263"/>
      <c r="BX374" s="1263"/>
      <c r="BY374" s="1263"/>
      <c r="BZ374" s="1263"/>
      <c r="CA374" s="1263"/>
      <c r="CB374" s="1263"/>
      <c r="CC374" s="1263"/>
    </row>
    <row r="375" spans="2:81">
      <c r="H375" s="911"/>
      <c r="I375" s="911"/>
      <c r="J375" s="911"/>
      <c r="K375" s="911"/>
      <c r="L375" s="911"/>
      <c r="M375" s="911"/>
      <c r="N375" s="911"/>
      <c r="O375" s="911"/>
      <c r="P375" s="911"/>
      <c r="Q375" s="911"/>
      <c r="R375" s="911"/>
      <c r="S375" s="911"/>
      <c r="T375" s="911"/>
      <c r="U375" s="911"/>
      <c r="V375" s="911"/>
      <c r="W375" s="911"/>
      <c r="X375" s="911"/>
      <c r="Y375" s="911"/>
      <c r="Z375" s="911"/>
      <c r="AA375" s="911"/>
      <c r="AB375" s="911"/>
      <c r="AC375" s="911"/>
      <c r="AD375" s="911"/>
      <c r="AE375" s="911"/>
      <c r="AF375" s="911"/>
      <c r="AG375" s="911"/>
      <c r="AH375" s="911"/>
      <c r="AI375" s="911"/>
      <c r="AJ375" s="911"/>
      <c r="AK375" s="911"/>
      <c r="AL375" s="911"/>
      <c r="AM375" s="911"/>
      <c r="AN375" s="911"/>
      <c r="AO375" s="911"/>
      <c r="AP375" s="911"/>
      <c r="AQ375" s="911"/>
      <c r="BH375" s="912"/>
      <c r="BI375" s="912"/>
      <c r="BJ375" s="912"/>
      <c r="BK375" s="912"/>
      <c r="BL375" s="912"/>
      <c r="BM375" s="912"/>
      <c r="BN375" s="912"/>
      <c r="BO375" s="912"/>
      <c r="BP375" s="912"/>
      <c r="BT375" s="3"/>
      <c r="BU375" s="3"/>
      <c r="BV375" s="3"/>
      <c r="BW375" s="3"/>
      <c r="BX375" s="3"/>
      <c r="BY375" s="3"/>
      <c r="BZ375" s="3"/>
      <c r="CA375" s="3"/>
      <c r="CB375" s="3"/>
      <c r="CC375" s="3"/>
    </row>
    <row r="376" spans="2:81">
      <c r="B376" s="852" t="s">
        <v>385</v>
      </c>
      <c r="D376" s="31"/>
      <c r="E376" s="31"/>
      <c r="F376" s="31"/>
      <c r="G376" s="31"/>
      <c r="BT376" s="1262"/>
      <c r="BU376" s="1262"/>
      <c r="BV376" s="1262"/>
      <c r="BW376" s="1262"/>
      <c r="BX376" s="1262"/>
      <c r="BY376" s="1262"/>
      <c r="BZ376" s="1262"/>
      <c r="CA376" s="1262"/>
      <c r="CB376" s="1262"/>
      <c r="CC376" s="1262"/>
    </row>
    <row r="377" spans="2:81" ht="11.45" collapsed="1">
      <c r="B377" t="s">
        <v>386</v>
      </c>
      <c r="D377" s="911">
        <v>0.66</v>
      </c>
      <c r="E377" s="911">
        <v>0.59</v>
      </c>
      <c r="F377" s="911">
        <v>0.56999999999999995</v>
      </c>
      <c r="G377" s="911">
        <v>0.45</v>
      </c>
      <c r="H377" s="911">
        <v>0.4</v>
      </c>
      <c r="I377" s="911">
        <v>0.37</v>
      </c>
      <c r="J377" s="911">
        <v>0.35</v>
      </c>
      <c r="K377" s="911">
        <v>0.31</v>
      </c>
      <c r="L377" s="911">
        <v>0.32</v>
      </c>
      <c r="M377" s="911">
        <v>0.3</v>
      </c>
      <c r="N377" s="911">
        <v>0.28000000000000003</v>
      </c>
      <c r="O377" s="911">
        <v>0.28999999999999998</v>
      </c>
      <c r="P377" s="911">
        <v>0.28999999999999998</v>
      </c>
      <c r="Q377" s="911">
        <v>0.27</v>
      </c>
      <c r="R377" s="911" t="s">
        <v>273</v>
      </c>
      <c r="S377" s="911">
        <v>0.23</v>
      </c>
      <c r="T377" s="911">
        <v>0.21</v>
      </c>
      <c r="U377" s="911">
        <v>0.21</v>
      </c>
      <c r="V377" s="911">
        <v>0.2</v>
      </c>
      <c r="W377" s="911">
        <v>0.15</v>
      </c>
      <c r="X377" s="911">
        <v>0.15</v>
      </c>
      <c r="Y377" s="911">
        <v>0.15</v>
      </c>
      <c r="Z377" s="911">
        <v>0.15</v>
      </c>
      <c r="AA377" s="911">
        <v>0.17</v>
      </c>
      <c r="AB377" s="911">
        <v>0.17</v>
      </c>
      <c r="AC377" s="911">
        <v>0.16</v>
      </c>
      <c r="AD377" s="911">
        <v>0.16</v>
      </c>
      <c r="AE377" s="911">
        <v>0.14000000000000001</v>
      </c>
      <c r="AF377" s="911">
        <v>0.14000000000000001</v>
      </c>
      <c r="AG377" s="911">
        <v>0.12</v>
      </c>
      <c r="AH377" s="911">
        <v>0.11</v>
      </c>
      <c r="AI377" s="911">
        <v>0.11</v>
      </c>
      <c r="AJ377" s="911">
        <v>0.1</v>
      </c>
      <c r="AK377" s="911">
        <v>0.09</v>
      </c>
      <c r="AL377" s="911">
        <v>0.08</v>
      </c>
      <c r="AM377" s="911">
        <v>7.0000000000000007E-2</v>
      </c>
      <c r="AN377" s="911">
        <v>0.08</v>
      </c>
      <c r="AO377" s="911"/>
      <c r="AP377" s="911"/>
      <c r="AQ377" s="911"/>
      <c r="BG377" s="912"/>
      <c r="BH377" s="912">
        <f>+AVERAGE(H377:K377)</f>
        <v>0.35750000000000004</v>
      </c>
      <c r="BI377" s="912">
        <f>+AVERAGE(L377:O377)</f>
        <v>0.29749999999999999</v>
      </c>
      <c r="BJ377" s="912">
        <f>AVERAGE(P377:S377)</f>
        <v>0.26333333333333336</v>
      </c>
      <c r="BK377" s="912">
        <f>+AVERAGE(T377:W377)</f>
        <v>0.1925</v>
      </c>
      <c r="BL377" s="912">
        <f>+AVERAGE(X377:AA377)</f>
        <v>0.155</v>
      </c>
      <c r="BM377" s="912">
        <f>+AVERAGE(AB377:AE377)</f>
        <v>0.1575</v>
      </c>
      <c r="BN377" s="912">
        <f t="shared" ref="BN377" si="1988">AVERAGE(AF377:AI377)</f>
        <v>0.12</v>
      </c>
      <c r="BO377" s="912">
        <f t="shared" ref="BO377" si="1989">AVERAGE(AJ377:AM377)</f>
        <v>8.5000000000000006E-2</v>
      </c>
      <c r="BP377" s="912"/>
      <c r="BT377" s="1263"/>
      <c r="BU377" s="1263"/>
      <c r="BV377" s="1263"/>
      <c r="BW377" s="1263"/>
      <c r="BX377" s="1263"/>
      <c r="BY377" s="1263"/>
      <c r="BZ377" s="1263"/>
      <c r="CA377" s="1263"/>
      <c r="CB377" s="1263"/>
      <c r="CC377" s="1263"/>
    </row>
    <row r="378" spans="2:81" ht="10.5">
      <c r="B378" t="s">
        <v>387</v>
      </c>
      <c r="D378" s="879">
        <v>18.2</v>
      </c>
      <c r="E378" s="879">
        <v>20.6</v>
      </c>
      <c r="F378" s="879">
        <v>22.2</v>
      </c>
      <c r="G378" s="879">
        <v>23.1</v>
      </c>
      <c r="H378" s="879">
        <v>24</v>
      </c>
      <c r="I378" s="879">
        <v>24.9</v>
      </c>
      <c r="J378" s="879">
        <v>26.2</v>
      </c>
      <c r="K378" s="879">
        <v>27</v>
      </c>
      <c r="L378" s="879">
        <v>28</v>
      </c>
      <c r="M378" s="879">
        <v>29.2</v>
      </c>
      <c r="N378" s="879">
        <v>30.6</v>
      </c>
      <c r="O378" s="879">
        <v>31.4</v>
      </c>
      <c r="P378" s="879">
        <v>32.5</v>
      </c>
      <c r="Q378" s="879">
        <v>33.299999999999997</v>
      </c>
      <c r="R378" s="879">
        <v>34.200000000000003</v>
      </c>
      <c r="S378" s="879">
        <v>34.799999999999997</v>
      </c>
      <c r="T378" s="879">
        <v>35.6</v>
      </c>
      <c r="U378" s="879">
        <v>37.200000000000003</v>
      </c>
      <c r="V378" s="879">
        <v>39.6</v>
      </c>
      <c r="W378" s="879">
        <v>42.7</v>
      </c>
      <c r="X378" s="879">
        <v>45.3</v>
      </c>
      <c r="Y378" s="879">
        <v>47.5</v>
      </c>
      <c r="Z378" s="879">
        <v>50.2</v>
      </c>
      <c r="AA378" s="879">
        <v>51.9</v>
      </c>
      <c r="AB378" s="879">
        <v>54.1</v>
      </c>
      <c r="AC378" s="879">
        <v>56.4</v>
      </c>
      <c r="AD378" s="879">
        <v>58.4</v>
      </c>
      <c r="AE378" s="879">
        <v>59.7</v>
      </c>
      <c r="AF378" s="879">
        <v>61.3</v>
      </c>
      <c r="AG378" s="879">
        <v>63.2</v>
      </c>
      <c r="AH378" s="879">
        <v>65.400000000000006</v>
      </c>
      <c r="AI378" s="879">
        <v>67</v>
      </c>
      <c r="AJ378" s="880">
        <f>+AF378*(1+AJ379)</f>
        <v>72.333999999999989</v>
      </c>
      <c r="AK378" s="880">
        <f>+AG378*(1+AK379)</f>
        <v>73.188774002954204</v>
      </c>
      <c r="AL378" s="880">
        <f t="shared" ref="AL378" si="1990">+AH378*(1+AL379)</f>
        <v>74.556000000000012</v>
      </c>
      <c r="AM378" s="880">
        <f t="shared" ref="AM378" si="1991">+AI378*(1+AM379)</f>
        <v>73.7</v>
      </c>
      <c r="AN378" s="880">
        <f t="shared" ref="AN378" si="1992">+AJ378*(1+AN379)</f>
        <v>79.595692307692303</v>
      </c>
      <c r="AO378" s="879"/>
      <c r="AP378" s="879"/>
      <c r="AQ378" s="879"/>
      <c r="BG378" s="8">
        <f>+G378</f>
        <v>23.1</v>
      </c>
      <c r="BH378" s="8">
        <f>+K378</f>
        <v>27</v>
      </c>
      <c r="BI378" s="8">
        <f>+O378</f>
        <v>31.4</v>
      </c>
      <c r="BJ378" s="8">
        <f>+S378</f>
        <v>34.799999999999997</v>
      </c>
      <c r="BK378" s="8">
        <f>+W378</f>
        <v>42.7</v>
      </c>
      <c r="BL378" s="8">
        <f t="shared" ref="BL378" si="1993">+X378</f>
        <v>45.3</v>
      </c>
      <c r="BM378" s="8">
        <f>+AE378</f>
        <v>59.7</v>
      </c>
      <c r="BN378" s="8">
        <f>+AI378</f>
        <v>67</v>
      </c>
      <c r="BO378" s="8">
        <f>+AM378</f>
        <v>73.7</v>
      </c>
      <c r="BP378" s="8"/>
      <c r="BT378" s="1262"/>
      <c r="BU378" s="1264"/>
      <c r="BV378" s="1264"/>
      <c r="BW378" s="1264"/>
      <c r="BX378" s="1264"/>
      <c r="BY378" s="1264"/>
      <c r="BZ378" s="1264"/>
      <c r="CA378" s="1264"/>
      <c r="CB378" s="1264"/>
      <c r="CC378" s="1264"/>
    </row>
    <row r="379" spans="2:81" s="3" customFormat="1">
      <c r="B379" s="13" t="s">
        <v>113</v>
      </c>
      <c r="H379" s="891">
        <f>+H378/D378-1</f>
        <v>0.31868131868131866</v>
      </c>
      <c r="I379" s="891">
        <f t="shared" ref="I379" si="1994">+I378/E378-1</f>
        <v>0.20873786407766981</v>
      </c>
      <c r="J379" s="891">
        <f t="shared" ref="J379" si="1995">+J378/F378-1</f>
        <v>0.18018018018018012</v>
      </c>
      <c r="K379" s="891">
        <f t="shared" ref="K379" si="1996">+K378/G378-1</f>
        <v>0.16883116883116878</v>
      </c>
      <c r="L379" s="891">
        <f t="shared" ref="L379" si="1997">+L378/H378-1</f>
        <v>0.16666666666666674</v>
      </c>
      <c r="M379" s="891">
        <f>+M378/I378-1</f>
        <v>0.17269076305220898</v>
      </c>
      <c r="N379" s="891">
        <f>+N378/J378-1</f>
        <v>0.16793893129770998</v>
      </c>
      <c r="O379" s="891">
        <f t="shared" ref="O379" si="1998">+O378/K378-1</f>
        <v>0.16296296296296298</v>
      </c>
      <c r="P379" s="891">
        <f t="shared" ref="P379" si="1999">+P378/L378-1</f>
        <v>0.16071428571428581</v>
      </c>
      <c r="Q379" s="891">
        <f t="shared" ref="Q379" si="2000">+Q378/M378-1</f>
        <v>0.1404109589041096</v>
      </c>
      <c r="R379" s="891">
        <f t="shared" ref="R379" si="2001">+R378/N378-1</f>
        <v>0.11764705882352944</v>
      </c>
      <c r="S379" s="891">
        <f t="shared" ref="S379" si="2002">+S378/O378-1</f>
        <v>0.10828025477707004</v>
      </c>
      <c r="T379" s="891">
        <f t="shared" ref="T379" si="2003">+T378/P378-1</f>
        <v>9.5384615384615401E-2</v>
      </c>
      <c r="U379" s="891">
        <f t="shared" ref="U379" si="2004">+U378/Q378-1</f>
        <v>0.11711711711711725</v>
      </c>
      <c r="V379" s="891">
        <f t="shared" ref="V379" si="2005">+V378/R378-1</f>
        <v>0.15789473684210531</v>
      </c>
      <c r="W379" s="891">
        <f t="shared" ref="W379" si="2006">+W378/S378-1</f>
        <v>0.22701149425287381</v>
      </c>
      <c r="X379" s="891">
        <f t="shared" ref="X379" si="2007">+X378/T378-1</f>
        <v>0.27247191011235938</v>
      </c>
      <c r="Y379" s="891">
        <f t="shared" ref="Y379" si="2008">+Y378/U378-1</f>
        <v>0.2768817204301075</v>
      </c>
      <c r="Z379" s="891">
        <f t="shared" ref="Z379" si="2009">+Z378/V378-1</f>
        <v>0.26767676767676774</v>
      </c>
      <c r="AA379" s="891">
        <f t="shared" ref="AA379" si="2010">+AA378/W378-1</f>
        <v>0.21545667447306771</v>
      </c>
      <c r="AB379" s="891">
        <f t="shared" ref="AB379" si="2011">+AB378/X378-1</f>
        <v>0.19426048565121423</v>
      </c>
      <c r="AC379" s="891">
        <f t="shared" ref="AC379" si="2012">+AC378/Y378-1</f>
        <v>0.18736842105263163</v>
      </c>
      <c r="AD379" s="891">
        <f t="shared" ref="AD379" si="2013">+AD378/Z378-1</f>
        <v>0.16334661354581659</v>
      </c>
      <c r="AE379" s="891">
        <f t="shared" ref="AE379" si="2014">+AE378/AA378-1</f>
        <v>0.1502890173410405</v>
      </c>
      <c r="AF379" s="891">
        <f t="shared" ref="AF379" si="2015">+AF378/AB378-1</f>
        <v>0.13308687615526793</v>
      </c>
      <c r="AG379" s="891">
        <f t="shared" ref="AG379" si="2016">+AG378/AC378-1</f>
        <v>0.12056737588652489</v>
      </c>
      <c r="AH379" s="891">
        <f t="shared" ref="AH379" si="2017">+AH378/AD378-1</f>
        <v>0.11986301369863028</v>
      </c>
      <c r="AI379" s="891">
        <f t="shared" ref="AI379" si="2018">+AI378/AE378-1</f>
        <v>0.12227805695142369</v>
      </c>
      <c r="AJ379" s="93">
        <v>0.18</v>
      </c>
      <c r="AK379" s="93">
        <f>78.4/67.7-1</f>
        <v>0.15805022156573112</v>
      </c>
      <c r="AL379" s="93">
        <v>0.14000000000000001</v>
      </c>
      <c r="AM379" s="93">
        <v>0.1</v>
      </c>
      <c r="AN379" s="93">
        <f>84.4/76.7-1</f>
        <v>0.10039113428943947</v>
      </c>
      <c r="AO379" s="891"/>
      <c r="AP379" s="891"/>
      <c r="AQ379" s="891"/>
      <c r="BG379" s="885"/>
      <c r="BH379" s="885">
        <f>+BH378/BG378-1</f>
        <v>0.16883116883116878</v>
      </c>
      <c r="BI379" s="885">
        <f t="shared" ref="BI379" si="2019">+BI378/BH378-1</f>
        <v>0.16296296296296298</v>
      </c>
      <c r="BJ379" s="885">
        <f t="shared" ref="BJ379" si="2020">+BJ378/BI378-1</f>
        <v>0.10828025477707004</v>
      </c>
      <c r="BK379" s="885">
        <f t="shared" ref="BK379" si="2021">+BK378/BJ378-1</f>
        <v>0.22701149425287381</v>
      </c>
      <c r="BL379" s="885">
        <f t="shared" ref="BL379" si="2022">+BL378/BK378-1</f>
        <v>6.0889929742388604E-2</v>
      </c>
      <c r="BM379" s="885">
        <f t="shared" ref="BM379" si="2023">+BM378/BL378-1</f>
        <v>0.31788079470198682</v>
      </c>
      <c r="BN379" s="885">
        <f t="shared" ref="BN379" si="2024">+BN378/BM378-1</f>
        <v>0.12227805695142369</v>
      </c>
      <c r="BO379" s="885">
        <f t="shared" ref="BO379" si="2025">+BO378/BN378-1</f>
        <v>0.10000000000000009</v>
      </c>
      <c r="BP379" s="885"/>
      <c r="BT379" s="1261"/>
      <c r="BU379" s="1261"/>
      <c r="BV379" s="1261"/>
      <c r="BW379" s="1261"/>
      <c r="BX379" s="1261"/>
      <c r="BY379" s="1261"/>
      <c r="BZ379" s="1261"/>
      <c r="CA379" s="1261"/>
      <c r="CB379" s="1261"/>
      <c r="CC379" s="1261"/>
    </row>
    <row r="380" spans="2:81">
      <c r="H380" s="911"/>
      <c r="I380" s="911"/>
      <c r="J380" s="911"/>
      <c r="K380" s="911"/>
      <c r="L380" s="911"/>
      <c r="M380" s="911"/>
      <c r="N380" s="911"/>
      <c r="O380" s="911"/>
      <c r="P380" s="911"/>
      <c r="Q380" s="911"/>
      <c r="R380" s="911"/>
      <c r="S380" s="911"/>
      <c r="T380" s="911"/>
      <c r="U380" s="911"/>
      <c r="V380" s="911"/>
      <c r="W380" s="911"/>
      <c r="X380" s="911"/>
      <c r="Y380" s="911"/>
      <c r="Z380" s="911"/>
      <c r="AA380" s="911"/>
      <c r="AB380" s="911"/>
      <c r="AC380" s="911"/>
      <c r="AD380" s="911"/>
      <c r="AE380" s="911"/>
      <c r="AF380" s="911"/>
      <c r="AG380" s="911"/>
      <c r="AH380" s="911"/>
      <c r="AI380" s="911"/>
      <c r="AJ380" s="911"/>
      <c r="AK380" s="911"/>
      <c r="AL380" s="911"/>
      <c r="AM380" s="911"/>
      <c r="AN380" s="911"/>
      <c r="AO380" s="911"/>
      <c r="AP380" s="911"/>
      <c r="AQ380" s="911"/>
      <c r="BH380" s="912"/>
      <c r="BI380" s="912"/>
      <c r="BJ380" s="912"/>
      <c r="BK380" s="912"/>
      <c r="BL380" s="912"/>
      <c r="BM380" s="912"/>
      <c r="BN380" s="912"/>
      <c r="BO380" s="912"/>
      <c r="BP380" s="912"/>
      <c r="BT380" s="3"/>
      <c r="BU380" s="3"/>
      <c r="BV380" s="3"/>
      <c r="BW380" s="3"/>
      <c r="BX380" s="3"/>
      <c r="BY380" s="3"/>
      <c r="BZ380" s="3"/>
      <c r="CA380" s="3"/>
      <c r="CB380" s="3"/>
      <c r="CC380" s="3"/>
    </row>
    <row r="381" spans="2:81" ht="10.5">
      <c r="B381" s="45" t="s">
        <v>388</v>
      </c>
      <c r="BT381" s="1266"/>
      <c r="BU381" s="1266"/>
      <c r="BV381" s="1266"/>
      <c r="BW381" s="1266"/>
      <c r="BX381" s="1266"/>
      <c r="BY381" s="1266"/>
      <c r="BZ381" s="1266"/>
      <c r="CA381" s="1266"/>
      <c r="CB381" s="1266"/>
      <c r="CC381" s="1266"/>
    </row>
    <row r="382" spans="2:81">
      <c r="B382" s="3" t="s">
        <v>389</v>
      </c>
      <c r="BT382" s="1267"/>
      <c r="BU382" s="1267"/>
      <c r="BV382" s="1267"/>
      <c r="BW382" s="1267"/>
      <c r="BX382" s="1267"/>
      <c r="BY382" s="1267"/>
      <c r="BZ382" s="1267"/>
      <c r="CA382" s="1267"/>
      <c r="CB382" s="1267"/>
      <c r="CC382" s="1267"/>
    </row>
    <row r="383" spans="2:81">
      <c r="B383" s="3"/>
      <c r="BT383" s="1261"/>
      <c r="BU383" s="1261"/>
      <c r="BV383" s="1261"/>
      <c r="BW383" s="1261"/>
      <c r="BX383" s="1261"/>
      <c r="BY383" s="1261"/>
      <c r="BZ383" s="1261"/>
      <c r="CA383" s="1261"/>
      <c r="CB383" s="1261"/>
      <c r="CC383" s="1261"/>
    </row>
    <row r="384" spans="2:81">
      <c r="B384" t="s">
        <v>86</v>
      </c>
      <c r="C384" s="880"/>
      <c r="D384" s="880">
        <f t="shared" ref="D384:AM384" si="2026">+D957</f>
        <v>0</v>
      </c>
      <c r="E384" s="880">
        <f t="shared" si="2026"/>
        <v>0</v>
      </c>
      <c r="F384" s="880">
        <f t="shared" si="2026"/>
        <v>0</v>
      </c>
      <c r="G384" s="880">
        <f t="shared" si="2026"/>
        <v>0</v>
      </c>
      <c r="H384" s="880">
        <f t="shared" si="2026"/>
        <v>0</v>
      </c>
      <c r="I384" s="880">
        <f t="shared" si="2026"/>
        <v>228</v>
      </c>
      <c r="J384" s="880">
        <f t="shared" si="2026"/>
        <v>976</v>
      </c>
      <c r="K384" s="880">
        <f t="shared" si="2026"/>
        <v>1067</v>
      </c>
      <c r="L384" s="880">
        <f t="shared" si="2026"/>
        <v>1148</v>
      </c>
      <c r="M384" s="880">
        <f t="shared" si="2026"/>
        <v>1312</v>
      </c>
      <c r="N384" s="880">
        <f t="shared" si="2026"/>
        <v>1335</v>
      </c>
      <c r="O384" s="880">
        <f t="shared" si="2026"/>
        <v>1464</v>
      </c>
      <c r="P384" s="880">
        <f t="shared" si="2026"/>
        <v>1530</v>
      </c>
      <c r="Q384" s="880">
        <f t="shared" si="2026"/>
        <v>1693</v>
      </c>
      <c r="R384" s="880">
        <f t="shared" si="2026"/>
        <v>1696</v>
      </c>
      <c r="S384" s="880">
        <f t="shared" si="2026"/>
        <v>1835</v>
      </c>
      <c r="T384" s="880">
        <f t="shared" si="2026"/>
        <v>1909</v>
      </c>
      <c r="U384" s="880">
        <f t="shared" si="2026"/>
        <v>2102</v>
      </c>
      <c r="V384" s="880">
        <f t="shared" si="2026"/>
        <v>2050</v>
      </c>
      <c r="W384" s="880">
        <f t="shared" si="2026"/>
        <v>2016</v>
      </c>
      <c r="X384" s="880">
        <f t="shared" si="2026"/>
        <v>2206</v>
      </c>
      <c r="Y384" s="880">
        <f t="shared" si="2026"/>
        <v>2577</v>
      </c>
      <c r="Z384" s="880">
        <f t="shared" si="2026"/>
        <v>2562</v>
      </c>
      <c r="AA384" s="880">
        <f t="shared" si="2026"/>
        <v>2944</v>
      </c>
      <c r="AB384" s="880">
        <f t="shared" si="2026"/>
        <v>3136</v>
      </c>
      <c r="AC384" s="880">
        <f t="shared" si="2026"/>
        <v>3531</v>
      </c>
      <c r="AD384" s="880">
        <f t="shared" si="2026"/>
        <v>3437</v>
      </c>
      <c r="AE384" s="880">
        <f t="shared" si="2026"/>
        <v>3712</v>
      </c>
      <c r="AF384" s="880">
        <f t="shared" si="2026"/>
        <v>3663</v>
      </c>
      <c r="AG384" s="880">
        <f t="shared" si="2026"/>
        <v>3876</v>
      </c>
      <c r="AH384" s="880">
        <f t="shared" si="2026"/>
        <v>3697</v>
      </c>
      <c r="AI384" s="880">
        <f t="shared" si="2026"/>
        <v>3909</v>
      </c>
      <c r="AJ384" s="880">
        <f t="shared" si="2026"/>
        <v>3913</v>
      </c>
      <c r="AK384" s="880">
        <f t="shared" si="2026"/>
        <v>4195</v>
      </c>
      <c r="AL384" s="880">
        <f t="shared" si="2026"/>
        <v>4013</v>
      </c>
      <c r="AM384" s="880">
        <f t="shared" si="2026"/>
        <v>4251</v>
      </c>
      <c r="AN384" s="880">
        <f>+AN957</f>
        <v>4292</v>
      </c>
      <c r="AO384" s="879"/>
      <c r="AP384" s="879"/>
      <c r="AQ384" s="879"/>
      <c r="BH384" s="8">
        <f>+SUM(H384:K384)</f>
        <v>2271</v>
      </c>
      <c r="BI384" s="8">
        <f>+SUM(L384:O384)</f>
        <v>5259</v>
      </c>
      <c r="BJ384" s="8">
        <f>+SUM(P384:S384)</f>
        <v>6754</v>
      </c>
      <c r="BK384" s="8">
        <f>SUM(T384:W384)</f>
        <v>8077</v>
      </c>
      <c r="BL384" s="8">
        <f>SUM(X384:AA384)</f>
        <v>10289</v>
      </c>
      <c r="BM384" s="8">
        <f>SUM(AB384:AE384)</f>
        <v>13816</v>
      </c>
      <c r="BN384" s="8">
        <f>SUM(AF384:AI384)</f>
        <v>15145</v>
      </c>
      <c r="BO384" s="8">
        <f>+SUM(AJ384:AM384)</f>
        <v>16372</v>
      </c>
      <c r="BP384" s="8"/>
      <c r="BT384" s="1261"/>
      <c r="BU384" s="1261"/>
      <c r="BV384" s="1261"/>
      <c r="BW384" s="1261"/>
      <c r="BX384" s="1261"/>
      <c r="BY384" s="1261"/>
      <c r="BZ384" s="1261"/>
      <c r="CA384" s="1261"/>
      <c r="CB384" s="1261"/>
      <c r="CC384" s="1261"/>
    </row>
    <row r="385" spans="2:81" s="3" customFormat="1">
      <c r="B385" s="15" t="s">
        <v>113</v>
      </c>
      <c r="H385" s="931"/>
      <c r="I385" s="931"/>
      <c r="J385" s="931"/>
      <c r="K385" s="931"/>
      <c r="L385" s="931"/>
      <c r="M385" s="14" t="s">
        <v>273</v>
      </c>
      <c r="N385" s="14">
        <f>+N384/J384-1</f>
        <v>0.36782786885245899</v>
      </c>
      <c r="O385" s="14">
        <f>+O384/K384-1</f>
        <v>0.37207122774133072</v>
      </c>
      <c r="P385" s="14">
        <f>+P384/L384-1</f>
        <v>0.33275261324041816</v>
      </c>
      <c r="Q385" s="14">
        <f t="shared" ref="Q385" si="2027">+Q384/M384-1</f>
        <v>0.29039634146341453</v>
      </c>
      <c r="R385" s="14">
        <f t="shared" ref="R385" si="2028">+R384/N384-1</f>
        <v>0.27041198501872654</v>
      </c>
      <c r="S385" s="14">
        <f t="shared" ref="S385" si="2029">+S384/O384-1</f>
        <v>0.25341530054644812</v>
      </c>
      <c r="T385" s="14">
        <f t="shared" ref="T385" si="2030">+T384/P384-1</f>
        <v>0.2477124183006536</v>
      </c>
      <c r="U385" s="14">
        <f t="shared" ref="U385" si="2031">+U384/Q384-1</f>
        <v>0.24158298877731843</v>
      </c>
      <c r="V385" s="14">
        <f t="shared" ref="V385" si="2032">+V384/R384-1</f>
        <v>0.20872641509433953</v>
      </c>
      <c r="W385" s="14">
        <f t="shared" ref="W385" si="2033">+W384/S384-1</f>
        <v>9.8637602179836525E-2</v>
      </c>
      <c r="X385" s="14">
        <f t="shared" ref="X385" si="2034">+X384/T384-1</f>
        <v>0.15557883708748044</v>
      </c>
      <c r="Y385" s="14">
        <f t="shared" ref="Y385" si="2035">+Y384/U384-1</f>
        <v>0.22597526165556614</v>
      </c>
      <c r="Z385" s="14">
        <f t="shared" ref="Z385" si="2036">+Z384/V384-1</f>
        <v>0.24975609756097561</v>
      </c>
      <c r="AA385" s="14">
        <f t="shared" ref="AA385" si="2037">+AA384/W384-1</f>
        <v>0.46031746031746024</v>
      </c>
      <c r="AB385" s="14">
        <f t="shared" ref="AB385" si="2038">+AB384/X384-1</f>
        <v>0.4215775158658206</v>
      </c>
      <c r="AC385" s="14">
        <f t="shared" ref="AC385" si="2039">+AC384/Y384-1</f>
        <v>0.37019790454016288</v>
      </c>
      <c r="AD385" s="14">
        <f t="shared" ref="AD385" si="2040">+AD384/Z384-1</f>
        <v>0.34153005464480879</v>
      </c>
      <c r="AE385" s="14">
        <f t="shared" ref="AE385" si="2041">+AE384/AA384-1</f>
        <v>0.26086956521739135</v>
      </c>
      <c r="AF385" s="14">
        <f t="shared" ref="AF385" si="2042">+AF384/AB384-1</f>
        <v>0.16804846938775508</v>
      </c>
      <c r="AG385" s="14">
        <f t="shared" ref="AG385" si="2043">+AG384/AC384-1</f>
        <v>9.7706032285471478E-2</v>
      </c>
      <c r="AH385" s="14">
        <f t="shared" ref="AH385" si="2044">+AH384/AD384-1</f>
        <v>7.5647366889729506E-2</v>
      </c>
      <c r="AI385" s="14">
        <f t="shared" ref="AI385" si="2045">+AI384/AE384-1</f>
        <v>5.3071120689655249E-2</v>
      </c>
      <c r="AJ385" s="14">
        <f t="shared" ref="AJ385" si="2046">+AJ384/AF384-1</f>
        <v>6.8250068250068185E-2</v>
      </c>
      <c r="AK385" s="14">
        <f t="shared" ref="AK385" si="2047">+AK384/AG384-1</f>
        <v>8.2301341589267274E-2</v>
      </c>
      <c r="AL385" s="14">
        <f t="shared" ref="AL385" si="2048">+AL384/AH384-1</f>
        <v>8.5474709223694934E-2</v>
      </c>
      <c r="AM385" s="14">
        <f t="shared" ref="AM385" si="2049">+AM384/AI384-1</f>
        <v>8.74904067536455E-2</v>
      </c>
      <c r="AN385" s="14">
        <f t="shared" ref="AN385" si="2050">+AN384/AJ384-1</f>
        <v>9.685663174035275E-2</v>
      </c>
      <c r="AO385" s="14"/>
      <c r="AP385" s="14"/>
      <c r="AQ385" s="14"/>
      <c r="BI385" s="14">
        <f>+IFERROR(BI384/BH384-1,"n/a ")</f>
        <v>1.3157199471598413</v>
      </c>
      <c r="BJ385" s="14">
        <f>+IFERROR(BJ384/BI384-1,"n/a ")</f>
        <v>0.28427457691576352</v>
      </c>
      <c r="BK385" s="14">
        <f>+IFERROR(BK384/BJ384-1,"n/a ")</f>
        <v>0.19588392063962101</v>
      </c>
      <c r="BL385" s="14">
        <f t="shared" ref="BL385" si="2051">+IFERROR(BL384/BK384-1,"n/a ")</f>
        <v>0.27386405843753869</v>
      </c>
      <c r="BM385" s="14">
        <f t="shared" ref="BM385" si="2052">+IFERROR(BM384/BL384-1,"n/a ")</f>
        <v>0.34279327437068718</v>
      </c>
      <c r="BN385" s="14">
        <f t="shared" ref="BN385" si="2053">+IFERROR(BN384/BM384-1,"n/a ")</f>
        <v>9.619281991893458E-2</v>
      </c>
      <c r="BO385" s="14">
        <f t="shared" ref="BO385" si="2054">+IFERROR(BO384/BN384-1,"n/a ")</f>
        <v>8.1016837240013295E-2</v>
      </c>
      <c r="BP385" s="14"/>
      <c r="BT385" s="1268"/>
      <c r="BU385" s="1268"/>
      <c r="BV385" s="1268"/>
      <c r="BW385" s="1268"/>
      <c r="BX385" s="1268"/>
      <c r="BY385" s="1268"/>
      <c r="BZ385" s="1268"/>
      <c r="CA385" s="1268"/>
      <c r="CB385" s="1268"/>
      <c r="CC385" s="1268"/>
    </row>
    <row r="386" spans="2:81" s="3" customFormat="1">
      <c r="B386" s="15" t="s">
        <v>272</v>
      </c>
      <c r="H386" s="931"/>
      <c r="I386" s="931"/>
      <c r="J386" s="931"/>
      <c r="K386" s="931"/>
      <c r="L386" s="931"/>
      <c r="M386" s="14" t="s">
        <v>273</v>
      </c>
      <c r="N386" s="22">
        <v>0.33</v>
      </c>
      <c r="O386" s="22">
        <v>0.34</v>
      </c>
      <c r="P386" s="22">
        <v>0.33</v>
      </c>
      <c r="Q386" s="22">
        <v>0.3</v>
      </c>
      <c r="R386" s="22">
        <v>0.28999999999999998</v>
      </c>
      <c r="S386" s="22">
        <v>0.28000000000000003</v>
      </c>
      <c r="T386" s="22">
        <v>0.26</v>
      </c>
      <c r="U386" s="22">
        <v>0.26</v>
      </c>
      <c r="V386" s="22">
        <v>0.22</v>
      </c>
      <c r="W386" s="22">
        <v>0.11</v>
      </c>
      <c r="X386" s="22">
        <v>0.16</v>
      </c>
      <c r="Y386" s="22">
        <v>0.22</v>
      </c>
      <c r="Z386" s="22">
        <v>0.23</v>
      </c>
      <c r="AA386" s="22">
        <v>0.42</v>
      </c>
      <c r="AB386" s="22">
        <v>0.39</v>
      </c>
      <c r="AC386" s="22">
        <v>0.36</v>
      </c>
      <c r="AD386" s="22">
        <v>0.35</v>
      </c>
      <c r="AE386" s="22">
        <v>0.28999999999999998</v>
      </c>
      <c r="AF386" s="22">
        <v>0.21</v>
      </c>
      <c r="AG386" s="22">
        <v>0.14000000000000001</v>
      </c>
      <c r="AH386" s="22">
        <v>0.1</v>
      </c>
      <c r="AI386" s="22">
        <v>7.0000000000000007E-2</v>
      </c>
      <c r="AJ386" s="22">
        <v>0.08</v>
      </c>
      <c r="AK386" s="22">
        <v>0.08</v>
      </c>
      <c r="AL386" s="22">
        <v>0.09</v>
      </c>
      <c r="AM386" s="22">
        <v>0.09</v>
      </c>
      <c r="AN386" s="22">
        <v>0.09</v>
      </c>
      <c r="AO386" s="904"/>
      <c r="AP386" s="904"/>
      <c r="AQ386" s="904"/>
      <c r="BI386" s="23" t="s">
        <v>273</v>
      </c>
      <c r="BJ386" s="21">
        <f>+AVERAGE(P386:S386)</f>
        <v>0.3</v>
      </c>
      <c r="BK386" s="21">
        <f>+AVERAGE(T386:W386)</f>
        <v>0.21249999999999999</v>
      </c>
      <c r="BL386" s="21">
        <f>SUMPRODUCT(X386:AA386,T384:W384)/BK384</f>
        <v>0.25827658784202057</v>
      </c>
      <c r="BM386" s="21">
        <f>SUMPRODUCT(AB386:AE386,X384:AA384)/BL384</f>
        <v>0.34391291670716295</v>
      </c>
      <c r="BN386" s="21">
        <f>SUMPRODUCT(AF386:AI386,AB384:AE384)/BM384</f>
        <v>0.12713086276780544</v>
      </c>
      <c r="BO386" s="21">
        <f>SUMPRODUCT(AJ386:AM386,AF384:AI384)/BN384</f>
        <v>8.5022119511389882E-2</v>
      </c>
      <c r="BT386" s="1269"/>
      <c r="BU386" s="1269"/>
      <c r="BV386" s="1269"/>
      <c r="BW386" s="1269"/>
      <c r="BX386" s="1269"/>
      <c r="BY386" s="1269"/>
      <c r="BZ386" s="1269"/>
      <c r="CA386" s="1269"/>
      <c r="CB386" s="1269"/>
      <c r="CC386" s="1269"/>
    </row>
    <row r="387" spans="2:81" s="3" customFormat="1">
      <c r="B387" s="15"/>
      <c r="H387" s="931"/>
      <c r="I387" s="931"/>
      <c r="J387" s="931"/>
      <c r="K387" s="931"/>
      <c r="L387" s="931"/>
      <c r="M387" s="933"/>
      <c r="N387" s="904"/>
      <c r="O387" s="904"/>
      <c r="P387" s="904"/>
      <c r="Q387" s="904"/>
      <c r="R387" s="904"/>
      <c r="S387" s="904"/>
      <c r="T387" s="904"/>
      <c r="U387" s="904"/>
      <c r="V387" s="904"/>
      <c r="W387" s="904"/>
      <c r="X387" s="904"/>
      <c r="Y387" s="904"/>
      <c r="Z387" s="904"/>
      <c r="AA387" s="904"/>
      <c r="AB387" s="904"/>
      <c r="AC387" s="904"/>
      <c r="AD387" s="904"/>
      <c r="AE387" s="904"/>
      <c r="AF387" s="904"/>
      <c r="AG387" s="904"/>
      <c r="AH387" s="904"/>
      <c r="AI387" s="904"/>
      <c r="AJ387" s="904"/>
      <c r="AK387" s="904"/>
      <c r="AL387" s="904"/>
      <c r="AM387" s="904"/>
      <c r="AN387" s="904"/>
      <c r="AO387" s="904"/>
      <c r="AP387" s="904"/>
      <c r="AQ387" s="904"/>
      <c r="BI387" s="23"/>
      <c r="BJ387" s="21"/>
      <c r="BK387" s="21"/>
      <c r="BL387" s="21"/>
      <c r="BM387" s="21"/>
      <c r="BT387" s="1268"/>
      <c r="BU387" s="1268"/>
      <c r="BV387" s="1268"/>
      <c r="BW387" s="1268"/>
      <c r="BX387" s="1268"/>
      <c r="BY387" s="1268"/>
      <c r="BZ387" s="1268"/>
      <c r="CA387" s="1268"/>
      <c r="CB387" s="1268"/>
      <c r="CC387" s="1268"/>
    </row>
    <row r="388" spans="2:81">
      <c r="B388" t="s">
        <v>390</v>
      </c>
      <c r="J388" s="879"/>
      <c r="K388" s="879"/>
      <c r="L388" s="879"/>
      <c r="M388" s="929" t="s">
        <v>391</v>
      </c>
      <c r="N388" s="929" t="s">
        <v>392</v>
      </c>
      <c r="O388" s="911">
        <v>0.41</v>
      </c>
      <c r="P388" s="911">
        <v>0.34</v>
      </c>
      <c r="Q388" s="911">
        <v>0.3</v>
      </c>
      <c r="R388" s="911">
        <v>0.24</v>
      </c>
      <c r="S388" s="911">
        <v>0.22</v>
      </c>
      <c r="T388" s="911">
        <v>0.22</v>
      </c>
      <c r="U388" s="911">
        <v>0.25</v>
      </c>
      <c r="V388" s="911">
        <v>0.26</v>
      </c>
      <c r="W388" s="929">
        <v>0.27</v>
      </c>
      <c r="X388" s="929">
        <v>0.31</v>
      </c>
      <c r="Y388" s="929">
        <v>0.3</v>
      </c>
      <c r="Z388" s="929">
        <v>0.28999999999999998</v>
      </c>
      <c r="AA388" s="929">
        <v>0.3</v>
      </c>
      <c r="AB388" s="929">
        <v>0.19</v>
      </c>
      <c r="AC388" s="929">
        <v>0.22</v>
      </c>
      <c r="AD388" s="929">
        <v>0.22</v>
      </c>
      <c r="AE388" s="929">
        <v>0.22</v>
      </c>
      <c r="AF388" s="929">
        <v>0.24</v>
      </c>
      <c r="AG388" s="929">
        <v>0.18</v>
      </c>
      <c r="AH388" s="929">
        <v>0.15</v>
      </c>
      <c r="AI388" s="929">
        <v>0.12</v>
      </c>
      <c r="AJ388" s="929">
        <v>0.12</v>
      </c>
      <c r="AK388" s="929">
        <v>0.12</v>
      </c>
      <c r="AL388" s="929">
        <v>0.11</v>
      </c>
      <c r="AM388" s="929">
        <v>0.13</v>
      </c>
      <c r="AN388" s="929">
        <v>0.11</v>
      </c>
      <c r="AO388" s="929"/>
      <c r="AP388" s="929"/>
      <c r="AQ388" s="929"/>
      <c r="BI388" s="41" t="s">
        <v>273</v>
      </c>
      <c r="BJ388" s="900">
        <f>AVERAGE(P388:S388)</f>
        <v>0.27500000000000002</v>
      </c>
      <c r="BK388" s="912">
        <f>+AVERAGE(T388:W388)</f>
        <v>0.25</v>
      </c>
      <c r="BL388" s="912">
        <f>+AVERAGE(X388:AA388)</f>
        <v>0.3</v>
      </c>
      <c r="BM388" s="900">
        <f>+AVERAGE(AB388:AE388)</f>
        <v>0.21249999999999999</v>
      </c>
      <c r="BN388" s="900">
        <f>+AVERAGE(AF388:AI388)</f>
        <v>0.17249999999999999</v>
      </c>
      <c r="BO388" s="900">
        <f>+AVERAGE(AJ388:AM388)</f>
        <v>0.12</v>
      </c>
      <c r="BP388" s="900"/>
      <c r="BT388" s="1268"/>
      <c r="BU388" s="1268"/>
      <c r="BV388" s="1268"/>
      <c r="BW388" s="1268"/>
      <c r="BX388" s="1268"/>
      <c r="BY388" s="1268"/>
      <c r="BZ388" s="1268"/>
      <c r="CA388" s="1268"/>
      <c r="CB388" s="1268"/>
      <c r="CC388" s="1268"/>
    </row>
    <row r="389" spans="2:81">
      <c r="H389" s="911"/>
      <c r="I389" s="911"/>
      <c r="J389" s="911"/>
      <c r="K389" s="911"/>
      <c r="L389" s="911"/>
      <c r="M389" s="911"/>
      <c r="N389" s="911"/>
      <c r="O389" s="911"/>
      <c r="P389" s="911"/>
      <c r="Q389" s="911"/>
      <c r="R389" s="911"/>
      <c r="S389" s="911"/>
      <c r="T389" s="911"/>
      <c r="U389" s="911"/>
      <c r="V389" s="911"/>
      <c r="W389" s="911"/>
      <c r="X389" s="911"/>
      <c r="Y389" s="911"/>
      <c r="Z389" s="911"/>
      <c r="AA389" s="911"/>
      <c r="AB389" s="911"/>
      <c r="AC389" s="911"/>
      <c r="AD389" s="911"/>
      <c r="AE389" s="911"/>
      <c r="AF389" s="911"/>
      <c r="AG389" s="911"/>
      <c r="AH389" s="911"/>
      <c r="AI389" s="911"/>
      <c r="AJ389" s="911"/>
      <c r="AK389" s="911"/>
      <c r="AL389" s="911"/>
      <c r="AM389" s="911"/>
      <c r="AN389" s="911"/>
      <c r="AO389" s="911"/>
      <c r="AP389" s="911"/>
      <c r="AQ389" s="911"/>
      <c r="BH389" s="912"/>
      <c r="BI389" s="912"/>
      <c r="BJ389" s="912"/>
      <c r="BK389" s="912"/>
      <c r="BL389" s="912"/>
      <c r="BM389" s="912"/>
      <c r="BN389" s="912"/>
      <c r="BO389" s="912"/>
      <c r="BP389" s="912"/>
      <c r="BT389" s="3"/>
      <c r="BU389" s="3"/>
      <c r="BV389" s="3"/>
      <c r="BW389" s="3"/>
      <c r="BX389" s="3"/>
      <c r="BY389" s="3"/>
      <c r="BZ389" s="3"/>
      <c r="CA389" s="3"/>
      <c r="CB389" s="3"/>
      <c r="CC389" s="3"/>
    </row>
    <row r="390" spans="2:81" ht="10.5">
      <c r="B390" s="45" t="s">
        <v>393</v>
      </c>
      <c r="AA390" s="9"/>
      <c r="AG390" s="8"/>
      <c r="AH390" s="1"/>
      <c r="AK390" s="9"/>
      <c r="AL390" s="9"/>
      <c r="BK390" s="9"/>
      <c r="BL390" s="9"/>
      <c r="BM390" s="9"/>
      <c r="BN390" s="9"/>
    </row>
    <row r="391" spans="2:81" s="100" customFormat="1">
      <c r="B391" s="100" t="s">
        <v>394</v>
      </c>
      <c r="H391" s="880"/>
      <c r="I391" s="880"/>
      <c r="J391" s="880"/>
      <c r="K391" s="880"/>
      <c r="L391" s="880"/>
      <c r="M391" s="880"/>
      <c r="N391" s="880"/>
      <c r="O391" s="880"/>
      <c r="P391" s="880"/>
      <c r="Q391" s="880"/>
      <c r="R391" s="880"/>
      <c r="S391" s="880"/>
      <c r="T391" s="880"/>
      <c r="U391" s="880"/>
      <c r="V391" s="880"/>
      <c r="W391" s="880"/>
      <c r="X391" s="880"/>
      <c r="Y391" s="880"/>
      <c r="Z391" s="880"/>
      <c r="AA391" s="880"/>
      <c r="AB391" s="880"/>
      <c r="AC391" s="880"/>
      <c r="AD391" s="880"/>
      <c r="AE391" s="880"/>
      <c r="AF391" s="1214">
        <f t="shared" ref="AF391:AL391" si="2055">+AF393-AF392</f>
        <v>15671.602910399026</v>
      </c>
      <c r="AG391" s="1214">
        <f t="shared" si="2055"/>
        <v>16030.912246960534</v>
      </c>
      <c r="AH391" s="1214">
        <f t="shared" si="2055"/>
        <v>17345.572649889931</v>
      </c>
      <c r="AI391" s="1214">
        <f t="shared" si="2055"/>
        <v>18548.027450494945</v>
      </c>
      <c r="AJ391" s="1214">
        <f t="shared" si="2055"/>
        <v>18205.99334695888</v>
      </c>
      <c r="AK391" s="1214">
        <f t="shared" si="2055"/>
        <v>18600.549084004611</v>
      </c>
      <c r="AL391" s="1214">
        <f t="shared" si="2055"/>
        <v>19900.197094375621</v>
      </c>
      <c r="AM391" s="1214">
        <f>+AM393-AM392</f>
        <v>20954.83074455434</v>
      </c>
      <c r="AN391" s="880">
        <f>+AJ391*(1+AN362)</f>
        <v>20572.77248206353</v>
      </c>
      <c r="AO391" s="880">
        <f t="shared" ref="AO391:AQ391" si="2056">+AK391*(1+AO399)</f>
        <v>21018.62046492521</v>
      </c>
      <c r="AP391" s="880">
        <f t="shared" si="2056"/>
        <v>22487.22271664445</v>
      </c>
      <c r="AQ391" s="880">
        <f t="shared" si="2056"/>
        <v>23678.958741346403</v>
      </c>
      <c r="AV391" s="880"/>
      <c r="AW391" s="880"/>
      <c r="AX391" s="880"/>
      <c r="AY391" s="880"/>
      <c r="AZ391" s="880"/>
      <c r="BA391" s="880"/>
      <c r="BB391" s="880"/>
      <c r="BC391" s="880"/>
      <c r="BD391" s="880"/>
      <c r="BE391" s="880"/>
      <c r="BF391" s="880"/>
      <c r="BG391" s="880"/>
      <c r="BH391" s="880"/>
      <c r="BI391" s="880"/>
      <c r="BJ391" s="880"/>
      <c r="BK391" s="880"/>
      <c r="BL391" s="880"/>
      <c r="BM391" s="880"/>
      <c r="BN391" s="880">
        <f>+SUM(AF391:AI391)</f>
        <v>67596.11525774443</v>
      </c>
      <c r="BO391" s="880">
        <f>+SUM(AJ391:AM391)</f>
        <v>77661.570269893447</v>
      </c>
      <c r="BP391" s="880">
        <f>+SUM(AN391:AQ391)</f>
        <v>87757.57440497959</v>
      </c>
      <c r="BT391"/>
      <c r="BU391"/>
      <c r="BV391"/>
      <c r="BW391"/>
      <c r="BX391"/>
      <c r="BY391"/>
      <c r="BZ391"/>
      <c r="CA391"/>
      <c r="CB391"/>
      <c r="CC391"/>
    </row>
    <row r="392" spans="2:81" s="1112" customFormat="1" ht="11.45">
      <c r="B392" s="100" t="s">
        <v>395</v>
      </c>
      <c r="H392" s="906"/>
      <c r="I392" s="906"/>
      <c r="J392" s="906"/>
      <c r="K392" s="906"/>
      <c r="L392" s="906"/>
      <c r="M392" s="906"/>
      <c r="N392" s="906"/>
      <c r="O392" s="906"/>
      <c r="P392" s="906"/>
      <c r="Q392" s="906"/>
      <c r="R392" s="906"/>
      <c r="S392" s="906"/>
      <c r="T392" s="906"/>
      <c r="U392" s="906"/>
      <c r="V392" s="906"/>
      <c r="W392" s="906"/>
      <c r="X392" s="906"/>
      <c r="Y392" s="906"/>
      <c r="Z392" s="906"/>
      <c r="AA392" s="906"/>
      <c r="AB392" s="906"/>
      <c r="AC392" s="906"/>
      <c r="AD392" s="906"/>
      <c r="AE392" s="906"/>
      <c r="AF392" s="906">
        <f t="shared" ref="AF392:AL392" si="2057">+AF515</f>
        <v>1485.3970896009741</v>
      </c>
      <c r="AG392" s="906">
        <f t="shared" si="2057"/>
        <v>1406.0877530394664</v>
      </c>
      <c r="AH392" s="906">
        <f t="shared" si="2057"/>
        <v>1501.3671005408587</v>
      </c>
      <c r="AI392" s="906">
        <f t="shared" si="2057"/>
        <v>1605.3768982055428</v>
      </c>
      <c r="AJ392" s="906">
        <f t="shared" si="2057"/>
        <v>1529.9590022890034</v>
      </c>
      <c r="AK392" s="906">
        <f t="shared" si="2057"/>
        <v>1476.3921406914399</v>
      </c>
      <c r="AL392" s="906">
        <f t="shared" si="2057"/>
        <v>1561.421784562493</v>
      </c>
      <c r="AM392" s="906">
        <f>+AM515</f>
        <v>1653.5382051517092</v>
      </c>
      <c r="AN392" s="906">
        <f>+AJ392*(1+AN364)</f>
        <v>1606.4569524034537</v>
      </c>
      <c r="AO392" s="906">
        <f t="shared" ref="AO392:AQ392" si="2058">+AK392*(1+AO400)</f>
        <v>1520.6839049121832</v>
      </c>
      <c r="AP392" s="906">
        <f t="shared" si="2058"/>
        <v>1608.2644380993679</v>
      </c>
      <c r="AQ392" s="906">
        <f t="shared" si="2058"/>
        <v>1703.1443513062607</v>
      </c>
      <c r="AV392" s="906"/>
      <c r="AW392" s="906"/>
      <c r="AX392" s="906"/>
      <c r="AY392" s="906"/>
      <c r="AZ392" s="906"/>
      <c r="BA392" s="906"/>
      <c r="BB392" s="906"/>
      <c r="BC392" s="906"/>
      <c r="BD392" s="906"/>
      <c r="BE392" s="906"/>
      <c r="BF392" s="906"/>
      <c r="BG392" s="906"/>
      <c r="BH392" s="906"/>
      <c r="BI392" s="906"/>
      <c r="BJ392" s="906"/>
      <c r="BK392" s="906"/>
      <c r="BL392" s="906"/>
      <c r="BM392" s="906"/>
      <c r="BN392" s="906">
        <f t="shared" ref="BN392:BN396" si="2059">+SUM(AF392:AI392)</f>
        <v>5998.2288413868419</v>
      </c>
      <c r="BO392" s="906">
        <f t="shared" ref="BO392:BO396" si="2060">+SUM(AJ392:AM392)</f>
        <v>6221.3111326946446</v>
      </c>
      <c r="BP392" s="906">
        <f t="shared" ref="BP392:BP396" si="2061">+SUM(AN392:AQ392)</f>
        <v>6438.5496467212652</v>
      </c>
      <c r="BT392" s="100"/>
      <c r="BU392" s="100"/>
      <c r="BV392" s="100"/>
      <c r="BW392" s="100"/>
      <c r="BX392" s="100"/>
      <c r="BY392" s="100"/>
      <c r="BZ392" s="100"/>
      <c r="CA392" s="100"/>
      <c r="CB392" s="100"/>
      <c r="CC392" s="100"/>
    </row>
    <row r="393" spans="2:81" s="100" customFormat="1">
      <c r="B393" s="1096" t="s">
        <v>396</v>
      </c>
      <c r="H393" s="880"/>
      <c r="I393" s="880"/>
      <c r="J393" s="880"/>
      <c r="K393" s="880"/>
      <c r="L393" s="880"/>
      <c r="M393" s="880"/>
      <c r="N393" s="880"/>
      <c r="O393" s="880"/>
      <c r="P393" s="880"/>
      <c r="Q393" s="880"/>
      <c r="R393" s="880"/>
      <c r="S393" s="880"/>
      <c r="T393" s="880"/>
      <c r="U393" s="880"/>
      <c r="V393" s="880"/>
      <c r="W393" s="880"/>
      <c r="X393" s="880"/>
      <c r="Y393" s="880"/>
      <c r="Z393" s="880"/>
      <c r="AA393" s="880"/>
      <c r="AB393" s="880"/>
      <c r="AC393" s="880"/>
      <c r="AD393" s="880"/>
      <c r="AE393" s="880"/>
      <c r="AF393" s="880">
        <f t="shared" ref="AF393:AL393" si="2062">+AF396-AF394-AF395</f>
        <v>17157</v>
      </c>
      <c r="AG393" s="880">
        <f t="shared" si="2062"/>
        <v>17437</v>
      </c>
      <c r="AH393" s="880">
        <f t="shared" si="2062"/>
        <v>18846.939750430789</v>
      </c>
      <c r="AI393" s="880">
        <f t="shared" si="2062"/>
        <v>20153.404348700489</v>
      </c>
      <c r="AJ393" s="880">
        <f t="shared" si="2062"/>
        <v>19735.952349247884</v>
      </c>
      <c r="AK393" s="880">
        <f t="shared" si="2062"/>
        <v>20076.941224696053</v>
      </c>
      <c r="AL393" s="880">
        <f t="shared" si="2062"/>
        <v>21461.618878938112</v>
      </c>
      <c r="AM393" s="880">
        <f>+AM396-AM394-AM395</f>
        <v>22608.368949706048</v>
      </c>
      <c r="AN393" s="880">
        <f>+SUM(AN391:AN392)</f>
        <v>22179.229434466983</v>
      </c>
      <c r="AO393" s="880">
        <f t="shared" ref="AO393:AQ393" si="2063">+SUM(AO391:AO392)</f>
        <v>22539.304369837395</v>
      </c>
      <c r="AP393" s="880">
        <f t="shared" si="2063"/>
        <v>24095.487154743816</v>
      </c>
      <c r="AQ393" s="880">
        <f t="shared" si="2063"/>
        <v>25382.103092652666</v>
      </c>
      <c r="AV393" s="880"/>
      <c r="AW393" s="880"/>
      <c r="AX393" s="880"/>
      <c r="AY393" s="880"/>
      <c r="AZ393" s="880"/>
      <c r="BA393" s="880"/>
      <c r="BB393" s="880"/>
      <c r="BC393" s="880"/>
      <c r="BD393" s="880"/>
      <c r="BE393" s="880"/>
      <c r="BF393" s="880"/>
      <c r="BG393" s="880"/>
      <c r="BH393" s="880"/>
      <c r="BI393" s="880"/>
      <c r="BJ393" s="880"/>
      <c r="BK393" s="880"/>
      <c r="BL393" s="880"/>
      <c r="BM393" s="880"/>
      <c r="BN393" s="880">
        <f t="shared" si="2059"/>
        <v>73594.344099131267</v>
      </c>
      <c r="BO393" s="880">
        <f t="shared" si="2060"/>
        <v>83882.8814025881</v>
      </c>
      <c r="BP393" s="880">
        <f t="shared" si="2061"/>
        <v>94196.124051700841</v>
      </c>
      <c r="BT393" s="1003"/>
      <c r="BU393" s="1003"/>
      <c r="BV393" s="1003"/>
      <c r="BW393" s="1003"/>
      <c r="BX393" s="1003"/>
      <c r="BY393" s="1003"/>
      <c r="BZ393" s="1003"/>
      <c r="CA393" s="1003"/>
      <c r="CB393" s="1003"/>
      <c r="CC393" s="1003"/>
    </row>
    <row r="394" spans="2:81" s="100" customFormat="1">
      <c r="B394" s="100" t="s">
        <v>388</v>
      </c>
      <c r="H394" s="880"/>
      <c r="I394" s="880"/>
      <c r="J394" s="880"/>
      <c r="K394" s="880"/>
      <c r="L394" s="880"/>
      <c r="M394" s="880"/>
      <c r="N394" s="880"/>
      <c r="O394" s="880"/>
      <c r="P394" s="880"/>
      <c r="Q394" s="880"/>
      <c r="R394" s="880"/>
      <c r="S394" s="880"/>
      <c r="T394" s="880"/>
      <c r="U394" s="880"/>
      <c r="V394" s="880"/>
      <c r="W394" s="880"/>
      <c r="X394" s="880"/>
      <c r="Y394" s="880"/>
      <c r="Z394" s="880"/>
      <c r="AA394" s="880"/>
      <c r="AB394" s="880"/>
      <c r="AC394" s="880"/>
      <c r="AD394" s="880"/>
      <c r="AE394" s="880"/>
      <c r="AF394" s="880">
        <f t="shared" ref="AF394:AL394" si="2064">+AF518</f>
        <v>3663</v>
      </c>
      <c r="AG394" s="880">
        <f t="shared" si="2064"/>
        <v>3876</v>
      </c>
      <c r="AH394" s="880">
        <f t="shared" si="2064"/>
        <v>3697</v>
      </c>
      <c r="AI394" s="880">
        <f t="shared" si="2064"/>
        <v>3909</v>
      </c>
      <c r="AJ394" s="880">
        <f t="shared" si="2064"/>
        <v>3913</v>
      </c>
      <c r="AK394" s="880">
        <f t="shared" si="2064"/>
        <v>4195</v>
      </c>
      <c r="AL394" s="880">
        <f t="shared" si="2064"/>
        <v>4013</v>
      </c>
      <c r="AM394" s="880">
        <f>+AM518</f>
        <v>4251</v>
      </c>
      <c r="AN394" s="880">
        <f>+AN518</f>
        <v>4226.04</v>
      </c>
      <c r="AO394" s="880">
        <f t="shared" ref="AO394" si="2065">+AK394*(1+AO402)</f>
        <v>4530.6000000000004</v>
      </c>
      <c r="AP394" s="880">
        <f t="shared" ref="AP394" si="2066">+AL394*(1+AP402)</f>
        <v>4334.04</v>
      </c>
      <c r="AQ394" s="880">
        <f t="shared" ref="AQ394" si="2067">+AM394*(1+AQ402)</f>
        <v>4591.08</v>
      </c>
      <c r="AV394" s="880"/>
      <c r="AW394" s="880"/>
      <c r="AX394" s="880"/>
      <c r="AY394" s="880"/>
      <c r="AZ394" s="880"/>
      <c r="BA394" s="880"/>
      <c r="BB394" s="880"/>
      <c r="BC394" s="880"/>
      <c r="BD394" s="880"/>
      <c r="BE394" s="880"/>
      <c r="BF394" s="880"/>
      <c r="BG394" s="880"/>
      <c r="BH394" s="880"/>
      <c r="BI394" s="880"/>
      <c r="BJ394" s="880"/>
      <c r="BK394" s="880"/>
      <c r="BL394" s="880"/>
      <c r="BM394" s="880"/>
      <c r="BN394" s="880">
        <f t="shared" si="2059"/>
        <v>15145</v>
      </c>
      <c r="BO394" s="880">
        <f t="shared" si="2060"/>
        <v>16372</v>
      </c>
      <c r="BP394" s="880">
        <f t="shared" si="2061"/>
        <v>17681.760000000002</v>
      </c>
    </row>
    <row r="395" spans="2:81" s="1112" customFormat="1" ht="11.45">
      <c r="B395" s="100" t="s">
        <v>397</v>
      </c>
      <c r="H395" s="906"/>
      <c r="I395" s="906"/>
      <c r="J395" s="906"/>
      <c r="K395" s="906"/>
      <c r="L395" s="906"/>
      <c r="M395" s="906"/>
      <c r="N395" s="906"/>
      <c r="O395" s="906"/>
      <c r="P395" s="906"/>
      <c r="Q395" s="906"/>
      <c r="R395" s="906"/>
      <c r="S395" s="906"/>
      <c r="T395" s="906"/>
      <c r="U395" s="906"/>
      <c r="V395" s="906"/>
      <c r="W395" s="906"/>
      <c r="X395" s="906"/>
      <c r="Y395" s="906"/>
      <c r="Z395" s="906"/>
      <c r="AA395" s="906"/>
      <c r="AB395" s="906"/>
      <c r="AC395" s="906"/>
      <c r="AD395" s="906"/>
      <c r="AE395" s="906"/>
      <c r="AF395" s="906">
        <f t="shared" ref="AF395:AL395" si="2068">+AF519</f>
        <v>1254</v>
      </c>
      <c r="AG395" s="906">
        <f t="shared" si="2068"/>
        <v>1289</v>
      </c>
      <c r="AH395" s="906">
        <f t="shared" si="2068"/>
        <v>1382.060249569211</v>
      </c>
      <c r="AI395" s="906">
        <f t="shared" si="2068"/>
        <v>1486.5956512995126</v>
      </c>
      <c r="AJ395" s="906">
        <f t="shared" si="2068"/>
        <v>1577.0476507521162</v>
      </c>
      <c r="AK395" s="906">
        <f t="shared" si="2068"/>
        <v>1582.0587753039472</v>
      </c>
      <c r="AL395" s="906">
        <f t="shared" si="2068"/>
        <v>1638.3811210618878</v>
      </c>
      <c r="AM395" s="906">
        <f>+AM519</f>
        <v>1767.6310502939505</v>
      </c>
      <c r="AN395" s="906">
        <f>+AN396-AN394-AN393</f>
        <v>1911.7305655330165</v>
      </c>
      <c r="AO395" s="906">
        <f t="shared" ref="AO395" si="2069">+AK395*(1+AO403)</f>
        <v>1930.0956301626065</v>
      </c>
      <c r="AP395" s="906">
        <f t="shared" ref="AP395" si="2070">+AL395*(1+AP403)</f>
        <v>1937.0328452561844</v>
      </c>
      <c r="AQ395" s="906">
        <f t="shared" ref="AQ395" si="2071">+AM395*(1+AQ403)</f>
        <v>2089.056907347338</v>
      </c>
      <c r="AV395" s="906"/>
      <c r="AW395" s="906"/>
      <c r="AX395" s="906"/>
      <c r="AY395" s="906"/>
      <c r="AZ395" s="906"/>
      <c r="BA395" s="906"/>
      <c r="BB395" s="906"/>
      <c r="BC395" s="906"/>
      <c r="BD395" s="906"/>
      <c r="BE395" s="906"/>
      <c r="BF395" s="906"/>
      <c r="BG395" s="906"/>
      <c r="BH395" s="906"/>
      <c r="BI395" s="906"/>
      <c r="BJ395" s="906"/>
      <c r="BK395" s="906"/>
      <c r="BL395" s="906"/>
      <c r="BM395" s="906"/>
      <c r="BN395" s="906">
        <f t="shared" si="2059"/>
        <v>5411.6559008687236</v>
      </c>
      <c r="BO395" s="906">
        <f t="shared" si="2060"/>
        <v>6565.1185974119016</v>
      </c>
      <c r="BP395" s="906">
        <f t="shared" si="2061"/>
        <v>7867.9159482991454</v>
      </c>
      <c r="BT395" s="100"/>
      <c r="BU395" s="100"/>
      <c r="BV395" s="100"/>
      <c r="BW395" s="100"/>
      <c r="BX395" s="100"/>
      <c r="BY395" s="100"/>
      <c r="BZ395" s="100"/>
      <c r="CA395" s="100"/>
      <c r="CB395" s="100"/>
      <c r="CC395" s="100"/>
    </row>
    <row r="396" spans="2:81" s="102" customFormat="1" ht="10.5">
      <c r="B396" s="873" t="s">
        <v>398</v>
      </c>
      <c r="H396" s="849"/>
      <c r="I396" s="849"/>
      <c r="J396" s="849"/>
      <c r="K396" s="849"/>
      <c r="L396" s="849"/>
      <c r="M396" s="849"/>
      <c r="N396" s="849"/>
      <c r="O396" s="849"/>
      <c r="P396" s="849"/>
      <c r="Q396" s="849"/>
      <c r="R396" s="849"/>
      <c r="S396" s="849"/>
      <c r="T396" s="849"/>
      <c r="U396" s="849"/>
      <c r="V396" s="849"/>
      <c r="W396" s="849"/>
      <c r="X396" s="849"/>
      <c r="Y396" s="849"/>
      <c r="Z396" s="849"/>
      <c r="AA396" s="849"/>
      <c r="AB396" s="849"/>
      <c r="AC396" s="849"/>
      <c r="AD396" s="849"/>
      <c r="AE396" s="849"/>
      <c r="AF396" s="849">
        <f t="shared" ref="AF396:AL396" si="2072">+AF332</f>
        <v>22074</v>
      </c>
      <c r="AG396" s="849">
        <f t="shared" si="2072"/>
        <v>22602</v>
      </c>
      <c r="AH396" s="849">
        <f t="shared" si="2072"/>
        <v>23926</v>
      </c>
      <c r="AI396" s="849">
        <f t="shared" si="2072"/>
        <v>25549</v>
      </c>
      <c r="AJ396" s="849">
        <f t="shared" si="2072"/>
        <v>25226</v>
      </c>
      <c r="AK396" s="849">
        <f t="shared" si="2072"/>
        <v>25854</v>
      </c>
      <c r="AL396" s="849">
        <f t="shared" si="2072"/>
        <v>27113</v>
      </c>
      <c r="AM396" s="849">
        <f>+AM332</f>
        <v>28627</v>
      </c>
      <c r="AN396" s="849">
        <f>+AN332</f>
        <v>28317</v>
      </c>
      <c r="AO396" s="849">
        <f>+SUM(AO393:AO395)</f>
        <v>29000</v>
      </c>
      <c r="AP396" s="849">
        <f t="shared" ref="AP396:AQ396" si="2073">+SUM(AP393:AP395)</f>
        <v>30366.560000000001</v>
      </c>
      <c r="AQ396" s="849">
        <f t="shared" si="2073"/>
        <v>32062.240000000005</v>
      </c>
      <c r="AV396" s="849"/>
      <c r="AW396" s="849"/>
      <c r="AX396" s="849"/>
      <c r="AY396" s="849"/>
      <c r="AZ396" s="849"/>
      <c r="BA396" s="849"/>
      <c r="BB396" s="849"/>
      <c r="BC396" s="849"/>
      <c r="BD396" s="849"/>
      <c r="BE396" s="849"/>
      <c r="BF396" s="849"/>
      <c r="BG396" s="849"/>
      <c r="BH396" s="849"/>
      <c r="BI396" s="849"/>
      <c r="BJ396" s="849"/>
      <c r="BK396" s="849"/>
      <c r="BL396" s="849"/>
      <c r="BM396" s="849"/>
      <c r="BN396" s="849">
        <f t="shared" si="2059"/>
        <v>94151</v>
      </c>
      <c r="BO396" s="849">
        <f t="shared" si="2060"/>
        <v>106820</v>
      </c>
      <c r="BP396" s="849">
        <f t="shared" si="2061"/>
        <v>119745.8</v>
      </c>
      <c r="BT396" s="100"/>
      <c r="BU396" s="100"/>
      <c r="BV396" s="100"/>
      <c r="BW396" s="100"/>
      <c r="BX396" s="100"/>
      <c r="BY396" s="100"/>
      <c r="BZ396" s="100"/>
      <c r="CA396" s="100"/>
      <c r="CB396" s="100"/>
      <c r="CC396" s="100"/>
    </row>
    <row r="397" spans="2:81" ht="10.5">
      <c r="AG397" s="601"/>
      <c r="AH397" s="8"/>
      <c r="AI397" s="8"/>
      <c r="AJ397" s="8"/>
      <c r="AK397" s="8"/>
      <c r="AL397" s="8"/>
      <c r="AM397" s="8"/>
      <c r="AN397" s="8"/>
      <c r="AO397" s="8"/>
      <c r="AP397" s="8"/>
      <c r="AQ397" s="8"/>
      <c r="BT397" s="100"/>
      <c r="BU397" s="102"/>
      <c r="BV397" s="102"/>
      <c r="BW397" s="102"/>
      <c r="BX397" s="102"/>
      <c r="BY397" s="102"/>
      <c r="BZ397" s="102"/>
      <c r="CA397" s="102"/>
      <c r="CB397" s="102"/>
      <c r="CC397" s="102"/>
    </row>
    <row r="398" spans="2:81">
      <c r="B398" s="24" t="s">
        <v>113</v>
      </c>
      <c r="AG398" s="912"/>
      <c r="AH398" s="9"/>
      <c r="AI398" s="9"/>
      <c r="AJ398" s="9"/>
      <c r="AK398" s="9"/>
      <c r="AL398" s="9"/>
      <c r="AM398" s="9"/>
      <c r="AN398" s="9"/>
      <c r="AO398" s="9"/>
      <c r="AP398" s="9"/>
      <c r="AQ398" s="9"/>
    </row>
    <row r="399" spans="2:81" s="3" customFormat="1">
      <c r="B399" s="13" t="str">
        <f t="shared" ref="B399:B404" si="2074">+B391</f>
        <v>Microsoft 365 Commercial products and services</v>
      </c>
      <c r="D399" s="228"/>
      <c r="E399" s="228"/>
      <c r="F399" s="228"/>
      <c r="G399" s="228"/>
      <c r="H399" s="228"/>
      <c r="I399" s="228"/>
      <c r="J399" s="228"/>
      <c r="K399" s="228"/>
      <c r="L399" s="228"/>
      <c r="M399" s="228"/>
      <c r="N399" s="228"/>
      <c r="O399" s="228"/>
      <c r="P399" s="228"/>
      <c r="Q399" s="228"/>
      <c r="R399" s="228"/>
      <c r="S399" s="228"/>
      <c r="T399" s="228"/>
      <c r="U399" s="228"/>
      <c r="V399" s="228"/>
      <c r="W399" s="228"/>
      <c r="X399" s="228"/>
      <c r="Y399" s="228"/>
      <c r="Z399" s="228"/>
      <c r="AA399" s="228"/>
      <c r="AB399" s="228"/>
      <c r="AC399" s="228"/>
      <c r="AD399" s="228"/>
      <c r="AE399" s="228"/>
      <c r="AF399" s="228"/>
      <c r="AG399" s="228"/>
      <c r="AH399" s="228"/>
      <c r="AI399" s="228"/>
      <c r="AJ399" s="228">
        <f t="shared" ref="AJ399:AM399" si="2075">+AJ391/AF391-1</f>
        <v>0.16171864812106351</v>
      </c>
      <c r="AK399" s="228">
        <f t="shared" si="2075"/>
        <v>0.16029261450989996</v>
      </c>
      <c r="AL399" s="228">
        <f t="shared" si="2075"/>
        <v>0.1472781842403974</v>
      </c>
      <c r="AM399" s="228">
        <f t="shared" si="2075"/>
        <v>0.1297606066458119</v>
      </c>
      <c r="AN399" s="228">
        <f t="shared" ref="AN399:AN404" si="2076">+AN391/AJ391-1</f>
        <v>0.12999999999999989</v>
      </c>
      <c r="AO399" s="829">
        <v>0.13</v>
      </c>
      <c r="AP399" s="829">
        <v>0.13</v>
      </c>
      <c r="AQ399" s="829">
        <v>0.13</v>
      </c>
      <c r="AR399" s="228"/>
      <c r="AS399" s="228"/>
      <c r="AT399" s="228"/>
      <c r="AU399" s="228"/>
      <c r="AV399" s="228"/>
      <c r="AW399" s="228"/>
      <c r="AX399" s="228"/>
      <c r="AY399" s="228"/>
      <c r="AZ399" s="228"/>
      <c r="BA399" s="228"/>
      <c r="BB399" s="228"/>
      <c r="BC399" s="228"/>
      <c r="BD399" s="228"/>
      <c r="BE399" s="228"/>
      <c r="BF399" s="228"/>
      <c r="BG399" s="228"/>
      <c r="BH399" s="228"/>
      <c r="BI399" s="228"/>
      <c r="BJ399" s="228"/>
      <c r="BK399" s="228"/>
      <c r="BL399" s="228"/>
      <c r="BM399" s="228"/>
      <c r="BN399" s="228"/>
      <c r="BO399" s="228">
        <f>+BO391/BN391-1</f>
        <v>0.14890582060476953</v>
      </c>
      <c r="BP399" s="228">
        <f>+BP391/BO391-1</f>
        <v>0.12999999999999989</v>
      </c>
      <c r="BT399"/>
      <c r="BU399"/>
      <c r="BV399"/>
      <c r="BW399"/>
      <c r="BX399"/>
      <c r="BY399"/>
      <c r="BZ399"/>
      <c r="CA399"/>
      <c r="CB399"/>
      <c r="CC399"/>
    </row>
    <row r="400" spans="2:81" s="839" customFormat="1" ht="11.45">
      <c r="B400" s="13" t="str">
        <f t="shared" si="2074"/>
        <v>Microsoft 365 Consumer products and services</v>
      </c>
      <c r="D400" s="1113"/>
      <c r="E400" s="1113"/>
      <c r="F400" s="1113"/>
      <c r="G400" s="1113"/>
      <c r="H400" s="1113"/>
      <c r="I400" s="1113"/>
      <c r="J400" s="1113"/>
      <c r="K400" s="1113"/>
      <c r="L400" s="1113"/>
      <c r="M400" s="1113"/>
      <c r="N400" s="1113"/>
      <c r="O400" s="1113"/>
      <c r="P400" s="1113"/>
      <c r="Q400" s="1113"/>
      <c r="R400" s="1113"/>
      <c r="S400" s="1113"/>
      <c r="T400" s="1113"/>
      <c r="U400" s="1113"/>
      <c r="V400" s="1113"/>
      <c r="W400" s="1113"/>
      <c r="X400" s="1113"/>
      <c r="Y400" s="1113"/>
      <c r="Z400" s="1113"/>
      <c r="AA400" s="1113"/>
      <c r="AB400" s="1113"/>
      <c r="AC400" s="1113"/>
      <c r="AD400" s="1113"/>
      <c r="AE400" s="1113"/>
      <c r="AF400" s="1113"/>
      <c r="AG400" s="1113"/>
      <c r="AH400" s="1113"/>
      <c r="AI400" s="1113"/>
      <c r="AJ400" s="1113">
        <f t="shared" ref="AJ400:AM404" si="2077">+AJ392/AF392-1</f>
        <v>3.0000000000000027E-2</v>
      </c>
      <c r="AK400" s="1113">
        <f t="shared" si="2077"/>
        <v>5.0000000000000044E-2</v>
      </c>
      <c r="AL400" s="1113">
        <f t="shared" si="2077"/>
        <v>4.0000000000000036E-2</v>
      </c>
      <c r="AM400" s="1113">
        <f t="shared" si="2077"/>
        <v>3.0000000000000027E-2</v>
      </c>
      <c r="AN400" s="1113">
        <f t="shared" si="2076"/>
        <v>5.0000000000000044E-2</v>
      </c>
      <c r="AO400" s="908">
        <v>0.03</v>
      </c>
      <c r="AP400" s="908">
        <v>0.03</v>
      </c>
      <c r="AQ400" s="908">
        <v>0.03</v>
      </c>
      <c r="AR400" s="1113"/>
      <c r="AS400" s="1113"/>
      <c r="AT400" s="1113"/>
      <c r="AU400" s="1113"/>
      <c r="AV400" s="1113"/>
      <c r="AW400" s="1113"/>
      <c r="AX400" s="1113"/>
      <c r="AY400" s="1113"/>
      <c r="AZ400" s="1113"/>
      <c r="BA400" s="1113"/>
      <c r="BB400" s="1113"/>
      <c r="BC400" s="1113"/>
      <c r="BD400" s="1113"/>
      <c r="BE400" s="1113"/>
      <c r="BF400" s="1113"/>
      <c r="BG400" s="1113"/>
      <c r="BH400" s="1113"/>
      <c r="BI400" s="1113"/>
      <c r="BJ400" s="1113"/>
      <c r="BK400" s="1113"/>
      <c r="BL400" s="1113"/>
      <c r="BM400" s="1113"/>
      <c r="BN400" s="1113"/>
      <c r="BO400" s="1113">
        <f>+BO392/BN392-1</f>
        <v>3.7191360517719874E-2</v>
      </c>
      <c r="BP400" s="1113">
        <f>+BP392/BO392-1</f>
        <v>3.491844554839485E-2</v>
      </c>
      <c r="BT400"/>
      <c r="BU400"/>
      <c r="BV400"/>
      <c r="BW400"/>
      <c r="BX400"/>
      <c r="BY400"/>
      <c r="BZ400"/>
      <c r="CA400"/>
      <c r="CB400"/>
      <c r="CC400"/>
    </row>
    <row r="401" spans="2:81" s="3" customFormat="1">
      <c r="B401" s="15" t="str">
        <f t="shared" si="2074"/>
        <v>Total Office</v>
      </c>
      <c r="D401" s="228"/>
      <c r="E401" s="228"/>
      <c r="F401" s="228"/>
      <c r="G401" s="228"/>
      <c r="H401" s="228"/>
      <c r="I401" s="228"/>
      <c r="J401" s="228"/>
      <c r="K401" s="228"/>
      <c r="L401" s="228"/>
      <c r="M401" s="228"/>
      <c r="N401" s="228"/>
      <c r="O401" s="228"/>
      <c r="P401" s="228"/>
      <c r="Q401" s="228"/>
      <c r="R401" s="228"/>
      <c r="S401" s="228"/>
      <c r="T401" s="228"/>
      <c r="U401" s="228"/>
      <c r="V401" s="228"/>
      <c r="W401" s="228"/>
      <c r="X401" s="228"/>
      <c r="Y401" s="228"/>
      <c r="Z401" s="228"/>
      <c r="AA401" s="228"/>
      <c r="AB401" s="228"/>
      <c r="AC401" s="228"/>
      <c r="AD401" s="228"/>
      <c r="AE401" s="228"/>
      <c r="AF401" s="228"/>
      <c r="AG401" s="228"/>
      <c r="AH401" s="228"/>
      <c r="AI401" s="228"/>
      <c r="AJ401" s="228">
        <f t="shared" si="2077"/>
        <v>0.15031487726571569</v>
      </c>
      <c r="AK401" s="228">
        <f t="shared" si="2077"/>
        <v>0.15139882002041949</v>
      </c>
      <c r="AL401" s="228">
        <f t="shared" si="2077"/>
        <v>0.13873229092524464</v>
      </c>
      <c r="AM401" s="228">
        <f t="shared" si="2077"/>
        <v>0.12181389101955165</v>
      </c>
      <c r="AN401" s="228">
        <f t="shared" si="2076"/>
        <v>0.12379828659812353</v>
      </c>
      <c r="AO401" s="228">
        <f t="shared" ref="AO401" si="2078">+AO393/AK393-1</f>
        <v>0.12264632931795716</v>
      </c>
      <c r="AP401" s="228">
        <f t="shared" ref="AP401" si="2079">+AP393/AL393-1</f>
        <v>0.122724585254401</v>
      </c>
      <c r="AQ401" s="228">
        <f t="shared" ref="AQ401" si="2080">+AQ393/AM393-1</f>
        <v>0.12268616763628515</v>
      </c>
      <c r="AR401" s="228"/>
      <c r="AS401" s="228"/>
      <c r="AT401" s="228"/>
      <c r="AU401" s="228"/>
      <c r="AV401" s="228"/>
      <c r="AW401" s="228"/>
      <c r="AX401" s="228"/>
      <c r="AY401" s="228"/>
      <c r="AZ401" s="228"/>
      <c r="BA401" s="228"/>
      <c r="BB401" s="228"/>
      <c r="BC401" s="228"/>
      <c r="BD401" s="228"/>
      <c r="BE401" s="228"/>
      <c r="BF401" s="228"/>
      <c r="BG401" s="228"/>
      <c r="BH401" s="228"/>
      <c r="BI401" s="228"/>
      <c r="BJ401" s="228"/>
      <c r="BK401" s="228"/>
      <c r="BL401" s="228"/>
      <c r="BM401" s="228"/>
      <c r="BN401" s="228"/>
      <c r="BO401" s="228">
        <f t="shared" ref="BO401:BO404" si="2081">+BO393/BN393-1</f>
        <v>0.13980065220227011</v>
      </c>
      <c r="BP401" s="228">
        <f t="shared" ref="BP401:BP404" si="2082">+BP393/BO393-1</f>
        <v>0.12294812095945162</v>
      </c>
      <c r="BT401"/>
      <c r="BU401"/>
      <c r="BV401"/>
      <c r="BW401"/>
      <c r="BX401"/>
      <c r="BY401"/>
      <c r="BZ401"/>
      <c r="CA401"/>
      <c r="CB401"/>
      <c r="CC401"/>
    </row>
    <row r="402" spans="2:81" s="3" customFormat="1">
      <c r="B402" s="13" t="str">
        <f t="shared" si="2074"/>
        <v>LinkedIn</v>
      </c>
      <c r="D402" s="228"/>
      <c r="E402" s="228"/>
      <c r="F402" s="228"/>
      <c r="G402" s="228"/>
      <c r="H402" s="228"/>
      <c r="I402" s="228"/>
      <c r="J402" s="228"/>
      <c r="K402" s="228"/>
      <c r="L402" s="228"/>
      <c r="M402" s="228"/>
      <c r="N402" s="228"/>
      <c r="O402" s="228"/>
      <c r="P402" s="228"/>
      <c r="Q402" s="228"/>
      <c r="R402" s="228"/>
      <c r="S402" s="228"/>
      <c r="T402" s="228"/>
      <c r="U402" s="228"/>
      <c r="V402" s="228"/>
      <c r="W402" s="228"/>
      <c r="X402" s="228"/>
      <c r="Y402" s="228"/>
      <c r="Z402" s="228"/>
      <c r="AA402" s="228"/>
      <c r="AB402" s="228"/>
      <c r="AC402" s="228"/>
      <c r="AD402" s="228"/>
      <c r="AE402" s="228"/>
      <c r="AF402" s="228"/>
      <c r="AG402" s="228"/>
      <c r="AH402" s="228"/>
      <c r="AI402" s="228"/>
      <c r="AJ402" s="228">
        <f t="shared" si="2077"/>
        <v>6.8250068250068185E-2</v>
      </c>
      <c r="AK402" s="228">
        <f t="shared" si="2077"/>
        <v>8.2301341589267274E-2</v>
      </c>
      <c r="AL402" s="228">
        <f t="shared" si="2077"/>
        <v>8.5474709223694934E-2</v>
      </c>
      <c r="AM402" s="228">
        <f t="shared" si="2077"/>
        <v>8.74904067536455E-2</v>
      </c>
      <c r="AN402" s="228">
        <f t="shared" si="2076"/>
        <v>8.0000000000000071E-2</v>
      </c>
      <c r="AO402" s="829">
        <v>0.08</v>
      </c>
      <c r="AP402" s="829">
        <v>0.08</v>
      </c>
      <c r="AQ402" s="829">
        <v>0.08</v>
      </c>
      <c r="AR402" s="228"/>
      <c r="AS402" s="228"/>
      <c r="AT402" s="228"/>
      <c r="AU402" s="228"/>
      <c r="AV402" s="228"/>
      <c r="AW402" s="228"/>
      <c r="AX402" s="228"/>
      <c r="AY402" s="228"/>
      <c r="AZ402" s="228"/>
      <c r="BA402" s="228"/>
      <c r="BB402" s="228"/>
      <c r="BC402" s="228"/>
      <c r="BD402" s="228"/>
      <c r="BE402" s="228"/>
      <c r="BF402" s="228"/>
      <c r="BG402" s="228"/>
      <c r="BH402" s="228"/>
      <c r="BI402" s="228"/>
      <c r="BJ402" s="228"/>
      <c r="BK402" s="228"/>
      <c r="BL402" s="228"/>
      <c r="BM402" s="228"/>
      <c r="BN402" s="228"/>
      <c r="BO402" s="228">
        <f t="shared" si="2081"/>
        <v>8.1016837240013295E-2</v>
      </c>
      <c r="BP402" s="228">
        <f t="shared" si="2082"/>
        <v>8.0000000000000071E-2</v>
      </c>
    </row>
    <row r="403" spans="2:81" s="839" customFormat="1" ht="11.45">
      <c r="B403" s="13" t="str">
        <f t="shared" si="2074"/>
        <v>Dynamics and Other</v>
      </c>
      <c r="D403" s="1113"/>
      <c r="E403" s="1113"/>
      <c r="F403" s="1113"/>
      <c r="G403" s="1113"/>
      <c r="H403" s="1113"/>
      <c r="I403" s="1113"/>
      <c r="J403" s="1113"/>
      <c r="K403" s="1113"/>
      <c r="L403" s="1113"/>
      <c r="M403" s="1113"/>
      <c r="N403" s="1113"/>
      <c r="O403" s="1113"/>
      <c r="P403" s="1113"/>
      <c r="Q403" s="1113"/>
      <c r="R403" s="1113"/>
      <c r="S403" s="1113"/>
      <c r="T403" s="1113"/>
      <c r="U403" s="1113"/>
      <c r="V403" s="1113"/>
      <c r="W403" s="1113"/>
      <c r="X403" s="1113"/>
      <c r="Y403" s="1113"/>
      <c r="Z403" s="1113"/>
      <c r="AA403" s="1113"/>
      <c r="AB403" s="1113"/>
      <c r="AC403" s="1113"/>
      <c r="AD403" s="1113"/>
      <c r="AE403" s="1113"/>
      <c r="AF403" s="1113"/>
      <c r="AG403" s="1113"/>
      <c r="AH403" s="1113"/>
      <c r="AI403" s="1113"/>
      <c r="AJ403" s="1113">
        <f t="shared" si="2077"/>
        <v>0.2576137565806349</v>
      </c>
      <c r="AK403" s="1113">
        <f t="shared" si="2077"/>
        <v>0.2273535882885549</v>
      </c>
      <c r="AL403" s="1113">
        <f t="shared" si="2077"/>
        <v>0.18546287802762018</v>
      </c>
      <c r="AM403" s="1113">
        <f t="shared" si="2077"/>
        <v>0.18904629429580933</v>
      </c>
      <c r="AN403" s="1113">
        <f t="shared" si="2076"/>
        <v>0.21222118090172182</v>
      </c>
      <c r="AO403" s="908">
        <v>0.21998983874148048</v>
      </c>
      <c r="AP403" s="908">
        <v>0.18228464693290092</v>
      </c>
      <c r="AQ403" s="908">
        <v>0.18183990205418477</v>
      </c>
      <c r="AR403" s="1113"/>
      <c r="AS403" s="1113"/>
      <c r="AT403" s="1113"/>
      <c r="AU403" s="1113"/>
      <c r="AV403" s="1113"/>
      <c r="AW403" s="1113"/>
      <c r="AX403" s="1113"/>
      <c r="AY403" s="1113"/>
      <c r="AZ403" s="1113"/>
      <c r="BA403" s="1113"/>
      <c r="BB403" s="1113"/>
      <c r="BC403" s="1113"/>
      <c r="BD403" s="1113"/>
      <c r="BE403" s="1113"/>
      <c r="BF403" s="1113"/>
      <c r="BG403" s="1113"/>
      <c r="BH403" s="1113"/>
      <c r="BI403" s="1113"/>
      <c r="BJ403" s="1113"/>
      <c r="BK403" s="1113"/>
      <c r="BL403" s="1113"/>
      <c r="BM403" s="1113"/>
      <c r="BN403" s="1113"/>
      <c r="BO403" s="1113">
        <f t="shared" si="2081"/>
        <v>0.2131441314215885</v>
      </c>
      <c r="BP403" s="1113">
        <f t="shared" si="2082"/>
        <v>0.19844231776724208</v>
      </c>
      <c r="BT403" s="942"/>
      <c r="BU403" s="942"/>
      <c r="BV403" s="942"/>
      <c r="BW403" s="942"/>
      <c r="BX403" s="942"/>
      <c r="BY403" s="942"/>
      <c r="BZ403" s="942"/>
      <c r="CA403" s="942"/>
      <c r="CB403" s="942"/>
      <c r="CC403" s="942"/>
    </row>
    <row r="404" spans="2:81" s="7" customFormat="1">
      <c r="B404" s="841" t="str">
        <f t="shared" si="2074"/>
        <v>Total PBP Revenue</v>
      </c>
      <c r="D404" s="842"/>
      <c r="E404" s="842"/>
      <c r="F404" s="842"/>
      <c r="G404" s="842"/>
      <c r="H404" s="842"/>
      <c r="I404" s="842"/>
      <c r="J404" s="842"/>
      <c r="K404" s="842"/>
      <c r="L404" s="842"/>
      <c r="M404" s="842"/>
      <c r="N404" s="842"/>
      <c r="O404" s="842"/>
      <c r="P404" s="842"/>
      <c r="Q404" s="842"/>
      <c r="R404" s="842"/>
      <c r="S404" s="842"/>
      <c r="T404" s="842"/>
      <c r="U404" s="842"/>
      <c r="V404" s="842"/>
      <c r="W404" s="842"/>
      <c r="X404" s="842"/>
      <c r="Y404" s="842"/>
      <c r="Z404" s="842"/>
      <c r="AA404" s="842"/>
      <c r="AB404" s="842"/>
      <c r="AC404" s="842"/>
      <c r="AD404" s="842"/>
      <c r="AE404" s="842"/>
      <c r="AF404" s="842"/>
      <c r="AG404" s="842"/>
      <c r="AH404" s="842"/>
      <c r="AI404" s="842"/>
      <c r="AJ404" s="842">
        <f t="shared" si="2077"/>
        <v>0.1427924254779378</v>
      </c>
      <c r="AK404" s="842">
        <f t="shared" si="2077"/>
        <v>0.14388107247146276</v>
      </c>
      <c r="AL404" s="842">
        <f t="shared" si="2077"/>
        <v>0.13320237398645829</v>
      </c>
      <c r="AM404" s="842">
        <f t="shared" si="2077"/>
        <v>0.12047438255900422</v>
      </c>
      <c r="AN404" s="842">
        <f t="shared" si="2076"/>
        <v>0.12253230793625614</v>
      </c>
      <c r="AO404" s="842">
        <f t="shared" ref="AO404" si="2083">+AO396/AK396-1</f>
        <v>0.12168329852247228</v>
      </c>
      <c r="AP404" s="842">
        <f t="shared" ref="AP404" si="2084">+AP396/AL396-1</f>
        <v>0.12000000000000011</v>
      </c>
      <c r="AQ404" s="842">
        <f t="shared" ref="AQ404" si="2085">+AQ396/AM396-1</f>
        <v>0.12000000000000011</v>
      </c>
      <c r="AR404" s="842"/>
      <c r="AS404" s="842"/>
      <c r="AT404" s="842"/>
      <c r="AU404" s="842"/>
      <c r="AV404" s="842"/>
      <c r="AW404" s="842"/>
      <c r="AX404" s="842"/>
      <c r="AY404" s="842"/>
      <c r="AZ404" s="842"/>
      <c r="BA404" s="842"/>
      <c r="BB404" s="842"/>
      <c r="BC404" s="842"/>
      <c r="BD404" s="842"/>
      <c r="BE404" s="842"/>
      <c r="BF404" s="842"/>
      <c r="BG404" s="842"/>
      <c r="BH404" s="842"/>
      <c r="BI404" s="842"/>
      <c r="BJ404" s="842"/>
      <c r="BK404" s="842"/>
      <c r="BL404" s="842"/>
      <c r="BM404" s="842"/>
      <c r="BN404" s="842"/>
      <c r="BO404" s="842">
        <f t="shared" si="2081"/>
        <v>0.13456044014402391</v>
      </c>
      <c r="BP404" s="842">
        <f t="shared" si="2082"/>
        <v>0.12100542969481376</v>
      </c>
      <c r="BT404" s="3"/>
      <c r="BU404" s="3"/>
      <c r="BV404" s="3"/>
      <c r="BW404" s="3"/>
      <c r="BX404" s="3"/>
      <c r="BY404" s="3"/>
      <c r="BZ404" s="3"/>
      <c r="CA404" s="3"/>
      <c r="CB404" s="3"/>
      <c r="CC404" s="3"/>
    </row>
    <row r="405" spans="2:81">
      <c r="BT405" s="3"/>
      <c r="BU405" s="3"/>
      <c r="BV405" s="3"/>
      <c r="BW405" s="3"/>
      <c r="BX405" s="3"/>
      <c r="BY405" s="3"/>
      <c r="BZ405" s="3"/>
      <c r="CA405" s="3"/>
      <c r="CB405" s="3"/>
      <c r="CC405" s="3"/>
    </row>
    <row r="406" spans="2:81">
      <c r="B406" s="24" t="s">
        <v>399</v>
      </c>
      <c r="AG406" s="912"/>
      <c r="AH406" s="9"/>
      <c r="AI406" s="9"/>
      <c r="AJ406" s="9"/>
      <c r="AK406" s="9"/>
      <c r="AL406" s="9"/>
      <c r="AM406" s="9"/>
      <c r="AN406" s="9"/>
      <c r="AO406" s="9"/>
      <c r="AP406" s="9"/>
      <c r="AQ406" s="9"/>
      <c r="BT406" s="839"/>
      <c r="BU406" s="839"/>
      <c r="BV406" s="839"/>
      <c r="BW406" s="839"/>
      <c r="BX406" s="839"/>
      <c r="BY406" s="839"/>
      <c r="BZ406" s="839"/>
      <c r="CA406" s="839"/>
      <c r="CB406" s="839"/>
      <c r="CC406" s="839"/>
    </row>
    <row r="407" spans="2:81" s="872" customFormat="1">
      <c r="B407" s="875" t="str">
        <f>+B399</f>
        <v>Microsoft 365 Commercial products and services</v>
      </c>
      <c r="D407" s="228"/>
      <c r="E407" s="228"/>
      <c r="F407" s="228"/>
      <c r="G407" s="228"/>
      <c r="H407" s="228"/>
      <c r="I407" s="228"/>
      <c r="J407" s="228"/>
      <c r="K407" s="228"/>
      <c r="L407" s="228"/>
      <c r="M407" s="228"/>
      <c r="N407" s="228"/>
      <c r="O407" s="228"/>
      <c r="P407" s="228"/>
      <c r="Q407" s="228"/>
      <c r="R407" s="228"/>
      <c r="S407" s="228"/>
      <c r="T407" s="228"/>
      <c r="U407" s="228"/>
      <c r="V407" s="228"/>
      <c r="W407" s="228"/>
      <c r="X407" s="228"/>
      <c r="Y407" s="228"/>
      <c r="Z407" s="228"/>
      <c r="AA407" s="228"/>
      <c r="AB407" s="228"/>
      <c r="AC407" s="228"/>
      <c r="AD407" s="228"/>
      <c r="AE407" s="228"/>
      <c r="AF407" s="228"/>
      <c r="AG407" s="228"/>
      <c r="AH407" s="228"/>
      <c r="AI407" s="228"/>
      <c r="AJ407" s="228"/>
      <c r="AK407" s="228"/>
      <c r="AL407" s="228"/>
      <c r="AM407" s="228"/>
      <c r="AN407" s="228">
        <f t="shared" ref="AN407:AN412" si="2086">+AN399+AJ399</f>
        <v>0.29171864812106341</v>
      </c>
      <c r="AO407" s="228">
        <f t="shared" ref="AO407:AO412" si="2087">+AO399+AK399</f>
        <v>0.29029261450989996</v>
      </c>
      <c r="AP407" s="228">
        <f t="shared" ref="AP407:AP412" si="2088">+AP399+AL399</f>
        <v>0.27727818424039741</v>
      </c>
      <c r="AQ407" s="228">
        <f t="shared" ref="AQ407:AQ412" si="2089">+AQ399+AM399</f>
        <v>0.25976060664581191</v>
      </c>
      <c r="AR407" s="228"/>
      <c r="AS407" s="228"/>
      <c r="AT407" s="228"/>
      <c r="AU407" s="228"/>
      <c r="AV407" s="228"/>
      <c r="AW407" s="228"/>
      <c r="AX407" s="228"/>
      <c r="AY407" s="228"/>
      <c r="AZ407" s="228"/>
      <c r="BA407" s="228"/>
      <c r="BB407" s="228"/>
      <c r="BC407" s="228"/>
      <c r="BD407" s="228"/>
      <c r="BE407" s="228"/>
      <c r="BF407" s="228"/>
      <c r="BG407" s="228"/>
      <c r="BH407" s="228"/>
      <c r="BI407" s="228"/>
      <c r="BJ407" s="228"/>
      <c r="BK407" s="228"/>
      <c r="BL407" s="228"/>
      <c r="BM407" s="228"/>
      <c r="BN407" s="228"/>
      <c r="BO407" s="228"/>
      <c r="BP407" s="228">
        <f t="shared" ref="BP407:BP412" si="2090">+BP399+BO399</f>
        <v>0.27890582060476943</v>
      </c>
      <c r="BT407" s="7"/>
      <c r="BU407" s="7"/>
      <c r="BV407" s="7"/>
      <c r="BW407" s="7"/>
      <c r="BX407" s="7"/>
      <c r="BY407" s="7"/>
      <c r="BZ407" s="7"/>
      <c r="CA407" s="7"/>
      <c r="CB407" s="7"/>
      <c r="CC407" s="7"/>
    </row>
    <row r="408" spans="2:81" s="1161" customFormat="1" ht="11.45">
      <c r="B408" s="875" t="str">
        <f t="shared" ref="B408:B412" si="2091">+B400</f>
        <v>Microsoft 365 Consumer products and services</v>
      </c>
      <c r="D408" s="1113"/>
      <c r="E408" s="1113"/>
      <c r="F408" s="1113"/>
      <c r="G408" s="1113"/>
      <c r="H408" s="1113"/>
      <c r="I408" s="1113"/>
      <c r="J408" s="1113"/>
      <c r="K408" s="1113"/>
      <c r="L408" s="1113"/>
      <c r="M408" s="1113"/>
      <c r="N408" s="1113"/>
      <c r="O408" s="1113"/>
      <c r="P408" s="1113"/>
      <c r="Q408" s="1113"/>
      <c r="R408" s="1113"/>
      <c r="S408" s="1113"/>
      <c r="T408" s="1113"/>
      <c r="U408" s="1113"/>
      <c r="V408" s="1113"/>
      <c r="W408" s="1113"/>
      <c r="X408" s="1113"/>
      <c r="Y408" s="1113"/>
      <c r="Z408" s="1113"/>
      <c r="AA408" s="1113"/>
      <c r="AB408" s="1113"/>
      <c r="AC408" s="1113"/>
      <c r="AD408" s="1113"/>
      <c r="AE408" s="1113"/>
      <c r="AF408" s="1113"/>
      <c r="AG408" s="1113"/>
      <c r="AH408" s="840"/>
      <c r="AI408" s="840"/>
      <c r="AJ408" s="840"/>
      <c r="AK408" s="840"/>
      <c r="AL408" s="840"/>
      <c r="AM408" s="840"/>
      <c r="AN408" s="840">
        <f t="shared" si="2086"/>
        <v>8.0000000000000071E-2</v>
      </c>
      <c r="AO408" s="840">
        <f t="shared" si="2087"/>
        <v>8.0000000000000043E-2</v>
      </c>
      <c r="AP408" s="840">
        <f t="shared" si="2088"/>
        <v>7.0000000000000034E-2</v>
      </c>
      <c r="AQ408" s="840">
        <f t="shared" si="2089"/>
        <v>6.0000000000000026E-2</v>
      </c>
      <c r="AR408" s="1113"/>
      <c r="AS408" s="1113"/>
      <c r="AT408" s="1113"/>
      <c r="AU408" s="1113"/>
      <c r="AV408" s="1113"/>
      <c r="AW408" s="1113"/>
      <c r="AX408" s="1113"/>
      <c r="AY408" s="1113"/>
      <c r="AZ408" s="1113"/>
      <c r="BA408" s="1113"/>
      <c r="BB408" s="1113"/>
      <c r="BC408" s="1113"/>
      <c r="BD408" s="1113"/>
      <c r="BE408" s="1113"/>
      <c r="BF408" s="1113"/>
      <c r="BG408" s="1113"/>
      <c r="BH408" s="1113"/>
      <c r="BI408" s="1113"/>
      <c r="BJ408" s="1113"/>
      <c r="BK408" s="1113"/>
      <c r="BL408" s="1113"/>
      <c r="BM408" s="1113"/>
      <c r="BN408" s="1113"/>
      <c r="BO408" s="840"/>
      <c r="BP408" s="840">
        <f t="shared" si="2090"/>
        <v>7.2109806066114723E-2</v>
      </c>
      <c r="BT408"/>
      <c r="BU408"/>
      <c r="BV408"/>
      <c r="BW408"/>
      <c r="BX408"/>
      <c r="BY408"/>
      <c r="BZ408"/>
      <c r="CA408"/>
      <c r="CB408"/>
      <c r="CC408"/>
    </row>
    <row r="409" spans="2:81" s="872" customFormat="1">
      <c r="B409" s="1160" t="str">
        <f t="shared" si="2091"/>
        <v>Total Office</v>
      </c>
      <c r="D409" s="228"/>
      <c r="E409" s="228"/>
      <c r="F409" s="228"/>
      <c r="G409" s="228"/>
      <c r="H409" s="228"/>
      <c r="I409" s="228"/>
      <c r="J409" s="228"/>
      <c r="K409" s="228"/>
      <c r="L409" s="228"/>
      <c r="M409" s="228"/>
      <c r="N409" s="228"/>
      <c r="O409" s="228"/>
      <c r="P409" s="228"/>
      <c r="Q409" s="228"/>
      <c r="R409" s="228"/>
      <c r="S409" s="228"/>
      <c r="T409" s="228"/>
      <c r="U409" s="228"/>
      <c r="V409" s="228"/>
      <c r="W409" s="228"/>
      <c r="X409" s="228"/>
      <c r="Y409" s="228"/>
      <c r="Z409" s="228"/>
      <c r="AA409" s="228"/>
      <c r="AB409" s="228"/>
      <c r="AC409" s="228"/>
      <c r="AD409" s="228"/>
      <c r="AE409" s="228"/>
      <c r="AF409" s="228"/>
      <c r="AG409" s="228"/>
      <c r="AH409" s="228"/>
      <c r="AI409" s="228"/>
      <c r="AJ409" s="228"/>
      <c r="AK409" s="228"/>
      <c r="AL409" s="228"/>
      <c r="AM409" s="228"/>
      <c r="AN409" s="228">
        <f t="shared" si="2086"/>
        <v>0.27411316386383922</v>
      </c>
      <c r="AO409" s="228">
        <f t="shared" si="2087"/>
        <v>0.27404514933837665</v>
      </c>
      <c r="AP409" s="228">
        <f t="shared" si="2088"/>
        <v>0.26145687617964564</v>
      </c>
      <c r="AQ409" s="228">
        <f t="shared" si="2089"/>
        <v>0.24450005865583679</v>
      </c>
      <c r="AR409" s="228"/>
      <c r="AS409" s="228"/>
      <c r="AT409" s="228"/>
      <c r="AU409" s="228"/>
      <c r="AV409" s="228"/>
      <c r="AW409" s="228"/>
      <c r="AX409" s="228"/>
      <c r="AY409" s="228"/>
      <c r="AZ409" s="228"/>
      <c r="BA409" s="228"/>
      <c r="BB409" s="228"/>
      <c r="BC409" s="228"/>
      <c r="BD409" s="228"/>
      <c r="BE409" s="228"/>
      <c r="BF409" s="228"/>
      <c r="BG409" s="228"/>
      <c r="BH409" s="228"/>
      <c r="BI409" s="228"/>
      <c r="BJ409" s="228"/>
      <c r="BK409" s="228"/>
      <c r="BL409" s="228"/>
      <c r="BM409" s="228"/>
      <c r="BN409" s="228"/>
      <c r="BO409" s="228"/>
      <c r="BP409" s="228">
        <f t="shared" si="2090"/>
        <v>0.26274877316172174</v>
      </c>
      <c r="BT409" s="100"/>
      <c r="BU409" s="100"/>
      <c r="BV409" s="100"/>
      <c r="BW409" s="100"/>
      <c r="BX409" s="100"/>
      <c r="BY409" s="100"/>
      <c r="BZ409" s="100"/>
      <c r="CA409" s="100"/>
      <c r="CB409" s="100"/>
      <c r="CC409" s="100"/>
    </row>
    <row r="410" spans="2:81" s="872" customFormat="1">
      <c r="B410" s="875" t="str">
        <f t="shared" si="2091"/>
        <v>LinkedIn</v>
      </c>
      <c r="D410" s="228"/>
      <c r="E410" s="228"/>
      <c r="F410" s="228"/>
      <c r="G410" s="228"/>
      <c r="H410" s="228"/>
      <c r="I410" s="228"/>
      <c r="J410" s="228"/>
      <c r="K410" s="228"/>
      <c r="L410" s="228"/>
      <c r="M410" s="228"/>
      <c r="N410" s="228"/>
      <c r="O410" s="228"/>
      <c r="P410" s="228"/>
      <c r="Q410" s="228"/>
      <c r="R410" s="228"/>
      <c r="S410" s="228"/>
      <c r="T410" s="228"/>
      <c r="U410" s="228"/>
      <c r="V410" s="228"/>
      <c r="W410" s="228"/>
      <c r="X410" s="228"/>
      <c r="Y410" s="228"/>
      <c r="Z410" s="228"/>
      <c r="AA410" s="228"/>
      <c r="AB410" s="228"/>
      <c r="AC410" s="228"/>
      <c r="AD410" s="228"/>
      <c r="AE410" s="228"/>
      <c r="AF410" s="228"/>
      <c r="AG410" s="228"/>
      <c r="AH410" s="228"/>
      <c r="AI410" s="228"/>
      <c r="AJ410" s="228"/>
      <c r="AK410" s="228"/>
      <c r="AL410" s="228"/>
      <c r="AM410" s="228"/>
      <c r="AN410" s="228">
        <f t="shared" si="2086"/>
        <v>0.14825006825006826</v>
      </c>
      <c r="AO410" s="228">
        <f t="shared" si="2087"/>
        <v>0.16230134158926729</v>
      </c>
      <c r="AP410" s="228">
        <f t="shared" si="2088"/>
        <v>0.16547470922369495</v>
      </c>
      <c r="AQ410" s="228">
        <f t="shared" si="2089"/>
        <v>0.16749040675364552</v>
      </c>
      <c r="AR410" s="228"/>
      <c r="AS410" s="228"/>
      <c r="AT410" s="228"/>
      <c r="AU410" s="228"/>
      <c r="AV410" s="228"/>
      <c r="AW410" s="228"/>
      <c r="AX410" s="228"/>
      <c r="AY410" s="228"/>
      <c r="AZ410" s="228"/>
      <c r="BA410" s="228"/>
      <c r="BB410" s="228"/>
      <c r="BC410" s="228"/>
      <c r="BD410" s="228"/>
      <c r="BE410" s="228"/>
      <c r="BF410" s="228"/>
      <c r="BG410" s="228"/>
      <c r="BH410" s="228"/>
      <c r="BI410" s="228"/>
      <c r="BJ410" s="228"/>
      <c r="BK410" s="228"/>
      <c r="BL410" s="228"/>
      <c r="BM410" s="228"/>
      <c r="BN410" s="228"/>
      <c r="BO410" s="228"/>
      <c r="BP410" s="228">
        <f t="shared" si="2090"/>
        <v>0.16101683724001337</v>
      </c>
    </row>
    <row r="411" spans="2:81" s="1161" customFormat="1" ht="11.45">
      <c r="B411" s="875" t="str">
        <f t="shared" si="2091"/>
        <v>Dynamics and Other</v>
      </c>
      <c r="D411" s="1113"/>
      <c r="E411" s="1113"/>
      <c r="F411" s="1113"/>
      <c r="G411" s="1113"/>
      <c r="H411" s="1113"/>
      <c r="I411" s="1113"/>
      <c r="J411" s="1113"/>
      <c r="K411" s="1113"/>
      <c r="L411" s="1113"/>
      <c r="M411" s="1113"/>
      <c r="N411" s="1113"/>
      <c r="O411" s="1113"/>
      <c r="P411" s="1113"/>
      <c r="Q411" s="1113"/>
      <c r="R411" s="1113"/>
      <c r="S411" s="1113"/>
      <c r="T411" s="1113"/>
      <c r="U411" s="1113"/>
      <c r="V411" s="1113"/>
      <c r="W411" s="1113"/>
      <c r="X411" s="1113"/>
      <c r="Y411" s="1113"/>
      <c r="Z411" s="1113"/>
      <c r="AA411" s="1113"/>
      <c r="AB411" s="1113"/>
      <c r="AC411" s="1113"/>
      <c r="AD411" s="1113"/>
      <c r="AE411" s="1113"/>
      <c r="AF411" s="1113"/>
      <c r="AG411" s="1113"/>
      <c r="AH411" s="1113"/>
      <c r="AI411" s="840"/>
      <c r="AJ411" s="840"/>
      <c r="AK411" s="840"/>
      <c r="AL411" s="840"/>
      <c r="AM411" s="840"/>
      <c r="AN411" s="840">
        <f t="shared" si="2086"/>
        <v>0.46983493748235672</v>
      </c>
      <c r="AO411" s="840">
        <f t="shared" si="2087"/>
        <v>0.44734342703003538</v>
      </c>
      <c r="AP411" s="840">
        <f t="shared" si="2088"/>
        <v>0.3677475249605211</v>
      </c>
      <c r="AQ411" s="840">
        <f t="shared" si="2089"/>
        <v>0.37088619634999409</v>
      </c>
      <c r="AR411" s="1113"/>
      <c r="AS411" s="1113"/>
      <c r="AT411" s="1113"/>
      <c r="AU411" s="1113"/>
      <c r="AV411" s="1113"/>
      <c r="AW411" s="1113"/>
      <c r="AX411" s="1113"/>
      <c r="AY411" s="1113"/>
      <c r="AZ411" s="1113"/>
      <c r="BA411" s="1113"/>
      <c r="BB411" s="1113"/>
      <c r="BC411" s="1113"/>
      <c r="BD411" s="1113"/>
      <c r="BE411" s="1113"/>
      <c r="BF411" s="1113"/>
      <c r="BG411" s="1113"/>
      <c r="BH411" s="1113"/>
      <c r="BI411" s="1113"/>
      <c r="BJ411" s="1113"/>
      <c r="BK411" s="1113"/>
      <c r="BL411" s="1113"/>
      <c r="BM411" s="1113"/>
      <c r="BN411" s="1113"/>
      <c r="BO411" s="840"/>
      <c r="BP411" s="840">
        <f t="shared" si="2090"/>
        <v>0.41158644918883058</v>
      </c>
      <c r="BT411" s="1159"/>
      <c r="BU411" s="1159"/>
      <c r="BV411" s="1159"/>
      <c r="BW411" s="1159"/>
      <c r="BX411" s="1159"/>
      <c r="BY411" s="1159"/>
      <c r="BZ411" s="1159"/>
      <c r="CA411" s="1159"/>
      <c r="CB411" s="1159"/>
      <c r="CC411" s="1159"/>
    </row>
    <row r="412" spans="2:81" s="7" customFormat="1">
      <c r="B412" s="841" t="str">
        <f t="shared" si="2091"/>
        <v>Total PBP Revenue</v>
      </c>
      <c r="D412" s="842"/>
      <c r="E412" s="842"/>
      <c r="F412" s="842"/>
      <c r="G412" s="842"/>
      <c r="H412" s="842"/>
      <c r="I412" s="842"/>
      <c r="J412" s="842"/>
      <c r="K412" s="842"/>
      <c r="L412" s="842"/>
      <c r="M412" s="842"/>
      <c r="N412" s="842"/>
      <c r="O412" s="842"/>
      <c r="P412" s="842"/>
      <c r="Q412" s="842"/>
      <c r="R412" s="842"/>
      <c r="S412" s="842"/>
      <c r="T412" s="842"/>
      <c r="U412" s="842"/>
      <c r="V412" s="842"/>
      <c r="W412" s="842"/>
      <c r="X412" s="842"/>
      <c r="Y412" s="842"/>
      <c r="Z412" s="842"/>
      <c r="AA412" s="842"/>
      <c r="AB412" s="842"/>
      <c r="AC412" s="842"/>
      <c r="AD412" s="842"/>
      <c r="AE412" s="842"/>
      <c r="AF412" s="842"/>
      <c r="AG412" s="842"/>
      <c r="AH412" s="842"/>
      <c r="AI412" s="842"/>
      <c r="AJ412" s="842"/>
      <c r="AK412" s="842"/>
      <c r="AL412" s="842"/>
      <c r="AM412" s="842"/>
      <c r="AN412" s="842">
        <f t="shared" si="2086"/>
        <v>0.26532473341419394</v>
      </c>
      <c r="AO412" s="842">
        <f t="shared" si="2087"/>
        <v>0.26556437099393504</v>
      </c>
      <c r="AP412" s="842">
        <f t="shared" si="2088"/>
        <v>0.2532023739864584</v>
      </c>
      <c r="AQ412" s="842">
        <f t="shared" si="2089"/>
        <v>0.24047438255900433</v>
      </c>
      <c r="AR412" s="842"/>
      <c r="AS412" s="842"/>
      <c r="AT412" s="842"/>
      <c r="AU412" s="842"/>
      <c r="AV412" s="842"/>
      <c r="AW412" s="842"/>
      <c r="AX412" s="842"/>
      <c r="AY412" s="842"/>
      <c r="AZ412" s="842"/>
      <c r="BA412" s="842"/>
      <c r="BB412" s="842"/>
      <c r="BC412" s="842"/>
      <c r="BD412" s="842"/>
      <c r="BE412" s="842"/>
      <c r="BF412" s="842"/>
      <c r="BG412" s="842"/>
      <c r="BH412" s="842"/>
      <c r="BI412" s="842"/>
      <c r="BJ412" s="842"/>
      <c r="BK412" s="842"/>
      <c r="BL412" s="842"/>
      <c r="BM412" s="842"/>
      <c r="BN412" s="842"/>
      <c r="BO412" s="842"/>
      <c r="BP412" s="842">
        <f t="shared" si="2090"/>
        <v>0.25556586983883767</v>
      </c>
      <c r="BT412" s="872"/>
      <c r="BU412" s="872"/>
      <c r="BV412" s="872"/>
      <c r="BW412" s="872"/>
      <c r="BX412" s="872"/>
      <c r="BY412" s="872"/>
      <c r="BZ412" s="872"/>
      <c r="CA412" s="872"/>
      <c r="CB412" s="872"/>
      <c r="CC412" s="872"/>
    </row>
    <row r="413" spans="2:81" s="7" customFormat="1">
      <c r="B413" s="841"/>
      <c r="D413" s="842"/>
      <c r="E413" s="842"/>
      <c r="F413" s="842"/>
      <c r="G413" s="842"/>
      <c r="H413" s="842"/>
      <c r="I413" s="842"/>
      <c r="J413" s="842"/>
      <c r="K413" s="842"/>
      <c r="L413" s="842"/>
      <c r="M413" s="842"/>
      <c r="N413" s="842"/>
      <c r="O413" s="842"/>
      <c r="P413" s="842"/>
      <c r="Q413" s="842"/>
      <c r="R413" s="842"/>
      <c r="S413" s="842"/>
      <c r="T413" s="842"/>
      <c r="U413" s="842"/>
      <c r="V413" s="842"/>
      <c r="W413" s="842"/>
      <c r="X413" s="842"/>
      <c r="Y413" s="842"/>
      <c r="Z413" s="842"/>
      <c r="AA413" s="842"/>
      <c r="AB413" s="842"/>
      <c r="AC413" s="842"/>
      <c r="AD413" s="842"/>
      <c r="AE413" s="842"/>
      <c r="AF413" s="842"/>
      <c r="AG413" s="842"/>
      <c r="AH413" s="842"/>
      <c r="AI413" s="842"/>
      <c r="AJ413" s="842"/>
      <c r="AK413" s="842"/>
      <c r="AL413" s="842"/>
      <c r="AM413" s="842"/>
      <c r="AN413" s="842"/>
      <c r="AO413" s="842"/>
      <c r="AP413" s="842"/>
      <c r="AQ413" s="842"/>
      <c r="AR413" s="842"/>
      <c r="AS413" s="842"/>
      <c r="AT413" s="842"/>
      <c r="AU413" s="842"/>
      <c r="AV413" s="842"/>
      <c r="AW413" s="842"/>
      <c r="AX413" s="842"/>
      <c r="AY413" s="842"/>
      <c r="AZ413" s="842"/>
      <c r="BA413" s="842"/>
      <c r="BB413" s="842"/>
      <c r="BC413" s="842"/>
      <c r="BD413" s="842"/>
      <c r="BE413" s="842"/>
      <c r="BF413" s="842"/>
      <c r="BG413" s="842"/>
      <c r="BH413" s="842"/>
      <c r="BI413" s="842"/>
      <c r="BJ413" s="842"/>
      <c r="BK413" s="842"/>
      <c r="BL413" s="842"/>
      <c r="BM413" s="842"/>
      <c r="BN413" s="842"/>
      <c r="BO413" s="842"/>
      <c r="BP413" s="842"/>
      <c r="BT413" s="872"/>
      <c r="BU413" s="872"/>
      <c r="BV413" s="872"/>
      <c r="BW413" s="872"/>
      <c r="BX413" s="872"/>
      <c r="BY413" s="872"/>
      <c r="BZ413" s="872"/>
      <c r="CA413" s="872"/>
      <c r="CB413" s="872"/>
      <c r="CC413" s="872"/>
    </row>
    <row r="414" spans="2:81">
      <c r="BT414" s="1161"/>
      <c r="BU414" s="1161"/>
      <c r="BV414" s="1161"/>
      <c r="BW414" s="1161"/>
      <c r="BX414" s="1161"/>
      <c r="BY414" s="1161"/>
      <c r="BZ414" s="1161"/>
      <c r="CA414" s="1161"/>
      <c r="CB414" s="1161"/>
      <c r="CC414" s="1161"/>
    </row>
    <row r="415" spans="2:81">
      <c r="H415" s="911"/>
      <c r="I415" s="911"/>
      <c r="J415" s="911"/>
      <c r="K415" s="911"/>
      <c r="L415" s="911"/>
      <c r="M415" s="911"/>
      <c r="N415" s="911"/>
      <c r="O415" s="911"/>
      <c r="P415" s="911"/>
      <c r="Q415" s="911"/>
      <c r="R415" s="911"/>
      <c r="S415" s="911"/>
      <c r="T415" s="911"/>
      <c r="U415" s="911"/>
      <c r="V415" s="911"/>
      <c r="W415" s="911"/>
      <c r="X415" s="911"/>
      <c r="Y415" s="911"/>
      <c r="Z415" s="911"/>
      <c r="AA415" s="911"/>
      <c r="AB415" s="911"/>
      <c r="AC415" s="911"/>
      <c r="AD415" s="911"/>
      <c r="AE415" s="911"/>
      <c r="AF415" s="911"/>
      <c r="AG415" s="911"/>
      <c r="AH415" s="911"/>
      <c r="AI415" s="911"/>
      <c r="AJ415" s="911"/>
      <c r="AK415" s="911"/>
      <c r="AL415" s="911"/>
      <c r="AM415" s="911"/>
      <c r="AN415" s="911"/>
      <c r="AO415" s="911"/>
      <c r="AP415" s="911"/>
      <c r="AQ415" s="911"/>
      <c r="BH415" s="912"/>
      <c r="BI415" s="912"/>
      <c r="BJ415" s="912"/>
      <c r="BK415" s="912"/>
      <c r="BL415" s="912"/>
      <c r="BM415" s="912"/>
      <c r="BN415" s="912"/>
      <c r="BO415" s="912"/>
      <c r="BP415" s="912"/>
      <c r="BT415" s="3"/>
      <c r="BU415" s="3"/>
      <c r="BV415" s="3"/>
      <c r="BW415" s="3"/>
      <c r="BX415" s="3"/>
      <c r="BY415" s="3"/>
      <c r="BZ415" s="3"/>
      <c r="CA415" s="3"/>
      <c r="CB415" s="3"/>
      <c r="CC415" s="3"/>
    </row>
    <row r="416" spans="2:81" s="1518" customFormat="1" ht="10.5" outlineLevel="1">
      <c r="B416" s="1516" t="s">
        <v>400</v>
      </c>
      <c r="C416" s="1517"/>
      <c r="BT416" s="1527"/>
      <c r="BU416" s="1527"/>
      <c r="BV416" s="1527"/>
      <c r="BW416" s="1527"/>
      <c r="BX416" s="1527"/>
      <c r="BY416" s="1527"/>
      <c r="BZ416" s="1527"/>
      <c r="CA416" s="1527"/>
      <c r="CB416" s="1527"/>
      <c r="CC416" s="1527"/>
    </row>
    <row r="417" spans="2:81" s="1518" customFormat="1" ht="10.5" outlineLevel="1">
      <c r="B417" s="1558"/>
    </row>
    <row r="418" spans="2:81" s="1518" customFormat="1" outlineLevel="1">
      <c r="B418" s="1518" t="s">
        <v>86</v>
      </c>
      <c r="H418" s="1521">
        <f t="shared" ref="H418:AM418" si="2092">+H223</f>
        <v>6436</v>
      </c>
      <c r="I418" s="1521">
        <f t="shared" si="2092"/>
        <v>7179</v>
      </c>
      <c r="J418" s="1521">
        <f t="shared" si="2092"/>
        <v>7707</v>
      </c>
      <c r="K418" s="1521">
        <f t="shared" si="2092"/>
        <v>8548</v>
      </c>
      <c r="L418" s="1521">
        <f t="shared" si="2092"/>
        <v>8238</v>
      </c>
      <c r="M418" s="1521">
        <f t="shared" si="2092"/>
        <v>8953</v>
      </c>
      <c r="N418" s="1521">
        <f t="shared" si="2092"/>
        <v>9006</v>
      </c>
      <c r="O418" s="1521">
        <f t="shared" si="2092"/>
        <v>9668</v>
      </c>
      <c r="P418" s="1521">
        <f t="shared" si="2092"/>
        <v>9771</v>
      </c>
      <c r="Q418" s="1521">
        <f t="shared" si="2092"/>
        <v>10100</v>
      </c>
      <c r="R418" s="1521">
        <f t="shared" si="2092"/>
        <v>10242</v>
      </c>
      <c r="S418" s="1521">
        <f t="shared" si="2092"/>
        <v>11047</v>
      </c>
      <c r="T418" s="1521">
        <f t="shared" si="2092"/>
        <v>11077</v>
      </c>
      <c r="U418" s="1521">
        <f t="shared" si="2092"/>
        <v>11826</v>
      </c>
      <c r="V418" s="1521">
        <f t="shared" si="2092"/>
        <v>11743</v>
      </c>
      <c r="W418" s="1521">
        <f t="shared" si="2092"/>
        <v>11752</v>
      </c>
      <c r="X418" s="1521">
        <f t="shared" si="2092"/>
        <v>12319</v>
      </c>
      <c r="Y418" s="1521">
        <f t="shared" si="2092"/>
        <v>13353</v>
      </c>
      <c r="Z418" s="1521">
        <f t="shared" si="2092"/>
        <v>13552</v>
      </c>
      <c r="AA418" s="1521">
        <f t="shared" si="2092"/>
        <v>14691</v>
      </c>
      <c r="AB418" s="1521">
        <f t="shared" si="2092"/>
        <v>15039</v>
      </c>
      <c r="AC418" s="1521">
        <f t="shared" si="2092"/>
        <v>15936</v>
      </c>
      <c r="AD418" s="1521">
        <f t="shared" si="2092"/>
        <v>15789</v>
      </c>
      <c r="AE418" s="1521">
        <f t="shared" si="2092"/>
        <v>16600</v>
      </c>
      <c r="AF418" s="1521">
        <f t="shared" si="2092"/>
        <v>16465</v>
      </c>
      <c r="AG418" s="1521">
        <f t="shared" si="2092"/>
        <v>17002</v>
      </c>
      <c r="AH418" s="1521">
        <f t="shared" si="2092"/>
        <v>17516</v>
      </c>
      <c r="AI418" s="1521">
        <f t="shared" si="2092"/>
        <v>18291</v>
      </c>
      <c r="AJ418" s="1521">
        <f t="shared" si="2092"/>
        <v>18592</v>
      </c>
      <c r="AK418" s="1521">
        <f t="shared" si="2092"/>
        <v>19249</v>
      </c>
      <c r="AL418" s="1521">
        <f t="shared" si="2092"/>
        <v>19570</v>
      </c>
      <c r="AM418" s="1521">
        <f t="shared" si="2092"/>
        <v>20317</v>
      </c>
      <c r="AN418" s="1521">
        <f t="shared" ref="AN418:AQ418" si="2093">+AN520</f>
        <v>20660.314099771094</v>
      </c>
      <c r="AO418" s="1521">
        <f t="shared" si="2093"/>
        <v>21393.980785930853</v>
      </c>
      <c r="AP418" s="1521">
        <f t="shared" si="2093"/>
        <v>21757.307821543749</v>
      </c>
      <c r="AQ418" s="1521">
        <f t="shared" si="2093"/>
        <v>22580.306179484829</v>
      </c>
      <c r="BB418" s="1521">
        <f>+BB223</f>
        <v>26976</v>
      </c>
      <c r="BC418" s="1521">
        <f>+BC223</f>
        <v>26430</v>
      </c>
      <c r="BD418" s="1521">
        <f>+BD223</f>
        <v>26487</v>
      </c>
      <c r="BE418" s="1521">
        <f>+BE223</f>
        <v>30444</v>
      </c>
      <c r="BG418" s="1521">
        <f>+SUM('VA segmentation'!Y279:AB279)</f>
        <v>25792</v>
      </c>
      <c r="BH418" s="1521">
        <f t="shared" ref="BH418:BM418" si="2094">+BH223</f>
        <v>29870</v>
      </c>
      <c r="BI418" s="1521">
        <f t="shared" si="2094"/>
        <v>35865</v>
      </c>
      <c r="BJ418" s="1521">
        <f t="shared" si="2094"/>
        <v>41160</v>
      </c>
      <c r="BK418" s="1521">
        <f t="shared" si="2094"/>
        <v>46398</v>
      </c>
      <c r="BL418" s="1521">
        <f t="shared" si="2094"/>
        <v>53915</v>
      </c>
      <c r="BM418" s="1521">
        <f t="shared" si="2094"/>
        <v>63364</v>
      </c>
      <c r="BN418" s="1521">
        <f>SUM(AF418:AI418)</f>
        <v>69274</v>
      </c>
      <c r="BO418" s="1521">
        <f>SUM(AJ418:AM418)</f>
        <v>77728</v>
      </c>
      <c r="BP418" s="1521">
        <f>+SUM(AN418:AQ418)</f>
        <v>86391.908886730525</v>
      </c>
    </row>
    <row r="419" spans="2:81" s="1527" customFormat="1" outlineLevel="1">
      <c r="B419" s="1539" t="s">
        <v>113</v>
      </c>
      <c r="L419" s="1525">
        <f>+IFERROR(L418/H418-1,"n/a ")</f>
        <v>0.27998756991920448</v>
      </c>
      <c r="M419" s="1525">
        <f t="shared" ref="M419:O419" si="2095">+IFERROR(M418/I418-1,"n/a ")</f>
        <v>0.24710962529600233</v>
      </c>
      <c r="N419" s="1525">
        <f t="shared" si="2095"/>
        <v>0.1685480731802258</v>
      </c>
      <c r="O419" s="1525">
        <f t="shared" si="2095"/>
        <v>0.13102480112306969</v>
      </c>
      <c r="P419" s="1525">
        <f t="shared" ref="P419" si="2096">+IFERROR(P418/L418-1,"n/a ")</f>
        <v>0.18608885651857254</v>
      </c>
      <c r="Q419" s="1525">
        <f t="shared" ref="Q419" si="2097">+IFERROR(Q418/M418-1,"n/a ")</f>
        <v>0.12811348151457613</v>
      </c>
      <c r="R419" s="1525">
        <f t="shared" ref="R419" si="2098">+IFERROR(R418/N418-1,"n/a ")</f>
        <v>0.13724183877415053</v>
      </c>
      <c r="S419" s="1525">
        <f t="shared" ref="S419" si="2099">+IFERROR(S418/O418-1,"n/a ")</f>
        <v>0.14263549855192381</v>
      </c>
      <c r="T419" s="1525">
        <f t="shared" ref="T419" si="2100">+IFERROR(T418/P418-1,"n/a ")</f>
        <v>0.13366083307747423</v>
      </c>
      <c r="U419" s="1525">
        <f t="shared" ref="U419" si="2101">+IFERROR(U418/Q418-1,"n/a ")</f>
        <v>0.17089108910891082</v>
      </c>
      <c r="V419" s="1525">
        <f t="shared" ref="V419" si="2102">+IFERROR(V418/R418-1,"n/a ")</f>
        <v>0.14655340753759027</v>
      </c>
      <c r="W419" s="1525">
        <f t="shared" ref="W419:X419" si="2103">+IFERROR(W418/S418-1,"n/a ")</f>
        <v>6.3818231193989217E-2</v>
      </c>
      <c r="X419" s="1525">
        <f t="shared" si="2103"/>
        <v>0.11212422135957389</v>
      </c>
      <c r="Y419" s="1525">
        <f t="shared" ref="Y419" si="2104">+IFERROR(Y418/U418-1,"n/a ")</f>
        <v>0.12912227295788936</v>
      </c>
      <c r="Z419" s="1525">
        <f t="shared" ref="Z419" si="2105">+IFERROR(Z418/V418-1,"n/a ")</f>
        <v>0.15404922081239891</v>
      </c>
      <c r="AA419" s="1525">
        <f t="shared" ref="AA419" si="2106">+IFERROR(AA418/W418-1,"n/a ")</f>
        <v>0.25008509189925121</v>
      </c>
      <c r="AB419" s="1525">
        <f t="shared" ref="AB419" si="2107">+IFERROR(AB418/X418-1,"n/a ")</f>
        <v>0.22079714262521311</v>
      </c>
      <c r="AC419" s="1525">
        <f t="shared" ref="AC419:AF419" si="2108">+IFERROR(AC418/Y418-1,"n/a ")</f>
        <v>0.19343967647719618</v>
      </c>
      <c r="AD419" s="1525">
        <f t="shared" si="2108"/>
        <v>0.16506788665879579</v>
      </c>
      <c r="AE419" s="1525">
        <f t="shared" si="2108"/>
        <v>0.12994350282485878</v>
      </c>
      <c r="AF419" s="1525">
        <f t="shared" si="2108"/>
        <v>9.4820134317441296E-2</v>
      </c>
      <c r="AG419" s="1525">
        <f t="shared" ref="AG419" si="2109">+IFERROR(AG418/AC418-1,"n/a ")</f>
        <v>6.6892570281124497E-2</v>
      </c>
      <c r="AH419" s="1525">
        <f t="shared" ref="AH419" si="2110">+IFERROR(AH418/AD418-1,"n/a ")</f>
        <v>0.10937994806510853</v>
      </c>
      <c r="AI419" s="1525">
        <f t="shared" ref="AI419:AK419" si="2111">+IFERROR(AI418/AE418-1,"n/a ")</f>
        <v>0.10186746987951811</v>
      </c>
      <c r="AJ419" s="1525">
        <f t="shared" si="2111"/>
        <v>0.12918311569996965</v>
      </c>
      <c r="AK419" s="1525">
        <f t="shared" si="2111"/>
        <v>0.13216092224444176</v>
      </c>
      <c r="AL419" s="1525">
        <f t="shared" ref="AL419" si="2112">+IFERROR(AL418/AH418-1,"n/a ")</f>
        <v>0.11726421557433198</v>
      </c>
      <c r="AM419" s="1525">
        <f t="shared" ref="AM419" si="2113">+IFERROR(AM418/AI418-1,"n/a ")</f>
        <v>0.1107648570335138</v>
      </c>
      <c r="AN419" s="1525">
        <f t="shared" ref="AN419" si="2114">+IFERROR(AN418/AJ418-1,"n/a ")</f>
        <v>0.1112475311839014</v>
      </c>
      <c r="AO419" s="1525">
        <f t="shared" ref="AO419" si="2115">+IFERROR(AO418/AK418-1,"n/a ")</f>
        <v>0.11143336204118937</v>
      </c>
      <c r="AP419" s="1525">
        <f t="shared" ref="AP419" si="2116">+IFERROR(AP418/AL418-1,"n/a ")</f>
        <v>0.11176841193376341</v>
      </c>
      <c r="AQ419" s="1525">
        <f t="shared" ref="AQ419" si="2117">+IFERROR(AQ418/AM418-1,"n/a ")</f>
        <v>0.11139962491927102</v>
      </c>
      <c r="BC419" s="1525">
        <f t="shared" ref="BC419:BE419" si="2118">+IFERROR(BC418/BB418-1,"n/a ")</f>
        <v>-2.0240213523131656E-2</v>
      </c>
      <c r="BD419" s="1525">
        <f t="shared" si="2118"/>
        <v>2.1566401816117686E-3</v>
      </c>
      <c r="BE419" s="1525">
        <f t="shared" si="2118"/>
        <v>0.14939404236040321</v>
      </c>
      <c r="BG419" s="1526">
        <f t="shared" ref="BG419" si="2119">+BD419</f>
        <v>2.1566401816117686E-3</v>
      </c>
      <c r="BH419" s="1525">
        <f>+IFERROR(BH418/BG418-1,"n/a ")</f>
        <v>0.15811104218362293</v>
      </c>
      <c r="BI419" s="1525">
        <f>+IFERROR(BI418/BH418-1,"n/a ")</f>
        <v>0.20070304653498483</v>
      </c>
      <c r="BJ419" s="1525">
        <f>+IFERROR(BJ418/BI418-1,"n/a ")</f>
        <v>0.14763697197825176</v>
      </c>
      <c r="BK419" s="1525">
        <f t="shared" ref="BK419" si="2120">+IFERROR(BK418/BJ418-1,"n/a ")</f>
        <v>0.12725947521865888</v>
      </c>
      <c r="BL419" s="1525">
        <f t="shared" ref="BL419:BM419" si="2121">+IFERROR(BL418/BK418-1,"n/a ")</f>
        <v>0.16201129359024091</v>
      </c>
      <c r="BM419" s="1525">
        <f t="shared" si="2121"/>
        <v>0.17525734953167027</v>
      </c>
      <c r="BN419" s="1525">
        <f t="shared" ref="BN419" si="2122">+IFERROR(BN418/BM418-1,"n/a ")</f>
        <v>9.3270626854365268E-2</v>
      </c>
      <c r="BO419" s="1525">
        <f t="shared" ref="BO419" si="2123">+IFERROR(BO418/BN418-1,"n/a ")</f>
        <v>0.12203712792678356</v>
      </c>
      <c r="BP419" s="1525">
        <f t="shared" ref="BP419" si="2124">+IFERROR(BP418/BO418-1,"n/a ")</f>
        <v>0.1114644515069283</v>
      </c>
      <c r="BT419" s="1518"/>
      <c r="BU419" s="1518"/>
      <c r="BV419" s="1518"/>
      <c r="BW419" s="1518"/>
      <c r="BX419" s="1518"/>
      <c r="BY419" s="1518"/>
      <c r="BZ419" s="1518"/>
      <c r="CA419" s="1518"/>
      <c r="CB419" s="1518"/>
      <c r="CC419" s="1518"/>
    </row>
    <row r="420" spans="2:81" s="1527" customFormat="1" outlineLevel="1">
      <c r="B420" s="1539" t="s">
        <v>272</v>
      </c>
      <c r="L420" s="1528">
        <v>0.28000000000000003</v>
      </c>
      <c r="M420" s="1528">
        <v>0.24</v>
      </c>
      <c r="N420" s="1528">
        <v>0.14000000000000001</v>
      </c>
      <c r="O420" s="1528">
        <v>0.1</v>
      </c>
      <c r="P420" s="1528">
        <v>0.18</v>
      </c>
      <c r="Q420" s="1528">
        <v>0.13</v>
      </c>
      <c r="R420" s="1528">
        <v>0.15</v>
      </c>
      <c r="S420" s="1528">
        <v>0.17</v>
      </c>
      <c r="T420" s="1528">
        <v>0.15</v>
      </c>
      <c r="U420" s="1528">
        <v>0.19</v>
      </c>
      <c r="V420" s="1528">
        <v>0.16</v>
      </c>
      <c r="W420" s="1528">
        <v>0.08</v>
      </c>
      <c r="X420" s="1528">
        <v>0.11</v>
      </c>
      <c r="Y420" s="1528">
        <v>0.11</v>
      </c>
      <c r="Z420" s="1528">
        <v>0.12</v>
      </c>
      <c r="AA420" s="1528">
        <v>0.20499999999999999</v>
      </c>
      <c r="AB420" s="1528">
        <v>0.2</v>
      </c>
      <c r="AC420" s="1528">
        <v>0.19</v>
      </c>
      <c r="AD420" s="1528">
        <v>0.19</v>
      </c>
      <c r="AE420" s="1528">
        <v>0.17</v>
      </c>
      <c r="AF420" s="1528">
        <v>0.15</v>
      </c>
      <c r="AG420" s="1528">
        <v>0.13</v>
      </c>
      <c r="AH420" s="1528">
        <f>+AH419+4%</f>
        <v>0.14937994806510854</v>
      </c>
      <c r="AI420" s="1528">
        <v>0.12</v>
      </c>
      <c r="AJ420" s="1528">
        <v>0.12</v>
      </c>
      <c r="AK420" s="1528">
        <v>0.12</v>
      </c>
      <c r="AL420" s="1528">
        <v>0.11</v>
      </c>
      <c r="AM420" s="1528">
        <v>0.12</v>
      </c>
      <c r="AN420" s="1536">
        <f t="shared" ref="AN420:AQ420" si="2125">+AN$14-AN$13+AN419</f>
        <v>0.11511072278996684</v>
      </c>
      <c r="AO420" s="1536">
        <f t="shared" si="2125"/>
        <v>0.11286310896305229</v>
      </c>
      <c r="AP420" s="1536">
        <f t="shared" si="2125"/>
        <v>0.12782484308037945</v>
      </c>
      <c r="AQ420" s="1536">
        <f t="shared" si="2125"/>
        <v>0.12166696895508466</v>
      </c>
      <c r="BI420" s="1529">
        <f>+SUMPRODUCT(L420:O420,H418:K418)/BH418</f>
        <v>0.18275259457649817</v>
      </c>
      <c r="BJ420" s="1529">
        <f>+SUMPRODUCT(P420:S420,L418:O418)/BI418</f>
        <v>0.15728955806496586</v>
      </c>
      <c r="BK420" s="1529">
        <f>+SUMPRODUCT(T420:W420,P418:S418)/BJ418</f>
        <v>0.14351627793974733</v>
      </c>
      <c r="BL420" s="1529">
        <f>+SUMPRODUCT(X420:AA420,T418:W418)/BK418</f>
        <v>0.1365931721194879</v>
      </c>
      <c r="BM420" s="1529">
        <f>+SUMPRODUCT(AB420:AE420,X418:AA418)/BL418</f>
        <v>0.1868352035611611</v>
      </c>
      <c r="BN420" s="1529">
        <f>+SUMPRODUCT(AF420:AI420,AB418:AE418)/BM418</f>
        <v>0.13695615807082887</v>
      </c>
      <c r="BO420" s="1529">
        <f>+SUMPRODUCT(AJ420:AM420,AF418:AI418)/BN418</f>
        <v>0.11747149002511766</v>
      </c>
      <c r="BP420" s="1529">
        <f>+SUMPRODUCT(AN420:AQ420,AJ418:AM418)/BO418</f>
        <v>0.1194689240670587</v>
      </c>
      <c r="BT420" s="1518"/>
      <c r="BU420" s="1518"/>
      <c r="BV420" s="1518"/>
      <c r="BW420" s="1518"/>
      <c r="BX420" s="1518"/>
      <c r="BY420" s="1518"/>
      <c r="BZ420" s="1518"/>
      <c r="CA420" s="1518"/>
      <c r="CB420" s="1518"/>
      <c r="CC420" s="1518"/>
    </row>
    <row r="421" spans="2:81" s="1527" customFormat="1" outlineLevel="1">
      <c r="B421" s="1578"/>
      <c r="L421" s="1525"/>
      <c r="M421" s="1525"/>
      <c r="N421" s="1590"/>
      <c r="O421" s="1525"/>
      <c r="P421" s="1525"/>
      <c r="Q421" s="1525"/>
      <c r="R421" s="1525"/>
      <c r="S421" s="1525"/>
      <c r="T421" s="1525"/>
      <c r="U421" s="1525"/>
      <c r="V421" s="1525"/>
      <c r="W421" s="1525"/>
      <c r="X421" s="1525"/>
      <c r="Y421" s="1525"/>
      <c r="Z421" s="1525"/>
      <c r="AA421" s="1525"/>
      <c r="AB421" s="1525"/>
      <c r="AC421" s="1525"/>
      <c r="AD421" s="1525"/>
      <c r="AE421" s="1525"/>
      <c r="AF421" s="1525"/>
      <c r="AG421" s="1525"/>
      <c r="AH421" s="1525"/>
      <c r="AI421" s="1525"/>
      <c r="AJ421" s="1525"/>
      <c r="AK421" s="1525"/>
      <c r="AL421" s="1525"/>
      <c r="AM421" s="1525"/>
      <c r="AN421" s="1525"/>
      <c r="AO421" s="1525"/>
      <c r="AP421" s="1525"/>
      <c r="AQ421" s="1525"/>
      <c r="BI421" s="1525"/>
      <c r="BJ421" s="1525"/>
      <c r="BK421" s="1525"/>
      <c r="BL421" s="1525"/>
      <c r="BM421" s="1525"/>
      <c r="BN421" s="1525"/>
      <c r="BO421" s="1525"/>
      <c r="BP421" s="1525"/>
      <c r="BT421" s="1518"/>
      <c r="BU421" s="1518"/>
      <c r="BV421" s="1518"/>
      <c r="BW421" s="1518"/>
      <c r="BX421" s="1518"/>
      <c r="BY421" s="1518"/>
      <c r="BZ421" s="1518"/>
      <c r="CA421" s="1518"/>
      <c r="CB421" s="1518"/>
      <c r="CC421" s="1518"/>
    </row>
    <row r="422" spans="2:81" s="1527" customFormat="1" outlineLevel="1">
      <c r="B422" s="1591" t="s">
        <v>127</v>
      </c>
      <c r="L422" s="1525"/>
      <c r="M422" s="1525"/>
      <c r="N422" s="1590"/>
      <c r="O422" s="1525"/>
      <c r="P422" s="1525"/>
      <c r="Q422" s="1525"/>
      <c r="R422" s="1525"/>
      <c r="S422" s="1525"/>
      <c r="T422" s="1525"/>
      <c r="U422" s="1525"/>
      <c r="V422" s="1525"/>
      <c r="W422" s="1525"/>
      <c r="X422" s="1525"/>
      <c r="Y422" s="1525"/>
      <c r="Z422" s="1525"/>
      <c r="AA422" s="1525"/>
      <c r="AB422" s="1525"/>
      <c r="AC422" s="1525"/>
      <c r="AD422" s="1525"/>
      <c r="AE422" s="1525"/>
      <c r="AF422" s="1525"/>
      <c r="AG422" s="1525"/>
      <c r="AH422" s="1525"/>
      <c r="AI422" s="1525"/>
      <c r="AJ422" s="1525"/>
      <c r="AK422" s="1525"/>
      <c r="AL422" s="1525"/>
      <c r="AM422" s="1525"/>
      <c r="AN422" s="1525"/>
      <c r="AO422" s="1525"/>
      <c r="AP422" s="1525"/>
      <c r="AQ422" s="1525"/>
      <c r="BI422" s="1525"/>
      <c r="BJ422" s="1525"/>
      <c r="BK422" s="1525"/>
      <c r="BL422" s="1525"/>
      <c r="BM422" s="1525"/>
      <c r="BN422" s="1525"/>
      <c r="BO422" s="1525"/>
      <c r="BP422" s="1525"/>
      <c r="BT422" s="1518"/>
      <c r="BU422" s="1518"/>
      <c r="BV422" s="1518"/>
      <c r="BW422" s="1518"/>
      <c r="BX422" s="1518"/>
      <c r="BY422" s="1518"/>
      <c r="BZ422" s="1518"/>
      <c r="CA422" s="1518"/>
      <c r="CB422" s="1518"/>
      <c r="CC422" s="1518"/>
    </row>
    <row r="423" spans="2:81" s="1527" customFormat="1" outlineLevel="1">
      <c r="B423" s="1523" t="s">
        <v>372</v>
      </c>
      <c r="H423" s="1521">
        <f t="shared" ref="H423:AM423" si="2126">+H418-H488</f>
        <v>6436</v>
      </c>
      <c r="I423" s="1521">
        <f t="shared" si="2126"/>
        <v>6951</v>
      </c>
      <c r="J423" s="1521">
        <f t="shared" si="2126"/>
        <v>6731</v>
      </c>
      <c r="K423" s="1521">
        <f t="shared" si="2126"/>
        <v>7481</v>
      </c>
      <c r="L423" s="1521">
        <f t="shared" si="2126"/>
        <v>7090</v>
      </c>
      <c r="M423" s="1521">
        <f t="shared" si="2126"/>
        <v>7641</v>
      </c>
      <c r="N423" s="1521">
        <f t="shared" si="2126"/>
        <v>7671</v>
      </c>
      <c r="O423" s="1521">
        <f t="shared" si="2126"/>
        <v>8204</v>
      </c>
      <c r="P423" s="1521">
        <f t="shared" si="2126"/>
        <v>8241</v>
      </c>
      <c r="Q423" s="1521">
        <f t="shared" si="2126"/>
        <v>8407</v>
      </c>
      <c r="R423" s="1521">
        <f t="shared" si="2126"/>
        <v>8546</v>
      </c>
      <c r="S423" s="1521">
        <f t="shared" si="2126"/>
        <v>9212</v>
      </c>
      <c r="T423" s="1521">
        <f t="shared" si="2126"/>
        <v>9168</v>
      </c>
      <c r="U423" s="1521">
        <f t="shared" si="2126"/>
        <v>9724</v>
      </c>
      <c r="V423" s="1521">
        <f t="shared" si="2126"/>
        <v>9693</v>
      </c>
      <c r="W423" s="1521">
        <f t="shared" si="2126"/>
        <v>9736</v>
      </c>
      <c r="X423" s="1521">
        <f t="shared" si="2126"/>
        <v>10113</v>
      </c>
      <c r="Y423" s="1521">
        <f t="shared" si="2126"/>
        <v>10776</v>
      </c>
      <c r="Z423" s="1521">
        <f t="shared" si="2126"/>
        <v>10990</v>
      </c>
      <c r="AA423" s="1521">
        <f t="shared" si="2126"/>
        <v>11747</v>
      </c>
      <c r="AB423" s="1521">
        <f t="shared" si="2126"/>
        <v>11903</v>
      </c>
      <c r="AC423" s="1521">
        <f t="shared" si="2126"/>
        <v>12405</v>
      </c>
      <c r="AD423" s="1521">
        <f t="shared" si="2126"/>
        <v>12352</v>
      </c>
      <c r="AE423" s="1521">
        <f t="shared" si="2126"/>
        <v>12888</v>
      </c>
      <c r="AF423" s="1521">
        <f t="shared" si="2126"/>
        <v>12802</v>
      </c>
      <c r="AG423" s="1521">
        <f t="shared" si="2126"/>
        <v>13126</v>
      </c>
      <c r="AH423" s="1521">
        <f t="shared" si="2126"/>
        <v>13804.04</v>
      </c>
      <c r="AI423" s="1521">
        <f t="shared" si="2126"/>
        <v>14393.4</v>
      </c>
      <c r="AJ423" s="1521">
        <f t="shared" si="2126"/>
        <v>14635.96</v>
      </c>
      <c r="AK423" s="1521">
        <f t="shared" si="2126"/>
        <v>15024.16</v>
      </c>
      <c r="AL423" s="1521">
        <f t="shared" si="2126"/>
        <v>15486.843999999999</v>
      </c>
      <c r="AM423" s="1521">
        <f t="shared" si="2126"/>
        <v>16029.64</v>
      </c>
      <c r="AN423" s="1521"/>
      <c r="AO423" s="1521"/>
      <c r="AP423" s="1521"/>
      <c r="AQ423" s="1521"/>
      <c r="BG423" s="1521"/>
      <c r="BH423" s="1521">
        <f t="shared" ref="BH423:BO423" si="2127">+BH418-BH488</f>
        <v>27599</v>
      </c>
      <c r="BI423" s="1521">
        <f t="shared" si="2127"/>
        <v>30606</v>
      </c>
      <c r="BJ423" s="1521">
        <f t="shared" si="2127"/>
        <v>34406</v>
      </c>
      <c r="BK423" s="1521">
        <f t="shared" si="2127"/>
        <v>38321</v>
      </c>
      <c r="BL423" s="1521">
        <f t="shared" si="2127"/>
        <v>43626</v>
      </c>
      <c r="BM423" s="1521">
        <f t="shared" si="2127"/>
        <v>49548</v>
      </c>
      <c r="BN423" s="1521">
        <f t="shared" si="2127"/>
        <v>54125.440000000002</v>
      </c>
      <c r="BO423" s="1521">
        <f t="shared" si="2127"/>
        <v>61176.603999999999</v>
      </c>
      <c r="BP423" s="1521"/>
      <c r="BT423" s="1518"/>
      <c r="BU423" s="1518"/>
      <c r="BV423" s="1518"/>
      <c r="BW423" s="1518"/>
      <c r="BX423" s="1518"/>
      <c r="BY423" s="1518"/>
      <c r="BZ423" s="1518"/>
      <c r="CA423" s="1518"/>
      <c r="CB423" s="1518"/>
      <c r="CC423" s="1518"/>
    </row>
    <row r="424" spans="2:81" s="1527" customFormat="1" outlineLevel="1">
      <c r="B424" s="1524" t="s">
        <v>113</v>
      </c>
      <c r="L424" s="1525">
        <f>+IFERROR(L423/H423-1,"n/a ")</f>
        <v>0.10161591050341823</v>
      </c>
      <c r="M424" s="1525">
        <f t="shared" ref="M424" si="2128">+IFERROR(M423/I423-1,"n/a ")</f>
        <v>9.9266292619766938E-2</v>
      </c>
      <c r="N424" s="1525">
        <f t="shared" ref="N424" si="2129">+IFERROR(N423/J423-1,"n/a ")</f>
        <v>0.13965235477640769</v>
      </c>
      <c r="O424" s="1525">
        <f t="shared" ref="O424" si="2130">+IFERROR(O423/K423-1,"n/a ")</f>
        <v>9.6644833578398703E-2</v>
      </c>
      <c r="P424" s="1525">
        <f t="shared" ref="P424" si="2131">+IFERROR(P423/L423-1,"n/a ")</f>
        <v>0.16234132581100136</v>
      </c>
      <c r="Q424" s="1525">
        <f t="shared" ref="Q424" si="2132">+IFERROR(Q423/M423-1,"n/a ")</f>
        <v>0.1002486585525455</v>
      </c>
      <c r="R424" s="1525">
        <f t="shared" ref="R424" si="2133">+IFERROR(R423/N423-1,"n/a ")</f>
        <v>0.11406596271672531</v>
      </c>
      <c r="S424" s="1525">
        <f t="shared" ref="S424" si="2134">+IFERROR(S423/O423-1,"n/a ")</f>
        <v>0.12286689419795227</v>
      </c>
      <c r="T424" s="1525">
        <f t="shared" ref="T424" si="2135">+IFERROR(T423/P423-1,"n/a ")</f>
        <v>0.11248634874408436</v>
      </c>
      <c r="U424" s="1525">
        <f t="shared" ref="U424" si="2136">+IFERROR(U423/Q423-1,"n/a ")</f>
        <v>0.1566551683121209</v>
      </c>
      <c r="V424" s="1525">
        <f t="shared" ref="V424" si="2137">+IFERROR(V423/R423-1,"n/a ")</f>
        <v>0.13421483735080741</v>
      </c>
      <c r="W424" s="1525">
        <f t="shared" ref="W424:X424" si="2138">+IFERROR(W423/S423-1,"n/a ")</f>
        <v>5.6882327399044641E-2</v>
      </c>
      <c r="X424" s="1525">
        <f t="shared" si="2138"/>
        <v>0.10307591623036649</v>
      </c>
      <c r="Y424" s="1525">
        <f t="shared" ref="Y424" si="2139">+IFERROR(Y423/U423-1,"n/a ")</f>
        <v>0.10818593171534352</v>
      </c>
      <c r="Z424" s="1525">
        <f t="shared" ref="Z424" si="2140">+IFERROR(Z423/V423-1,"n/a ")</f>
        <v>0.13380790261013109</v>
      </c>
      <c r="AA424" s="1525">
        <f t="shared" ref="AA424" si="2141">+IFERROR(AA423/W423-1,"n/a ")</f>
        <v>0.20655299917830727</v>
      </c>
      <c r="AB424" s="1525">
        <f t="shared" ref="AB424" si="2142">+IFERROR(AB423/X423-1,"n/a ")</f>
        <v>0.17699990111737374</v>
      </c>
      <c r="AC424" s="1525">
        <f t="shared" ref="AC424:AE424" si="2143">+IFERROR(AC423/Y423-1,"n/a ")</f>
        <v>0.15116926503340755</v>
      </c>
      <c r="AD424" s="1525">
        <f t="shared" si="2143"/>
        <v>0.12393084622383976</v>
      </c>
      <c r="AE424" s="1525">
        <f t="shared" si="2143"/>
        <v>9.7131182429556429E-2</v>
      </c>
      <c r="AF424" s="1525">
        <f t="shared" ref="AF424" si="2144">+IFERROR(AF423/AB423-1,"n/a ")</f>
        <v>7.5527178022347208E-2</v>
      </c>
      <c r="AG424" s="1525">
        <f t="shared" ref="AG424" si="2145">+IFERROR(AG423/AC423-1,"n/a ")</f>
        <v>5.8121725110842348E-2</v>
      </c>
      <c r="AH424" s="1525">
        <f t="shared" ref="AH424" si="2146">+IFERROR(AH423/AD423-1,"n/a ")</f>
        <v>0.11755505181347159</v>
      </c>
      <c r="AI424" s="1525">
        <f t="shared" ref="AI424:AJ424" si="2147">+IFERROR(AI423/AE423-1,"n/a ")</f>
        <v>0.11680633147113584</v>
      </c>
      <c r="AJ424" s="1525">
        <f t="shared" si="2147"/>
        <v>0.1432557412904234</v>
      </c>
      <c r="AK424" s="1525">
        <f t="shared" ref="AK424" si="2148">+IFERROR(AK423/AG423-1,"n/a ")</f>
        <v>0.1446106963278988</v>
      </c>
      <c r="AL424" s="1525">
        <f t="shared" ref="AL424" si="2149">+IFERROR(AL423/AH423-1,"n/a ")</f>
        <v>0.12190663023288817</v>
      </c>
      <c r="AM424" s="1525">
        <f t="shared" ref="AM424" si="2150">+IFERROR(AM423/AI423-1,"n/a ")</f>
        <v>0.11367988105659532</v>
      </c>
      <c r="AN424" s="1525"/>
      <c r="AO424" s="1525"/>
      <c r="AP424" s="1525"/>
      <c r="AQ424" s="1525"/>
      <c r="BI424" s="1525">
        <f>+IFERROR(BI423/BH423-1,"n/a ")</f>
        <v>0.10895322294286025</v>
      </c>
      <c r="BJ424" s="1525">
        <f t="shared" ref="BJ424" si="2151">+IFERROR(BJ423/BI423-1,"n/a ")</f>
        <v>0.12415866170032031</v>
      </c>
      <c r="BK424" s="1525">
        <f t="shared" ref="BK424:BL424" si="2152">+IFERROR(BK423/BJ423-1,"n/a ")</f>
        <v>0.11378829273963853</v>
      </c>
      <c r="BL424" s="1525">
        <f t="shared" si="2152"/>
        <v>0.13843584457608094</v>
      </c>
      <c r="BM424" s="1525">
        <f t="shared" ref="BM424" si="2153">+IFERROR(BM423/BL423-1,"n/a ")</f>
        <v>0.13574473937560172</v>
      </c>
      <c r="BN424" s="1525">
        <f t="shared" ref="BN424" si="2154">+IFERROR(BN423/BM423-1,"n/a ")</f>
        <v>9.2383950916283153E-2</v>
      </c>
      <c r="BO424" s="1525">
        <f t="shared" ref="BO424" si="2155">+IFERROR(BO423/BN423-1,"n/a ")</f>
        <v>0.13027448829977173</v>
      </c>
      <c r="BP424" s="1525"/>
    </row>
    <row r="425" spans="2:81" s="1527" customFormat="1" outlineLevel="1">
      <c r="B425" s="1524" t="s">
        <v>272</v>
      </c>
      <c r="L425" s="1525">
        <f>+(H418*(1+L420)-L488)/H423-1</f>
        <v>0.10162834058421377</v>
      </c>
      <c r="M425" s="1525">
        <f>+(I418*(1+M420)-M488)/I423-1</f>
        <v>9.1923464249748177E-2</v>
      </c>
      <c r="N425" s="1525">
        <f t="shared" ref="N425:AM425" si="2156">+(J418*(1+N420)-J488*(1+N490))/J423-1</f>
        <v>0.112449858861982</v>
      </c>
      <c r="O425" s="1525">
        <f t="shared" si="2156"/>
        <v>6.5769282181526778E-2</v>
      </c>
      <c r="P425" s="1525">
        <f t="shared" si="2156"/>
        <v>0.15571227080394912</v>
      </c>
      <c r="Q425" s="1525">
        <f t="shared" si="2156"/>
        <v>0.1008101033896085</v>
      </c>
      <c r="R425" s="1525">
        <f t="shared" si="2156"/>
        <v>0.12563551036370746</v>
      </c>
      <c r="S425" s="1525">
        <f t="shared" si="2156"/>
        <v>0.15037055095075558</v>
      </c>
      <c r="T425" s="1525">
        <f t="shared" si="2156"/>
        <v>0.12957772115034594</v>
      </c>
      <c r="U425" s="1525">
        <f t="shared" si="2156"/>
        <v>0.17590341382181518</v>
      </c>
      <c r="V425" s="1525">
        <f t="shared" si="2156"/>
        <v>0.14809267493564215</v>
      </c>
      <c r="W425" s="1525">
        <f t="shared" si="2156"/>
        <v>7.4024099001302579E-2</v>
      </c>
      <c r="X425" s="1525">
        <f t="shared" si="2156"/>
        <v>9.9588787085514996E-2</v>
      </c>
      <c r="Y425" s="1525">
        <f t="shared" si="2156"/>
        <v>8.6221719457013624E-2</v>
      </c>
      <c r="Z425" s="1525">
        <f t="shared" si="2156"/>
        <v>9.6735788713504745E-2</v>
      </c>
      <c r="AA425" s="1525">
        <f t="shared" si="2156"/>
        <v>0.16048069022185718</v>
      </c>
      <c r="AB425" s="1525">
        <f t="shared" si="2156"/>
        <v>0.15855433600316426</v>
      </c>
      <c r="AC425" s="1525">
        <f t="shared" si="2156"/>
        <v>0.1493457683741648</v>
      </c>
      <c r="AD425" s="1525">
        <f t="shared" si="2156"/>
        <v>0.15270063694267511</v>
      </c>
      <c r="AE425" s="1525">
        <f t="shared" si="2156"/>
        <v>0.13992593853749868</v>
      </c>
      <c r="AF425" s="1525">
        <f t="shared" si="2156"/>
        <v>0.13419222044862633</v>
      </c>
      <c r="AG425" s="1525">
        <f t="shared" si="2156"/>
        <v>0.12715356711003589</v>
      </c>
      <c r="AH425" s="1525">
        <f t="shared" si="2156"/>
        <v>0.16312014248704632</v>
      </c>
      <c r="AI425" s="1525">
        <f t="shared" si="2156"/>
        <v>0.13440099317194298</v>
      </c>
      <c r="AJ425" s="1525">
        <f t="shared" si="2156"/>
        <v>0.13144508670520239</v>
      </c>
      <c r="AK425" s="1525">
        <f t="shared" si="2156"/>
        <v>0.13181167149169593</v>
      </c>
      <c r="AL425" s="1525">
        <f t="shared" si="2156"/>
        <v>0.11537807772217401</v>
      </c>
      <c r="AM425" s="1525">
        <f t="shared" si="2156"/>
        <v>0.12812372337321265</v>
      </c>
      <c r="AN425" s="1525"/>
      <c r="AO425" s="1525"/>
      <c r="AP425" s="1525"/>
      <c r="AQ425" s="1525"/>
      <c r="BI425" s="1525">
        <f>+SUMPRODUCT(L425:O425,H423:K423)/BH423</f>
        <v>9.2103337077430431E-2</v>
      </c>
      <c r="BJ425" s="1525">
        <f>+SUMPRODUCT(P425:S425,L423:O423)/BI423</f>
        <v>0.13303535254525245</v>
      </c>
      <c r="BK425" s="1525">
        <f>+SUMPRODUCT(T425:W425,P423:S423)/BJ423</f>
        <v>0.13062198453758062</v>
      </c>
      <c r="BL425" s="1529">
        <f>+SUMPRODUCT(X425:AA425,T423:W423)/BK423</f>
        <v>0.11094569557161882</v>
      </c>
      <c r="BM425" s="1529">
        <f>+SUMPRODUCT(AB425:AE425,X423:AA423)/BL423</f>
        <v>0.14978911658185479</v>
      </c>
      <c r="BN425" s="1529">
        <f t="shared" ref="BN425" si="2157">+SUMPRODUCT(AC425:AF425,Y423:AB423)/BM423</f>
        <v>0.13176172600306763</v>
      </c>
      <c r="BO425" s="1529">
        <f t="shared" ref="BO425" si="2158">+SUMPRODUCT(AD425:AG425,Z423:AC423)/BN423</f>
        <v>0.12002710740088193</v>
      </c>
      <c r="BP425" s="1525"/>
    </row>
    <row r="426" spans="2:81" s="1518" customFormat="1" outlineLevel="1"/>
    <row r="427" spans="2:81" s="1527" customFormat="1" outlineLevel="1">
      <c r="B427" s="1518" t="s">
        <v>373</v>
      </c>
      <c r="D427" s="1527">
        <f>+'VA segmentation'!Y285</f>
        <v>5110.2877814694921</v>
      </c>
      <c r="E427" s="1527">
        <f>+'VA segmentation'!Z285</f>
        <v>5312.0175906655322</v>
      </c>
      <c r="F427" s="1527">
        <f>+'VA segmentation'!AA285</f>
        <v>5140.2594831778451</v>
      </c>
      <c r="G427" s="1527">
        <f>+'VA segmentation'!AB285</f>
        <v>5736.5121263171732</v>
      </c>
      <c r="H427" s="1521">
        <f>+'VA segmentation'!AC285</f>
        <v>5053.1028182280052</v>
      </c>
      <c r="I427" s="1521">
        <f>+'VA segmentation'!AD285</f>
        <v>5626.7985602681092</v>
      </c>
      <c r="J427" s="1521">
        <f>+'VA segmentation'!AE285</f>
        <v>5882.9764099393187</v>
      </c>
      <c r="K427" s="1521">
        <f>+'VA segmentation'!AF285</f>
        <v>6608.6758518496572</v>
      </c>
      <c r="L427" s="1521">
        <f>+'VA segmentation'!AG285</f>
        <v>6289.4685779504734</v>
      </c>
      <c r="M427" s="1521">
        <f>+'VA segmentation'!AH285</f>
        <v>6931.7359110158923</v>
      </c>
      <c r="N427" s="1521">
        <f>+'VA segmentation'!AI285</f>
        <v>6909.3872250898921</v>
      </c>
      <c r="O427" s="1521">
        <f>+'VA segmentation'!AJ285</f>
        <v>7443.1620240430702</v>
      </c>
      <c r="P427" s="1521">
        <f>+'VA segmentation'!AK285</f>
        <v>7394.1272690421874</v>
      </c>
      <c r="Q427" s="1521">
        <f>+'VA segmentation'!AL285</f>
        <v>7715.4680690680789</v>
      </c>
      <c r="R427" s="1521">
        <f>+'VA segmentation'!AM285</f>
        <v>7914.2132840257718</v>
      </c>
      <c r="S427" s="1521">
        <f>+'VA segmentation'!AN285</f>
        <v>8607.2174633387167</v>
      </c>
      <c r="T427" s="1521">
        <f>+'VA segmentation'!AO285</f>
        <v>8557.767908924885</v>
      </c>
      <c r="U427" s="1521">
        <f>+'VA segmentation'!AP285</f>
        <v>9290.186833659387</v>
      </c>
      <c r="V427" s="1521">
        <f>+'VA segmentation'!AQ285</f>
        <v>9175.619587857067</v>
      </c>
      <c r="W427" s="1521">
        <f>+'VA segmentation'!AR285</f>
        <v>8739.0368383353161</v>
      </c>
      <c r="X427" s="1521">
        <f>+'VA segmentation'!AS285</f>
        <v>9640.7039661185991</v>
      </c>
      <c r="Y427" s="1521">
        <f>+'VA segmentation'!AT285</f>
        <v>10490.087656077136</v>
      </c>
      <c r="Z427" s="1521">
        <f>+'VA segmentation'!AU285</f>
        <v>10582.113715690992</v>
      </c>
      <c r="AA427" s="1521">
        <f>+'VA segmentation'!AV285</f>
        <v>11483.769222972391</v>
      </c>
      <c r="AB427" s="1521">
        <f>+'VA segmentation'!AW285</f>
        <v>11785.627684895009</v>
      </c>
      <c r="AC427" s="1521">
        <f>+'VA segmentation'!AX285</f>
        <v>12540.352311118064</v>
      </c>
      <c r="AD427" s="1521">
        <f>+'VA segmentation'!AY285</f>
        <v>12309.4641074433</v>
      </c>
      <c r="AE427" s="1521">
        <f>+'VA segmentation'!AZ285</f>
        <v>12887.096965745019</v>
      </c>
      <c r="AF427" s="1521">
        <f>+AB427*(1+AF428)</f>
        <v>13082.046730233462</v>
      </c>
      <c r="AG427" s="1521">
        <f>+AC427*(1+AG428)</f>
        <v>13543.580496007509</v>
      </c>
      <c r="AH427" s="1521">
        <f>+AD427*(1+AH428)</f>
        <v>14032.789082485364</v>
      </c>
      <c r="AI427" s="1521">
        <f t="shared" ref="AI427:AK427" si="2159">+AE427*(1+AI428)</f>
        <v>14691.290540949323</v>
      </c>
      <c r="AJ427" s="1521">
        <f t="shared" si="2159"/>
        <v>14782.71280516381</v>
      </c>
      <c r="AK427" s="1521">
        <f t="shared" si="2159"/>
        <v>15439.681765448562</v>
      </c>
      <c r="AL427" s="1521">
        <f t="shared" ref="AL427" si="2160">+AH427*(1+AL428)</f>
        <v>15576.395881558756</v>
      </c>
      <c r="AM427" s="1521">
        <f t="shared" ref="AM427" si="2161">+AI427*(1+AM428)</f>
        <v>16013.506689634763</v>
      </c>
      <c r="AN427" s="1521"/>
      <c r="AO427" s="1521"/>
      <c r="AP427" s="1521"/>
      <c r="AQ427" s="1521"/>
      <c r="BG427" s="1521">
        <f>+SUM('VA segmentation'!Y285:AB285)</f>
        <v>21299.076981630045</v>
      </c>
      <c r="BH427" s="1521">
        <f>+SUM('VA segmentation'!AC285:AF285)</f>
        <v>23171.553640285088</v>
      </c>
      <c r="BI427" s="1521">
        <f>SUM('VA segmentation'!AG285:AJ285)</f>
        <v>27573.753738099331</v>
      </c>
      <c r="BJ427" s="1521">
        <f>SUM(P427:S427)</f>
        <v>31631.026085474754</v>
      </c>
      <c r="BK427" s="1521">
        <f>SUM(T427:W427)</f>
        <v>35762.611168776653</v>
      </c>
      <c r="BL427" s="1521">
        <f>SUM(X427:AA427)</f>
        <v>42196.674560859115</v>
      </c>
      <c r="BM427" s="1521">
        <f>+SUM(AB427:AE427)</f>
        <v>49522.54106920139</v>
      </c>
      <c r="BN427" s="1521">
        <f>SUM(AF427:AI427)</f>
        <v>55349.706849675655</v>
      </c>
      <c r="BO427" s="1521">
        <f>+SUM(AJ427:AM427)</f>
        <v>61812.297141805888</v>
      </c>
      <c r="BP427" s="1521"/>
      <c r="BT427" s="1518"/>
      <c r="BU427" s="1518"/>
      <c r="BV427" s="1518"/>
      <c r="BW427" s="1518"/>
      <c r="BX427" s="1518"/>
      <c r="BY427" s="1518"/>
      <c r="BZ427" s="1518"/>
      <c r="CA427" s="1518"/>
      <c r="CB427" s="1518"/>
      <c r="CC427" s="1518"/>
    </row>
    <row r="428" spans="2:81" s="1527" customFormat="1" outlineLevel="1">
      <c r="B428" s="1539" t="s">
        <v>113</v>
      </c>
      <c r="H428" s="1528"/>
      <c r="I428" s="1528"/>
      <c r="J428" s="1528"/>
      <c r="K428" s="1528"/>
      <c r="L428" s="1528">
        <v>0.25</v>
      </c>
      <c r="M428" s="1528">
        <v>0.24</v>
      </c>
      <c r="N428" s="1528">
        <v>0.18</v>
      </c>
      <c r="O428" s="1528">
        <v>0.13</v>
      </c>
      <c r="P428" s="1528">
        <v>0.18</v>
      </c>
      <c r="Q428" s="1528">
        <v>0.11</v>
      </c>
      <c r="R428" s="1528">
        <v>0.15</v>
      </c>
      <c r="S428" s="1528">
        <v>0.16</v>
      </c>
      <c r="T428" s="1528">
        <v>0.16</v>
      </c>
      <c r="U428" s="1528">
        <v>0.21</v>
      </c>
      <c r="V428" s="1528">
        <v>0.16</v>
      </c>
      <c r="W428" s="1528">
        <v>0</v>
      </c>
      <c r="X428" s="1528">
        <v>0.13</v>
      </c>
      <c r="Y428" s="1528">
        <v>0.13</v>
      </c>
      <c r="Z428" s="1528">
        <v>0.15</v>
      </c>
      <c r="AA428" s="1528">
        <v>0.33</v>
      </c>
      <c r="AB428" s="1528">
        <v>0.22</v>
      </c>
      <c r="AC428" s="1528">
        <v>0.2</v>
      </c>
      <c r="AD428" s="1528">
        <v>0.16</v>
      </c>
      <c r="AE428" s="1528">
        <v>0.12</v>
      </c>
      <c r="AF428" s="1528">
        <v>0.11</v>
      </c>
      <c r="AG428" s="1528">
        <v>0.08</v>
      </c>
      <c r="AH428" s="1528">
        <v>0.14000000000000001</v>
      </c>
      <c r="AI428" s="1528">
        <v>0.14000000000000001</v>
      </c>
      <c r="AJ428" s="1528">
        <v>0.13</v>
      </c>
      <c r="AK428" s="1528">
        <v>0.14000000000000001</v>
      </c>
      <c r="AL428" s="1528">
        <v>0.11</v>
      </c>
      <c r="AM428" s="1528">
        <v>0.09</v>
      </c>
      <c r="AN428" s="1528"/>
      <c r="AO428" s="1528"/>
      <c r="AP428" s="1528"/>
      <c r="AQ428" s="1528"/>
      <c r="BG428" s="1537"/>
      <c r="BH428" s="1537">
        <f>+BH427/BG427-1</f>
        <v>8.7913511945612033E-2</v>
      </c>
      <c r="BI428" s="1537">
        <f t="shared" ref="BI428:BL428" si="2162">+BI427/BH427-1</f>
        <v>0.18998294918648706</v>
      </c>
      <c r="BJ428" s="1537">
        <f t="shared" si="2162"/>
        <v>0.14714254670989502</v>
      </c>
      <c r="BK428" s="1537">
        <f t="shared" si="2162"/>
        <v>0.13061811754501251</v>
      </c>
      <c r="BL428" s="1537">
        <f t="shared" si="2162"/>
        <v>0.1799103360131562</v>
      </c>
      <c r="BM428" s="1537">
        <f>+BM427/BL427-1</f>
        <v>0.17361241340893763</v>
      </c>
      <c r="BN428" s="1537">
        <f t="shared" ref="BN428" si="2163">+BN427/BM427-1</f>
        <v>0.11766693821974017</v>
      </c>
      <c r="BO428" s="1537">
        <f t="shared" ref="BO428" si="2164">+BO427/BN427-1</f>
        <v>0.11675925058974546</v>
      </c>
      <c r="BP428" s="1537"/>
      <c r="BS428" s="1537"/>
      <c r="BT428" s="1518"/>
      <c r="BU428" s="1518"/>
      <c r="BV428" s="1518"/>
      <c r="BW428" s="1518"/>
      <c r="BX428" s="1518"/>
      <c r="BY428" s="1518"/>
      <c r="BZ428" s="1518"/>
      <c r="CA428" s="1518"/>
      <c r="CB428" s="1518"/>
      <c r="CC428" s="1518"/>
    </row>
    <row r="429" spans="2:81" s="1527" customFormat="1" outlineLevel="1">
      <c r="B429" s="1539" t="s">
        <v>272</v>
      </c>
      <c r="H429" s="1528"/>
      <c r="I429" s="1528"/>
      <c r="J429" s="1528"/>
      <c r="K429" s="1528"/>
      <c r="L429" s="1528">
        <v>0.24</v>
      </c>
      <c r="M429" s="1528">
        <v>0.23</v>
      </c>
      <c r="N429" s="1528">
        <v>0.15</v>
      </c>
      <c r="O429" s="1528">
        <v>0.1</v>
      </c>
      <c r="P429" s="1528">
        <v>0.17</v>
      </c>
      <c r="Q429" s="1528">
        <v>0.11</v>
      </c>
      <c r="R429" s="1528">
        <v>0.17</v>
      </c>
      <c r="S429" s="1528">
        <v>0.2</v>
      </c>
      <c r="T429" s="1528">
        <v>0.19</v>
      </c>
      <c r="U429" s="1528">
        <v>0.23</v>
      </c>
      <c r="V429" s="1528">
        <v>0.18</v>
      </c>
      <c r="W429" s="1528">
        <v>0.03</v>
      </c>
      <c r="X429" s="1528">
        <v>0.12</v>
      </c>
      <c r="Y429" s="1528">
        <v>0.11</v>
      </c>
      <c r="Z429" s="1528">
        <v>0.12</v>
      </c>
      <c r="AA429" s="1528">
        <v>0.27</v>
      </c>
      <c r="AB429" s="1528">
        <v>0.2</v>
      </c>
      <c r="AC429" s="1528">
        <v>0.19</v>
      </c>
      <c r="AD429" s="1528">
        <v>0.19</v>
      </c>
      <c r="AE429" s="1528">
        <v>0.17</v>
      </c>
      <c r="AF429" s="1528">
        <v>0.18</v>
      </c>
      <c r="AG429" s="1528">
        <v>0.16</v>
      </c>
      <c r="AH429" s="1528">
        <v>0.18</v>
      </c>
      <c r="AI429" s="1528">
        <v>0.16</v>
      </c>
      <c r="AJ429" s="1528">
        <v>0.13</v>
      </c>
      <c r="AK429" s="1528">
        <v>0.12</v>
      </c>
      <c r="AL429" s="1528">
        <v>0.1</v>
      </c>
      <c r="AM429" s="1528">
        <v>0.1</v>
      </c>
      <c r="AN429" s="1528"/>
      <c r="AO429" s="1528"/>
      <c r="AP429" s="1528"/>
      <c r="AQ429" s="1528"/>
      <c r="BG429" s="1537"/>
      <c r="BH429" s="1537"/>
      <c r="BI429" s="1537">
        <f>+SUMPRODUCT(L429:O429,H427:K427)/BH427</f>
        <v>0.17479287124151674</v>
      </c>
      <c r="BJ429" s="1537">
        <f>+SUMPRODUCT(P429:S429,L427:O427)/BI427</f>
        <v>0.16301475976868798</v>
      </c>
      <c r="BK429" s="1537">
        <f>+SUMPRODUCT(T429:W429,P427:S427)/BJ427</f>
        <v>0.15371669382111022</v>
      </c>
      <c r="BL429" s="1537">
        <f>+SUMPRODUCT(X429:AA429,T427:W427)/BK427</f>
        <v>0.1540566199617176</v>
      </c>
      <c r="BM429" s="1537">
        <f>+SUMPRODUCT(AB429:AE429,X427:AA427)/BL427</f>
        <v>0.18684173347342686</v>
      </c>
      <c r="BN429" s="1537">
        <f>+SUMPRODUCT(AF429:AI429,AB427:AE427)/BM427</f>
        <v>0.16973095938621915</v>
      </c>
      <c r="BO429" s="1537">
        <f>+SUMPRODUCT(AJ429:AM429,AF427:AI427)/BN427</f>
        <v>0.11198439973004194</v>
      </c>
      <c r="BP429" s="1537"/>
      <c r="BS429" s="1537"/>
      <c r="BT429" s="1518"/>
      <c r="BU429" s="1518"/>
      <c r="BV429" s="1518"/>
      <c r="BW429" s="1518"/>
      <c r="BX429" s="1518"/>
      <c r="BY429" s="1518"/>
      <c r="BZ429" s="1518"/>
      <c r="CA429" s="1518"/>
      <c r="CB429" s="1518"/>
      <c r="CC429" s="1518"/>
    </row>
    <row r="430" spans="2:81" s="1527" customFormat="1" outlineLevel="1">
      <c r="B430" s="1539" t="s">
        <v>123</v>
      </c>
      <c r="C430" s="1525"/>
      <c r="D430" s="1525"/>
      <c r="E430" s="1525"/>
      <c r="F430" s="1525"/>
      <c r="G430" s="1525"/>
      <c r="H430" s="1525"/>
      <c r="I430" s="1525"/>
      <c r="J430" s="1525"/>
      <c r="K430" s="1525"/>
      <c r="L430" s="1525"/>
      <c r="M430" s="1525"/>
      <c r="N430" s="1525"/>
      <c r="O430" s="1525"/>
      <c r="P430" s="1525">
        <f>+P427/P418</f>
        <v>0.75674212148625397</v>
      </c>
      <c r="Q430" s="1525">
        <f t="shared" ref="Q430:BM430" si="2165">+Q427/Q418</f>
        <v>0.76390772961070086</v>
      </c>
      <c r="R430" s="1525">
        <f t="shared" si="2165"/>
        <v>0.77272146885625581</v>
      </c>
      <c r="S430" s="1525">
        <f t="shared" si="2165"/>
        <v>0.77914523973374827</v>
      </c>
      <c r="T430" s="1525">
        <f t="shared" si="2165"/>
        <v>0.77257090447999321</v>
      </c>
      <c r="U430" s="1525">
        <f t="shared" si="2165"/>
        <v>0.78557304529506067</v>
      </c>
      <c r="V430" s="1525">
        <f t="shared" si="2165"/>
        <v>0.78136929131031818</v>
      </c>
      <c r="W430" s="1525">
        <f t="shared" si="2165"/>
        <v>0.74362124220007797</v>
      </c>
      <c r="X430" s="1525">
        <f t="shared" si="2165"/>
        <v>0.78258819434358295</v>
      </c>
      <c r="Y430" s="1525">
        <f t="shared" si="2165"/>
        <v>0.78559781742508317</v>
      </c>
      <c r="Z430" s="1525">
        <f t="shared" si="2165"/>
        <v>0.78085254690754069</v>
      </c>
      <c r="AA430" s="1525">
        <f t="shared" si="2165"/>
        <v>0.7816873747854054</v>
      </c>
      <c r="AB430" s="1525">
        <f t="shared" si="2165"/>
        <v>0.78367096781002787</v>
      </c>
      <c r="AC430" s="1525">
        <f t="shared" si="2165"/>
        <v>0.78691969823783037</v>
      </c>
      <c r="AD430" s="1525">
        <f t="shared" si="2165"/>
        <v>0.77962278215487368</v>
      </c>
      <c r="AE430" s="1525">
        <f t="shared" si="2165"/>
        <v>0.77633114251476021</v>
      </c>
      <c r="AF430" s="1525">
        <f t="shared" si="2165"/>
        <v>0.79453669785809056</v>
      </c>
      <c r="AG430" s="1525">
        <f t="shared" si="2165"/>
        <v>0.79658748947226854</v>
      </c>
      <c r="AH430" s="1525">
        <f t="shared" si="2165"/>
        <v>0.80114118991124483</v>
      </c>
      <c r="AI430" s="1525">
        <f t="shared" ref="AI430:AJ430" si="2166">+AI427/AI418</f>
        <v>0.80319777710072293</v>
      </c>
      <c r="AJ430" s="1525">
        <f t="shared" si="2166"/>
        <v>0.79511148909013607</v>
      </c>
      <c r="AK430" s="1525">
        <f t="shared" ref="AK430:AL430" si="2167">+AK427/AK418</f>
        <v>0.80210305810424243</v>
      </c>
      <c r="AL430" s="1525">
        <f t="shared" si="2167"/>
        <v>0.79593233937448926</v>
      </c>
      <c r="AM430" s="1525">
        <f t="shared" ref="AM430" si="2168">+AM427/AM418</f>
        <v>0.78818263964339041</v>
      </c>
      <c r="AN430" s="1525"/>
      <c r="AO430" s="1525"/>
      <c r="AP430" s="1525"/>
      <c r="AQ430" s="1525"/>
      <c r="BB430" s="1525"/>
      <c r="BC430" s="1525"/>
      <c r="BD430" s="1525"/>
      <c r="BE430" s="1525"/>
      <c r="BG430" s="1525">
        <f t="shared" si="2165"/>
        <v>0.82580168198007309</v>
      </c>
      <c r="BH430" s="1525">
        <f t="shared" si="2165"/>
        <v>0.77574669033428489</v>
      </c>
      <c r="BI430" s="1525">
        <f t="shared" si="2165"/>
        <v>0.76882068139130988</v>
      </c>
      <c r="BJ430" s="1525">
        <f t="shared" si="2165"/>
        <v>0.76848945785895906</v>
      </c>
      <c r="BK430" s="1525">
        <f t="shared" si="2165"/>
        <v>0.77077915360094518</v>
      </c>
      <c r="BL430" s="1525">
        <f t="shared" si="2165"/>
        <v>0.78265185126326842</v>
      </c>
      <c r="BM430" s="1525">
        <f t="shared" si="2165"/>
        <v>0.78155642114136403</v>
      </c>
      <c r="BN430" s="1525">
        <f t="shared" ref="BN430:BO430" si="2169">+BN427/BN418</f>
        <v>0.79899683647076325</v>
      </c>
      <c r="BO430" s="1525">
        <f t="shared" si="2169"/>
        <v>0.79523848731224123</v>
      </c>
      <c r="BP430" s="1525"/>
      <c r="BT430" s="1518"/>
      <c r="BU430" s="1518"/>
      <c r="BV430" s="1518"/>
      <c r="BW430" s="1518"/>
      <c r="BX430" s="1518"/>
      <c r="BY430" s="1518"/>
      <c r="BZ430" s="1518"/>
      <c r="CA430" s="1518"/>
      <c r="CB430" s="1518"/>
      <c r="CC430" s="1518"/>
    </row>
    <row r="431" spans="2:81" s="1518" customFormat="1" outlineLevel="1">
      <c r="B431" s="1578"/>
      <c r="M431" s="1518" t="s">
        <v>401</v>
      </c>
    </row>
    <row r="432" spans="2:81" s="1518" customFormat="1" outlineLevel="1">
      <c r="B432" s="1518" t="s">
        <v>374</v>
      </c>
      <c r="D432" s="1518">
        <f t="shared" ref="D432:AH432" si="2170">+D427-D437</f>
        <v>5110.2877814694921</v>
      </c>
      <c r="E432" s="1518">
        <f t="shared" si="2170"/>
        <v>5312.0175906655322</v>
      </c>
      <c r="F432" s="1518">
        <f t="shared" si="2170"/>
        <v>5140.2594831778451</v>
      </c>
      <c r="G432" s="1518">
        <f t="shared" si="2170"/>
        <v>5736.5121263171732</v>
      </c>
      <c r="H432" s="1521">
        <f t="shared" si="2170"/>
        <v>2148.1028182280052</v>
      </c>
      <c r="I432" s="1521">
        <f t="shared" si="2170"/>
        <v>2573.7985602681092</v>
      </c>
      <c r="J432" s="1521">
        <f t="shared" si="2170"/>
        <v>3342.9764099393187</v>
      </c>
      <c r="K432" s="1521">
        <f t="shared" si="2170"/>
        <v>3717.6758518496572</v>
      </c>
      <c r="L432" s="1521">
        <f t="shared" si="2170"/>
        <v>3283.4685779504734</v>
      </c>
      <c r="M432" s="1521">
        <f t="shared" si="2170"/>
        <v>3594.7359110158923</v>
      </c>
      <c r="N432" s="1521">
        <f t="shared" si="2170"/>
        <v>3794.3872250898921</v>
      </c>
      <c r="O432" s="1521">
        <f t="shared" si="2170"/>
        <v>3977.1620240430702</v>
      </c>
      <c r="P432" s="1521">
        <f t="shared" si="2170"/>
        <v>3513.1272690421874</v>
      </c>
      <c r="Q432" s="1521">
        <f t="shared" si="2170"/>
        <v>3700.4680690680789</v>
      </c>
      <c r="R432" s="1521">
        <f t="shared" si="2170"/>
        <v>3935.2132840257718</v>
      </c>
      <c r="S432" s="1521">
        <f t="shared" si="2170"/>
        <v>4263.2174633387167</v>
      </c>
      <c r="T432" s="1521">
        <f t="shared" si="2170"/>
        <v>3775.767908924885</v>
      </c>
      <c r="U432" s="1521">
        <f t="shared" si="2170"/>
        <v>4108.186833659387</v>
      </c>
      <c r="V432" s="1521">
        <f t="shared" si="2170"/>
        <v>4387.619587857067</v>
      </c>
      <c r="W432" s="1521">
        <f t="shared" si="2170"/>
        <v>4767.0368383353161</v>
      </c>
      <c r="X432" s="1521">
        <f t="shared" si="2170"/>
        <v>3934.7039661185991</v>
      </c>
      <c r="Y432" s="1521">
        <f t="shared" si="2170"/>
        <v>4309.0876560771358</v>
      </c>
      <c r="Z432" s="1521">
        <f t="shared" si="2170"/>
        <v>4553.1137156909917</v>
      </c>
      <c r="AA432" s="1521">
        <f t="shared" si="2170"/>
        <v>5048.7692229723907</v>
      </c>
      <c r="AB432" s="1521">
        <f t="shared" si="2170"/>
        <v>4204.6276848950092</v>
      </c>
      <c r="AC432" s="1521">
        <f t="shared" si="2170"/>
        <v>4852.3523111180639</v>
      </c>
      <c r="AD432" s="1521">
        <f t="shared" si="2170"/>
        <v>5125.4641074433002</v>
      </c>
      <c r="AE432" s="1521">
        <f t="shared" si="2170"/>
        <v>5653.0969657450187</v>
      </c>
      <c r="AF432" s="1521">
        <f t="shared" si="2170"/>
        <v>4759.0467302334619</v>
      </c>
      <c r="AG432" s="1521">
        <f t="shared" si="2170"/>
        <v>5153.3164960075101</v>
      </c>
      <c r="AH432" s="1521">
        <f t="shared" si="2170"/>
        <v>5393.7890824853639</v>
      </c>
      <c r="AI432" s="1521">
        <f t="shared" ref="AI432:AJ432" si="2171">+AI427-AI437</f>
        <v>5639.2905409493233</v>
      </c>
      <c r="AJ432" s="1521">
        <f t="shared" si="2171"/>
        <v>4812.7128051638101</v>
      </c>
      <c r="AK432" s="1521">
        <f t="shared" ref="AK432:AL432" si="2172">+AK427-AK437</f>
        <v>5155.6817654485621</v>
      </c>
      <c r="AL432" s="1521">
        <f t="shared" si="2172"/>
        <v>5433.3958815587557</v>
      </c>
      <c r="AM432" s="1521">
        <f t="shared" ref="AM432" si="2173">+AM427-AM437</f>
        <v>5870.5066896347635</v>
      </c>
      <c r="AN432" s="1521"/>
      <c r="AO432" s="1521"/>
      <c r="AP432" s="1521"/>
      <c r="AQ432" s="1521"/>
      <c r="AS432" s="1518">
        <f t="shared" ref="AS432:BM432" si="2174">+AS427-AS437</f>
        <v>0</v>
      </c>
      <c r="AT432" s="1518">
        <f t="shared" si="2174"/>
        <v>0</v>
      </c>
      <c r="AU432" s="1518">
        <f t="shared" si="2174"/>
        <v>0</v>
      </c>
      <c r="AV432" s="1518">
        <f t="shared" si="2174"/>
        <v>0</v>
      </c>
      <c r="AW432" s="1518">
        <f t="shared" si="2174"/>
        <v>0</v>
      </c>
      <c r="BB432" s="1521"/>
      <c r="BC432" s="1521"/>
      <c r="BD432" s="1521"/>
      <c r="BE432" s="1521"/>
      <c r="BG432" s="1521">
        <f t="shared" si="2174"/>
        <v>9386.0769816300453</v>
      </c>
      <c r="BH432" s="1521">
        <f t="shared" si="2174"/>
        <v>11782.553640285088</v>
      </c>
      <c r="BI432" s="1521">
        <f t="shared" si="2174"/>
        <v>14649.753738099331</v>
      </c>
      <c r="BJ432" s="1521">
        <f t="shared" si="2174"/>
        <v>15412.026085474754</v>
      </c>
      <c r="BK432" s="1521">
        <f t="shared" si="2174"/>
        <v>17038.611168776653</v>
      </c>
      <c r="BL432" s="1521">
        <f t="shared" si="2174"/>
        <v>17845.674560859115</v>
      </c>
      <c r="BM432" s="1521">
        <f t="shared" si="2174"/>
        <v>19835.54106920139</v>
      </c>
      <c r="BN432" s="1521">
        <f t="shared" ref="BN432:BO432" si="2175">+BN427-BN437</f>
        <v>20945.442849675659</v>
      </c>
      <c r="BO432" s="1521">
        <f t="shared" si="2175"/>
        <v>21272.297141805888</v>
      </c>
      <c r="BP432" s="1521"/>
    </row>
    <row r="433" spans="2:81" s="1518" customFormat="1" outlineLevel="1">
      <c r="B433" s="1539" t="s">
        <v>113</v>
      </c>
      <c r="L433" s="1525">
        <f>+IFERROR(L432/H432-1,"n/a ")</f>
        <v>0.52854348967292197</v>
      </c>
      <c r="M433" s="1525">
        <f t="shared" ref="M433" si="2176">+IFERROR(M432/I432-1,"n/a ")</f>
        <v>0.39666560021753727</v>
      </c>
      <c r="N433" s="1525">
        <f t="shared" ref="N433" si="2177">+IFERROR(N432/J432-1,"n/a ")</f>
        <v>0.13503260561709052</v>
      </c>
      <c r="O433" s="1525">
        <f t="shared" ref="O433" si="2178">+IFERROR(O432/K432-1,"n/a ")</f>
        <v>6.9797955102597342E-2</v>
      </c>
      <c r="P433" s="1525">
        <f t="shared" ref="P433" si="2179">+IFERROR(P432/L432-1,"n/a ")</f>
        <v>6.9943928391440924E-2</v>
      </c>
      <c r="Q433" s="1525">
        <f t="shared" ref="Q433" si="2180">+IFERROR(Q432/M432-1,"n/a ")</f>
        <v>2.9413053050204807E-2</v>
      </c>
      <c r="R433" s="1525">
        <f t="shared" ref="R433" si="2181">+IFERROR(R432/N432-1,"n/a ")</f>
        <v>3.711430873598931E-2</v>
      </c>
      <c r="S433" s="1525">
        <f t="shared" ref="S433" si="2182">+IFERROR(S432/O432-1,"n/a ")</f>
        <v>7.1924512395109996E-2</v>
      </c>
      <c r="T433" s="1525">
        <f t="shared" ref="T433" si="2183">+IFERROR(T432/P432-1,"n/a ")</f>
        <v>7.4759785162666015E-2</v>
      </c>
      <c r="U433" s="1525">
        <f t="shared" ref="U433" si="2184">+IFERROR(U432/Q432-1,"n/a ")</f>
        <v>0.11018032232176167</v>
      </c>
      <c r="V433" s="1525">
        <f t="shared" ref="V433" si="2185">+IFERROR(V432/R432-1,"n/a ")</f>
        <v>0.11496360455677213</v>
      </c>
      <c r="W433" s="1525">
        <f t="shared" ref="W433" si="2186">+IFERROR(W432/S432-1,"n/a ")</f>
        <v>0.11817820210420038</v>
      </c>
      <c r="X433" s="1525">
        <f t="shared" ref="X433" si="2187">+IFERROR(X432/T432-1,"n/a ")</f>
        <v>4.2093704122552866E-2</v>
      </c>
      <c r="Y433" s="1525">
        <f t="shared" ref="Y433" si="2188">+IFERROR(Y432/U432-1,"n/a ")</f>
        <v>4.8902552525537324E-2</v>
      </c>
      <c r="Z433" s="1525">
        <f t="shared" ref="Z433" si="2189">+IFERROR(Z432/V432-1,"n/a ")</f>
        <v>3.7718431263261021E-2</v>
      </c>
      <c r="AA433" s="1525">
        <f t="shared" ref="AA433" si="2190">+IFERROR(AA432/W432-1,"n/a ")</f>
        <v>5.9100106458471968E-2</v>
      </c>
      <c r="AB433" s="1525">
        <f t="shared" ref="AB433" si="2191">+IFERROR(AB432/X432-1,"n/a ")</f>
        <v>6.8600769232120218E-2</v>
      </c>
      <c r="AC433" s="1525">
        <f t="shared" ref="AC433" si="2192">+IFERROR(AC432/Y432-1,"n/a ")</f>
        <v>0.12607417124011344</v>
      </c>
      <c r="AD433" s="1525">
        <f t="shared" ref="AD433" si="2193">+IFERROR(AD432/Z432-1,"n/a ")</f>
        <v>0.12570527061071823</v>
      </c>
      <c r="AE433" s="1525">
        <f t="shared" ref="AE433" si="2194">+IFERROR(AE432/AA432-1,"n/a ")</f>
        <v>0.11969803254679934</v>
      </c>
      <c r="AF433" s="1525">
        <f t="shared" ref="AF433" si="2195">+IFERROR(AF432/AB432-1,"n/a ")</f>
        <v>0.13185924816368044</v>
      </c>
      <c r="AG433" s="1525">
        <f t="shared" ref="AG433" si="2196">+IFERROR(AG432/AC432-1,"n/a ")</f>
        <v>6.2024388501192629E-2</v>
      </c>
      <c r="AH433" s="1525">
        <f t="shared" ref="AH433" si="2197">+IFERROR(AH432/AD432-1,"n/a ")</f>
        <v>5.2351351880973507E-2</v>
      </c>
      <c r="AI433" s="1525">
        <f t="shared" ref="AI433:AJ433" si="2198">+IFERROR(AI432/AE432-1,"n/a ")</f>
        <v>-2.44227630966809E-3</v>
      </c>
      <c r="AJ433" s="1525">
        <f t="shared" si="2198"/>
        <v>1.1276643826465538E-2</v>
      </c>
      <c r="AK433" s="1525">
        <f t="shared" ref="AK433" si="2199">+IFERROR(AK432/AG432-1,"n/a ")</f>
        <v>4.5898004574040918E-4</v>
      </c>
      <c r="AL433" s="1525">
        <f t="shared" ref="AL433" si="2200">+IFERROR(AL432/AH432-1,"n/a ")</f>
        <v>7.3430381625418928E-3</v>
      </c>
      <c r="AM433" s="1525">
        <f t="shared" ref="AM433" si="2201">+IFERROR(AM432/AI432-1,"n/a ")</f>
        <v>4.1000928575408491E-2</v>
      </c>
      <c r="AN433" s="1525"/>
      <c r="AO433" s="1525"/>
      <c r="AP433" s="1525"/>
      <c r="AQ433" s="1525"/>
      <c r="BC433" s="1525"/>
      <c r="BD433" s="1525"/>
      <c r="BE433" s="1525"/>
      <c r="BG433" s="1525"/>
      <c r="BH433" s="1525"/>
      <c r="BI433" s="1525">
        <f>+IFERROR(BI432/BH432-1,"n/a ")</f>
        <v>0.24334284276128004</v>
      </c>
      <c r="BJ433" s="1525">
        <f>+IFERROR(BJ432/BI432-1,"n/a ")</f>
        <v>5.2033116802024937E-2</v>
      </c>
      <c r="BK433" s="1525">
        <f>+IFERROR(BK432/BJ432-1,"n/a ")</f>
        <v>0.10553999028297079</v>
      </c>
      <c r="BL433" s="1525">
        <f t="shared" ref="BL433" si="2202">+IFERROR(BL432/BK432-1,"n/a ")</f>
        <v>4.736673570915273E-2</v>
      </c>
      <c r="BM433" s="1525">
        <f t="shared" ref="BM433" si="2203">+IFERROR(BM432/BL432-1,"n/a ")</f>
        <v>0.11150413516486757</v>
      </c>
      <c r="BN433" s="1525">
        <f t="shared" ref="BN433" si="2204">+IFERROR(BN432/BM432-1,"n/a ")</f>
        <v>5.5955205688722698E-2</v>
      </c>
      <c r="BO433" s="1525">
        <f t="shared" ref="BO433" si="2205">+IFERROR(BO432/BN432-1,"n/a ")</f>
        <v>1.5605031341473508E-2</v>
      </c>
      <c r="BP433" s="1525"/>
    </row>
    <row r="434" spans="2:81" s="1518" customFormat="1" outlineLevel="1">
      <c r="B434" s="1539" t="s">
        <v>272</v>
      </c>
      <c r="L434" s="1525">
        <f t="shared" ref="L434:O434" si="2206">(H427*(1+L429)-H437*(1+L439))/H432-1</f>
        <v>0.51047122468712791</v>
      </c>
      <c r="M434" s="1525">
        <f t="shared" si="2206"/>
        <v>0.38420398710560177</v>
      </c>
      <c r="N434" s="1525">
        <f t="shared" si="2206"/>
        <v>0.11960792194108105</v>
      </c>
      <c r="O434" s="1525">
        <f t="shared" si="2206"/>
        <v>7.6670908530971582E-2</v>
      </c>
      <c r="P434" s="1525">
        <f t="shared" ref="P434:AH434" si="2207">(L427*(1+P429)-L437*(1+P439))/L432-1</f>
        <v>7.8450471547489631E-2</v>
      </c>
      <c r="Q434" s="1525">
        <f t="shared" si="2207"/>
        <v>3.5735851921162576E-2</v>
      </c>
      <c r="R434" s="1525">
        <f t="shared" si="2207"/>
        <v>6.3276575115391198E-2</v>
      </c>
      <c r="S434" s="1525">
        <f t="shared" si="2207"/>
        <v>0.1041376746295033</v>
      </c>
      <c r="T434" s="1525">
        <f t="shared" si="2207"/>
        <v>0.10162289999113816</v>
      </c>
      <c r="U434" s="1525">
        <f t="shared" si="2207"/>
        <v>0.12150021226879182</v>
      </c>
      <c r="V434" s="1525">
        <f t="shared" si="2207"/>
        <v>0.12944365511074096</v>
      </c>
      <c r="W434" s="1525">
        <f t="shared" si="2207"/>
        <v>0.11151589802501949</v>
      </c>
      <c r="X434" s="1525">
        <f t="shared" si="2207"/>
        <v>3.1345186443063389E-2</v>
      </c>
      <c r="Y434" s="1525">
        <f t="shared" si="2207"/>
        <v>3.4316976664119814E-2</v>
      </c>
      <c r="Z434" s="1525">
        <f t="shared" si="2207"/>
        <v>3.2699815394187981E-2</v>
      </c>
      <c r="AA434" s="1525">
        <f t="shared" si="2207"/>
        <v>5.3362278282575115E-2</v>
      </c>
      <c r="AB434" s="1525">
        <f t="shared" si="2207"/>
        <v>6.9484463272955432E-2</v>
      </c>
      <c r="AC434" s="1525">
        <f t="shared" si="2207"/>
        <v>0.11827948172181069</v>
      </c>
      <c r="AD434" s="1525">
        <f t="shared" si="2207"/>
        <v>0.13703404855255163</v>
      </c>
      <c r="AE434" s="1525">
        <f t="shared" si="2207"/>
        <v>0.1445086387758816</v>
      </c>
      <c r="AF434" s="1525">
        <f t="shared" si="2207"/>
        <v>0.16196986613765008</v>
      </c>
      <c r="AG434" s="1525">
        <f t="shared" si="2207"/>
        <v>9.4492802744003734E-2</v>
      </c>
      <c r="AH434" s="1525">
        <f t="shared" si="2207"/>
        <v>5.3853374748824345E-2</v>
      </c>
      <c r="AI434" s="1525">
        <f t="shared" ref="AI434:AJ434" si="2208">(AE427*(1+AI429)-AE437*(1+AI439))/AE432-1</f>
        <v>-6.3548327047073805E-3</v>
      </c>
      <c r="AJ434" s="1525">
        <f t="shared" si="2208"/>
        <v>2.5067220746642471E-2</v>
      </c>
      <c r="AK434" s="1525">
        <f t="shared" ref="AK434" si="2209">(AG427*(1+AK429)-AG437*(1+AK439))/AG432-1</f>
        <v>-3.2597300189327605E-3</v>
      </c>
      <c r="AL434" s="1525">
        <f t="shared" ref="AL434" si="2210">(AH427*(1+AL429)-AH437*(1+AL439))/AH432-1</f>
        <v>-2.656961837457894E-3</v>
      </c>
      <c r="AM434" s="1525">
        <f t="shared" ref="AM434" si="2211">(AI427*(1+AM429)-AI437*(1+AM439))/AI432-1</f>
        <v>5.1000928575408944E-2</v>
      </c>
      <c r="AN434" s="1525"/>
      <c r="AO434" s="1525"/>
      <c r="AP434" s="1525"/>
      <c r="AQ434" s="1525"/>
      <c r="BC434" s="1525"/>
      <c r="BD434" s="1525"/>
      <c r="BE434" s="1525"/>
      <c r="BG434" s="1525"/>
      <c r="BH434" s="1525"/>
      <c r="BI434" s="1525">
        <f>(BH427*(1+BI429)-BH437*(1+BI439))/BH432-1</f>
        <v>0.23511816508439165</v>
      </c>
      <c r="BJ434" s="1525">
        <f>(BI427*(1+BJ429)-BI437*(1+BJ439))/BI432-1</f>
        <v>7.1012718721113144E-2</v>
      </c>
      <c r="BK434" s="1525">
        <f>(BJ427*(1+BK429)-BJ437*(1+BK439))/BJ432-1</f>
        <v>0.11623564235443573</v>
      </c>
      <c r="BL434" s="1525">
        <f>(BK427*(1+BL429)-BK437*(1+BL439))/BK432-1</f>
        <v>3.8570455723011099E-2</v>
      </c>
      <c r="BM434" s="1525">
        <f>(BL427*(1+BM429)-BL437*(1+BM439))/BL432-1</f>
        <v>0.11972648130943608</v>
      </c>
      <c r="BN434" s="1525">
        <f t="shared" ref="BN434" si="2212">(BM427*(1+BN429)-BM437*(1+BN439))/BM432-1</f>
        <v>-0.31981998349935314</v>
      </c>
      <c r="BO434" s="1525">
        <f t="shared" ref="BO434" si="2213">(BN427*(1+BO429)-BN437*(1+BO439))/BN432-1</f>
        <v>-0.56070183244423233</v>
      </c>
      <c r="BP434" s="1525"/>
    </row>
    <row r="435" spans="2:81" s="1518" customFormat="1" outlineLevel="1">
      <c r="B435" s="1539" t="s">
        <v>123</v>
      </c>
      <c r="C435" s="1525"/>
      <c r="D435" s="1525" t="str">
        <f t="shared" ref="D435:AH435" si="2214">+IFERROR(D432/D418,"n/a ")</f>
        <v xml:space="preserve">n/a </v>
      </c>
      <c r="E435" s="1525" t="str">
        <f t="shared" si="2214"/>
        <v xml:space="preserve">n/a </v>
      </c>
      <c r="F435" s="1525" t="str">
        <f t="shared" si="2214"/>
        <v xml:space="preserve">n/a </v>
      </c>
      <c r="G435" s="1525" t="str">
        <f t="shared" si="2214"/>
        <v xml:space="preserve">n/a </v>
      </c>
      <c r="H435" s="1525">
        <f t="shared" si="2214"/>
        <v>0.33376364484586779</v>
      </c>
      <c r="I435" s="1525">
        <f t="shared" si="2214"/>
        <v>0.35851769888119644</v>
      </c>
      <c r="J435" s="1525">
        <f t="shared" si="2214"/>
        <v>0.43375845464374191</v>
      </c>
      <c r="K435" s="1525">
        <f t="shared" si="2214"/>
        <v>0.43491762422200014</v>
      </c>
      <c r="L435" s="1525">
        <f t="shared" si="2214"/>
        <v>0.39857593808575786</v>
      </c>
      <c r="M435" s="1525">
        <f t="shared" si="2214"/>
        <v>0.40151188551501088</v>
      </c>
      <c r="N435" s="1525">
        <f t="shared" si="2214"/>
        <v>0.4213177020974786</v>
      </c>
      <c r="O435" s="1525">
        <f t="shared" si="2214"/>
        <v>0.41137381299576647</v>
      </c>
      <c r="P435" s="1525">
        <f t="shared" si="2214"/>
        <v>0.35954633804545977</v>
      </c>
      <c r="Q435" s="1525">
        <f t="shared" si="2214"/>
        <v>0.36638297713545337</v>
      </c>
      <c r="R435" s="1525">
        <f t="shared" si="2214"/>
        <v>0.38422312868831981</v>
      </c>
      <c r="S435" s="1525">
        <f t="shared" si="2214"/>
        <v>0.38591630880227362</v>
      </c>
      <c r="T435" s="1525">
        <f t="shared" si="2214"/>
        <v>0.3408655691003778</v>
      </c>
      <c r="U435" s="1525">
        <f t="shared" si="2214"/>
        <v>0.34738599980207907</v>
      </c>
      <c r="V435" s="1525">
        <f t="shared" si="2214"/>
        <v>0.37363702527949133</v>
      </c>
      <c r="W435" s="1525">
        <f t="shared" si="2214"/>
        <v>0.40563621837434616</v>
      </c>
      <c r="X435" s="1525">
        <f t="shared" si="2214"/>
        <v>0.31940124735113234</v>
      </c>
      <c r="Y435" s="1525">
        <f t="shared" si="2214"/>
        <v>0.3227055834701667</v>
      </c>
      <c r="Z435" s="1525">
        <f t="shared" si="2214"/>
        <v>0.33597356225582881</v>
      </c>
      <c r="AA435" s="1525">
        <f t="shared" si="2214"/>
        <v>0.34366409522649177</v>
      </c>
      <c r="AB435" s="1525">
        <f t="shared" si="2214"/>
        <v>0.27958160016590261</v>
      </c>
      <c r="AC435" s="1525">
        <f t="shared" si="2214"/>
        <v>0.3044899793623283</v>
      </c>
      <c r="AD435" s="1525">
        <f t="shared" si="2214"/>
        <v>0.32462246547870671</v>
      </c>
      <c r="AE435" s="1525">
        <f t="shared" si="2214"/>
        <v>0.34054800998463969</v>
      </c>
      <c r="AF435" s="1525">
        <f t="shared" si="2214"/>
        <v>0.28904019011439186</v>
      </c>
      <c r="AG435" s="1525">
        <f t="shared" si="2214"/>
        <v>0.30310060557625634</v>
      </c>
      <c r="AH435" s="1525">
        <f t="shared" si="2214"/>
        <v>0.30793497844744028</v>
      </c>
      <c r="AI435" s="1525">
        <f t="shared" ref="AI435:AJ435" si="2215">+IFERROR(AI432/AI418,"n/a ")</f>
        <v>0.30830958071998926</v>
      </c>
      <c r="AJ435" s="1525">
        <f t="shared" si="2215"/>
        <v>0.25885933762714125</v>
      </c>
      <c r="AK435" s="1525">
        <f t="shared" ref="AK435:AL435" si="2216">+IFERROR(AK432/AK418,"n/a ")</f>
        <v>0.26784153802527727</v>
      </c>
      <c r="AL435" s="1525">
        <f t="shared" si="2216"/>
        <v>0.2776390332937535</v>
      </c>
      <c r="AM435" s="1525">
        <f t="shared" ref="AM435" si="2217">+IFERROR(AM432/AM418,"n/a ")</f>
        <v>0.28894554755302276</v>
      </c>
      <c r="AN435" s="1525"/>
      <c r="AO435" s="1525"/>
      <c r="AP435" s="1525"/>
      <c r="AQ435" s="1525"/>
      <c r="AS435" s="1518" t="str">
        <f t="shared" ref="AS435:BM435" si="2218">+IFERROR(AS432/AS418,"n/a ")</f>
        <v xml:space="preserve">n/a </v>
      </c>
      <c r="AT435" s="1518" t="str">
        <f t="shared" si="2218"/>
        <v xml:space="preserve">n/a </v>
      </c>
      <c r="AU435" s="1518" t="str">
        <f t="shared" si="2218"/>
        <v xml:space="preserve">n/a </v>
      </c>
      <c r="AV435" s="1518" t="str">
        <f t="shared" si="2218"/>
        <v xml:space="preserve">n/a </v>
      </c>
      <c r="AW435" s="1518" t="str">
        <f t="shared" si="2218"/>
        <v xml:space="preserve">n/a </v>
      </c>
      <c r="BB435" s="1525"/>
      <c r="BC435" s="1525"/>
      <c r="BD435" s="1525"/>
      <c r="BE435" s="1525"/>
      <c r="BG435" s="1525">
        <f t="shared" si="2218"/>
        <v>0.36391427503218227</v>
      </c>
      <c r="BH435" s="1525">
        <f t="shared" si="2218"/>
        <v>0.39446111952745527</v>
      </c>
      <c r="BI435" s="1525">
        <f t="shared" si="2218"/>
        <v>0.40846936395090844</v>
      </c>
      <c r="BJ435" s="1525">
        <f t="shared" si="2218"/>
        <v>0.37444183881133997</v>
      </c>
      <c r="BK435" s="1525">
        <f t="shared" si="2218"/>
        <v>0.36722727636485741</v>
      </c>
      <c r="BL435" s="1525">
        <f t="shared" si="2218"/>
        <v>0.33099646778928155</v>
      </c>
      <c r="BM435" s="1525">
        <f t="shared" si="2218"/>
        <v>0.31304117589169544</v>
      </c>
      <c r="BN435" s="1525">
        <f t="shared" ref="BN435:BO435" si="2219">+IFERROR(BN432/BN418,"n/a ")</f>
        <v>0.30235648078176025</v>
      </c>
      <c r="BO435" s="1525">
        <f t="shared" si="2219"/>
        <v>0.27367611596600822</v>
      </c>
      <c r="BP435" s="1525"/>
    </row>
    <row r="436" spans="2:81" s="1518" customFormat="1" outlineLevel="1">
      <c r="B436" s="1539"/>
      <c r="H436" s="1525"/>
      <c r="I436" s="1525"/>
      <c r="J436" s="1525"/>
      <c r="K436" s="1525"/>
      <c r="L436" s="1525"/>
      <c r="M436" s="1525"/>
      <c r="N436" s="1525"/>
      <c r="O436" s="1525"/>
      <c r="P436" s="1525"/>
      <c r="Q436" s="1525"/>
      <c r="R436" s="1525"/>
      <c r="S436" s="1525"/>
      <c r="T436" s="1525"/>
      <c r="U436" s="1525"/>
      <c r="V436" s="1525"/>
      <c r="W436" s="1525"/>
      <c r="X436" s="1525"/>
      <c r="Y436" s="1525"/>
      <c r="Z436" s="1525"/>
      <c r="AA436" s="1525"/>
      <c r="AB436" s="1525"/>
      <c r="AC436" s="1525"/>
      <c r="AD436" s="1525"/>
      <c r="AE436" s="1525"/>
      <c r="AF436" s="1525"/>
      <c r="AG436" s="1525"/>
      <c r="AH436" s="1525"/>
      <c r="AI436" s="1525"/>
      <c r="AJ436" s="1525"/>
      <c r="AK436" s="1525"/>
      <c r="AL436" s="1525"/>
      <c r="AM436" s="1525"/>
      <c r="AN436" s="1525"/>
      <c r="AO436" s="1525"/>
      <c r="AP436" s="1525"/>
      <c r="AQ436" s="1525"/>
      <c r="BB436" s="1525"/>
      <c r="BC436" s="1525"/>
      <c r="BD436" s="1525"/>
      <c r="BE436" s="1525"/>
      <c r="BG436" s="1525"/>
      <c r="BH436" s="1525"/>
      <c r="BI436" s="1525"/>
      <c r="BJ436" s="1525"/>
      <c r="BK436" s="1525"/>
      <c r="BL436" s="1525"/>
      <c r="BM436" s="1525"/>
      <c r="BN436" s="1525"/>
      <c r="BO436" s="1525"/>
      <c r="BP436" s="1525"/>
    </row>
    <row r="437" spans="2:81" s="1518" customFormat="1" outlineLevel="1">
      <c r="B437" s="1518" t="s">
        <v>352</v>
      </c>
      <c r="H437" s="1521">
        <f t="shared" ref="H437:AQ437" si="2220">+H255</f>
        <v>2905</v>
      </c>
      <c r="I437" s="1521">
        <f t="shared" si="2220"/>
        <v>3053</v>
      </c>
      <c r="J437" s="1521">
        <f t="shared" si="2220"/>
        <v>2540</v>
      </c>
      <c r="K437" s="1521">
        <f t="shared" si="2220"/>
        <v>2891</v>
      </c>
      <c r="L437" s="1521">
        <f t="shared" si="2220"/>
        <v>3006</v>
      </c>
      <c r="M437" s="1521">
        <f t="shared" si="2220"/>
        <v>3337</v>
      </c>
      <c r="N437" s="1521">
        <f t="shared" si="2220"/>
        <v>3115</v>
      </c>
      <c r="O437" s="1521">
        <f t="shared" si="2220"/>
        <v>3466</v>
      </c>
      <c r="P437" s="1521">
        <f t="shared" si="2220"/>
        <v>3881</v>
      </c>
      <c r="Q437" s="1521">
        <f t="shared" si="2220"/>
        <v>4015</v>
      </c>
      <c r="R437" s="1521">
        <f t="shared" si="2220"/>
        <v>3979</v>
      </c>
      <c r="S437" s="1521">
        <f t="shared" si="2220"/>
        <v>4344</v>
      </c>
      <c r="T437" s="1521">
        <f t="shared" si="2220"/>
        <v>4782</v>
      </c>
      <c r="U437" s="1521">
        <f t="shared" si="2220"/>
        <v>5182</v>
      </c>
      <c r="V437" s="1521">
        <f t="shared" si="2220"/>
        <v>4788</v>
      </c>
      <c r="W437" s="1521">
        <f t="shared" si="2220"/>
        <v>3972</v>
      </c>
      <c r="X437" s="1521">
        <f t="shared" si="2220"/>
        <v>5706</v>
      </c>
      <c r="Y437" s="1521">
        <f t="shared" si="2220"/>
        <v>6181</v>
      </c>
      <c r="Z437" s="1521">
        <f t="shared" si="2220"/>
        <v>6029</v>
      </c>
      <c r="AA437" s="1521">
        <f t="shared" si="2220"/>
        <v>6435</v>
      </c>
      <c r="AB437" s="1521">
        <f t="shared" si="2220"/>
        <v>7581</v>
      </c>
      <c r="AC437" s="1521">
        <f t="shared" si="2220"/>
        <v>7688</v>
      </c>
      <c r="AD437" s="1521">
        <f t="shared" si="2220"/>
        <v>7184</v>
      </c>
      <c r="AE437" s="1521">
        <f t="shared" si="2220"/>
        <v>7234</v>
      </c>
      <c r="AF437" s="1521">
        <f t="shared" si="2220"/>
        <v>8323</v>
      </c>
      <c r="AG437" s="1521">
        <f t="shared" si="2220"/>
        <v>8390.2639999999992</v>
      </c>
      <c r="AH437" s="1521">
        <f t="shared" si="2220"/>
        <v>8639</v>
      </c>
      <c r="AI437" s="1521">
        <f t="shared" si="2220"/>
        <v>9052</v>
      </c>
      <c r="AJ437" s="1521">
        <f t="shared" si="2220"/>
        <v>9970</v>
      </c>
      <c r="AK437" s="1521">
        <f t="shared" si="2220"/>
        <v>10284</v>
      </c>
      <c r="AL437" s="1521">
        <f t="shared" si="2220"/>
        <v>10143</v>
      </c>
      <c r="AM437" s="1521">
        <f t="shared" si="2220"/>
        <v>10143</v>
      </c>
      <c r="AN437" s="1521">
        <f t="shared" si="2220"/>
        <v>11079.137885903498</v>
      </c>
      <c r="AO437" s="1521">
        <f t="shared" si="2220"/>
        <v>11536.950599161244</v>
      </c>
      <c r="AP437" s="1521">
        <f t="shared" si="2220"/>
        <v>11385.453541351882</v>
      </c>
      <c r="AQ437" s="1521">
        <f t="shared" si="2220"/>
        <v>11385.827926453589</v>
      </c>
      <c r="BB437" s="1521">
        <f>+BB255</f>
        <v>14173</v>
      </c>
      <c r="BC437" s="1521">
        <f>+BC255</f>
        <v>13274</v>
      </c>
      <c r="BD437" s="1521">
        <f>+BD255</f>
        <v>12418</v>
      </c>
      <c r="BE437" s="1521">
        <f>+BE255</f>
        <v>11913</v>
      </c>
      <c r="BG437" s="1532">
        <f>+BE437</f>
        <v>11913</v>
      </c>
      <c r="BH437" s="1521">
        <f t="shared" ref="BH437:BM437" si="2221">+BH255</f>
        <v>11389</v>
      </c>
      <c r="BI437" s="1521">
        <f t="shared" si="2221"/>
        <v>12924</v>
      </c>
      <c r="BJ437" s="1521">
        <f t="shared" si="2221"/>
        <v>16219</v>
      </c>
      <c r="BK437" s="1521">
        <f t="shared" si="2221"/>
        <v>18724</v>
      </c>
      <c r="BL437" s="1521">
        <f t="shared" si="2221"/>
        <v>24351</v>
      </c>
      <c r="BM437" s="1521">
        <f t="shared" si="2221"/>
        <v>29687</v>
      </c>
      <c r="BN437" s="1521">
        <f>SUM(AF437:AI437)</f>
        <v>34404.263999999996</v>
      </c>
      <c r="BO437" s="1521">
        <f>SUM(AJ437:AM437)</f>
        <v>40540</v>
      </c>
      <c r="BP437" s="1521">
        <f>+SUM(AN437:AQ437)</f>
        <v>45387.369952870213</v>
      </c>
    </row>
    <row r="438" spans="2:81" s="1518" customFormat="1" outlineLevel="1">
      <c r="B438" s="1539" t="s">
        <v>113</v>
      </c>
      <c r="L438" s="1525">
        <f>+IFERROR(L437/H437-1,"n/a ")</f>
        <v>3.4767641996557686E-2</v>
      </c>
      <c r="M438" s="1525">
        <f t="shared" ref="M438" si="2222">+IFERROR(M437/I437-1,"n/a ")</f>
        <v>9.3023255813953432E-2</v>
      </c>
      <c r="N438" s="1525">
        <f t="shared" ref="N438" si="2223">+IFERROR(N437/J437-1,"n/a ")</f>
        <v>0.22637795275590555</v>
      </c>
      <c r="O438" s="1525">
        <f t="shared" ref="O438" si="2224">+IFERROR(O437/K437-1,"n/a ")</f>
        <v>0.19889311656866138</v>
      </c>
      <c r="P438" s="1525">
        <f t="shared" ref="P438" si="2225">+IFERROR(P437/L437-1,"n/a ")</f>
        <v>0.29108449767132405</v>
      </c>
      <c r="Q438" s="1525">
        <f t="shared" ref="Q438" si="2226">+IFERROR(Q437/M437-1,"n/a ")</f>
        <v>0.20317650584357216</v>
      </c>
      <c r="R438" s="1525">
        <f t="shared" ref="R438" si="2227">+IFERROR(R437/N437-1,"n/a ")</f>
        <v>0.27736757624398067</v>
      </c>
      <c r="S438" s="1525">
        <f t="shared" ref="S438" si="2228">+IFERROR(S437/O437-1,"n/a ")</f>
        <v>0.25331794575879973</v>
      </c>
      <c r="T438" s="1525">
        <f t="shared" ref="T438" si="2229">+IFERROR(T437/P437-1,"n/a ")</f>
        <v>0.23215666065447049</v>
      </c>
      <c r="U438" s="1525">
        <f t="shared" ref="U438" si="2230">+IFERROR(U437/Q437-1,"n/a ")</f>
        <v>0.29066002490660026</v>
      </c>
      <c r="V438" s="1525">
        <f t="shared" ref="V438" si="2231">+IFERROR(V437/R437-1,"n/a ")</f>
        <v>0.20331741643629053</v>
      </c>
      <c r="W438" s="1525">
        <f t="shared" ref="W438:X438" si="2232">+IFERROR(W437/S437-1,"n/a ")</f>
        <v>-8.5635359116022047E-2</v>
      </c>
      <c r="X438" s="1525">
        <f t="shared" si="2232"/>
        <v>0.193224592220828</v>
      </c>
      <c r="Y438" s="1525">
        <f t="shared" ref="Y438" si="2233">+IFERROR(Y437/U437-1,"n/a ")</f>
        <v>0.1927827093786183</v>
      </c>
      <c r="Z438" s="1525">
        <f t="shared" ref="Z438" si="2234">+IFERROR(Z437/V437-1,"n/a ")</f>
        <v>0.25918964076858808</v>
      </c>
      <c r="AA438" s="1525">
        <f t="shared" ref="AA438" si="2235">+IFERROR(AA437/W437-1,"n/a ")</f>
        <v>0.6200906344410877</v>
      </c>
      <c r="AB438" s="1525">
        <f t="shared" ref="AB438" si="2236">+IFERROR(AB437/X437-1,"n/a ")</f>
        <v>0.32860147213459512</v>
      </c>
      <c r="AC438" s="1525">
        <f t="shared" ref="AC438" si="2237">+IFERROR(AC437/Y437-1,"n/a ")</f>
        <v>0.24381168095777372</v>
      </c>
      <c r="AD438" s="1525">
        <f t="shared" ref="AD438:AF438" si="2238">+IFERROR(AD437/Z437-1,"n/a ")</f>
        <v>0.19157405871620492</v>
      </c>
      <c r="AE438" s="1525">
        <f t="shared" si="2238"/>
        <v>0.12416472416472413</v>
      </c>
      <c r="AF438" s="1525">
        <f t="shared" si="2238"/>
        <v>9.787626962142193E-2</v>
      </c>
      <c r="AG438" s="1525">
        <f t="shared" ref="AG438" si="2239">+IFERROR(AG437/AC437-1,"n/a ")</f>
        <v>9.1345473465140437E-2</v>
      </c>
      <c r="AH438" s="1525">
        <f t="shared" ref="AH438" si="2240">+IFERROR(AH437/AD437-1,"n/a ")</f>
        <v>0.20253340757238303</v>
      </c>
      <c r="AI438" s="1525">
        <f t="shared" ref="AI438:AK438" si="2241">+IFERROR(AI437/AE437-1,"n/a ")</f>
        <v>0.25131324301907654</v>
      </c>
      <c r="AJ438" s="1525">
        <f t="shared" si="2241"/>
        <v>0.19788537786855698</v>
      </c>
      <c r="AK438" s="1525">
        <f t="shared" si="2241"/>
        <v>0.22570636633126218</v>
      </c>
      <c r="AL438" s="1525">
        <f t="shared" ref="AL438" si="2242">+IFERROR(AL437/AH437-1,"n/a ")</f>
        <v>0.17409422386850326</v>
      </c>
      <c r="AM438" s="1525">
        <f t="shared" ref="AM438" si="2243">+IFERROR(AM437/AI437-1,"n/a ")</f>
        <v>0.12052585064074228</v>
      </c>
      <c r="AN438" s="1525">
        <f t="shared" ref="AN438" si="2244">+IFERROR(AN437/AJ437-1,"n/a ")</f>
        <v>0.1112475311839014</v>
      </c>
      <c r="AO438" s="1525">
        <f t="shared" ref="AO438" si="2245">+IFERROR(AO437/AK437-1,"n/a ")</f>
        <v>0.12183494740968914</v>
      </c>
      <c r="AP438" s="1525">
        <f t="shared" ref="AP438" si="2246">+IFERROR(AP437/AL437-1,"n/a ")</f>
        <v>0.12249369430660373</v>
      </c>
      <c r="AQ438" s="1525">
        <f t="shared" ref="AQ438" si="2247">+IFERROR(AQ437/AM437-1,"n/a ")</f>
        <v>0.12253060499394541</v>
      </c>
      <c r="BC438" s="1525">
        <f t="shared" ref="BC438" si="2248">+IFERROR(BC437/BB437-1,"n/a ")</f>
        <v>-6.343046637973615E-2</v>
      </c>
      <c r="BD438" s="1525">
        <f t="shared" ref="BD438" si="2249">+IFERROR(BD437/BC437-1,"n/a ")</f>
        <v>-6.4486967003164031E-2</v>
      </c>
      <c r="BE438" s="1525">
        <f t="shared" ref="BE438" si="2250">+IFERROR(BE437/BD437-1,"n/a ")</f>
        <v>-4.0666774037687259E-2</v>
      </c>
      <c r="BG438" s="1526">
        <f>+BE438</f>
        <v>-4.0666774037687259E-2</v>
      </c>
      <c r="BH438" s="1526">
        <f>+BE438</f>
        <v>-4.0666774037687259E-2</v>
      </c>
      <c r="BI438" s="1525">
        <f>+IFERROR(BI437/BH437-1,"n/a ")</f>
        <v>0.13477917288611829</v>
      </c>
      <c r="BJ438" s="1525">
        <f>+IFERROR(BJ437/BI437-1,"n/a ")</f>
        <v>0.25495202723614985</v>
      </c>
      <c r="BK438" s="1525">
        <f>+IFERROR(BK437/BJ437-1,"n/a ")</f>
        <v>0.15444848634317765</v>
      </c>
      <c r="BL438" s="1525">
        <f t="shared" ref="BL438" si="2251">+IFERROR(BL437/BK437-1,"n/a ")</f>
        <v>0.30052339243751325</v>
      </c>
      <c r="BM438" s="1525">
        <f t="shared" ref="BM438:BN438" si="2252">+IFERROR(BM437/BL437-1,"n/a ")</f>
        <v>0.21912857788181173</v>
      </c>
      <c r="BN438" s="1525">
        <f t="shared" si="2252"/>
        <v>0.15889998989456644</v>
      </c>
      <c r="BO438" s="1525">
        <f t="shared" ref="BO438:BP438" si="2253">+IFERROR(BO437/BN437-1,"n/a ")</f>
        <v>0.17834231245289844</v>
      </c>
      <c r="BP438" s="1525">
        <f t="shared" si="2253"/>
        <v>0.11957005310484004</v>
      </c>
    </row>
    <row r="439" spans="2:81" s="1518" customFormat="1" outlineLevel="1">
      <c r="B439" s="1539" t="s">
        <v>272</v>
      </c>
      <c r="L439" s="1528">
        <v>0.04</v>
      </c>
      <c r="M439" s="1528">
        <v>0.1</v>
      </c>
      <c r="N439" s="1528">
        <v>0.19</v>
      </c>
      <c r="O439" s="1528">
        <v>0.13</v>
      </c>
      <c r="P439" s="1528">
        <v>0.27</v>
      </c>
      <c r="Q439" s="1528">
        <v>0.19</v>
      </c>
      <c r="R439" s="1528">
        <v>0.3</v>
      </c>
      <c r="S439" s="1528">
        <v>0.31</v>
      </c>
      <c r="T439" s="1528">
        <v>0.27</v>
      </c>
      <c r="U439" s="1528">
        <v>0.33</v>
      </c>
      <c r="V439" s="1528">
        <v>0.23</v>
      </c>
      <c r="W439" s="1528">
        <v>-0.05</v>
      </c>
      <c r="X439" s="1528">
        <v>0.19</v>
      </c>
      <c r="Y439" s="1528">
        <v>0.17</v>
      </c>
      <c r="Z439" s="1528">
        <v>0.2</v>
      </c>
      <c r="AA439" s="1528">
        <v>0.53</v>
      </c>
      <c r="AB439" s="1528">
        <v>0.28999999999999998</v>
      </c>
      <c r="AC439" s="1528">
        <v>0.24</v>
      </c>
      <c r="AD439" s="1528">
        <v>0.23</v>
      </c>
      <c r="AE439" s="1528">
        <v>0.19</v>
      </c>
      <c r="AF439" s="1528">
        <v>0.19</v>
      </c>
      <c r="AG439" s="1538">
        <f>+AG438+11%</f>
        <v>0.20134547346514042</v>
      </c>
      <c r="AH439" s="1528">
        <v>0.27</v>
      </c>
      <c r="AI439" s="1528">
        <v>0.28999999999999998</v>
      </c>
      <c r="AJ439" s="1528">
        <v>0.19</v>
      </c>
      <c r="AK439" s="1538">
        <f>+AK438-3%</f>
        <v>0.19570636633126218</v>
      </c>
      <c r="AL439" s="1538">
        <f>+AL438-1%</f>
        <v>0.16409422386850325</v>
      </c>
      <c r="AM439" s="1538">
        <f>+AM438+1%</f>
        <v>0.13052585064074229</v>
      </c>
      <c r="AN439" s="1528"/>
      <c r="AO439" s="1528"/>
      <c r="AP439" s="1528"/>
      <c r="AQ439" s="1528"/>
      <c r="BB439" s="1592" t="s">
        <v>273</v>
      </c>
      <c r="BC439" s="1592" t="s">
        <v>273</v>
      </c>
      <c r="BD439" s="1592" t="s">
        <v>273</v>
      </c>
      <c r="BE439" s="1592" t="s">
        <v>273</v>
      </c>
      <c r="BG439" s="1526" t="s">
        <v>273</v>
      </c>
      <c r="BH439" s="1526" t="s">
        <v>273</v>
      </c>
      <c r="BI439" s="1529">
        <f>+SUMPRODUCT(L439:O439,H437:K437)/BH437</f>
        <v>0.11238300114145229</v>
      </c>
      <c r="BJ439" s="1529">
        <f>+SUMPRODUCT(P439:S439,L437:O437)/BI437</f>
        <v>0.26730191891055399</v>
      </c>
      <c r="BK439" s="1529">
        <f>+SUMPRODUCT(T439:W439,P437:S437)/BJ437</f>
        <v>0.18933288118872929</v>
      </c>
      <c r="BL439" s="1529">
        <f>+SUMPRODUCT(X439:AA439,T437:W437)/BK437</f>
        <v>0.25914761803033542</v>
      </c>
      <c r="BM439" s="1529">
        <f>+SUMPRODUCT(AB439:AE439,X437:AA437)/BL437</f>
        <v>0.23602726787400929</v>
      </c>
      <c r="BN439" s="1529">
        <f>+SUMPRODUCT(AF440:AI440,AB437:AE437)/BM437</f>
        <v>0.49682725854319137</v>
      </c>
      <c r="BO439" s="1529">
        <f>+SUMPRODUCT(AJ440:AM440,AF437:AI437)/BN437</f>
        <v>0.52151825959607245</v>
      </c>
      <c r="BP439" s="1529"/>
      <c r="BT439" s="1519"/>
      <c r="BU439" s="1519"/>
      <c r="BV439" s="1519"/>
      <c r="BW439" s="1519"/>
      <c r="BX439" s="1519"/>
      <c r="BY439" s="1519"/>
      <c r="BZ439" s="1519"/>
      <c r="CA439" s="1519"/>
      <c r="CB439" s="1519"/>
      <c r="CC439" s="1519"/>
    </row>
    <row r="440" spans="2:81" s="1518" customFormat="1" outlineLevel="1">
      <c r="B440" s="1539" t="s">
        <v>123</v>
      </c>
      <c r="H440" s="1525">
        <f t="shared" ref="H440:AH440" si="2254">+IFERROR(H437/H418,"n/a ")</f>
        <v>0.45136730888750776</v>
      </c>
      <c r="I440" s="1525">
        <f t="shared" si="2254"/>
        <v>0.4252681431954311</v>
      </c>
      <c r="J440" s="1525">
        <f t="shared" si="2254"/>
        <v>0.32957052030621514</v>
      </c>
      <c r="K440" s="1525">
        <f t="shared" si="2254"/>
        <v>0.33820776789892371</v>
      </c>
      <c r="L440" s="1525">
        <f t="shared" si="2254"/>
        <v>0.36489439184268024</v>
      </c>
      <c r="M440" s="1525">
        <f t="shared" si="2254"/>
        <v>0.37272422651625153</v>
      </c>
      <c r="N440" s="1525">
        <f t="shared" si="2254"/>
        <v>0.34588052409504777</v>
      </c>
      <c r="O440" s="1525">
        <f t="shared" si="2254"/>
        <v>0.35850227554820024</v>
      </c>
      <c r="P440" s="1525">
        <f t="shared" si="2254"/>
        <v>0.3971957834407942</v>
      </c>
      <c r="Q440" s="1525">
        <f t="shared" si="2254"/>
        <v>0.39752475247524754</v>
      </c>
      <c r="R440" s="1525">
        <f t="shared" si="2254"/>
        <v>0.38849834016793594</v>
      </c>
      <c r="S440" s="1525">
        <f t="shared" si="2254"/>
        <v>0.3932289309314746</v>
      </c>
      <c r="T440" s="1525">
        <f t="shared" si="2254"/>
        <v>0.43170533537961542</v>
      </c>
      <c r="U440" s="1525">
        <f t="shared" si="2254"/>
        <v>0.43818704549298154</v>
      </c>
      <c r="V440" s="1525">
        <f t="shared" si="2254"/>
        <v>0.40773226603082685</v>
      </c>
      <c r="W440" s="1525">
        <f t="shared" si="2254"/>
        <v>0.33798502382573181</v>
      </c>
      <c r="X440" s="1525">
        <f t="shared" si="2254"/>
        <v>0.46318694699245067</v>
      </c>
      <c r="Y440" s="1525">
        <f t="shared" si="2254"/>
        <v>0.46289223395491652</v>
      </c>
      <c r="Z440" s="1525">
        <f t="shared" si="2254"/>
        <v>0.44487898465171194</v>
      </c>
      <c r="AA440" s="1525">
        <f t="shared" si="2254"/>
        <v>0.43802327955891363</v>
      </c>
      <c r="AB440" s="1525">
        <f t="shared" si="2254"/>
        <v>0.50408936764412526</v>
      </c>
      <c r="AC440" s="1525">
        <f t="shared" si="2254"/>
        <v>0.48242971887550201</v>
      </c>
      <c r="AD440" s="1525">
        <f t="shared" si="2254"/>
        <v>0.45500031667616697</v>
      </c>
      <c r="AE440" s="1525">
        <f t="shared" si="2254"/>
        <v>0.43578313253012047</v>
      </c>
      <c r="AF440" s="1525">
        <f t="shared" si="2254"/>
        <v>0.50549650774369881</v>
      </c>
      <c r="AG440" s="1525">
        <f t="shared" si="2254"/>
        <v>0.4934868838960122</v>
      </c>
      <c r="AH440" s="1525">
        <f t="shared" si="2254"/>
        <v>0.4932062114638045</v>
      </c>
      <c r="AI440" s="1525">
        <f t="shared" ref="AI440:AJ440" si="2255">+IFERROR(AI437/AI418,"n/a ")</f>
        <v>0.49488819638073367</v>
      </c>
      <c r="AJ440" s="1525">
        <f t="shared" si="2255"/>
        <v>0.53625215146299487</v>
      </c>
      <c r="AK440" s="1525">
        <f t="shared" ref="AK440:AL440" si="2256">+IFERROR(AK437/AK418,"n/a ")</f>
        <v>0.5342615200789651</v>
      </c>
      <c r="AL440" s="1525">
        <f t="shared" si="2256"/>
        <v>0.51829330608073587</v>
      </c>
      <c r="AM440" s="1525">
        <f t="shared" ref="AM440" si="2257">+IFERROR(AM437/AM418,"n/a ")</f>
        <v>0.49923709209036765</v>
      </c>
      <c r="AN440" s="1525">
        <f t="shared" ref="AN440:AQ440" si="2258">+IFERROR(AN437/AN418,"n/a ")</f>
        <v>0.53625215146299487</v>
      </c>
      <c r="AO440" s="1525">
        <f t="shared" si="2258"/>
        <v>0.53926152007896511</v>
      </c>
      <c r="AP440" s="1525">
        <f t="shared" si="2258"/>
        <v>0.52329330608073588</v>
      </c>
      <c r="AQ440" s="1525">
        <f t="shared" si="2258"/>
        <v>0.5042370920903676</v>
      </c>
      <c r="BB440" s="1525">
        <f>+IFERROR(BB437/BB418,"n/a ")</f>
        <v>0.52539294187425856</v>
      </c>
      <c r="BC440" s="1525">
        <f>+IFERROR(BC437/BC418,"n/a ")</f>
        <v>0.50223231176693151</v>
      </c>
      <c r="BD440" s="1525">
        <f>+IFERROR(BD437/BD418,"n/a ")</f>
        <v>0.46883376750858913</v>
      </c>
      <c r="BE440" s="1525">
        <f>+IFERROR(BE437/BE418,"n/a ")</f>
        <v>0.39130863224280649</v>
      </c>
      <c r="BG440" s="1526">
        <f>+BE440</f>
        <v>0.39130863224280649</v>
      </c>
      <c r="BH440" s="1525">
        <f t="shared" ref="BH440:BN440" si="2259">+IFERROR(BH437/BH418,"n/a ")</f>
        <v>0.38128557080682962</v>
      </c>
      <c r="BI440" s="1525">
        <f t="shared" si="2259"/>
        <v>0.3603513174404015</v>
      </c>
      <c r="BJ440" s="1525">
        <f t="shared" si="2259"/>
        <v>0.39404761904761904</v>
      </c>
      <c r="BK440" s="1525">
        <f t="shared" si="2259"/>
        <v>0.40355187723608776</v>
      </c>
      <c r="BL440" s="1525">
        <f t="shared" si="2259"/>
        <v>0.45165538347398682</v>
      </c>
      <c r="BM440" s="1525">
        <f t="shared" si="2259"/>
        <v>0.46851524524966859</v>
      </c>
      <c r="BN440" s="1525">
        <f t="shared" si="2259"/>
        <v>0.496640355689003</v>
      </c>
      <c r="BO440" s="1525">
        <f t="shared" ref="BO440:BP440" si="2260">+IFERROR(BO437/BO418,"n/a ")</f>
        <v>0.52156237134623307</v>
      </c>
      <c r="BP440" s="1525">
        <f t="shared" si="2260"/>
        <v>0.52536598088575792</v>
      </c>
      <c r="BT440" s="1519"/>
      <c r="BU440" s="1519"/>
      <c r="BV440" s="1519"/>
      <c r="BW440" s="1519"/>
      <c r="BX440" s="1519"/>
      <c r="BY440" s="1519"/>
      <c r="BZ440" s="1519"/>
      <c r="CA440" s="1519"/>
      <c r="CB440" s="1519"/>
      <c r="CC440" s="1519"/>
    </row>
    <row r="441" spans="2:81" s="1518" customFormat="1" outlineLevel="1">
      <c r="B441" s="1578"/>
      <c r="BT441" s="1576"/>
      <c r="BU441" s="1576"/>
      <c r="BV441" s="1576"/>
      <c r="BW441" s="1576"/>
      <c r="BX441" s="1576"/>
      <c r="BY441" s="1576"/>
      <c r="BZ441" s="1576"/>
      <c r="CA441" s="1576"/>
      <c r="CB441" s="1576"/>
      <c r="CC441" s="1576"/>
    </row>
    <row r="442" spans="2:81" s="1518" customFormat="1" hidden="1" outlineLevel="2">
      <c r="B442" s="1564" t="s">
        <v>127</v>
      </c>
      <c r="BT442" s="1519"/>
      <c r="BU442" s="1519"/>
      <c r="BV442" s="1519"/>
      <c r="BW442" s="1519"/>
      <c r="BX442" s="1519"/>
      <c r="BY442" s="1519"/>
      <c r="BZ442" s="1519"/>
      <c r="CA442" s="1519"/>
      <c r="CB442" s="1519"/>
      <c r="CC442" s="1519"/>
    </row>
    <row r="443" spans="2:81" s="1518" customFormat="1" hidden="1" outlineLevel="2">
      <c r="B443" s="1523" t="s">
        <v>402</v>
      </c>
      <c r="H443" s="1521">
        <f t="shared" ref="H443:O443" si="2261">+H437-H508</f>
        <v>2905</v>
      </c>
      <c r="I443" s="1521">
        <f t="shared" si="2261"/>
        <v>3249</v>
      </c>
      <c r="J443" s="1521">
        <f t="shared" si="2261"/>
        <v>2915</v>
      </c>
      <c r="K443" s="1521">
        <f t="shared" si="2261"/>
        <v>3244</v>
      </c>
      <c r="L443" s="1521">
        <f t="shared" si="2261"/>
        <v>3300</v>
      </c>
      <c r="M443" s="1521">
        <f t="shared" si="2261"/>
        <v>3602</v>
      </c>
      <c r="N443" s="1521">
        <f t="shared" si="2261"/>
        <v>3361</v>
      </c>
      <c r="O443" s="1521">
        <f t="shared" si="2261"/>
        <v>3648</v>
      </c>
      <c r="P443" s="1548"/>
      <c r="Q443" s="1548"/>
      <c r="R443" s="1548"/>
      <c r="S443" s="1548"/>
      <c r="T443" s="1548"/>
      <c r="U443" s="1548"/>
      <c r="V443" s="1548"/>
      <c r="W443" s="1548"/>
      <c r="X443" s="1548"/>
      <c r="Y443" s="1548"/>
      <c r="Z443" s="1548"/>
      <c r="AA443" s="1548"/>
      <c r="AB443" s="1548"/>
      <c r="AC443" s="1548"/>
      <c r="AD443" s="1548"/>
      <c r="AE443" s="1548"/>
      <c r="AF443" s="1548"/>
      <c r="AG443" s="1521"/>
      <c r="AH443" s="1521"/>
      <c r="AI443" s="1521"/>
      <c r="AJ443" s="1521"/>
      <c r="AK443" s="1521"/>
      <c r="AL443" s="1521"/>
      <c r="AM443" s="1521"/>
      <c r="AN443" s="1521"/>
      <c r="AO443" s="1521"/>
      <c r="AP443" s="1521"/>
      <c r="AQ443" s="1521"/>
      <c r="BG443" s="1521"/>
      <c r="BH443" s="1521">
        <f>+BH437-BH508</f>
        <v>12313</v>
      </c>
      <c r="BI443" s="1521">
        <f>+BI437-BI508</f>
        <v>13911</v>
      </c>
      <c r="BJ443" s="1521"/>
      <c r="BK443" s="1521"/>
      <c r="BL443" s="1521"/>
      <c r="BM443" s="1521"/>
      <c r="BT443" s="1519"/>
      <c r="BU443" s="1519"/>
      <c r="BV443" s="1519"/>
      <c r="BW443" s="1519"/>
      <c r="BX443" s="1519"/>
      <c r="BY443" s="1519"/>
      <c r="BZ443" s="1519"/>
      <c r="CA443" s="1519"/>
      <c r="CB443" s="1519"/>
      <c r="CC443" s="1519"/>
    </row>
    <row r="444" spans="2:81" s="1518" customFormat="1" ht="11.45" hidden="1" outlineLevel="2">
      <c r="B444" s="1524" t="s">
        <v>113</v>
      </c>
      <c r="L444" s="1525">
        <f>+IFERROR(L443/H443-1,"n/a ")</f>
        <v>0.13597246127366613</v>
      </c>
      <c r="M444" s="1525">
        <f t="shared" ref="M444" si="2262">+IFERROR(M443/I443-1,"n/a ")</f>
        <v>0.10864881502000623</v>
      </c>
      <c r="N444" s="1525">
        <f t="shared" ref="N444" si="2263">+IFERROR(N443/J443-1,"n/a ")</f>
        <v>0.15300171526586626</v>
      </c>
      <c r="O444" s="1525">
        <f t="shared" ref="O444" si="2264">+IFERROR(O443/K443-1,"n/a ")</f>
        <v>0.12453760789149193</v>
      </c>
      <c r="P444" s="1593"/>
      <c r="Q444" s="1594"/>
      <c r="R444" s="1594" t="s">
        <v>403</v>
      </c>
      <c r="S444" s="1593"/>
      <c r="T444" s="1593"/>
      <c r="U444" s="1593"/>
      <c r="V444" s="1593"/>
      <c r="W444" s="1593"/>
      <c r="X444" s="1593"/>
      <c r="Y444" s="1593"/>
      <c r="Z444" s="1593"/>
      <c r="AA444" s="1593"/>
      <c r="AB444" s="1593"/>
      <c r="AC444" s="1593"/>
      <c r="AD444" s="1593"/>
      <c r="AE444" s="1593"/>
      <c r="AF444" s="1593"/>
      <c r="AG444" s="1525"/>
      <c r="AH444" s="1525"/>
      <c r="AI444" s="1525"/>
      <c r="AJ444" s="1525"/>
      <c r="AK444" s="1525"/>
      <c r="AL444" s="1525"/>
      <c r="AM444" s="1525"/>
      <c r="AN444" s="1525"/>
      <c r="AO444" s="1525"/>
      <c r="AP444" s="1525"/>
      <c r="AQ444" s="1525"/>
      <c r="BI444" s="1525">
        <f>+IFERROR(BI443/BH443-1,"n/a ")</f>
        <v>0.12978153171444817</v>
      </c>
      <c r="BJ444" s="1521"/>
      <c r="BK444" s="1521"/>
      <c r="BL444" s="1521"/>
      <c r="BM444" s="1521"/>
      <c r="BT444" s="1554"/>
      <c r="BU444" s="1554"/>
      <c r="BV444" s="1554"/>
      <c r="BW444" s="1554"/>
      <c r="BX444" s="1554"/>
      <c r="BY444" s="1554"/>
      <c r="BZ444" s="1554"/>
      <c r="CA444" s="1554"/>
      <c r="CB444" s="1554"/>
      <c r="CC444" s="1554"/>
    </row>
    <row r="445" spans="2:81" s="1518" customFormat="1" ht="10.5" hidden="1" outlineLevel="2">
      <c r="B445" s="1524" t="s">
        <v>272</v>
      </c>
      <c r="L445" s="1525">
        <f>+(H437*(L439)-(L508-H508))/H443</f>
        <v>0.14120481927710843</v>
      </c>
      <c r="M445" s="1525">
        <f>+(I437*(M439)-(M508-I508))/I443</f>
        <v>0.1152046783625731</v>
      </c>
      <c r="N445" s="1525">
        <f>+(J437*(N439)-(N508-J508))/J443</f>
        <v>0.12130360205831904</v>
      </c>
      <c r="O445" s="1525">
        <f>+(K437*(O439)-(O508-K508))/K443</f>
        <v>6.3141183723797789E-2</v>
      </c>
      <c r="P445" s="1521"/>
      <c r="Q445" s="1521"/>
      <c r="R445" s="1521"/>
      <c r="S445" s="1521"/>
      <c r="T445" s="1521"/>
      <c r="U445" s="1521"/>
      <c r="V445" s="1521"/>
      <c r="W445" s="1521"/>
      <c r="X445" s="1521"/>
      <c r="Y445" s="1521"/>
      <c r="Z445" s="1521"/>
      <c r="AA445" s="1521"/>
      <c r="AB445" s="1521"/>
      <c r="AC445" s="1521"/>
      <c r="AD445" s="1521"/>
      <c r="AE445" s="1521"/>
      <c r="AF445" s="1521"/>
      <c r="AG445" s="1525"/>
      <c r="AH445" s="1525"/>
      <c r="AI445" s="1525"/>
      <c r="AJ445" s="1525"/>
      <c r="AK445" s="1525"/>
      <c r="AL445" s="1525"/>
      <c r="AM445" s="1525"/>
      <c r="AN445" s="1525"/>
      <c r="AO445" s="1525"/>
      <c r="AP445" s="1525"/>
      <c r="AQ445" s="1525"/>
      <c r="BI445" s="1525">
        <f>+SUMPRODUCT(L445:O445,H443:K443)/BH443</f>
        <v>0.1090660277755218</v>
      </c>
      <c r="BJ445" s="1521"/>
      <c r="BK445" s="1521"/>
      <c r="BL445" s="1521"/>
      <c r="BM445" s="1521"/>
      <c r="BT445" s="1519"/>
      <c r="BU445" s="1520"/>
      <c r="BV445" s="1520"/>
      <c r="BW445" s="1520"/>
      <c r="BX445" s="1520"/>
      <c r="BY445" s="1520"/>
      <c r="BZ445" s="1520"/>
      <c r="CA445" s="1520"/>
      <c r="CB445" s="1520"/>
      <c r="CC445" s="1520"/>
    </row>
    <row r="446" spans="2:81" s="1518" customFormat="1" hidden="1" outlineLevel="2">
      <c r="B446" s="1524" t="s">
        <v>123</v>
      </c>
      <c r="H446" s="1525">
        <f t="shared" ref="H446:O446" si="2265">+IFERROR(H443/H423,"n/a ")</f>
        <v>0.45136730888750776</v>
      </c>
      <c r="I446" s="1525">
        <f t="shared" si="2265"/>
        <v>0.46741476046611996</v>
      </c>
      <c r="J446" s="1525">
        <f t="shared" si="2265"/>
        <v>0.43307086614173229</v>
      </c>
      <c r="K446" s="1525">
        <f t="shared" si="2265"/>
        <v>0.43363186739740678</v>
      </c>
      <c r="L446" s="1525">
        <f t="shared" si="2265"/>
        <v>0.46544428772919605</v>
      </c>
      <c r="M446" s="1525">
        <f t="shared" si="2265"/>
        <v>0.47140426645727002</v>
      </c>
      <c r="N446" s="1525">
        <f t="shared" si="2265"/>
        <v>0.43814365793247295</v>
      </c>
      <c r="O446" s="1525">
        <f t="shared" si="2265"/>
        <v>0.4446611409068747</v>
      </c>
      <c r="P446" s="1521"/>
      <c r="Q446" s="1521"/>
      <c r="R446" s="1521"/>
      <c r="S446" s="1521"/>
      <c r="T446" s="1521"/>
      <c r="U446" s="1521"/>
      <c r="V446" s="1521"/>
      <c r="W446" s="1521"/>
      <c r="X446" s="1521"/>
      <c r="Y446" s="1521"/>
      <c r="Z446" s="1521"/>
      <c r="AA446" s="1521"/>
      <c r="AB446" s="1521"/>
      <c r="AC446" s="1521"/>
      <c r="AD446" s="1521"/>
      <c r="AE446" s="1521"/>
      <c r="AF446" s="1521"/>
      <c r="AG446" s="1525"/>
      <c r="AH446" s="1525"/>
      <c r="AI446" s="1525"/>
      <c r="AJ446" s="1525"/>
      <c r="AK446" s="1525"/>
      <c r="AL446" s="1525"/>
      <c r="AM446" s="1525"/>
      <c r="AN446" s="1525"/>
      <c r="AO446" s="1525"/>
      <c r="AP446" s="1525"/>
      <c r="AQ446" s="1525"/>
      <c r="BG446" s="1525"/>
      <c r="BH446" s="1525">
        <f>+IFERROR(BH443/BH423,"n/a ")</f>
        <v>0.44613935287510414</v>
      </c>
      <c r="BI446" s="1525">
        <f>+IFERROR(BI443/BI423,"n/a ")</f>
        <v>0.45451872181925113</v>
      </c>
      <c r="BJ446" s="1521"/>
      <c r="BK446" s="1521"/>
      <c r="BL446" s="1521"/>
      <c r="BM446" s="1521"/>
    </row>
    <row r="447" spans="2:81" s="1518" customFormat="1" hidden="1" outlineLevel="2">
      <c r="B447" s="1578"/>
    </row>
    <row r="448" spans="2:81" s="1518" customFormat="1" ht="10.5" outlineLevel="1" collapsed="1">
      <c r="B448" s="1299" t="s">
        <v>375</v>
      </c>
      <c r="BT448" s="1527"/>
      <c r="BU448" s="1527"/>
      <c r="BV448" s="1527"/>
      <c r="BW448" s="1527"/>
      <c r="BX448" s="1527"/>
      <c r="BY448" s="1527"/>
      <c r="BZ448" s="1527"/>
      <c r="CA448" s="1527"/>
      <c r="CB448" s="1527"/>
      <c r="CC448" s="1527"/>
    </row>
    <row r="449" spans="2:81" s="1518" customFormat="1" ht="10.5" outlineLevel="1">
      <c r="B449" s="1299"/>
      <c r="D449" s="1545" t="s">
        <v>404</v>
      </c>
      <c r="E449" s="1545"/>
      <c r="F449" s="1545"/>
      <c r="G449" s="1545"/>
      <c r="BT449" s="1530"/>
      <c r="BU449" s="1530"/>
      <c r="BV449" s="1530"/>
      <c r="BW449" s="1530"/>
      <c r="BX449" s="1530"/>
      <c r="BY449" s="1530"/>
      <c r="BZ449" s="1530"/>
      <c r="CA449" s="1530"/>
      <c r="CB449" s="1530"/>
      <c r="CC449" s="1530"/>
    </row>
    <row r="450" spans="2:81" s="1518" customFormat="1" outlineLevel="1">
      <c r="B450" s="1300" t="s">
        <v>376</v>
      </c>
      <c r="D450" s="1580"/>
      <c r="E450" s="1580"/>
      <c r="F450" s="1580"/>
      <c r="G450" s="1580"/>
      <c r="BT450" s="1527"/>
      <c r="BU450" s="1527"/>
      <c r="BV450" s="1527"/>
      <c r="BW450" s="1527"/>
      <c r="BX450" s="1527"/>
      <c r="BY450" s="1527"/>
      <c r="BZ450" s="1527"/>
      <c r="CA450" s="1527"/>
      <c r="CB450" s="1527"/>
      <c r="CC450" s="1527"/>
    </row>
    <row r="451" spans="2:81" s="1518" customFormat="1" outlineLevel="1">
      <c r="B451" s="1518" t="s">
        <v>405</v>
      </c>
      <c r="D451" s="1546">
        <v>-0.02</v>
      </c>
      <c r="E451" s="1546">
        <v>-0.01</v>
      </c>
      <c r="F451" s="1546">
        <v>0</v>
      </c>
      <c r="G451" s="1546">
        <v>0.05</v>
      </c>
      <c r="H451" s="1546">
        <v>0.09</v>
      </c>
      <c r="I451" s="1546">
        <v>7.0000000000000007E-2</v>
      </c>
      <c r="J451" s="1546">
        <v>0.09</v>
      </c>
      <c r="K451" s="1546">
        <v>0.05</v>
      </c>
      <c r="L451" s="1546">
        <v>0.1</v>
      </c>
      <c r="M451" s="1546">
        <v>0.1</v>
      </c>
      <c r="N451" s="1546">
        <v>0.14000000000000001</v>
      </c>
      <c r="O451" s="1546">
        <v>0.1</v>
      </c>
      <c r="P451" s="1546">
        <v>0.17</v>
      </c>
      <c r="Q451" s="1546">
        <v>0.11</v>
      </c>
      <c r="R451" s="1546">
        <v>0.12</v>
      </c>
      <c r="S451" s="1546">
        <v>0.14000000000000001</v>
      </c>
      <c r="T451" s="1546">
        <v>0.13</v>
      </c>
      <c r="U451" s="1546">
        <v>0.16</v>
      </c>
      <c r="V451" s="1546">
        <v>0.13</v>
      </c>
      <c r="W451" s="1546">
        <v>0.05</v>
      </c>
      <c r="X451" s="1546">
        <v>0.09</v>
      </c>
      <c r="Y451" s="1546">
        <v>0.11</v>
      </c>
      <c r="Z451" s="1546">
        <v>0.14000000000000001</v>
      </c>
      <c r="AA451" s="1546">
        <v>0.2</v>
      </c>
      <c r="AB451" s="1546">
        <v>0.18</v>
      </c>
      <c r="AC451" s="1546">
        <v>0.14000000000000001</v>
      </c>
      <c r="AD451" s="1546">
        <v>0.12</v>
      </c>
      <c r="AE451" s="1546">
        <v>0.09</v>
      </c>
      <c r="AF451" s="1546">
        <v>7.0000000000000007E-2</v>
      </c>
      <c r="AG451" s="1546">
        <v>7.0000000000000007E-2</v>
      </c>
      <c r="AH451" s="1546">
        <v>0.13</v>
      </c>
      <c r="AI451" s="1546">
        <v>0.12</v>
      </c>
      <c r="AJ451" s="1546">
        <v>0.15</v>
      </c>
      <c r="AK451" s="1546">
        <v>0.15</v>
      </c>
      <c r="AL451" s="1546">
        <v>0.13</v>
      </c>
      <c r="AM451" s="1546">
        <v>0.12</v>
      </c>
      <c r="AN451" s="1546"/>
      <c r="AO451" s="1546"/>
      <c r="AP451" s="1546"/>
      <c r="AQ451" s="1546"/>
      <c r="BG451" s="1547"/>
      <c r="BH451" s="1547">
        <f>+AVERAGE(H451:K451)</f>
        <v>7.4999999999999997E-2</v>
      </c>
      <c r="BI451" s="1547">
        <f>+AVERAGE(L451:O451)</f>
        <v>0.11000000000000001</v>
      </c>
      <c r="BJ451" s="1547">
        <f>+AVERAGE(P451:S451)</f>
        <v>0.13500000000000001</v>
      </c>
      <c r="BK451" s="1547">
        <f t="shared" ref="BK451:BK456" si="2266">+AVERAGE(T451:W451)</f>
        <v>0.11750000000000001</v>
      </c>
      <c r="BL451" s="1547">
        <f t="shared" ref="BL451:BL456" si="2267">+AVERAGE(X451:AA451)</f>
        <v>0.13500000000000001</v>
      </c>
      <c r="BM451" s="1547">
        <f>+AVERAGE(AB451:AE451)</f>
        <v>0.13250000000000001</v>
      </c>
      <c r="BN451" s="1547">
        <f>AVERAGE(AF451:AI451)</f>
        <v>9.7500000000000003E-2</v>
      </c>
      <c r="BO451" s="1547">
        <f>AVERAGE(AJ451:AM451)</f>
        <v>0.13750000000000001</v>
      </c>
      <c r="BP451" s="1547"/>
      <c r="BT451" s="1527"/>
      <c r="BU451" s="1527"/>
      <c r="BV451" s="1527"/>
      <c r="BW451" s="1527"/>
      <c r="BX451" s="1527"/>
      <c r="BY451" s="1527"/>
      <c r="BZ451" s="1527"/>
      <c r="CA451" s="1527"/>
      <c r="CB451" s="1527"/>
      <c r="CC451" s="1527"/>
    </row>
    <row r="452" spans="2:81" s="1518" customFormat="1" outlineLevel="1">
      <c r="B452" s="1518" t="s">
        <v>406</v>
      </c>
      <c r="D452" s="1546"/>
      <c r="E452" s="1546"/>
      <c r="F452" s="1546"/>
      <c r="G452" s="1546">
        <v>0.54</v>
      </c>
      <c r="H452" s="1546">
        <v>0.51</v>
      </c>
      <c r="I452" s="1546">
        <v>0.47</v>
      </c>
      <c r="J452" s="1546">
        <v>0.45</v>
      </c>
      <c r="K452" s="1546">
        <v>0.43</v>
      </c>
      <c r="L452" s="1546">
        <v>0.42</v>
      </c>
      <c r="M452" s="1546">
        <v>0.41</v>
      </c>
      <c r="N452" s="1546">
        <v>0.42</v>
      </c>
      <c r="O452" s="1546">
        <v>0.38</v>
      </c>
      <c r="P452" s="1546">
        <v>0.36</v>
      </c>
      <c r="Q452" s="1546">
        <v>0.34</v>
      </c>
      <c r="R452" s="1546">
        <v>0.3</v>
      </c>
      <c r="S452" s="1546">
        <v>0.31</v>
      </c>
      <c r="T452" s="1546">
        <v>0.25</v>
      </c>
      <c r="U452" s="1546">
        <v>0.16</v>
      </c>
      <c r="V452" s="1546">
        <v>0.25</v>
      </c>
      <c r="W452" s="1546">
        <v>0.19</v>
      </c>
      <c r="X452" s="1546">
        <v>0.21</v>
      </c>
      <c r="Y452" s="1546">
        <v>0.21</v>
      </c>
      <c r="Z452" s="1546">
        <v>0.22</v>
      </c>
      <c r="AA452" s="1546">
        <v>0.25</v>
      </c>
      <c r="AB452" s="1546">
        <v>0.23</v>
      </c>
      <c r="AC452" s="1546">
        <v>0.19</v>
      </c>
      <c r="AD452" s="1546">
        <v>0.11</v>
      </c>
      <c r="AE452" s="1546">
        <v>0.09</v>
      </c>
      <c r="AF452" s="1546">
        <v>7.0000000000000007E-2</v>
      </c>
      <c r="AG452" s="1546">
        <v>0.11</v>
      </c>
      <c r="AH452" s="1546">
        <v>0.14000000000000001</v>
      </c>
      <c r="AI452" s="1546">
        <v>0.15</v>
      </c>
      <c r="AJ452" s="1546">
        <v>0.18</v>
      </c>
      <c r="AK452" s="1546">
        <v>0.17</v>
      </c>
      <c r="AL452" s="1546">
        <v>0.15</v>
      </c>
      <c r="AM452" s="1546">
        <v>0.13</v>
      </c>
      <c r="AN452" s="1546"/>
      <c r="AO452" s="1546"/>
      <c r="AP452" s="1546"/>
      <c r="AQ452" s="1546"/>
      <c r="BG452" s="1547"/>
      <c r="BH452" s="1547">
        <f>+AVERAGE(H452:K452)</f>
        <v>0.46499999999999997</v>
      </c>
      <c r="BI452" s="1547">
        <f>+AVERAGE(L452:O452)</f>
        <v>0.40749999999999997</v>
      </c>
      <c r="BJ452" s="1547">
        <f>+AVERAGE(P452:S452)</f>
        <v>0.32750000000000001</v>
      </c>
      <c r="BK452" s="1547">
        <f t="shared" si="2266"/>
        <v>0.21250000000000002</v>
      </c>
      <c r="BL452" s="1547">
        <f t="shared" si="2267"/>
        <v>0.2225</v>
      </c>
      <c r="BM452" s="1547">
        <f>+AVERAGE(AB452:AE452)</f>
        <v>0.155</v>
      </c>
      <c r="BN452" s="1547">
        <f t="shared" ref="BN452:BN456" si="2268">AVERAGE(AF452:AI452)</f>
        <v>0.11749999999999999</v>
      </c>
      <c r="BO452" s="1547">
        <f t="shared" ref="BO452:BO470" si="2269">AVERAGE(AJ452:AM452)</f>
        <v>0.1575</v>
      </c>
      <c r="BP452" s="1547"/>
      <c r="BT452" s="1530"/>
      <c r="BU452" s="1530"/>
      <c r="BV452" s="1530"/>
      <c r="BW452" s="1530"/>
      <c r="BX452" s="1530"/>
      <c r="BY452" s="1530"/>
      <c r="BZ452" s="1530"/>
      <c r="CA452" s="1530"/>
      <c r="CB452" s="1530"/>
      <c r="CC452" s="1530"/>
    </row>
    <row r="453" spans="2:81" s="1518" customFormat="1" outlineLevel="1">
      <c r="B453" s="1518" t="s">
        <v>377</v>
      </c>
      <c r="D453" s="1546">
        <v>-0.13</v>
      </c>
      <c r="E453" s="1546">
        <v>-0.14000000000000001</v>
      </c>
      <c r="F453" s="1546">
        <v>0.03</v>
      </c>
      <c r="G453" s="1546">
        <v>0.19</v>
      </c>
      <c r="H453" s="1546">
        <v>0.03</v>
      </c>
      <c r="I453" s="1546">
        <v>0.2</v>
      </c>
      <c r="J453" s="1546">
        <v>0.11</v>
      </c>
      <c r="K453" s="1546">
        <v>0.11</v>
      </c>
      <c r="L453" s="1546">
        <v>0.12</v>
      </c>
      <c r="M453" s="1546">
        <v>0.12</v>
      </c>
      <c r="N453" s="1546">
        <v>0.12</v>
      </c>
      <c r="O453" s="1546">
        <v>0.08</v>
      </c>
      <c r="P453" s="1546">
        <v>0.16</v>
      </c>
      <c r="Q453" s="1546">
        <v>0.01</v>
      </c>
      <c r="R453" s="1546">
        <v>0.08</v>
      </c>
      <c r="S453" s="1546">
        <v>0.06</v>
      </c>
      <c r="T453" s="1546">
        <v>0.05</v>
      </c>
      <c r="U453" s="1546">
        <v>0.19</v>
      </c>
      <c r="V453" s="1546">
        <v>0.15</v>
      </c>
      <c r="W453" s="1546">
        <v>0.06</v>
      </c>
      <c r="X453" s="1546">
        <v>0.11</v>
      </c>
      <c r="Y453" s="1546">
        <v>7.0000000000000007E-2</v>
      </c>
      <c r="Z453" s="1546">
        <v>0.05</v>
      </c>
      <c r="AA453" s="1546">
        <v>0.18</v>
      </c>
      <c r="AB453" s="1546">
        <v>0.1</v>
      </c>
      <c r="AC453" s="1546">
        <v>0.15</v>
      </c>
      <c r="AD453" s="1546">
        <v>0.12</v>
      </c>
      <c r="AE453" s="1546">
        <v>0.09</v>
      </c>
      <c r="AF453" s="1546">
        <v>7.0000000000000007E-2</v>
      </c>
      <c r="AG453" s="1546">
        <v>-0.02</v>
      </c>
      <c r="AH453" s="1546">
        <v>0.01</v>
      </c>
      <c r="AI453" s="1546">
        <v>0.03</v>
      </c>
      <c r="AJ453" s="1546">
        <v>0.03</v>
      </c>
      <c r="AK453" s="1546">
        <v>0.05</v>
      </c>
      <c r="AL453" s="1546">
        <v>0.04</v>
      </c>
      <c r="AM453" s="1546">
        <v>0.03</v>
      </c>
      <c r="AN453" s="1546">
        <v>0.02</v>
      </c>
      <c r="AO453" s="1546"/>
      <c r="AP453" s="1546"/>
      <c r="AQ453" s="1546"/>
      <c r="BG453" s="1547"/>
      <c r="BH453" s="1547">
        <f>+AVERAGE(H453:K453)</f>
        <v>0.1125</v>
      </c>
      <c r="BI453" s="1547">
        <f>+AVERAGE(L453:O453)</f>
        <v>0.11</v>
      </c>
      <c r="BJ453" s="1547">
        <f>AVERAGE(P453:S453)</f>
        <v>7.7499999999999999E-2</v>
      </c>
      <c r="BK453" s="1547">
        <f t="shared" si="2266"/>
        <v>0.1125</v>
      </c>
      <c r="BL453" s="1547">
        <f t="shared" si="2267"/>
        <v>0.10249999999999999</v>
      </c>
      <c r="BM453" s="1547">
        <f>+AVERAGE(AB453:AE453)</f>
        <v>0.11499999999999999</v>
      </c>
      <c r="BN453" s="1547">
        <f t="shared" si="2268"/>
        <v>2.2499999999999999E-2</v>
      </c>
      <c r="BO453" s="1547">
        <f t="shared" si="2269"/>
        <v>3.7499999999999999E-2</v>
      </c>
      <c r="BP453" s="1547"/>
      <c r="BT453" s="1535"/>
      <c r="BU453" s="1535"/>
      <c r="BV453" s="1535"/>
      <c r="BW453" s="1535"/>
      <c r="BX453" s="1535"/>
      <c r="BY453" s="1535"/>
      <c r="BZ453" s="1535"/>
      <c r="CA453" s="1535"/>
      <c r="CB453" s="1535"/>
      <c r="CC453" s="1535"/>
    </row>
    <row r="454" spans="2:81" s="1518" customFormat="1" hidden="1" outlineLevel="2">
      <c r="B454" s="1518" t="s">
        <v>407</v>
      </c>
      <c r="H454" s="1546"/>
      <c r="I454" s="1546"/>
      <c r="J454" s="1546"/>
      <c r="K454" s="1546"/>
      <c r="L454" s="1546"/>
      <c r="M454" s="1546"/>
      <c r="N454" s="1546">
        <v>0.37</v>
      </c>
      <c r="O454" s="1546">
        <v>0.37</v>
      </c>
      <c r="P454" s="1546">
        <v>0.33</v>
      </c>
      <c r="Q454" s="1546">
        <v>0.28999999999999998</v>
      </c>
      <c r="R454" s="1546">
        <v>0.27</v>
      </c>
      <c r="S454" s="1546">
        <v>0.25</v>
      </c>
      <c r="T454" s="1546">
        <v>0.25</v>
      </c>
      <c r="U454" s="1546">
        <v>0.24</v>
      </c>
      <c r="V454" s="1546">
        <v>0.21</v>
      </c>
      <c r="W454" s="1546">
        <v>0.1</v>
      </c>
      <c r="X454" s="1546">
        <v>0.16</v>
      </c>
      <c r="Y454" s="1546">
        <v>0.23</v>
      </c>
      <c r="Z454" s="1546">
        <v>0.25</v>
      </c>
      <c r="AA454" s="1546">
        <v>0.46</v>
      </c>
      <c r="AB454" s="1546">
        <v>0.42</v>
      </c>
      <c r="AC454" s="1546">
        <v>0.37</v>
      </c>
      <c r="AD454" s="1546">
        <v>0.34</v>
      </c>
      <c r="AE454" s="1546">
        <v>0.26</v>
      </c>
      <c r="AF454" s="1546">
        <v>0.17</v>
      </c>
      <c r="AG454" s="1546">
        <v>0.1</v>
      </c>
      <c r="AH454" s="1546"/>
      <c r="AI454" s="1546"/>
      <c r="AJ454" s="1546"/>
      <c r="AK454" s="1546"/>
      <c r="AL454" s="1546"/>
      <c r="AM454" s="1546"/>
      <c r="AN454" s="1546"/>
      <c r="AO454" s="1546"/>
      <c r="AP454" s="1546"/>
      <c r="AQ454" s="1546"/>
      <c r="BG454" s="1547"/>
      <c r="BH454" s="1547"/>
      <c r="BI454" s="1595" t="s">
        <v>273</v>
      </c>
      <c r="BJ454" s="1547">
        <f>AVERAGE(P454:S454)</f>
        <v>0.28500000000000003</v>
      </c>
      <c r="BK454" s="1547">
        <f t="shared" si="2266"/>
        <v>0.19999999999999998</v>
      </c>
      <c r="BL454" s="1547">
        <f t="shared" si="2267"/>
        <v>0.27500000000000002</v>
      </c>
      <c r="BM454" s="1547">
        <f>+AVERAGE(AB454:AE454)</f>
        <v>0.34750000000000003</v>
      </c>
      <c r="BN454" s="1547">
        <f t="shared" si="2268"/>
        <v>0.13500000000000001</v>
      </c>
      <c r="BO454" s="1547" t="e">
        <f t="shared" si="2269"/>
        <v>#DIV/0!</v>
      </c>
      <c r="BP454" s="1547"/>
    </row>
    <row r="455" spans="2:81" s="1518" customFormat="1" outlineLevel="1" collapsed="1">
      <c r="B455" s="1518" t="s">
        <v>378</v>
      </c>
      <c r="D455" s="1518">
        <v>0.03</v>
      </c>
      <c r="E455" s="1518">
        <v>0.03</v>
      </c>
      <c r="F455" s="1518">
        <v>0.04</v>
      </c>
      <c r="G455" s="1518">
        <v>0.06</v>
      </c>
      <c r="H455" s="1546">
        <v>0.1</v>
      </c>
      <c r="I455" s="1546">
        <v>0.01</v>
      </c>
      <c r="J455" s="1546">
        <v>0.1</v>
      </c>
      <c r="K455" s="1546">
        <v>0.02</v>
      </c>
      <c r="L455" s="1546">
        <v>0.13</v>
      </c>
      <c r="M455" s="1546">
        <v>0.1</v>
      </c>
      <c r="N455" s="1546">
        <v>0.17</v>
      </c>
      <c r="O455" s="1546">
        <v>0.11</v>
      </c>
      <c r="P455" s="1546">
        <v>0.2</v>
      </c>
      <c r="Q455" s="1546">
        <v>0.17</v>
      </c>
      <c r="R455" s="1546">
        <v>0.13</v>
      </c>
      <c r="S455" s="1546">
        <v>0.12</v>
      </c>
      <c r="T455" s="1546">
        <v>0.14000000000000001</v>
      </c>
      <c r="U455" s="1546">
        <v>0.12</v>
      </c>
      <c r="V455" s="1546">
        <v>0.17</v>
      </c>
      <c r="W455" s="1546">
        <v>0.13</v>
      </c>
      <c r="X455" s="1546">
        <v>0.19</v>
      </c>
      <c r="Y455" s="1546">
        <v>0.21</v>
      </c>
      <c r="Z455" s="1546">
        <v>0.26</v>
      </c>
      <c r="AA455" s="1546">
        <v>0.33</v>
      </c>
      <c r="AB455" s="1546">
        <v>0.31</v>
      </c>
      <c r="AC455" s="1546">
        <v>0.28999999999999998</v>
      </c>
      <c r="AD455" s="1546">
        <v>0.22</v>
      </c>
      <c r="AE455" s="1546">
        <v>0.19</v>
      </c>
      <c r="AF455" s="1546">
        <v>0.15</v>
      </c>
      <c r="AG455" s="1546">
        <v>0.13</v>
      </c>
      <c r="AH455" s="1546">
        <v>0.17</v>
      </c>
      <c r="AI455" s="1546">
        <v>0.19</v>
      </c>
      <c r="AJ455" s="1546">
        <v>0.22</v>
      </c>
      <c r="AK455" s="1546">
        <v>0.21</v>
      </c>
      <c r="AL455" s="1546">
        <v>0.17</v>
      </c>
      <c r="AM455" s="1546">
        <v>0.16</v>
      </c>
      <c r="AN455" s="1546">
        <v>0.14000000000000001</v>
      </c>
      <c r="AO455" s="1546"/>
      <c r="AP455" s="1546"/>
      <c r="AQ455" s="1546"/>
      <c r="BG455" s="1547"/>
      <c r="BH455" s="1547">
        <f>+AVERAGE(H455:K455)</f>
        <v>5.7500000000000002E-2</v>
      </c>
      <c r="BI455" s="1547">
        <f>+AVERAGE(L455:O455)</f>
        <v>0.1275</v>
      </c>
      <c r="BJ455" s="1547">
        <f>AVERAGE(P455:S455)</f>
        <v>0.155</v>
      </c>
      <c r="BK455" s="1547">
        <f t="shared" si="2266"/>
        <v>0.14000000000000001</v>
      </c>
      <c r="BL455" s="1547">
        <f t="shared" si="2267"/>
        <v>0.2475</v>
      </c>
      <c r="BM455" s="1547">
        <f>+AVERAGE(AB455:AE455)</f>
        <v>0.2525</v>
      </c>
      <c r="BN455" s="1547">
        <f t="shared" si="2268"/>
        <v>0.16000000000000003</v>
      </c>
      <c r="BO455" s="1547">
        <f t="shared" si="2269"/>
        <v>0.19</v>
      </c>
      <c r="BP455" s="1547"/>
    </row>
    <row r="456" spans="2:81" s="1518" customFormat="1" outlineLevel="1" collapsed="1">
      <c r="B456" s="1518" t="s">
        <v>379</v>
      </c>
      <c r="H456" s="1546"/>
      <c r="I456" s="1546"/>
      <c r="J456" s="1546"/>
      <c r="K456" s="1546"/>
      <c r="L456" s="1546">
        <v>0.69</v>
      </c>
      <c r="M456" s="1546">
        <v>0.67</v>
      </c>
      <c r="N456" s="1546">
        <v>0.65</v>
      </c>
      <c r="O456" s="1546">
        <v>0.61</v>
      </c>
      <c r="P456" s="1546">
        <v>0.51</v>
      </c>
      <c r="Q456" s="1546">
        <v>0.51</v>
      </c>
      <c r="R456" s="1546">
        <v>0.43</v>
      </c>
      <c r="S456" s="1546">
        <v>0.45</v>
      </c>
      <c r="T456" s="1546">
        <v>0.41</v>
      </c>
      <c r="U456" s="1546">
        <v>0.42</v>
      </c>
      <c r="V456" s="1546">
        <v>0.47</v>
      </c>
      <c r="W456" s="1546">
        <v>0.38</v>
      </c>
      <c r="X456" s="1546">
        <v>0.38</v>
      </c>
      <c r="Y456" s="1546">
        <v>0.39</v>
      </c>
      <c r="Z456" s="1546">
        <v>0.45</v>
      </c>
      <c r="AA456" s="1546">
        <v>0.49</v>
      </c>
      <c r="AB456" s="1546">
        <v>0.48</v>
      </c>
      <c r="AC456" s="1546">
        <v>0.45</v>
      </c>
      <c r="AD456" s="1546">
        <v>0.35</v>
      </c>
      <c r="AE456" s="1546">
        <v>0.31</v>
      </c>
      <c r="AF456" s="1546">
        <v>0.24</v>
      </c>
      <c r="AG456" s="1546">
        <v>0.21</v>
      </c>
      <c r="AH456" s="1546">
        <v>0.25</v>
      </c>
      <c r="AI456" s="1546">
        <v>0.26</v>
      </c>
      <c r="AJ456" s="1546">
        <v>0.28000000000000003</v>
      </c>
      <c r="AK456" s="1546">
        <v>0.27</v>
      </c>
      <c r="AL456" s="1546">
        <v>0.23</v>
      </c>
      <c r="AM456" s="1546">
        <v>0.19</v>
      </c>
      <c r="AN456" s="1546">
        <v>0.18</v>
      </c>
      <c r="AO456" s="1546"/>
      <c r="AP456" s="1546"/>
      <c r="AQ456" s="1546"/>
      <c r="BG456" s="1547"/>
      <c r="BH456" s="1547"/>
      <c r="BI456" s="1547">
        <f>+AVERAGE(L456:O456)</f>
        <v>0.65499999999999992</v>
      </c>
      <c r="BJ456" s="1547">
        <f>AVERAGE(P456:S456)</f>
        <v>0.47499999999999998</v>
      </c>
      <c r="BK456" s="1547">
        <f t="shared" si="2266"/>
        <v>0.41999999999999993</v>
      </c>
      <c r="BL456" s="1547">
        <f t="shared" si="2267"/>
        <v>0.42749999999999999</v>
      </c>
      <c r="BM456" s="1547">
        <f t="shared" ref="BM456" si="2270">+AVERAGE(AB456:AE456)</f>
        <v>0.39749999999999996</v>
      </c>
      <c r="BN456" s="1547">
        <f t="shared" si="2268"/>
        <v>0.24</v>
      </c>
      <c r="BO456" s="1547">
        <f t="shared" si="2269"/>
        <v>0.24249999999999999</v>
      </c>
      <c r="BP456" s="1547"/>
      <c r="BT456" s="1540"/>
      <c r="BU456" s="1540"/>
      <c r="BV456" s="1540"/>
      <c r="BW456" s="1540"/>
      <c r="BX456" s="1540"/>
      <c r="BY456" s="1540"/>
      <c r="BZ456" s="1540"/>
      <c r="CA456" s="1540"/>
      <c r="CB456" s="1540"/>
      <c r="CC456" s="1540"/>
    </row>
    <row r="457" spans="2:81" s="1518" customFormat="1" outlineLevel="1">
      <c r="B457" s="1518" t="s">
        <v>408</v>
      </c>
      <c r="H457" s="1546"/>
      <c r="I457" s="1546"/>
      <c r="J457" s="1546"/>
      <c r="K457" s="1546"/>
      <c r="L457" s="1546"/>
      <c r="M457" s="1546"/>
      <c r="N457" s="1546"/>
      <c r="O457" s="1546"/>
      <c r="P457" s="1546"/>
      <c r="Q457" s="1546"/>
      <c r="R457" s="1546"/>
      <c r="S457" s="1546"/>
      <c r="T457" s="1546"/>
      <c r="U457" s="1546"/>
      <c r="V457" s="1546"/>
      <c r="W457" s="1546"/>
      <c r="X457" s="1546"/>
      <c r="Y457" s="1546"/>
      <c r="Z457" s="1546"/>
      <c r="AA457" s="1546"/>
      <c r="AB457" s="1546"/>
      <c r="AC457" s="1546"/>
      <c r="AD457" s="1546"/>
      <c r="AE457" s="1546"/>
      <c r="AF457" s="1546"/>
      <c r="AG457" s="1546"/>
      <c r="AH457" s="1546"/>
      <c r="AI457" s="1546"/>
      <c r="AJ457" s="1546">
        <v>-0.05</v>
      </c>
      <c r="AK457" s="1546">
        <v>0.04</v>
      </c>
      <c r="AL457" s="1546">
        <v>0.02</v>
      </c>
      <c r="AM457" s="1546">
        <v>-0.01</v>
      </c>
      <c r="AN457" s="1546"/>
      <c r="AO457" s="1546"/>
      <c r="AP457" s="1546"/>
      <c r="AQ457" s="1546"/>
      <c r="BG457" s="1547"/>
      <c r="BH457" s="1547"/>
      <c r="BI457" s="1547"/>
      <c r="BJ457" s="1547"/>
      <c r="BK457" s="1547"/>
      <c r="BL457" s="1547"/>
      <c r="BM457" s="1547"/>
      <c r="BN457" s="1547"/>
      <c r="BO457" s="1547">
        <f t="shared" si="2269"/>
        <v>0</v>
      </c>
      <c r="BP457" s="1547"/>
      <c r="BT457" s="1541"/>
      <c r="BU457" s="1541"/>
      <c r="BV457" s="1541"/>
      <c r="BW457" s="1541"/>
      <c r="BX457" s="1541"/>
      <c r="BY457" s="1541"/>
      <c r="BZ457" s="1541"/>
      <c r="CA457" s="1541"/>
      <c r="CB457" s="1541"/>
      <c r="CC457" s="1541"/>
    </row>
    <row r="458" spans="2:81" s="1518" customFormat="1" outlineLevel="1">
      <c r="B458" s="1518" t="s">
        <v>380</v>
      </c>
      <c r="H458" s="1546"/>
      <c r="I458" s="1546"/>
      <c r="J458" s="1546"/>
      <c r="K458" s="1546"/>
      <c r="L458" s="1546"/>
      <c r="M458" s="1546"/>
      <c r="N458" s="1546"/>
      <c r="O458" s="1546"/>
      <c r="P458" s="1546"/>
      <c r="Q458" s="1546"/>
      <c r="R458" s="1546"/>
      <c r="S458" s="1546"/>
      <c r="T458" s="1546"/>
      <c r="U458" s="1546"/>
      <c r="V458" s="1546"/>
      <c r="W458" s="1546"/>
      <c r="X458" s="1546"/>
      <c r="Y458" s="1546"/>
      <c r="Z458" s="1546"/>
      <c r="AA458" s="1546"/>
      <c r="AB458" s="1546"/>
      <c r="AC458" s="1546"/>
      <c r="AD458" s="1546"/>
      <c r="AE458" s="1546"/>
      <c r="AF458" s="1546"/>
      <c r="AG458" s="1546"/>
      <c r="AH458" s="1546"/>
      <c r="AI458" s="1546"/>
      <c r="AJ458" s="1546"/>
      <c r="AK458" s="1546"/>
      <c r="AL458" s="1546"/>
      <c r="AM458" s="1546"/>
      <c r="AN458" s="1546">
        <v>0.13</v>
      </c>
      <c r="AO458" s="1546"/>
      <c r="AP458" s="1546"/>
      <c r="AQ458" s="1546"/>
      <c r="BG458" s="1547"/>
      <c r="BH458" s="1547"/>
      <c r="BI458" s="1547"/>
      <c r="BJ458" s="1547"/>
      <c r="BK458" s="1547"/>
      <c r="BL458" s="1547"/>
      <c r="BM458" s="1547"/>
      <c r="BN458" s="1547"/>
      <c r="BO458" s="1547"/>
      <c r="BP458" s="1547"/>
      <c r="BT458" s="1541"/>
      <c r="BU458" s="1541"/>
      <c r="BV458" s="1541"/>
      <c r="BW458" s="1541"/>
      <c r="BX458" s="1541"/>
      <c r="BY458" s="1541"/>
      <c r="BZ458" s="1541"/>
      <c r="CA458" s="1541"/>
      <c r="CB458" s="1541"/>
      <c r="CC458" s="1541"/>
    </row>
    <row r="459" spans="2:81" s="1518" customFormat="1" outlineLevel="1">
      <c r="B459" s="1518" t="s">
        <v>381</v>
      </c>
      <c r="H459" s="1546"/>
      <c r="I459" s="1546"/>
      <c r="J459" s="1546"/>
      <c r="K459" s="1546"/>
      <c r="L459" s="1546"/>
      <c r="M459" s="1546"/>
      <c r="N459" s="1546"/>
      <c r="O459" s="1546"/>
      <c r="P459" s="1546"/>
      <c r="Q459" s="1546"/>
      <c r="R459" s="1546"/>
      <c r="S459" s="1546"/>
      <c r="T459" s="1546"/>
      <c r="U459" s="1546"/>
      <c r="V459" s="1546"/>
      <c r="W459" s="1546"/>
      <c r="X459" s="1546"/>
      <c r="Y459" s="1546"/>
      <c r="Z459" s="1546"/>
      <c r="AA459" s="1546"/>
      <c r="AB459" s="1546"/>
      <c r="AC459" s="1546"/>
      <c r="AD459" s="1546"/>
      <c r="AE459" s="1546"/>
      <c r="AF459" s="1546"/>
      <c r="AG459" s="1546"/>
      <c r="AH459" s="1546"/>
      <c r="AI459" s="1546"/>
      <c r="AJ459" s="1546"/>
      <c r="AK459" s="1546"/>
      <c r="AL459" s="1546"/>
      <c r="AM459" s="1546"/>
      <c r="AN459" s="1546">
        <v>0.15</v>
      </c>
      <c r="AO459" s="1546"/>
      <c r="AP459" s="1546"/>
      <c r="AQ459" s="1546"/>
      <c r="BG459" s="1547"/>
      <c r="BH459" s="1547"/>
      <c r="BI459" s="1547"/>
      <c r="BJ459" s="1547"/>
      <c r="BK459" s="1547"/>
      <c r="BL459" s="1547"/>
      <c r="BM459" s="1547"/>
      <c r="BN459" s="1547"/>
      <c r="BO459" s="1547"/>
      <c r="BP459" s="1547"/>
      <c r="BT459" s="1541"/>
      <c r="BU459" s="1541"/>
      <c r="BV459" s="1541"/>
      <c r="BW459" s="1541"/>
      <c r="BX459" s="1541"/>
      <c r="BY459" s="1541"/>
      <c r="BZ459" s="1541"/>
      <c r="CA459" s="1541"/>
      <c r="CB459" s="1541"/>
      <c r="CC459" s="1541"/>
    </row>
    <row r="460" spans="2:81" s="1518" customFormat="1" outlineLevel="1">
      <c r="B460" s="1518" t="s">
        <v>382</v>
      </c>
      <c r="H460" s="1546"/>
      <c r="I460" s="1546"/>
      <c r="J460" s="1546"/>
      <c r="K460" s="1546"/>
      <c r="L460" s="1546"/>
      <c r="M460" s="1546"/>
      <c r="N460" s="1546"/>
      <c r="O460" s="1546"/>
      <c r="P460" s="1546"/>
      <c r="Q460" s="1546"/>
      <c r="R460" s="1546"/>
      <c r="S460" s="1546"/>
      <c r="T460" s="1546"/>
      <c r="U460" s="1546"/>
      <c r="V460" s="1546"/>
      <c r="W460" s="1546"/>
      <c r="X460" s="1546"/>
      <c r="Y460" s="1546"/>
      <c r="Z460" s="1546"/>
      <c r="AA460" s="1546"/>
      <c r="AB460" s="1546"/>
      <c r="AC460" s="1546"/>
      <c r="AD460" s="1546"/>
      <c r="AE460" s="1546"/>
      <c r="AF460" s="1546"/>
      <c r="AG460" s="1546"/>
      <c r="AH460" s="1546"/>
      <c r="AI460" s="1546"/>
      <c r="AJ460" s="1546"/>
      <c r="AK460" s="1546"/>
      <c r="AL460" s="1546"/>
      <c r="AM460" s="1546"/>
      <c r="AN460" s="1546">
        <v>0.05</v>
      </c>
      <c r="AO460" s="1546"/>
      <c r="AP460" s="1546"/>
      <c r="AQ460" s="1546"/>
      <c r="BG460" s="1547"/>
      <c r="BH460" s="1547"/>
      <c r="BI460" s="1547"/>
      <c r="BJ460" s="1547"/>
      <c r="BK460" s="1547"/>
      <c r="BL460" s="1547"/>
      <c r="BM460" s="1547"/>
      <c r="BN460" s="1547"/>
      <c r="BO460" s="1547"/>
      <c r="BP460" s="1547"/>
      <c r="BT460" s="1541"/>
      <c r="BU460" s="1541"/>
      <c r="BV460" s="1541"/>
      <c r="BW460" s="1541"/>
      <c r="BX460" s="1541"/>
      <c r="BY460" s="1541"/>
      <c r="BZ460" s="1541"/>
      <c r="CA460" s="1541"/>
      <c r="CB460" s="1541"/>
      <c r="CC460" s="1541"/>
    </row>
    <row r="461" spans="2:81" s="1518" customFormat="1" outlineLevel="1">
      <c r="B461" s="1518" t="s">
        <v>383</v>
      </c>
      <c r="H461" s="1546"/>
      <c r="I461" s="1546"/>
      <c r="J461" s="1546"/>
      <c r="K461" s="1546"/>
      <c r="L461" s="1546"/>
      <c r="M461" s="1546"/>
      <c r="N461" s="1546"/>
      <c r="O461" s="1546"/>
      <c r="P461" s="1546"/>
      <c r="Q461" s="1546"/>
      <c r="R461" s="1546"/>
      <c r="S461" s="1546"/>
      <c r="T461" s="1546"/>
      <c r="U461" s="1546"/>
      <c r="V461" s="1546"/>
      <c r="W461" s="1546"/>
      <c r="X461" s="1546"/>
      <c r="Y461" s="1546"/>
      <c r="Z461" s="1546"/>
      <c r="AA461" s="1546"/>
      <c r="AB461" s="1546"/>
      <c r="AC461" s="1546"/>
      <c r="AD461" s="1546"/>
      <c r="AE461" s="1546"/>
      <c r="AF461" s="1546"/>
      <c r="AG461" s="1546"/>
      <c r="AH461" s="1546"/>
      <c r="AI461" s="1546"/>
      <c r="AJ461" s="1546"/>
      <c r="AK461" s="1546"/>
      <c r="AL461" s="1546"/>
      <c r="AM461" s="1546"/>
      <c r="AN461" s="1546">
        <v>0.06</v>
      </c>
      <c r="AO461" s="1546"/>
      <c r="AP461" s="1546"/>
      <c r="AQ461" s="1546"/>
      <c r="BG461" s="1547"/>
      <c r="BH461" s="1547"/>
      <c r="BI461" s="1547"/>
      <c r="BJ461" s="1547"/>
      <c r="BK461" s="1547"/>
      <c r="BL461" s="1547"/>
      <c r="BM461" s="1547"/>
      <c r="BN461" s="1547"/>
      <c r="BO461" s="1547"/>
      <c r="BP461" s="1547"/>
      <c r="BT461" s="1541"/>
      <c r="BU461" s="1541"/>
      <c r="BV461" s="1541"/>
      <c r="BW461" s="1541"/>
      <c r="BX461" s="1541"/>
      <c r="BY461" s="1541"/>
      <c r="BZ461" s="1541"/>
      <c r="CA461" s="1541"/>
      <c r="CB461" s="1541"/>
      <c r="CC461" s="1541"/>
    </row>
    <row r="462" spans="2:81" s="1518" customFormat="1" ht="10.5" outlineLevel="1">
      <c r="B462" s="1299"/>
      <c r="D462" s="1580"/>
      <c r="E462" s="1580"/>
      <c r="F462" s="1580"/>
      <c r="G462" s="1580"/>
      <c r="BO462" s="1547"/>
      <c r="BT462" s="1540"/>
      <c r="BU462" s="1540"/>
      <c r="BV462" s="1540"/>
      <c r="BW462" s="1540"/>
      <c r="BX462" s="1540"/>
      <c r="BY462" s="1540"/>
      <c r="BZ462" s="1540"/>
      <c r="CA462" s="1540"/>
      <c r="CB462" s="1540"/>
      <c r="CC462" s="1540"/>
    </row>
    <row r="463" spans="2:81" s="1518" customFormat="1" outlineLevel="1">
      <c r="B463" s="1300" t="s">
        <v>384</v>
      </c>
      <c r="D463" s="1580"/>
      <c r="E463" s="1580"/>
      <c r="F463" s="1580"/>
      <c r="G463" s="1580"/>
      <c r="BO463" s="1547"/>
      <c r="BT463" s="1540"/>
      <c r="BU463" s="1540"/>
      <c r="BV463" s="1540"/>
      <c r="BW463" s="1540"/>
      <c r="BX463" s="1540"/>
      <c r="BY463" s="1540"/>
      <c r="BZ463" s="1540"/>
      <c r="CA463" s="1540"/>
      <c r="CB463" s="1540"/>
      <c r="CC463" s="1540"/>
    </row>
    <row r="464" spans="2:81" s="1518" customFormat="1" outlineLevel="1">
      <c r="B464" s="1518" t="s">
        <v>405</v>
      </c>
      <c r="D464" s="1546">
        <v>0.05</v>
      </c>
      <c r="E464" s="1546">
        <v>0.05</v>
      </c>
      <c r="F464" s="1546">
        <v>7.0000000000000007E-2</v>
      </c>
      <c r="G464" s="1546">
        <v>0.09</v>
      </c>
      <c r="H464" s="1546">
        <v>0.11</v>
      </c>
      <c r="I464" s="1546">
        <v>0.08</v>
      </c>
      <c r="J464" s="1546">
        <v>0.1</v>
      </c>
      <c r="K464" s="1546">
        <v>0.06</v>
      </c>
      <c r="L464" s="1546">
        <v>0.1</v>
      </c>
      <c r="M464" s="1546">
        <v>0.1</v>
      </c>
      <c r="N464" s="1546">
        <v>0.12</v>
      </c>
      <c r="O464" s="1546">
        <v>0.08</v>
      </c>
      <c r="P464" s="1546">
        <v>0.16</v>
      </c>
      <c r="Q464" s="1546">
        <v>0.11</v>
      </c>
      <c r="R464" s="1546">
        <v>0.14000000000000001</v>
      </c>
      <c r="S464" s="1546">
        <v>0.16</v>
      </c>
      <c r="T464" s="1546">
        <v>0.15</v>
      </c>
      <c r="U464" s="1546">
        <v>0.18</v>
      </c>
      <c r="V464" s="1546">
        <v>0.15</v>
      </c>
      <c r="W464" s="1546">
        <v>7.0000000000000007E-2</v>
      </c>
      <c r="X464" s="1546">
        <v>0.09</v>
      </c>
      <c r="Y464" s="1546">
        <v>0.09</v>
      </c>
      <c r="Z464" s="1546">
        <v>0.1</v>
      </c>
      <c r="AA464" s="1546">
        <v>0.15</v>
      </c>
      <c r="AB464" s="1546">
        <v>0.16</v>
      </c>
      <c r="AC464" s="1546">
        <v>0.14000000000000001</v>
      </c>
      <c r="AD464" s="1546">
        <v>0.14000000000000001</v>
      </c>
      <c r="AE464" s="1546">
        <v>0.13</v>
      </c>
      <c r="AF464" s="1546">
        <v>0.13</v>
      </c>
      <c r="AG464" s="1546">
        <v>0.14000000000000001</v>
      </c>
      <c r="AH464" s="1546">
        <v>0.17</v>
      </c>
      <c r="AI464" s="1546">
        <v>0.14000000000000001</v>
      </c>
      <c r="AJ464" s="1546">
        <v>0.14000000000000001</v>
      </c>
      <c r="AK464" s="1546">
        <v>0.13</v>
      </c>
      <c r="AL464" s="1546">
        <v>0.12</v>
      </c>
      <c r="AM464" s="1546">
        <v>0.13</v>
      </c>
      <c r="AN464" s="1546"/>
      <c r="AO464" s="1546"/>
      <c r="AP464" s="1546"/>
      <c r="AQ464" s="1546"/>
      <c r="BG464" s="1547"/>
      <c r="BH464" s="1547">
        <f>+AVERAGE(H464:K464)</f>
        <v>8.7500000000000008E-2</v>
      </c>
      <c r="BI464" s="1547">
        <f>+AVERAGE(L464:O464)</f>
        <v>0.1</v>
      </c>
      <c r="BJ464" s="1547">
        <f>+AVERAGE(P464:S464)</f>
        <v>0.14250000000000002</v>
      </c>
      <c r="BK464" s="1547">
        <f t="shared" ref="BK464:BK469" si="2271">+AVERAGE(T464:W464)</f>
        <v>0.13750000000000001</v>
      </c>
      <c r="BL464" s="1547">
        <f t="shared" ref="BL464:BL469" si="2272">+AVERAGE(X464:AA464)</f>
        <v>0.10750000000000001</v>
      </c>
      <c r="BM464" s="1547">
        <f>+AVERAGE(AB464:AE464)</f>
        <v>0.14250000000000002</v>
      </c>
      <c r="BN464" s="1547">
        <f t="shared" ref="BN464:BN469" si="2273">AVERAGE(AF464:AI464)</f>
        <v>0.14500000000000002</v>
      </c>
      <c r="BO464" s="1547">
        <f t="shared" si="2269"/>
        <v>0.13</v>
      </c>
      <c r="BP464" s="1547"/>
      <c r="BT464" s="1541"/>
      <c r="BU464" s="1541"/>
      <c r="BV464" s="1541"/>
      <c r="BW464" s="1541"/>
      <c r="BX464" s="1541"/>
      <c r="BY464" s="1541"/>
      <c r="BZ464" s="1541"/>
      <c r="CA464" s="1541"/>
      <c r="CB464" s="1541"/>
      <c r="CC464" s="1541"/>
    </row>
    <row r="465" spans="2:81" s="1518" customFormat="1" outlineLevel="1">
      <c r="B465" s="1518" t="s">
        <v>406</v>
      </c>
      <c r="D465" s="1546">
        <v>0.7</v>
      </c>
      <c r="E465" s="1546">
        <v>0.7</v>
      </c>
      <c r="F465" s="1546">
        <v>0.63</v>
      </c>
      <c r="G465" s="1546">
        <v>0.59</v>
      </c>
      <c r="H465" s="1546">
        <v>0.54</v>
      </c>
      <c r="I465" s="1546">
        <v>0.49</v>
      </c>
      <c r="J465" s="1546">
        <v>0.45</v>
      </c>
      <c r="K465" s="1546">
        <v>0.44</v>
      </c>
      <c r="L465" s="1546">
        <v>0.42</v>
      </c>
      <c r="M465" s="1546">
        <v>0.41</v>
      </c>
      <c r="N465" s="1546">
        <v>0.4</v>
      </c>
      <c r="O465" s="1546">
        <v>0.35</v>
      </c>
      <c r="P465" s="1546">
        <v>0.35</v>
      </c>
      <c r="Q465" s="1546">
        <v>0.33</v>
      </c>
      <c r="R465" s="1546">
        <v>0.31</v>
      </c>
      <c r="S465" s="1546">
        <v>0.34</v>
      </c>
      <c r="T465" s="1546">
        <v>0.28000000000000003</v>
      </c>
      <c r="U465" s="1546">
        <v>0.18</v>
      </c>
      <c r="V465" s="1546">
        <v>0.27</v>
      </c>
      <c r="W465" s="1546">
        <v>0.22</v>
      </c>
      <c r="X465" s="1546">
        <v>0.2</v>
      </c>
      <c r="Y465" s="1546">
        <v>0.2</v>
      </c>
      <c r="Z465" s="1546">
        <v>0.19</v>
      </c>
      <c r="AA465" s="1546">
        <v>0.2</v>
      </c>
      <c r="AB465" s="1546">
        <v>0.21</v>
      </c>
      <c r="AC465" s="1546">
        <v>0.19</v>
      </c>
      <c r="AD465" s="1546">
        <v>0.12</v>
      </c>
      <c r="AE465" s="1546">
        <v>0.12</v>
      </c>
      <c r="AF465" s="1546">
        <v>0.11</v>
      </c>
      <c r="AG465" s="1546">
        <v>0.18</v>
      </c>
      <c r="AH465" s="1546">
        <v>0.18</v>
      </c>
      <c r="AI465" s="1546">
        <v>0.17</v>
      </c>
      <c r="AJ465" s="1546">
        <v>0.17</v>
      </c>
      <c r="AK465" s="1546">
        <v>0.16</v>
      </c>
      <c r="AL465" s="1546">
        <v>0.15</v>
      </c>
      <c r="AM465" s="1546">
        <v>0.14000000000000001</v>
      </c>
      <c r="AN465" s="1546"/>
      <c r="AO465" s="1546"/>
      <c r="AP465" s="1546"/>
      <c r="AQ465" s="1546"/>
      <c r="BG465" s="1547"/>
      <c r="BH465" s="1547">
        <f>+AVERAGE(H465:K465)</f>
        <v>0.48</v>
      </c>
      <c r="BI465" s="1547">
        <f>+AVERAGE(L465:O465)</f>
        <v>0.39500000000000002</v>
      </c>
      <c r="BJ465" s="1547">
        <f>+AVERAGE(P465:S465)</f>
        <v>0.33250000000000002</v>
      </c>
      <c r="BK465" s="1547">
        <f t="shared" si="2271"/>
        <v>0.23749999999999999</v>
      </c>
      <c r="BL465" s="1547">
        <f t="shared" si="2272"/>
        <v>0.19750000000000001</v>
      </c>
      <c r="BM465" s="1547">
        <f>+AVERAGE(AB465:AE465)</f>
        <v>0.16</v>
      </c>
      <c r="BN465" s="1547">
        <f t="shared" si="2273"/>
        <v>0.16</v>
      </c>
      <c r="BO465" s="1547">
        <f t="shared" si="2269"/>
        <v>0.155</v>
      </c>
      <c r="BP465" s="1547"/>
      <c r="BT465" s="1535"/>
      <c r="BU465" s="1535"/>
      <c r="BV465" s="1535"/>
      <c r="BW465" s="1535"/>
      <c r="BX465" s="1535"/>
      <c r="BY465" s="1535"/>
      <c r="BZ465" s="1535"/>
      <c r="CA465" s="1535"/>
      <c r="CB465" s="1535"/>
      <c r="CC465" s="1535"/>
    </row>
    <row r="466" spans="2:81" s="1518" customFormat="1" outlineLevel="1">
      <c r="B466" s="1518" t="s">
        <v>377</v>
      </c>
      <c r="D466" s="1546">
        <v>-0.04</v>
      </c>
      <c r="E466" s="1546">
        <v>-0.08</v>
      </c>
      <c r="F466" s="1546">
        <v>0.06</v>
      </c>
      <c r="G466" s="1546">
        <v>0.18</v>
      </c>
      <c r="H466" s="1546">
        <v>0.03</v>
      </c>
      <c r="I466" s="1546">
        <v>0.19</v>
      </c>
      <c r="J466" s="1546">
        <v>0.11</v>
      </c>
      <c r="K466" s="1546">
        <v>0.11</v>
      </c>
      <c r="L466" s="1546">
        <v>0.1</v>
      </c>
      <c r="M466" s="1546">
        <v>0.11</v>
      </c>
      <c r="N466" s="1546">
        <v>0.09</v>
      </c>
      <c r="O466" s="1546">
        <v>0.06</v>
      </c>
      <c r="P466" s="1546">
        <v>0.17</v>
      </c>
      <c r="Q466" s="1546">
        <v>0.02</v>
      </c>
      <c r="R466" s="1546">
        <v>0.1</v>
      </c>
      <c r="S466" s="1546">
        <v>0.08</v>
      </c>
      <c r="T466" s="1546">
        <v>0.06</v>
      </c>
      <c r="U466" s="1546">
        <v>0.2</v>
      </c>
      <c r="V466" s="1546">
        <v>0.17</v>
      </c>
      <c r="W466" s="1546">
        <v>7.0000000000000007E-2</v>
      </c>
      <c r="X466" s="1546">
        <v>0.12</v>
      </c>
      <c r="Y466" s="1546">
        <v>0.06</v>
      </c>
      <c r="Z466" s="1546">
        <v>0.03</v>
      </c>
      <c r="AA466" s="1546">
        <v>0.15</v>
      </c>
      <c r="AB466" s="1546">
        <v>0.08</v>
      </c>
      <c r="AC466" s="1546">
        <v>0.15</v>
      </c>
      <c r="AD466" s="1546">
        <v>0.14000000000000001</v>
      </c>
      <c r="AE466" s="1546">
        <v>0.12</v>
      </c>
      <c r="AF466" s="1546">
        <v>0.11</v>
      </c>
      <c r="AG466" s="1546">
        <v>0.03</v>
      </c>
      <c r="AH466" s="1546">
        <v>0.04</v>
      </c>
      <c r="AI466" s="1546">
        <v>0.06</v>
      </c>
      <c r="AJ466" s="1546">
        <v>0.04</v>
      </c>
      <c r="AK466" s="1546">
        <v>0.04</v>
      </c>
      <c r="AL466" s="1546">
        <v>0.04</v>
      </c>
      <c r="AM466" s="1546">
        <v>0.04</v>
      </c>
      <c r="AN466" s="1546">
        <v>0.03</v>
      </c>
      <c r="AO466" s="1546"/>
      <c r="AP466" s="1546"/>
      <c r="AQ466" s="1546"/>
      <c r="BG466" s="1547"/>
      <c r="BH466" s="1547">
        <f>+AVERAGE(H466:K466)</f>
        <v>0.11</v>
      </c>
      <c r="BI466" s="1547">
        <f>+AVERAGE(L466:O466)</f>
        <v>9.0000000000000011E-2</v>
      </c>
      <c r="BJ466" s="1547">
        <f>AVERAGE(P466:S466)</f>
        <v>9.2500000000000013E-2</v>
      </c>
      <c r="BK466" s="1547">
        <f t="shared" si="2271"/>
        <v>0.125</v>
      </c>
      <c r="BL466" s="1547">
        <f t="shared" si="2272"/>
        <v>0.09</v>
      </c>
      <c r="BM466" s="1547">
        <f t="shared" ref="BM466" si="2274">+AVERAGE(AB466:AE466)</f>
        <v>0.1225</v>
      </c>
      <c r="BN466" s="1547">
        <f t="shared" si="2273"/>
        <v>6.0000000000000005E-2</v>
      </c>
      <c r="BO466" s="1547">
        <f t="shared" si="2269"/>
        <v>0.04</v>
      </c>
      <c r="BP466" s="1547"/>
      <c r="BT466" s="1535"/>
      <c r="BU466" s="1535"/>
      <c r="BV466" s="1535"/>
      <c r="BW466" s="1535"/>
      <c r="BX466" s="1535"/>
      <c r="BY466" s="1535"/>
      <c r="BZ466" s="1535"/>
      <c r="CA466" s="1535"/>
      <c r="CB466" s="1535"/>
      <c r="CC466" s="1535"/>
    </row>
    <row r="467" spans="2:81" s="1518" customFormat="1" hidden="1" outlineLevel="2">
      <c r="B467" s="1518" t="s">
        <v>407</v>
      </c>
      <c r="H467" s="1546"/>
      <c r="I467" s="1546"/>
      <c r="J467" s="1546"/>
      <c r="K467" s="1546"/>
      <c r="L467" s="1546"/>
      <c r="M467" s="1546"/>
      <c r="N467" s="1546">
        <v>0.33</v>
      </c>
      <c r="O467" s="1546">
        <v>0.34</v>
      </c>
      <c r="P467" s="1546">
        <v>0.33</v>
      </c>
      <c r="Q467" s="1546">
        <v>0.3</v>
      </c>
      <c r="R467" s="1546">
        <v>0.28999999999999998</v>
      </c>
      <c r="S467" s="1546">
        <v>0.28000000000000003</v>
      </c>
      <c r="T467" s="1546">
        <v>0.26</v>
      </c>
      <c r="U467" s="1546">
        <v>0.26</v>
      </c>
      <c r="V467" s="1546">
        <v>0.22</v>
      </c>
      <c r="W467" s="1546">
        <v>0.11</v>
      </c>
      <c r="X467" s="1546">
        <v>0.16</v>
      </c>
      <c r="Y467" s="1546">
        <v>0.22</v>
      </c>
      <c r="Z467" s="1546">
        <v>0.23</v>
      </c>
      <c r="AA467" s="1546">
        <v>0.42</v>
      </c>
      <c r="AB467" s="1546">
        <v>0.39</v>
      </c>
      <c r="AC467" s="1546">
        <v>0.36</v>
      </c>
      <c r="AD467" s="1546">
        <v>0.35</v>
      </c>
      <c r="AE467" s="1546">
        <v>0.28999999999999998</v>
      </c>
      <c r="AF467" s="1546">
        <v>0.21</v>
      </c>
      <c r="AG467" s="1546">
        <v>0.14000000000000001</v>
      </c>
      <c r="AH467" s="1546"/>
      <c r="AI467" s="1546"/>
      <c r="AJ467" s="1546"/>
      <c r="AK467" s="1546"/>
      <c r="AL467" s="1546"/>
      <c r="AM467" s="1546"/>
      <c r="AN467" s="1546"/>
      <c r="AO467" s="1546"/>
      <c r="AP467" s="1546"/>
      <c r="AQ467" s="1546"/>
      <c r="BG467" s="1547"/>
      <c r="BH467" s="1547"/>
      <c r="BI467" s="1595" t="s">
        <v>273</v>
      </c>
      <c r="BJ467" s="1547">
        <f>AVERAGE(P467:S467)</f>
        <v>0.3</v>
      </c>
      <c r="BK467" s="1547">
        <f t="shared" si="2271"/>
        <v>0.21249999999999999</v>
      </c>
      <c r="BL467" s="1547">
        <f t="shared" si="2272"/>
        <v>0.25750000000000001</v>
      </c>
      <c r="BM467" s="1547">
        <f t="shared" ref="BM467" si="2275">+AVERAGE(AB467:AE467)</f>
        <v>0.34750000000000003</v>
      </c>
      <c r="BN467" s="1547">
        <f t="shared" si="2273"/>
        <v>0.17499999999999999</v>
      </c>
      <c r="BO467" s="1547" t="e">
        <f t="shared" si="2269"/>
        <v>#DIV/0!</v>
      </c>
      <c r="BP467" s="1547"/>
      <c r="BT467" s="1535"/>
      <c r="BU467" s="1535"/>
      <c r="BV467" s="1535"/>
      <c r="BW467" s="1535"/>
      <c r="BX467" s="1535"/>
      <c r="BY467" s="1535"/>
      <c r="BZ467" s="1535"/>
      <c r="CA467" s="1535"/>
      <c r="CB467" s="1535"/>
      <c r="CC467" s="1535"/>
    </row>
    <row r="468" spans="2:81" s="1518" customFormat="1" outlineLevel="1" collapsed="1">
      <c r="B468" s="1518" t="s">
        <v>378</v>
      </c>
      <c r="D468" s="1518">
        <v>0.12</v>
      </c>
      <c r="E468" s="1518">
        <v>0.11</v>
      </c>
      <c r="F468" s="1518">
        <v>0.09</v>
      </c>
      <c r="G468" s="1518">
        <v>7.0000000000000007E-2</v>
      </c>
      <c r="H468" s="1546">
        <v>0.12</v>
      </c>
      <c r="I468" s="1546">
        <v>0.02</v>
      </c>
      <c r="J468" s="1546">
        <v>0.12</v>
      </c>
      <c r="K468" s="1546">
        <v>0.04</v>
      </c>
      <c r="L468" s="1546">
        <v>0.12</v>
      </c>
      <c r="M468" s="1546">
        <v>0.09</v>
      </c>
      <c r="N468" s="1546">
        <v>0.14000000000000001</v>
      </c>
      <c r="O468" s="1546">
        <v>0.08</v>
      </c>
      <c r="P468" s="1546">
        <v>0.2</v>
      </c>
      <c r="Q468" s="1546">
        <v>0.17</v>
      </c>
      <c r="R468" s="1546">
        <v>0.15</v>
      </c>
      <c r="S468" s="1546">
        <v>0.15</v>
      </c>
      <c r="T468" s="1546">
        <v>0.16</v>
      </c>
      <c r="U468" s="1546">
        <v>0.15</v>
      </c>
      <c r="V468" s="1546">
        <v>0.2</v>
      </c>
      <c r="W468" s="1546">
        <v>0.15</v>
      </c>
      <c r="X468" s="1546">
        <v>0.18</v>
      </c>
      <c r="Y468" s="1546">
        <v>0.18</v>
      </c>
      <c r="Z468" s="1546">
        <v>0.22</v>
      </c>
      <c r="AA468" s="1546">
        <v>0.26</v>
      </c>
      <c r="AB468" s="1546">
        <v>0.28999999999999998</v>
      </c>
      <c r="AC468" s="1546">
        <v>0.28999999999999998</v>
      </c>
      <c r="AD468" s="1546">
        <v>0.25</v>
      </c>
      <c r="AE468" s="1546">
        <v>0.24</v>
      </c>
      <c r="AF468" s="1546">
        <v>0.22</v>
      </c>
      <c r="AG468" s="1546">
        <v>0.2</v>
      </c>
      <c r="AH468" s="1546">
        <v>0.21</v>
      </c>
      <c r="AI468" s="1546">
        <v>0.21</v>
      </c>
      <c r="AJ468" s="1546">
        <v>0.21</v>
      </c>
      <c r="AK468" s="1546">
        <v>0.19</v>
      </c>
      <c r="AL468" s="1546">
        <v>0.17</v>
      </c>
      <c r="AM468" s="1546">
        <v>0.16</v>
      </c>
      <c r="AN468" s="1546">
        <v>0.14000000000000001</v>
      </c>
      <c r="AO468" s="1546"/>
      <c r="AP468" s="1546"/>
      <c r="AQ468" s="1546"/>
      <c r="BG468" s="1547"/>
      <c r="BH468" s="1547">
        <f>+AVERAGE(H468:K468)</f>
        <v>7.4999999999999997E-2</v>
      </c>
      <c r="BI468" s="1547">
        <f>+AVERAGE(L468:O468)</f>
        <v>0.1075</v>
      </c>
      <c r="BJ468" s="1547">
        <f>AVERAGE(P468:S468)</f>
        <v>0.16750000000000001</v>
      </c>
      <c r="BK468" s="1547">
        <f t="shared" si="2271"/>
        <v>0.16500000000000001</v>
      </c>
      <c r="BL468" s="1547">
        <f t="shared" si="2272"/>
        <v>0.21</v>
      </c>
      <c r="BM468" s="1547">
        <f t="shared" ref="BM468" si="2276">+AVERAGE(AB468:AE468)</f>
        <v>0.26749999999999996</v>
      </c>
      <c r="BN468" s="1547">
        <f t="shared" si="2273"/>
        <v>0.21</v>
      </c>
      <c r="BO468" s="1547">
        <f t="shared" si="2269"/>
        <v>0.18250000000000002</v>
      </c>
      <c r="BP468" s="1547"/>
    </row>
    <row r="469" spans="2:81" s="1518" customFormat="1" outlineLevel="1">
      <c r="B469" s="1518" t="s">
        <v>379</v>
      </c>
      <c r="H469" s="1546"/>
      <c r="I469" s="1546"/>
      <c r="J469" s="1546"/>
      <c r="K469" s="1546"/>
      <c r="L469" s="1546">
        <v>0.69</v>
      </c>
      <c r="M469" s="1546">
        <v>0.68</v>
      </c>
      <c r="N469" s="1546">
        <v>0.62</v>
      </c>
      <c r="O469" s="1546">
        <v>0.56000000000000005</v>
      </c>
      <c r="P469" s="1546">
        <v>0.49</v>
      </c>
      <c r="Q469" s="1546">
        <v>0.5</v>
      </c>
      <c r="R469" s="1546">
        <v>0.44</v>
      </c>
      <c r="S469" s="1546">
        <v>0.48</v>
      </c>
      <c r="T469" s="1546">
        <v>0.44</v>
      </c>
      <c r="U469" s="1546">
        <v>0.45</v>
      </c>
      <c r="V469" s="1546">
        <v>0.49</v>
      </c>
      <c r="W469" s="1546">
        <v>0.4</v>
      </c>
      <c r="X469" s="1546">
        <v>0.37</v>
      </c>
      <c r="Y469" s="1546">
        <v>0.37</v>
      </c>
      <c r="Z469" s="1546">
        <v>0.4</v>
      </c>
      <c r="AA469" s="1546">
        <v>0.42</v>
      </c>
      <c r="AB469" s="1546">
        <v>0.45</v>
      </c>
      <c r="AC469" s="1546">
        <v>0.44</v>
      </c>
      <c r="AD469" s="1546">
        <v>0.38</v>
      </c>
      <c r="AE469" s="1546">
        <v>0.36</v>
      </c>
      <c r="AF469" s="1546">
        <v>0.32</v>
      </c>
      <c r="AG469" s="1546">
        <v>0.28999999999999998</v>
      </c>
      <c r="AH469" s="1546">
        <v>0.28999999999999998</v>
      </c>
      <c r="AI469" s="1546">
        <v>0.28000000000000003</v>
      </c>
      <c r="AJ469" s="1546">
        <v>0.26</v>
      </c>
      <c r="AK469" s="1546">
        <v>0.24</v>
      </c>
      <c r="AL469" s="1546">
        <v>0.22</v>
      </c>
      <c r="AM469" s="1546">
        <v>0.2</v>
      </c>
      <c r="AN469" s="1546">
        <v>0.19</v>
      </c>
      <c r="AO469" s="1546"/>
      <c r="AP469" s="1546"/>
      <c r="AQ469" s="1546"/>
      <c r="BG469" s="1547"/>
      <c r="BH469" s="1547"/>
      <c r="BI469" s="1547">
        <f>+AVERAGE(L469:O469)</f>
        <v>0.63750000000000007</v>
      </c>
      <c r="BJ469" s="1547">
        <f>AVERAGE(P469:S469)</f>
        <v>0.47749999999999998</v>
      </c>
      <c r="BK469" s="1547">
        <f t="shared" si="2271"/>
        <v>0.44499999999999995</v>
      </c>
      <c r="BL469" s="1547">
        <f t="shared" si="2272"/>
        <v>0.39</v>
      </c>
      <c r="BM469" s="1547">
        <f>+AVERAGE(AB469:AE469)</f>
        <v>0.40749999999999997</v>
      </c>
      <c r="BN469" s="1547">
        <f t="shared" si="2273"/>
        <v>0.29499999999999998</v>
      </c>
      <c r="BO469" s="1547">
        <f t="shared" si="2269"/>
        <v>0.22999999999999998</v>
      </c>
      <c r="BP469" s="1547"/>
      <c r="BT469" s="1519"/>
      <c r="BU469" s="1519"/>
      <c r="BV469" s="1519"/>
      <c r="BW469" s="1519"/>
      <c r="BX469" s="1519"/>
      <c r="BY469" s="1519"/>
      <c r="BZ469" s="1519"/>
      <c r="CA469" s="1519"/>
      <c r="CB469" s="1519"/>
      <c r="CC469" s="1519"/>
    </row>
    <row r="470" spans="2:81" s="1518" customFormat="1" ht="11.45" outlineLevel="1">
      <c r="B470" s="1518" t="str">
        <f>+B457</f>
        <v>Windows OEM and Devices</v>
      </c>
      <c r="H470" s="1546"/>
      <c r="I470" s="1546"/>
      <c r="J470" s="1546"/>
      <c r="K470" s="1546"/>
      <c r="L470" s="1546"/>
      <c r="M470" s="1546"/>
      <c r="N470" s="1546"/>
      <c r="O470" s="1546"/>
      <c r="P470" s="1546"/>
      <c r="Q470" s="1546"/>
      <c r="R470" s="1546"/>
      <c r="S470" s="1546"/>
      <c r="T470" s="1546"/>
      <c r="U470" s="1546"/>
      <c r="V470" s="1546"/>
      <c r="W470" s="1546"/>
      <c r="X470" s="1546"/>
      <c r="Y470" s="1546"/>
      <c r="Z470" s="1546"/>
      <c r="AA470" s="1546"/>
      <c r="AB470" s="1546"/>
      <c r="AC470" s="1546"/>
      <c r="AD470" s="1546"/>
      <c r="AE470" s="1546"/>
      <c r="AF470" s="1546"/>
      <c r="AG470" s="1546"/>
      <c r="AH470" s="1546"/>
      <c r="AI470" s="1546"/>
      <c r="AJ470" s="1546">
        <v>-0.05</v>
      </c>
      <c r="AK470" s="1546">
        <v>0.04</v>
      </c>
      <c r="AL470" s="1546">
        <v>0.02</v>
      </c>
      <c r="AM470" s="1546">
        <v>0</v>
      </c>
      <c r="AN470" s="1546" t="s">
        <v>273</v>
      </c>
      <c r="AO470" s="1546"/>
      <c r="AP470" s="1546"/>
      <c r="AQ470" s="1546"/>
      <c r="BG470" s="1547"/>
      <c r="BH470" s="1547"/>
      <c r="BI470" s="1547"/>
      <c r="BJ470" s="1547"/>
      <c r="BK470" s="1547"/>
      <c r="BL470" s="1547"/>
      <c r="BM470" s="1547"/>
      <c r="BN470" s="1547"/>
      <c r="BO470" s="1547">
        <f t="shared" si="2269"/>
        <v>2.4999999999999996E-3</v>
      </c>
      <c r="BP470" s="1547"/>
      <c r="BT470" s="1554"/>
      <c r="BU470" s="1554"/>
      <c r="BV470" s="1554"/>
      <c r="BW470" s="1554"/>
      <c r="BX470" s="1554"/>
      <c r="BY470" s="1554"/>
      <c r="BZ470" s="1554"/>
      <c r="CA470" s="1554"/>
      <c r="CB470" s="1554"/>
      <c r="CC470" s="1554"/>
    </row>
    <row r="471" spans="2:81" s="1518" customFormat="1" ht="11.45" outlineLevel="1">
      <c r="B471" s="1518" t="s">
        <v>380</v>
      </c>
      <c r="H471" s="1546"/>
      <c r="I471" s="1546"/>
      <c r="J471" s="1546"/>
      <c r="K471" s="1546"/>
      <c r="L471" s="1546"/>
      <c r="M471" s="1546"/>
      <c r="N471" s="1546"/>
      <c r="O471" s="1546"/>
      <c r="P471" s="1546"/>
      <c r="Q471" s="1546"/>
      <c r="R471" s="1546"/>
      <c r="S471" s="1546"/>
      <c r="T471" s="1546"/>
      <c r="U471" s="1546"/>
      <c r="V471" s="1546"/>
      <c r="W471" s="1546"/>
      <c r="X471" s="1546"/>
      <c r="Y471" s="1546"/>
      <c r="Z471" s="1546"/>
      <c r="AA471" s="1546"/>
      <c r="AB471" s="1546"/>
      <c r="AC471" s="1546"/>
      <c r="AD471" s="1546"/>
      <c r="AE471" s="1546"/>
      <c r="AF471" s="1546"/>
      <c r="AG471" s="1546"/>
      <c r="AH471" s="1546"/>
      <c r="AI471" s="1546"/>
      <c r="AJ471" s="1546"/>
      <c r="AK471" s="1546"/>
      <c r="AL471" s="1546"/>
      <c r="AM471" s="1546"/>
      <c r="AN471" s="1546">
        <v>0.14000000000000001</v>
      </c>
      <c r="AO471" s="1546"/>
      <c r="AP471" s="1546"/>
      <c r="AQ471" s="1546"/>
      <c r="BG471" s="1547"/>
      <c r="BH471" s="1547"/>
      <c r="BI471" s="1547"/>
      <c r="BJ471" s="1547"/>
      <c r="BK471" s="1547"/>
      <c r="BL471" s="1547"/>
      <c r="BM471" s="1547"/>
      <c r="BN471" s="1547"/>
      <c r="BO471" s="1547"/>
      <c r="BP471" s="1547"/>
      <c r="BT471" s="1554"/>
      <c r="BU471" s="1554"/>
      <c r="BV471" s="1554"/>
      <c r="BW471" s="1554"/>
      <c r="BX471" s="1554"/>
      <c r="BY471" s="1554"/>
      <c r="BZ471" s="1554"/>
      <c r="CA471" s="1554"/>
      <c r="CB471" s="1554"/>
      <c r="CC471" s="1554"/>
    </row>
    <row r="472" spans="2:81" s="1518" customFormat="1" ht="11.45" outlineLevel="1">
      <c r="B472" s="1518" t="s">
        <v>381</v>
      </c>
      <c r="H472" s="1546"/>
      <c r="I472" s="1546"/>
      <c r="J472" s="1546"/>
      <c r="K472" s="1546"/>
      <c r="L472" s="1546"/>
      <c r="M472" s="1546"/>
      <c r="N472" s="1546"/>
      <c r="O472" s="1546"/>
      <c r="P472" s="1546"/>
      <c r="Q472" s="1546"/>
      <c r="R472" s="1546"/>
      <c r="S472" s="1546"/>
      <c r="T472" s="1546"/>
      <c r="U472" s="1546"/>
      <c r="V472" s="1546"/>
      <c r="W472" s="1546"/>
      <c r="X472" s="1546"/>
      <c r="Y472" s="1546"/>
      <c r="Z472" s="1546"/>
      <c r="AA472" s="1546"/>
      <c r="AB472" s="1546"/>
      <c r="AC472" s="1546"/>
      <c r="AD472" s="1546"/>
      <c r="AE472" s="1546"/>
      <c r="AF472" s="1546"/>
      <c r="AG472" s="1546"/>
      <c r="AH472" s="1546"/>
      <c r="AI472" s="1546"/>
      <c r="AJ472" s="1546"/>
      <c r="AK472" s="1546"/>
      <c r="AL472" s="1546"/>
      <c r="AM472" s="1546"/>
      <c r="AN472" s="1546">
        <v>0.16</v>
      </c>
      <c r="AO472" s="1546"/>
      <c r="AP472" s="1546"/>
      <c r="AQ472" s="1546"/>
      <c r="BG472" s="1547"/>
      <c r="BH472" s="1547"/>
      <c r="BI472" s="1547"/>
      <c r="BJ472" s="1547"/>
      <c r="BK472" s="1547"/>
      <c r="BL472" s="1547"/>
      <c r="BM472" s="1547"/>
      <c r="BN472" s="1547"/>
      <c r="BO472" s="1547"/>
      <c r="BP472" s="1547"/>
      <c r="BT472" s="1554"/>
      <c r="BU472" s="1554"/>
      <c r="BV472" s="1554"/>
      <c r="BW472" s="1554"/>
      <c r="BX472" s="1554"/>
      <c r="BY472" s="1554"/>
      <c r="BZ472" s="1554"/>
      <c r="CA472" s="1554"/>
      <c r="CB472" s="1554"/>
      <c r="CC472" s="1554"/>
    </row>
    <row r="473" spans="2:81" s="1518" customFormat="1" ht="11.45" outlineLevel="1">
      <c r="B473" s="1518" t="s">
        <v>382</v>
      </c>
      <c r="H473" s="1546"/>
      <c r="I473" s="1546"/>
      <c r="J473" s="1546"/>
      <c r="K473" s="1546"/>
      <c r="L473" s="1546"/>
      <c r="M473" s="1546"/>
      <c r="N473" s="1546"/>
      <c r="O473" s="1546"/>
      <c r="P473" s="1546"/>
      <c r="Q473" s="1546"/>
      <c r="R473" s="1546"/>
      <c r="S473" s="1546"/>
      <c r="T473" s="1546"/>
      <c r="U473" s="1546"/>
      <c r="V473" s="1546"/>
      <c r="W473" s="1546"/>
      <c r="X473" s="1546"/>
      <c r="Y473" s="1546"/>
      <c r="Z473" s="1546"/>
      <c r="AA473" s="1546"/>
      <c r="AB473" s="1546"/>
      <c r="AC473" s="1546"/>
      <c r="AD473" s="1546"/>
      <c r="AE473" s="1546"/>
      <c r="AF473" s="1546"/>
      <c r="AG473" s="1546"/>
      <c r="AH473" s="1546"/>
      <c r="AI473" s="1546"/>
      <c r="AJ473" s="1546"/>
      <c r="AK473" s="1546"/>
      <c r="AL473" s="1546"/>
      <c r="AM473" s="1546"/>
      <c r="AN473" s="1546">
        <v>0.06</v>
      </c>
      <c r="AO473" s="1546"/>
      <c r="AP473" s="1546"/>
      <c r="AQ473" s="1546"/>
      <c r="BG473" s="1547"/>
      <c r="BH473" s="1547"/>
      <c r="BI473" s="1547"/>
      <c r="BJ473" s="1547"/>
      <c r="BK473" s="1547"/>
      <c r="BL473" s="1547"/>
      <c r="BM473" s="1547"/>
      <c r="BN473" s="1547"/>
      <c r="BO473" s="1547"/>
      <c r="BP473" s="1547"/>
      <c r="BT473" s="1554"/>
      <c r="BU473" s="1554"/>
      <c r="BV473" s="1554"/>
      <c r="BW473" s="1554"/>
      <c r="BX473" s="1554"/>
      <c r="BY473" s="1554"/>
      <c r="BZ473" s="1554"/>
      <c r="CA473" s="1554"/>
      <c r="CB473" s="1554"/>
      <c r="CC473" s="1554"/>
    </row>
    <row r="474" spans="2:81" s="1518" customFormat="1" ht="11.45" outlineLevel="1">
      <c r="B474" s="1518" t="s">
        <v>383</v>
      </c>
      <c r="H474" s="1546"/>
      <c r="I474" s="1546"/>
      <c r="J474" s="1546"/>
      <c r="K474" s="1546"/>
      <c r="L474" s="1546"/>
      <c r="M474" s="1546"/>
      <c r="N474" s="1546"/>
      <c r="O474" s="1546"/>
      <c r="P474" s="1546"/>
      <c r="Q474" s="1546"/>
      <c r="R474" s="1546"/>
      <c r="S474" s="1546"/>
      <c r="T474" s="1546"/>
      <c r="U474" s="1546"/>
      <c r="V474" s="1546"/>
      <c r="W474" s="1546"/>
      <c r="X474" s="1546"/>
      <c r="Y474" s="1546"/>
      <c r="Z474" s="1546"/>
      <c r="AA474" s="1546"/>
      <c r="AB474" s="1546"/>
      <c r="AC474" s="1546"/>
      <c r="AD474" s="1546"/>
      <c r="AE474" s="1546"/>
      <c r="AF474" s="1546"/>
      <c r="AG474" s="1546"/>
      <c r="AH474" s="1546"/>
      <c r="AI474" s="1546"/>
      <c r="AJ474" s="1546"/>
      <c r="AK474" s="1546"/>
      <c r="AL474" s="1546"/>
      <c r="AM474" s="1546"/>
      <c r="AN474" s="1546">
        <v>7.0000000000000007E-2</v>
      </c>
      <c r="AO474" s="1546"/>
      <c r="AP474" s="1546"/>
      <c r="AQ474" s="1546"/>
      <c r="BG474" s="1547"/>
      <c r="BH474" s="1547"/>
      <c r="BI474" s="1547"/>
      <c r="BJ474" s="1547"/>
      <c r="BK474" s="1547"/>
      <c r="BL474" s="1547"/>
      <c r="BM474" s="1547"/>
      <c r="BN474" s="1547"/>
      <c r="BO474" s="1547"/>
      <c r="BP474" s="1547"/>
      <c r="BT474" s="1554"/>
      <c r="BU474" s="1554"/>
      <c r="BV474" s="1554"/>
      <c r="BW474" s="1554"/>
      <c r="BX474" s="1554"/>
      <c r="BY474" s="1554"/>
      <c r="BZ474" s="1554"/>
      <c r="CA474" s="1554"/>
      <c r="CB474" s="1554"/>
      <c r="CC474" s="1554"/>
    </row>
    <row r="475" spans="2:81" s="1518" customFormat="1" ht="10.5" outlineLevel="1">
      <c r="B475" s="1299"/>
      <c r="D475" s="1580"/>
      <c r="E475" s="1580"/>
      <c r="F475" s="1580"/>
      <c r="G475" s="1580"/>
      <c r="BT475" s="1519"/>
      <c r="BU475" s="1519"/>
      <c r="BV475" s="1519"/>
      <c r="BW475" s="1519"/>
      <c r="BX475" s="1519"/>
      <c r="BY475" s="1519"/>
      <c r="BZ475" s="1519"/>
      <c r="CA475" s="1519"/>
      <c r="CB475" s="1519"/>
      <c r="CC475" s="1519"/>
    </row>
    <row r="476" spans="2:81" s="1518" customFormat="1" outlineLevel="1">
      <c r="B476" s="1300" t="s">
        <v>385</v>
      </c>
      <c r="D476" s="1580"/>
      <c r="E476" s="1580"/>
      <c r="F476" s="1580"/>
      <c r="G476" s="1580"/>
      <c r="BT476" s="1519"/>
      <c r="BU476" s="1519"/>
      <c r="BV476" s="1519"/>
      <c r="BW476" s="1519"/>
      <c r="BX476" s="1519"/>
      <c r="BY476" s="1519"/>
      <c r="BZ476" s="1519"/>
      <c r="CA476" s="1519"/>
      <c r="CB476" s="1519"/>
      <c r="CC476" s="1519"/>
    </row>
    <row r="477" spans="2:81" s="1518" customFormat="1" ht="11.45" outlineLevel="1" collapsed="1">
      <c r="B477" s="1518" t="s">
        <v>386</v>
      </c>
      <c r="D477" s="1546">
        <v>0.66</v>
      </c>
      <c r="E477" s="1546">
        <v>0.59</v>
      </c>
      <c r="F477" s="1546">
        <v>0.56999999999999995</v>
      </c>
      <c r="G477" s="1546">
        <v>0.45</v>
      </c>
      <c r="H477" s="1546">
        <v>0.4</v>
      </c>
      <c r="I477" s="1546">
        <v>0.37</v>
      </c>
      <c r="J477" s="1546">
        <v>0.35</v>
      </c>
      <c r="K477" s="1546">
        <v>0.31</v>
      </c>
      <c r="L477" s="1546">
        <v>0.32</v>
      </c>
      <c r="M477" s="1546">
        <v>0.3</v>
      </c>
      <c r="N477" s="1546">
        <v>0.28000000000000003</v>
      </c>
      <c r="O477" s="1546">
        <v>0.28999999999999998</v>
      </c>
      <c r="P477" s="1546">
        <v>0.28999999999999998</v>
      </c>
      <c r="Q477" s="1546">
        <v>0.27</v>
      </c>
      <c r="R477" s="1546" t="s">
        <v>273</v>
      </c>
      <c r="S477" s="1546">
        <v>0.23</v>
      </c>
      <c r="T477" s="1546">
        <v>0.21</v>
      </c>
      <c r="U477" s="1546">
        <v>0.21</v>
      </c>
      <c r="V477" s="1546">
        <v>0.2</v>
      </c>
      <c r="W477" s="1546">
        <v>0.15</v>
      </c>
      <c r="X477" s="1546">
        <v>0.15</v>
      </c>
      <c r="Y477" s="1546">
        <v>0.15</v>
      </c>
      <c r="Z477" s="1546">
        <v>0.15</v>
      </c>
      <c r="AA477" s="1546">
        <v>0.17</v>
      </c>
      <c r="AB477" s="1546">
        <v>0.17</v>
      </c>
      <c r="AC477" s="1546">
        <v>0.16</v>
      </c>
      <c r="AD477" s="1546">
        <v>0.16</v>
      </c>
      <c r="AE477" s="1546">
        <v>0.14000000000000001</v>
      </c>
      <c r="AF477" s="1546">
        <v>0.14000000000000001</v>
      </c>
      <c r="AG477" s="1546">
        <v>0.12</v>
      </c>
      <c r="AH477" s="1546">
        <v>0.11</v>
      </c>
      <c r="AI477" s="1546">
        <v>0.11</v>
      </c>
      <c r="AJ477" s="1546">
        <v>0.1</v>
      </c>
      <c r="AK477" s="1546">
        <v>0.09</v>
      </c>
      <c r="AL477" s="1546">
        <v>0.08</v>
      </c>
      <c r="AM477" s="1546">
        <v>7.0000000000000007E-2</v>
      </c>
      <c r="AN477" s="1546">
        <v>0.08</v>
      </c>
      <c r="AO477" s="1546"/>
      <c r="AP477" s="1546"/>
      <c r="AQ477" s="1546"/>
      <c r="BG477" s="1547"/>
      <c r="BH477" s="1547">
        <f>+AVERAGE(H477:K477)</f>
        <v>0.35750000000000004</v>
      </c>
      <c r="BI477" s="1547">
        <f>+AVERAGE(L477:O477)</f>
        <v>0.29749999999999999</v>
      </c>
      <c r="BJ477" s="1547">
        <f>AVERAGE(P477:S477)</f>
        <v>0.26333333333333336</v>
      </c>
      <c r="BK477" s="1547">
        <f>+AVERAGE(T477:W477)</f>
        <v>0.1925</v>
      </c>
      <c r="BL477" s="1547">
        <f>+AVERAGE(X477:AA477)</f>
        <v>0.155</v>
      </c>
      <c r="BM477" s="1547">
        <f>+AVERAGE(AB477:AE477)</f>
        <v>0.1575</v>
      </c>
      <c r="BN477" s="1547">
        <f t="shared" ref="BN477" si="2277">AVERAGE(AF477:AI477)</f>
        <v>0.12</v>
      </c>
      <c r="BO477" s="1547">
        <f t="shared" ref="BO477" si="2278">AVERAGE(AJ477:AM477)</f>
        <v>8.5000000000000006E-2</v>
      </c>
      <c r="BP477" s="1547"/>
      <c r="BT477" s="1554"/>
      <c r="BU477" s="1554"/>
      <c r="BV477" s="1554"/>
      <c r="BW477" s="1554"/>
      <c r="BX477" s="1554"/>
      <c r="BY477" s="1554"/>
      <c r="BZ477" s="1554"/>
      <c r="CA477" s="1554"/>
      <c r="CB477" s="1554"/>
      <c r="CC477" s="1554"/>
    </row>
    <row r="478" spans="2:81" s="1518" customFormat="1" ht="10.5" outlineLevel="1">
      <c r="B478" s="1518" t="s">
        <v>387</v>
      </c>
      <c r="D478" s="1548">
        <v>18.2</v>
      </c>
      <c r="E478" s="1548">
        <v>20.6</v>
      </c>
      <c r="F478" s="1548">
        <v>22.2</v>
      </c>
      <c r="G478" s="1548">
        <v>23.1</v>
      </c>
      <c r="H478" s="1548">
        <v>24</v>
      </c>
      <c r="I478" s="1548">
        <v>24.9</v>
      </c>
      <c r="J478" s="1548">
        <v>26.2</v>
      </c>
      <c r="K478" s="1548">
        <v>27</v>
      </c>
      <c r="L478" s="1548">
        <v>28</v>
      </c>
      <c r="M478" s="1548">
        <v>29.2</v>
      </c>
      <c r="N478" s="1548">
        <v>30.6</v>
      </c>
      <c r="O478" s="1548">
        <v>31.4</v>
      </c>
      <c r="P478" s="1548">
        <v>32.5</v>
      </c>
      <c r="Q478" s="1548">
        <v>33.299999999999997</v>
      </c>
      <c r="R478" s="1548">
        <v>34.200000000000003</v>
      </c>
      <c r="S478" s="1548">
        <v>34.799999999999997</v>
      </c>
      <c r="T478" s="1548">
        <v>35.6</v>
      </c>
      <c r="U478" s="1548">
        <v>37.200000000000003</v>
      </c>
      <c r="V478" s="1548">
        <v>39.6</v>
      </c>
      <c r="W478" s="1548">
        <v>42.7</v>
      </c>
      <c r="X478" s="1548">
        <v>45.3</v>
      </c>
      <c r="Y478" s="1548">
        <v>47.5</v>
      </c>
      <c r="Z478" s="1548">
        <v>50.2</v>
      </c>
      <c r="AA478" s="1548">
        <v>51.9</v>
      </c>
      <c r="AB478" s="1548">
        <v>54.1</v>
      </c>
      <c r="AC478" s="1548">
        <v>56.4</v>
      </c>
      <c r="AD478" s="1548">
        <v>58.4</v>
      </c>
      <c r="AE478" s="1548">
        <v>59.7</v>
      </c>
      <c r="AF478" s="1548">
        <v>61.3</v>
      </c>
      <c r="AG478" s="1548">
        <v>63.2</v>
      </c>
      <c r="AH478" s="1548">
        <v>65.400000000000006</v>
      </c>
      <c r="AI478" s="1548">
        <v>67</v>
      </c>
      <c r="AJ478" s="1550">
        <f>+AF478*(1+AJ479)</f>
        <v>72.333999999999989</v>
      </c>
      <c r="AK478" s="1550">
        <f>+AG478*(1+AK479)</f>
        <v>73.188774002954204</v>
      </c>
      <c r="AL478" s="1550">
        <f t="shared" ref="AL478" si="2279">+AH478*(1+AL479)</f>
        <v>74.556000000000012</v>
      </c>
      <c r="AM478" s="1550">
        <f t="shared" ref="AM478:AN478" si="2280">+AI478*(1+AM479)</f>
        <v>73.7</v>
      </c>
      <c r="AN478" s="1550">
        <f t="shared" si="2280"/>
        <v>79.595692307692303</v>
      </c>
      <c r="AO478" s="1548"/>
      <c r="AP478" s="1548"/>
      <c r="AQ478" s="1548"/>
      <c r="BG478" s="1521">
        <f>+G478</f>
        <v>23.1</v>
      </c>
      <c r="BH478" s="1521">
        <f>+K478</f>
        <v>27</v>
      </c>
      <c r="BI478" s="1521">
        <f>+O478</f>
        <v>31.4</v>
      </c>
      <c r="BJ478" s="1521">
        <f>+S478</f>
        <v>34.799999999999997</v>
      </c>
      <c r="BK478" s="1521">
        <f>+W478</f>
        <v>42.7</v>
      </c>
      <c r="BL478" s="1521">
        <f t="shared" ref="BL478" si="2281">+X478</f>
        <v>45.3</v>
      </c>
      <c r="BM478" s="1521">
        <f>+AE478</f>
        <v>59.7</v>
      </c>
      <c r="BN478" s="1521">
        <f>+AI478</f>
        <v>67</v>
      </c>
      <c r="BO478" s="1521">
        <f>+AM478</f>
        <v>73.7</v>
      </c>
      <c r="BP478" s="1521"/>
      <c r="BT478" s="1519"/>
      <c r="BU478" s="1520"/>
      <c r="BV478" s="1520"/>
      <c r="BW478" s="1520"/>
      <c r="BX478" s="1520"/>
      <c r="BY478" s="1520"/>
      <c r="BZ478" s="1520"/>
      <c r="CA478" s="1520"/>
      <c r="CB478" s="1520"/>
      <c r="CC478" s="1520"/>
    </row>
    <row r="479" spans="2:81" s="1527" customFormat="1" outlineLevel="1">
      <c r="B479" s="1539" t="s">
        <v>113</v>
      </c>
      <c r="H479" s="1536">
        <f>+H478/D478-1</f>
        <v>0.31868131868131866</v>
      </c>
      <c r="I479" s="1536">
        <f t="shared" ref="I479:L479" si="2282">+I478/E478-1</f>
        <v>0.20873786407766981</v>
      </c>
      <c r="J479" s="1536">
        <f t="shared" si="2282"/>
        <v>0.18018018018018012</v>
      </c>
      <c r="K479" s="1536">
        <f t="shared" si="2282"/>
        <v>0.16883116883116878</v>
      </c>
      <c r="L479" s="1536">
        <f t="shared" si="2282"/>
        <v>0.16666666666666674</v>
      </c>
      <c r="M479" s="1536">
        <f>+M478/I478-1</f>
        <v>0.17269076305220898</v>
      </c>
      <c r="N479" s="1536">
        <f>+N478/J478-1</f>
        <v>0.16793893129770998</v>
      </c>
      <c r="O479" s="1536">
        <f t="shared" ref="O479:AG479" si="2283">+O478/K478-1</f>
        <v>0.16296296296296298</v>
      </c>
      <c r="P479" s="1536">
        <f t="shared" si="2283"/>
        <v>0.16071428571428581</v>
      </c>
      <c r="Q479" s="1536">
        <f t="shared" si="2283"/>
        <v>0.1404109589041096</v>
      </c>
      <c r="R479" s="1536">
        <f t="shared" si="2283"/>
        <v>0.11764705882352944</v>
      </c>
      <c r="S479" s="1536">
        <f t="shared" si="2283"/>
        <v>0.10828025477707004</v>
      </c>
      <c r="T479" s="1536">
        <f t="shared" si="2283"/>
        <v>9.5384615384615401E-2</v>
      </c>
      <c r="U479" s="1536">
        <f t="shared" si="2283"/>
        <v>0.11711711711711725</v>
      </c>
      <c r="V479" s="1536">
        <f t="shared" si="2283"/>
        <v>0.15789473684210531</v>
      </c>
      <c r="W479" s="1536">
        <f t="shared" si="2283"/>
        <v>0.22701149425287381</v>
      </c>
      <c r="X479" s="1536">
        <f t="shared" si="2283"/>
        <v>0.27247191011235938</v>
      </c>
      <c r="Y479" s="1536">
        <f t="shared" si="2283"/>
        <v>0.2768817204301075</v>
      </c>
      <c r="Z479" s="1536">
        <f t="shared" si="2283"/>
        <v>0.26767676767676774</v>
      </c>
      <c r="AA479" s="1536">
        <f t="shared" si="2283"/>
        <v>0.21545667447306771</v>
      </c>
      <c r="AB479" s="1536">
        <f t="shared" si="2283"/>
        <v>0.19426048565121423</v>
      </c>
      <c r="AC479" s="1536">
        <f t="shared" si="2283"/>
        <v>0.18736842105263163</v>
      </c>
      <c r="AD479" s="1536">
        <f t="shared" si="2283"/>
        <v>0.16334661354581659</v>
      </c>
      <c r="AE479" s="1536">
        <f t="shared" si="2283"/>
        <v>0.1502890173410405</v>
      </c>
      <c r="AF479" s="1536">
        <f t="shared" si="2283"/>
        <v>0.13308687615526793</v>
      </c>
      <c r="AG479" s="1536">
        <f t="shared" si="2283"/>
        <v>0.12056737588652489</v>
      </c>
      <c r="AH479" s="1536">
        <f t="shared" ref="AH479:AI479" si="2284">+AH478/AD478-1</f>
        <v>0.11986301369863028</v>
      </c>
      <c r="AI479" s="1536">
        <f t="shared" si="2284"/>
        <v>0.12227805695142369</v>
      </c>
      <c r="AJ479" s="1538">
        <v>0.18</v>
      </c>
      <c r="AK479" s="1538">
        <f>78.4/67.7-1</f>
        <v>0.15805022156573112</v>
      </c>
      <c r="AL479" s="1538">
        <v>0.14000000000000001</v>
      </c>
      <c r="AM479" s="1538">
        <v>0.1</v>
      </c>
      <c r="AN479" s="1538">
        <f>84.4/76.7-1</f>
        <v>0.10039113428943947</v>
      </c>
      <c r="AO479" s="1536"/>
      <c r="AP479" s="1536"/>
      <c r="AQ479" s="1536"/>
      <c r="BG479" s="1596"/>
      <c r="BH479" s="1596">
        <f>+BH478/BG478-1</f>
        <v>0.16883116883116878</v>
      </c>
      <c r="BI479" s="1596">
        <f t="shared" ref="BI479:BK479" si="2285">+BI478/BH478-1</f>
        <v>0.16296296296296298</v>
      </c>
      <c r="BJ479" s="1596">
        <f t="shared" si="2285"/>
        <v>0.10828025477707004</v>
      </c>
      <c r="BK479" s="1596">
        <f t="shared" si="2285"/>
        <v>0.22701149425287381</v>
      </c>
      <c r="BL479" s="1596">
        <f t="shared" ref="BL479:BO479" si="2286">+BL478/BK478-1</f>
        <v>6.0889929742388604E-2</v>
      </c>
      <c r="BM479" s="1596">
        <f t="shared" si="2286"/>
        <v>0.31788079470198682</v>
      </c>
      <c r="BN479" s="1596">
        <f t="shared" si="2286"/>
        <v>0.12227805695142369</v>
      </c>
      <c r="BO479" s="1596">
        <f t="shared" si="2286"/>
        <v>0.10000000000000009</v>
      </c>
      <c r="BP479" s="1596"/>
      <c r="BT479" s="1518"/>
      <c r="BU479" s="1518"/>
      <c r="BV479" s="1518"/>
      <c r="BW479" s="1518"/>
      <c r="BX479" s="1518"/>
      <c r="BY479" s="1518"/>
      <c r="BZ479" s="1518"/>
      <c r="CA479" s="1518"/>
      <c r="CB479" s="1518"/>
      <c r="CC479" s="1518"/>
    </row>
    <row r="480" spans="2:81" s="1518" customFormat="1" hidden="1" outlineLevel="2">
      <c r="B480" s="1518" t="s">
        <v>409</v>
      </c>
      <c r="D480" s="1546"/>
      <c r="E480" s="1546"/>
      <c r="F480" s="1546"/>
      <c r="G480" s="1546">
        <v>-0.12</v>
      </c>
      <c r="H480" s="1546">
        <v>-0.14000000000000001</v>
      </c>
      <c r="I480" s="1546">
        <v>-0.13</v>
      </c>
      <c r="J480" s="1546">
        <v>-0.13</v>
      </c>
      <c r="K480" s="1546">
        <v>-0.17</v>
      </c>
      <c r="L480" s="1546">
        <v>-0.17</v>
      </c>
      <c r="M480" s="1546">
        <v>-0.16</v>
      </c>
      <c r="N480" s="1546">
        <v>-0.15</v>
      </c>
      <c r="O480" s="1546">
        <v>-0.19</v>
      </c>
      <c r="P480" s="1546">
        <v>-0.12</v>
      </c>
      <c r="Q480" s="1546">
        <v>-0.21</v>
      </c>
      <c r="R480" s="1546">
        <v>-0.19</v>
      </c>
      <c r="S480" s="1546">
        <v>-0.17</v>
      </c>
      <c r="T480" s="1546">
        <v>-0.17</v>
      </c>
      <c r="U480" s="1546">
        <v>-0.11</v>
      </c>
      <c r="V480" s="1546">
        <v>-0.21</v>
      </c>
      <c r="W480" s="1546">
        <v>-0.34</v>
      </c>
      <c r="X480" s="1546">
        <v>-0.3</v>
      </c>
      <c r="Y480" s="1546">
        <v>-0.26</v>
      </c>
      <c r="Z480" s="1546">
        <v>-0.25</v>
      </c>
      <c r="AA480" s="1546">
        <v>-0.08</v>
      </c>
      <c r="AB480" s="1546">
        <v>-0.13</v>
      </c>
      <c r="AC480" s="1546">
        <v>0.17</v>
      </c>
      <c r="AD480" s="1546">
        <v>0.17</v>
      </c>
      <c r="AE480" s="1546">
        <v>0.15</v>
      </c>
      <c r="AF480" s="1521"/>
      <c r="AG480" s="1546"/>
      <c r="AH480" s="1546"/>
      <c r="AI480" s="1546"/>
      <c r="AJ480" s="1546"/>
      <c r="AK480" s="1546"/>
      <c r="AL480" s="1546"/>
      <c r="AM480" s="1546"/>
      <c r="AN480" s="1546"/>
      <c r="AO480" s="1546"/>
      <c r="AP480" s="1546"/>
      <c r="AQ480" s="1546"/>
      <c r="BG480" s="1547"/>
      <c r="BH480" s="1547">
        <f>+AVERAGE(H480:K480)</f>
        <v>-0.14250000000000002</v>
      </c>
      <c r="BI480" s="1547">
        <f>+AVERAGE(L480:O480)</f>
        <v>-0.16749999999999998</v>
      </c>
      <c r="BJ480" s="1547">
        <f>+AVERAGE(P480:S480)</f>
        <v>-0.17250000000000001</v>
      </c>
      <c r="BK480" s="1547">
        <f>+AVERAGE(T480:W480)</f>
        <v>-0.20750000000000002</v>
      </c>
      <c r="BL480" s="1547">
        <f>+AVERAGE(X480:AA480)</f>
        <v>-0.2225</v>
      </c>
      <c r="BM480" s="1547">
        <f>+AVERAGE(AB480:AE480)</f>
        <v>0.09</v>
      </c>
      <c r="BN480" s="1547"/>
      <c r="BO480" s="1547"/>
      <c r="BP480" s="1547"/>
    </row>
    <row r="481" spans="2:81" s="1518" customFormat="1" hidden="1" outlineLevel="2">
      <c r="B481" s="1523" t="s">
        <v>272</v>
      </c>
      <c r="D481" s="1546">
        <v>-0.08</v>
      </c>
      <c r="E481" s="1546">
        <v>-0.08</v>
      </c>
      <c r="F481" s="1546">
        <v>-0.11</v>
      </c>
      <c r="G481" s="1546">
        <v>-0.09</v>
      </c>
      <c r="H481" s="1546">
        <v>-0.13</v>
      </c>
      <c r="I481" s="1546">
        <v>-0.12</v>
      </c>
      <c r="J481" s="1546">
        <v>-0.13</v>
      </c>
      <c r="K481" s="1546">
        <v>-0.16</v>
      </c>
      <c r="L481" s="1546">
        <v>-0.17</v>
      </c>
      <c r="M481" s="1546">
        <v>-0.16</v>
      </c>
      <c r="N481" s="1546">
        <v>-0.16</v>
      </c>
      <c r="O481" s="1546">
        <v>-0.2</v>
      </c>
      <c r="P481" s="1546">
        <v>-0.13</v>
      </c>
      <c r="Q481" s="1546">
        <v>-0.21</v>
      </c>
      <c r="R481" s="1546">
        <v>-0.18</v>
      </c>
      <c r="S481" s="1546">
        <f>--15%</f>
        <v>0.15</v>
      </c>
      <c r="T481" s="1546">
        <v>-0.15</v>
      </c>
      <c r="U481" s="1546">
        <v>-0.1</v>
      </c>
      <c r="V481" s="1546">
        <v>-0.2</v>
      </c>
      <c r="W481" s="1546">
        <v>-0.33</v>
      </c>
      <c r="X481" s="1546">
        <v>-0.3</v>
      </c>
      <c r="Y481" s="1546">
        <v>-0.27</v>
      </c>
      <c r="Z481" s="1546">
        <v>-0.27</v>
      </c>
      <c r="AA481" s="1546">
        <v>-0.11</v>
      </c>
      <c r="AB481" s="1546">
        <v>-0.14000000000000001</v>
      </c>
      <c r="AC481" s="1546">
        <v>0.17</v>
      </c>
      <c r="AD481" s="1546">
        <v>0.2</v>
      </c>
      <c r="AE481" s="1546">
        <v>0.19</v>
      </c>
      <c r="AF481" s="1521"/>
      <c r="AG481" s="1546"/>
      <c r="AH481" s="1546"/>
      <c r="AI481" s="1546"/>
      <c r="AJ481" s="1546"/>
      <c r="AK481" s="1546"/>
      <c r="AL481" s="1546"/>
      <c r="AM481" s="1546"/>
      <c r="AN481" s="1546"/>
      <c r="AO481" s="1546"/>
      <c r="AP481" s="1546"/>
      <c r="AQ481" s="1546"/>
      <c r="BG481" s="1547"/>
      <c r="BH481" s="1547">
        <f>+AVERAGE(H481:K481)</f>
        <v>-0.13500000000000001</v>
      </c>
      <c r="BI481" s="1547">
        <f>+AVERAGE(L481:O481)</f>
        <v>-0.17249999999999999</v>
      </c>
      <c r="BJ481" s="1547">
        <f>+AVERAGE(P481:S481)</f>
        <v>-9.2499999999999999E-2</v>
      </c>
      <c r="BK481" s="1547">
        <f>+AVERAGE(T481:W481)</f>
        <v>-0.19500000000000001</v>
      </c>
      <c r="BL481" s="1547">
        <f>+AVERAGE(X481:AA481)</f>
        <v>-0.23750000000000002</v>
      </c>
      <c r="BM481" s="1547">
        <f>+AVERAGE(AB481:AE481)</f>
        <v>0.10500000000000001</v>
      </c>
      <c r="BN481" s="1547"/>
      <c r="BO481" s="1547"/>
      <c r="BP481" s="1547"/>
      <c r="BT481" s="1527"/>
      <c r="BU481" s="1527"/>
      <c r="BV481" s="1527"/>
      <c r="BW481" s="1527"/>
      <c r="BX481" s="1527"/>
      <c r="BY481" s="1527"/>
      <c r="BZ481" s="1527"/>
      <c r="CA481" s="1527"/>
      <c r="CB481" s="1527"/>
      <c r="CC481" s="1527"/>
    </row>
    <row r="482" spans="2:81" s="1518" customFormat="1" hidden="1" outlineLevel="2">
      <c r="B482" s="1579"/>
      <c r="J482" s="1597"/>
      <c r="K482" s="1597"/>
      <c r="L482" s="1597"/>
      <c r="M482" s="1597"/>
      <c r="N482" s="1597"/>
      <c r="AE482" s="1546"/>
      <c r="BG482" s="1547"/>
      <c r="BH482" s="1547"/>
      <c r="BI482" s="1547"/>
      <c r="BJ482" s="1547"/>
      <c r="BK482" s="1547"/>
      <c r="BL482" s="1547"/>
      <c r="BM482" s="1547"/>
      <c r="BN482" s="1547"/>
      <c r="BO482" s="1547"/>
      <c r="BP482" s="1547"/>
      <c r="BT482" s="1530"/>
      <c r="BU482" s="1530"/>
      <c r="BV482" s="1530"/>
      <c r="BW482" s="1530"/>
      <c r="BX482" s="1530"/>
      <c r="BY482" s="1530"/>
      <c r="BZ482" s="1530"/>
      <c r="CA482" s="1530"/>
      <c r="CB482" s="1530"/>
      <c r="CC482" s="1530"/>
    </row>
    <row r="483" spans="2:81" s="1518" customFormat="1" hidden="1" outlineLevel="2">
      <c r="B483" s="1518" t="s">
        <v>410</v>
      </c>
      <c r="J483" s="1597"/>
      <c r="K483" s="1597"/>
      <c r="L483" s="1597"/>
      <c r="M483" s="1597"/>
      <c r="N483" s="1597"/>
      <c r="R483" s="1518">
        <f>+V483/(1+V477)</f>
        <v>215</v>
      </c>
      <c r="V483" s="1518">
        <v>258</v>
      </c>
      <c r="BG483" s="1547"/>
      <c r="BH483" s="1547"/>
      <c r="BI483" s="1547"/>
      <c r="BJ483" s="1547"/>
      <c r="BK483" s="1547"/>
      <c r="BL483" s="1547"/>
      <c r="BM483" s="1547"/>
      <c r="BN483" s="1547"/>
      <c r="BO483" s="1547"/>
      <c r="BP483" s="1547"/>
      <c r="BT483" s="1527"/>
      <c r="BU483" s="1527"/>
      <c r="BV483" s="1527"/>
      <c r="BW483" s="1527"/>
      <c r="BX483" s="1527"/>
      <c r="BY483" s="1527"/>
      <c r="BZ483" s="1527"/>
      <c r="CA483" s="1527"/>
      <c r="CB483" s="1527"/>
      <c r="CC483" s="1527"/>
    </row>
    <row r="484" spans="2:81" s="1518" customFormat="1" outlineLevel="1" collapsed="1">
      <c r="BT484" s="1527"/>
      <c r="BU484" s="1527"/>
      <c r="BV484" s="1527"/>
      <c r="BW484" s="1527"/>
      <c r="BX484" s="1527"/>
      <c r="BY484" s="1527"/>
      <c r="BZ484" s="1527"/>
      <c r="CA484" s="1527"/>
      <c r="CB484" s="1527"/>
      <c r="CC484" s="1527"/>
    </row>
    <row r="485" spans="2:81" s="1518" customFormat="1" ht="10.5" outlineLevel="1">
      <c r="B485" s="1299" t="s">
        <v>388</v>
      </c>
      <c r="BT485" s="1530"/>
      <c r="BU485" s="1530"/>
      <c r="BV485" s="1530"/>
      <c r="BW485" s="1530"/>
      <c r="BX485" s="1530"/>
      <c r="BY485" s="1530"/>
      <c r="BZ485" s="1530"/>
      <c r="CA485" s="1530"/>
      <c r="CB485" s="1530"/>
      <c r="CC485" s="1530"/>
    </row>
    <row r="486" spans="2:81" s="1518" customFormat="1" outlineLevel="1">
      <c r="B486" s="1527" t="s">
        <v>389</v>
      </c>
      <c r="BT486" s="1535"/>
      <c r="BU486" s="1535"/>
      <c r="BV486" s="1535"/>
      <c r="BW486" s="1535"/>
      <c r="BX486" s="1535"/>
      <c r="BY486" s="1535"/>
      <c r="BZ486" s="1535"/>
      <c r="CA486" s="1535"/>
      <c r="CB486" s="1535"/>
      <c r="CC486" s="1535"/>
    </row>
    <row r="487" spans="2:81" s="1518" customFormat="1" outlineLevel="1">
      <c r="B487" s="1527"/>
    </row>
    <row r="488" spans="2:81" s="1518" customFormat="1" outlineLevel="1">
      <c r="B488" s="1518" t="s">
        <v>86</v>
      </c>
      <c r="H488" s="1548"/>
      <c r="I488" s="1548">
        <v>228</v>
      </c>
      <c r="J488" s="1548">
        <v>976</v>
      </c>
      <c r="K488" s="1548">
        <v>1067</v>
      </c>
      <c r="L488" s="1548">
        <v>1148</v>
      </c>
      <c r="M488" s="1548">
        <v>1312</v>
      </c>
      <c r="N488" s="1548">
        <v>1335</v>
      </c>
      <c r="O488" s="1548">
        <v>1464</v>
      </c>
      <c r="P488" s="1548">
        <f t="shared" ref="P488:V488" si="2287">+P1002</f>
        <v>1530</v>
      </c>
      <c r="Q488" s="1548">
        <f t="shared" si="2287"/>
        <v>1693</v>
      </c>
      <c r="R488" s="1548">
        <f t="shared" si="2287"/>
        <v>1696</v>
      </c>
      <c r="S488" s="1548">
        <f t="shared" si="2287"/>
        <v>1835</v>
      </c>
      <c r="T488" s="1548">
        <f t="shared" si="2287"/>
        <v>1909</v>
      </c>
      <c r="U488" s="1548">
        <f t="shared" si="2287"/>
        <v>2102</v>
      </c>
      <c r="V488" s="1548">
        <f t="shared" si="2287"/>
        <v>2050</v>
      </c>
      <c r="W488" s="1550">
        <f>+W518</f>
        <v>2016</v>
      </c>
      <c r="X488" s="1550">
        <f t="shared" ref="X488:AG488" si="2288">+X518</f>
        <v>2206</v>
      </c>
      <c r="Y488" s="1550">
        <f t="shared" si="2288"/>
        <v>2577</v>
      </c>
      <c r="Z488" s="1550">
        <f t="shared" si="2288"/>
        <v>2562</v>
      </c>
      <c r="AA488" s="1550">
        <f t="shared" si="2288"/>
        <v>2944</v>
      </c>
      <c r="AB488" s="1550">
        <f t="shared" si="2288"/>
        <v>3136</v>
      </c>
      <c r="AC488" s="1550">
        <f t="shared" si="2288"/>
        <v>3531</v>
      </c>
      <c r="AD488" s="1550">
        <f t="shared" si="2288"/>
        <v>3437</v>
      </c>
      <c r="AE488" s="1550">
        <f t="shared" si="2288"/>
        <v>3712</v>
      </c>
      <c r="AF488" s="1550">
        <f t="shared" si="2288"/>
        <v>3663</v>
      </c>
      <c r="AG488" s="1550">
        <f t="shared" si="2288"/>
        <v>3876</v>
      </c>
      <c r="AH488" s="1550">
        <f>+AD488*(1+AH489)</f>
        <v>3711.96</v>
      </c>
      <c r="AI488" s="1550">
        <f t="shared" ref="AI488:AJ488" si="2289">+AE488*(1+AI489)</f>
        <v>3897.6000000000004</v>
      </c>
      <c r="AJ488" s="1550">
        <f t="shared" si="2289"/>
        <v>3956.0400000000004</v>
      </c>
      <c r="AK488" s="1550">
        <f t="shared" ref="AK488" si="2290">+AG488*(1+AK489)</f>
        <v>4224.84</v>
      </c>
      <c r="AL488" s="1550">
        <f t="shared" ref="AL488" si="2291">+AH488*(1+AL489)</f>
        <v>4083.1560000000004</v>
      </c>
      <c r="AM488" s="1550">
        <f t="shared" ref="AM488" si="2292">+AI488*(1+AM489)</f>
        <v>4287.3600000000006</v>
      </c>
      <c r="AN488" s="1550">
        <f t="shared" ref="AN488" si="2293">+AJ488*(1+AN489)</f>
        <v>4351.6440000000011</v>
      </c>
      <c r="AO488" s="1548"/>
      <c r="AP488" s="1548"/>
      <c r="AQ488" s="1548"/>
      <c r="BH488" s="1521">
        <f>+SUM(H488:K488)</f>
        <v>2271</v>
      </c>
      <c r="BI488" s="1521">
        <f>+SUM(L488:O488)</f>
        <v>5259</v>
      </c>
      <c r="BJ488" s="1521">
        <f>+SUM(P488:S488)</f>
        <v>6754</v>
      </c>
      <c r="BK488" s="1521">
        <f>SUM(T488:W488)</f>
        <v>8077</v>
      </c>
      <c r="BL488" s="1521">
        <f>SUM(X488:AA488)</f>
        <v>10289</v>
      </c>
      <c r="BM488" s="1521">
        <f>SUM(AB488:AE488)</f>
        <v>13816</v>
      </c>
      <c r="BN488" s="1521">
        <f>SUM(AF488:AI488)</f>
        <v>15148.56</v>
      </c>
      <c r="BO488" s="1521">
        <f>+SUM(AJ488:AM488)</f>
        <v>16551.396000000001</v>
      </c>
      <c r="BP488" s="1521"/>
    </row>
    <row r="489" spans="2:81" s="1527" customFormat="1" outlineLevel="1">
      <c r="B489" s="1524" t="s">
        <v>113</v>
      </c>
      <c r="H489" s="1549"/>
      <c r="I489" s="1549"/>
      <c r="J489" s="1549"/>
      <c r="K489" s="1549"/>
      <c r="L489" s="1549"/>
      <c r="M489" s="1525" t="s">
        <v>273</v>
      </c>
      <c r="N489" s="1525">
        <f>+N488/J488-1</f>
        <v>0.36782786885245899</v>
      </c>
      <c r="O489" s="1525">
        <f>+O488/K488-1</f>
        <v>0.37207122774133072</v>
      </c>
      <c r="P489" s="1525">
        <f>+P488/L488-1</f>
        <v>0.33275261324041816</v>
      </c>
      <c r="Q489" s="1525">
        <f t="shared" ref="Q489:V489" si="2294">+Q488/M488-1</f>
        <v>0.29039634146341453</v>
      </c>
      <c r="R489" s="1525">
        <f t="shared" si="2294"/>
        <v>0.27041198501872654</v>
      </c>
      <c r="S489" s="1525">
        <f t="shared" si="2294"/>
        <v>0.25341530054644812</v>
      </c>
      <c r="T489" s="1525">
        <f t="shared" si="2294"/>
        <v>0.2477124183006536</v>
      </c>
      <c r="U489" s="1525">
        <f t="shared" si="2294"/>
        <v>0.24158298877731843</v>
      </c>
      <c r="V489" s="1525">
        <f t="shared" si="2294"/>
        <v>0.20872641509433953</v>
      </c>
      <c r="W489" s="1528">
        <f>+W454</f>
        <v>0.1</v>
      </c>
      <c r="X489" s="1528">
        <f>+X454</f>
        <v>0.16</v>
      </c>
      <c r="Y489" s="1528">
        <v>0.23</v>
      </c>
      <c r="Z489" s="1528">
        <v>0.25</v>
      </c>
      <c r="AA489" s="1528">
        <v>0.46</v>
      </c>
      <c r="AB489" s="1528">
        <v>0.42</v>
      </c>
      <c r="AC489" s="1528">
        <v>0.37</v>
      </c>
      <c r="AD489" s="1528">
        <v>0.34</v>
      </c>
      <c r="AE489" s="1528">
        <v>0.26</v>
      </c>
      <c r="AF489" s="1528">
        <v>0.17</v>
      </c>
      <c r="AG489" s="1528">
        <v>0.1</v>
      </c>
      <c r="AH489" s="1528">
        <v>0.08</v>
      </c>
      <c r="AI489" s="1528">
        <v>0.05</v>
      </c>
      <c r="AJ489" s="1528">
        <v>0.08</v>
      </c>
      <c r="AK489" s="1528">
        <v>0.09</v>
      </c>
      <c r="AL489" s="1528">
        <v>0.1</v>
      </c>
      <c r="AM489" s="1528">
        <v>0.1</v>
      </c>
      <c r="AN489" s="1528">
        <v>0.1</v>
      </c>
      <c r="AO489" s="1525"/>
      <c r="AP489" s="1525"/>
      <c r="AQ489" s="1525"/>
      <c r="BI489" s="1525">
        <f>+IFERROR(BI488/BH488-1,"n/a ")</f>
        <v>1.3157199471598413</v>
      </c>
      <c r="BJ489" s="1525">
        <f>+IFERROR(BJ488/BI488-1,"n/a ")</f>
        <v>0.28427457691576352</v>
      </c>
      <c r="BK489" s="1525">
        <f>+IFERROR(BK488/BJ488-1,"n/a ")</f>
        <v>0.19588392063962101</v>
      </c>
      <c r="BL489" s="1525">
        <f t="shared" ref="BL489:BN489" si="2295">+IFERROR(BL488/BK488-1,"n/a ")</f>
        <v>0.27386405843753869</v>
      </c>
      <c r="BM489" s="1525">
        <f t="shared" si="2295"/>
        <v>0.34279327437068718</v>
      </c>
      <c r="BN489" s="1525">
        <f t="shared" si="2295"/>
        <v>9.64504921829763E-2</v>
      </c>
      <c r="BO489" s="1525">
        <f t="shared" ref="BO489" si="2296">+IFERROR(BO488/BN488-1,"n/a ")</f>
        <v>9.260523772556617E-2</v>
      </c>
      <c r="BP489" s="1525"/>
      <c r="BT489" s="1540"/>
      <c r="BU489" s="1540"/>
      <c r="BV489" s="1540"/>
      <c r="BW489" s="1540"/>
      <c r="BX489" s="1540"/>
      <c r="BY489" s="1540"/>
      <c r="BZ489" s="1540"/>
      <c r="CA489" s="1540"/>
      <c r="CB489" s="1540"/>
      <c r="CC489" s="1540"/>
    </row>
    <row r="490" spans="2:81" s="1527" customFormat="1" outlineLevel="1">
      <c r="B490" s="1524" t="s">
        <v>272</v>
      </c>
      <c r="H490" s="1549"/>
      <c r="I490" s="1549"/>
      <c r="J490" s="1549"/>
      <c r="K490" s="1549"/>
      <c r="L490" s="1549"/>
      <c r="M490" s="1525" t="s">
        <v>273</v>
      </c>
      <c r="N490" s="1528">
        <f t="shared" ref="N490:X490" si="2297">+N467</f>
        <v>0.33</v>
      </c>
      <c r="O490" s="1528">
        <f t="shared" si="2297"/>
        <v>0.34</v>
      </c>
      <c r="P490" s="1528">
        <f t="shared" si="2297"/>
        <v>0.33</v>
      </c>
      <c r="Q490" s="1528">
        <f t="shared" si="2297"/>
        <v>0.3</v>
      </c>
      <c r="R490" s="1528">
        <f t="shared" si="2297"/>
        <v>0.28999999999999998</v>
      </c>
      <c r="S490" s="1528">
        <f t="shared" si="2297"/>
        <v>0.28000000000000003</v>
      </c>
      <c r="T490" s="1528">
        <f t="shared" si="2297"/>
        <v>0.26</v>
      </c>
      <c r="U490" s="1528">
        <f t="shared" si="2297"/>
        <v>0.26</v>
      </c>
      <c r="V490" s="1528">
        <f t="shared" si="2297"/>
        <v>0.22</v>
      </c>
      <c r="W490" s="1528">
        <f t="shared" si="2297"/>
        <v>0.11</v>
      </c>
      <c r="X490" s="1528">
        <f t="shared" si="2297"/>
        <v>0.16</v>
      </c>
      <c r="Y490" s="1528">
        <v>0.22</v>
      </c>
      <c r="Z490" s="1528">
        <v>0.23</v>
      </c>
      <c r="AA490" s="1528">
        <v>0.42</v>
      </c>
      <c r="AB490" s="1528">
        <v>0.39</v>
      </c>
      <c r="AC490" s="1528">
        <v>0.36</v>
      </c>
      <c r="AD490" s="1528">
        <v>0.35</v>
      </c>
      <c r="AE490" s="1528">
        <v>0.28999999999999998</v>
      </c>
      <c r="AF490" s="1528">
        <v>0.21</v>
      </c>
      <c r="AG490" s="1528">
        <v>0.14000000000000001</v>
      </c>
      <c r="AH490" s="1528">
        <v>0.1</v>
      </c>
      <c r="AI490" s="1528">
        <v>7.0000000000000007E-2</v>
      </c>
      <c r="AJ490" s="1528">
        <v>0.08</v>
      </c>
      <c r="AK490" s="1528">
        <v>0.08</v>
      </c>
      <c r="AL490" s="1528">
        <v>0.09</v>
      </c>
      <c r="AM490" s="1528">
        <v>0.09</v>
      </c>
      <c r="AN490" s="1528">
        <v>0.09</v>
      </c>
      <c r="AO490" s="1590"/>
      <c r="AP490" s="1590"/>
      <c r="AQ490" s="1590"/>
      <c r="BI490" s="1529" t="s">
        <v>273</v>
      </c>
      <c r="BJ490" s="1537">
        <f>+AVERAGE(P490:S490)</f>
        <v>0.3</v>
      </c>
      <c r="BK490" s="1537">
        <f>+AVERAGE(T490:W490)</f>
        <v>0.21249999999999999</v>
      </c>
      <c r="BL490" s="1537">
        <f>SUMPRODUCT(X490:AA490,T488:W488)/BK488</f>
        <v>0.25827658784202057</v>
      </c>
      <c r="BM490" s="1537">
        <f>SUMPRODUCT(AB490:AE490,X488:AA488)/BL488</f>
        <v>0.34391291670716295</v>
      </c>
      <c r="BN490" s="1537">
        <f>SUMPRODUCT(AF490:AI490,AB488:AE488)/BM488</f>
        <v>0.12713086276780544</v>
      </c>
      <c r="BO490" s="1537">
        <f>SUMPRODUCT(AJ490:AM490,AF488:AI488)/BN488</f>
        <v>8.5023289342353328E-2</v>
      </c>
      <c r="BT490" s="1541"/>
      <c r="BU490" s="1541"/>
      <c r="BV490" s="1541"/>
      <c r="BW490" s="1541"/>
      <c r="BX490" s="1541"/>
      <c r="BY490" s="1541"/>
      <c r="BZ490" s="1541"/>
      <c r="CA490" s="1541"/>
      <c r="CB490" s="1541"/>
      <c r="CC490" s="1541"/>
    </row>
    <row r="491" spans="2:81" s="1527" customFormat="1" outlineLevel="1">
      <c r="B491" s="1524"/>
      <c r="H491" s="1549"/>
      <c r="I491" s="1549"/>
      <c r="J491" s="1549"/>
      <c r="K491" s="1549"/>
      <c r="L491" s="1549"/>
      <c r="M491" s="1598"/>
      <c r="N491" s="1590"/>
      <c r="O491" s="1590"/>
      <c r="P491" s="1590"/>
      <c r="Q491" s="1590"/>
      <c r="R491" s="1590"/>
      <c r="S491" s="1590"/>
      <c r="T491" s="1590"/>
      <c r="U491" s="1590"/>
      <c r="V491" s="1590"/>
      <c r="W491" s="1590"/>
      <c r="X491" s="1590"/>
      <c r="Y491" s="1590"/>
      <c r="Z491" s="1590"/>
      <c r="AA491" s="1590"/>
      <c r="AB491" s="1590"/>
      <c r="AC491" s="1590"/>
      <c r="AD491" s="1590"/>
      <c r="AE491" s="1590"/>
      <c r="AF491" s="1590"/>
      <c r="AG491" s="1590"/>
      <c r="AH491" s="1590"/>
      <c r="AI491" s="1590"/>
      <c r="AJ491" s="1590"/>
      <c r="AK491" s="1590"/>
      <c r="AL491" s="1590"/>
      <c r="AM491" s="1590"/>
      <c r="AN491" s="1590"/>
      <c r="AO491" s="1590"/>
      <c r="AP491" s="1590"/>
      <c r="AQ491" s="1590"/>
      <c r="BI491" s="1529"/>
      <c r="BJ491" s="1537"/>
      <c r="BK491" s="1537"/>
      <c r="BL491" s="1537"/>
      <c r="BM491" s="1537"/>
      <c r="BT491" s="1540"/>
      <c r="BU491" s="1540"/>
      <c r="BV491" s="1540"/>
      <c r="BW491" s="1540"/>
      <c r="BX491" s="1540"/>
      <c r="BY491" s="1540"/>
      <c r="BZ491" s="1540"/>
      <c r="CA491" s="1540"/>
      <c r="CB491" s="1540"/>
      <c r="CC491" s="1540"/>
    </row>
    <row r="492" spans="2:81" s="1518" customFormat="1" outlineLevel="1">
      <c r="B492" s="1518" t="s">
        <v>390</v>
      </c>
      <c r="J492" s="1548"/>
      <c r="K492" s="1548"/>
      <c r="L492" s="1548"/>
      <c r="M492" s="1597" t="s">
        <v>391</v>
      </c>
      <c r="N492" s="1597" t="s">
        <v>392</v>
      </c>
      <c r="O492" s="1546">
        <v>0.41</v>
      </c>
      <c r="P492" s="1546">
        <v>0.34</v>
      </c>
      <c r="Q492" s="1546">
        <v>0.3</v>
      </c>
      <c r="R492" s="1546">
        <v>0.24</v>
      </c>
      <c r="S492" s="1546">
        <v>0.22</v>
      </c>
      <c r="T492" s="1546">
        <v>0.22</v>
      </c>
      <c r="U492" s="1546">
        <v>0.25</v>
      </c>
      <c r="V492" s="1546">
        <v>0.26</v>
      </c>
      <c r="W492" s="1597">
        <v>0.27</v>
      </c>
      <c r="X492" s="1597">
        <v>0.31</v>
      </c>
      <c r="Y492" s="1597">
        <v>0.3</v>
      </c>
      <c r="Z492" s="1597">
        <v>0.28999999999999998</v>
      </c>
      <c r="AA492" s="1597">
        <v>0.3</v>
      </c>
      <c r="AB492" s="1597">
        <v>0.19</v>
      </c>
      <c r="AC492" s="1597">
        <v>0.22</v>
      </c>
      <c r="AD492" s="1597">
        <v>0.22</v>
      </c>
      <c r="AE492" s="1597">
        <v>0.22</v>
      </c>
      <c r="AF492" s="1597">
        <v>0.24</v>
      </c>
      <c r="AG492" s="1597">
        <v>0.18</v>
      </c>
      <c r="AH492" s="1597">
        <v>0.15</v>
      </c>
      <c r="AI492" s="1597">
        <v>0.12</v>
      </c>
      <c r="AJ492" s="1597">
        <v>0.12</v>
      </c>
      <c r="AK492" s="1597">
        <v>0.12</v>
      </c>
      <c r="AL492" s="1597">
        <v>0.11</v>
      </c>
      <c r="AM492" s="1597">
        <v>0.13</v>
      </c>
      <c r="AN492" s="1597">
        <v>0.11</v>
      </c>
      <c r="AO492" s="1597"/>
      <c r="AP492" s="1597"/>
      <c r="AQ492" s="1597"/>
      <c r="BI492" s="1599" t="s">
        <v>273</v>
      </c>
      <c r="BJ492" s="1600">
        <f>AVERAGE(P492:S492)</f>
        <v>0.27500000000000002</v>
      </c>
      <c r="BK492" s="1547">
        <f>+AVERAGE(T492:W492)</f>
        <v>0.25</v>
      </c>
      <c r="BL492" s="1547">
        <f>+AVERAGE(X492:AA492)</f>
        <v>0.3</v>
      </c>
      <c r="BM492" s="1600">
        <f>+AVERAGE(AB492:AE492)</f>
        <v>0.21249999999999999</v>
      </c>
      <c r="BN492" s="1600">
        <f>+AVERAGE(AF492:AI492)</f>
        <v>0.17249999999999999</v>
      </c>
      <c r="BO492" s="1600">
        <f>+AVERAGE(AJ492:AM492)</f>
        <v>0.12</v>
      </c>
      <c r="BP492" s="1600"/>
      <c r="BT492" s="1540"/>
      <c r="BU492" s="1540"/>
      <c r="BV492" s="1540"/>
      <c r="BW492" s="1540"/>
      <c r="BX492" s="1540"/>
      <c r="BY492" s="1540"/>
      <c r="BZ492" s="1540"/>
      <c r="CA492" s="1540"/>
      <c r="CB492" s="1540"/>
      <c r="CC492" s="1540"/>
    </row>
    <row r="493" spans="2:81" s="1518" customFormat="1" outlineLevel="1">
      <c r="BT493" s="1541"/>
      <c r="BU493" s="1541"/>
      <c r="BV493" s="1541"/>
      <c r="BW493" s="1541"/>
      <c r="BX493" s="1541"/>
      <c r="BY493" s="1541"/>
      <c r="BZ493" s="1541"/>
      <c r="CA493" s="1541"/>
      <c r="CB493" s="1541"/>
      <c r="CC493" s="1541"/>
    </row>
    <row r="494" spans="2:81" s="1518" customFormat="1" ht="11.45" hidden="1" outlineLevel="2">
      <c r="B494" s="1518" t="s">
        <v>411</v>
      </c>
      <c r="I494" s="1548">
        <v>72</v>
      </c>
      <c r="J494" s="1548">
        <v>218</v>
      </c>
      <c r="K494" s="1548">
        <v>217</v>
      </c>
      <c r="L494" s="1548">
        <v>218</v>
      </c>
      <c r="M494" s="1548">
        <v>222</v>
      </c>
      <c r="N494" s="1548">
        <v>224</v>
      </c>
      <c r="O494" s="1548">
        <v>224</v>
      </c>
      <c r="P494" s="1548"/>
      <c r="Q494" s="1548"/>
      <c r="R494" s="1548"/>
      <c r="S494" s="1548"/>
      <c r="T494" s="1548"/>
      <c r="U494" s="1548"/>
      <c r="V494" s="1548"/>
      <c r="W494" s="1548"/>
      <c r="X494" s="1548"/>
      <c r="Y494" s="1548"/>
      <c r="Z494" s="1548"/>
      <c r="AA494" s="1548"/>
      <c r="AB494" s="1548"/>
      <c r="AC494" s="1548"/>
      <c r="AD494" s="1548"/>
      <c r="AE494" s="1548"/>
      <c r="AF494" s="1548"/>
      <c r="AG494" s="1548"/>
      <c r="AH494" s="1548"/>
      <c r="AI494" s="1548"/>
      <c r="AJ494" s="1548"/>
      <c r="AK494" s="1548"/>
      <c r="AL494" s="1548"/>
      <c r="AM494" s="1548"/>
      <c r="AN494" s="1548"/>
      <c r="AO494" s="1548"/>
      <c r="AP494" s="1548"/>
      <c r="AQ494" s="1548"/>
      <c r="BH494" s="1521">
        <f>+SUM(H494:K494)</f>
        <v>507</v>
      </c>
      <c r="BI494" s="1521">
        <f>+SUM(L494:O494)</f>
        <v>888</v>
      </c>
      <c r="BJ494" s="1593"/>
      <c r="BK494" s="1593"/>
      <c r="BL494" s="1593"/>
      <c r="BM494" s="1593"/>
      <c r="BT494" s="1535"/>
      <c r="BU494" s="1535"/>
      <c r="BV494" s="1535"/>
      <c r="BW494" s="1535"/>
      <c r="BX494" s="1535"/>
      <c r="BY494" s="1535"/>
      <c r="BZ494" s="1535"/>
      <c r="CA494" s="1535"/>
      <c r="CB494" s="1535"/>
      <c r="CC494" s="1535"/>
    </row>
    <row r="495" spans="2:81" s="1518" customFormat="1" ht="11.45" hidden="1" outlineLevel="2">
      <c r="B495" s="1518" t="s">
        <v>412</v>
      </c>
      <c r="I495" s="1593">
        <v>47</v>
      </c>
      <c r="J495" s="1593">
        <v>178</v>
      </c>
      <c r="K495" s="1593">
        <v>186</v>
      </c>
      <c r="L495" s="1593">
        <v>193</v>
      </c>
      <c r="M495" s="1593">
        <v>210</v>
      </c>
      <c r="N495" s="1593">
        <v>216</v>
      </c>
      <c r="O495" s="1593">
        <v>229</v>
      </c>
      <c r="P495" s="1593"/>
      <c r="Q495" s="1594"/>
      <c r="R495" s="1594" t="s">
        <v>403</v>
      </c>
      <c r="S495" s="1593"/>
      <c r="T495" s="1593"/>
      <c r="U495" s="1593"/>
      <c r="V495" s="1593"/>
      <c r="W495" s="1593"/>
      <c r="X495" s="1593"/>
      <c r="Y495" s="1593"/>
      <c r="Z495" s="1593"/>
      <c r="AA495" s="1593"/>
      <c r="AB495" s="1593"/>
      <c r="AC495" s="1593"/>
      <c r="AD495" s="1593"/>
      <c r="AE495" s="1593"/>
      <c r="AF495" s="1593"/>
      <c r="AG495" s="1593"/>
      <c r="AH495" s="1593"/>
      <c r="AI495" s="1593"/>
      <c r="AJ495" s="1593"/>
      <c r="AK495" s="1593"/>
      <c r="AL495" s="1593"/>
      <c r="AM495" s="1593"/>
      <c r="AN495" s="1593"/>
      <c r="AO495" s="1593"/>
      <c r="AP495" s="1593"/>
      <c r="AQ495" s="1593"/>
      <c r="BH495" s="1601">
        <f>+SUM(H495:K495)</f>
        <v>411</v>
      </c>
      <c r="BI495" s="1601">
        <f>+SUM(L495:O495)</f>
        <v>848</v>
      </c>
      <c r="BJ495" s="1593"/>
      <c r="BK495" s="1593"/>
      <c r="BL495" s="1593"/>
      <c r="BM495" s="1593"/>
      <c r="BT495" s="1535"/>
      <c r="BU495" s="1535"/>
      <c r="BV495" s="1535"/>
      <c r="BW495" s="1535"/>
      <c r="BX495" s="1535"/>
      <c r="BY495" s="1535"/>
      <c r="BZ495" s="1535"/>
      <c r="CA495" s="1535"/>
      <c r="CB495" s="1535"/>
      <c r="CC495" s="1535"/>
    </row>
    <row r="496" spans="2:81" s="1518" customFormat="1" ht="11.45" hidden="1" outlineLevel="2">
      <c r="B496" s="1523" t="s">
        <v>413</v>
      </c>
      <c r="I496" s="1521">
        <f>SUM(I494:I495)</f>
        <v>119</v>
      </c>
      <c r="J496" s="1521">
        <f>SUM(J494:J495)</f>
        <v>396</v>
      </c>
      <c r="K496" s="1521">
        <f t="shared" ref="K496:O496" si="2298">SUM(K494:K495)</f>
        <v>403</v>
      </c>
      <c r="L496" s="1521">
        <f t="shared" si="2298"/>
        <v>411</v>
      </c>
      <c r="M496" s="1521">
        <f t="shared" si="2298"/>
        <v>432</v>
      </c>
      <c r="N496" s="1521">
        <f t="shared" si="2298"/>
        <v>440</v>
      </c>
      <c r="O496" s="1521">
        <f t="shared" si="2298"/>
        <v>453</v>
      </c>
      <c r="P496" s="1521"/>
      <c r="Q496" s="1521"/>
      <c r="R496" s="1521"/>
      <c r="S496" s="1521"/>
      <c r="T496" s="1521"/>
      <c r="U496" s="1521"/>
      <c r="V496" s="1521"/>
      <c r="W496" s="1521"/>
      <c r="X496" s="1521"/>
      <c r="Y496" s="1521"/>
      <c r="Z496" s="1521"/>
      <c r="AA496" s="1521"/>
      <c r="AB496" s="1521"/>
      <c r="AC496" s="1521"/>
      <c r="AD496" s="1521"/>
      <c r="AE496" s="1521"/>
      <c r="AF496" s="1521"/>
      <c r="AG496" s="1521"/>
      <c r="AH496" s="1521"/>
      <c r="AI496" s="1521"/>
      <c r="AJ496" s="1521"/>
      <c r="AK496" s="1521"/>
      <c r="AL496" s="1521"/>
      <c r="AM496" s="1521"/>
      <c r="AN496" s="1521"/>
      <c r="AO496" s="1521"/>
      <c r="AP496" s="1521"/>
      <c r="AQ496" s="1521"/>
      <c r="BH496" s="1521">
        <f>+SUM(H496:K496)</f>
        <v>918</v>
      </c>
      <c r="BI496" s="1521">
        <f>+SUM(L496:O496)</f>
        <v>1736</v>
      </c>
      <c r="BJ496" s="1593"/>
      <c r="BK496" s="1593"/>
      <c r="BL496" s="1593"/>
      <c r="BM496" s="1593"/>
    </row>
    <row r="497" spans="2:81" s="1518" customFormat="1" ht="11.45" hidden="1" outlineLevel="2">
      <c r="BJ497" s="1593"/>
      <c r="BK497" s="1593"/>
      <c r="BL497" s="1593"/>
      <c r="BM497" s="1593"/>
    </row>
    <row r="498" spans="2:81" s="1518" customFormat="1" ht="11.45" hidden="1" outlineLevel="2">
      <c r="B498" s="1518" t="s">
        <v>414</v>
      </c>
      <c r="I498" s="1521">
        <f>+I488-I496</f>
        <v>109</v>
      </c>
      <c r="J498" s="1521">
        <f>+J488-J496</f>
        <v>580</v>
      </c>
      <c r="K498" s="1521">
        <f t="shared" ref="K498:N498" si="2299">+K488-K496</f>
        <v>664</v>
      </c>
      <c r="L498" s="1521">
        <f t="shared" si="2299"/>
        <v>737</v>
      </c>
      <c r="M498" s="1521">
        <f t="shared" si="2299"/>
        <v>880</v>
      </c>
      <c r="N498" s="1521">
        <f t="shared" si="2299"/>
        <v>895</v>
      </c>
      <c r="O498" s="1521">
        <f t="shared" ref="O498" si="2300">+O488-O496</f>
        <v>1011</v>
      </c>
      <c r="P498" s="1521"/>
      <c r="Q498" s="1521"/>
      <c r="R498" s="1521"/>
      <c r="S498" s="1521"/>
      <c r="T498" s="1521"/>
      <c r="U498" s="1521"/>
      <c r="V498" s="1521"/>
      <c r="W498" s="1521"/>
      <c r="X498" s="1521"/>
      <c r="Y498" s="1521"/>
      <c r="Z498" s="1521"/>
      <c r="AA498" s="1521"/>
      <c r="AB498" s="1521"/>
      <c r="AC498" s="1521"/>
      <c r="AD498" s="1521"/>
      <c r="AE498" s="1521"/>
      <c r="AF498" s="1521"/>
      <c r="AG498" s="1521"/>
      <c r="AH498" s="1521"/>
      <c r="AI498" s="1521"/>
      <c r="AJ498" s="1521"/>
      <c r="AK498" s="1521"/>
      <c r="AL498" s="1521"/>
      <c r="AM498" s="1521"/>
      <c r="AN498" s="1521"/>
      <c r="AO498" s="1521"/>
      <c r="AP498" s="1521"/>
      <c r="AQ498" s="1521"/>
      <c r="BH498" s="1521">
        <f>+SUM(H498:K498)</f>
        <v>1353</v>
      </c>
      <c r="BI498" s="1521">
        <f>+SUM(L498:O498)</f>
        <v>3523</v>
      </c>
      <c r="BJ498" s="1593"/>
      <c r="BK498" s="1593"/>
      <c r="BL498" s="1593"/>
      <c r="BM498" s="1593"/>
    </row>
    <row r="499" spans="2:81" s="1527" customFormat="1" ht="11.45" hidden="1" outlineLevel="2">
      <c r="B499" s="1539" t="s">
        <v>123</v>
      </c>
      <c r="I499" s="1525">
        <f>+I498/I488</f>
        <v>0.47807017543859648</v>
      </c>
      <c r="J499" s="1525">
        <f>+J498/J488</f>
        <v>0.59426229508196726</v>
      </c>
      <c r="K499" s="1525">
        <f t="shared" ref="K499:O499" si="2301">+K498/K488</f>
        <v>0.62230552952202434</v>
      </c>
      <c r="L499" s="1525">
        <f t="shared" si="2301"/>
        <v>0.64198606271777003</v>
      </c>
      <c r="M499" s="1525">
        <f t="shared" si="2301"/>
        <v>0.67073170731707321</v>
      </c>
      <c r="N499" s="1525">
        <f t="shared" si="2301"/>
        <v>0.67041198501872656</v>
      </c>
      <c r="O499" s="1525">
        <f t="shared" si="2301"/>
        <v>0.69057377049180324</v>
      </c>
      <c r="P499" s="1525"/>
      <c r="Q499" s="1525"/>
      <c r="R499" s="1525"/>
      <c r="S499" s="1525"/>
      <c r="T499" s="1525"/>
      <c r="U499" s="1525"/>
      <c r="V499" s="1525"/>
      <c r="W499" s="1525"/>
      <c r="X499" s="1525"/>
      <c r="Y499" s="1525"/>
      <c r="Z499" s="1525"/>
      <c r="AA499" s="1525"/>
      <c r="AB499" s="1525"/>
      <c r="AC499" s="1525"/>
      <c r="AD499" s="1525"/>
      <c r="AE499" s="1525"/>
      <c r="AF499" s="1525"/>
      <c r="AG499" s="1525"/>
      <c r="AH499" s="1525"/>
      <c r="AI499" s="1525"/>
      <c r="AJ499" s="1525"/>
      <c r="AK499" s="1525"/>
      <c r="AL499" s="1525"/>
      <c r="AM499" s="1525"/>
      <c r="AN499" s="1525"/>
      <c r="AO499" s="1525"/>
      <c r="AP499" s="1525"/>
      <c r="AQ499" s="1525"/>
      <c r="BH499" s="1525">
        <f t="shared" ref="BH499:BI499" si="2302">+BH498/BH488</f>
        <v>0.59577278731836192</v>
      </c>
      <c r="BI499" s="1525">
        <f t="shared" si="2302"/>
        <v>0.66989922038410343</v>
      </c>
      <c r="BJ499" s="1593"/>
      <c r="BK499" s="1593"/>
      <c r="BL499" s="1593"/>
      <c r="BM499" s="1593"/>
      <c r="BN499" s="1518"/>
      <c r="BO499" s="1518"/>
      <c r="BP499" s="1518"/>
      <c r="BT499" s="1518"/>
      <c r="BU499" s="1518"/>
      <c r="BV499" s="1518"/>
      <c r="BW499" s="1518"/>
      <c r="BX499" s="1518"/>
      <c r="BY499" s="1518"/>
      <c r="BZ499" s="1518"/>
      <c r="CA499" s="1518"/>
      <c r="CB499" s="1518"/>
      <c r="CC499" s="1518"/>
    </row>
    <row r="500" spans="2:81" s="1527" customFormat="1" ht="11.45" hidden="1" outlineLevel="2">
      <c r="B500" s="1539"/>
      <c r="I500" s="1525"/>
      <c r="J500" s="1525"/>
      <c r="K500" s="1525"/>
      <c r="L500" s="1525"/>
      <c r="M500" s="1525"/>
      <c r="N500" s="1525"/>
      <c r="O500" s="1525"/>
      <c r="P500" s="1525"/>
      <c r="Q500" s="1525"/>
      <c r="R500" s="1525"/>
      <c r="S500" s="1525"/>
      <c r="T500" s="1525"/>
      <c r="U500" s="1525"/>
      <c r="V500" s="1525"/>
      <c r="W500" s="1525"/>
      <c r="X500" s="1525"/>
      <c r="Y500" s="1525"/>
      <c r="Z500" s="1525"/>
      <c r="AA500" s="1525"/>
      <c r="AB500" s="1525"/>
      <c r="AC500" s="1525"/>
      <c r="AD500" s="1525"/>
      <c r="AE500" s="1525"/>
      <c r="AF500" s="1525"/>
      <c r="AG500" s="1525"/>
      <c r="AH500" s="1525"/>
      <c r="AI500" s="1525"/>
      <c r="AJ500" s="1525"/>
      <c r="AK500" s="1525"/>
      <c r="AL500" s="1525"/>
      <c r="AM500" s="1525"/>
      <c r="AN500" s="1525"/>
      <c r="AO500" s="1525"/>
      <c r="AP500" s="1525"/>
      <c r="AQ500" s="1525"/>
      <c r="BH500" s="1525"/>
      <c r="BI500" s="1525"/>
      <c r="BJ500" s="1593"/>
      <c r="BK500" s="1593"/>
      <c r="BL500" s="1593"/>
      <c r="BM500" s="1593"/>
      <c r="BN500" s="1518"/>
      <c r="BO500" s="1518"/>
      <c r="BP500" s="1518"/>
      <c r="BT500" s="1518"/>
      <c r="BU500" s="1518"/>
      <c r="BV500" s="1518"/>
      <c r="BW500" s="1518"/>
      <c r="BX500" s="1518"/>
      <c r="BY500" s="1518"/>
      <c r="BZ500" s="1518"/>
      <c r="CA500" s="1518"/>
      <c r="CB500" s="1518"/>
      <c r="CC500" s="1518"/>
    </row>
    <row r="501" spans="2:81" s="1518" customFormat="1" ht="11.45" hidden="1" outlineLevel="2">
      <c r="B501" s="1518" t="s">
        <v>415</v>
      </c>
      <c r="I501" s="1521">
        <f>+I488-I495</f>
        <v>181</v>
      </c>
      <c r="J501" s="1521">
        <f>+J488-J495</f>
        <v>798</v>
      </c>
      <c r="K501" s="1521">
        <f t="shared" ref="K501:N501" si="2303">+K488-K495</f>
        <v>881</v>
      </c>
      <c r="L501" s="1521">
        <f t="shared" si="2303"/>
        <v>955</v>
      </c>
      <c r="M501" s="1521">
        <f t="shared" si="2303"/>
        <v>1102</v>
      </c>
      <c r="N501" s="1521">
        <f t="shared" si="2303"/>
        <v>1119</v>
      </c>
      <c r="O501" s="1521">
        <f t="shared" ref="O501" si="2304">+O488-O495</f>
        <v>1235</v>
      </c>
      <c r="P501" s="1521"/>
      <c r="Q501" s="1521"/>
      <c r="R501" s="1521"/>
      <c r="S501" s="1521"/>
      <c r="T501" s="1521"/>
      <c r="U501" s="1521"/>
      <c r="V501" s="1521"/>
      <c r="W501" s="1521"/>
      <c r="X501" s="1521"/>
      <c r="Y501" s="1521"/>
      <c r="Z501" s="1521"/>
      <c r="AA501" s="1521"/>
      <c r="AB501" s="1521"/>
      <c r="AC501" s="1521"/>
      <c r="AD501" s="1521"/>
      <c r="AE501" s="1521"/>
      <c r="AF501" s="1521"/>
      <c r="AG501" s="1521"/>
      <c r="AH501" s="1521"/>
      <c r="AI501" s="1521"/>
      <c r="AJ501" s="1521"/>
      <c r="AK501" s="1521"/>
      <c r="AL501" s="1521"/>
      <c r="AM501" s="1521"/>
      <c r="AN501" s="1521"/>
      <c r="AO501" s="1521"/>
      <c r="AP501" s="1521"/>
      <c r="AQ501" s="1521"/>
      <c r="BH501" s="1521">
        <f>+SUM(H501:K501)</f>
        <v>1860</v>
      </c>
      <c r="BI501" s="1521">
        <f>+SUM(L501:O501)</f>
        <v>4411</v>
      </c>
      <c r="BJ501" s="1593"/>
      <c r="BK501" s="1593"/>
      <c r="BL501" s="1593"/>
      <c r="BM501" s="1593"/>
    </row>
    <row r="502" spans="2:81" s="1518" customFormat="1" ht="11.45" hidden="1" outlineLevel="2">
      <c r="B502" s="1539" t="s">
        <v>123</v>
      </c>
      <c r="I502" s="1525">
        <f>+I501/I488</f>
        <v>0.79385964912280704</v>
      </c>
      <c r="J502" s="1525">
        <f>+J501/J488</f>
        <v>0.81762295081967218</v>
      </c>
      <c r="K502" s="1525">
        <f t="shared" ref="K502:O502" si="2305">+K501/K488</f>
        <v>0.8256794751640113</v>
      </c>
      <c r="L502" s="1525">
        <f t="shared" si="2305"/>
        <v>0.83188153310104529</v>
      </c>
      <c r="M502" s="1525">
        <f t="shared" si="2305"/>
        <v>0.83993902439024393</v>
      </c>
      <c r="N502" s="1525">
        <f t="shared" si="2305"/>
        <v>0.83820224719101122</v>
      </c>
      <c r="O502" s="1525">
        <f t="shared" si="2305"/>
        <v>0.84357923497267762</v>
      </c>
      <c r="P502" s="1525"/>
      <c r="Q502" s="1525"/>
      <c r="R502" s="1525"/>
      <c r="S502" s="1525"/>
      <c r="T502" s="1525"/>
      <c r="U502" s="1525"/>
      <c r="V502" s="1525"/>
      <c r="W502" s="1525"/>
      <c r="X502" s="1525"/>
      <c r="Y502" s="1525"/>
      <c r="Z502" s="1525"/>
      <c r="AA502" s="1525"/>
      <c r="AB502" s="1525"/>
      <c r="AC502" s="1525"/>
      <c r="AD502" s="1525"/>
      <c r="AE502" s="1525"/>
      <c r="AF502" s="1525"/>
      <c r="AG502" s="1525"/>
      <c r="AH502" s="1525"/>
      <c r="AI502" s="1525"/>
      <c r="AJ502" s="1525"/>
      <c r="AK502" s="1525"/>
      <c r="AL502" s="1525"/>
      <c r="AM502" s="1525"/>
      <c r="AN502" s="1525"/>
      <c r="AO502" s="1525"/>
      <c r="AP502" s="1525"/>
      <c r="AQ502" s="1525"/>
      <c r="BH502" s="1525">
        <f t="shared" ref="BH502:BI502" si="2306">+BH501/BH488</f>
        <v>0.8190224570673712</v>
      </c>
      <c r="BI502" s="1525">
        <f t="shared" si="2306"/>
        <v>0.83875261456550676</v>
      </c>
      <c r="BJ502" s="1593"/>
      <c r="BK502" s="1593"/>
      <c r="BL502" s="1593"/>
      <c r="BM502" s="1593"/>
    </row>
    <row r="503" spans="2:81" s="1518" customFormat="1" ht="11.45" hidden="1" outlineLevel="2">
      <c r="B503" s="1578"/>
      <c r="BJ503" s="1593"/>
      <c r="BK503" s="1593"/>
      <c r="BL503" s="1593"/>
      <c r="BM503" s="1593"/>
      <c r="BT503" s="1527"/>
      <c r="BU503" s="1527"/>
      <c r="BV503" s="1527"/>
      <c r="BW503" s="1527"/>
      <c r="BX503" s="1527"/>
      <c r="BY503" s="1527"/>
      <c r="BZ503" s="1527"/>
      <c r="CA503" s="1527"/>
      <c r="CB503" s="1527"/>
      <c r="CC503" s="1527"/>
    </row>
    <row r="504" spans="2:81" s="1518" customFormat="1" ht="11.45" hidden="1" outlineLevel="2">
      <c r="B504" s="1518" t="s">
        <v>411</v>
      </c>
      <c r="I504" s="1548">
        <v>52</v>
      </c>
      <c r="J504" s="1548">
        <v>153</v>
      </c>
      <c r="K504" s="1548">
        <v>154</v>
      </c>
      <c r="L504" s="1548">
        <v>154</v>
      </c>
      <c r="M504" s="1548">
        <v>154</v>
      </c>
      <c r="N504" s="1548">
        <v>155</v>
      </c>
      <c r="O504" s="1548">
        <v>154</v>
      </c>
      <c r="P504" s="1548"/>
      <c r="Q504" s="1548"/>
      <c r="R504" s="1548"/>
      <c r="S504" s="1548"/>
      <c r="T504" s="1548"/>
      <c r="U504" s="1548"/>
      <c r="V504" s="1548"/>
      <c r="W504" s="1548"/>
      <c r="X504" s="1548"/>
      <c r="Y504" s="1548"/>
      <c r="Z504" s="1548"/>
      <c r="AA504" s="1548"/>
      <c r="AB504" s="1548"/>
      <c r="AC504" s="1548"/>
      <c r="AD504" s="1548"/>
      <c r="AE504" s="1548"/>
      <c r="AF504" s="1548"/>
      <c r="AG504" s="1548"/>
      <c r="AH504" s="1548"/>
      <c r="AI504" s="1548"/>
      <c r="AJ504" s="1548"/>
      <c r="AK504" s="1548"/>
      <c r="AL504" s="1548"/>
      <c r="AM504" s="1548"/>
      <c r="AN504" s="1548"/>
      <c r="AO504" s="1548"/>
      <c r="AP504" s="1548"/>
      <c r="AQ504" s="1548"/>
      <c r="BH504" s="1521">
        <f>+SUM(H504:K504)</f>
        <v>359</v>
      </c>
      <c r="BI504" s="1521">
        <f>+SUM(L504:O504)</f>
        <v>617</v>
      </c>
      <c r="BJ504" s="1593"/>
      <c r="BK504" s="1593"/>
      <c r="BL504" s="1593"/>
      <c r="BM504" s="1593"/>
      <c r="BT504" s="1527"/>
      <c r="BU504" s="1527"/>
      <c r="BV504" s="1527"/>
      <c r="BW504" s="1527"/>
      <c r="BX504" s="1527"/>
      <c r="BY504" s="1527"/>
      <c r="BZ504" s="1527"/>
      <c r="CA504" s="1527"/>
      <c r="CB504" s="1527"/>
      <c r="CC504" s="1527"/>
    </row>
    <row r="505" spans="2:81" s="1518" customFormat="1" ht="11.45" hidden="1" outlineLevel="2">
      <c r="B505" s="1518" t="s">
        <v>416</v>
      </c>
      <c r="I505" s="1593">
        <v>253</v>
      </c>
      <c r="J505" s="1593">
        <v>802</v>
      </c>
      <c r="K505" s="1593">
        <v>863</v>
      </c>
      <c r="L505" s="1593">
        <v>877</v>
      </c>
      <c r="M505" s="1593">
        <v>991</v>
      </c>
      <c r="N505" s="1593">
        <v>986</v>
      </c>
      <c r="O505" s="1593">
        <v>1039</v>
      </c>
      <c r="P505" s="1593"/>
      <c r="Q505" s="1593"/>
      <c r="R505" s="1593"/>
      <c r="S505" s="1593"/>
      <c r="T505" s="1593"/>
      <c r="U505" s="1593"/>
      <c r="V505" s="1593"/>
      <c r="W505" s="1593"/>
      <c r="X505" s="1593"/>
      <c r="Y505" s="1593"/>
      <c r="Z505" s="1593"/>
      <c r="AA505" s="1593"/>
      <c r="AB505" s="1593"/>
      <c r="AC505" s="1593"/>
      <c r="AD505" s="1593"/>
      <c r="AE505" s="1593"/>
      <c r="AF505" s="1593"/>
      <c r="AG505" s="1593"/>
      <c r="AH505" s="1593"/>
      <c r="AI505" s="1593"/>
      <c r="AJ505" s="1593"/>
      <c r="AK505" s="1593"/>
      <c r="AL505" s="1593"/>
      <c r="AM505" s="1593"/>
      <c r="AN505" s="1593"/>
      <c r="AO505" s="1593"/>
      <c r="AP505" s="1593"/>
      <c r="AQ505" s="1593"/>
      <c r="BH505" s="1601">
        <f>+SUM(H505:K505)</f>
        <v>1918</v>
      </c>
      <c r="BI505" s="1601">
        <f>+SUM(L505:O505)</f>
        <v>3893</v>
      </c>
      <c r="BJ505" s="1593"/>
      <c r="BK505" s="1593"/>
      <c r="BL505" s="1593"/>
      <c r="BM505" s="1593"/>
    </row>
    <row r="506" spans="2:81" s="1518" customFormat="1" ht="11.45" hidden="1" outlineLevel="2">
      <c r="B506" s="1523" t="s">
        <v>417</v>
      </c>
      <c r="I506" s="1521">
        <f>SUM(I504:I505)</f>
        <v>305</v>
      </c>
      <c r="J506" s="1521">
        <f>SUM(J504:J505)</f>
        <v>955</v>
      </c>
      <c r="K506" s="1521">
        <f t="shared" ref="K506" si="2307">SUM(K504:K505)</f>
        <v>1017</v>
      </c>
      <c r="L506" s="1521">
        <f t="shared" ref="L506" si="2308">SUM(L504:L505)</f>
        <v>1031</v>
      </c>
      <c r="M506" s="1521">
        <f t="shared" ref="M506" si="2309">SUM(M504:M505)</f>
        <v>1145</v>
      </c>
      <c r="N506" s="1521">
        <f t="shared" ref="N506:O506" si="2310">SUM(N504:N505)</f>
        <v>1141</v>
      </c>
      <c r="O506" s="1521">
        <f t="shared" si="2310"/>
        <v>1193</v>
      </c>
      <c r="P506" s="1521"/>
      <c r="Q506" s="1521"/>
      <c r="R506" s="1521"/>
      <c r="S506" s="1521"/>
      <c r="T506" s="1521"/>
      <c r="U506" s="1521"/>
      <c r="V506" s="1521"/>
      <c r="W506" s="1521"/>
      <c r="X506" s="1521"/>
      <c r="Y506" s="1521"/>
      <c r="Z506" s="1521"/>
      <c r="AA506" s="1521"/>
      <c r="AB506" s="1521"/>
      <c r="AC506" s="1521"/>
      <c r="AD506" s="1521"/>
      <c r="AE506" s="1521"/>
      <c r="AF506" s="1521"/>
      <c r="AG506" s="1521"/>
      <c r="AH506" s="1521"/>
      <c r="AI506" s="1521"/>
      <c r="AJ506" s="1521"/>
      <c r="AK506" s="1521"/>
      <c r="AL506" s="1521"/>
      <c r="AM506" s="1521"/>
      <c r="AN506" s="1521"/>
      <c r="AO506" s="1521"/>
      <c r="AP506" s="1521"/>
      <c r="AQ506" s="1521"/>
      <c r="BH506" s="1521">
        <f>+SUM(H506:K506)</f>
        <v>2277</v>
      </c>
      <c r="BI506" s="1521">
        <f>+SUM(L506:O506)</f>
        <v>4510</v>
      </c>
      <c r="BJ506" s="1593"/>
      <c r="BK506" s="1593"/>
      <c r="BL506" s="1593"/>
      <c r="BM506" s="1593"/>
    </row>
    <row r="507" spans="2:81" s="1518" customFormat="1" ht="11.45" hidden="1" outlineLevel="2">
      <c r="BJ507" s="1593"/>
      <c r="BK507" s="1593"/>
      <c r="BL507" s="1593"/>
      <c r="BM507" s="1593"/>
    </row>
    <row r="508" spans="2:81" s="1518" customFormat="1" ht="11.45" hidden="1" outlineLevel="2">
      <c r="B508" s="1518" t="s">
        <v>418</v>
      </c>
      <c r="I508" s="1521">
        <f>+I488-I496-I506</f>
        <v>-196</v>
      </c>
      <c r="J508" s="1521">
        <f>+J488-J496-J506</f>
        <v>-375</v>
      </c>
      <c r="K508" s="1521">
        <f t="shared" ref="K508:N508" si="2311">+K488-K496-K506</f>
        <v>-353</v>
      </c>
      <c r="L508" s="1521">
        <f t="shared" si="2311"/>
        <v>-294</v>
      </c>
      <c r="M508" s="1521">
        <f t="shared" si="2311"/>
        <v>-265</v>
      </c>
      <c r="N508" s="1521">
        <f t="shared" si="2311"/>
        <v>-246</v>
      </c>
      <c r="O508" s="1521">
        <f t="shared" ref="O508" si="2312">+O488-O496-O506</f>
        <v>-182</v>
      </c>
      <c r="P508" s="1521"/>
      <c r="Q508" s="1521"/>
      <c r="R508" s="1521"/>
      <c r="S508" s="1521"/>
      <c r="T508" s="1521"/>
      <c r="U508" s="1521"/>
      <c r="V508" s="1521"/>
      <c r="W508" s="1521"/>
      <c r="X508" s="1521"/>
      <c r="Y508" s="1521"/>
      <c r="Z508" s="1521"/>
      <c r="AA508" s="1521"/>
      <c r="AB508" s="1521"/>
      <c r="AC508" s="1521"/>
      <c r="AD508" s="1521"/>
      <c r="AE508" s="1521"/>
      <c r="AF508" s="1521"/>
      <c r="AG508" s="1521"/>
      <c r="AH508" s="1521"/>
      <c r="AI508" s="1521"/>
      <c r="AJ508" s="1521"/>
      <c r="AK508" s="1521"/>
      <c r="AL508" s="1521"/>
      <c r="AM508" s="1521"/>
      <c r="AN508" s="1521"/>
      <c r="AO508" s="1521"/>
      <c r="AP508" s="1521"/>
      <c r="AQ508" s="1521"/>
      <c r="BH508" s="1521">
        <f>+SUM(H508:K508)</f>
        <v>-924</v>
      </c>
      <c r="BI508" s="1521">
        <f>+SUM(L508:O508)</f>
        <v>-987</v>
      </c>
      <c r="BJ508" s="1593"/>
      <c r="BK508" s="1593"/>
      <c r="BL508" s="1593"/>
      <c r="BM508" s="1593"/>
    </row>
    <row r="509" spans="2:81" s="1518" customFormat="1" ht="11.45" hidden="1" outlineLevel="2">
      <c r="B509" s="1539" t="s">
        <v>123</v>
      </c>
      <c r="I509" s="1525">
        <f>+I508/I488</f>
        <v>-0.85964912280701755</v>
      </c>
      <c r="J509" s="1525">
        <f>+J508/J488</f>
        <v>-0.38422131147540983</v>
      </c>
      <c r="K509" s="1525">
        <f t="shared" ref="K509:O509" si="2313">+K508/K488</f>
        <v>-0.33083411433926896</v>
      </c>
      <c r="L509" s="1525">
        <f t="shared" si="2313"/>
        <v>-0.25609756097560976</v>
      </c>
      <c r="M509" s="1525">
        <f t="shared" si="2313"/>
        <v>-0.20198170731707318</v>
      </c>
      <c r="N509" s="1525">
        <f t="shared" si="2313"/>
        <v>-0.1842696629213483</v>
      </c>
      <c r="O509" s="1525">
        <f t="shared" si="2313"/>
        <v>-0.12431693989071038</v>
      </c>
      <c r="P509" s="1525"/>
      <c r="Q509" s="1525"/>
      <c r="R509" s="1525"/>
      <c r="S509" s="1525"/>
      <c r="T509" s="1525"/>
      <c r="U509" s="1525"/>
      <c r="V509" s="1525"/>
      <c r="W509" s="1525"/>
      <c r="X509" s="1525"/>
      <c r="Y509" s="1525"/>
      <c r="Z509" s="1525"/>
      <c r="AA509" s="1525"/>
      <c r="AB509" s="1525"/>
      <c r="AC509" s="1525"/>
      <c r="AD509" s="1525"/>
      <c r="AE509" s="1525"/>
      <c r="AF509" s="1525"/>
      <c r="AG509" s="1525"/>
      <c r="AH509" s="1525"/>
      <c r="AI509" s="1525"/>
      <c r="AJ509" s="1525"/>
      <c r="AK509" s="1525"/>
      <c r="AL509" s="1525"/>
      <c r="AM509" s="1525"/>
      <c r="AN509" s="1525"/>
      <c r="AO509" s="1525"/>
      <c r="AP509" s="1525"/>
      <c r="AQ509" s="1525"/>
      <c r="BH509" s="1525">
        <f t="shared" ref="BH509" si="2314">+BH508/BH488</f>
        <v>-0.40686922060766184</v>
      </c>
      <c r="BI509" s="1525">
        <f t="shared" ref="BI509" si="2315">+BI508/BI488</f>
        <v>-0.18767826583000571</v>
      </c>
      <c r="BJ509" s="1593"/>
      <c r="BK509" s="1593"/>
      <c r="BL509" s="1593"/>
      <c r="BM509" s="1593"/>
      <c r="BQ509" s="1525"/>
    </row>
    <row r="510" spans="2:81" s="1518" customFormat="1" ht="11.45" hidden="1" outlineLevel="2">
      <c r="B510" s="1539"/>
      <c r="I510" s="1525"/>
      <c r="J510" s="1525"/>
      <c r="K510" s="1525"/>
      <c r="L510" s="1525"/>
      <c r="M510" s="1525"/>
      <c r="N510" s="1525"/>
      <c r="O510" s="1525"/>
      <c r="P510" s="1525"/>
      <c r="Q510" s="1525"/>
      <c r="R510" s="1525"/>
      <c r="S510" s="1525"/>
      <c r="T510" s="1525"/>
      <c r="U510" s="1525"/>
      <c r="V510" s="1525"/>
      <c r="W510" s="1525"/>
      <c r="X510" s="1525"/>
      <c r="Y510" s="1525"/>
      <c r="Z510" s="1525"/>
      <c r="AA510" s="1525"/>
      <c r="AB510" s="1525"/>
      <c r="AC510" s="1525"/>
      <c r="AD510" s="1525"/>
      <c r="AE510" s="1525"/>
      <c r="AF510" s="1525"/>
      <c r="AG510" s="1525"/>
      <c r="AH510" s="1525"/>
      <c r="AI510" s="1525"/>
      <c r="AJ510" s="1525"/>
      <c r="AK510" s="1525"/>
      <c r="AL510" s="1525"/>
      <c r="AM510" s="1525"/>
      <c r="AN510" s="1525"/>
      <c r="AO510" s="1525"/>
      <c r="AP510" s="1525"/>
      <c r="AQ510" s="1525"/>
      <c r="BH510" s="1525"/>
      <c r="BI510" s="1525"/>
      <c r="BJ510" s="1593"/>
      <c r="BK510" s="1593"/>
      <c r="BL510" s="1593"/>
      <c r="BM510" s="1593"/>
      <c r="BQ510" s="1525"/>
    </row>
    <row r="511" spans="2:81" s="1518" customFormat="1" ht="11.45" hidden="1" outlineLevel="2">
      <c r="B511" s="1518" t="s">
        <v>419</v>
      </c>
      <c r="I511" s="1521">
        <f>+I488-I495-I505</f>
        <v>-72</v>
      </c>
      <c r="J511" s="1521">
        <f>+J488-J495-J505</f>
        <v>-4</v>
      </c>
      <c r="K511" s="1521">
        <f t="shared" ref="K511:N511" si="2316">+K488-K495-K505</f>
        <v>18</v>
      </c>
      <c r="L511" s="1521">
        <f t="shared" si="2316"/>
        <v>78</v>
      </c>
      <c r="M511" s="1521">
        <f t="shared" si="2316"/>
        <v>111</v>
      </c>
      <c r="N511" s="1521">
        <f t="shared" si="2316"/>
        <v>133</v>
      </c>
      <c r="O511" s="1521">
        <f t="shared" ref="O511" si="2317">+O488-O495-O505</f>
        <v>196</v>
      </c>
      <c r="P511" s="1521"/>
      <c r="Q511" s="1521"/>
      <c r="R511" s="1521"/>
      <c r="S511" s="1521"/>
      <c r="T511" s="1521"/>
      <c r="U511" s="1521"/>
      <c r="V511" s="1521"/>
      <c r="W511" s="1521"/>
      <c r="X511" s="1521"/>
      <c r="Y511" s="1521"/>
      <c r="Z511" s="1521"/>
      <c r="AA511" s="1521"/>
      <c r="AB511" s="1521"/>
      <c r="AC511" s="1521"/>
      <c r="AD511" s="1521"/>
      <c r="AE511" s="1521"/>
      <c r="AF511" s="1521"/>
      <c r="AG511" s="1521"/>
      <c r="AH511" s="1521"/>
      <c r="AI511" s="1521"/>
      <c r="AJ511" s="1521"/>
      <c r="AK511" s="1521"/>
      <c r="AL511" s="1521"/>
      <c r="AM511" s="1521"/>
      <c r="AN511" s="1521"/>
      <c r="AO511" s="1521"/>
      <c r="AP511" s="1521"/>
      <c r="AQ511" s="1521"/>
      <c r="BH511" s="1521">
        <f>+SUM(H511:K511)</f>
        <v>-58</v>
      </c>
      <c r="BI511" s="1521">
        <f>+SUM(L511:O511)</f>
        <v>518</v>
      </c>
      <c r="BJ511" s="1593"/>
      <c r="BK511" s="1593"/>
      <c r="BL511" s="1593"/>
      <c r="BM511" s="1593"/>
    </row>
    <row r="512" spans="2:81" s="1518" customFormat="1" ht="11.45" hidden="1" outlineLevel="2">
      <c r="B512" s="1539" t="s">
        <v>123</v>
      </c>
      <c r="I512" s="1525">
        <f>+I511/I488</f>
        <v>-0.31578947368421051</v>
      </c>
      <c r="J512" s="1525">
        <f>+J511/J488</f>
        <v>-4.0983606557377051E-3</v>
      </c>
      <c r="K512" s="1525">
        <f t="shared" ref="K512:O512" si="2318">+K511/K488</f>
        <v>1.6869728209934397E-2</v>
      </c>
      <c r="L512" s="1525">
        <f t="shared" si="2318"/>
        <v>6.7944250871080136E-2</v>
      </c>
      <c r="M512" s="1525">
        <f t="shared" si="2318"/>
        <v>8.4603658536585372E-2</v>
      </c>
      <c r="N512" s="1525">
        <f t="shared" si="2318"/>
        <v>9.9625468164794007E-2</v>
      </c>
      <c r="O512" s="1525">
        <f t="shared" si="2318"/>
        <v>0.13387978142076504</v>
      </c>
      <c r="P512" s="1525"/>
      <c r="Q512" s="1525"/>
      <c r="R512" s="1525"/>
      <c r="S512" s="1525"/>
      <c r="T512" s="1525"/>
      <c r="U512" s="1525"/>
      <c r="V512" s="1525"/>
      <c r="W512" s="1525"/>
      <c r="X512" s="1525"/>
      <c r="Y512" s="1525"/>
      <c r="Z512" s="1525"/>
      <c r="AA512" s="1525"/>
      <c r="AB512" s="1525"/>
      <c r="AC512" s="1525"/>
      <c r="AD512" s="1525"/>
      <c r="AE512" s="1525"/>
      <c r="AF512" s="1525"/>
      <c r="AG512" s="1525"/>
      <c r="AH512" s="1525"/>
      <c r="AI512" s="1525"/>
      <c r="AJ512" s="1525"/>
      <c r="AK512" s="1525"/>
      <c r="AL512" s="1525"/>
      <c r="AM512" s="1525"/>
      <c r="AN512" s="1525"/>
      <c r="AO512" s="1525"/>
      <c r="AP512" s="1525"/>
      <c r="AQ512" s="1525"/>
      <c r="BH512" s="1525">
        <f t="shared" ref="BH512" si="2319">+BH511/BH488</f>
        <v>-2.5539409951563188E-2</v>
      </c>
      <c r="BI512" s="1525">
        <f t="shared" ref="BI512" si="2320">+BI511/BI488</f>
        <v>9.849781327248526E-2</v>
      </c>
      <c r="BJ512" s="1593"/>
      <c r="BK512" s="1593"/>
      <c r="BL512" s="1593"/>
      <c r="BM512" s="1593"/>
    </row>
    <row r="513" spans="2:81" s="1518" customFormat="1" ht="10.5" outlineLevel="1" collapsed="1">
      <c r="B513" s="1299" t="s">
        <v>420</v>
      </c>
      <c r="AA513" s="1531"/>
      <c r="AG513" s="1521"/>
      <c r="AH513" s="1558"/>
      <c r="AK513" s="1531"/>
      <c r="AL513" s="1531"/>
      <c r="BK513" s="1531"/>
      <c r="BL513" s="1531"/>
      <c r="BM513" s="1531"/>
      <c r="BN513" s="1531"/>
    </row>
    <row r="514" spans="2:81" s="1519" customFormat="1" outlineLevel="1">
      <c r="B514" s="1519" t="s">
        <v>421</v>
      </c>
      <c r="H514" s="1550">
        <f t="shared" ref="H514:AC514" si="2321">+L514/(1+L451)</f>
        <v>5027.6039829344745</v>
      </c>
      <c r="I514" s="1550">
        <f t="shared" si="2321"/>
        <v>5439.225081629419</v>
      </c>
      <c r="J514" s="1550">
        <f t="shared" si="2321"/>
        <v>5253.3809531872794</v>
      </c>
      <c r="K514" s="1550">
        <f t="shared" si="2321"/>
        <v>5853.0521769554698</v>
      </c>
      <c r="L514" s="1550">
        <f t="shared" si="2321"/>
        <v>5530.3643812279224</v>
      </c>
      <c r="M514" s="1550">
        <f t="shared" si="2321"/>
        <v>5983.147589792361</v>
      </c>
      <c r="N514" s="1550">
        <f t="shared" si="2321"/>
        <v>5988.8542866334992</v>
      </c>
      <c r="O514" s="1550">
        <f t="shared" si="2321"/>
        <v>6438.3573946510169</v>
      </c>
      <c r="P514" s="1550">
        <f t="shared" si="2321"/>
        <v>6470.5263260366692</v>
      </c>
      <c r="Q514" s="1550">
        <f t="shared" si="2321"/>
        <v>6641.2938246695212</v>
      </c>
      <c r="R514" s="1550">
        <f t="shared" si="2321"/>
        <v>6707.5168010295201</v>
      </c>
      <c r="S514" s="1550">
        <f t="shared" si="2321"/>
        <v>7339.7274299021601</v>
      </c>
      <c r="T514" s="1550">
        <f t="shared" si="2321"/>
        <v>7311.6947484214352</v>
      </c>
      <c r="U514" s="1550">
        <f t="shared" si="2321"/>
        <v>7703.9008366166445</v>
      </c>
      <c r="V514" s="1550">
        <f t="shared" si="2321"/>
        <v>7579.4939851633571</v>
      </c>
      <c r="W514" s="1550">
        <f t="shared" si="2321"/>
        <v>7706.7138013972681</v>
      </c>
      <c r="X514" s="1550">
        <f t="shared" si="2321"/>
        <v>7969.7472757793648</v>
      </c>
      <c r="Y514" s="1550">
        <f t="shared" si="2321"/>
        <v>8551.3299286444762</v>
      </c>
      <c r="Z514" s="1550">
        <f t="shared" si="2321"/>
        <v>8640.6231430862281</v>
      </c>
      <c r="AA514" s="1550">
        <f t="shared" si="2321"/>
        <v>9248.0565616767217</v>
      </c>
      <c r="AB514" s="1550">
        <f t="shared" si="2321"/>
        <v>9404.3017854196496</v>
      </c>
      <c r="AC514" s="1550">
        <f t="shared" si="2321"/>
        <v>9748.516118654703</v>
      </c>
      <c r="AD514" s="1550">
        <f>+'VA segmentation'!AY249</f>
        <v>9677.4979202565755</v>
      </c>
      <c r="AE514" s="1550">
        <f>+'VA segmentation'!AZ249</f>
        <v>10080.381652227628</v>
      </c>
      <c r="AF514" s="1550">
        <f>+'VA segmentation'!BA249</f>
        <v>10062.602910399026</v>
      </c>
      <c r="AG514" s="1550">
        <f>+'VA segmentation'!BB249</f>
        <v>10430.912246960534</v>
      </c>
      <c r="AH514" s="1550">
        <f>+AD514*(1+AH523)</f>
        <v>10935.572649889929</v>
      </c>
      <c r="AI514" s="1550">
        <f t="shared" ref="AI514" si="2322">+AE514*(1+AI523)</f>
        <v>11290.027450494945</v>
      </c>
      <c r="AJ514" s="1550">
        <f t="shared" ref="AJ514:AJ515" si="2323">+AF514*(1+AJ523)</f>
        <v>11571.99334695888</v>
      </c>
      <c r="AK514" s="1550">
        <f t="shared" ref="AK514:AK515" si="2324">+AG514*(1+AK523)</f>
        <v>11995.549084004613</v>
      </c>
      <c r="AL514" s="1550">
        <f t="shared" ref="AL514:AL515" si="2325">+AH514*(1+AL523)</f>
        <v>12357.197094375619</v>
      </c>
      <c r="AM514" s="1550">
        <f t="shared" ref="AM514:AM515" si="2326">+AI514*(1+AM523)</f>
        <v>12644.83074455434</v>
      </c>
      <c r="AN514" s="1550">
        <f t="shared" ref="AN514:AN515" si="2327">+AJ514*(1+AN523)</f>
        <v>13076.352482063532</v>
      </c>
      <c r="AO514" s="1550">
        <f t="shared" ref="AO514:AO515" si="2328">+AK514*(1+AO523)</f>
        <v>13554.970464925211</v>
      </c>
      <c r="AP514" s="1550">
        <f t="shared" ref="AP514:AP515" si="2329">+AL514*(1+AP523)</f>
        <v>13963.632716644448</v>
      </c>
      <c r="AQ514" s="1550">
        <f t="shared" ref="AQ514:AQ515" si="2330">+AM514*(1+AQ523)</f>
        <v>14288.658741346402</v>
      </c>
      <c r="AV514" s="1550"/>
      <c r="AW514" s="1550"/>
      <c r="AX514" s="1550"/>
      <c r="AY514" s="1550"/>
      <c r="AZ514" s="1550"/>
      <c r="BA514" s="1550"/>
      <c r="BB514" s="1550"/>
      <c r="BC514" s="1550"/>
      <c r="BD514" s="1550"/>
      <c r="BE514" s="1550"/>
      <c r="BF514" s="1550"/>
      <c r="BG514" s="1550"/>
      <c r="BH514" s="1550">
        <f>SUM(H514:K514)</f>
        <v>21573.262194706644</v>
      </c>
      <c r="BI514" s="1550">
        <f>SUM(L514:O514)</f>
        <v>23940.723652304798</v>
      </c>
      <c r="BJ514" s="1550">
        <f>SUM(P514:S514)</f>
        <v>27159.064381637869</v>
      </c>
      <c r="BK514" s="1550">
        <f t="shared" ref="BK514:BK515" si="2331">SUM(T514:W514)</f>
        <v>30301.803371598708</v>
      </c>
      <c r="BL514" s="1550">
        <f t="shared" ref="BL514:BL515" si="2332">SUM(X514:AA514)</f>
        <v>34409.756909186792</v>
      </c>
      <c r="BM514" s="1550">
        <f t="shared" ref="BM514:BM515" si="2333">SUM(AB514:AE514)</f>
        <v>38910.697476558562</v>
      </c>
      <c r="BN514" s="1550">
        <f t="shared" ref="BN514:BN515" si="2334">SUM(AF514:AI514)</f>
        <v>42719.11525774443</v>
      </c>
      <c r="BO514" s="1550">
        <f t="shared" ref="BO514:BO515" si="2335">SUM(AJ514:AM514)</f>
        <v>48569.570269893447</v>
      </c>
      <c r="BP514" s="1550">
        <f>+SUM(AN514:AQ514)</f>
        <v>54883.614404979591</v>
      </c>
      <c r="BT514" s="1518"/>
      <c r="BU514" s="1518"/>
      <c r="BV514" s="1518"/>
      <c r="BW514" s="1518"/>
      <c r="BX514" s="1518"/>
      <c r="BY514" s="1518"/>
      <c r="BZ514" s="1518"/>
      <c r="CA514" s="1518"/>
      <c r="CB514" s="1518"/>
      <c r="CC514" s="1518"/>
    </row>
    <row r="515" spans="2:81" s="1519" customFormat="1" outlineLevel="1">
      <c r="B515" s="1519" t="s">
        <v>422</v>
      </c>
      <c r="H515" s="1550">
        <f t="shared" ref="H515:AC515" si="2336">+L515/(1+L453)</f>
        <v>833.44667063242935</v>
      </c>
      <c r="I515" s="1550">
        <f t="shared" si="2336"/>
        <v>866.20038813086592</v>
      </c>
      <c r="J515" s="1550">
        <f t="shared" si="2336"/>
        <v>908.69592587862621</v>
      </c>
      <c r="K515" s="1550">
        <f t="shared" si="2336"/>
        <v>998.60972953509827</v>
      </c>
      <c r="L515" s="1550">
        <f t="shared" si="2336"/>
        <v>933.46027110832097</v>
      </c>
      <c r="M515" s="1550">
        <f t="shared" si="2336"/>
        <v>970.14443470656988</v>
      </c>
      <c r="N515" s="1550">
        <f t="shared" si="2336"/>
        <v>1017.7394369840614</v>
      </c>
      <c r="O515" s="1550">
        <f t="shared" si="2336"/>
        <v>1078.4985078979062</v>
      </c>
      <c r="P515" s="1550">
        <f t="shared" si="2336"/>
        <v>1082.8139144856523</v>
      </c>
      <c r="Q515" s="1550">
        <f t="shared" si="2336"/>
        <v>979.8458790536356</v>
      </c>
      <c r="R515" s="1550">
        <f t="shared" si="2336"/>
        <v>1099.1585919427864</v>
      </c>
      <c r="S515" s="1550">
        <f t="shared" si="2336"/>
        <v>1143.2084183717807</v>
      </c>
      <c r="T515" s="1550">
        <f t="shared" si="2336"/>
        <v>1136.954610209935</v>
      </c>
      <c r="U515" s="1550">
        <f t="shared" si="2336"/>
        <v>1166.0165960738263</v>
      </c>
      <c r="V515" s="1550">
        <f t="shared" si="2336"/>
        <v>1264.0323807342043</v>
      </c>
      <c r="W515" s="1550">
        <f t="shared" si="2336"/>
        <v>1211.8009234740875</v>
      </c>
      <c r="X515" s="1550">
        <f t="shared" si="2336"/>
        <v>1262.019617333028</v>
      </c>
      <c r="Y515" s="1550">
        <f t="shared" si="2336"/>
        <v>1247.6377577989942</v>
      </c>
      <c r="Z515" s="1550">
        <f t="shared" si="2336"/>
        <v>1327.2339997709146</v>
      </c>
      <c r="AA515" s="1550">
        <f t="shared" si="2336"/>
        <v>1429.9250896994233</v>
      </c>
      <c r="AB515" s="1550">
        <f t="shared" si="2336"/>
        <v>1388.2215790663308</v>
      </c>
      <c r="AC515" s="1550">
        <f t="shared" si="2336"/>
        <v>1434.7834214688432</v>
      </c>
      <c r="AD515" s="1550">
        <f t="shared" ref="AD515:AF515" si="2337">+AD517-AD514</f>
        <v>1486.5020797434245</v>
      </c>
      <c r="AE515" s="1550">
        <f t="shared" si="2337"/>
        <v>1558.6183477723716</v>
      </c>
      <c r="AF515" s="1550">
        <f t="shared" si="2337"/>
        <v>1485.3970896009741</v>
      </c>
      <c r="AG515" s="1550">
        <f>+AG517-AG514</f>
        <v>1406.0877530394664</v>
      </c>
      <c r="AH515" s="1550">
        <f t="shared" ref="AH515" si="2338">+AD515*(1+AH524)</f>
        <v>1501.3671005408587</v>
      </c>
      <c r="AI515" s="1550">
        <f t="shared" ref="AI515" si="2339">+AE515*(1+AI524)</f>
        <v>1605.3768982055428</v>
      </c>
      <c r="AJ515" s="1550">
        <f t="shared" si="2323"/>
        <v>1529.9590022890034</v>
      </c>
      <c r="AK515" s="1550">
        <f t="shared" si="2324"/>
        <v>1476.3921406914399</v>
      </c>
      <c r="AL515" s="1550">
        <f t="shared" si="2325"/>
        <v>1561.421784562493</v>
      </c>
      <c r="AM515" s="1550">
        <f t="shared" si="2326"/>
        <v>1653.5382051517092</v>
      </c>
      <c r="AN515" s="1550">
        <f t="shared" si="2327"/>
        <v>1575.8577723576734</v>
      </c>
      <c r="AO515" s="1550">
        <f t="shared" si="2328"/>
        <v>1520.6839049121832</v>
      </c>
      <c r="AP515" s="1550">
        <f t="shared" si="2329"/>
        <v>1608.2644380993679</v>
      </c>
      <c r="AQ515" s="1550">
        <f t="shared" si="2330"/>
        <v>1703.1443513062607</v>
      </c>
      <c r="AV515" s="1550"/>
      <c r="AW515" s="1550"/>
      <c r="AX515" s="1550"/>
      <c r="AY515" s="1550"/>
      <c r="AZ515" s="1550"/>
      <c r="BA515" s="1550"/>
      <c r="BB515" s="1550"/>
      <c r="BC515" s="1550"/>
      <c r="BD515" s="1550"/>
      <c r="BE515" s="1550"/>
      <c r="BF515" s="1550"/>
      <c r="BG515" s="1550"/>
      <c r="BH515" s="1550">
        <f t="shared" ref="BH515:BH520" si="2340">SUM(H515:K515)</f>
        <v>3606.9527141770195</v>
      </c>
      <c r="BI515" s="1550">
        <f t="shared" ref="BI515:BI520" si="2341">SUM(L515:O515)</f>
        <v>3999.8426506968585</v>
      </c>
      <c r="BJ515" s="1550">
        <f t="shared" ref="BJ515:BJ520" si="2342">SUM(P515:S515)</f>
        <v>4305.0268038538552</v>
      </c>
      <c r="BK515" s="1550">
        <f t="shared" si="2331"/>
        <v>4778.8045104920529</v>
      </c>
      <c r="BL515" s="1550">
        <f t="shared" si="2332"/>
        <v>5266.8164646023597</v>
      </c>
      <c r="BM515" s="1550">
        <f t="shared" si="2333"/>
        <v>5868.1254280509702</v>
      </c>
      <c r="BN515" s="1550">
        <f t="shared" si="2334"/>
        <v>5998.2288413868419</v>
      </c>
      <c r="BO515" s="1550">
        <f t="shared" si="2335"/>
        <v>6221.3111326946446</v>
      </c>
      <c r="BP515" s="1550">
        <f t="shared" ref="BP515:BP520" si="2343">+SUM(AN515:AQ515)</f>
        <v>6407.9504666754847</v>
      </c>
      <c r="BT515" s="1518"/>
      <c r="BU515" s="1518"/>
      <c r="BV515" s="1518"/>
      <c r="BW515" s="1518"/>
      <c r="BX515" s="1518"/>
      <c r="BY515" s="1518"/>
      <c r="BZ515" s="1518"/>
      <c r="CA515" s="1518"/>
      <c r="CB515" s="1518"/>
      <c r="CC515" s="1518"/>
    </row>
    <row r="516" spans="2:81" s="1576" customFormat="1" ht="11.45" outlineLevel="2">
      <c r="B516" s="1519" t="s">
        <v>200</v>
      </c>
      <c r="H516" s="1587">
        <f>+H517-SUM(H514:H515)</f>
        <v>120.94934643309625</v>
      </c>
      <c r="I516" s="1587">
        <f t="shared" ref="I516:AG516" si="2344">+I517-SUM(I514:I515)</f>
        <v>133.57453023971539</v>
      </c>
      <c r="J516" s="1587">
        <f t="shared" si="2344"/>
        <v>71.923120934094186</v>
      </c>
      <c r="K516" s="1587">
        <f t="shared" si="2344"/>
        <v>66.338093509431928</v>
      </c>
      <c r="L516" s="1587">
        <f t="shared" si="2344"/>
        <v>111.17534766375684</v>
      </c>
      <c r="M516" s="1587">
        <f t="shared" si="2344"/>
        <v>121.70797550106909</v>
      </c>
      <c r="N516" s="1587">
        <f t="shared" si="2344"/>
        <v>81.406276382439501</v>
      </c>
      <c r="O516" s="1587">
        <f t="shared" si="2344"/>
        <v>61.144097451076959</v>
      </c>
      <c r="P516" s="1587">
        <f t="shared" si="2344"/>
        <v>68.659759477678563</v>
      </c>
      <c r="Q516" s="1587">
        <f t="shared" si="2344"/>
        <v>125.86029627684366</v>
      </c>
      <c r="R516" s="1587">
        <f t="shared" si="2344"/>
        <v>82.324607027693673</v>
      </c>
      <c r="S516" s="1587">
        <f t="shared" si="2344"/>
        <v>28.064151726059208</v>
      </c>
      <c r="T516" s="1587">
        <f t="shared" si="2344"/>
        <v>17.350641368630022</v>
      </c>
      <c r="U516" s="1587">
        <f t="shared" si="2344"/>
        <v>113.08256730952962</v>
      </c>
      <c r="V516" s="1587">
        <f t="shared" si="2344"/>
        <v>76.473634102438155</v>
      </c>
      <c r="W516" s="1587">
        <f t="shared" si="2344"/>
        <v>28.485275128645299</v>
      </c>
      <c r="X516" s="1587">
        <f t="shared" si="2344"/>
        <v>46.233106887606482</v>
      </c>
      <c r="Y516" s="1587">
        <f t="shared" si="2344"/>
        <v>82.032313556530426</v>
      </c>
      <c r="Z516" s="1587">
        <f t="shared" si="2344"/>
        <v>48.142857142856883</v>
      </c>
      <c r="AA516" s="1587">
        <f t="shared" si="2344"/>
        <v>19.018348623854763</v>
      </c>
      <c r="AB516" s="1587">
        <f t="shared" si="2344"/>
        <v>15.476635514020018</v>
      </c>
      <c r="AC516" s="1587">
        <f t="shared" si="2344"/>
        <v>67.700459876454261</v>
      </c>
      <c r="AD516" s="1587">
        <f t="shared" si="2344"/>
        <v>0</v>
      </c>
      <c r="AE516" s="1587">
        <f t="shared" si="2344"/>
        <v>0</v>
      </c>
      <c r="AF516" s="1587">
        <f t="shared" si="2344"/>
        <v>0</v>
      </c>
      <c r="AG516" s="1587">
        <f t="shared" si="2344"/>
        <v>0</v>
      </c>
      <c r="AH516" s="1555">
        <v>0</v>
      </c>
      <c r="AI516" s="1555">
        <v>0</v>
      </c>
      <c r="AJ516" s="1555">
        <v>0</v>
      </c>
      <c r="AK516" s="1555">
        <v>0</v>
      </c>
      <c r="AL516" s="1555">
        <v>0</v>
      </c>
      <c r="AM516" s="1555">
        <v>0</v>
      </c>
      <c r="AN516" s="1588">
        <v>0</v>
      </c>
      <c r="AO516" s="1588">
        <v>0</v>
      </c>
      <c r="AP516" s="1588">
        <v>0</v>
      </c>
      <c r="AQ516" s="1588">
        <v>0</v>
      </c>
      <c r="AV516" s="1587"/>
      <c r="AW516" s="1587"/>
      <c r="AX516" s="1587"/>
      <c r="AY516" s="1587"/>
      <c r="AZ516" s="1587"/>
      <c r="BA516" s="1587"/>
      <c r="BB516" s="1587"/>
      <c r="BC516" s="1587"/>
      <c r="BD516" s="1587"/>
      <c r="BE516" s="1587"/>
      <c r="BF516" s="1587"/>
      <c r="BG516" s="1587"/>
      <c r="BH516" s="1587">
        <f t="shared" si="2340"/>
        <v>392.78509111633775</v>
      </c>
      <c r="BI516" s="1587">
        <f t="shared" si="2341"/>
        <v>375.43369699834238</v>
      </c>
      <c r="BJ516" s="1587">
        <f t="shared" si="2342"/>
        <v>304.9088145082751</v>
      </c>
      <c r="BK516" s="1587">
        <f t="shared" ref="BK516" si="2345">SUM(T516:W516)</f>
        <v>235.3921179092431</v>
      </c>
      <c r="BL516" s="1587">
        <f t="shared" ref="BL516" si="2346">SUM(X516:AA516)</f>
        <v>195.42662621084855</v>
      </c>
      <c r="BM516" s="1587">
        <f t="shared" ref="BM516" si="2347">SUM(AB516:AE516)</f>
        <v>83.177095390474278</v>
      </c>
      <c r="BN516" s="1587">
        <f t="shared" ref="BN516" si="2348">SUM(AF516:AI516)</f>
        <v>0</v>
      </c>
      <c r="BO516" s="1587">
        <f t="shared" ref="BO516" si="2349">SUM(AJ516:AM516)</f>
        <v>0</v>
      </c>
      <c r="BP516" s="1587">
        <f t="shared" si="2343"/>
        <v>0</v>
      </c>
      <c r="BT516" s="1518"/>
      <c r="BU516" s="1518"/>
      <c r="BV516" s="1518"/>
      <c r="BW516" s="1518"/>
      <c r="BX516" s="1518"/>
      <c r="BY516" s="1518"/>
      <c r="BZ516" s="1518"/>
      <c r="CA516" s="1518"/>
      <c r="CB516" s="1518"/>
      <c r="CC516" s="1518"/>
    </row>
    <row r="517" spans="2:81" s="1519" customFormat="1" outlineLevel="1">
      <c r="B517" s="1559" t="s">
        <v>396</v>
      </c>
      <c r="H517" s="1550">
        <f>+'VA segmentation'!AC252</f>
        <v>5982</v>
      </c>
      <c r="I517" s="1550">
        <f>+'VA segmentation'!AD252</f>
        <v>6439</v>
      </c>
      <c r="J517" s="1550">
        <f>+'VA segmentation'!AE252</f>
        <v>6234</v>
      </c>
      <c r="K517" s="1550">
        <f>+'VA segmentation'!AF252</f>
        <v>6918</v>
      </c>
      <c r="L517" s="1550">
        <f>+'VA segmentation'!AG252</f>
        <v>6575</v>
      </c>
      <c r="M517" s="1550">
        <f>+'VA segmentation'!AH252</f>
        <v>7075</v>
      </c>
      <c r="N517" s="1550">
        <f>+'VA segmentation'!AI252</f>
        <v>7088</v>
      </c>
      <c r="O517" s="1550">
        <f>+'VA segmentation'!AJ252</f>
        <v>7578</v>
      </c>
      <c r="P517" s="1550">
        <f>+'VA segmentation'!AK252</f>
        <v>7622</v>
      </c>
      <c r="Q517" s="1550">
        <f>+'VA segmentation'!AL252</f>
        <v>7747</v>
      </c>
      <c r="R517" s="1550">
        <f>+'VA segmentation'!AM252</f>
        <v>7889</v>
      </c>
      <c r="S517" s="1550">
        <f>+'VA segmentation'!AN252</f>
        <v>8511</v>
      </c>
      <c r="T517" s="1550">
        <f>+'VA segmentation'!AO252</f>
        <v>8466</v>
      </c>
      <c r="U517" s="1550">
        <f>+'VA segmentation'!AP252</f>
        <v>8983</v>
      </c>
      <c r="V517" s="1550">
        <f>+'VA segmentation'!AQ252</f>
        <v>8920</v>
      </c>
      <c r="W517" s="1550">
        <f>+'VA segmentation'!AR252</f>
        <v>8947</v>
      </c>
      <c r="X517" s="1550">
        <f>+'VA segmentation'!AS252</f>
        <v>9278</v>
      </c>
      <c r="Y517" s="1550">
        <f>+'VA segmentation'!AT252</f>
        <v>9881</v>
      </c>
      <c r="Z517" s="1550">
        <f>+'VA segmentation'!AU252</f>
        <v>10016</v>
      </c>
      <c r="AA517" s="1550">
        <f>+'VA segmentation'!AV252</f>
        <v>10697</v>
      </c>
      <c r="AB517" s="1550">
        <f>+'VA segmentation'!AW252</f>
        <v>10808</v>
      </c>
      <c r="AC517" s="1550">
        <f>+'VA segmentation'!AX252</f>
        <v>11251</v>
      </c>
      <c r="AD517" s="1550">
        <f>+'VA segmentation'!AY252</f>
        <v>11164</v>
      </c>
      <c r="AE517" s="1550">
        <f>+'VA segmentation'!AZ252</f>
        <v>11639</v>
      </c>
      <c r="AF517" s="1550">
        <f>+'VA segmentation'!BA252</f>
        <v>11548</v>
      </c>
      <c r="AG517" s="1550">
        <f>+'VA segmentation'!BB252</f>
        <v>11837</v>
      </c>
      <c r="AH517" s="1550">
        <f>+SUM(AH514:AH516)</f>
        <v>12436.939750430789</v>
      </c>
      <c r="AI517" s="1550">
        <f t="shared" ref="AI517" si="2350">+SUM(AI514:AI516)</f>
        <v>12895.404348700487</v>
      </c>
      <c r="AJ517" s="1550">
        <f t="shared" ref="AJ517:AK517" si="2351">+SUM(AJ514:AJ516)</f>
        <v>13101.952349247884</v>
      </c>
      <c r="AK517" s="1550">
        <f t="shared" si="2351"/>
        <v>13471.941224696053</v>
      </c>
      <c r="AL517" s="1550">
        <f t="shared" ref="AL517" si="2352">+SUM(AL514:AL516)</f>
        <v>13918.618878938112</v>
      </c>
      <c r="AM517" s="1550">
        <f t="shared" ref="AM517" si="2353">+SUM(AM514:AM516)</f>
        <v>14298.36894970605</v>
      </c>
      <c r="AN517" s="1550">
        <f t="shared" ref="AN517:AQ517" si="2354">+SUM(AN514:AN516)</f>
        <v>14652.210254421205</v>
      </c>
      <c r="AO517" s="1550">
        <f t="shared" si="2354"/>
        <v>15075.654369837393</v>
      </c>
      <c r="AP517" s="1550">
        <f t="shared" si="2354"/>
        <v>15571.897154743816</v>
      </c>
      <c r="AQ517" s="1550">
        <f t="shared" si="2354"/>
        <v>15991.803092652663</v>
      </c>
      <c r="AV517" s="1550"/>
      <c r="AW517" s="1550"/>
      <c r="AX517" s="1550"/>
      <c r="AY517" s="1550"/>
      <c r="AZ517" s="1550"/>
      <c r="BA517" s="1550"/>
      <c r="BB517" s="1550"/>
      <c r="BC517" s="1550"/>
      <c r="BD517" s="1550"/>
      <c r="BE517" s="1550"/>
      <c r="BF517" s="1550"/>
      <c r="BG517" s="1550"/>
      <c r="BH517" s="1550">
        <f t="shared" si="2340"/>
        <v>25573</v>
      </c>
      <c r="BI517" s="1550">
        <f t="shared" si="2341"/>
        <v>28316</v>
      </c>
      <c r="BJ517" s="1550">
        <f t="shared" si="2342"/>
        <v>31769</v>
      </c>
      <c r="BK517" s="1550">
        <f t="shared" ref="BK517:BK518" si="2355">SUM(T517:W517)</f>
        <v>35316</v>
      </c>
      <c r="BL517" s="1550">
        <f t="shared" ref="BL517:BL518" si="2356">SUM(X517:AA517)</f>
        <v>39872</v>
      </c>
      <c r="BM517" s="1550">
        <f t="shared" ref="BM517:BM518" si="2357">SUM(AB517:AE517)</f>
        <v>44862</v>
      </c>
      <c r="BN517" s="1550">
        <f t="shared" ref="BN517:BN518" si="2358">SUM(AF517:AI517)</f>
        <v>48717.344099131275</v>
      </c>
      <c r="BO517" s="1550">
        <f t="shared" ref="BO517:BO518" si="2359">SUM(AJ517:AM517)</f>
        <v>54790.881402588093</v>
      </c>
      <c r="BP517" s="1550">
        <f t="shared" si="2343"/>
        <v>61291.564871655071</v>
      </c>
      <c r="BT517" s="1518"/>
      <c r="BU517" s="1518"/>
      <c r="BV517" s="1518"/>
      <c r="BW517" s="1518"/>
      <c r="BX517" s="1518"/>
      <c r="BY517" s="1518"/>
      <c r="BZ517" s="1518"/>
      <c r="CA517" s="1518"/>
      <c r="CB517" s="1518"/>
      <c r="CC517" s="1518"/>
    </row>
    <row r="518" spans="2:81" s="1519" customFormat="1" outlineLevel="1">
      <c r="B518" s="1519" t="s">
        <v>388</v>
      </c>
      <c r="D518" s="1519">
        <f t="shared" ref="D518:AL518" si="2360">+D384</f>
        <v>0</v>
      </c>
      <c r="E518" s="1519">
        <f t="shared" si="2360"/>
        <v>0</v>
      </c>
      <c r="F518" s="1519">
        <f t="shared" si="2360"/>
        <v>0</v>
      </c>
      <c r="G518" s="1519">
        <f t="shared" si="2360"/>
        <v>0</v>
      </c>
      <c r="H518" s="1550">
        <f t="shared" si="2360"/>
        <v>0</v>
      </c>
      <c r="I518" s="1550">
        <f t="shared" si="2360"/>
        <v>228</v>
      </c>
      <c r="J518" s="1550">
        <f t="shared" si="2360"/>
        <v>976</v>
      </c>
      <c r="K518" s="1550">
        <f t="shared" si="2360"/>
        <v>1067</v>
      </c>
      <c r="L518" s="1550">
        <f t="shared" si="2360"/>
        <v>1148</v>
      </c>
      <c r="M518" s="1550">
        <f t="shared" si="2360"/>
        <v>1312</v>
      </c>
      <c r="N518" s="1550">
        <f t="shared" si="2360"/>
        <v>1335</v>
      </c>
      <c r="O518" s="1550">
        <f t="shared" si="2360"/>
        <v>1464</v>
      </c>
      <c r="P518" s="1550">
        <f t="shared" si="2360"/>
        <v>1530</v>
      </c>
      <c r="Q518" s="1550">
        <f t="shared" si="2360"/>
        <v>1693</v>
      </c>
      <c r="R518" s="1550">
        <f t="shared" si="2360"/>
        <v>1696</v>
      </c>
      <c r="S518" s="1550">
        <f t="shared" si="2360"/>
        <v>1835</v>
      </c>
      <c r="T518" s="1550">
        <f t="shared" si="2360"/>
        <v>1909</v>
      </c>
      <c r="U518" s="1550">
        <f t="shared" si="2360"/>
        <v>2102</v>
      </c>
      <c r="V518" s="1550">
        <f t="shared" si="2360"/>
        <v>2050</v>
      </c>
      <c r="W518" s="1550">
        <f t="shared" si="2360"/>
        <v>2016</v>
      </c>
      <c r="X518" s="1550">
        <f t="shared" si="2360"/>
        <v>2206</v>
      </c>
      <c r="Y518" s="1550">
        <f t="shared" si="2360"/>
        <v>2577</v>
      </c>
      <c r="Z518" s="1550">
        <f t="shared" si="2360"/>
        <v>2562</v>
      </c>
      <c r="AA518" s="1550">
        <f t="shared" si="2360"/>
        <v>2944</v>
      </c>
      <c r="AB518" s="1550">
        <f t="shared" si="2360"/>
        <v>3136</v>
      </c>
      <c r="AC518" s="1550">
        <f t="shared" si="2360"/>
        <v>3531</v>
      </c>
      <c r="AD518" s="1550">
        <f t="shared" si="2360"/>
        <v>3437</v>
      </c>
      <c r="AE518" s="1550">
        <f t="shared" si="2360"/>
        <v>3712</v>
      </c>
      <c r="AF518" s="1550">
        <f t="shared" si="2360"/>
        <v>3663</v>
      </c>
      <c r="AG518" s="1550">
        <f t="shared" si="2360"/>
        <v>3876</v>
      </c>
      <c r="AH518" s="1550">
        <f t="shared" si="2360"/>
        <v>3697</v>
      </c>
      <c r="AI518" s="1550">
        <f t="shared" si="2360"/>
        <v>3909</v>
      </c>
      <c r="AJ518" s="1550">
        <f t="shared" si="2360"/>
        <v>3913</v>
      </c>
      <c r="AK518" s="1550">
        <f t="shared" si="2360"/>
        <v>4195</v>
      </c>
      <c r="AL518" s="1550">
        <f t="shared" si="2360"/>
        <v>4013</v>
      </c>
      <c r="AM518" s="1550">
        <f>+AM384</f>
        <v>4251</v>
      </c>
      <c r="AN518" s="1550">
        <f t="shared" ref="AN518:AN519" si="2361">+AJ518*(1+AN526)</f>
        <v>4226.04</v>
      </c>
      <c r="AO518" s="1550">
        <f t="shared" ref="AO518:AO519" si="2362">+AK518*(1+AO526)</f>
        <v>4530.6000000000004</v>
      </c>
      <c r="AP518" s="1550">
        <f t="shared" ref="AP518:AP519" si="2363">+AL518*(1+AP526)</f>
        <v>4334.04</v>
      </c>
      <c r="AQ518" s="1550">
        <f t="shared" ref="AQ518:AQ519" si="2364">+AM518*(1+AQ526)</f>
        <v>4591.08</v>
      </c>
      <c r="AV518" s="1550"/>
      <c r="AW518" s="1550"/>
      <c r="AX518" s="1550"/>
      <c r="AY518" s="1550"/>
      <c r="AZ518" s="1550"/>
      <c r="BA518" s="1550"/>
      <c r="BB518" s="1550"/>
      <c r="BC518" s="1550"/>
      <c r="BD518" s="1550"/>
      <c r="BE518" s="1550"/>
      <c r="BF518" s="1550"/>
      <c r="BG518" s="1550"/>
      <c r="BH518" s="1550">
        <f t="shared" si="2340"/>
        <v>2271</v>
      </c>
      <c r="BI518" s="1550">
        <f t="shared" si="2341"/>
        <v>5259</v>
      </c>
      <c r="BJ518" s="1550">
        <f t="shared" si="2342"/>
        <v>6754</v>
      </c>
      <c r="BK518" s="1550">
        <f t="shared" si="2355"/>
        <v>8077</v>
      </c>
      <c r="BL518" s="1550">
        <f t="shared" si="2356"/>
        <v>10289</v>
      </c>
      <c r="BM518" s="1550">
        <f t="shared" si="2357"/>
        <v>13816</v>
      </c>
      <c r="BN518" s="1550">
        <f t="shared" si="2358"/>
        <v>15145</v>
      </c>
      <c r="BO518" s="1550">
        <f t="shared" si="2359"/>
        <v>16372</v>
      </c>
      <c r="BP518" s="1550">
        <f t="shared" si="2343"/>
        <v>17681.760000000002</v>
      </c>
      <c r="BT518" s="1518"/>
      <c r="BU518" s="1518"/>
      <c r="BV518" s="1518"/>
      <c r="BW518" s="1518"/>
      <c r="BX518" s="1518"/>
      <c r="BY518" s="1518"/>
      <c r="BZ518" s="1518"/>
      <c r="CA518" s="1518"/>
      <c r="CB518" s="1518"/>
      <c r="CC518" s="1518"/>
    </row>
    <row r="519" spans="2:81" s="1554" customFormat="1" ht="11.45" outlineLevel="1">
      <c r="B519" s="1519" t="s">
        <v>397</v>
      </c>
      <c r="H519" s="1555">
        <f>+H520-H518-H517</f>
        <v>454</v>
      </c>
      <c r="I519" s="1555">
        <f t="shared" ref="I519:AI519" si="2365">+I520-I518-I517</f>
        <v>512</v>
      </c>
      <c r="J519" s="1555">
        <f t="shared" si="2365"/>
        <v>497</v>
      </c>
      <c r="K519" s="1555">
        <f t="shared" si="2365"/>
        <v>563</v>
      </c>
      <c r="L519" s="1555">
        <f t="shared" si="2365"/>
        <v>515</v>
      </c>
      <c r="M519" s="1555">
        <f t="shared" si="2365"/>
        <v>566</v>
      </c>
      <c r="N519" s="1555">
        <f t="shared" si="2365"/>
        <v>583</v>
      </c>
      <c r="O519" s="1555">
        <f t="shared" si="2365"/>
        <v>626</v>
      </c>
      <c r="P519" s="1555">
        <f t="shared" si="2365"/>
        <v>619</v>
      </c>
      <c r="Q519" s="1555">
        <f t="shared" si="2365"/>
        <v>660</v>
      </c>
      <c r="R519" s="1555">
        <f t="shared" si="2365"/>
        <v>657</v>
      </c>
      <c r="S519" s="1555">
        <f t="shared" si="2365"/>
        <v>701</v>
      </c>
      <c r="T519" s="1555">
        <f t="shared" si="2365"/>
        <v>702</v>
      </c>
      <c r="U519" s="1555">
        <f t="shared" si="2365"/>
        <v>741</v>
      </c>
      <c r="V519" s="1555">
        <f t="shared" si="2365"/>
        <v>773</v>
      </c>
      <c r="W519" s="1555">
        <f t="shared" si="2365"/>
        <v>789</v>
      </c>
      <c r="X519" s="1555">
        <f t="shared" si="2365"/>
        <v>835</v>
      </c>
      <c r="Y519" s="1555">
        <f t="shared" si="2365"/>
        <v>895</v>
      </c>
      <c r="Z519" s="1555">
        <f t="shared" si="2365"/>
        <v>974</v>
      </c>
      <c r="AA519" s="1555">
        <f t="shared" si="2365"/>
        <v>1050</v>
      </c>
      <c r="AB519" s="1555">
        <f t="shared" si="2365"/>
        <v>1095</v>
      </c>
      <c r="AC519" s="1555">
        <f t="shared" si="2365"/>
        <v>1154</v>
      </c>
      <c r="AD519" s="1555">
        <f t="shared" si="2365"/>
        <v>1188</v>
      </c>
      <c r="AE519" s="1555">
        <f t="shared" si="2365"/>
        <v>1249</v>
      </c>
      <c r="AF519" s="1555">
        <f t="shared" si="2365"/>
        <v>1254</v>
      </c>
      <c r="AG519" s="1555">
        <f t="shared" si="2365"/>
        <v>1289</v>
      </c>
      <c r="AH519" s="1555">
        <f t="shared" si="2365"/>
        <v>1382.060249569211</v>
      </c>
      <c r="AI519" s="1555">
        <f t="shared" si="2365"/>
        <v>1486.5956512995126</v>
      </c>
      <c r="AJ519" s="1555">
        <f t="shared" ref="AJ519:AK519" si="2366">+AJ520-AJ518-AJ517</f>
        <v>1577.0476507521162</v>
      </c>
      <c r="AK519" s="1555">
        <f t="shared" si="2366"/>
        <v>1582.0587753039472</v>
      </c>
      <c r="AL519" s="1555">
        <f t="shared" ref="AL519" si="2367">+AL520-AL518-AL517</f>
        <v>1638.3811210618878</v>
      </c>
      <c r="AM519" s="1555">
        <f t="shared" ref="AM519" si="2368">+AM520-AM518-AM517</f>
        <v>1767.6310502939505</v>
      </c>
      <c r="AN519" s="1555">
        <f t="shared" si="2361"/>
        <v>1782.0638453498912</v>
      </c>
      <c r="AO519" s="1555">
        <f t="shared" si="2362"/>
        <v>1787.7264160934601</v>
      </c>
      <c r="AP519" s="1555">
        <f t="shared" si="2363"/>
        <v>1851.3706667999331</v>
      </c>
      <c r="AQ519" s="1555">
        <f t="shared" si="2364"/>
        <v>1997.4230868321638</v>
      </c>
      <c r="AV519" s="1555"/>
      <c r="AW519" s="1555"/>
      <c r="AX519" s="1555"/>
      <c r="AY519" s="1555"/>
      <c r="AZ519" s="1555"/>
      <c r="BA519" s="1555"/>
      <c r="BB519" s="1555"/>
      <c r="BC519" s="1555"/>
      <c r="BD519" s="1555"/>
      <c r="BE519" s="1555"/>
      <c r="BF519" s="1555"/>
      <c r="BG519" s="1555"/>
      <c r="BH519" s="1555">
        <f t="shared" si="2340"/>
        <v>2026</v>
      </c>
      <c r="BI519" s="1555">
        <f t="shared" si="2341"/>
        <v>2290</v>
      </c>
      <c r="BJ519" s="1555">
        <f t="shared" si="2342"/>
        <v>2637</v>
      </c>
      <c r="BK519" s="1555">
        <f t="shared" ref="BK519:BK520" si="2369">SUM(T519:W519)</f>
        <v>3005</v>
      </c>
      <c r="BL519" s="1555">
        <f t="shared" ref="BL519:BL520" si="2370">SUM(X519:AA519)</f>
        <v>3754</v>
      </c>
      <c r="BM519" s="1555">
        <f t="shared" ref="BM519:BM520" si="2371">SUM(AB519:AE519)</f>
        <v>4686</v>
      </c>
      <c r="BN519" s="1555">
        <f t="shared" ref="BN519:BN520" si="2372">SUM(AF519:AI519)</f>
        <v>5411.6559008687236</v>
      </c>
      <c r="BO519" s="1555">
        <f t="shared" ref="BO519:BO520" si="2373">SUM(AJ519:AM519)</f>
        <v>6565.1185974119016</v>
      </c>
      <c r="BP519" s="1555">
        <f t="shared" si="2343"/>
        <v>7418.5840150754484</v>
      </c>
      <c r="BT519" s="1518"/>
      <c r="BU519" s="1518"/>
      <c r="BV519" s="1518"/>
      <c r="BW519" s="1518"/>
      <c r="BX519" s="1518"/>
      <c r="BY519" s="1518"/>
      <c r="BZ519" s="1518"/>
      <c r="CA519" s="1518"/>
      <c r="CB519" s="1518"/>
      <c r="CC519" s="1518"/>
    </row>
    <row r="520" spans="2:81" s="1520" customFormat="1" ht="10.5" outlineLevel="1">
      <c r="B520" s="1562" t="s">
        <v>398</v>
      </c>
      <c r="H520" s="1563">
        <f t="shared" ref="H520:AM520" si="2374">+H418</f>
        <v>6436</v>
      </c>
      <c r="I520" s="1563">
        <f t="shared" si="2374"/>
        <v>7179</v>
      </c>
      <c r="J520" s="1563">
        <f t="shared" si="2374"/>
        <v>7707</v>
      </c>
      <c r="K520" s="1563">
        <f t="shared" si="2374"/>
        <v>8548</v>
      </c>
      <c r="L520" s="1563">
        <f t="shared" si="2374"/>
        <v>8238</v>
      </c>
      <c r="M520" s="1563">
        <f t="shared" si="2374"/>
        <v>8953</v>
      </c>
      <c r="N520" s="1563">
        <f t="shared" si="2374"/>
        <v>9006</v>
      </c>
      <c r="O520" s="1563">
        <f t="shared" si="2374"/>
        <v>9668</v>
      </c>
      <c r="P520" s="1563">
        <f t="shared" si="2374"/>
        <v>9771</v>
      </c>
      <c r="Q520" s="1563">
        <f t="shared" si="2374"/>
        <v>10100</v>
      </c>
      <c r="R520" s="1563">
        <f t="shared" si="2374"/>
        <v>10242</v>
      </c>
      <c r="S520" s="1563">
        <f t="shared" si="2374"/>
        <v>11047</v>
      </c>
      <c r="T520" s="1563">
        <f t="shared" si="2374"/>
        <v>11077</v>
      </c>
      <c r="U520" s="1563">
        <f t="shared" si="2374"/>
        <v>11826</v>
      </c>
      <c r="V520" s="1563">
        <f t="shared" si="2374"/>
        <v>11743</v>
      </c>
      <c r="W520" s="1563">
        <f t="shared" si="2374"/>
        <v>11752</v>
      </c>
      <c r="X520" s="1563">
        <f t="shared" si="2374"/>
        <v>12319</v>
      </c>
      <c r="Y520" s="1563">
        <f t="shared" si="2374"/>
        <v>13353</v>
      </c>
      <c r="Z520" s="1563">
        <f t="shared" si="2374"/>
        <v>13552</v>
      </c>
      <c r="AA520" s="1563">
        <f t="shared" si="2374"/>
        <v>14691</v>
      </c>
      <c r="AB520" s="1563">
        <f t="shared" si="2374"/>
        <v>15039</v>
      </c>
      <c r="AC520" s="1563">
        <f t="shared" si="2374"/>
        <v>15936</v>
      </c>
      <c r="AD520" s="1563">
        <f t="shared" si="2374"/>
        <v>15789</v>
      </c>
      <c r="AE520" s="1563">
        <f t="shared" si="2374"/>
        <v>16600</v>
      </c>
      <c r="AF520" s="1563">
        <f t="shared" si="2374"/>
        <v>16465</v>
      </c>
      <c r="AG520" s="1563">
        <f t="shared" si="2374"/>
        <v>17002</v>
      </c>
      <c r="AH520" s="1563">
        <f t="shared" si="2374"/>
        <v>17516</v>
      </c>
      <c r="AI520" s="1563">
        <f t="shared" si="2374"/>
        <v>18291</v>
      </c>
      <c r="AJ520" s="1563">
        <f t="shared" si="2374"/>
        <v>18592</v>
      </c>
      <c r="AK520" s="1563">
        <f t="shared" si="2374"/>
        <v>19249</v>
      </c>
      <c r="AL520" s="1563">
        <f t="shared" si="2374"/>
        <v>19570</v>
      </c>
      <c r="AM520" s="1563">
        <f t="shared" si="2374"/>
        <v>20317</v>
      </c>
      <c r="AN520" s="1563">
        <f t="shared" ref="AN520:AQ520" si="2375">+SUM(AN517:AN519)</f>
        <v>20660.314099771094</v>
      </c>
      <c r="AO520" s="1563">
        <f t="shared" si="2375"/>
        <v>21393.980785930853</v>
      </c>
      <c r="AP520" s="1563">
        <f t="shared" si="2375"/>
        <v>21757.307821543749</v>
      </c>
      <c r="AQ520" s="1563">
        <f t="shared" si="2375"/>
        <v>22580.306179484829</v>
      </c>
      <c r="AV520" s="1563"/>
      <c r="AW520" s="1563"/>
      <c r="AX520" s="1563"/>
      <c r="AY520" s="1563"/>
      <c r="AZ520" s="1563"/>
      <c r="BA520" s="1563"/>
      <c r="BB520" s="1563"/>
      <c r="BC520" s="1563"/>
      <c r="BD520" s="1563"/>
      <c r="BE520" s="1563"/>
      <c r="BF520" s="1563"/>
      <c r="BG520" s="1563"/>
      <c r="BH520" s="1563">
        <f t="shared" si="2340"/>
        <v>29870</v>
      </c>
      <c r="BI520" s="1563">
        <f t="shared" si="2341"/>
        <v>35865</v>
      </c>
      <c r="BJ520" s="1563">
        <f t="shared" si="2342"/>
        <v>41160</v>
      </c>
      <c r="BK520" s="1563">
        <f t="shared" si="2369"/>
        <v>46398</v>
      </c>
      <c r="BL520" s="1563">
        <f t="shared" si="2370"/>
        <v>53915</v>
      </c>
      <c r="BM520" s="1563">
        <f t="shared" si="2371"/>
        <v>63364</v>
      </c>
      <c r="BN520" s="1563">
        <f t="shared" si="2372"/>
        <v>69274</v>
      </c>
      <c r="BO520" s="1563">
        <f t="shared" si="2373"/>
        <v>77728</v>
      </c>
      <c r="BP520" s="1563">
        <f t="shared" si="2343"/>
        <v>86391.908886730525</v>
      </c>
      <c r="BT520" s="1518"/>
      <c r="BU520" s="1518"/>
      <c r="BV520" s="1518"/>
      <c r="BW520" s="1518"/>
      <c r="BX520" s="1518"/>
      <c r="BY520" s="1518"/>
      <c r="BZ520" s="1518"/>
      <c r="CA520" s="1518"/>
      <c r="CB520" s="1518"/>
      <c r="CC520" s="1518"/>
    </row>
    <row r="521" spans="2:81" s="1518" customFormat="1" outlineLevel="1">
      <c r="AG521" s="1602"/>
      <c r="AH521" s="1521"/>
      <c r="AI521" s="1521"/>
      <c r="AJ521" s="1521"/>
      <c r="AK521" s="1521"/>
      <c r="AL521" s="1521"/>
      <c r="AM521" s="1521"/>
      <c r="AN521" s="1521"/>
      <c r="AO521" s="1521"/>
      <c r="AP521" s="1521"/>
      <c r="AQ521" s="1521"/>
    </row>
    <row r="522" spans="2:81" s="1518" customFormat="1" outlineLevel="1">
      <c r="B522" s="1564" t="s">
        <v>113</v>
      </c>
      <c r="AG522" s="1547"/>
      <c r="AH522" s="1531"/>
      <c r="AI522" s="1531"/>
      <c r="AJ522" s="1531"/>
      <c r="AK522" s="1531"/>
      <c r="AL522" s="1531"/>
      <c r="AM522" s="1531"/>
      <c r="AN522" s="1531"/>
      <c r="AO522" s="1531"/>
      <c r="AP522" s="1531"/>
      <c r="AQ522" s="1531"/>
      <c r="BT522" s="1527"/>
      <c r="BU522" s="1527"/>
      <c r="BV522" s="1527"/>
      <c r="BW522" s="1527"/>
      <c r="BX522" s="1527"/>
      <c r="BY522" s="1527"/>
      <c r="BZ522" s="1527"/>
      <c r="CA522" s="1527"/>
      <c r="CB522" s="1527"/>
      <c r="CC522" s="1527"/>
    </row>
    <row r="523" spans="2:81" s="1527" customFormat="1" outlineLevel="1">
      <c r="B523" s="1539" t="str">
        <f>+B514</f>
        <v>Office Commercial (old segmentation)</v>
      </c>
      <c r="D523" s="1565"/>
      <c r="E523" s="1565"/>
      <c r="F523" s="1565"/>
      <c r="G523" s="1565"/>
      <c r="H523" s="1565"/>
      <c r="I523" s="1565"/>
      <c r="J523" s="1565"/>
      <c r="K523" s="1565"/>
      <c r="L523" s="1565">
        <f t="shared" ref="L523:U524" si="2376">+L514/H514-1</f>
        <v>0.10000000000000009</v>
      </c>
      <c r="M523" s="1565">
        <f t="shared" si="2376"/>
        <v>0.10000000000000009</v>
      </c>
      <c r="N523" s="1565">
        <f t="shared" si="2376"/>
        <v>0.14000000000000012</v>
      </c>
      <c r="O523" s="1565">
        <f t="shared" si="2376"/>
        <v>0.10000000000000009</v>
      </c>
      <c r="P523" s="1565">
        <f t="shared" si="2376"/>
        <v>0.16999999999999993</v>
      </c>
      <c r="Q523" s="1565">
        <f t="shared" si="2376"/>
        <v>0.1100000000000001</v>
      </c>
      <c r="R523" s="1565">
        <f t="shared" si="2376"/>
        <v>0.12000000000000011</v>
      </c>
      <c r="S523" s="1565">
        <f t="shared" si="2376"/>
        <v>0.14000000000000012</v>
      </c>
      <c r="T523" s="1565">
        <f t="shared" si="2376"/>
        <v>0.12999999999999989</v>
      </c>
      <c r="U523" s="1565">
        <f t="shared" si="2376"/>
        <v>0.15999999999999992</v>
      </c>
      <c r="V523" s="1565">
        <f t="shared" ref="V523:AE524" si="2377">+V514/R514-1</f>
        <v>0.12999999999999989</v>
      </c>
      <c r="W523" s="1565">
        <f t="shared" si="2377"/>
        <v>5.0000000000000044E-2</v>
      </c>
      <c r="X523" s="1565">
        <f t="shared" si="2377"/>
        <v>9.000000000000008E-2</v>
      </c>
      <c r="Y523" s="1565">
        <f t="shared" si="2377"/>
        <v>0.1100000000000001</v>
      </c>
      <c r="Z523" s="1565">
        <f t="shared" si="2377"/>
        <v>0.14000000000000012</v>
      </c>
      <c r="AA523" s="1565">
        <f t="shared" si="2377"/>
        <v>0.19999999999999996</v>
      </c>
      <c r="AB523" s="1565">
        <f t="shared" si="2377"/>
        <v>0.17999999999999994</v>
      </c>
      <c r="AC523" s="1565">
        <f t="shared" si="2377"/>
        <v>0.1399999999999999</v>
      </c>
      <c r="AD523" s="1565">
        <f t="shared" si="2377"/>
        <v>0.12000000000000011</v>
      </c>
      <c r="AE523" s="1565">
        <f t="shared" si="2377"/>
        <v>9.000000000000008E-2</v>
      </c>
      <c r="AF523" s="1565">
        <f t="shared" ref="AF523:AG524" si="2378">+AF514/AB514-1</f>
        <v>7.0000000000000062E-2</v>
      </c>
      <c r="AG523" s="1565">
        <f t="shared" si="2378"/>
        <v>7.0000000000000062E-2</v>
      </c>
      <c r="AH523" s="1565">
        <f t="shared" ref="AH523:AM523" si="2379">+AH451</f>
        <v>0.13</v>
      </c>
      <c r="AI523" s="1565">
        <f t="shared" si="2379"/>
        <v>0.12</v>
      </c>
      <c r="AJ523" s="1565">
        <f t="shared" si="2379"/>
        <v>0.15</v>
      </c>
      <c r="AK523" s="1565">
        <f t="shared" si="2379"/>
        <v>0.15</v>
      </c>
      <c r="AL523" s="1565">
        <f t="shared" si="2379"/>
        <v>0.13</v>
      </c>
      <c r="AM523" s="1565">
        <f t="shared" si="2379"/>
        <v>0.12</v>
      </c>
      <c r="AN523" s="1526">
        <v>0.13</v>
      </c>
      <c r="AO523" s="1526">
        <v>0.13</v>
      </c>
      <c r="AP523" s="1526">
        <v>0.13</v>
      </c>
      <c r="AQ523" s="1526">
        <v>0.13</v>
      </c>
      <c r="AR523" s="1565"/>
      <c r="AS523" s="1565"/>
      <c r="AT523" s="1565"/>
      <c r="AU523" s="1565"/>
      <c r="AV523" s="1565"/>
      <c r="AW523" s="1565"/>
      <c r="AX523" s="1565"/>
      <c r="AY523" s="1565"/>
      <c r="AZ523" s="1565"/>
      <c r="BA523" s="1565"/>
      <c r="BB523" s="1565"/>
      <c r="BC523" s="1565"/>
      <c r="BD523" s="1565"/>
      <c r="BE523" s="1565"/>
      <c r="BF523" s="1565"/>
      <c r="BG523" s="1565"/>
      <c r="BH523" s="1565"/>
      <c r="BI523" s="1565">
        <f t="shared" ref="BI523:BI524" si="2380">+BI514/BH514-1</f>
        <v>0.10974054068554584</v>
      </c>
      <c r="BJ523" s="1565">
        <f t="shared" ref="BJ523:BJ524" si="2381">+BJ514/BI514-1</f>
        <v>0.13442955092225195</v>
      </c>
      <c r="BK523" s="1565">
        <f t="shared" ref="BK523:BK524" si="2382">+BK514/BJ514-1</f>
        <v>0.11571602562589134</v>
      </c>
      <c r="BL523" s="1565">
        <f t="shared" ref="BL523:BO524" si="2383">+BL514/BK514-1</f>
        <v>0.13556795571574431</v>
      </c>
      <c r="BM523" s="1565">
        <f t="shared" si="2383"/>
        <v>0.13080419542778277</v>
      </c>
      <c r="BN523" s="1565">
        <f t="shared" si="2383"/>
        <v>9.7875854923449301E-2</v>
      </c>
      <c r="BO523" s="1565">
        <f t="shared" si="2383"/>
        <v>0.13695168958557513</v>
      </c>
      <c r="BP523" s="1565">
        <f t="shared" ref="BP523:BP524" si="2384">+BP514/BO514-1</f>
        <v>0.12999999999999989</v>
      </c>
      <c r="BT523" s="1518"/>
      <c r="BU523" s="1518"/>
      <c r="BV523" s="1518"/>
      <c r="BW523" s="1518"/>
      <c r="BX523" s="1518"/>
      <c r="BY523" s="1518"/>
      <c r="BZ523" s="1518"/>
      <c r="CA523" s="1518"/>
      <c r="CB523" s="1518"/>
      <c r="CC523" s="1518"/>
    </row>
    <row r="524" spans="2:81" s="1530" customFormat="1" ht="11.45" outlineLevel="1">
      <c r="B524" s="1539" t="str">
        <f>+B515</f>
        <v>Office Consumer (old segmentation)</v>
      </c>
      <c r="D524" s="1566"/>
      <c r="E524" s="1566"/>
      <c r="F524" s="1566"/>
      <c r="G524" s="1566"/>
      <c r="H524" s="1566"/>
      <c r="I524" s="1566"/>
      <c r="J524" s="1566"/>
      <c r="K524" s="1566"/>
      <c r="L524" s="1566">
        <f t="shared" si="2376"/>
        <v>0.12000000000000011</v>
      </c>
      <c r="M524" s="1566">
        <f t="shared" si="2376"/>
        <v>0.12000000000000011</v>
      </c>
      <c r="N524" s="1566">
        <f t="shared" si="2376"/>
        <v>0.12000000000000011</v>
      </c>
      <c r="O524" s="1566">
        <f t="shared" si="2376"/>
        <v>8.0000000000000071E-2</v>
      </c>
      <c r="P524" s="1566">
        <f t="shared" si="2376"/>
        <v>0.15999999999999992</v>
      </c>
      <c r="Q524" s="1566">
        <f t="shared" si="2376"/>
        <v>1.0000000000000009E-2</v>
      </c>
      <c r="R524" s="1566">
        <f t="shared" si="2376"/>
        <v>8.0000000000000071E-2</v>
      </c>
      <c r="S524" s="1566">
        <f t="shared" si="2376"/>
        <v>6.0000000000000053E-2</v>
      </c>
      <c r="T524" s="1566">
        <f t="shared" si="2376"/>
        <v>5.0000000000000044E-2</v>
      </c>
      <c r="U524" s="1566">
        <f t="shared" si="2376"/>
        <v>0.18999999999999995</v>
      </c>
      <c r="V524" s="1566">
        <f t="shared" si="2377"/>
        <v>0.14999999999999991</v>
      </c>
      <c r="W524" s="1566">
        <f t="shared" si="2377"/>
        <v>6.0000000000000053E-2</v>
      </c>
      <c r="X524" s="1566">
        <f t="shared" si="2377"/>
        <v>0.1100000000000001</v>
      </c>
      <c r="Y524" s="1566">
        <f t="shared" si="2377"/>
        <v>7.0000000000000062E-2</v>
      </c>
      <c r="Z524" s="1566">
        <f t="shared" si="2377"/>
        <v>5.0000000000000044E-2</v>
      </c>
      <c r="AA524" s="1566">
        <f t="shared" si="2377"/>
        <v>0.17999999999999994</v>
      </c>
      <c r="AB524" s="1566">
        <f t="shared" si="2377"/>
        <v>0.10000000000000009</v>
      </c>
      <c r="AC524" s="1566">
        <f t="shared" si="2377"/>
        <v>0.14999999999999991</v>
      </c>
      <c r="AD524" s="1566">
        <f t="shared" si="2377"/>
        <v>0.12000000000000011</v>
      </c>
      <c r="AE524" s="1566">
        <f t="shared" si="2377"/>
        <v>9.000000000000008E-2</v>
      </c>
      <c r="AF524" s="1566">
        <f t="shared" si="2378"/>
        <v>7.0000000000000062E-2</v>
      </c>
      <c r="AG524" s="1566">
        <f t="shared" si="2378"/>
        <v>-2.0000000000000018E-2</v>
      </c>
      <c r="AH524" s="1567">
        <f t="shared" ref="AH524:AM524" si="2385">+AH453</f>
        <v>0.01</v>
      </c>
      <c r="AI524" s="1567">
        <f t="shared" si="2385"/>
        <v>0.03</v>
      </c>
      <c r="AJ524" s="1567">
        <f t="shared" si="2385"/>
        <v>0.03</v>
      </c>
      <c r="AK524" s="1567">
        <f t="shared" si="2385"/>
        <v>0.05</v>
      </c>
      <c r="AL524" s="1567">
        <f t="shared" si="2385"/>
        <v>0.04</v>
      </c>
      <c r="AM524" s="1567">
        <f t="shared" si="2385"/>
        <v>0.03</v>
      </c>
      <c r="AN524" s="1568">
        <v>0.03</v>
      </c>
      <c r="AO524" s="1568">
        <v>0.03</v>
      </c>
      <c r="AP524" s="1568">
        <v>0.03</v>
      </c>
      <c r="AQ524" s="1568">
        <v>0.03</v>
      </c>
      <c r="AR524" s="1566"/>
      <c r="AS524" s="1566"/>
      <c r="AT524" s="1566"/>
      <c r="AU524" s="1566"/>
      <c r="AV524" s="1566"/>
      <c r="AW524" s="1566"/>
      <c r="AX524" s="1566"/>
      <c r="AY524" s="1566"/>
      <c r="AZ524" s="1566"/>
      <c r="BA524" s="1566"/>
      <c r="BB524" s="1566"/>
      <c r="BC524" s="1566"/>
      <c r="BD524" s="1566"/>
      <c r="BE524" s="1566"/>
      <c r="BF524" s="1566"/>
      <c r="BG524" s="1566"/>
      <c r="BH524" s="1566"/>
      <c r="BI524" s="1566">
        <f t="shared" si="2380"/>
        <v>0.10892572419250102</v>
      </c>
      <c r="BJ524" s="1566">
        <f t="shared" si="2381"/>
        <v>7.6299039689430526E-2</v>
      </c>
      <c r="BK524" s="1566">
        <f t="shared" si="2382"/>
        <v>0.11005220831937046</v>
      </c>
      <c r="BL524" s="1566">
        <f t="shared" si="2383"/>
        <v>0.10212009154985457</v>
      </c>
      <c r="BM524" s="1566">
        <f t="shared" si="2383"/>
        <v>0.11416934071842744</v>
      </c>
      <c r="BN524" s="1566">
        <f t="shared" si="2383"/>
        <v>2.2171205256443116E-2</v>
      </c>
      <c r="BO524" s="1566">
        <f t="shared" si="2383"/>
        <v>3.7191360517719874E-2</v>
      </c>
      <c r="BP524" s="1566">
        <f t="shared" si="2384"/>
        <v>3.0000000000000027E-2</v>
      </c>
      <c r="BT524" s="1527"/>
      <c r="BU524" s="1527"/>
      <c r="BV524" s="1527"/>
      <c r="BW524" s="1527"/>
      <c r="BX524" s="1527"/>
      <c r="BY524" s="1527"/>
      <c r="BZ524" s="1527"/>
      <c r="CA524" s="1527"/>
      <c r="CB524" s="1527"/>
      <c r="CC524" s="1527"/>
    </row>
    <row r="525" spans="2:81" s="1527" customFormat="1" outlineLevel="1">
      <c r="B525" s="1524" t="str">
        <f>+B517</f>
        <v>Total Office</v>
      </c>
      <c r="D525" s="1565"/>
      <c r="E525" s="1565"/>
      <c r="F525" s="1565"/>
      <c r="G525" s="1565"/>
      <c r="H525" s="1565"/>
      <c r="I525" s="1565"/>
      <c r="J525" s="1565"/>
      <c r="K525" s="1565"/>
      <c r="L525" s="1565">
        <f t="shared" ref="L525:U525" si="2386">+L517/H517-1</f>
        <v>9.9130725509863016E-2</v>
      </c>
      <c r="M525" s="1565">
        <f t="shared" si="2386"/>
        <v>9.8773101413262898E-2</v>
      </c>
      <c r="N525" s="1565">
        <f t="shared" si="2386"/>
        <v>0.13699069618222648</v>
      </c>
      <c r="O525" s="1565">
        <f t="shared" si="2386"/>
        <v>9.5403295750216888E-2</v>
      </c>
      <c r="P525" s="1565">
        <f t="shared" si="2386"/>
        <v>0.15923954372623572</v>
      </c>
      <c r="Q525" s="1565">
        <f t="shared" si="2386"/>
        <v>9.4982332155477023E-2</v>
      </c>
      <c r="R525" s="1565">
        <f t="shared" si="2386"/>
        <v>0.1130079006772009</v>
      </c>
      <c r="S525" s="1565">
        <f t="shared" si="2386"/>
        <v>0.12311955661124308</v>
      </c>
      <c r="T525" s="1565">
        <f t="shared" si="2386"/>
        <v>0.11073209131461548</v>
      </c>
      <c r="U525" s="1565">
        <f t="shared" si="2386"/>
        <v>0.15954563056667093</v>
      </c>
      <c r="V525" s="1565">
        <f t="shared" ref="V525:AE525" si="2387">+V517/R517-1</f>
        <v>0.1306883001647865</v>
      </c>
      <c r="W525" s="1565">
        <f t="shared" si="2387"/>
        <v>5.1227822817530244E-2</v>
      </c>
      <c r="X525" s="1565">
        <f t="shared" si="2387"/>
        <v>9.5913064020789029E-2</v>
      </c>
      <c r="Y525" s="1565">
        <f t="shared" si="2387"/>
        <v>9.9966603584548563E-2</v>
      </c>
      <c r="Z525" s="1565">
        <f t="shared" si="2387"/>
        <v>0.12286995515695076</v>
      </c>
      <c r="AA525" s="1565">
        <f t="shared" si="2387"/>
        <v>0.19559628925896955</v>
      </c>
      <c r="AB525" s="1565">
        <f t="shared" si="2387"/>
        <v>0.16490622979090319</v>
      </c>
      <c r="AC525" s="1565">
        <f t="shared" si="2387"/>
        <v>0.13864993421718452</v>
      </c>
      <c r="AD525" s="1565">
        <f t="shared" si="2387"/>
        <v>0.11461661341853024</v>
      </c>
      <c r="AE525" s="1565">
        <f t="shared" si="2387"/>
        <v>8.8062073478545333E-2</v>
      </c>
      <c r="AF525" s="1565">
        <f t="shared" ref="AF525:AI528" si="2388">+AF517/AB517-1</f>
        <v>6.8467801628423475E-2</v>
      </c>
      <c r="AG525" s="1565">
        <f t="shared" si="2388"/>
        <v>5.2084259176962133E-2</v>
      </c>
      <c r="AH525" s="1565">
        <f t="shared" si="2388"/>
        <v>0.11402183361078366</v>
      </c>
      <c r="AI525" s="1565">
        <f t="shared" si="2388"/>
        <v>0.10794779179486969</v>
      </c>
      <c r="AJ525" s="1565">
        <f t="shared" ref="AJ525" si="2389">+AJ517/AF517-1</f>
        <v>0.13456463017387277</v>
      </c>
      <c r="AK525" s="1565">
        <f t="shared" ref="AK525" si="2390">+AK517/AG517-1</f>
        <v>0.13812124902391254</v>
      </c>
      <c r="AL525" s="1565">
        <f t="shared" ref="AL525" si="2391">+AL517/AH517-1</f>
        <v>0.11913534665599723</v>
      </c>
      <c r="AM525" s="1565">
        <f t="shared" ref="AM525" si="2392">+AM517/AI517-1</f>
        <v>0.10879570450591913</v>
      </c>
      <c r="AN525" s="1565">
        <f t="shared" ref="AN525" si="2393">+AN517/AJ517-1</f>
        <v>0.11832266397017643</v>
      </c>
      <c r="AO525" s="1565">
        <f t="shared" ref="AO525" si="2394">+AO517/AK517-1</f>
        <v>0.11904098439811328</v>
      </c>
      <c r="AP525" s="1565">
        <f t="shared" ref="AP525" si="2395">+AP517/AL517-1</f>
        <v>0.11878177642377086</v>
      </c>
      <c r="AQ525" s="1565">
        <f t="shared" ref="AQ525" si="2396">+AQ517/AM517-1</f>
        <v>0.11843547672487698</v>
      </c>
      <c r="AR525" s="1565"/>
      <c r="AS525" s="1565"/>
      <c r="AT525" s="1565"/>
      <c r="AU525" s="1565"/>
      <c r="AV525" s="1565"/>
      <c r="AW525" s="1565"/>
      <c r="AX525" s="1565"/>
      <c r="AY525" s="1565"/>
      <c r="AZ525" s="1565"/>
      <c r="BA525" s="1565"/>
      <c r="BB525" s="1565"/>
      <c r="BC525" s="1565"/>
      <c r="BD525" s="1565"/>
      <c r="BE525" s="1565"/>
      <c r="BF525" s="1565"/>
      <c r="BG525" s="1565"/>
      <c r="BH525" s="1565"/>
      <c r="BI525" s="1565">
        <f t="shared" ref="BI525:BI528" si="2397">+BI517/BH517-1</f>
        <v>0.10726156493176386</v>
      </c>
      <c r="BJ525" s="1565">
        <f t="shared" ref="BJ525:BJ528" si="2398">+BJ517/BI517-1</f>
        <v>0.12194518999858728</v>
      </c>
      <c r="BK525" s="1565">
        <f t="shared" ref="BK525:BK528" si="2399">+BK517/BJ517-1</f>
        <v>0.11164972142654794</v>
      </c>
      <c r="BL525" s="1565">
        <f t="shared" ref="BL525:BO528" si="2400">+BL517/BK517-1</f>
        <v>0.12900668252350211</v>
      </c>
      <c r="BM525" s="1565">
        <f t="shared" si="2400"/>
        <v>0.125150481540931</v>
      </c>
      <c r="BN525" s="1565">
        <f t="shared" si="2400"/>
        <v>8.5937856072651142E-2</v>
      </c>
      <c r="BO525" s="1565">
        <f t="shared" si="2400"/>
        <v>0.12466889186525099</v>
      </c>
      <c r="BP525" s="1565">
        <f t="shared" ref="BP525:BP528" si="2401">+BP517/BO517-1</f>
        <v>0.11864535307073765</v>
      </c>
      <c r="BT525" s="1518"/>
      <c r="BU525" s="1518"/>
      <c r="BV525" s="1518"/>
      <c r="BW525" s="1518"/>
      <c r="BX525" s="1518"/>
      <c r="BY525" s="1518"/>
      <c r="BZ525" s="1518"/>
      <c r="CA525" s="1518"/>
      <c r="CB525" s="1518"/>
      <c r="CC525" s="1518"/>
    </row>
    <row r="526" spans="2:81" s="1527" customFormat="1" outlineLevel="1">
      <c r="B526" s="1539" t="str">
        <f>+B518</f>
        <v>LinkedIn</v>
      </c>
      <c r="D526" s="1565"/>
      <c r="E526" s="1565"/>
      <c r="F526" s="1565"/>
      <c r="G526" s="1565"/>
      <c r="H526" s="1565"/>
      <c r="I526" s="1565"/>
      <c r="J526" s="1565"/>
      <c r="K526" s="1565"/>
      <c r="L526" s="1565" t="s">
        <v>273</v>
      </c>
      <c r="M526" s="1565">
        <f t="shared" ref="M526:V528" si="2402">+M518/I518-1</f>
        <v>4.7543859649122808</v>
      </c>
      <c r="N526" s="1565">
        <f t="shared" si="2402"/>
        <v>0.36782786885245899</v>
      </c>
      <c r="O526" s="1565">
        <f t="shared" si="2402"/>
        <v>0.37207122774133072</v>
      </c>
      <c r="P526" s="1565">
        <f t="shared" si="2402"/>
        <v>0.33275261324041816</v>
      </c>
      <c r="Q526" s="1565">
        <f t="shared" si="2402"/>
        <v>0.29039634146341453</v>
      </c>
      <c r="R526" s="1565">
        <f t="shared" si="2402"/>
        <v>0.27041198501872654</v>
      </c>
      <c r="S526" s="1565">
        <f t="shared" si="2402"/>
        <v>0.25341530054644812</v>
      </c>
      <c r="T526" s="1565">
        <f t="shared" si="2402"/>
        <v>0.2477124183006536</v>
      </c>
      <c r="U526" s="1565">
        <f t="shared" si="2402"/>
        <v>0.24158298877731843</v>
      </c>
      <c r="V526" s="1565">
        <f t="shared" si="2402"/>
        <v>0.20872641509433953</v>
      </c>
      <c r="W526" s="1565">
        <f t="shared" ref="W526:AF528" si="2403">+W518/S518-1</f>
        <v>9.8637602179836525E-2</v>
      </c>
      <c r="X526" s="1565">
        <f t="shared" si="2403"/>
        <v>0.15557883708748044</v>
      </c>
      <c r="Y526" s="1565">
        <f t="shared" si="2403"/>
        <v>0.22597526165556614</v>
      </c>
      <c r="Z526" s="1565">
        <f t="shared" si="2403"/>
        <v>0.24975609756097561</v>
      </c>
      <c r="AA526" s="1565">
        <f t="shared" si="2403"/>
        <v>0.46031746031746024</v>
      </c>
      <c r="AB526" s="1565">
        <f t="shared" si="2403"/>
        <v>0.4215775158658206</v>
      </c>
      <c r="AC526" s="1565">
        <f t="shared" si="2403"/>
        <v>0.37019790454016288</v>
      </c>
      <c r="AD526" s="1565">
        <f t="shared" si="2403"/>
        <v>0.34153005464480879</v>
      </c>
      <c r="AE526" s="1565">
        <f t="shared" si="2403"/>
        <v>0.26086956521739135</v>
      </c>
      <c r="AF526" s="1565">
        <f t="shared" si="2403"/>
        <v>0.16804846938775508</v>
      </c>
      <c r="AG526" s="1565">
        <f t="shared" ref="AG526:AI528" si="2404">+AG518/AC518-1</f>
        <v>9.7706032285471478E-2</v>
      </c>
      <c r="AH526" s="1565">
        <f t="shared" si="2388"/>
        <v>7.5647366889729506E-2</v>
      </c>
      <c r="AI526" s="1565">
        <f>+AI489</f>
        <v>0.05</v>
      </c>
      <c r="AJ526" s="1565">
        <f t="shared" ref="AJ526:AK526" si="2405">+AJ489</f>
        <v>0.08</v>
      </c>
      <c r="AK526" s="1565">
        <f t="shared" si="2405"/>
        <v>0.09</v>
      </c>
      <c r="AL526" s="1565">
        <f t="shared" ref="AL526" si="2406">+AL489</f>
        <v>0.1</v>
      </c>
      <c r="AM526" s="1565">
        <f t="shared" ref="AM526" si="2407">+AM489</f>
        <v>0.1</v>
      </c>
      <c r="AN526" s="1526">
        <v>0.08</v>
      </c>
      <c r="AO526" s="1526">
        <v>0.08</v>
      </c>
      <c r="AP526" s="1526">
        <v>0.08</v>
      </c>
      <c r="AQ526" s="1526">
        <v>0.08</v>
      </c>
      <c r="AR526" s="1565"/>
      <c r="AS526" s="1565"/>
      <c r="AT526" s="1565"/>
      <c r="AU526" s="1565"/>
      <c r="AV526" s="1565"/>
      <c r="AW526" s="1565"/>
      <c r="AX526" s="1565"/>
      <c r="AY526" s="1565"/>
      <c r="AZ526" s="1565"/>
      <c r="BA526" s="1565"/>
      <c r="BB526" s="1565"/>
      <c r="BC526" s="1565"/>
      <c r="BD526" s="1565"/>
      <c r="BE526" s="1565"/>
      <c r="BF526" s="1565"/>
      <c r="BG526" s="1565"/>
      <c r="BH526" s="1565"/>
      <c r="BI526" s="1565">
        <f t="shared" si="2397"/>
        <v>1.3157199471598413</v>
      </c>
      <c r="BJ526" s="1565">
        <f t="shared" si="2398"/>
        <v>0.28427457691576352</v>
      </c>
      <c r="BK526" s="1565">
        <f t="shared" si="2399"/>
        <v>0.19588392063962101</v>
      </c>
      <c r="BL526" s="1565">
        <f t="shared" si="2400"/>
        <v>0.27386405843753869</v>
      </c>
      <c r="BM526" s="1565">
        <f t="shared" si="2400"/>
        <v>0.34279327437068718</v>
      </c>
      <c r="BN526" s="1565">
        <f t="shared" si="2400"/>
        <v>9.619281991893458E-2</v>
      </c>
      <c r="BO526" s="1565">
        <f t="shared" si="2400"/>
        <v>8.1016837240013295E-2</v>
      </c>
      <c r="BP526" s="1565">
        <f t="shared" si="2401"/>
        <v>8.0000000000000071E-2</v>
      </c>
      <c r="BT526" s="1518"/>
      <c r="BU526" s="1518"/>
      <c r="BV526" s="1518"/>
      <c r="BW526" s="1518"/>
      <c r="BX526" s="1518"/>
      <c r="BY526" s="1518"/>
      <c r="BZ526" s="1518"/>
      <c r="CA526" s="1518"/>
      <c r="CB526" s="1518"/>
      <c r="CC526" s="1518"/>
    </row>
    <row r="527" spans="2:81" s="1530" customFormat="1" ht="11.45" outlineLevel="1">
      <c r="B527" s="1539" t="str">
        <f>+B519</f>
        <v>Dynamics and Other</v>
      </c>
      <c r="D527" s="1566"/>
      <c r="E527" s="1566"/>
      <c r="F527" s="1566"/>
      <c r="G527" s="1566"/>
      <c r="H527" s="1566"/>
      <c r="I527" s="1566"/>
      <c r="J527" s="1566"/>
      <c r="K527" s="1566"/>
      <c r="L527" s="1566">
        <f>+L519/H519-1</f>
        <v>0.13436123348017626</v>
      </c>
      <c r="M527" s="1566">
        <f t="shared" si="2402"/>
        <v>0.10546875</v>
      </c>
      <c r="N527" s="1566">
        <f t="shared" si="2402"/>
        <v>0.17303822937625757</v>
      </c>
      <c r="O527" s="1566">
        <f t="shared" si="2402"/>
        <v>0.11190053285968027</v>
      </c>
      <c r="P527" s="1566">
        <f t="shared" si="2402"/>
        <v>0.20194174757281558</v>
      </c>
      <c r="Q527" s="1566">
        <f t="shared" si="2402"/>
        <v>0.16607773851590113</v>
      </c>
      <c r="R527" s="1566">
        <f t="shared" si="2402"/>
        <v>0.12692967409948541</v>
      </c>
      <c r="S527" s="1566">
        <f t="shared" si="2402"/>
        <v>0.11980830670926523</v>
      </c>
      <c r="T527" s="1566">
        <f t="shared" si="2402"/>
        <v>0.13408723747980611</v>
      </c>
      <c r="U527" s="1566">
        <f t="shared" si="2402"/>
        <v>0.1227272727272728</v>
      </c>
      <c r="V527" s="1566">
        <f t="shared" si="2402"/>
        <v>0.17656012176560121</v>
      </c>
      <c r="W527" s="1566">
        <f t="shared" si="2403"/>
        <v>0.12553495007132676</v>
      </c>
      <c r="X527" s="1566">
        <f t="shared" si="2403"/>
        <v>0.18945868945868938</v>
      </c>
      <c r="Y527" s="1566">
        <f t="shared" si="2403"/>
        <v>0.20782726045883937</v>
      </c>
      <c r="Z527" s="1566">
        <f t="shared" si="2403"/>
        <v>0.26002587322121595</v>
      </c>
      <c r="AA527" s="1566">
        <f t="shared" si="2403"/>
        <v>0.33079847908745252</v>
      </c>
      <c r="AB527" s="1566">
        <f t="shared" si="2403"/>
        <v>0.31137724550898205</v>
      </c>
      <c r="AC527" s="1566">
        <f t="shared" si="2403"/>
        <v>0.28938547486033528</v>
      </c>
      <c r="AD527" s="1566">
        <f t="shared" si="2403"/>
        <v>0.21971252566735111</v>
      </c>
      <c r="AE527" s="1566">
        <f t="shared" si="2403"/>
        <v>0.18952380952380943</v>
      </c>
      <c r="AF527" s="1566">
        <f t="shared" si="2403"/>
        <v>0.14520547945205475</v>
      </c>
      <c r="AG527" s="1566">
        <f t="shared" si="2404"/>
        <v>0.1169844020797226</v>
      </c>
      <c r="AH527" s="1566">
        <f t="shared" si="2388"/>
        <v>0.1633503784252619</v>
      </c>
      <c r="AI527" s="1567">
        <f t="shared" si="2388"/>
        <v>0.19022870400281233</v>
      </c>
      <c r="AJ527" s="1567">
        <f t="shared" ref="AJ527:AJ528" si="2408">+AJ519/AF519-1</f>
        <v>0.2576137565806349</v>
      </c>
      <c r="AK527" s="1567">
        <f t="shared" ref="AK527:AK528" si="2409">+AK519/AG519-1</f>
        <v>0.2273535882885549</v>
      </c>
      <c r="AL527" s="1567">
        <f t="shared" ref="AL527:AL528" si="2410">+AL519/AH519-1</f>
        <v>0.18546287802762018</v>
      </c>
      <c r="AM527" s="1567">
        <f t="shared" ref="AM527:AM528" si="2411">+AM519/AI519-1</f>
        <v>0.18904629429580933</v>
      </c>
      <c r="AN527" s="1568">
        <v>0.13</v>
      </c>
      <c r="AO527" s="1568">
        <v>0.13</v>
      </c>
      <c r="AP527" s="1568">
        <v>0.13</v>
      </c>
      <c r="AQ527" s="1568">
        <v>0.13</v>
      </c>
      <c r="AR527" s="1566"/>
      <c r="AS527" s="1566"/>
      <c r="AT527" s="1566"/>
      <c r="AU527" s="1566"/>
      <c r="AV527" s="1566"/>
      <c r="AW527" s="1566"/>
      <c r="AX527" s="1566"/>
      <c r="AY527" s="1566"/>
      <c r="AZ527" s="1566"/>
      <c r="BA527" s="1566"/>
      <c r="BB527" s="1566"/>
      <c r="BC527" s="1566"/>
      <c r="BD527" s="1566"/>
      <c r="BE527" s="1566"/>
      <c r="BF527" s="1566"/>
      <c r="BG527" s="1566"/>
      <c r="BH527" s="1566"/>
      <c r="BI527" s="1566">
        <f t="shared" si="2397"/>
        <v>0.13030602171767036</v>
      </c>
      <c r="BJ527" s="1566">
        <f t="shared" si="2398"/>
        <v>0.1515283842794759</v>
      </c>
      <c r="BK527" s="1566">
        <f t="shared" si="2399"/>
        <v>0.13955252180508149</v>
      </c>
      <c r="BL527" s="1566">
        <f t="shared" si="2400"/>
        <v>0.2492512479201332</v>
      </c>
      <c r="BM527" s="1566">
        <f t="shared" si="2400"/>
        <v>0.24826851358550872</v>
      </c>
      <c r="BN527" s="1566">
        <f t="shared" si="2400"/>
        <v>0.15485614615209631</v>
      </c>
      <c r="BO527" s="1566">
        <f t="shared" si="2400"/>
        <v>0.2131441314215885</v>
      </c>
      <c r="BP527" s="1566">
        <f t="shared" si="2401"/>
        <v>0.12999999999999989</v>
      </c>
      <c r="BT527" s="1518"/>
      <c r="BU527" s="1518"/>
      <c r="BV527" s="1518"/>
      <c r="BW527" s="1518"/>
      <c r="BX527" s="1518"/>
      <c r="BY527" s="1518"/>
      <c r="BZ527" s="1518"/>
      <c r="CA527" s="1518"/>
      <c r="CB527" s="1518"/>
      <c r="CC527" s="1518"/>
    </row>
    <row r="528" spans="2:81" s="1535" customFormat="1" outlineLevel="1">
      <c r="B528" s="1569" t="str">
        <f>+B520</f>
        <v>Total PBP Revenue</v>
      </c>
      <c r="D528" s="1570"/>
      <c r="E528" s="1570"/>
      <c r="F528" s="1570"/>
      <c r="G528" s="1570"/>
      <c r="H528" s="1570"/>
      <c r="I528" s="1570"/>
      <c r="J528" s="1570"/>
      <c r="K528" s="1570"/>
      <c r="L528" s="1570">
        <f>+L520/H520-1</f>
        <v>0.27998756991920448</v>
      </c>
      <c r="M528" s="1570">
        <f t="shared" si="2402"/>
        <v>0.24710962529600233</v>
      </c>
      <c r="N528" s="1570">
        <f t="shared" si="2402"/>
        <v>0.1685480731802258</v>
      </c>
      <c r="O528" s="1570">
        <f t="shared" si="2402"/>
        <v>0.13102480112306969</v>
      </c>
      <c r="P528" s="1570">
        <f t="shared" si="2402"/>
        <v>0.18608885651857254</v>
      </c>
      <c r="Q528" s="1570">
        <f t="shared" si="2402"/>
        <v>0.12811348151457613</v>
      </c>
      <c r="R528" s="1570">
        <f t="shared" si="2402"/>
        <v>0.13724183877415053</v>
      </c>
      <c r="S528" s="1570">
        <f t="shared" si="2402"/>
        <v>0.14263549855192381</v>
      </c>
      <c r="T528" s="1570">
        <f t="shared" si="2402"/>
        <v>0.13366083307747423</v>
      </c>
      <c r="U528" s="1570">
        <f t="shared" si="2402"/>
        <v>0.17089108910891082</v>
      </c>
      <c r="V528" s="1570">
        <f t="shared" si="2402"/>
        <v>0.14655340753759027</v>
      </c>
      <c r="W528" s="1570">
        <f t="shared" si="2403"/>
        <v>6.3818231193989217E-2</v>
      </c>
      <c r="X528" s="1570">
        <f t="shared" si="2403"/>
        <v>0.11212422135957389</v>
      </c>
      <c r="Y528" s="1570">
        <f t="shared" si="2403"/>
        <v>0.12912227295788936</v>
      </c>
      <c r="Z528" s="1570">
        <f t="shared" si="2403"/>
        <v>0.15404922081239891</v>
      </c>
      <c r="AA528" s="1570">
        <f t="shared" si="2403"/>
        <v>0.25008509189925121</v>
      </c>
      <c r="AB528" s="1570">
        <f t="shared" si="2403"/>
        <v>0.22079714262521311</v>
      </c>
      <c r="AC528" s="1570">
        <f t="shared" si="2403"/>
        <v>0.19343967647719618</v>
      </c>
      <c r="AD528" s="1570">
        <f t="shared" si="2403"/>
        <v>0.16506788665879579</v>
      </c>
      <c r="AE528" s="1570">
        <f t="shared" si="2403"/>
        <v>0.12994350282485878</v>
      </c>
      <c r="AF528" s="1570">
        <f t="shared" si="2403"/>
        <v>9.4820134317441296E-2</v>
      </c>
      <c r="AG528" s="1570">
        <f t="shared" si="2404"/>
        <v>6.6892570281124497E-2</v>
      </c>
      <c r="AH528" s="1570">
        <f t="shared" si="2388"/>
        <v>0.10937994806510853</v>
      </c>
      <c r="AI528" s="1570">
        <f t="shared" si="2404"/>
        <v>0.10186746987951811</v>
      </c>
      <c r="AJ528" s="1570">
        <f t="shared" si="2408"/>
        <v>0.12918311569996965</v>
      </c>
      <c r="AK528" s="1570">
        <f t="shared" si="2409"/>
        <v>0.13216092224444176</v>
      </c>
      <c r="AL528" s="1570">
        <f t="shared" si="2410"/>
        <v>0.11726421557433198</v>
      </c>
      <c r="AM528" s="1570">
        <f t="shared" si="2411"/>
        <v>0.1107648570335138</v>
      </c>
      <c r="AN528" s="1570">
        <f t="shared" ref="AN528" si="2412">+AN520/AJ520-1</f>
        <v>0.1112475311839014</v>
      </c>
      <c r="AO528" s="1570">
        <f t="shared" ref="AO528" si="2413">+AO520/AK520-1</f>
        <v>0.11143336204118937</v>
      </c>
      <c r="AP528" s="1570">
        <f t="shared" ref="AP528" si="2414">+AP520/AL520-1</f>
        <v>0.11176841193376341</v>
      </c>
      <c r="AQ528" s="1570">
        <f t="shared" ref="AQ528" si="2415">+AQ520/AM520-1</f>
        <v>0.11139962491927102</v>
      </c>
      <c r="AR528" s="1570"/>
      <c r="AS528" s="1570"/>
      <c r="AT528" s="1570"/>
      <c r="AU528" s="1570"/>
      <c r="AV528" s="1570"/>
      <c r="AW528" s="1570"/>
      <c r="AX528" s="1570"/>
      <c r="AY528" s="1570"/>
      <c r="AZ528" s="1570"/>
      <c r="BA528" s="1570"/>
      <c r="BB528" s="1570"/>
      <c r="BC528" s="1570"/>
      <c r="BD528" s="1570"/>
      <c r="BE528" s="1570"/>
      <c r="BF528" s="1570"/>
      <c r="BG528" s="1570"/>
      <c r="BH528" s="1570"/>
      <c r="BI528" s="1570">
        <f t="shared" si="2397"/>
        <v>0.20070304653498483</v>
      </c>
      <c r="BJ528" s="1570">
        <f t="shared" si="2398"/>
        <v>0.14763697197825176</v>
      </c>
      <c r="BK528" s="1570">
        <f t="shared" si="2399"/>
        <v>0.12725947521865888</v>
      </c>
      <c r="BL528" s="1570">
        <f t="shared" si="2400"/>
        <v>0.16201129359024091</v>
      </c>
      <c r="BM528" s="1570">
        <f t="shared" si="2400"/>
        <v>0.17525734953167027</v>
      </c>
      <c r="BN528" s="1570">
        <f t="shared" si="2400"/>
        <v>9.3270626854365268E-2</v>
      </c>
      <c r="BO528" s="1570">
        <f t="shared" si="2400"/>
        <v>0.12203712792678356</v>
      </c>
      <c r="BP528" s="1570">
        <f t="shared" si="2401"/>
        <v>0.1114644515069283</v>
      </c>
      <c r="BT528" s="1518"/>
      <c r="BU528" s="1518"/>
      <c r="BV528" s="1518"/>
      <c r="BW528" s="1518"/>
      <c r="BX528" s="1518"/>
      <c r="BY528" s="1518"/>
      <c r="BZ528" s="1518"/>
      <c r="CA528" s="1518"/>
      <c r="CB528" s="1518"/>
      <c r="CC528" s="1518"/>
    </row>
    <row r="529" spans="2:81" s="1518" customFormat="1" outlineLevel="1"/>
    <row r="530" spans="2:81" s="1518" customFormat="1" outlineLevel="1">
      <c r="B530" s="1564" t="s">
        <v>399</v>
      </c>
      <c r="AG530" s="1547"/>
      <c r="AH530" s="1531"/>
      <c r="AI530" s="1531"/>
      <c r="AJ530" s="1531"/>
      <c r="AK530" s="1531"/>
      <c r="AL530" s="1531"/>
      <c r="AM530" s="1531"/>
      <c r="AN530" s="1531"/>
      <c r="AO530" s="1531"/>
      <c r="AP530" s="1531"/>
      <c r="AQ530" s="1531"/>
    </row>
    <row r="531" spans="2:81" s="1540" customFormat="1" outlineLevel="1">
      <c r="B531" s="1573" t="str">
        <f>+B523</f>
        <v>Office Commercial (old segmentation)</v>
      </c>
      <c r="D531" s="1565"/>
      <c r="E531" s="1565"/>
      <c r="F531" s="1565"/>
      <c r="G531" s="1565"/>
      <c r="H531" s="1565"/>
      <c r="I531" s="1565"/>
      <c r="J531" s="1565"/>
      <c r="K531" s="1565"/>
      <c r="L531" s="1565"/>
      <c r="M531" s="1565"/>
      <c r="N531" s="1565"/>
      <c r="O531" s="1565"/>
      <c r="P531" s="1565">
        <f t="shared" ref="P531:AL531" si="2416">+P523+L523</f>
        <v>0.27</v>
      </c>
      <c r="Q531" s="1565">
        <f t="shared" si="2416"/>
        <v>0.21000000000000019</v>
      </c>
      <c r="R531" s="1565">
        <f t="shared" si="2416"/>
        <v>0.26000000000000023</v>
      </c>
      <c r="S531" s="1565">
        <f t="shared" si="2416"/>
        <v>0.24000000000000021</v>
      </c>
      <c r="T531" s="1565">
        <f t="shared" si="2416"/>
        <v>0.29999999999999982</v>
      </c>
      <c r="U531" s="1565">
        <f t="shared" si="2416"/>
        <v>0.27</v>
      </c>
      <c r="V531" s="1565">
        <f t="shared" si="2416"/>
        <v>0.25</v>
      </c>
      <c r="W531" s="1565">
        <f t="shared" si="2416"/>
        <v>0.19000000000000017</v>
      </c>
      <c r="X531" s="1565">
        <f t="shared" si="2416"/>
        <v>0.21999999999999997</v>
      </c>
      <c r="Y531" s="1565">
        <f t="shared" si="2416"/>
        <v>0.27</v>
      </c>
      <c r="Z531" s="1565">
        <f t="shared" si="2416"/>
        <v>0.27</v>
      </c>
      <c r="AA531" s="1565">
        <f t="shared" si="2416"/>
        <v>0.25</v>
      </c>
      <c r="AB531" s="1565">
        <f t="shared" si="2416"/>
        <v>0.27</v>
      </c>
      <c r="AC531" s="1565">
        <f t="shared" si="2416"/>
        <v>0.25</v>
      </c>
      <c r="AD531" s="1565">
        <f t="shared" si="2416"/>
        <v>0.26000000000000023</v>
      </c>
      <c r="AE531" s="1565">
        <f t="shared" si="2416"/>
        <v>0.29000000000000004</v>
      </c>
      <c r="AF531" s="1565">
        <f t="shared" si="2416"/>
        <v>0.25</v>
      </c>
      <c r="AG531" s="1565">
        <f t="shared" si="2416"/>
        <v>0.20999999999999996</v>
      </c>
      <c r="AH531" s="1565">
        <f t="shared" si="2416"/>
        <v>0.25000000000000011</v>
      </c>
      <c r="AI531" s="1565">
        <f t="shared" si="2416"/>
        <v>0.21000000000000008</v>
      </c>
      <c r="AJ531" s="1565">
        <f t="shared" si="2416"/>
        <v>0.22000000000000006</v>
      </c>
      <c r="AK531" s="1565">
        <f t="shared" si="2416"/>
        <v>0.22000000000000006</v>
      </c>
      <c r="AL531" s="1565">
        <f t="shared" si="2416"/>
        <v>0.26</v>
      </c>
      <c r="AM531" s="1565">
        <f t="shared" ref="AM531:AM536" si="2417">+AM523+AI523</f>
        <v>0.24</v>
      </c>
      <c r="AN531" s="1565">
        <f t="shared" ref="AN531:AQ536" si="2418">+AN523+AJ523</f>
        <v>0.28000000000000003</v>
      </c>
      <c r="AO531" s="1565">
        <f t="shared" si="2418"/>
        <v>0.28000000000000003</v>
      </c>
      <c r="AP531" s="1565">
        <f t="shared" si="2418"/>
        <v>0.26</v>
      </c>
      <c r="AQ531" s="1565">
        <f t="shared" si="2418"/>
        <v>0.25</v>
      </c>
      <c r="AR531" s="1565"/>
      <c r="AS531" s="1565"/>
      <c r="AT531" s="1565"/>
      <c r="AU531" s="1565"/>
      <c r="AV531" s="1565"/>
      <c r="AW531" s="1565"/>
      <c r="AX531" s="1565"/>
      <c r="AY531" s="1565"/>
      <c r="AZ531" s="1565"/>
      <c r="BA531" s="1565"/>
      <c r="BB531" s="1565"/>
      <c r="BC531" s="1565"/>
      <c r="BD531" s="1565"/>
      <c r="BE531" s="1565"/>
      <c r="BF531" s="1565"/>
      <c r="BG531" s="1565"/>
      <c r="BH531" s="1565"/>
      <c r="BI531" s="1565"/>
      <c r="BJ531" s="1565">
        <f t="shared" ref="BJ531:BN531" si="2419">+BJ523+BI523</f>
        <v>0.24417009160779779</v>
      </c>
      <c r="BK531" s="1565">
        <f t="shared" si="2419"/>
        <v>0.25014557654814329</v>
      </c>
      <c r="BL531" s="1565">
        <f t="shared" si="2419"/>
        <v>0.25128398134163565</v>
      </c>
      <c r="BM531" s="1565">
        <f t="shared" si="2419"/>
        <v>0.26637215114352708</v>
      </c>
      <c r="BN531" s="1565">
        <f t="shared" si="2419"/>
        <v>0.22868005035123207</v>
      </c>
      <c r="BO531" s="1565">
        <f>+BO523+BN523</f>
        <v>0.23482754450902443</v>
      </c>
      <c r="BP531" s="1565">
        <f t="shared" ref="BP531:BP536" si="2420">+BP523+BO523</f>
        <v>0.26695168958557502</v>
      </c>
      <c r="BT531" s="1527"/>
      <c r="BU531" s="1527"/>
      <c r="BV531" s="1527"/>
      <c r="BW531" s="1527"/>
      <c r="BX531" s="1527"/>
      <c r="BY531" s="1527"/>
      <c r="BZ531" s="1527"/>
      <c r="CA531" s="1527"/>
      <c r="CB531" s="1527"/>
      <c r="CC531" s="1527"/>
    </row>
    <row r="532" spans="2:81" s="1541" customFormat="1" ht="11.45" outlineLevel="1">
      <c r="B532" s="1573" t="str">
        <f t="shared" ref="B532:B536" si="2421">+B524</f>
        <v>Office Consumer (old segmentation)</v>
      </c>
      <c r="D532" s="1566"/>
      <c r="E532" s="1566"/>
      <c r="F532" s="1566"/>
      <c r="G532" s="1566"/>
      <c r="H532" s="1566"/>
      <c r="I532" s="1566"/>
      <c r="J532" s="1566"/>
      <c r="K532" s="1566"/>
      <c r="L532" s="1566"/>
      <c r="M532" s="1566"/>
      <c r="N532" s="1566"/>
      <c r="O532" s="1566"/>
      <c r="P532" s="1566">
        <f t="shared" ref="P532:AL532" si="2422">+P524+L524</f>
        <v>0.28000000000000003</v>
      </c>
      <c r="Q532" s="1566">
        <f t="shared" si="2422"/>
        <v>0.13000000000000012</v>
      </c>
      <c r="R532" s="1566">
        <f t="shared" si="2422"/>
        <v>0.20000000000000018</v>
      </c>
      <c r="S532" s="1566">
        <f t="shared" si="2422"/>
        <v>0.14000000000000012</v>
      </c>
      <c r="T532" s="1566">
        <f t="shared" si="2422"/>
        <v>0.20999999999999996</v>
      </c>
      <c r="U532" s="1566">
        <f t="shared" si="2422"/>
        <v>0.19999999999999996</v>
      </c>
      <c r="V532" s="1566">
        <f t="shared" si="2422"/>
        <v>0.22999999999999998</v>
      </c>
      <c r="W532" s="1566">
        <f t="shared" si="2422"/>
        <v>0.12000000000000011</v>
      </c>
      <c r="X532" s="1566">
        <f t="shared" si="2422"/>
        <v>0.16000000000000014</v>
      </c>
      <c r="Y532" s="1566">
        <f t="shared" si="2422"/>
        <v>0.26</v>
      </c>
      <c r="Z532" s="1566">
        <f t="shared" si="2422"/>
        <v>0.19999999999999996</v>
      </c>
      <c r="AA532" s="1566">
        <f t="shared" si="2422"/>
        <v>0.24</v>
      </c>
      <c r="AB532" s="1566">
        <f t="shared" si="2422"/>
        <v>0.21000000000000019</v>
      </c>
      <c r="AC532" s="1566">
        <f t="shared" si="2422"/>
        <v>0.21999999999999997</v>
      </c>
      <c r="AD532" s="1566">
        <f t="shared" si="2422"/>
        <v>0.17000000000000015</v>
      </c>
      <c r="AE532" s="1566">
        <f t="shared" si="2422"/>
        <v>0.27</v>
      </c>
      <c r="AF532" s="1566">
        <f t="shared" si="2422"/>
        <v>0.17000000000000015</v>
      </c>
      <c r="AG532" s="1566">
        <f t="shared" si="2422"/>
        <v>0.12999999999999989</v>
      </c>
      <c r="AH532" s="1567">
        <f t="shared" si="2422"/>
        <v>0.13000000000000012</v>
      </c>
      <c r="AI532" s="1567">
        <f t="shared" si="2422"/>
        <v>0.12000000000000008</v>
      </c>
      <c r="AJ532" s="1567">
        <f t="shared" si="2422"/>
        <v>0.10000000000000006</v>
      </c>
      <c r="AK532" s="1567">
        <f t="shared" si="2422"/>
        <v>2.9999999999999985E-2</v>
      </c>
      <c r="AL532" s="1567">
        <f t="shared" si="2422"/>
        <v>0.05</v>
      </c>
      <c r="AM532" s="1567">
        <f t="shared" si="2417"/>
        <v>0.06</v>
      </c>
      <c r="AN532" s="1567">
        <f t="shared" si="2418"/>
        <v>0.06</v>
      </c>
      <c r="AO532" s="1567">
        <f t="shared" si="2418"/>
        <v>0.08</v>
      </c>
      <c r="AP532" s="1567">
        <f t="shared" si="2418"/>
        <v>7.0000000000000007E-2</v>
      </c>
      <c r="AQ532" s="1567">
        <f t="shared" si="2418"/>
        <v>0.06</v>
      </c>
      <c r="AR532" s="1566"/>
      <c r="AS532" s="1566"/>
      <c r="AT532" s="1566"/>
      <c r="AU532" s="1566"/>
      <c r="AV532" s="1566"/>
      <c r="AW532" s="1566"/>
      <c r="AX532" s="1566"/>
      <c r="AY532" s="1566"/>
      <c r="AZ532" s="1566"/>
      <c r="BA532" s="1566"/>
      <c r="BB532" s="1566"/>
      <c r="BC532" s="1566"/>
      <c r="BD532" s="1566"/>
      <c r="BE532" s="1566"/>
      <c r="BF532" s="1566"/>
      <c r="BG532" s="1566"/>
      <c r="BH532" s="1566"/>
      <c r="BI532" s="1566"/>
      <c r="BJ532" s="1566">
        <f t="shared" ref="BJ532:BO532" si="2423">+BJ524+BI524</f>
        <v>0.18522476388193154</v>
      </c>
      <c r="BK532" s="1566">
        <f t="shared" si="2423"/>
        <v>0.18635124800880098</v>
      </c>
      <c r="BL532" s="1566">
        <f t="shared" si="2423"/>
        <v>0.21217229986922503</v>
      </c>
      <c r="BM532" s="1566">
        <f t="shared" si="2423"/>
        <v>0.21628943226828201</v>
      </c>
      <c r="BN532" s="1566">
        <f t="shared" si="2423"/>
        <v>0.13634054597487055</v>
      </c>
      <c r="BO532" s="1567">
        <f t="shared" si="2423"/>
        <v>5.936256577416299E-2</v>
      </c>
      <c r="BP532" s="1567">
        <f t="shared" si="2420"/>
        <v>6.71913605177199E-2</v>
      </c>
      <c r="BT532" s="1518"/>
      <c r="BU532" s="1518"/>
      <c r="BV532" s="1518"/>
      <c r="BW532" s="1518"/>
      <c r="BX532" s="1518"/>
      <c r="BY532" s="1518"/>
      <c r="BZ532" s="1518"/>
      <c r="CA532" s="1518"/>
      <c r="CB532" s="1518"/>
      <c r="CC532" s="1518"/>
    </row>
    <row r="533" spans="2:81" s="1540" customFormat="1" outlineLevel="1">
      <c r="B533" s="1574" t="str">
        <f t="shared" si="2421"/>
        <v>Total Office</v>
      </c>
      <c r="D533" s="1565"/>
      <c r="E533" s="1565"/>
      <c r="F533" s="1565"/>
      <c r="G533" s="1565"/>
      <c r="H533" s="1565"/>
      <c r="I533" s="1565"/>
      <c r="J533" s="1565"/>
      <c r="K533" s="1565"/>
      <c r="L533" s="1565"/>
      <c r="M533" s="1565"/>
      <c r="N533" s="1565"/>
      <c r="O533" s="1565"/>
      <c r="P533" s="1565">
        <f t="shared" ref="P533:AL533" si="2424">+P525+L525</f>
        <v>0.25837026923609874</v>
      </c>
      <c r="Q533" s="1565">
        <f t="shared" si="2424"/>
        <v>0.19375543356873992</v>
      </c>
      <c r="R533" s="1565">
        <f t="shared" si="2424"/>
        <v>0.24999859685942738</v>
      </c>
      <c r="S533" s="1565">
        <f t="shared" si="2424"/>
        <v>0.21852285236145996</v>
      </c>
      <c r="T533" s="1565">
        <f t="shared" si="2424"/>
        <v>0.2699716350408512</v>
      </c>
      <c r="U533" s="1565">
        <f t="shared" si="2424"/>
        <v>0.25452796272214795</v>
      </c>
      <c r="V533" s="1565">
        <f t="shared" si="2424"/>
        <v>0.2436962008419874</v>
      </c>
      <c r="W533" s="1565">
        <f t="shared" si="2424"/>
        <v>0.17434737942877332</v>
      </c>
      <c r="X533" s="1565">
        <f t="shared" si="2424"/>
        <v>0.20664515533540451</v>
      </c>
      <c r="Y533" s="1565">
        <f t="shared" si="2424"/>
        <v>0.25951223415121949</v>
      </c>
      <c r="Z533" s="1565">
        <f t="shared" si="2424"/>
        <v>0.25355825532173726</v>
      </c>
      <c r="AA533" s="1565">
        <f t="shared" si="2424"/>
        <v>0.24682411207649979</v>
      </c>
      <c r="AB533" s="1565">
        <f t="shared" si="2424"/>
        <v>0.26081929381169222</v>
      </c>
      <c r="AC533" s="1565">
        <f t="shared" si="2424"/>
        <v>0.23861653780173309</v>
      </c>
      <c r="AD533" s="1565">
        <f t="shared" si="2424"/>
        <v>0.23748656857548101</v>
      </c>
      <c r="AE533" s="1565">
        <f t="shared" si="2424"/>
        <v>0.28365836273751488</v>
      </c>
      <c r="AF533" s="1565">
        <f t="shared" si="2424"/>
        <v>0.23337403141932667</v>
      </c>
      <c r="AG533" s="1565">
        <f t="shared" si="2424"/>
        <v>0.19073419339414666</v>
      </c>
      <c r="AH533" s="1565">
        <f t="shared" si="2424"/>
        <v>0.22863844702931391</v>
      </c>
      <c r="AI533" s="1565">
        <f t="shared" si="2424"/>
        <v>0.19600986527341502</v>
      </c>
      <c r="AJ533" s="1565">
        <f t="shared" si="2424"/>
        <v>0.20303243180229624</v>
      </c>
      <c r="AK533" s="1565">
        <f t="shared" si="2424"/>
        <v>0.19020550820087467</v>
      </c>
      <c r="AL533" s="1565">
        <f t="shared" si="2424"/>
        <v>0.23315718026678089</v>
      </c>
      <c r="AM533" s="1565">
        <f t="shared" si="2417"/>
        <v>0.21674349630078882</v>
      </c>
      <c r="AN533" s="1565">
        <f t="shared" si="2418"/>
        <v>0.2528872941440492</v>
      </c>
      <c r="AO533" s="1565">
        <f t="shared" si="2418"/>
        <v>0.25716223342202582</v>
      </c>
      <c r="AP533" s="1565">
        <f t="shared" si="2418"/>
        <v>0.23791712307976809</v>
      </c>
      <c r="AQ533" s="1565">
        <f t="shared" si="2418"/>
        <v>0.22723118123079611</v>
      </c>
      <c r="AR533" s="1565"/>
      <c r="AS533" s="1565"/>
      <c r="AT533" s="1565"/>
      <c r="AU533" s="1565"/>
      <c r="AV533" s="1565"/>
      <c r="AW533" s="1565"/>
      <c r="AX533" s="1565"/>
      <c r="AY533" s="1565"/>
      <c r="AZ533" s="1565"/>
      <c r="BA533" s="1565"/>
      <c r="BB533" s="1565"/>
      <c r="BC533" s="1565"/>
      <c r="BD533" s="1565"/>
      <c r="BE533" s="1565"/>
      <c r="BF533" s="1565"/>
      <c r="BG533" s="1565"/>
      <c r="BH533" s="1565"/>
      <c r="BI533" s="1565"/>
      <c r="BJ533" s="1565">
        <f t="shared" ref="BJ533:BO533" si="2425">+BJ525+BI525</f>
        <v>0.22920675493035114</v>
      </c>
      <c r="BK533" s="1565">
        <f t="shared" si="2425"/>
        <v>0.23359491142513522</v>
      </c>
      <c r="BL533" s="1565">
        <f t="shared" si="2425"/>
        <v>0.24065640395005006</v>
      </c>
      <c r="BM533" s="1565">
        <f t="shared" si="2425"/>
        <v>0.25415716406443312</v>
      </c>
      <c r="BN533" s="1565">
        <f t="shared" si="2425"/>
        <v>0.21108833761358214</v>
      </c>
      <c r="BO533" s="1565">
        <f t="shared" si="2425"/>
        <v>0.21060674793790213</v>
      </c>
      <c r="BP533" s="1565">
        <f t="shared" si="2420"/>
        <v>0.24331424493598863</v>
      </c>
      <c r="BT533" s="1527"/>
      <c r="BU533" s="1527"/>
      <c r="BV533" s="1527"/>
      <c r="BW533" s="1527"/>
      <c r="BX533" s="1527"/>
      <c r="BY533" s="1527"/>
      <c r="BZ533" s="1527"/>
      <c r="CA533" s="1527"/>
      <c r="CB533" s="1527"/>
      <c r="CC533" s="1527"/>
    </row>
    <row r="534" spans="2:81" s="1540" customFormat="1" outlineLevel="1">
      <c r="B534" s="1573" t="str">
        <f t="shared" si="2421"/>
        <v>LinkedIn</v>
      </c>
      <c r="D534" s="1565"/>
      <c r="E534" s="1565"/>
      <c r="F534" s="1565"/>
      <c r="G534" s="1565"/>
      <c r="H534" s="1565"/>
      <c r="I534" s="1565"/>
      <c r="J534" s="1565"/>
      <c r="K534" s="1565"/>
      <c r="L534" s="1565"/>
      <c r="M534" s="1565"/>
      <c r="N534" s="1565"/>
      <c r="O534" s="1565"/>
      <c r="P534" s="1565" t="e">
        <f t="shared" ref="P534:AL534" si="2426">+P526+L526</f>
        <v>#VALUE!</v>
      </c>
      <c r="Q534" s="1565">
        <f t="shared" si="2426"/>
        <v>5.0447823063756951</v>
      </c>
      <c r="R534" s="1565">
        <f t="shared" si="2426"/>
        <v>0.63823985387118554</v>
      </c>
      <c r="S534" s="1565">
        <f t="shared" si="2426"/>
        <v>0.62548652828777884</v>
      </c>
      <c r="T534" s="1565">
        <f t="shared" si="2426"/>
        <v>0.58046503154107176</v>
      </c>
      <c r="U534" s="1565">
        <f t="shared" si="2426"/>
        <v>0.53197933024073296</v>
      </c>
      <c r="V534" s="1565">
        <f t="shared" si="2426"/>
        <v>0.47913840011306608</v>
      </c>
      <c r="W534" s="1565">
        <f t="shared" si="2426"/>
        <v>0.35205290272628464</v>
      </c>
      <c r="X534" s="1565">
        <f t="shared" si="2426"/>
        <v>0.40329125538813404</v>
      </c>
      <c r="Y534" s="1565">
        <f t="shared" si="2426"/>
        <v>0.46755825043288457</v>
      </c>
      <c r="Z534" s="1565">
        <f t="shared" si="2426"/>
        <v>0.45848251265531514</v>
      </c>
      <c r="AA534" s="1565">
        <f t="shared" si="2426"/>
        <v>0.55895506249729676</v>
      </c>
      <c r="AB534" s="1565">
        <f t="shared" si="2426"/>
        <v>0.57715635295330103</v>
      </c>
      <c r="AC534" s="1565">
        <f t="shared" si="2426"/>
        <v>0.59617316619572902</v>
      </c>
      <c r="AD534" s="1565">
        <f t="shared" si="2426"/>
        <v>0.5912861522057844</v>
      </c>
      <c r="AE534" s="1565">
        <f t="shared" si="2426"/>
        <v>0.72118702553485159</v>
      </c>
      <c r="AF534" s="1565">
        <f t="shared" si="2426"/>
        <v>0.58962598525357568</v>
      </c>
      <c r="AG534" s="1565">
        <f t="shared" si="2426"/>
        <v>0.46790393682563436</v>
      </c>
      <c r="AH534" s="1565">
        <f t="shared" si="2426"/>
        <v>0.4171774215345383</v>
      </c>
      <c r="AI534" s="1565">
        <f t="shared" si="2426"/>
        <v>0.31086956521739134</v>
      </c>
      <c r="AJ534" s="1565">
        <f t="shared" si="2426"/>
        <v>0.2480484693877551</v>
      </c>
      <c r="AK534" s="1565">
        <f t="shared" si="2426"/>
        <v>0.18770603228547147</v>
      </c>
      <c r="AL534" s="1565">
        <f t="shared" si="2426"/>
        <v>0.17564736688972951</v>
      </c>
      <c r="AM534" s="1565">
        <f t="shared" si="2417"/>
        <v>0.15000000000000002</v>
      </c>
      <c r="AN534" s="1565">
        <f t="shared" si="2418"/>
        <v>0.16</v>
      </c>
      <c r="AO534" s="1565">
        <f t="shared" si="2418"/>
        <v>0.16999999999999998</v>
      </c>
      <c r="AP534" s="1565">
        <f t="shared" si="2418"/>
        <v>0.18</v>
      </c>
      <c r="AQ534" s="1565">
        <f t="shared" si="2418"/>
        <v>0.18</v>
      </c>
      <c r="AR534" s="1565"/>
      <c r="AS534" s="1565"/>
      <c r="AT534" s="1565"/>
      <c r="AU534" s="1565"/>
      <c r="AV534" s="1565"/>
      <c r="AW534" s="1565"/>
      <c r="AX534" s="1565"/>
      <c r="AY534" s="1565"/>
      <c r="AZ534" s="1565"/>
      <c r="BA534" s="1565"/>
      <c r="BB534" s="1565"/>
      <c r="BC534" s="1565"/>
      <c r="BD534" s="1565"/>
      <c r="BE534" s="1565"/>
      <c r="BF534" s="1565"/>
      <c r="BG534" s="1565"/>
      <c r="BH534" s="1565"/>
      <c r="BI534" s="1565"/>
      <c r="BJ534" s="1565">
        <f t="shared" ref="BJ534:BO534" si="2427">+BJ526+BI526</f>
        <v>1.5999945240756048</v>
      </c>
      <c r="BK534" s="1565">
        <f t="shared" si="2427"/>
        <v>0.48015849755538453</v>
      </c>
      <c r="BL534" s="1565">
        <f t="shared" si="2427"/>
        <v>0.46974797907715971</v>
      </c>
      <c r="BM534" s="1565">
        <f t="shared" si="2427"/>
        <v>0.61665733280822588</v>
      </c>
      <c r="BN534" s="1565">
        <f t="shared" si="2427"/>
        <v>0.43898609428962176</v>
      </c>
      <c r="BO534" s="1565">
        <f t="shared" si="2427"/>
        <v>0.17720965715894788</v>
      </c>
      <c r="BP534" s="1565">
        <f t="shared" si="2420"/>
        <v>0.16101683724001337</v>
      </c>
      <c r="BT534" s="1518"/>
      <c r="BU534" s="1518"/>
      <c r="BV534" s="1518"/>
      <c r="BW534" s="1518"/>
      <c r="BX534" s="1518"/>
      <c r="BY534" s="1518"/>
      <c r="BZ534" s="1518"/>
      <c r="CA534" s="1518"/>
      <c r="CB534" s="1518"/>
      <c r="CC534" s="1518"/>
    </row>
    <row r="535" spans="2:81" s="1541" customFormat="1" ht="11.45" outlineLevel="1">
      <c r="B535" s="1573" t="str">
        <f t="shared" si="2421"/>
        <v>Dynamics and Other</v>
      </c>
      <c r="D535" s="1566"/>
      <c r="E535" s="1566"/>
      <c r="F535" s="1566"/>
      <c r="G535" s="1566"/>
      <c r="H535" s="1566"/>
      <c r="I535" s="1566"/>
      <c r="J535" s="1566"/>
      <c r="K535" s="1566"/>
      <c r="L535" s="1566"/>
      <c r="M535" s="1566"/>
      <c r="N535" s="1566"/>
      <c r="O535" s="1566"/>
      <c r="P535" s="1566">
        <f t="shared" ref="P535:AL535" si="2428">+P527+L527</f>
        <v>0.33630298105299183</v>
      </c>
      <c r="Q535" s="1566">
        <f t="shared" si="2428"/>
        <v>0.27154648851590113</v>
      </c>
      <c r="R535" s="1566">
        <f t="shared" si="2428"/>
        <v>0.29996790347574298</v>
      </c>
      <c r="S535" s="1566">
        <f t="shared" si="2428"/>
        <v>0.2317088395689455</v>
      </c>
      <c r="T535" s="1566">
        <f t="shared" si="2428"/>
        <v>0.33602898505262169</v>
      </c>
      <c r="U535" s="1566">
        <f t="shared" si="2428"/>
        <v>0.28880501124317393</v>
      </c>
      <c r="V535" s="1566">
        <f t="shared" si="2428"/>
        <v>0.30348979586508662</v>
      </c>
      <c r="W535" s="1566">
        <f t="shared" si="2428"/>
        <v>0.24534325678059199</v>
      </c>
      <c r="X535" s="1566">
        <f t="shared" si="2428"/>
        <v>0.32354592693849549</v>
      </c>
      <c r="Y535" s="1566">
        <f t="shared" si="2428"/>
        <v>0.33055453318611216</v>
      </c>
      <c r="Z535" s="1566">
        <f t="shared" si="2428"/>
        <v>0.43658599498681716</v>
      </c>
      <c r="AA535" s="1566">
        <f t="shared" si="2428"/>
        <v>0.45633342915877928</v>
      </c>
      <c r="AB535" s="1566">
        <f t="shared" si="2428"/>
        <v>0.50083593496767143</v>
      </c>
      <c r="AC535" s="1566">
        <f t="shared" si="2428"/>
        <v>0.49721273531917465</v>
      </c>
      <c r="AD535" s="1566">
        <f t="shared" si="2428"/>
        <v>0.47973839888856706</v>
      </c>
      <c r="AE535" s="1566">
        <f t="shared" si="2428"/>
        <v>0.52032228861126195</v>
      </c>
      <c r="AF535" s="1566">
        <f t="shared" si="2428"/>
        <v>0.4565827249610368</v>
      </c>
      <c r="AG535" s="1566">
        <f t="shared" si="2428"/>
        <v>0.40636987694005788</v>
      </c>
      <c r="AH535" s="1566">
        <f t="shared" si="2428"/>
        <v>0.38306290409261301</v>
      </c>
      <c r="AI535" s="1567">
        <f t="shared" si="2428"/>
        <v>0.37975251352662176</v>
      </c>
      <c r="AJ535" s="1567">
        <f t="shared" si="2428"/>
        <v>0.40281923603268965</v>
      </c>
      <c r="AK535" s="1567">
        <f t="shared" si="2428"/>
        <v>0.3443379903682775</v>
      </c>
      <c r="AL535" s="1567">
        <f t="shared" si="2428"/>
        <v>0.34881325645288208</v>
      </c>
      <c r="AM535" s="1567">
        <f t="shared" si="2417"/>
        <v>0.37927499829862166</v>
      </c>
      <c r="AN535" s="1567">
        <f t="shared" si="2418"/>
        <v>0.38761375658063491</v>
      </c>
      <c r="AO535" s="1567">
        <f t="shared" si="2418"/>
        <v>0.3573535882885549</v>
      </c>
      <c r="AP535" s="1567">
        <f t="shared" si="2418"/>
        <v>0.31546287802762019</v>
      </c>
      <c r="AQ535" s="1567">
        <f t="shared" si="2418"/>
        <v>0.31904629429580933</v>
      </c>
      <c r="AR535" s="1566"/>
      <c r="AS535" s="1566"/>
      <c r="AT535" s="1566"/>
      <c r="AU535" s="1566"/>
      <c r="AV535" s="1566"/>
      <c r="AW535" s="1566"/>
      <c r="AX535" s="1566"/>
      <c r="AY535" s="1566"/>
      <c r="AZ535" s="1566"/>
      <c r="BA535" s="1566"/>
      <c r="BB535" s="1566"/>
      <c r="BC535" s="1566"/>
      <c r="BD535" s="1566"/>
      <c r="BE535" s="1566"/>
      <c r="BF535" s="1566"/>
      <c r="BG535" s="1566"/>
      <c r="BH535" s="1566"/>
      <c r="BI535" s="1566"/>
      <c r="BJ535" s="1566">
        <f t="shared" ref="BJ535:BO535" si="2429">+BJ527+BI527</f>
        <v>0.28183440599714626</v>
      </c>
      <c r="BK535" s="1566">
        <f t="shared" si="2429"/>
        <v>0.29108090608455739</v>
      </c>
      <c r="BL535" s="1566">
        <f t="shared" si="2429"/>
        <v>0.38880376972521469</v>
      </c>
      <c r="BM535" s="1566">
        <f t="shared" si="2429"/>
        <v>0.49751976150564192</v>
      </c>
      <c r="BN535" s="1566">
        <f t="shared" si="2429"/>
        <v>0.40312465973760503</v>
      </c>
      <c r="BO535" s="1567">
        <f t="shared" si="2429"/>
        <v>0.36800027757368481</v>
      </c>
      <c r="BP535" s="1567">
        <f t="shared" si="2420"/>
        <v>0.34314413142158839</v>
      </c>
      <c r="BT535" s="1518"/>
      <c r="BU535" s="1518"/>
      <c r="BV535" s="1518"/>
      <c r="BW535" s="1518"/>
      <c r="BX535" s="1518"/>
      <c r="BY535" s="1518"/>
      <c r="BZ535" s="1518"/>
      <c r="CA535" s="1518"/>
      <c r="CB535" s="1518"/>
      <c r="CC535" s="1518"/>
    </row>
    <row r="536" spans="2:81" s="1535" customFormat="1" outlineLevel="1">
      <c r="B536" s="1569" t="str">
        <f t="shared" si="2421"/>
        <v>Total PBP Revenue</v>
      </c>
      <c r="D536" s="1570"/>
      <c r="E536" s="1570"/>
      <c r="F536" s="1570"/>
      <c r="G536" s="1570"/>
      <c r="H536" s="1570"/>
      <c r="I536" s="1570"/>
      <c r="J536" s="1570"/>
      <c r="K536" s="1570"/>
      <c r="L536" s="1570"/>
      <c r="M536" s="1570"/>
      <c r="N536" s="1570"/>
      <c r="O536" s="1570"/>
      <c r="P536" s="1570">
        <f t="shared" ref="P536:AL536" si="2430">+P528+L528</f>
        <v>0.46607642643777702</v>
      </c>
      <c r="Q536" s="1570">
        <f t="shared" si="2430"/>
        <v>0.37522310681057847</v>
      </c>
      <c r="R536" s="1570">
        <f t="shared" si="2430"/>
        <v>0.30578991195437633</v>
      </c>
      <c r="S536" s="1570">
        <f t="shared" si="2430"/>
        <v>0.2736602996749935</v>
      </c>
      <c r="T536" s="1570">
        <f t="shared" si="2430"/>
        <v>0.31974968959604677</v>
      </c>
      <c r="U536" s="1570">
        <f t="shared" si="2430"/>
        <v>0.29900457062348695</v>
      </c>
      <c r="V536" s="1570">
        <f t="shared" si="2430"/>
        <v>0.2837952463117408</v>
      </c>
      <c r="W536" s="1570">
        <f t="shared" si="2430"/>
        <v>0.20645372974591303</v>
      </c>
      <c r="X536" s="1570">
        <f t="shared" si="2430"/>
        <v>0.24578505443704812</v>
      </c>
      <c r="Y536" s="1570">
        <f t="shared" si="2430"/>
        <v>0.30001336206680018</v>
      </c>
      <c r="Z536" s="1570">
        <f t="shared" si="2430"/>
        <v>0.30060262834998919</v>
      </c>
      <c r="AA536" s="1570">
        <f t="shared" si="2430"/>
        <v>0.31390332309324043</v>
      </c>
      <c r="AB536" s="1570">
        <f t="shared" si="2430"/>
        <v>0.332921363984787</v>
      </c>
      <c r="AC536" s="1570">
        <f t="shared" si="2430"/>
        <v>0.32256194943508554</v>
      </c>
      <c r="AD536" s="1570">
        <f t="shared" si="2430"/>
        <v>0.31911710747119471</v>
      </c>
      <c r="AE536" s="1570">
        <f t="shared" si="2430"/>
        <v>0.38002859472410999</v>
      </c>
      <c r="AF536" s="1570">
        <f t="shared" si="2430"/>
        <v>0.3156172769426544</v>
      </c>
      <c r="AG536" s="1570">
        <f t="shared" si="2430"/>
        <v>0.26033224675832067</v>
      </c>
      <c r="AH536" s="1570">
        <f t="shared" si="2430"/>
        <v>0.27444783472390433</v>
      </c>
      <c r="AI536" s="1570">
        <f t="shared" si="2430"/>
        <v>0.23181097270437689</v>
      </c>
      <c r="AJ536" s="1570">
        <f t="shared" si="2430"/>
        <v>0.22400325001741095</v>
      </c>
      <c r="AK536" s="1570">
        <f t="shared" si="2430"/>
        <v>0.19905349252556626</v>
      </c>
      <c r="AL536" s="1570">
        <f t="shared" si="2430"/>
        <v>0.22664416363944051</v>
      </c>
      <c r="AM536" s="1570">
        <f t="shared" si="2417"/>
        <v>0.21263232691303191</v>
      </c>
      <c r="AN536" s="1570">
        <f t="shared" si="2418"/>
        <v>0.24043064688387106</v>
      </c>
      <c r="AO536" s="1570">
        <f t="shared" si="2418"/>
        <v>0.24359428428563112</v>
      </c>
      <c r="AP536" s="1570">
        <f t="shared" si="2418"/>
        <v>0.22903262750809539</v>
      </c>
      <c r="AQ536" s="1570">
        <f t="shared" si="2418"/>
        <v>0.22216448195278482</v>
      </c>
      <c r="AR536" s="1570"/>
      <c r="AS536" s="1570"/>
      <c r="AT536" s="1570"/>
      <c r="AU536" s="1570"/>
      <c r="AV536" s="1570"/>
      <c r="AW536" s="1570"/>
      <c r="AX536" s="1570"/>
      <c r="AY536" s="1570"/>
      <c r="AZ536" s="1570"/>
      <c r="BA536" s="1570"/>
      <c r="BB536" s="1570"/>
      <c r="BC536" s="1570"/>
      <c r="BD536" s="1570"/>
      <c r="BE536" s="1570"/>
      <c r="BF536" s="1570"/>
      <c r="BG536" s="1570"/>
      <c r="BH536" s="1570"/>
      <c r="BI536" s="1570"/>
      <c r="BJ536" s="1570">
        <f t="shared" ref="BJ536:BO536" si="2431">+BJ528+BI528</f>
        <v>0.34834001851323659</v>
      </c>
      <c r="BK536" s="1570">
        <f t="shared" si="2431"/>
        <v>0.27489644719691064</v>
      </c>
      <c r="BL536" s="1570">
        <f t="shared" si="2431"/>
        <v>0.28927076880889979</v>
      </c>
      <c r="BM536" s="1570">
        <f t="shared" si="2431"/>
        <v>0.33726864312191118</v>
      </c>
      <c r="BN536" s="1570">
        <f t="shared" si="2431"/>
        <v>0.26852797638603554</v>
      </c>
      <c r="BO536" s="1570">
        <f t="shared" si="2431"/>
        <v>0.21530775478114883</v>
      </c>
      <c r="BP536" s="1570">
        <f t="shared" si="2420"/>
        <v>0.23350157943371186</v>
      </c>
      <c r="BT536" s="1518"/>
      <c r="BU536" s="1518"/>
      <c r="BV536" s="1518"/>
      <c r="BW536" s="1518"/>
      <c r="BX536" s="1518"/>
      <c r="BY536" s="1518"/>
      <c r="BZ536" s="1518"/>
      <c r="CA536" s="1518"/>
      <c r="CB536" s="1518"/>
      <c r="CC536" s="1518"/>
    </row>
    <row r="537" spans="2:81" s="1535" customFormat="1" outlineLevel="1">
      <c r="B537" s="1569"/>
      <c r="D537" s="1570"/>
      <c r="E537" s="1570"/>
      <c r="F537" s="1570"/>
      <c r="G537" s="1570"/>
      <c r="H537" s="1570"/>
      <c r="I537" s="1570"/>
      <c r="J537" s="1570"/>
      <c r="K537" s="1570"/>
      <c r="L537" s="1570"/>
      <c r="M537" s="1570"/>
      <c r="N537" s="1570"/>
      <c r="O537" s="1570"/>
      <c r="P537" s="1570"/>
      <c r="Q537" s="1570"/>
      <c r="R537" s="1570"/>
      <c r="S537" s="1570"/>
      <c r="T537" s="1570"/>
      <c r="U537" s="1570"/>
      <c r="V537" s="1570"/>
      <c r="W537" s="1570"/>
      <c r="X537" s="1570"/>
      <c r="Y537" s="1570"/>
      <c r="Z537" s="1570"/>
      <c r="AA537" s="1570"/>
      <c r="AB537" s="1570"/>
      <c r="AC537" s="1570"/>
      <c r="AD537" s="1570"/>
      <c r="AE537" s="1570"/>
      <c r="AF537" s="1570"/>
      <c r="AG537" s="1570"/>
      <c r="AH537" s="1570"/>
      <c r="AI537" s="1570"/>
      <c r="AJ537" s="1570"/>
      <c r="AK537" s="1570"/>
      <c r="AL537" s="1570"/>
      <c r="AM537" s="1570"/>
      <c r="AN537" s="1570"/>
      <c r="AO537" s="1570"/>
      <c r="AP537" s="1570"/>
      <c r="AQ537" s="1570"/>
      <c r="AR537" s="1570"/>
      <c r="AS537" s="1570"/>
      <c r="AT537" s="1570"/>
      <c r="AU537" s="1570"/>
      <c r="AV537" s="1570"/>
      <c r="AW537" s="1570"/>
      <c r="AX537" s="1570"/>
      <c r="AY537" s="1570"/>
      <c r="AZ537" s="1570"/>
      <c r="BA537" s="1570"/>
      <c r="BB537" s="1570"/>
      <c r="BC537" s="1570"/>
      <c r="BD537" s="1570"/>
      <c r="BE537" s="1570"/>
      <c r="BF537" s="1570"/>
      <c r="BG537" s="1570"/>
      <c r="BH537" s="1570"/>
      <c r="BI537" s="1570"/>
      <c r="BJ537" s="1570"/>
      <c r="BK537" s="1570"/>
      <c r="BL537" s="1570"/>
      <c r="BM537" s="1570"/>
      <c r="BN537" s="1570"/>
      <c r="BO537" s="1570"/>
      <c r="BP537" s="1570"/>
      <c r="BT537" s="1518"/>
      <c r="BU537" s="1518"/>
      <c r="BV537" s="1518"/>
      <c r="BW537" s="1518"/>
      <c r="BX537" s="1518"/>
      <c r="BY537" s="1518"/>
      <c r="BZ537" s="1518"/>
      <c r="CA537" s="1518"/>
      <c r="CB537" s="1518"/>
      <c r="CC537" s="1518"/>
    </row>
    <row r="538" spans="2:81" s="1535" customFormat="1" outlineLevel="1">
      <c r="B538" s="1569"/>
      <c r="D538" s="1570"/>
      <c r="E538" s="1570"/>
      <c r="F538" s="1570"/>
      <c r="G538" s="1570"/>
      <c r="H538" s="1570"/>
      <c r="I538" s="1570"/>
      <c r="J538" s="1570"/>
      <c r="K538" s="1570"/>
      <c r="L538" s="1570"/>
      <c r="M538" s="1570"/>
      <c r="N538" s="1570"/>
      <c r="O538" s="1570"/>
      <c r="P538" s="1570"/>
      <c r="Q538" s="1570"/>
      <c r="R538" s="1570"/>
      <c r="S538" s="1570"/>
      <c r="T538" s="1570"/>
      <c r="U538" s="1570"/>
      <c r="V538" s="1570"/>
      <c r="W538" s="1570"/>
      <c r="X538" s="1570"/>
      <c r="Y538" s="1570"/>
      <c r="Z538" s="1570"/>
      <c r="AA538" s="1570"/>
      <c r="AB538" s="1570"/>
      <c r="AC538" s="1570"/>
      <c r="AD538" s="1570"/>
      <c r="AE538" s="1570"/>
      <c r="AF538" s="1570"/>
      <c r="AG538" s="1570"/>
      <c r="AH538" s="1570"/>
      <c r="AI538" s="1570"/>
      <c r="AJ538" s="1570"/>
      <c r="AK538" s="1570"/>
      <c r="AL538" s="1570"/>
      <c r="AM538" s="1570"/>
      <c r="AN538" s="1570"/>
      <c r="AO538" s="1570"/>
      <c r="AP538" s="1570"/>
      <c r="AQ538" s="1570"/>
      <c r="AR538" s="1570"/>
      <c r="AS538" s="1570"/>
      <c r="AT538" s="1570"/>
      <c r="AU538" s="1570"/>
      <c r="AV538" s="1570"/>
      <c r="AW538" s="1570"/>
      <c r="AX538" s="1570"/>
      <c r="AY538" s="1570"/>
      <c r="AZ538" s="1570"/>
      <c r="BA538" s="1570"/>
      <c r="BB538" s="1570"/>
      <c r="BC538" s="1570"/>
      <c r="BD538" s="1570"/>
      <c r="BE538" s="1570"/>
      <c r="BF538" s="1570"/>
      <c r="BG538" s="1570"/>
      <c r="BH538" s="1570"/>
      <c r="BI538" s="1570"/>
      <c r="BJ538" s="1570"/>
      <c r="BK538" s="1570"/>
      <c r="BL538" s="1570"/>
      <c r="BM538" s="1570"/>
      <c r="BN538" s="1570"/>
      <c r="BO538" s="1570"/>
      <c r="BP538" s="1570"/>
      <c r="BT538" s="1518"/>
      <c r="BU538" s="1518"/>
      <c r="BV538" s="1518"/>
      <c r="BW538" s="1518"/>
      <c r="BX538" s="1518"/>
      <c r="BY538" s="1518"/>
      <c r="BZ538" s="1518"/>
      <c r="CA538" s="1518"/>
      <c r="CB538" s="1518"/>
      <c r="CC538" s="1518"/>
    </row>
    <row r="539" spans="2:81" ht="10.5">
      <c r="B539" s="5" t="s">
        <v>423</v>
      </c>
      <c r="C539" s="4"/>
      <c r="BT539" s="1162"/>
      <c r="BU539" s="1162"/>
      <c r="BV539" s="1162"/>
      <c r="BW539" s="1162"/>
      <c r="BX539" s="1162"/>
      <c r="BY539" s="1162"/>
      <c r="BZ539" s="1162"/>
      <c r="CA539" s="1162"/>
      <c r="CB539" s="1162"/>
      <c r="CC539" s="1162"/>
    </row>
    <row r="540" spans="2:81">
      <c r="BT540" s="1162"/>
      <c r="BU540" s="1162"/>
      <c r="BV540" s="1162"/>
      <c r="BW540" s="1162"/>
      <c r="BX540" s="1162"/>
      <c r="BY540" s="1162"/>
      <c r="BZ540" s="1162"/>
      <c r="CA540" s="1162"/>
      <c r="CB540" s="1162"/>
      <c r="CC540" s="1162"/>
    </row>
    <row r="541" spans="2:81">
      <c r="B541" t="s">
        <v>86</v>
      </c>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f t="shared" ref="AF541:AN541" si="2432">+AF153</f>
        <v>16885</v>
      </c>
      <c r="AG541" s="8">
        <f t="shared" si="2432"/>
        <v>17926</v>
      </c>
      <c r="AH541" s="8">
        <f t="shared" si="2432"/>
        <v>18244</v>
      </c>
      <c r="AI541" s="8">
        <f t="shared" si="2432"/>
        <v>19889</v>
      </c>
      <c r="AJ541" s="8">
        <f t="shared" si="2432"/>
        <v>20013</v>
      </c>
      <c r="AK541" s="8">
        <f t="shared" si="2432"/>
        <v>21525</v>
      </c>
      <c r="AL541" s="8">
        <f t="shared" si="2432"/>
        <v>22141</v>
      </c>
      <c r="AM541" s="8">
        <f t="shared" si="2432"/>
        <v>23785</v>
      </c>
      <c r="AN541" s="8">
        <f t="shared" si="2432"/>
        <v>24092</v>
      </c>
      <c r="AO541" s="8">
        <f>+AO581</f>
        <v>25699.100154</v>
      </c>
      <c r="AP541" s="8">
        <f t="shared" ref="AP541:AQ541" si="2433">+AP581</f>
        <v>26809.402074197431</v>
      </c>
      <c r="AQ541" s="8">
        <f t="shared" si="2433"/>
        <v>29030.802804824049</v>
      </c>
      <c r="BB541" s="8"/>
      <c r="BC541" s="8"/>
      <c r="BD541" s="8"/>
      <c r="BE541" s="8"/>
      <c r="BG541" s="8"/>
      <c r="BH541" s="8"/>
      <c r="BI541" s="8"/>
      <c r="BJ541" s="8"/>
      <c r="BK541" s="8"/>
      <c r="BL541" s="8"/>
      <c r="BM541" s="8"/>
      <c r="BN541" s="8">
        <f>+SUM(AF541:AI541)</f>
        <v>72944</v>
      </c>
      <c r="BO541" s="8">
        <f>+SUM(AJ541:AM541)</f>
        <v>87464</v>
      </c>
      <c r="BP541" s="8">
        <f>+SUM(AN541:AQ541)</f>
        <v>105631.30503302149</v>
      </c>
      <c r="BT541" s="1261"/>
      <c r="BU541" s="1261"/>
      <c r="BV541" s="1261"/>
      <c r="BW541" s="1261"/>
      <c r="BX541" s="1261"/>
      <c r="BY541" s="1261"/>
      <c r="BZ541" s="1261"/>
      <c r="CA541" s="1261"/>
      <c r="CB541" s="1261"/>
      <c r="CC541" s="1261"/>
    </row>
    <row r="542" spans="2:81">
      <c r="B542" s="13" t="s">
        <v>113</v>
      </c>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f t="shared" ref="AJ542" si="2434">+AJ541/AF541-1</f>
        <v>0.18525318329878582</v>
      </c>
      <c r="AK542" s="14">
        <f t="shared" ref="AK542" si="2435">+AK541/AG541-1</f>
        <v>0.2007698315296218</v>
      </c>
      <c r="AL542" s="14">
        <f t="shared" ref="AL542" si="2436">+AL541/AH541-1</f>
        <v>0.21360447270335459</v>
      </c>
      <c r="AM542" s="14">
        <f t="shared" ref="AM542" si="2437">+AM541/AI541-1</f>
        <v>0.19588717381467147</v>
      </c>
      <c r="AN542" s="14">
        <f>+AN541/AJ541-1</f>
        <v>0.20381751861290165</v>
      </c>
      <c r="AO542" s="14">
        <f t="shared" ref="AO542:AQ542" si="2438">+AO541/AK541-1</f>
        <v>0.19391870634146335</v>
      </c>
      <c r="AP542" s="14">
        <f t="shared" si="2438"/>
        <v>0.21084874550370047</v>
      </c>
      <c r="AQ542" s="14">
        <f t="shared" si="2438"/>
        <v>0.22055088521438093</v>
      </c>
      <c r="BC542" s="14"/>
      <c r="BD542" s="14"/>
      <c r="BE542" s="14"/>
      <c r="BG542" s="829"/>
      <c r="BH542" s="14"/>
      <c r="BI542" s="14"/>
      <c r="BJ542" s="14"/>
      <c r="BK542" s="14"/>
      <c r="BL542" s="14"/>
      <c r="BM542" s="14"/>
      <c r="BN542" s="14"/>
      <c r="BO542" s="14">
        <f>+BO541/BN541-1</f>
        <v>0.19905681070410175</v>
      </c>
      <c r="BP542" s="14">
        <f>+BP541/BO541-1</f>
        <v>0.20771180180441662</v>
      </c>
      <c r="BT542" s="1262"/>
      <c r="BU542" s="1262"/>
      <c r="BV542" s="1262"/>
      <c r="BW542" s="1262"/>
      <c r="BX542" s="1262"/>
      <c r="BY542" s="1262"/>
      <c r="BZ542" s="1262"/>
      <c r="CA542" s="1262"/>
      <c r="CB542" s="1262"/>
      <c r="CC542" s="1262"/>
    </row>
    <row r="543" spans="2:81">
      <c r="B543" s="13" t="s">
        <v>272</v>
      </c>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3" t="s">
        <v>273</v>
      </c>
      <c r="AK543" s="23" t="s">
        <v>273</v>
      </c>
      <c r="AL543" s="23" t="s">
        <v>273</v>
      </c>
      <c r="AM543" s="23" t="s">
        <v>273</v>
      </c>
      <c r="AN543" s="22">
        <v>0.20799999999999999</v>
      </c>
      <c r="AO543" s="891">
        <f>+AO542+AO14-AO13</f>
        <v>0.19534845326332628</v>
      </c>
      <c r="AP543" s="891">
        <f t="shared" ref="AP543:AQ543" si="2439">+AP542+AP14-AP13</f>
        <v>0.22690517665031651</v>
      </c>
      <c r="AQ543" s="891">
        <f t="shared" si="2439"/>
        <v>0.23081822925019457</v>
      </c>
      <c r="BI543" s="23"/>
      <c r="BJ543" s="23"/>
      <c r="BK543" s="23"/>
      <c r="BL543" s="23"/>
      <c r="BM543" s="23"/>
      <c r="BN543" s="23"/>
      <c r="BO543" s="14" t="s">
        <v>273</v>
      </c>
      <c r="BP543" s="23">
        <f>+SUMPRODUCT(AN543:AQ543,AJ541:AM541)/SUM(AJ541:AM541)</f>
        <v>0.21587737303832016</v>
      </c>
      <c r="BT543" s="1270"/>
      <c r="BU543" s="1270"/>
      <c r="BV543" s="1270"/>
      <c r="BW543" s="1270"/>
      <c r="BX543" s="1270"/>
      <c r="BY543" s="1270"/>
      <c r="BZ543" s="1270"/>
      <c r="CA543" s="1270"/>
      <c r="CB543" s="1270"/>
      <c r="CC543" s="1270"/>
    </row>
    <row r="544" spans="2:81">
      <c r="BT544" s="1262"/>
      <c r="BU544" s="1262"/>
      <c r="BV544" s="1262"/>
      <c r="BW544" s="1262"/>
      <c r="BX544" s="1262"/>
      <c r="BY544" s="1262"/>
      <c r="BZ544" s="1262"/>
      <c r="CA544" s="1262"/>
      <c r="CB544" s="1262"/>
      <c r="CC544" s="1262"/>
    </row>
    <row r="545" spans="2:81" s="3" customFormat="1">
      <c r="B545" t="s">
        <v>373</v>
      </c>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f>+AN545/(1+AN546)</f>
        <v>12611.304347826088</v>
      </c>
      <c r="AK545" s="8"/>
      <c r="AL545" s="8"/>
      <c r="AM545" s="8"/>
      <c r="AN545" s="8">
        <f>+AN550+AN555</f>
        <v>14503</v>
      </c>
      <c r="AO545" s="8"/>
      <c r="AP545" s="8"/>
      <c r="AQ545" s="8"/>
      <c r="BD545" s="8"/>
      <c r="BG545" s="8"/>
      <c r="BH545" s="8"/>
      <c r="BI545" s="8"/>
      <c r="BJ545" s="8"/>
      <c r="BK545" s="8"/>
      <c r="BL545" s="8"/>
      <c r="BM545" s="8"/>
      <c r="BN545" s="8"/>
      <c r="BO545" s="8"/>
      <c r="BP545" s="8"/>
      <c r="BT545" s="1262"/>
      <c r="BU545" s="1262"/>
      <c r="BV545" s="1262"/>
      <c r="BW545" s="1262"/>
      <c r="BX545" s="1262"/>
      <c r="BY545" s="1262"/>
      <c r="BZ545" s="1262"/>
      <c r="CA545" s="1262"/>
      <c r="CB545" s="1262"/>
      <c r="CC545" s="1262"/>
    </row>
    <row r="546" spans="2:81" s="3" customFormat="1">
      <c r="B546" s="13" t="s">
        <v>113</v>
      </c>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3" t="s">
        <v>273</v>
      </c>
      <c r="AK546" s="22"/>
      <c r="AL546" s="22"/>
      <c r="AM546" s="22"/>
      <c r="AN546" s="22">
        <v>0.15</v>
      </c>
      <c r="AO546" s="22"/>
      <c r="AP546" s="22"/>
      <c r="AQ546" s="22"/>
      <c r="BG546" s="21"/>
      <c r="BH546" s="21"/>
      <c r="BI546" s="21"/>
      <c r="BJ546" s="21"/>
      <c r="BK546" s="21"/>
      <c r="BL546" s="21"/>
      <c r="BM546" s="21"/>
      <c r="BN546" s="21"/>
      <c r="BO546" s="21"/>
      <c r="BP546" s="21"/>
      <c r="BT546" s="1262"/>
      <c r="BU546" s="1262"/>
      <c r="BV546" s="1262"/>
      <c r="BW546" s="1262"/>
      <c r="BX546" s="1262"/>
      <c r="BY546" s="1262"/>
      <c r="BZ546" s="1262"/>
      <c r="CA546" s="1262"/>
      <c r="CB546" s="1262"/>
      <c r="CC546" s="1262"/>
    </row>
    <row r="547" spans="2:81" ht="10.5">
      <c r="B547" s="13" t="s">
        <v>272</v>
      </c>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3" t="s">
        <v>273</v>
      </c>
      <c r="AK547" s="22"/>
      <c r="AL547" s="22"/>
      <c r="AM547" s="22"/>
      <c r="AN547" s="22">
        <v>0.15</v>
      </c>
      <c r="AO547" s="22"/>
      <c r="AP547" s="22"/>
      <c r="AQ547" s="22"/>
      <c r="BH547" s="23"/>
      <c r="BI547" s="21"/>
      <c r="BJ547" s="21"/>
      <c r="BK547" s="21"/>
      <c r="BL547" s="21"/>
      <c r="BM547" s="21"/>
      <c r="BN547" s="21"/>
      <c r="BO547" s="21"/>
      <c r="BP547" s="21"/>
      <c r="BT547" s="1262"/>
      <c r="BU547" s="1264"/>
      <c r="BV547" s="1264"/>
      <c r="BW547" s="1264"/>
      <c r="BX547" s="1264"/>
      <c r="BY547" s="1264"/>
      <c r="BZ547" s="1264"/>
      <c r="CA547" s="1264"/>
      <c r="CB547" s="1264"/>
      <c r="CC547" s="1264"/>
    </row>
    <row r="548" spans="2:81">
      <c r="B548" s="13" t="s">
        <v>123</v>
      </c>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f>+AJ545/AJ541</f>
        <v>0.6301556162407479</v>
      </c>
      <c r="AK548" s="14"/>
      <c r="AL548" s="14"/>
      <c r="AM548" s="14"/>
      <c r="AN548" s="14">
        <f>+AN545/AN541</f>
        <v>0.60198406109912006</v>
      </c>
      <c r="AO548" s="14"/>
      <c r="AP548" s="14"/>
      <c r="AQ548" s="14"/>
      <c r="BB548" s="14"/>
      <c r="BC548" s="14"/>
      <c r="BD548" s="14"/>
      <c r="BE548" s="14"/>
      <c r="BG548" s="14"/>
      <c r="BH548" s="14"/>
      <c r="BI548" s="14"/>
      <c r="BJ548" s="14"/>
      <c r="BK548" s="14"/>
      <c r="BL548" s="14"/>
      <c r="BM548" s="14"/>
      <c r="BN548" s="14"/>
      <c r="BO548" s="14"/>
      <c r="BP548" s="14"/>
      <c r="BT548" s="1262"/>
      <c r="BU548" s="1262"/>
      <c r="BV548" s="1262"/>
      <c r="BW548" s="1262"/>
      <c r="BX548" s="1262"/>
      <c r="BY548" s="1262"/>
      <c r="BZ548" s="1262"/>
      <c r="CA548" s="1262"/>
      <c r="CB548" s="1262"/>
      <c r="CC548" s="1262"/>
    </row>
    <row r="549" spans="2:81">
      <c r="B549" s="13"/>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K549" s="22"/>
      <c r="AL549" s="22"/>
      <c r="AM549" s="22"/>
      <c r="AN549" s="22"/>
      <c r="AO549" s="22"/>
      <c r="AP549" s="22"/>
      <c r="AQ549" s="22"/>
      <c r="BI549" s="21"/>
      <c r="BJ549" s="21"/>
      <c r="BK549" s="21"/>
      <c r="BL549" s="21"/>
      <c r="BM549" s="21"/>
      <c r="BN549" s="21"/>
      <c r="BO549" s="21"/>
      <c r="BP549" s="21"/>
      <c r="BT549" s="1261"/>
      <c r="BU549" s="1261"/>
      <c r="BV549" s="1261"/>
      <c r="BW549" s="1261"/>
      <c r="BX549" s="1261"/>
      <c r="BY549" s="1261"/>
      <c r="BZ549" s="1261"/>
      <c r="CA549" s="1261"/>
      <c r="CB549" s="1261"/>
      <c r="CC549" s="1261"/>
    </row>
    <row r="550" spans="2:81">
      <c r="B550" t="s">
        <v>374</v>
      </c>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f>+AJ545-AJ555</f>
        <v>3703.3043478260879</v>
      </c>
      <c r="AK550" s="8"/>
      <c r="AL550" s="8"/>
      <c r="AM550" s="8"/>
      <c r="AN550" s="61">
        <v>4000</v>
      </c>
      <c r="AO550" s="8"/>
      <c r="AP550" s="8"/>
      <c r="AQ550" s="8"/>
      <c r="BB550" s="8"/>
      <c r="BC550" s="8"/>
      <c r="BD550" s="8"/>
      <c r="BE550" s="8"/>
      <c r="BG550" s="8"/>
      <c r="BH550" s="8"/>
      <c r="BI550" s="8"/>
      <c r="BJ550" s="8"/>
      <c r="BK550" s="8"/>
      <c r="BL550" s="8"/>
      <c r="BM550" s="8"/>
      <c r="BN550" s="8"/>
      <c r="BO550" s="8"/>
      <c r="BP550" s="8"/>
      <c r="BT550" s="1262"/>
      <c r="BU550" s="1262"/>
      <c r="BV550" s="1262"/>
      <c r="BW550" s="1262"/>
      <c r="BX550" s="1262"/>
      <c r="BY550" s="1262"/>
      <c r="BZ550" s="1262"/>
      <c r="CA550" s="1262"/>
      <c r="CB550" s="1262"/>
      <c r="CC550" s="1262"/>
    </row>
    <row r="551" spans="2:81">
      <c r="B551" s="13" t="s">
        <v>113</v>
      </c>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23" t="s">
        <v>273</v>
      </c>
      <c r="AK551" s="14"/>
      <c r="AL551" s="14"/>
      <c r="AM551" s="14"/>
      <c r="AN551" s="23">
        <f>+AN550/AJ550-1</f>
        <v>8.011646473184908E-2</v>
      </c>
      <c r="AO551" s="14"/>
      <c r="AP551" s="14"/>
      <c r="AQ551" s="14"/>
      <c r="BC551" s="14"/>
      <c r="BD551" s="14"/>
      <c r="BE551" s="14"/>
      <c r="BG551" s="14"/>
      <c r="BH551" s="14"/>
      <c r="BI551" s="14"/>
      <c r="BJ551" s="14"/>
      <c r="BK551" s="14"/>
      <c r="BL551" s="14"/>
      <c r="BM551" s="14"/>
      <c r="BN551" s="14"/>
      <c r="BO551" s="14"/>
      <c r="BP551" s="14"/>
      <c r="BT551" s="1261"/>
      <c r="BU551" s="1261"/>
      <c r="BV551" s="1261"/>
      <c r="BW551" s="1261"/>
      <c r="BX551" s="1261"/>
      <c r="BY551" s="1261"/>
      <c r="BZ551" s="1261"/>
      <c r="CA551" s="1261"/>
      <c r="CB551" s="1261"/>
      <c r="CC551" s="1261"/>
    </row>
    <row r="552" spans="2:81">
      <c r="B552" s="13" t="s">
        <v>272</v>
      </c>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23" t="s">
        <v>273</v>
      </c>
      <c r="AK552" s="14"/>
      <c r="AL552" s="14"/>
      <c r="AM552" s="14"/>
      <c r="AN552" s="22">
        <v>0.08</v>
      </c>
      <c r="AO552" s="14"/>
      <c r="AP552" s="14"/>
      <c r="AQ552" s="14"/>
      <c r="BC552" s="14"/>
      <c r="BD552" s="14"/>
      <c r="BE552" s="14"/>
      <c r="BG552" s="14"/>
      <c r="BH552" s="23"/>
      <c r="BI552" s="23"/>
      <c r="BJ552" s="23"/>
      <c r="BK552" s="23"/>
      <c r="BL552" s="23"/>
      <c r="BM552" s="23"/>
      <c r="BN552" s="23"/>
      <c r="BO552" s="23"/>
      <c r="BP552" s="14"/>
      <c r="BT552" s="1265"/>
      <c r="BU552" s="1265"/>
      <c r="BV552" s="1265"/>
      <c r="BW552" s="1265"/>
      <c r="BX552" s="1265"/>
      <c r="BY552" s="1265"/>
      <c r="BZ552" s="1265"/>
      <c r="CA552" s="1265"/>
      <c r="CB552" s="1265"/>
      <c r="CC552" s="1265"/>
    </row>
    <row r="553" spans="2:81" ht="11.45">
      <c r="B553" s="13" t="s">
        <v>123</v>
      </c>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f>+AJ550/AJ541</f>
        <v>0.18504493818148643</v>
      </c>
      <c r="AK553" s="14"/>
      <c r="AL553" s="14"/>
      <c r="AM553" s="14"/>
      <c r="AN553" s="14">
        <f>+AN550/AN541</f>
        <v>0.16603021749958494</v>
      </c>
      <c r="AO553" s="14"/>
      <c r="AP553" s="14"/>
      <c r="AQ553" s="14"/>
      <c r="BB553" s="14"/>
      <c r="BC553" s="14"/>
      <c r="BD553" s="14"/>
      <c r="BE553" s="14"/>
      <c r="BG553" s="14"/>
      <c r="BH553" s="14"/>
      <c r="BI553" s="14"/>
      <c r="BJ553" s="14"/>
      <c r="BK553" s="14"/>
      <c r="BL553" s="14"/>
      <c r="BM553" s="14"/>
      <c r="BN553" s="14"/>
      <c r="BO553" s="14"/>
      <c r="BP553" s="14"/>
      <c r="BT553" s="1271"/>
      <c r="BU553" s="1271"/>
      <c r="BV553" s="1271"/>
      <c r="BW553" s="1271"/>
      <c r="BX553" s="1271"/>
      <c r="BY553" s="1271"/>
      <c r="BZ553" s="1271"/>
      <c r="CA553" s="1271"/>
      <c r="CB553" s="1271"/>
      <c r="CC553" s="1271"/>
    </row>
    <row r="554" spans="2:81">
      <c r="B554" s="921"/>
      <c r="BT554" s="1265"/>
      <c r="BU554" s="1265"/>
      <c r="BV554" s="1265"/>
      <c r="BW554" s="1265"/>
      <c r="BX554" s="1265"/>
      <c r="BY554" s="1265"/>
      <c r="BZ554" s="1265"/>
      <c r="CA554" s="1265"/>
      <c r="CB554" s="1265"/>
      <c r="CC554" s="1265"/>
    </row>
    <row r="555" spans="2:81">
      <c r="B555" t="s">
        <v>352</v>
      </c>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f t="shared" ref="AF555:AN555" si="2440">+AF185</f>
        <v>6750</v>
      </c>
      <c r="AG555" s="859" t="str">
        <f t="shared" si="2440"/>
        <v>NA</v>
      </c>
      <c r="AH555" s="8">
        <f t="shared" si="2440"/>
        <v>7017</v>
      </c>
      <c r="AI555" s="8">
        <f t="shared" si="2440"/>
        <v>7917</v>
      </c>
      <c r="AJ555" s="8">
        <f t="shared" si="2440"/>
        <v>8908</v>
      </c>
      <c r="AK555" s="8">
        <f t="shared" si="2440"/>
        <v>9555</v>
      </c>
      <c r="AL555" s="8">
        <f t="shared" si="2440"/>
        <v>9515</v>
      </c>
      <c r="AM555" s="8">
        <f t="shared" si="2440"/>
        <v>9835</v>
      </c>
      <c r="AN555" s="8">
        <f t="shared" si="2440"/>
        <v>10503</v>
      </c>
      <c r="AO555" s="8">
        <f>+AO185</f>
        <v>11050.613066219999</v>
      </c>
      <c r="AP555" s="8">
        <f t="shared" ref="AP555:AQ555" si="2441">+AP185</f>
        <v>11393.995881533909</v>
      </c>
      <c r="AQ555" s="8">
        <f t="shared" si="2441"/>
        <v>11902.62914997786</v>
      </c>
      <c r="BB555" s="8"/>
      <c r="BC555" s="8"/>
      <c r="BD555" s="8"/>
      <c r="BE555" s="8"/>
      <c r="BG555" s="61"/>
      <c r="BH555" s="8"/>
      <c r="BI555" s="8"/>
      <c r="BJ555" s="8"/>
      <c r="BK555" s="8"/>
      <c r="BL555" s="8"/>
      <c r="BM555" s="8"/>
      <c r="BN555" s="859" t="str">
        <f>+BN185</f>
        <v>NA</v>
      </c>
      <c r="BO555" s="8">
        <f>+SUM(AJ555:AM555)</f>
        <v>37813</v>
      </c>
      <c r="BP555" s="8">
        <f>+SUM(AN555:AQ555)</f>
        <v>44850.238097731766</v>
      </c>
      <c r="BT555" s="1265"/>
      <c r="BU555" s="1265"/>
      <c r="BV555" s="1265"/>
      <c r="BW555" s="1265"/>
      <c r="BX555" s="1265"/>
      <c r="BY555" s="1265"/>
      <c r="BZ555" s="1265"/>
      <c r="CA555" s="1265"/>
      <c r="CB555" s="1265"/>
      <c r="CC555" s="1265"/>
    </row>
    <row r="556" spans="2:81">
      <c r="B556" s="13" t="s">
        <v>113</v>
      </c>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f t="shared" ref="AJ556" si="2442">+AJ555/AF555-1</f>
        <v>0.3197037037037036</v>
      </c>
      <c r="AK556" s="23" t="s">
        <v>273</v>
      </c>
      <c r="AL556" s="14">
        <f t="shared" ref="AL556" si="2443">+AL555/AH555-1</f>
        <v>0.35599258942568057</v>
      </c>
      <c r="AM556" s="14">
        <f t="shared" ref="AM556" si="2444">+AM555/AI555-1</f>
        <v>0.24226348364279393</v>
      </c>
      <c r="AN556" s="14">
        <f>+AN555/AJ555-1</f>
        <v>0.1790525370453524</v>
      </c>
      <c r="AO556" s="14">
        <f t="shared" ref="AO556:AQ556" si="2445">+AO555/AK555-1</f>
        <v>0.15652674685714274</v>
      </c>
      <c r="AP556" s="14">
        <f t="shared" si="2445"/>
        <v>0.19747723400251282</v>
      </c>
      <c r="AQ556" s="14">
        <f t="shared" si="2445"/>
        <v>0.21023173868610678</v>
      </c>
      <c r="BC556" s="14"/>
      <c r="BD556" s="14"/>
      <c r="BE556" s="14"/>
      <c r="BG556" s="829"/>
      <c r="BH556" s="829"/>
      <c r="BI556" s="14"/>
      <c r="BJ556" s="14"/>
      <c r="BK556" s="14"/>
      <c r="BL556" s="14"/>
      <c r="BM556" s="14"/>
      <c r="BN556" s="14"/>
      <c r="BO556" s="14" t="s">
        <v>273</v>
      </c>
      <c r="BP556" s="14">
        <f>+BP555/BO555-1</f>
        <v>0.18610631522840726</v>
      </c>
      <c r="BT556" s="1266"/>
      <c r="BU556" s="1266"/>
      <c r="BV556" s="1266"/>
      <c r="BW556" s="1266"/>
      <c r="BX556" s="1266"/>
      <c r="BY556" s="1266"/>
      <c r="BZ556" s="1266"/>
      <c r="CA556" s="1266"/>
      <c r="CB556" s="1266"/>
      <c r="CC556" s="1266"/>
    </row>
    <row r="557" spans="2:81">
      <c r="B557" s="13" t="s">
        <v>272</v>
      </c>
      <c r="L557" s="22"/>
      <c r="M557" s="22"/>
      <c r="N557" s="22"/>
      <c r="O557" s="22"/>
      <c r="P557" s="22"/>
      <c r="Q557" s="22"/>
      <c r="R557" s="22"/>
      <c r="S557" s="22"/>
      <c r="T557" s="22"/>
      <c r="U557" s="22"/>
      <c r="V557" s="22"/>
      <c r="W557" s="22"/>
      <c r="X557" s="22"/>
      <c r="Y557" s="22"/>
      <c r="Z557" s="22"/>
      <c r="AA557" s="22"/>
      <c r="AB557" s="22"/>
      <c r="AC557" s="22"/>
      <c r="AD557" s="22"/>
      <c r="AE557" s="22"/>
      <c r="AF557" s="22"/>
      <c r="AG557" s="93"/>
      <c r="AH557" s="22"/>
      <c r="AI557" s="22"/>
      <c r="AJ557" s="23" t="s">
        <v>273</v>
      </c>
      <c r="AK557" s="23" t="s">
        <v>273</v>
      </c>
      <c r="AL557" s="23" t="s">
        <v>273</v>
      </c>
      <c r="AM557" s="23" t="s">
        <v>273</v>
      </c>
      <c r="AN557" s="1330">
        <v>0.18</v>
      </c>
      <c r="AO557" s="891">
        <f>+AO556+AO14-AO13</f>
        <v>0.15795649377900567</v>
      </c>
      <c r="AP557" s="891">
        <f t="shared" ref="AP557:AQ557" si="2446">+AP556+AP14-AP13</f>
        <v>0.21353366514912886</v>
      </c>
      <c r="AQ557" s="891">
        <f t="shared" si="2446"/>
        <v>0.22049908272192043</v>
      </c>
      <c r="BC557" s="23"/>
      <c r="BG557" s="23"/>
      <c r="BH557" s="23"/>
      <c r="BI557" s="23"/>
      <c r="BJ557" s="23"/>
      <c r="BK557" s="23"/>
      <c r="BL557" s="23"/>
      <c r="BM557" s="23"/>
      <c r="BN557" s="93"/>
      <c r="BO557" s="14" t="s">
        <v>273</v>
      </c>
      <c r="BP557" s="23">
        <f>+SUMPRODUCT(AN557:AQ557,AJ555:AM555)/SUM(AJ555:AM555)</f>
        <v>0.19340162379399803</v>
      </c>
      <c r="BT557" s="1267"/>
      <c r="BU557" s="1267"/>
      <c r="BV557" s="1267"/>
      <c r="BW557" s="1267"/>
      <c r="BX557" s="1267"/>
      <c r="BY557" s="1267"/>
      <c r="BZ557" s="1267"/>
      <c r="CA557" s="1267"/>
      <c r="CB557" s="1267"/>
      <c r="CC557" s="1267"/>
    </row>
    <row r="558" spans="2:81">
      <c r="B558" s="13" t="s">
        <v>123</v>
      </c>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f t="shared" ref="AF558:AM558" si="2447">+AF555/AF541</f>
        <v>0.39976310334616522</v>
      </c>
      <c r="AG558" s="23" t="s">
        <v>273</v>
      </c>
      <c r="AH558" s="14">
        <f t="shared" si="2447"/>
        <v>0.38461960096470071</v>
      </c>
      <c r="AI558" s="14">
        <f t="shared" si="2447"/>
        <v>0.39805922871939264</v>
      </c>
      <c r="AJ558" s="14">
        <f t="shared" si="2447"/>
        <v>0.44511067805926147</v>
      </c>
      <c r="AK558" s="14">
        <f t="shared" si="2447"/>
        <v>0.44390243902439025</v>
      </c>
      <c r="AL558" s="14">
        <f t="shared" si="2447"/>
        <v>0.42974572060882527</v>
      </c>
      <c r="AM558" s="14">
        <f t="shared" si="2447"/>
        <v>0.41349590077780113</v>
      </c>
      <c r="AN558" s="14">
        <f>+AN555/AN541</f>
        <v>0.4359538435995351</v>
      </c>
      <c r="AO558" s="14">
        <f t="shared" ref="AO558:AQ558" si="2448">+AO555/AO541</f>
        <v>0.43</v>
      </c>
      <c r="AP558" s="14">
        <f t="shared" si="2448"/>
        <v>0.42500000000000004</v>
      </c>
      <c r="AQ558" s="14">
        <f t="shared" si="2448"/>
        <v>0.41</v>
      </c>
      <c r="BB558" s="14"/>
      <c r="BC558" s="14"/>
      <c r="BD558" s="14"/>
      <c r="BE558" s="14"/>
      <c r="BG558" s="829"/>
      <c r="BH558" s="14"/>
      <c r="BI558" s="14"/>
      <c r="BJ558" s="14"/>
      <c r="BK558" s="14"/>
      <c r="BL558" s="14"/>
      <c r="BM558" s="14"/>
      <c r="BN558" s="23" t="s">
        <v>273</v>
      </c>
      <c r="BO558" s="14">
        <f>+BO555/BO541</f>
        <v>0.43232644287935607</v>
      </c>
      <c r="BP558" s="14">
        <f>+BP555/BP541</f>
        <v>0.42459229376851015</v>
      </c>
      <c r="BT558" s="1261"/>
      <c r="BU558" s="1261"/>
      <c r="BV558" s="1261"/>
      <c r="BW558" s="1261"/>
      <c r="BX558" s="1261"/>
      <c r="BY558" s="1261"/>
      <c r="BZ558" s="1261"/>
      <c r="CA558" s="1261"/>
      <c r="CB558" s="1261"/>
      <c r="CC558" s="1261"/>
    </row>
    <row r="559" spans="2:81">
      <c r="BT559" s="1161"/>
      <c r="BU559" s="1161"/>
      <c r="BV559" s="1161"/>
      <c r="BW559" s="1161"/>
      <c r="BX559" s="1161"/>
      <c r="BY559" s="1161"/>
      <c r="BZ559" s="1161"/>
      <c r="CA559" s="1161"/>
      <c r="CB559" s="1161"/>
      <c r="CC559" s="1161"/>
    </row>
    <row r="560" spans="2:81" ht="10.5">
      <c r="B560" s="45" t="s">
        <v>375</v>
      </c>
      <c r="BT560" s="1161"/>
      <c r="BU560" s="1161"/>
      <c r="BV560" s="1161"/>
      <c r="BW560" s="1161"/>
      <c r="BX560" s="1161"/>
      <c r="BY560" s="1161"/>
      <c r="BZ560" s="1161"/>
      <c r="CA560" s="1161"/>
      <c r="CB560" s="1161"/>
      <c r="CC560" s="1161"/>
    </row>
    <row r="561" spans="2:81" ht="10.5">
      <c r="B561" s="45"/>
      <c r="BT561" s="1161"/>
      <c r="BU561" s="1161"/>
      <c r="BV561" s="1161"/>
      <c r="BW561" s="1161"/>
      <c r="BX561" s="1161"/>
      <c r="BY561" s="1161"/>
      <c r="BZ561" s="1161"/>
      <c r="CA561" s="1161"/>
      <c r="CB561" s="1161"/>
      <c r="CC561" s="1161"/>
    </row>
    <row r="562" spans="2:81">
      <c r="B562" s="852" t="s">
        <v>376</v>
      </c>
      <c r="BT562" s="1161"/>
      <c r="BU562" s="1161"/>
      <c r="BV562" s="1161"/>
      <c r="BW562" s="1161"/>
      <c r="BX562" s="1161"/>
      <c r="BY562" s="1161"/>
      <c r="BZ562" s="1161"/>
      <c r="CA562" s="1161"/>
      <c r="CB562" s="1161"/>
      <c r="CC562" s="1161"/>
    </row>
    <row r="563" spans="2:81">
      <c r="B563" s="843" t="s">
        <v>424</v>
      </c>
      <c r="D563" s="911"/>
      <c r="E563" s="911"/>
      <c r="F563" s="911"/>
      <c r="G563" s="911"/>
      <c r="H563" s="911"/>
      <c r="I563" s="911"/>
      <c r="J563" s="911"/>
      <c r="K563" s="911"/>
      <c r="L563" s="911"/>
      <c r="M563" s="911"/>
      <c r="N563" s="911"/>
      <c r="O563" s="911"/>
      <c r="P563" s="911"/>
      <c r="Q563" s="911"/>
      <c r="R563" s="911"/>
      <c r="S563" s="911"/>
      <c r="T563" s="911"/>
      <c r="U563" s="911"/>
      <c r="V563" s="911"/>
      <c r="W563" s="911"/>
      <c r="X563" s="911"/>
      <c r="Y563" s="911"/>
      <c r="Z563" s="911"/>
      <c r="AA563" s="911"/>
      <c r="AB563" s="911"/>
      <c r="AC563" s="911"/>
      <c r="AD563" s="911"/>
      <c r="AE563" s="911"/>
      <c r="AF563" s="911"/>
      <c r="AG563" s="911"/>
      <c r="AH563" s="911"/>
      <c r="AI563" s="911"/>
      <c r="AJ563" s="911">
        <v>0.31</v>
      </c>
      <c r="AK563" s="911">
        <v>0.33</v>
      </c>
      <c r="AL563" s="911">
        <v>0.35</v>
      </c>
      <c r="AM563" s="911">
        <v>0.34</v>
      </c>
      <c r="AN563" s="911">
        <v>0.33</v>
      </c>
      <c r="AO563" s="911"/>
      <c r="AP563" s="911"/>
      <c r="AQ563" s="911"/>
      <c r="BG563" s="912"/>
      <c r="BH563" s="912"/>
      <c r="BI563" s="912"/>
      <c r="BJ563" s="912"/>
      <c r="BK563" s="912"/>
      <c r="BL563" s="912"/>
      <c r="BM563" s="912"/>
      <c r="BN563" s="912"/>
      <c r="BO563" s="912">
        <f t="shared" ref="BO563:BO567" si="2449">+AVERAGE(AJ563:AM563)</f>
        <v>0.33250000000000002</v>
      </c>
      <c r="BP563" s="912"/>
      <c r="BT563" s="1272"/>
      <c r="BU563" s="1272"/>
      <c r="BV563" s="1272"/>
      <c r="BW563" s="1272"/>
      <c r="BX563" s="1272"/>
      <c r="BY563" s="1272"/>
      <c r="BZ563" s="1272"/>
      <c r="CA563" s="1272"/>
      <c r="CB563" s="1272"/>
      <c r="CC563" s="1272"/>
    </row>
    <row r="564" spans="2:81" s="3" customFormat="1">
      <c r="B564" s="13" t="s">
        <v>425</v>
      </c>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v>4.4999999999999998E-2</v>
      </c>
      <c r="AK564" s="22">
        <v>0.09</v>
      </c>
      <c r="AL564" s="22">
        <v>0.1</v>
      </c>
      <c r="AM564" s="22">
        <v>0.11</v>
      </c>
      <c r="AN564" s="22">
        <v>0.12</v>
      </c>
      <c r="AO564" s="22"/>
      <c r="AP564" s="22"/>
      <c r="AQ564" s="22"/>
      <c r="BG564" s="21"/>
      <c r="BH564" s="21"/>
      <c r="BI564" s="21"/>
      <c r="BJ564" s="21"/>
      <c r="BK564" s="21"/>
      <c r="BL564" s="21"/>
      <c r="BM564" s="21"/>
      <c r="BN564" s="21"/>
      <c r="BO564" s="21">
        <f t="shared" si="2449"/>
        <v>8.6250000000000007E-2</v>
      </c>
      <c r="BP564" s="21"/>
      <c r="BT564" s="1262"/>
      <c r="BU564" s="1262"/>
      <c r="BV564" s="1262"/>
      <c r="BW564" s="1262"/>
      <c r="BX564" s="1262"/>
      <c r="BY564" s="1262"/>
      <c r="BZ564" s="1262"/>
      <c r="CA564" s="1262"/>
      <c r="CB564" s="1262"/>
      <c r="CC564" s="1262"/>
    </row>
    <row r="565" spans="2:81">
      <c r="B565" s="843" t="s">
        <v>426</v>
      </c>
      <c r="D565" s="911"/>
      <c r="E565" s="911"/>
      <c r="F565" s="911"/>
      <c r="G565" s="911">
        <v>0</v>
      </c>
      <c r="H565" s="911">
        <v>0.03</v>
      </c>
      <c r="I565" s="911">
        <v>0.05</v>
      </c>
      <c r="J565" s="911">
        <v>0.1</v>
      </c>
      <c r="K565" s="911">
        <v>0.02</v>
      </c>
      <c r="L565" s="911">
        <v>0.02</v>
      </c>
      <c r="M565" s="911">
        <v>0.04</v>
      </c>
      <c r="N565" s="911">
        <v>0.03</v>
      </c>
      <c r="O565" s="911">
        <v>0.08</v>
      </c>
      <c r="P565" s="911">
        <v>0.1</v>
      </c>
      <c r="Q565" s="911">
        <v>0.03</v>
      </c>
      <c r="R565" s="911">
        <v>7.0000000000000007E-2</v>
      </c>
      <c r="S565" s="911">
        <v>0.05</v>
      </c>
      <c r="T565" s="911">
        <v>0.12</v>
      </c>
      <c r="U565" s="911">
        <v>0.1</v>
      </c>
      <c r="V565" s="911">
        <v>0.11</v>
      </c>
      <c r="W565" s="911">
        <v>0</v>
      </c>
      <c r="X565" s="911">
        <v>-0.01</v>
      </c>
      <c r="Y565" s="911">
        <v>0.04</v>
      </c>
      <c r="Z565" s="911">
        <v>0.03</v>
      </c>
      <c r="AA565" s="911">
        <v>0.16</v>
      </c>
      <c r="AB565" s="911">
        <v>0.14000000000000001</v>
      </c>
      <c r="AC565" s="911">
        <v>0.06</v>
      </c>
      <c r="AD565" s="911">
        <v>0.05</v>
      </c>
      <c r="AE565" s="911">
        <v>-0.03</v>
      </c>
      <c r="AF565" s="911">
        <v>0</v>
      </c>
      <c r="AG565" s="911">
        <v>-0.02</v>
      </c>
      <c r="AH565" s="911">
        <v>-0.02</v>
      </c>
      <c r="AI565" s="911">
        <v>-0.01</v>
      </c>
      <c r="AJ565" s="911">
        <v>0.02</v>
      </c>
      <c r="AK565" s="911">
        <v>0.03</v>
      </c>
      <c r="AL565" s="911">
        <v>0.06</v>
      </c>
      <c r="AM565" s="911">
        <v>0.02</v>
      </c>
      <c r="AN565" s="911">
        <v>-0.01</v>
      </c>
      <c r="AO565" s="911"/>
      <c r="AP565" s="911"/>
      <c r="AQ565" s="911"/>
      <c r="BG565" s="912"/>
      <c r="BH565" s="912">
        <f>+AVERAGE(H565:K565)</f>
        <v>4.9999999999999996E-2</v>
      </c>
      <c r="BI565" s="912">
        <f>+AVERAGE(L565:O565)</f>
        <v>4.2499999999999996E-2</v>
      </c>
      <c r="BJ565" s="912">
        <f>+AVERAGE(P565:S565)</f>
        <v>6.25E-2</v>
      </c>
      <c r="BK565" s="912">
        <f>+AVERAGE(T565:W565)</f>
        <v>8.2500000000000004E-2</v>
      </c>
      <c r="BL565" s="912">
        <f>+AVERAGE(X565:AA565)</f>
        <v>5.5E-2</v>
      </c>
      <c r="BM565" s="912">
        <f>+AVERAGE(AB565:AE565)</f>
        <v>5.5E-2</v>
      </c>
      <c r="BN565" s="912">
        <f t="shared" ref="BN565:BN567" si="2450">+AVERAGE(AF565:AI565)</f>
        <v>-1.2500000000000001E-2</v>
      </c>
      <c r="BO565" s="912">
        <f t="shared" si="2449"/>
        <v>3.2500000000000001E-2</v>
      </c>
      <c r="BP565" s="912"/>
      <c r="BT565" s="100"/>
      <c r="BU565" s="100"/>
      <c r="BV565" s="100"/>
      <c r="BW565" s="100"/>
      <c r="BX565" s="100"/>
      <c r="BY565" s="100"/>
      <c r="BZ565" s="100"/>
      <c r="CA565" s="100"/>
      <c r="CB565" s="100"/>
      <c r="CC565" s="100"/>
    </row>
    <row r="566" spans="2:81">
      <c r="B566" t="s">
        <v>427</v>
      </c>
      <c r="D566" s="911">
        <v>0.06</v>
      </c>
      <c r="E566" s="911">
        <v>0.03</v>
      </c>
      <c r="F566" s="911">
        <v>0</v>
      </c>
      <c r="G566" s="911">
        <v>0.05</v>
      </c>
      <c r="H566" s="911">
        <v>0.13</v>
      </c>
      <c r="I566" s="911">
        <v>0.12</v>
      </c>
      <c r="J566" s="911">
        <v>0.18</v>
      </c>
      <c r="K566" s="911">
        <v>0.12</v>
      </c>
      <c r="L566" s="911">
        <v>0.17</v>
      </c>
      <c r="M566" s="911">
        <v>0.18</v>
      </c>
      <c r="N566" s="911">
        <v>0.2</v>
      </c>
      <c r="O566" s="911">
        <v>0.26</v>
      </c>
      <c r="P566" s="911">
        <v>0.28000000000000003</v>
      </c>
      <c r="Q566" s="911">
        <v>0.24</v>
      </c>
      <c r="R566" s="911">
        <v>0.27</v>
      </c>
      <c r="S566" s="911">
        <v>0.22</v>
      </c>
      <c r="T566" s="911">
        <v>0.3</v>
      </c>
      <c r="U566" s="911">
        <v>0.3</v>
      </c>
      <c r="V566" s="911">
        <v>0.3</v>
      </c>
      <c r="W566" s="911">
        <v>0.19</v>
      </c>
      <c r="X566" s="911">
        <v>0.22</v>
      </c>
      <c r="Y566" s="911">
        <v>0.26</v>
      </c>
      <c r="Z566" s="911">
        <v>0.26</v>
      </c>
      <c r="AA566" s="911">
        <v>0.34</v>
      </c>
      <c r="AB566" s="911">
        <v>0.35</v>
      </c>
      <c r="AC566" s="911">
        <v>0.28999999999999998</v>
      </c>
      <c r="AD566" s="911">
        <v>0.28999999999999998</v>
      </c>
      <c r="AE566" s="911">
        <v>0.22</v>
      </c>
      <c r="AF566" s="911">
        <v>0.22</v>
      </c>
      <c r="AG566" s="911">
        <v>0.2</v>
      </c>
      <c r="AH566" s="911">
        <v>0.17</v>
      </c>
      <c r="AI566" s="911">
        <v>0.17</v>
      </c>
      <c r="AJ566" s="911">
        <v>0.21</v>
      </c>
      <c r="AK566" s="911">
        <v>0.224</v>
      </c>
      <c r="AL566" s="911">
        <v>0.24</v>
      </c>
      <c r="AM566" s="911">
        <v>0.21</v>
      </c>
      <c r="AN566" s="911">
        <v>0.23</v>
      </c>
      <c r="AO566" s="911"/>
      <c r="AP566" s="911"/>
      <c r="AQ566" s="911"/>
      <c r="BG566" s="912"/>
      <c r="BH566" s="912">
        <f>+AVERAGE(H566:K566)</f>
        <v>0.13750000000000001</v>
      </c>
      <c r="BI566" s="912">
        <f>+AVERAGE(L566:O566)</f>
        <v>0.20250000000000001</v>
      </c>
      <c r="BJ566" s="912">
        <f>+AVERAGE(P566:S566)</f>
        <v>0.2525</v>
      </c>
      <c r="BK566" s="912">
        <f>+AVERAGE(T566:W566)</f>
        <v>0.27249999999999996</v>
      </c>
      <c r="BL566" s="912">
        <f>+AVERAGE(X566:AA566)</f>
        <v>0.27</v>
      </c>
      <c r="BM566" s="912">
        <f>+AVERAGE(AB566:AE566)</f>
        <v>0.28749999999999998</v>
      </c>
      <c r="BN566" s="912">
        <f t="shared" si="2450"/>
        <v>0.19000000000000003</v>
      </c>
      <c r="BO566" s="912">
        <f t="shared" si="2449"/>
        <v>0.22099999999999997</v>
      </c>
      <c r="BP566" s="912"/>
    </row>
    <row r="567" spans="2:81">
      <c r="B567" t="s">
        <v>428</v>
      </c>
      <c r="D567" s="911">
        <v>0.09</v>
      </c>
      <c r="E567" s="911">
        <v>0.1</v>
      </c>
      <c r="F567" s="911">
        <v>0.11</v>
      </c>
      <c r="G567" s="911">
        <v>0.12</v>
      </c>
      <c r="H567" s="911">
        <v>0.01</v>
      </c>
      <c r="I567" s="911">
        <v>-0.04</v>
      </c>
      <c r="J567" s="911">
        <v>-0.01</v>
      </c>
      <c r="K567" s="911">
        <v>-0.03</v>
      </c>
      <c r="L567" s="911">
        <v>0.01</v>
      </c>
      <c r="M567" s="911">
        <v>0.05</v>
      </c>
      <c r="N567" s="911">
        <v>0.08</v>
      </c>
      <c r="O567" s="911">
        <v>0.08</v>
      </c>
      <c r="P567" s="911">
        <v>0.06</v>
      </c>
      <c r="Q567" s="911">
        <v>0.06</v>
      </c>
      <c r="R567" s="911">
        <v>0.04</v>
      </c>
      <c r="S567" s="911">
        <v>0.04</v>
      </c>
      <c r="T567" s="911">
        <v>7.0000000000000007E-2</v>
      </c>
      <c r="U567" s="911">
        <v>0.06</v>
      </c>
      <c r="V567" s="911">
        <v>0.06</v>
      </c>
      <c r="W567" s="911">
        <v>0</v>
      </c>
      <c r="X567" s="911">
        <v>0.06</v>
      </c>
      <c r="Y567" s="911">
        <v>0.05</v>
      </c>
      <c r="Z567" s="911">
        <v>0.1</v>
      </c>
      <c r="AA567" s="911">
        <v>0.12</v>
      </c>
      <c r="AB567" s="911">
        <v>0.09</v>
      </c>
      <c r="AC567" s="911">
        <v>0.08</v>
      </c>
      <c r="AD567" s="911">
        <v>0.05</v>
      </c>
      <c r="AE567" s="911">
        <v>0.05</v>
      </c>
      <c r="AF567" s="911">
        <v>0.05</v>
      </c>
      <c r="AG567" s="911">
        <v>0.02</v>
      </c>
      <c r="AH567" s="911">
        <v>0.06</v>
      </c>
      <c r="AI567" s="911">
        <v>0.04</v>
      </c>
      <c r="AJ567" s="911">
        <v>0.01</v>
      </c>
      <c r="AK567" s="911">
        <v>0.01</v>
      </c>
      <c r="AL567" s="911">
        <v>-0.09</v>
      </c>
      <c r="AM567" s="911">
        <v>-7.0000000000000007E-2</v>
      </c>
      <c r="AN567" s="911">
        <v>-0.01</v>
      </c>
      <c r="AO567" s="911"/>
      <c r="AP567" s="911"/>
      <c r="AQ567" s="911"/>
      <c r="BG567" s="912"/>
      <c r="BH567" s="912">
        <f>+AVERAGE(H567:K567)</f>
        <v>-1.7500000000000002E-2</v>
      </c>
      <c r="BI567" s="912">
        <f>+AVERAGE(L567:O567)</f>
        <v>5.5000000000000007E-2</v>
      </c>
      <c r="BJ567" s="912">
        <f>+AVERAGE(P567:S567)</f>
        <v>0.05</v>
      </c>
      <c r="BK567" s="912">
        <f>+AVERAGE(T567:W567)</f>
        <v>4.7500000000000001E-2</v>
      </c>
      <c r="BL567" s="912">
        <f>+AVERAGE(X567:AA567)</f>
        <v>8.2500000000000004E-2</v>
      </c>
      <c r="BM567" s="912">
        <f>+AVERAGE(AB567:AE567)</f>
        <v>6.7499999999999991E-2</v>
      </c>
      <c r="BN567" s="912">
        <f t="shared" si="2450"/>
        <v>4.2500000000000003E-2</v>
      </c>
      <c r="BO567" s="912">
        <f t="shared" si="2449"/>
        <v>-3.5000000000000003E-2</v>
      </c>
      <c r="BP567" s="912"/>
    </row>
    <row r="568" spans="2:81">
      <c r="BT568" s="1161"/>
      <c r="BU568" s="1161"/>
      <c r="BV568" s="1161"/>
      <c r="BW568" s="1161"/>
      <c r="BX568" s="1161"/>
      <c r="BY568" s="1161"/>
      <c r="BZ568" s="1161"/>
      <c r="CA568" s="1161"/>
      <c r="CB568" s="1161"/>
      <c r="CC568" s="1161"/>
    </row>
    <row r="569" spans="2:81">
      <c r="B569" s="852" t="s">
        <v>384</v>
      </c>
      <c r="BT569" s="1161"/>
      <c r="BU569" s="1161"/>
      <c r="BV569" s="1161"/>
      <c r="BW569" s="1161"/>
      <c r="BX569" s="1161"/>
      <c r="BY569" s="1161"/>
      <c r="BZ569" s="1161"/>
      <c r="CA569" s="1161"/>
      <c r="CB569" s="1161"/>
      <c r="CC569" s="1161"/>
    </row>
    <row r="570" spans="2:81">
      <c r="B570" s="843" t="s">
        <v>424</v>
      </c>
      <c r="D570" s="911"/>
      <c r="E570" s="911"/>
      <c r="F570" s="911"/>
      <c r="G570" s="911"/>
      <c r="H570" s="911"/>
      <c r="I570" s="911"/>
      <c r="J570" s="911"/>
      <c r="K570" s="911"/>
      <c r="L570" s="911"/>
      <c r="M570" s="911"/>
      <c r="N570" s="911"/>
      <c r="O570" s="911"/>
      <c r="P570" s="911"/>
      <c r="Q570" s="911"/>
      <c r="R570" s="911"/>
      <c r="S570" s="911"/>
      <c r="T570" s="911"/>
      <c r="U570" s="911"/>
      <c r="V570" s="911"/>
      <c r="W570" s="911"/>
      <c r="X570" s="911"/>
      <c r="Y570" s="911"/>
      <c r="Z570" s="911"/>
      <c r="AA570" s="911"/>
      <c r="AB570" s="911"/>
      <c r="AC570" s="911"/>
      <c r="AD570" s="911"/>
      <c r="AE570" s="911"/>
      <c r="AF570" s="911"/>
      <c r="AG570" s="911"/>
      <c r="AH570" s="911"/>
      <c r="AI570" s="911"/>
      <c r="AJ570" s="911">
        <v>0.3</v>
      </c>
      <c r="AK570" s="911">
        <v>0.31</v>
      </c>
      <c r="AL570" s="911">
        <v>0.35</v>
      </c>
      <c r="AM570" s="911">
        <v>0.35</v>
      </c>
      <c r="AN570" s="911">
        <v>0.35</v>
      </c>
      <c r="AO570" s="911"/>
      <c r="AP570" s="911"/>
      <c r="AQ570" s="911"/>
      <c r="BG570" s="912"/>
      <c r="BH570" s="912"/>
      <c r="BI570" s="912"/>
      <c r="BJ570" s="912"/>
      <c r="BK570" s="912"/>
      <c r="BL570" s="912"/>
      <c r="BM570" s="912"/>
      <c r="BN570" s="912"/>
      <c r="BO570" s="912">
        <f t="shared" ref="BO570:BO571" si="2451">+AVERAGE(AJ570:AM570)</f>
        <v>0.32750000000000001</v>
      </c>
      <c r="BP570" s="912"/>
    </row>
    <row r="571" spans="2:81" s="3" customFormat="1">
      <c r="B571" s="13" t="s">
        <v>425</v>
      </c>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v>0.05</v>
      </c>
      <c r="AK571" s="22">
        <v>0.09</v>
      </c>
      <c r="AL571" s="22">
        <v>0.1</v>
      </c>
      <c r="AM571" s="22">
        <v>0.11</v>
      </c>
      <c r="AN571" s="22">
        <v>0.12</v>
      </c>
      <c r="AO571" s="22"/>
      <c r="AP571" s="22"/>
      <c r="AQ571" s="22"/>
      <c r="BG571" s="21"/>
      <c r="BH571" s="21"/>
      <c r="BI571" s="21"/>
      <c r="BJ571" s="21"/>
      <c r="BK571" s="21"/>
      <c r="BL571" s="21"/>
      <c r="BM571" s="21"/>
      <c r="BN571" s="21"/>
      <c r="BO571" s="21">
        <f t="shared" si="2451"/>
        <v>8.7500000000000008E-2</v>
      </c>
      <c r="BP571" s="21"/>
      <c r="BT571"/>
      <c r="BU571"/>
      <c r="BV571"/>
      <c r="BW571"/>
      <c r="BX571"/>
      <c r="BY571"/>
      <c r="BZ571"/>
      <c r="CA571"/>
      <c r="CB571"/>
      <c r="CC571"/>
    </row>
    <row r="572" spans="2:81">
      <c r="B572" s="843" t="s">
        <v>426</v>
      </c>
      <c r="D572" s="911"/>
      <c r="E572" s="911"/>
      <c r="F572" s="911"/>
      <c r="G572" s="911">
        <v>0.03</v>
      </c>
      <c r="H572" s="911">
        <v>0.05</v>
      </c>
      <c r="I572" s="911">
        <v>0.06</v>
      </c>
      <c r="J572" s="911">
        <v>0.11</v>
      </c>
      <c r="K572" s="911">
        <v>0.03</v>
      </c>
      <c r="L572" s="911">
        <v>0.02</v>
      </c>
      <c r="M572" s="911">
        <v>0.03</v>
      </c>
      <c r="N572" s="911">
        <v>0.01</v>
      </c>
      <c r="O572" s="911">
        <v>0.06</v>
      </c>
      <c r="P572" s="911">
        <v>0.09</v>
      </c>
      <c r="Q572" s="911">
        <v>0.04</v>
      </c>
      <c r="R572" s="911">
        <v>0.09</v>
      </c>
      <c r="S572" s="911">
        <v>7.0000000000000007E-2</v>
      </c>
      <c r="T572" s="911">
        <v>0.14000000000000001</v>
      </c>
      <c r="U572" s="911">
        <v>0.12</v>
      </c>
      <c r="V572" s="911">
        <v>0.12</v>
      </c>
      <c r="W572" s="911">
        <v>0.01</v>
      </c>
      <c r="X572" s="911">
        <v>-0.01</v>
      </c>
      <c r="Y572" s="911">
        <v>0.03</v>
      </c>
      <c r="Z572" s="911">
        <v>0</v>
      </c>
      <c r="AA572" s="911">
        <v>0.12</v>
      </c>
      <c r="AB572" s="911">
        <v>0.13</v>
      </c>
      <c r="AC572" s="911">
        <v>0.06</v>
      </c>
      <c r="AD572" s="911">
        <v>7.0000000000000007E-2</v>
      </c>
      <c r="AE572" s="911">
        <v>0.01</v>
      </c>
      <c r="AF572" s="911">
        <v>0.04</v>
      </c>
      <c r="AG572" s="911">
        <v>0.02</v>
      </c>
      <c r="AH572" s="911">
        <v>0</v>
      </c>
      <c r="AI572" s="911">
        <v>0</v>
      </c>
      <c r="AJ572" s="911">
        <v>0.02</v>
      </c>
      <c r="AK572" s="911">
        <v>0.02</v>
      </c>
      <c r="AL572" s="911">
        <v>0.06</v>
      </c>
      <c r="AM572" s="911">
        <v>0.03</v>
      </c>
      <c r="AN572" s="911">
        <v>-0.01</v>
      </c>
      <c r="AO572" s="911"/>
      <c r="AP572" s="911"/>
      <c r="AQ572" s="911"/>
      <c r="BG572" s="912"/>
      <c r="BH572" s="912">
        <f>+AVERAGE(H572:K572)</f>
        <v>6.25E-2</v>
      </c>
      <c r="BI572" s="912">
        <f>+AVERAGE(L572:O572)</f>
        <v>0.03</v>
      </c>
      <c r="BJ572" s="912">
        <f>+AVERAGE(P572:S572)</f>
        <v>7.2500000000000009E-2</v>
      </c>
      <c r="BK572" s="912">
        <f>+AVERAGE(T572:W572)</f>
        <v>9.7500000000000003E-2</v>
      </c>
      <c r="BL572" s="912">
        <f>+AVERAGE(X572:AA572)</f>
        <v>3.4999999999999996E-2</v>
      </c>
      <c r="BM572" s="912">
        <f>+AVERAGE(AB572:AE572)</f>
        <v>6.7500000000000004E-2</v>
      </c>
      <c r="BN572" s="912">
        <f t="shared" ref="BN572:BN574" si="2452">+AVERAGE(AF572:AI572)</f>
        <v>1.4999999999999999E-2</v>
      </c>
      <c r="BO572" s="912">
        <f t="shared" ref="BO572:BO574" si="2453">+AVERAGE(AJ572:AM572)</f>
        <v>3.2500000000000001E-2</v>
      </c>
      <c r="BP572" s="912"/>
    </row>
    <row r="573" spans="2:81">
      <c r="B573" t="s">
        <v>427</v>
      </c>
      <c r="D573" s="911">
        <v>0.13</v>
      </c>
      <c r="E573" s="911">
        <v>0.1</v>
      </c>
      <c r="F573" s="911">
        <v>0.05</v>
      </c>
      <c r="G573" s="911">
        <v>0.08</v>
      </c>
      <c r="H573" s="911">
        <v>0.14000000000000001</v>
      </c>
      <c r="I573" s="911">
        <v>0.13</v>
      </c>
      <c r="J573" s="911">
        <v>0.2</v>
      </c>
      <c r="K573" s="911">
        <v>0.13</v>
      </c>
      <c r="L573" s="911">
        <v>0.17</v>
      </c>
      <c r="M573" s="911">
        <v>0.18</v>
      </c>
      <c r="N573" s="911">
        <v>0.17</v>
      </c>
      <c r="O573" s="911">
        <v>0.24</v>
      </c>
      <c r="P573" s="911">
        <v>0.28000000000000003</v>
      </c>
      <c r="Q573" s="911">
        <v>0.24</v>
      </c>
      <c r="R573" s="911">
        <v>0.28999999999999998</v>
      </c>
      <c r="S573" s="911">
        <v>0.24</v>
      </c>
      <c r="T573" s="911">
        <v>0.33</v>
      </c>
      <c r="U573" s="911">
        <v>0.32</v>
      </c>
      <c r="V573" s="911">
        <v>0.32</v>
      </c>
      <c r="W573" s="911">
        <v>0.21</v>
      </c>
      <c r="X573" s="911">
        <v>0.21</v>
      </c>
      <c r="Y573" s="911">
        <v>0.24</v>
      </c>
      <c r="Z573" s="911">
        <v>0.23</v>
      </c>
      <c r="AA573" s="911">
        <v>0.28999999999999998</v>
      </c>
      <c r="AB573" s="911">
        <v>0.33</v>
      </c>
      <c r="AC573" s="911">
        <v>0.28999999999999998</v>
      </c>
      <c r="AD573" s="911">
        <v>0.32</v>
      </c>
      <c r="AE573" s="911">
        <v>0.26</v>
      </c>
      <c r="AF573" s="911">
        <v>0.28000000000000003</v>
      </c>
      <c r="AG573" s="911">
        <v>0.26</v>
      </c>
      <c r="AH573" s="911">
        <v>0.21</v>
      </c>
      <c r="AI573" s="911">
        <v>0.18</v>
      </c>
      <c r="AJ573" s="911">
        <v>0.21</v>
      </c>
      <c r="AK573" s="911">
        <v>0.2</v>
      </c>
      <c r="AL573" s="911">
        <v>0.24</v>
      </c>
      <c r="AM573" s="911">
        <v>0.22</v>
      </c>
      <c r="AN573" s="911">
        <v>0.23</v>
      </c>
      <c r="AO573" s="911"/>
      <c r="AP573" s="911"/>
      <c r="AQ573" s="911"/>
      <c r="BG573" s="912"/>
      <c r="BH573" s="912">
        <f>+AVERAGE(H573:K573)</f>
        <v>0.15000000000000002</v>
      </c>
      <c r="BI573" s="912">
        <f>+AVERAGE(L573:O573)</f>
        <v>0.19</v>
      </c>
      <c r="BJ573" s="912">
        <f>+AVERAGE(P573:S573)</f>
        <v>0.26250000000000001</v>
      </c>
      <c r="BK573" s="912">
        <f>+AVERAGE(T573:W573)</f>
        <v>0.29499999999999998</v>
      </c>
      <c r="BL573" s="912">
        <f>+AVERAGE(X573:AA573)</f>
        <v>0.24249999999999999</v>
      </c>
      <c r="BM573" s="912">
        <f>+AVERAGE(AB573:AE573)</f>
        <v>0.3</v>
      </c>
      <c r="BN573" s="912">
        <f t="shared" si="2452"/>
        <v>0.23249999999999998</v>
      </c>
      <c r="BO573" s="912">
        <f t="shared" si="2453"/>
        <v>0.2175</v>
      </c>
      <c r="BP573" s="912"/>
    </row>
    <row r="574" spans="2:81">
      <c r="B574" t="s">
        <v>428</v>
      </c>
      <c r="D574" s="911">
        <v>0.16</v>
      </c>
      <c r="E574" s="911">
        <v>0.16</v>
      </c>
      <c r="F574" s="911">
        <v>0.15</v>
      </c>
      <c r="G574" s="911">
        <v>0.14000000000000001</v>
      </c>
      <c r="H574" s="911">
        <v>0.02</v>
      </c>
      <c r="I574" s="911">
        <v>-0.02</v>
      </c>
      <c r="J574" s="911">
        <v>0</v>
      </c>
      <c r="K574" s="911">
        <v>-0.01</v>
      </c>
      <c r="L574" s="911">
        <v>0</v>
      </c>
      <c r="M574" s="911">
        <v>0.03</v>
      </c>
      <c r="N574" s="911">
        <v>0.05</v>
      </c>
      <c r="O574" s="911">
        <v>7.0000000000000007E-2</v>
      </c>
      <c r="P574" s="911">
        <v>0.06</v>
      </c>
      <c r="Q574" s="911">
        <v>7.0000000000000007E-2</v>
      </c>
      <c r="R574" s="911">
        <v>0.05</v>
      </c>
      <c r="S574" s="911">
        <v>0.06</v>
      </c>
      <c r="T574" s="911">
        <v>0.08</v>
      </c>
      <c r="U574" s="911">
        <v>7.0000000000000007E-2</v>
      </c>
      <c r="V574" s="911">
        <v>7.0000000000000007E-2</v>
      </c>
      <c r="W574" s="911">
        <v>0.02</v>
      </c>
      <c r="X574" s="911">
        <v>0.05</v>
      </c>
      <c r="Y574" s="911">
        <v>0.04</v>
      </c>
      <c r="Z574" s="911">
        <v>0.08</v>
      </c>
      <c r="AA574" s="911">
        <v>0.09</v>
      </c>
      <c r="AB574" s="911">
        <v>0.08</v>
      </c>
      <c r="AC574" s="911">
        <v>7.0000000000000007E-2</v>
      </c>
      <c r="AD574" s="911">
        <v>0.06</v>
      </c>
      <c r="AE574" s="911">
        <v>0.08</v>
      </c>
      <c r="AF574" s="911">
        <v>0.1</v>
      </c>
      <c r="AG574" s="911">
        <v>7.0000000000000007E-2</v>
      </c>
      <c r="AH574" s="911">
        <v>0.09</v>
      </c>
      <c r="AI574" s="911">
        <v>0.05</v>
      </c>
      <c r="AJ574" s="911">
        <v>0.01</v>
      </c>
      <c r="AK574" s="911">
        <v>0</v>
      </c>
      <c r="AL574" s="911">
        <v>-0.09</v>
      </c>
      <c r="AM574" s="911">
        <v>-7.0000000000000007E-2</v>
      </c>
      <c r="AN574" s="911">
        <v>0</v>
      </c>
      <c r="AO574" s="911"/>
      <c r="AP574" s="911"/>
      <c r="AQ574" s="911"/>
      <c r="BG574" s="912"/>
      <c r="BH574" s="912">
        <f>+AVERAGE(H574:K574)</f>
        <v>-2.5000000000000001E-3</v>
      </c>
      <c r="BI574" s="912">
        <f>+AVERAGE(L574:O574)</f>
        <v>3.7500000000000006E-2</v>
      </c>
      <c r="BJ574" s="912">
        <f>+AVERAGE(P574:S574)</f>
        <v>0.06</v>
      </c>
      <c r="BK574" s="912">
        <f>+AVERAGE(T574:W574)</f>
        <v>6.0000000000000005E-2</v>
      </c>
      <c r="BL574" s="912">
        <f>+AVERAGE(X574:AA574)</f>
        <v>6.5000000000000002E-2</v>
      </c>
      <c r="BM574" s="912">
        <f>+AVERAGE(AB574:AE574)</f>
        <v>7.2500000000000009E-2</v>
      </c>
      <c r="BN574" s="912">
        <f t="shared" si="2452"/>
        <v>7.7499999999999999E-2</v>
      </c>
      <c r="BO574" s="912">
        <f t="shared" si="2453"/>
        <v>-3.7500000000000006E-2</v>
      </c>
      <c r="BP574" s="912"/>
      <c r="BT574" s="61">
        <v>-500</v>
      </c>
    </row>
    <row r="575" spans="2:81">
      <c r="BT575" s="1161"/>
      <c r="BU575" s="1161"/>
      <c r="BV575" s="1161"/>
      <c r="BW575" s="1161"/>
      <c r="BX575" s="1161"/>
      <c r="BY575" s="1161"/>
      <c r="BZ575" s="1161"/>
      <c r="CA575" s="1161"/>
      <c r="CB575" s="1161"/>
      <c r="CC575" s="1161"/>
    </row>
    <row r="576" spans="2:81" ht="10.5">
      <c r="B576" s="45" t="s">
        <v>429</v>
      </c>
      <c r="AA576" s="9"/>
      <c r="AD576" s="1348"/>
      <c r="AE576" s="1348"/>
      <c r="AF576" s="1348"/>
      <c r="AG576" s="1348"/>
      <c r="AH576" s="1348"/>
      <c r="AI576" s="1348"/>
      <c r="AJ576" s="1348"/>
      <c r="AK576" s="1348"/>
      <c r="AL576" s="1348"/>
      <c r="AM576" s="1348"/>
      <c r="AN576" s="1348"/>
      <c r="AO576" s="1348"/>
      <c r="AP576" s="1348"/>
      <c r="AQ576" s="1348"/>
      <c r="BK576" s="9"/>
      <c r="BL576" s="9"/>
      <c r="BM576" s="9"/>
      <c r="BN576" s="9"/>
      <c r="BO576" s="9"/>
      <c r="BQ576" s="8"/>
    </row>
    <row r="577" spans="2:81" s="100" customFormat="1">
      <c r="B577" s="100" t="s">
        <v>430</v>
      </c>
      <c r="H577" s="880"/>
      <c r="I577" s="880"/>
      <c r="J577" s="880"/>
      <c r="K577" s="880"/>
      <c r="L577" s="880"/>
      <c r="M577" s="880"/>
      <c r="N577" s="880"/>
      <c r="O577" s="880"/>
      <c r="P577" s="880"/>
      <c r="Q577" s="880"/>
      <c r="R577" s="880"/>
      <c r="S577" s="880"/>
      <c r="T577" s="880"/>
      <c r="U577" s="880"/>
      <c r="V577" s="880"/>
      <c r="W577" s="880"/>
      <c r="X577" s="880"/>
      <c r="Y577" s="880"/>
      <c r="Z577" s="880"/>
      <c r="AA577" s="880"/>
      <c r="AB577" s="880"/>
      <c r="AC577" s="880"/>
      <c r="AD577" s="880"/>
      <c r="AE577" s="880"/>
      <c r="AF577" s="880">
        <f>+AF671</f>
        <v>9460</v>
      </c>
      <c r="AG577" s="880">
        <f>+AG671</f>
        <v>10293</v>
      </c>
      <c r="AH577" s="880">
        <f>+AH671</f>
        <v>10677.868114218852</v>
      </c>
      <c r="AI577" s="880">
        <f>+AI671</f>
        <v>11584.312794341437</v>
      </c>
      <c r="AJ577" s="880">
        <f t="shared" ref="AJ577:AM577" si="2454">+AF577*(1+AJ563)</f>
        <v>12392.6</v>
      </c>
      <c r="AK577" s="880">
        <f t="shared" si="2454"/>
        <v>13689.69</v>
      </c>
      <c r="AL577" s="880">
        <f t="shared" si="2454"/>
        <v>14415.121954195452</v>
      </c>
      <c r="AM577" s="880">
        <f t="shared" si="2454"/>
        <v>15522.979144417526</v>
      </c>
      <c r="AN577" s="880">
        <f>+AJ577*(1+AN563)</f>
        <v>16482.158000000003</v>
      </c>
      <c r="AO577" s="880">
        <f>+AK577*(1+AO587)</f>
        <v>18001.942350000001</v>
      </c>
      <c r="AP577" s="880">
        <f>+AL577*(1+AP587)</f>
        <v>19172.112199079951</v>
      </c>
      <c r="AQ577" s="880">
        <f>+AM577*(1+AQ587)</f>
        <v>20800.792053519486</v>
      </c>
      <c r="AV577" s="880"/>
      <c r="AW577" s="880"/>
      <c r="AX577" s="880"/>
      <c r="AY577" s="880"/>
      <c r="AZ577" s="880"/>
      <c r="BA577" s="880"/>
      <c r="BB577" s="880"/>
      <c r="BC577" s="880"/>
      <c r="BD577" s="880"/>
      <c r="BE577" s="880"/>
      <c r="BF577" s="880"/>
      <c r="BG577" s="880"/>
      <c r="BH577" s="880"/>
      <c r="BI577" s="880"/>
      <c r="BJ577" s="880"/>
      <c r="BK577" s="880"/>
      <c r="BL577" s="880"/>
      <c r="BM577" s="880"/>
      <c r="BN577" s="880">
        <f>+SUM(AF577:AI577)</f>
        <v>42015.180908560287</v>
      </c>
      <c r="BO577" s="880">
        <f>+SUM(AJ577:AM577)</f>
        <v>56020.391098612985</v>
      </c>
      <c r="BP577" s="880">
        <f>+SUM(AN577:AQ577)</f>
        <v>74457.004602599452</v>
      </c>
      <c r="BQ577" s="11"/>
      <c r="BR577" s="11"/>
      <c r="BT577"/>
      <c r="BU577"/>
      <c r="BV577"/>
      <c r="BW577"/>
      <c r="BX577"/>
      <c r="BY577"/>
      <c r="BZ577"/>
      <c r="CA577"/>
      <c r="CB577"/>
      <c r="CC577"/>
    </row>
    <row r="578" spans="2:81" s="1003" customFormat="1">
      <c r="B578" s="100" t="s">
        <v>431</v>
      </c>
      <c r="H578" s="1000"/>
      <c r="I578" s="1000"/>
      <c r="J578" s="1000"/>
      <c r="K578" s="1000"/>
      <c r="L578" s="1000"/>
      <c r="M578" s="1000"/>
      <c r="N578" s="1000"/>
      <c r="O578" s="1000"/>
      <c r="P578" s="1000"/>
      <c r="Q578" s="1000"/>
      <c r="R578" s="1000"/>
      <c r="S578" s="1000"/>
      <c r="T578" s="1000"/>
      <c r="U578" s="1000"/>
      <c r="V578" s="1000"/>
      <c r="W578" s="1000"/>
      <c r="X578" s="1000"/>
      <c r="Y578" s="1000"/>
      <c r="Z578" s="1000"/>
      <c r="AA578" s="1000"/>
      <c r="AB578" s="1000"/>
      <c r="AC578" s="1000"/>
      <c r="AD578" s="1000"/>
      <c r="AE578" s="1000"/>
      <c r="AF578" s="1000">
        <f t="shared" ref="AF578" si="2455">+AF579-AF577</f>
        <v>5225</v>
      </c>
      <c r="AG578" s="1000">
        <f t="shared" ref="AG578" si="2456">+AG579-AG577</f>
        <v>5533</v>
      </c>
      <c r="AH578" s="1000">
        <f t="shared" ref="AH578" si="2457">+AH579-AH577</f>
        <v>5566.1318857811475</v>
      </c>
      <c r="AI578" s="1000">
        <f t="shared" ref="AI578" si="2458">+AI579-AI577</f>
        <v>6304.6872056585635</v>
      </c>
      <c r="AJ578" s="1000">
        <f t="shared" ref="AJ578:AM578" si="2459">+AJ579-AJ577</f>
        <v>5398.4</v>
      </c>
      <c r="AK578" s="1000">
        <f t="shared" si="2459"/>
        <v>5714.3099999999995</v>
      </c>
      <c r="AL578" s="1000">
        <f t="shared" si="2459"/>
        <v>5905.8780458045476</v>
      </c>
      <c r="AM578" s="1000">
        <f t="shared" si="2459"/>
        <v>6402.0208555824738</v>
      </c>
      <c r="AN578" s="1000">
        <f>+AN579-AN577</f>
        <v>5400.7719999999972</v>
      </c>
      <c r="AO578" s="1000">
        <f t="shared" ref="AO578:AQ578" si="2460">+AK578*(1+AO588)</f>
        <v>5533.7378039999994</v>
      </c>
      <c r="AP578" s="1000">
        <f t="shared" si="2460"/>
        <v>5817.2898751174789</v>
      </c>
      <c r="AQ578" s="1000">
        <f t="shared" si="2460"/>
        <v>6370.0107513045614</v>
      </c>
      <c r="AV578" s="1000"/>
      <c r="AW578" s="1000"/>
      <c r="AX578" s="1000"/>
      <c r="AY578" s="1000"/>
      <c r="AZ578" s="1000"/>
      <c r="BA578" s="1000"/>
      <c r="BB578" s="1000"/>
      <c r="BC578" s="1000"/>
      <c r="BD578" s="1000"/>
      <c r="BE578" s="1000"/>
      <c r="BF578" s="1000"/>
      <c r="BG578" s="1000"/>
      <c r="BH578" s="1000"/>
      <c r="BI578" s="1000"/>
      <c r="BJ578" s="1000"/>
      <c r="BK578" s="1000"/>
      <c r="BL578" s="1000"/>
      <c r="BM578" s="1000"/>
      <c r="BN578" s="1000">
        <f t="shared" ref="BN578:BN581" si="2461">+SUM(AF578:AI578)</f>
        <v>22628.819091439713</v>
      </c>
      <c r="BO578" s="1000">
        <f t="shared" ref="BO578:BO581" si="2462">+SUM(AJ578:AM578)</f>
        <v>23420.608901387022</v>
      </c>
      <c r="BP578" s="1000">
        <f t="shared" ref="BP578:BP581" si="2463">+SUM(AN578:AQ578)</f>
        <v>23121.81043042204</v>
      </c>
      <c r="BT578"/>
      <c r="BU578"/>
      <c r="BV578"/>
      <c r="BW578"/>
      <c r="BX578"/>
      <c r="BY578"/>
      <c r="BZ578"/>
      <c r="CA578"/>
      <c r="CB578"/>
      <c r="CC578"/>
    </row>
    <row r="579" spans="2:81" s="100" customFormat="1">
      <c r="B579" s="1096" t="s">
        <v>432</v>
      </c>
      <c r="H579" s="880"/>
      <c r="I579" s="880"/>
      <c r="J579" s="880"/>
      <c r="K579" s="880"/>
      <c r="L579" s="880"/>
      <c r="M579" s="880"/>
      <c r="N579" s="880"/>
      <c r="O579" s="880"/>
      <c r="P579" s="880"/>
      <c r="Q579" s="880"/>
      <c r="R579" s="880"/>
      <c r="S579" s="880"/>
      <c r="T579" s="880"/>
      <c r="U579" s="880"/>
      <c r="V579" s="880"/>
      <c r="W579" s="880"/>
      <c r="X579" s="880"/>
      <c r="Y579" s="880"/>
      <c r="Z579" s="880"/>
      <c r="AA579" s="880"/>
      <c r="AB579" s="880"/>
      <c r="AC579" s="880"/>
      <c r="AD579" s="880"/>
      <c r="AE579" s="880"/>
      <c r="AF579" s="880">
        <f>+AF581-AF580</f>
        <v>14685</v>
      </c>
      <c r="AG579" s="880">
        <f t="shared" ref="AG579:AI579" si="2464">+AG581-AG580</f>
        <v>15826</v>
      </c>
      <c r="AH579" s="880">
        <f t="shared" si="2464"/>
        <v>16244</v>
      </c>
      <c r="AI579" s="880">
        <f t="shared" si="2464"/>
        <v>17889</v>
      </c>
      <c r="AJ579" s="880">
        <f>+AJ581-AJ580</f>
        <v>17791</v>
      </c>
      <c r="AK579" s="880">
        <f t="shared" ref="AK579:AM579" si="2465">+AK581-AK580</f>
        <v>19404</v>
      </c>
      <c r="AL579" s="880">
        <f t="shared" si="2465"/>
        <v>20321</v>
      </c>
      <c r="AM579" s="880">
        <f t="shared" si="2465"/>
        <v>21925</v>
      </c>
      <c r="AN579" s="880">
        <f t="shared" ref="AN579" si="2466">+AJ579*(1+AN566)</f>
        <v>21882.93</v>
      </c>
      <c r="AO579" s="880">
        <f>+SUM(AO577:AO578)</f>
        <v>23535.680154000001</v>
      </c>
      <c r="AP579" s="880">
        <f>+SUM(AP577:AP578)</f>
        <v>24989.402074197431</v>
      </c>
      <c r="AQ579" s="880">
        <f>+SUM(AQ577:AQ578)</f>
        <v>27170.802804824049</v>
      </c>
      <c r="AV579" s="880"/>
      <c r="AW579" s="880"/>
      <c r="AX579" s="880"/>
      <c r="AY579" s="880"/>
      <c r="AZ579" s="880"/>
      <c r="BA579" s="880"/>
      <c r="BB579" s="880"/>
      <c r="BC579" s="880"/>
      <c r="BD579" s="880"/>
      <c r="BE579" s="880"/>
      <c r="BF579" s="880"/>
      <c r="BG579" s="880"/>
      <c r="BH579" s="880"/>
      <c r="BI579" s="880"/>
      <c r="BJ579" s="880"/>
      <c r="BK579" s="880"/>
      <c r="BL579" s="880"/>
      <c r="BM579" s="880"/>
      <c r="BN579" s="880">
        <f t="shared" si="2461"/>
        <v>64644</v>
      </c>
      <c r="BO579" s="880">
        <f t="shared" si="2462"/>
        <v>79441</v>
      </c>
      <c r="BP579" s="880">
        <f t="shared" si="2463"/>
        <v>97578.815033021485</v>
      </c>
      <c r="BQ579" s="11"/>
      <c r="BT579"/>
      <c r="BU579"/>
      <c r="BV579"/>
      <c r="BW579"/>
      <c r="BX579"/>
      <c r="BY579"/>
      <c r="BZ579"/>
      <c r="CA579"/>
      <c r="CB579"/>
      <c r="CC579"/>
    </row>
    <row r="580" spans="2:81" s="1112" customFormat="1" ht="11.45">
      <c r="B580" s="100" t="s">
        <v>433</v>
      </c>
      <c r="H580" s="906"/>
      <c r="I580" s="906"/>
      <c r="J580" s="906"/>
      <c r="K580" s="906"/>
      <c r="L580" s="906"/>
      <c r="M580" s="906"/>
      <c r="N580" s="906"/>
      <c r="O580" s="906"/>
      <c r="P580" s="906"/>
      <c r="Q580" s="906"/>
      <c r="R580" s="906"/>
      <c r="S580" s="906"/>
      <c r="T580" s="906"/>
      <c r="U580" s="906"/>
      <c r="V580" s="906"/>
      <c r="W580" s="906"/>
      <c r="X580" s="906"/>
      <c r="Y580" s="906"/>
      <c r="Z580" s="906"/>
      <c r="AA580" s="906"/>
      <c r="AB580" s="906"/>
      <c r="AC580" s="906"/>
      <c r="AD580" s="906"/>
      <c r="AE580" s="906"/>
      <c r="AF580" s="924">
        <v>2200</v>
      </c>
      <c r="AG580" s="924">
        <v>2100</v>
      </c>
      <c r="AH580" s="924">
        <v>2000</v>
      </c>
      <c r="AI580" s="924">
        <v>2000</v>
      </c>
      <c r="AJ580" s="906">
        <f>+AF580*(1+AJ567)</f>
        <v>2222</v>
      </c>
      <c r="AK580" s="906">
        <f t="shared" ref="AK580" si="2467">+AG580*(1+AK567)</f>
        <v>2121</v>
      </c>
      <c r="AL580" s="906">
        <f t="shared" ref="AL580" si="2468">+AH580*(1+AL567)</f>
        <v>1820</v>
      </c>
      <c r="AM580" s="906">
        <f t="shared" ref="AM580" si="2469">+AI580*(1+AM567)</f>
        <v>1859.9999999999998</v>
      </c>
      <c r="AN580" s="906">
        <f>+AN581-AN579</f>
        <v>2209.0699999999997</v>
      </c>
      <c r="AO580" s="1000">
        <f t="shared" ref="AO580" si="2470">+AK580*(1+AO590)</f>
        <v>2163.42</v>
      </c>
      <c r="AP580" s="1000">
        <f t="shared" ref="AP580" si="2471">+AL580*(1+AP590)</f>
        <v>1820</v>
      </c>
      <c r="AQ580" s="1000">
        <f t="shared" ref="AQ580" si="2472">+AM580*(1+AQ590)</f>
        <v>1859.9999999999998</v>
      </c>
      <c r="AV580" s="906"/>
      <c r="AW580" s="906"/>
      <c r="AX580" s="906"/>
      <c r="AY580" s="906"/>
      <c r="AZ580" s="906"/>
      <c r="BA580" s="906"/>
      <c r="BB580" s="906"/>
      <c r="BC580" s="906"/>
      <c r="BD580" s="906"/>
      <c r="BE580" s="906"/>
      <c r="BF580" s="906"/>
      <c r="BG580" s="906"/>
      <c r="BH580" s="906"/>
      <c r="BI580" s="906"/>
      <c r="BJ580" s="906"/>
      <c r="BK580" s="906"/>
      <c r="BL580" s="906"/>
      <c r="BM580" s="906"/>
      <c r="BN580" s="906">
        <f t="shared" si="2461"/>
        <v>8300</v>
      </c>
      <c r="BO580" s="906">
        <f t="shared" si="2462"/>
        <v>8023</v>
      </c>
      <c r="BP580" s="906">
        <f t="shared" si="2463"/>
        <v>8052.49</v>
      </c>
      <c r="BQ580" s="34"/>
      <c r="BR580" s="34"/>
      <c r="BT580" s="953"/>
      <c r="BU580" s="953"/>
      <c r="BV580" s="953"/>
      <c r="BW580" s="953"/>
      <c r="BX580" s="953"/>
      <c r="BY580" s="953"/>
      <c r="BZ580" s="953"/>
      <c r="CA580" s="953"/>
      <c r="CB580" s="953"/>
      <c r="CC580" s="953"/>
    </row>
    <row r="581" spans="2:81" s="102" customFormat="1" ht="10.5">
      <c r="B581" s="873" t="s">
        <v>434</v>
      </c>
      <c r="H581" s="849"/>
      <c r="I581" s="849"/>
      <c r="J581" s="849"/>
      <c r="K581" s="849"/>
      <c r="L581" s="849"/>
      <c r="M581" s="849"/>
      <c r="N581" s="849"/>
      <c r="O581" s="849"/>
      <c r="P581" s="849"/>
      <c r="Q581" s="849"/>
      <c r="R581" s="849"/>
      <c r="S581" s="849"/>
      <c r="T581" s="849"/>
      <c r="U581" s="849"/>
      <c r="V581" s="849"/>
      <c r="W581" s="849"/>
      <c r="X581" s="849"/>
      <c r="Y581" s="849"/>
      <c r="Z581" s="849"/>
      <c r="AA581" s="849"/>
      <c r="AB581" s="849"/>
      <c r="AC581" s="849"/>
      <c r="AD581" s="849"/>
      <c r="AE581" s="849"/>
      <c r="AF581" s="849">
        <f>+AF541</f>
        <v>16885</v>
      </c>
      <c r="AG581" s="849">
        <f>+AG541</f>
        <v>17926</v>
      </c>
      <c r="AH581" s="849">
        <f>+AH541</f>
        <v>18244</v>
      </c>
      <c r="AI581" s="849">
        <f>+AI541</f>
        <v>19889</v>
      </c>
      <c r="AJ581" s="849">
        <f t="shared" ref="AJ581:AM581" si="2473">+AJ541</f>
        <v>20013</v>
      </c>
      <c r="AK581" s="849">
        <f t="shared" si="2473"/>
        <v>21525</v>
      </c>
      <c r="AL581" s="849">
        <f t="shared" si="2473"/>
        <v>22141</v>
      </c>
      <c r="AM581" s="849">
        <f t="shared" si="2473"/>
        <v>23785</v>
      </c>
      <c r="AN581" s="849">
        <f>+AN541</f>
        <v>24092</v>
      </c>
      <c r="AO581" s="849">
        <f>+SUM(AO579:AO580)</f>
        <v>25699.100154</v>
      </c>
      <c r="AP581" s="849">
        <f>+SUM(AP579:AP580)</f>
        <v>26809.402074197431</v>
      </c>
      <c r="AQ581" s="849">
        <f>+SUM(AQ579:AQ580)</f>
        <v>29030.802804824049</v>
      </c>
      <c r="AV581" s="849"/>
      <c r="AW581" s="849"/>
      <c r="AX581" s="849"/>
      <c r="AY581" s="849"/>
      <c r="AZ581" s="849"/>
      <c r="BA581" s="849"/>
      <c r="BB581" s="849"/>
      <c r="BC581" s="849"/>
      <c r="BD581" s="849"/>
      <c r="BE581" s="849"/>
      <c r="BF581" s="849"/>
      <c r="BG581" s="849"/>
      <c r="BH581" s="849"/>
      <c r="BI581" s="849"/>
      <c r="BJ581" s="849"/>
      <c r="BK581" s="849"/>
      <c r="BL581" s="849"/>
      <c r="BM581" s="849"/>
      <c r="BN581" s="849">
        <f t="shared" si="2461"/>
        <v>72944</v>
      </c>
      <c r="BO581" s="849">
        <f t="shared" si="2462"/>
        <v>87464</v>
      </c>
      <c r="BP581" s="849">
        <f t="shared" si="2463"/>
        <v>105631.30503302149</v>
      </c>
      <c r="BT581"/>
      <c r="BU581"/>
      <c r="BV581"/>
      <c r="BW581"/>
      <c r="BX581"/>
      <c r="BY581"/>
      <c r="BZ581"/>
      <c r="CA581"/>
      <c r="CB581"/>
      <c r="CC581"/>
    </row>
    <row r="582" spans="2:81" s="100" customFormat="1">
      <c r="H582" s="880"/>
      <c r="I582" s="880"/>
      <c r="J582" s="880"/>
      <c r="K582" s="880"/>
      <c r="L582" s="880"/>
      <c r="M582" s="880"/>
      <c r="N582" s="880"/>
      <c r="O582" s="880"/>
      <c r="P582" s="880"/>
      <c r="Q582" s="880"/>
      <c r="R582" s="880"/>
      <c r="S582" s="880"/>
      <c r="T582" s="880"/>
      <c r="U582" s="880"/>
      <c r="V582" s="880"/>
      <c r="W582" s="880"/>
      <c r="X582" s="880"/>
      <c r="Y582" s="880"/>
      <c r="Z582" s="880"/>
      <c r="AA582" s="880"/>
      <c r="AB582" s="880"/>
      <c r="AC582" s="880"/>
      <c r="AD582" s="880"/>
      <c r="AE582" s="880"/>
      <c r="AF582" s="880"/>
      <c r="AG582" s="880"/>
      <c r="AH582" s="880"/>
      <c r="AI582" s="880"/>
      <c r="AJ582" s="880"/>
      <c r="AK582" s="880"/>
      <c r="AL582" s="880"/>
      <c r="AM582" s="880"/>
      <c r="AN582" s="8"/>
      <c r="AO582" s="8"/>
      <c r="AP582" s="8"/>
      <c r="AQ582" s="8"/>
      <c r="AR582" s="8"/>
      <c r="AV582" s="880"/>
      <c r="AW582" s="880"/>
      <c r="AX582" s="880"/>
      <c r="AY582" s="880"/>
      <c r="AZ582" s="880"/>
      <c r="BA582" s="880"/>
      <c r="BB582" s="880"/>
      <c r="BC582" s="880"/>
      <c r="BD582" s="880"/>
      <c r="BE582" s="880"/>
      <c r="BF582" s="880"/>
      <c r="BG582" s="880"/>
      <c r="BH582" s="880"/>
      <c r="BI582" s="880"/>
      <c r="BJ582" s="880"/>
      <c r="BK582" s="880"/>
      <c r="BL582" s="880"/>
      <c r="BM582" s="880"/>
      <c r="BN582" s="880"/>
      <c r="BO582" s="880"/>
      <c r="BP582" s="880"/>
      <c r="BQ582" s="11"/>
      <c r="BR582" s="11"/>
      <c r="BT582"/>
      <c r="BU582"/>
      <c r="BV582"/>
      <c r="BW582"/>
      <c r="BX582"/>
      <c r="BY582"/>
      <c r="BZ582"/>
      <c r="CA582"/>
      <c r="CB582"/>
      <c r="CC582"/>
    </row>
    <row r="583" spans="2:81">
      <c r="B583" s="17" t="s">
        <v>435</v>
      </c>
      <c r="AG583" s="1165"/>
      <c r="AH583" s="8"/>
      <c r="AI583" s="8"/>
      <c r="AJ583" s="8">
        <f t="shared" ref="AJ583:AM583" si="2474">+AJ678</f>
        <v>425.7</v>
      </c>
      <c r="AK583" s="8">
        <f t="shared" si="2474"/>
        <v>926.37</v>
      </c>
      <c r="AL583" s="8">
        <f t="shared" si="2474"/>
        <v>1067.7868114218852</v>
      </c>
      <c r="AM583" s="8">
        <f t="shared" si="2474"/>
        <v>1274.274407377558</v>
      </c>
      <c r="AN583" s="8">
        <f>+AN571*AJ577</f>
        <v>1487.1120000000001</v>
      </c>
      <c r="AO583" s="8"/>
      <c r="AP583" s="8"/>
      <c r="AQ583" s="8"/>
      <c r="BO583" s="8">
        <f>+SUM(AJ583:AM583)</f>
        <v>3694.1312187994431</v>
      </c>
      <c r="BP583" s="8"/>
    </row>
    <row r="584" spans="2:81">
      <c r="B584" s="19" t="s">
        <v>113</v>
      </c>
      <c r="AG584" s="1165"/>
      <c r="AH584" s="8"/>
      <c r="AI584" s="8"/>
      <c r="AJ584" s="8"/>
      <c r="AK584" s="8"/>
      <c r="AL584" s="8"/>
      <c r="AM584" s="8"/>
      <c r="AN584" s="228">
        <f>+AN583/AJ583-1</f>
        <v>2.4933333333333336</v>
      </c>
      <c r="AO584" s="8"/>
      <c r="AP584" s="8"/>
      <c r="AQ584" s="8"/>
      <c r="BO584" s="8"/>
      <c r="BP584" s="8"/>
    </row>
    <row r="585" spans="2:81" s="100" customFormat="1">
      <c r="H585" s="880"/>
      <c r="I585" s="880"/>
      <c r="J585" s="880"/>
      <c r="K585" s="880"/>
      <c r="L585" s="880"/>
      <c r="M585" s="880"/>
      <c r="N585" s="880"/>
      <c r="O585" s="880"/>
      <c r="P585" s="880"/>
      <c r="Q585" s="880"/>
      <c r="R585" s="880"/>
      <c r="S585" s="880"/>
      <c r="T585" s="880"/>
      <c r="U585" s="880"/>
      <c r="V585" s="880"/>
      <c r="W585" s="880"/>
      <c r="X585" s="880"/>
      <c r="Y585" s="880"/>
      <c r="Z585" s="880"/>
      <c r="AA585" s="880"/>
      <c r="AB585" s="880"/>
      <c r="AC585" s="880"/>
      <c r="AD585" s="880"/>
      <c r="AE585" s="880"/>
      <c r="AF585" s="880"/>
      <c r="AG585" s="880"/>
      <c r="AH585" s="880"/>
      <c r="AI585" s="880"/>
      <c r="AJ585" s="880"/>
      <c r="AK585" s="880"/>
      <c r="AL585" s="880"/>
      <c r="AM585" s="880"/>
      <c r="AN585" s="8"/>
      <c r="AO585" s="8"/>
      <c r="AP585" s="8"/>
      <c r="AQ585" s="8"/>
      <c r="AV585" s="880"/>
      <c r="AW585" s="880"/>
      <c r="AX585" s="880"/>
      <c r="AY585" s="880"/>
      <c r="AZ585" s="880"/>
      <c r="BA585" s="880"/>
      <c r="BB585" s="880"/>
      <c r="BC585" s="880"/>
      <c r="BD585" s="880"/>
      <c r="BE585" s="880"/>
      <c r="BF585" s="880"/>
      <c r="BG585" s="880"/>
      <c r="BH585" s="880"/>
      <c r="BI585" s="880"/>
      <c r="BJ585" s="880"/>
      <c r="BK585" s="880"/>
      <c r="BL585" s="880"/>
      <c r="BM585" s="880"/>
      <c r="BN585" s="880"/>
      <c r="BO585" s="880"/>
      <c r="BP585" s="880"/>
      <c r="BQ585" s="11"/>
      <c r="BR585" s="11"/>
      <c r="BT585"/>
      <c r="BU585"/>
      <c r="BV585"/>
      <c r="BW585"/>
      <c r="BX585"/>
      <c r="BY585"/>
      <c r="BZ585"/>
      <c r="CA585"/>
      <c r="CB585"/>
      <c r="CC585"/>
    </row>
    <row r="586" spans="2:81" ht="11.45">
      <c r="B586" s="24" t="s">
        <v>113</v>
      </c>
      <c r="AH586" s="908"/>
      <c r="AI586" s="880"/>
      <c r="AJ586" s="908"/>
      <c r="AK586" s="908"/>
      <c r="AL586" s="908"/>
      <c r="AM586" s="908"/>
      <c r="AN586" s="8"/>
      <c r="AO586" s="8"/>
      <c r="AP586" s="8"/>
      <c r="AQ586" s="8"/>
    </row>
    <row r="587" spans="2:81" s="3" customFormat="1">
      <c r="B587" s="13" t="str">
        <f>+B577</f>
        <v xml:space="preserve">Azure </v>
      </c>
      <c r="D587" s="228"/>
      <c r="E587" s="228"/>
      <c r="F587" s="228"/>
      <c r="G587" s="228"/>
      <c r="H587" s="228"/>
      <c r="I587" s="228"/>
      <c r="J587" s="228"/>
      <c r="K587" s="228"/>
      <c r="L587" s="228"/>
      <c r="M587" s="228"/>
      <c r="N587" s="228"/>
      <c r="O587" s="228"/>
      <c r="P587" s="228"/>
      <c r="Q587" s="228"/>
      <c r="R587" s="228"/>
      <c r="S587" s="228"/>
      <c r="T587" s="228"/>
      <c r="U587" s="228"/>
      <c r="V587" s="228"/>
      <c r="W587" s="228"/>
      <c r="X587" s="228"/>
      <c r="Y587" s="228"/>
      <c r="Z587" s="228"/>
      <c r="AA587" s="228"/>
      <c r="AB587" s="228"/>
      <c r="AC587" s="228"/>
      <c r="AD587" s="228"/>
      <c r="AE587" s="228"/>
      <c r="AF587" s="228"/>
      <c r="AG587" s="228"/>
      <c r="AH587" s="228"/>
      <c r="AI587" s="880"/>
      <c r="AJ587" s="228">
        <f t="shared" ref="AJ587:AN591" si="2475">+AJ577/AF577-1</f>
        <v>0.31000000000000005</v>
      </c>
      <c r="AK587" s="228">
        <f t="shared" si="2475"/>
        <v>0.33000000000000007</v>
      </c>
      <c r="AL587" s="228">
        <f t="shared" si="2475"/>
        <v>0.35000000000000009</v>
      </c>
      <c r="AM587" s="228">
        <f t="shared" si="2475"/>
        <v>0.34000000000000008</v>
      </c>
      <c r="AN587" s="228">
        <f t="shared" si="2475"/>
        <v>0.33000000000000029</v>
      </c>
      <c r="AO587" s="829">
        <v>0.315</v>
      </c>
      <c r="AP587" s="829">
        <v>0.33</v>
      </c>
      <c r="AQ587" s="829">
        <v>0.34</v>
      </c>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f t="shared" ref="BO587:BP591" si="2476">+BO577/BN577-1</f>
        <v>0.33333690078671641</v>
      </c>
      <c r="BP587" s="228">
        <f t="shared" si="2476"/>
        <v>0.329105405057462</v>
      </c>
      <c r="BT587"/>
      <c r="BU587"/>
      <c r="BV587"/>
      <c r="BW587"/>
      <c r="BX587"/>
      <c r="BY587"/>
      <c r="BZ587"/>
      <c r="CA587"/>
      <c r="CB587"/>
      <c r="CC587"/>
    </row>
    <row r="588" spans="2:81" s="942" customFormat="1" ht="11.45">
      <c r="B588" s="13" t="str">
        <f>+B578</f>
        <v xml:space="preserve">Server Products </v>
      </c>
      <c r="D588" s="840"/>
      <c r="E588" s="840"/>
      <c r="F588" s="840"/>
      <c r="G588" s="840"/>
      <c r="H588" s="840"/>
      <c r="I588" s="840"/>
      <c r="J588" s="840"/>
      <c r="K588" s="840"/>
      <c r="L588" s="840"/>
      <c r="M588" s="840"/>
      <c r="N588" s="840"/>
      <c r="O588" s="840"/>
      <c r="P588" s="840"/>
      <c r="Q588" s="840"/>
      <c r="R588" s="840"/>
      <c r="S588" s="840"/>
      <c r="T588" s="840"/>
      <c r="U588" s="840"/>
      <c r="V588" s="840"/>
      <c r="W588" s="840"/>
      <c r="X588" s="840"/>
      <c r="Y588" s="840"/>
      <c r="Z588" s="840"/>
      <c r="AA588" s="840"/>
      <c r="AB588" s="840"/>
      <c r="AC588" s="840"/>
      <c r="AD588" s="840"/>
      <c r="AE588" s="840"/>
      <c r="AF588" s="840"/>
      <c r="AG588" s="840"/>
      <c r="AH588" s="840"/>
      <c r="AI588" s="880"/>
      <c r="AJ588" s="840">
        <f t="shared" si="2475"/>
        <v>3.3186602870813431E-2</v>
      </c>
      <c r="AK588" s="840">
        <f t="shared" si="2475"/>
        <v>3.276884149647552E-2</v>
      </c>
      <c r="AL588" s="840">
        <f t="shared" si="2475"/>
        <v>6.103810815034616E-2</v>
      </c>
      <c r="AM588" s="840">
        <f t="shared" si="2475"/>
        <v>1.5438299593444116E-2</v>
      </c>
      <c r="AN588" s="840">
        <f t="shared" si="2475"/>
        <v>4.3938944872512486E-4</v>
      </c>
      <c r="AO588" s="908">
        <v>-3.1600000000000003E-2</v>
      </c>
      <c r="AP588" s="908">
        <v>-1.4999999999999999E-2</v>
      </c>
      <c r="AQ588" s="908">
        <v>-5.0000000000000001E-3</v>
      </c>
      <c r="AR588" s="228"/>
      <c r="AS588" s="840"/>
      <c r="AT588" s="840"/>
      <c r="AU588" s="840"/>
      <c r="AV588" s="840"/>
      <c r="AW588" s="840"/>
      <c r="AX588" s="840"/>
      <c r="AY588" s="840"/>
      <c r="AZ588" s="840"/>
      <c r="BA588" s="840"/>
      <c r="BB588" s="840"/>
      <c r="BC588" s="840"/>
      <c r="BD588" s="840"/>
      <c r="BE588" s="840"/>
      <c r="BF588" s="840"/>
      <c r="BG588" s="840"/>
      <c r="BH588" s="840"/>
      <c r="BI588" s="840"/>
      <c r="BJ588" s="840"/>
      <c r="BK588" s="840"/>
      <c r="BL588" s="840"/>
      <c r="BM588" s="840"/>
      <c r="BN588" s="840"/>
      <c r="BO588" s="840">
        <f t="shared" si="2476"/>
        <v>3.4990328339618681E-2</v>
      </c>
      <c r="BP588" s="840">
        <f t="shared" si="2476"/>
        <v>-1.2757929233312426E-2</v>
      </c>
      <c r="BT588"/>
      <c r="BU588"/>
      <c r="BV588"/>
      <c r="BW588"/>
      <c r="BX588"/>
      <c r="BY588"/>
      <c r="BZ588"/>
      <c r="CA588"/>
      <c r="CB588"/>
      <c r="CC588"/>
    </row>
    <row r="589" spans="2:81" s="3" customFormat="1" ht="11.45">
      <c r="B589" s="15" t="str">
        <f>+B579</f>
        <v>Server Products and Cloud Services</v>
      </c>
      <c r="D589" s="228"/>
      <c r="E589" s="228"/>
      <c r="F589" s="228"/>
      <c r="G589" s="228"/>
      <c r="H589" s="228"/>
      <c r="I589" s="228"/>
      <c r="J589" s="228"/>
      <c r="K589" s="228"/>
      <c r="L589" s="228"/>
      <c r="M589" s="228"/>
      <c r="N589" s="228"/>
      <c r="O589" s="228"/>
      <c r="P589" s="228"/>
      <c r="Q589" s="228"/>
      <c r="R589" s="228"/>
      <c r="S589" s="228"/>
      <c r="T589" s="228"/>
      <c r="U589" s="228"/>
      <c r="V589" s="228"/>
      <c r="W589" s="228"/>
      <c r="X589" s="228"/>
      <c r="Y589" s="228"/>
      <c r="Z589" s="228"/>
      <c r="AA589" s="228"/>
      <c r="AB589" s="228"/>
      <c r="AC589" s="228"/>
      <c r="AD589" s="228"/>
      <c r="AE589" s="228"/>
      <c r="AF589" s="228"/>
      <c r="AG589" s="228"/>
      <c r="AH589" s="228"/>
      <c r="AI589" s="880"/>
      <c r="AJ589" s="228">
        <f t="shared" si="2475"/>
        <v>0.21150834184542044</v>
      </c>
      <c r="AK589" s="228">
        <f t="shared" si="2475"/>
        <v>0.22608365980032863</v>
      </c>
      <c r="AL589" s="228">
        <f t="shared" si="2475"/>
        <v>0.2509849790691947</v>
      </c>
      <c r="AM589" s="228">
        <f t="shared" si="2475"/>
        <v>0.22561350550617698</v>
      </c>
      <c r="AN589" s="228">
        <f t="shared" si="2475"/>
        <v>0.22999999999999998</v>
      </c>
      <c r="AO589" s="228">
        <f>+AO579/AK579-1</f>
        <v>0.21292930086580086</v>
      </c>
      <c r="AP589" s="228">
        <f>+AP579/AL579-1</f>
        <v>0.2297328908123335</v>
      </c>
      <c r="AQ589" s="228">
        <f>+AQ579/AM579-1</f>
        <v>0.23926124537395888</v>
      </c>
      <c r="AR589" s="840"/>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f t="shared" si="2476"/>
        <v>0.22889982055565872</v>
      </c>
      <c r="BP589" s="228">
        <f t="shared" si="2476"/>
        <v>0.22831806035953073</v>
      </c>
      <c r="BT589"/>
      <c r="BU589"/>
      <c r="BV589"/>
      <c r="BW589"/>
      <c r="BX589"/>
      <c r="BY589"/>
      <c r="BZ589"/>
      <c r="CA589"/>
      <c r="CB589"/>
      <c r="CC589"/>
    </row>
    <row r="590" spans="2:81" s="942" customFormat="1" ht="11.45">
      <c r="B590" s="13" t="s">
        <v>428</v>
      </c>
      <c r="D590" s="840"/>
      <c r="E590" s="840"/>
      <c r="F590" s="840"/>
      <c r="G590" s="840"/>
      <c r="H590" s="840"/>
      <c r="I590" s="840"/>
      <c r="J590" s="840"/>
      <c r="K590" s="840"/>
      <c r="L590" s="840"/>
      <c r="M590" s="840"/>
      <c r="N590" s="840"/>
      <c r="O590" s="840"/>
      <c r="P590" s="840"/>
      <c r="Q590" s="840"/>
      <c r="R590" s="840"/>
      <c r="S590" s="840"/>
      <c r="T590" s="840"/>
      <c r="U590" s="840"/>
      <c r="V590" s="840"/>
      <c r="W590" s="840"/>
      <c r="X590" s="840"/>
      <c r="Y590" s="840"/>
      <c r="Z590" s="840"/>
      <c r="AA590" s="840"/>
      <c r="AB590" s="840"/>
      <c r="AC590" s="840"/>
      <c r="AD590" s="840"/>
      <c r="AE590" s="840"/>
      <c r="AF590" s="840"/>
      <c r="AG590" s="840"/>
      <c r="AH590" s="840"/>
      <c r="AI590" s="906"/>
      <c r="AJ590" s="840">
        <f t="shared" si="2475"/>
        <v>1.0000000000000009E-2</v>
      </c>
      <c r="AK590" s="840">
        <f t="shared" si="2475"/>
        <v>1.0000000000000009E-2</v>
      </c>
      <c r="AL590" s="840">
        <f t="shared" si="2475"/>
        <v>-8.9999999999999969E-2</v>
      </c>
      <c r="AM590" s="840">
        <f t="shared" si="2475"/>
        <v>-7.0000000000000062E-2</v>
      </c>
      <c r="AN590" s="840">
        <f t="shared" si="2475"/>
        <v>-5.8190819081909151E-3</v>
      </c>
      <c r="AO590" s="908">
        <v>0.02</v>
      </c>
      <c r="AP590" s="908">
        <v>0</v>
      </c>
      <c r="AQ590" s="908">
        <v>0</v>
      </c>
      <c r="AR590" s="1349"/>
      <c r="AS590" s="840"/>
      <c r="AT590" s="840"/>
      <c r="AU590" s="840"/>
      <c r="AV590" s="840"/>
      <c r="AW590" s="840"/>
      <c r="AX590" s="840"/>
      <c r="AY590" s="840"/>
      <c r="AZ590" s="840"/>
      <c r="BA590" s="840"/>
      <c r="BB590" s="840"/>
      <c r="BC590" s="840"/>
      <c r="BD590" s="840"/>
      <c r="BE590" s="840"/>
      <c r="BF590" s="840"/>
      <c r="BG590" s="840"/>
      <c r="BH590" s="840"/>
      <c r="BI590" s="840"/>
      <c r="BJ590" s="840"/>
      <c r="BK590" s="840"/>
      <c r="BL590" s="840"/>
      <c r="BM590" s="840"/>
      <c r="BN590" s="840"/>
      <c r="BO590" s="840">
        <f t="shared" si="2476"/>
        <v>-3.3373493975903612E-2</v>
      </c>
      <c r="BP590" s="840">
        <f t="shared" si="2476"/>
        <v>3.6756824130623755E-3</v>
      </c>
      <c r="BT590" s="953"/>
      <c r="BU590" s="953"/>
      <c r="BV590" s="953"/>
      <c r="BW590" s="953"/>
      <c r="BX590" s="953"/>
      <c r="BY590" s="953"/>
      <c r="BZ590" s="953"/>
      <c r="CA590" s="953"/>
      <c r="CB590" s="953"/>
      <c r="CC590" s="953"/>
    </row>
    <row r="591" spans="2:81" s="7" customFormat="1">
      <c r="B591" s="841" t="str">
        <f>+B581</f>
        <v>Total IC Revenue</v>
      </c>
      <c r="D591" s="842"/>
      <c r="E591" s="842"/>
      <c r="F591" s="842"/>
      <c r="G591" s="842"/>
      <c r="H591" s="842"/>
      <c r="I591" s="842"/>
      <c r="J591" s="842"/>
      <c r="K591" s="842"/>
      <c r="L591" s="842"/>
      <c r="M591" s="842"/>
      <c r="N591" s="842"/>
      <c r="O591" s="842"/>
      <c r="P591" s="842"/>
      <c r="Q591" s="842"/>
      <c r="R591" s="842"/>
      <c r="S591" s="842"/>
      <c r="T591" s="842"/>
      <c r="U591" s="842"/>
      <c r="V591" s="842"/>
      <c r="W591" s="842"/>
      <c r="X591" s="842"/>
      <c r="Y591" s="842"/>
      <c r="Z591" s="842"/>
      <c r="AA591" s="842"/>
      <c r="AB591" s="842"/>
      <c r="AC591" s="842"/>
      <c r="AD591" s="842"/>
      <c r="AE591" s="842"/>
      <c r="AF591" s="842"/>
      <c r="AG591" s="842"/>
      <c r="AH591" s="842"/>
      <c r="AI591" s="842"/>
      <c r="AJ591" s="842">
        <f t="shared" si="2475"/>
        <v>0.18525318329878582</v>
      </c>
      <c r="AK591" s="842">
        <f t="shared" si="2475"/>
        <v>0.2007698315296218</v>
      </c>
      <c r="AL591" s="842">
        <f t="shared" si="2475"/>
        <v>0.21360447270335459</v>
      </c>
      <c r="AM591" s="842">
        <f t="shared" si="2475"/>
        <v>0.19588717381467147</v>
      </c>
      <c r="AN591" s="842">
        <f t="shared" si="2475"/>
        <v>0.20381751861290165</v>
      </c>
      <c r="AO591" s="842">
        <f>+AO581/AK581-1</f>
        <v>0.19391870634146335</v>
      </c>
      <c r="AP591" s="842">
        <f>+AP581/AL581-1</f>
        <v>0.21084874550370047</v>
      </c>
      <c r="AQ591" s="842">
        <f>+AQ581/AM581-1</f>
        <v>0.22055088521438093</v>
      </c>
      <c r="AR591" s="100"/>
      <c r="AS591" s="842"/>
      <c r="AT591" s="842"/>
      <c r="AU591" s="842"/>
      <c r="AV591" s="842"/>
      <c r="AW591" s="842"/>
      <c r="AX591" s="842"/>
      <c r="AY591" s="842"/>
      <c r="AZ591" s="842"/>
      <c r="BA591" s="842"/>
      <c r="BB591" s="842"/>
      <c r="BC591" s="842"/>
      <c r="BD591" s="842"/>
      <c r="BE591" s="842"/>
      <c r="BF591" s="842"/>
      <c r="BG591" s="842"/>
      <c r="BH591" s="842"/>
      <c r="BI591" s="842"/>
      <c r="BJ591" s="842"/>
      <c r="BK591" s="842"/>
      <c r="BL591" s="842"/>
      <c r="BM591" s="842"/>
      <c r="BN591" s="842"/>
      <c r="BO591" s="842">
        <f t="shared" si="2476"/>
        <v>0.19905681070410175</v>
      </c>
      <c r="BP591" s="842">
        <f t="shared" si="2476"/>
        <v>0.20771180180441662</v>
      </c>
      <c r="BQ591" s="3"/>
      <c r="BT591" s="3"/>
      <c r="BU591" s="3"/>
      <c r="BV591" s="3"/>
      <c r="BW591" s="3"/>
      <c r="BX591" s="3"/>
      <c r="BY591" s="3"/>
      <c r="BZ591" s="3"/>
      <c r="CA591" s="3"/>
      <c r="CB591" s="3"/>
      <c r="CC591" s="3"/>
    </row>
    <row r="592" spans="2:81">
      <c r="AR592" s="228"/>
      <c r="BQ592" s="839"/>
    </row>
    <row r="593" spans="2:81" s="100" customFormat="1" ht="11.45">
      <c r="B593" s="1158" t="str">
        <f>+B688</f>
        <v>2-yr Stack Growth %</v>
      </c>
      <c r="AH593" s="840"/>
      <c r="AI593" s="840"/>
      <c r="AJ593" s="840"/>
      <c r="AK593" s="840"/>
      <c r="AL593" s="840"/>
      <c r="AM593" s="840"/>
      <c r="AN593" s="840"/>
      <c r="AO593" s="840"/>
      <c r="AP593" s="840"/>
      <c r="AQ593" s="840"/>
      <c r="AR593" s="840"/>
      <c r="BQ593" s="7"/>
      <c r="BT593"/>
      <c r="BU593"/>
      <c r="BV593"/>
      <c r="BW593"/>
      <c r="BX593"/>
      <c r="BY593"/>
      <c r="BZ593"/>
      <c r="CA593"/>
      <c r="CB593"/>
      <c r="CC593"/>
    </row>
    <row r="594" spans="2:81" s="872" customFormat="1">
      <c r="B594" s="875" t="str">
        <f>+B587</f>
        <v xml:space="preserve">Azure </v>
      </c>
      <c r="D594" s="228"/>
      <c r="E594" s="228"/>
      <c r="F594" s="228"/>
      <c r="G594" s="228"/>
      <c r="H594" s="228"/>
      <c r="I594" s="228"/>
      <c r="J594" s="228"/>
      <c r="K594" s="228"/>
      <c r="L594" s="228"/>
      <c r="M594" s="228"/>
      <c r="N594" s="228"/>
      <c r="O594" s="228"/>
      <c r="P594" s="228"/>
      <c r="Q594" s="228"/>
      <c r="R594" s="228"/>
      <c r="S594" s="228"/>
      <c r="T594" s="228"/>
      <c r="U594" s="228"/>
      <c r="V594" s="228"/>
      <c r="W594" s="228"/>
      <c r="X594" s="228"/>
      <c r="Y594" s="228"/>
      <c r="Z594" s="228"/>
      <c r="AA594" s="228"/>
      <c r="AB594" s="228"/>
      <c r="AC594" s="228"/>
      <c r="AD594" s="228"/>
      <c r="AE594" s="228"/>
      <c r="AF594" s="228"/>
      <c r="AG594" s="228"/>
      <c r="AH594" s="228"/>
      <c r="AI594" s="228"/>
      <c r="AJ594" s="228"/>
      <c r="AK594" s="228"/>
      <c r="AL594" s="228"/>
      <c r="AM594" s="228"/>
      <c r="AN594" s="228">
        <f>+AN587+AJ587</f>
        <v>0.64000000000000035</v>
      </c>
      <c r="AO594" s="228">
        <f t="shared" ref="AO594:AQ594" si="2477">+AO587+AK587</f>
        <v>0.64500000000000002</v>
      </c>
      <c r="AP594" s="228">
        <f t="shared" si="2477"/>
        <v>0.68000000000000016</v>
      </c>
      <c r="AQ594" s="228">
        <f t="shared" si="2477"/>
        <v>0.68000000000000016</v>
      </c>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f>+BP587+BO587</f>
        <v>0.6624423058441784</v>
      </c>
      <c r="BQ594"/>
      <c r="BT594"/>
      <c r="BU594"/>
      <c r="BV594"/>
      <c r="BW594"/>
      <c r="BX594"/>
      <c r="BY594"/>
      <c r="BZ594"/>
      <c r="CA594"/>
      <c r="CB594"/>
      <c r="CC594"/>
    </row>
    <row r="595" spans="2:81" s="1159" customFormat="1" ht="11.45">
      <c r="B595" s="875" t="str">
        <f>+B588</f>
        <v xml:space="preserve">Server Products </v>
      </c>
      <c r="D595" s="840"/>
      <c r="E595" s="840"/>
      <c r="F595" s="840"/>
      <c r="G595" s="840"/>
      <c r="H595" s="840"/>
      <c r="I595" s="840"/>
      <c r="J595" s="840"/>
      <c r="K595" s="840"/>
      <c r="L595" s="840"/>
      <c r="M595" s="840"/>
      <c r="N595" s="840"/>
      <c r="O595" s="840"/>
      <c r="P595" s="840"/>
      <c r="Q595" s="840"/>
      <c r="R595" s="840"/>
      <c r="S595" s="840"/>
      <c r="T595" s="840"/>
      <c r="U595" s="840"/>
      <c r="V595" s="840"/>
      <c r="W595" s="840"/>
      <c r="X595" s="840"/>
      <c r="Y595" s="840"/>
      <c r="Z595" s="840"/>
      <c r="AA595" s="840"/>
      <c r="AB595" s="840"/>
      <c r="AC595" s="840"/>
      <c r="AD595" s="840"/>
      <c r="AE595" s="840"/>
      <c r="AF595" s="840"/>
      <c r="AG595" s="840"/>
      <c r="AH595" s="840"/>
      <c r="AI595" s="840"/>
      <c r="AJ595" s="840"/>
      <c r="AK595" s="840"/>
      <c r="AL595" s="840"/>
      <c r="AM595" s="840"/>
      <c r="AN595" s="840">
        <f t="shared" ref="AN595:AQ595" si="2478">+AN588+AJ588</f>
        <v>3.3625992319538556E-2</v>
      </c>
      <c r="AO595" s="840">
        <f t="shared" si="2478"/>
        <v>1.1688414964755173E-3</v>
      </c>
      <c r="AP595" s="840">
        <f t="shared" si="2478"/>
        <v>4.603810815034616E-2</v>
      </c>
      <c r="AQ595" s="840">
        <f t="shared" si="2478"/>
        <v>1.0438299593444115E-2</v>
      </c>
      <c r="AR595" s="228"/>
      <c r="AS595" s="840"/>
      <c r="AT595" s="840"/>
      <c r="AU595" s="840"/>
      <c r="AV595" s="840"/>
      <c r="AW595" s="840"/>
      <c r="AX595" s="840"/>
      <c r="AY595" s="840"/>
      <c r="AZ595" s="840"/>
      <c r="BA595" s="840"/>
      <c r="BB595" s="840"/>
      <c r="BC595" s="840"/>
      <c r="BD595" s="840"/>
      <c r="BE595" s="840"/>
      <c r="BF595" s="840"/>
      <c r="BG595" s="840"/>
      <c r="BH595" s="840"/>
      <c r="BI595" s="840"/>
      <c r="BJ595" s="840"/>
      <c r="BK595" s="840"/>
      <c r="BL595" s="840"/>
      <c r="BM595" s="840"/>
      <c r="BN595" s="840"/>
      <c r="BO595" s="840"/>
      <c r="BP595" s="840">
        <f>+BP588+BO588</f>
        <v>2.2232399106306255E-2</v>
      </c>
      <c r="BQ595" s="100"/>
      <c r="BT595"/>
      <c r="BU595"/>
      <c r="BV595"/>
      <c r="BW595"/>
      <c r="BX595"/>
      <c r="BY595"/>
      <c r="BZ595"/>
      <c r="CA595"/>
      <c r="CB595"/>
      <c r="CC595"/>
    </row>
    <row r="596" spans="2:81" s="872" customFormat="1" ht="11.45">
      <c r="B596" s="1160" t="str">
        <f>+B589</f>
        <v>Server Products and Cloud Services</v>
      </c>
      <c r="D596" s="228"/>
      <c r="E596" s="228"/>
      <c r="F596" s="228"/>
      <c r="G596" s="228"/>
      <c r="H596" s="228"/>
      <c r="I596" s="228"/>
      <c r="J596" s="228"/>
      <c r="K596" s="228"/>
      <c r="L596" s="228"/>
      <c r="M596" s="228"/>
      <c r="N596" s="228"/>
      <c r="O596" s="228"/>
      <c r="P596" s="228"/>
      <c r="Q596" s="228"/>
      <c r="R596" s="228"/>
      <c r="S596" s="228"/>
      <c r="T596" s="228"/>
      <c r="U596" s="228"/>
      <c r="V596" s="228"/>
      <c r="W596" s="228"/>
      <c r="X596" s="228"/>
      <c r="Y596" s="228"/>
      <c r="Z596" s="228"/>
      <c r="AA596" s="228"/>
      <c r="AB596" s="228"/>
      <c r="AC596" s="228"/>
      <c r="AD596" s="228"/>
      <c r="AE596" s="228"/>
      <c r="AF596" s="228"/>
      <c r="AG596" s="228"/>
      <c r="AH596" s="228"/>
      <c r="AI596" s="228"/>
      <c r="AJ596" s="228"/>
      <c r="AK596" s="228"/>
      <c r="AL596" s="228"/>
      <c r="AM596" s="228"/>
      <c r="AN596" s="228">
        <f t="shared" ref="AN596:AQ596" si="2479">+AN589+AJ589</f>
        <v>0.44150834184542043</v>
      </c>
      <c r="AO596" s="228">
        <f t="shared" si="2479"/>
        <v>0.43901296066612949</v>
      </c>
      <c r="AP596" s="228">
        <f t="shared" si="2479"/>
        <v>0.4807178698815282</v>
      </c>
      <c r="AQ596" s="228">
        <f t="shared" si="2479"/>
        <v>0.46487475088013586</v>
      </c>
      <c r="AR596" s="840"/>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f>+BP589+BO589</f>
        <v>0.45721788091518945</v>
      </c>
      <c r="BT596" s="100"/>
      <c r="BU596" s="100"/>
      <c r="BV596" s="100"/>
      <c r="BW596" s="100"/>
      <c r="BX596" s="100"/>
      <c r="BY596" s="100"/>
      <c r="BZ596" s="100"/>
      <c r="CA596" s="100"/>
      <c r="CB596" s="100"/>
      <c r="CC596" s="100"/>
    </row>
    <row r="597" spans="2:81" s="1159" customFormat="1" ht="11.45">
      <c r="B597" s="875" t="str">
        <f>+B590</f>
        <v xml:space="preserve">Enterprise Services </v>
      </c>
      <c r="D597" s="840"/>
      <c r="E597" s="840"/>
      <c r="F597" s="840"/>
      <c r="G597" s="840"/>
      <c r="H597" s="840"/>
      <c r="I597" s="840"/>
      <c r="J597" s="840"/>
      <c r="K597" s="840"/>
      <c r="L597" s="840"/>
      <c r="M597" s="840"/>
      <c r="N597" s="840"/>
      <c r="O597" s="840"/>
      <c r="P597" s="840"/>
      <c r="Q597" s="840"/>
      <c r="R597" s="840"/>
      <c r="S597" s="840"/>
      <c r="T597" s="840"/>
      <c r="U597" s="840"/>
      <c r="V597" s="840"/>
      <c r="W597" s="840"/>
      <c r="X597" s="840"/>
      <c r="Y597" s="840"/>
      <c r="Z597" s="840"/>
      <c r="AA597" s="840"/>
      <c r="AB597" s="840"/>
      <c r="AC597" s="840"/>
      <c r="AD597" s="840"/>
      <c r="AE597" s="840"/>
      <c r="AF597" s="840"/>
      <c r="AG597" s="840"/>
      <c r="AH597" s="840"/>
      <c r="AI597" s="840"/>
      <c r="AJ597" s="840"/>
      <c r="AK597" s="840"/>
      <c r="AL597" s="840"/>
      <c r="AM597" s="840"/>
      <c r="AN597" s="840">
        <f t="shared" ref="AN597:AQ597" si="2480">+AN590+AJ590</f>
        <v>4.1809180918090938E-3</v>
      </c>
      <c r="AO597" s="840">
        <f t="shared" si="2480"/>
        <v>3.0000000000000009E-2</v>
      </c>
      <c r="AP597" s="840">
        <f t="shared" si="2480"/>
        <v>-8.9999999999999969E-2</v>
      </c>
      <c r="AQ597" s="840">
        <f t="shared" si="2480"/>
        <v>-7.0000000000000062E-2</v>
      </c>
      <c r="AR597" s="1349"/>
      <c r="AS597" s="840"/>
      <c r="AT597" s="840"/>
      <c r="AU597" s="840"/>
      <c r="AV597" s="840"/>
      <c r="AW597" s="840"/>
      <c r="AX597" s="840"/>
      <c r="AY597" s="840"/>
      <c r="AZ597" s="840"/>
      <c r="BA597" s="840"/>
      <c r="BB597" s="840"/>
      <c r="BC597" s="840"/>
      <c r="BD597" s="840"/>
      <c r="BE597" s="840"/>
      <c r="BF597" s="840"/>
      <c r="BG597" s="840"/>
      <c r="BH597" s="840"/>
      <c r="BI597" s="840"/>
      <c r="BJ597" s="840"/>
      <c r="BK597" s="840"/>
      <c r="BL597" s="840"/>
      <c r="BM597" s="840"/>
      <c r="BN597" s="840"/>
      <c r="BO597" s="840"/>
      <c r="BP597" s="840">
        <f>+BP590+BO590</f>
        <v>-2.9697811562841236E-2</v>
      </c>
      <c r="BT597" s="1112"/>
      <c r="BU597" s="1112"/>
      <c r="BV597" s="1112"/>
      <c r="BW597" s="1112"/>
      <c r="BX597" s="1112"/>
      <c r="BY597" s="1112"/>
      <c r="BZ597" s="1112"/>
      <c r="CA597" s="1112"/>
      <c r="CB597" s="1112"/>
      <c r="CC597" s="1112"/>
    </row>
    <row r="598" spans="2:81" s="1162" customFormat="1">
      <c r="B598" s="1163" t="str">
        <f>+B591</f>
        <v>Total IC Revenue</v>
      </c>
      <c r="D598" s="842"/>
      <c r="E598" s="842"/>
      <c r="F598" s="842"/>
      <c r="G598" s="842"/>
      <c r="H598" s="842"/>
      <c r="I598" s="842"/>
      <c r="J598" s="842"/>
      <c r="K598" s="842"/>
      <c r="L598" s="842"/>
      <c r="M598" s="842"/>
      <c r="N598" s="842"/>
      <c r="O598" s="842"/>
      <c r="P598" s="842"/>
      <c r="Q598" s="842"/>
      <c r="R598" s="842"/>
      <c r="S598" s="842"/>
      <c r="T598" s="842"/>
      <c r="U598" s="842"/>
      <c r="V598" s="842"/>
      <c r="W598" s="842"/>
      <c r="X598" s="842"/>
      <c r="Y598" s="842"/>
      <c r="Z598" s="842"/>
      <c r="AA598" s="842"/>
      <c r="AB598" s="842"/>
      <c r="AC598" s="842"/>
      <c r="AD598" s="842"/>
      <c r="AE598" s="842"/>
      <c r="AF598" s="842"/>
      <c r="AG598" s="842"/>
      <c r="AH598" s="842"/>
      <c r="AI598" s="842"/>
      <c r="AJ598" s="842"/>
      <c r="AK598" s="842"/>
      <c r="AL598" s="842"/>
      <c r="AM598" s="842"/>
      <c r="AN598" s="842">
        <f t="shared" ref="AN598:AQ598" si="2481">+AN591+AJ591</f>
        <v>0.38907070191168747</v>
      </c>
      <c r="AO598" s="842">
        <f t="shared" si="2481"/>
        <v>0.39468853787108515</v>
      </c>
      <c r="AP598" s="842">
        <f t="shared" si="2481"/>
        <v>0.42445321820705506</v>
      </c>
      <c r="AQ598" s="842">
        <f t="shared" si="2481"/>
        <v>0.4164380590290524</v>
      </c>
      <c r="AR598" s="100"/>
      <c r="AS598" s="842"/>
      <c r="AT598" s="842"/>
      <c r="AU598" s="842"/>
      <c r="AV598" s="842"/>
      <c r="AW598" s="842"/>
      <c r="AX598" s="842"/>
      <c r="AY598" s="842"/>
      <c r="AZ598" s="842"/>
      <c r="BA598" s="842"/>
      <c r="BB598" s="842"/>
      <c r="BC598" s="842"/>
      <c r="BD598" s="842"/>
      <c r="BE598" s="842"/>
      <c r="BF598" s="842"/>
      <c r="BG598" s="842"/>
      <c r="BH598" s="842"/>
      <c r="BI598" s="842"/>
      <c r="BJ598" s="842"/>
      <c r="BK598" s="842"/>
      <c r="BL598" s="842"/>
      <c r="BM598" s="842"/>
      <c r="BN598" s="842"/>
      <c r="BO598" s="842"/>
      <c r="BP598" s="842">
        <f>+BP591+BO591</f>
        <v>0.40676861250851837</v>
      </c>
      <c r="BQ598" s="872"/>
      <c r="BT598" s="100"/>
      <c r="BU598" s="100"/>
      <c r="BV598" s="100"/>
      <c r="BW598" s="100"/>
      <c r="BX598" s="100"/>
      <c r="BY598" s="100"/>
      <c r="BZ598" s="100"/>
      <c r="CA598" s="100"/>
      <c r="CB598" s="100"/>
      <c r="CC598" s="100"/>
    </row>
    <row r="599" spans="2:81" s="100" customFormat="1">
      <c r="H599" s="880"/>
      <c r="I599" s="880"/>
      <c r="J599" s="880"/>
      <c r="K599" s="880"/>
      <c r="L599" s="880"/>
      <c r="M599" s="880"/>
      <c r="N599" s="880"/>
      <c r="O599" s="880"/>
      <c r="P599" s="880"/>
      <c r="Q599" s="880"/>
      <c r="R599" s="880"/>
      <c r="S599" s="880"/>
      <c r="T599" s="880"/>
      <c r="U599" s="880"/>
      <c r="V599" s="880"/>
      <c r="W599" s="880"/>
      <c r="X599" s="880"/>
      <c r="Y599" s="880"/>
      <c r="Z599" s="880"/>
      <c r="AA599" s="880"/>
      <c r="AB599" s="880"/>
      <c r="AC599" s="880"/>
      <c r="AD599" s="880"/>
      <c r="AE599" s="880"/>
      <c r="AF599" s="880"/>
      <c r="AG599" s="880"/>
      <c r="AH599" s="880"/>
      <c r="AI599" s="880"/>
      <c r="BQ599" s="1161"/>
      <c r="BR599" s="11"/>
    </row>
    <row r="600" spans="2:81">
      <c r="BT600" s="1161"/>
      <c r="BU600" s="1161"/>
      <c r="BV600" s="1161"/>
      <c r="BW600" s="1161"/>
      <c r="BX600" s="1161"/>
      <c r="BY600" s="1161"/>
      <c r="BZ600" s="1161"/>
      <c r="CA600" s="1161"/>
      <c r="CB600" s="1161"/>
      <c r="CC600" s="1161"/>
    </row>
    <row r="601" spans="2:81" s="1518" customFormat="1" ht="10.5" outlineLevel="1">
      <c r="B601" s="1516" t="s">
        <v>436</v>
      </c>
      <c r="C601" s="1517"/>
      <c r="BT601" s="1543"/>
      <c r="BU601" s="1543"/>
      <c r="BV601" s="1543"/>
      <c r="BW601" s="1543"/>
      <c r="BX601" s="1543"/>
      <c r="BY601" s="1543"/>
      <c r="BZ601" s="1543"/>
      <c r="CA601" s="1543"/>
      <c r="CB601" s="1543"/>
      <c r="CC601" s="1543"/>
    </row>
    <row r="602" spans="2:81" s="1518" customFormat="1" outlineLevel="1">
      <c r="BT602" s="1543"/>
      <c r="BU602" s="1543"/>
      <c r="BV602" s="1543"/>
      <c r="BW602" s="1543"/>
      <c r="BX602" s="1543"/>
      <c r="BY602" s="1543"/>
      <c r="BZ602" s="1543"/>
      <c r="CA602" s="1543"/>
      <c r="CB602" s="1543"/>
      <c r="CC602" s="1543"/>
    </row>
    <row r="603" spans="2:81" s="1518" customFormat="1" outlineLevel="1">
      <c r="B603" s="1518" t="s">
        <v>86</v>
      </c>
      <c r="H603" s="1521">
        <f t="shared" ref="H603:AM603" si="2482">+H224</f>
        <v>6097</v>
      </c>
      <c r="I603" s="1521">
        <f t="shared" si="2482"/>
        <v>6758</v>
      </c>
      <c r="J603" s="1521">
        <f t="shared" si="2482"/>
        <v>6730</v>
      </c>
      <c r="K603" s="1521">
        <f t="shared" si="2482"/>
        <v>7822</v>
      </c>
      <c r="L603" s="1521">
        <f t="shared" si="2482"/>
        <v>6922</v>
      </c>
      <c r="M603" s="1521">
        <f t="shared" si="2482"/>
        <v>7795</v>
      </c>
      <c r="N603" s="1521">
        <f t="shared" si="2482"/>
        <v>7896</v>
      </c>
      <c r="O603" s="1521">
        <f t="shared" si="2482"/>
        <v>9606</v>
      </c>
      <c r="P603" s="1521">
        <f t="shared" si="2482"/>
        <v>8567</v>
      </c>
      <c r="Q603" s="1521">
        <f t="shared" si="2482"/>
        <v>9378</v>
      </c>
      <c r="R603" s="1521">
        <f t="shared" si="2482"/>
        <v>9649</v>
      </c>
      <c r="S603" s="1521">
        <f t="shared" si="2482"/>
        <v>11391</v>
      </c>
      <c r="T603" s="1521">
        <f t="shared" si="2482"/>
        <v>10845</v>
      </c>
      <c r="U603" s="1521">
        <f t="shared" si="2482"/>
        <v>11869</v>
      </c>
      <c r="V603" s="1521">
        <f t="shared" si="2482"/>
        <v>12281</v>
      </c>
      <c r="W603" s="1521">
        <f t="shared" si="2482"/>
        <v>13371</v>
      </c>
      <c r="X603" s="1521">
        <f t="shared" si="2482"/>
        <v>12986</v>
      </c>
      <c r="Y603" s="1521">
        <f t="shared" si="2482"/>
        <v>14601</v>
      </c>
      <c r="Z603" s="1521">
        <f t="shared" si="2482"/>
        <v>15118</v>
      </c>
      <c r="AA603" s="1521">
        <f t="shared" si="2482"/>
        <v>17375</v>
      </c>
      <c r="AB603" s="1521">
        <f t="shared" si="2482"/>
        <v>16964</v>
      </c>
      <c r="AC603" s="1521">
        <f t="shared" si="2482"/>
        <v>18327</v>
      </c>
      <c r="AD603" s="1521">
        <f t="shared" si="2482"/>
        <v>19051</v>
      </c>
      <c r="AE603" s="1521">
        <f t="shared" si="2482"/>
        <v>20909</v>
      </c>
      <c r="AF603" s="1521">
        <f t="shared" si="2482"/>
        <v>20325</v>
      </c>
      <c r="AG603" s="1521">
        <f t="shared" si="2482"/>
        <v>21508</v>
      </c>
      <c r="AH603" s="1521">
        <f t="shared" si="2482"/>
        <v>22081</v>
      </c>
      <c r="AI603" s="1521">
        <f t="shared" si="2482"/>
        <v>23993</v>
      </c>
      <c r="AJ603" s="1521">
        <f t="shared" si="2482"/>
        <v>24259</v>
      </c>
      <c r="AK603" s="1521">
        <f t="shared" si="2482"/>
        <v>25880</v>
      </c>
      <c r="AL603" s="1521">
        <f t="shared" si="2482"/>
        <v>26708</v>
      </c>
      <c r="AM603" s="1521">
        <f t="shared" si="2482"/>
        <v>28515</v>
      </c>
      <c r="AN603" s="1521">
        <f t="shared" ref="AN603:AQ603" si="2483">AN650</f>
        <v>28786.466269840344</v>
      </c>
      <c r="AO603" s="1521">
        <f t="shared" si="2483"/>
        <v>30836.678296588609</v>
      </c>
      <c r="AP603" s="1521">
        <f t="shared" si="2483"/>
        <v>31801.478778377572</v>
      </c>
      <c r="AQ603" s="1521">
        <f t="shared" si="2483"/>
        <v>34338.436134781681</v>
      </c>
      <c r="BB603" s="1521">
        <f>+BB224</f>
        <v>21735</v>
      </c>
      <c r="BC603" s="1521">
        <f>+BC224</f>
        <v>23715</v>
      </c>
      <c r="BD603" s="1521">
        <f>+BD224</f>
        <v>25042</v>
      </c>
      <c r="BE603" s="1521">
        <f>+BE224</f>
        <v>27440</v>
      </c>
      <c r="BG603" s="1521">
        <f>SUM('VA segmentation'!Y159:AB159)</f>
        <v>24952</v>
      </c>
      <c r="BH603" s="1521">
        <f t="shared" ref="BH603:BM603" si="2484">+BH224</f>
        <v>27407</v>
      </c>
      <c r="BI603" s="1521">
        <f t="shared" si="2484"/>
        <v>32219</v>
      </c>
      <c r="BJ603" s="1521">
        <f t="shared" si="2484"/>
        <v>38985</v>
      </c>
      <c r="BK603" s="1521">
        <f t="shared" si="2484"/>
        <v>48366</v>
      </c>
      <c r="BL603" s="1521">
        <f t="shared" si="2484"/>
        <v>60080</v>
      </c>
      <c r="BM603" s="1521">
        <f t="shared" si="2484"/>
        <v>75251</v>
      </c>
      <c r="BN603" s="1521">
        <f>SUM(AF603:AI603)</f>
        <v>87907</v>
      </c>
      <c r="BO603" s="1521">
        <f>SUM(AJ603:AM603)</f>
        <v>105362</v>
      </c>
      <c r="BP603" s="1521">
        <f>+SUM(AN603:AQ603)</f>
        <v>125763.05947958821</v>
      </c>
    </row>
    <row r="604" spans="2:81" s="1518" customFormat="1" outlineLevel="1">
      <c r="B604" s="1539" t="s">
        <v>113</v>
      </c>
      <c r="L604" s="1525">
        <f t="shared" ref="L604:M604" si="2485">+L603/H603-1</f>
        <v>0.13531244874528459</v>
      </c>
      <c r="M604" s="1525">
        <f t="shared" si="2485"/>
        <v>0.1534477656111275</v>
      </c>
      <c r="N604" s="1525">
        <f>+N603/J603-1</f>
        <v>0.17325408618127791</v>
      </c>
      <c r="O604" s="1525">
        <f>+O603/K603-1</f>
        <v>0.22807466121196618</v>
      </c>
      <c r="P604" s="1525">
        <f t="shared" ref="P604:V604" si="2486">+P603/L603-1</f>
        <v>0.23764807859000281</v>
      </c>
      <c r="Q604" s="1525">
        <f t="shared" si="2486"/>
        <v>0.2030788967286723</v>
      </c>
      <c r="R604" s="1525">
        <f t="shared" si="2486"/>
        <v>0.22201114488348539</v>
      </c>
      <c r="S604" s="1525">
        <f t="shared" si="2486"/>
        <v>0.18582136164896945</v>
      </c>
      <c r="T604" s="1525">
        <f t="shared" si="2486"/>
        <v>0.26590405042605347</v>
      </c>
      <c r="U604" s="1525">
        <f t="shared" si="2486"/>
        <v>0.26562166773299212</v>
      </c>
      <c r="V604" s="1525">
        <f t="shared" si="2486"/>
        <v>0.27277438076484617</v>
      </c>
      <c r="W604" s="1525">
        <f>+W603/S603-1</f>
        <v>0.17382143797735061</v>
      </c>
      <c r="X604" s="1525">
        <f>+X603/T603-1</f>
        <v>0.19741816505301979</v>
      </c>
      <c r="Y604" s="1525">
        <f t="shared" ref="Y604" si="2487">+Y603/U603-1</f>
        <v>0.23017945909512183</v>
      </c>
      <c r="Z604" s="1525">
        <f t="shared" ref="Z604" si="2488">+Z603/V603-1</f>
        <v>0.23100724696685937</v>
      </c>
      <c r="AA604" s="1525">
        <f t="shared" ref="AA604" si="2489">+AA603/W603-1</f>
        <v>0.29945404233041661</v>
      </c>
      <c r="AB604" s="1525">
        <f t="shared" ref="AB604" si="2490">+AB603/X603-1</f>
        <v>0.30632989373171116</v>
      </c>
      <c r="AC604" s="1525">
        <f t="shared" ref="AC604" si="2491">+AC603/Y603-1</f>
        <v>0.25518800082186144</v>
      </c>
      <c r="AD604" s="1525">
        <f t="shared" ref="AD604" si="2492">+AD603/Z603-1</f>
        <v>0.2601534594523085</v>
      </c>
      <c r="AE604" s="1525">
        <f t="shared" ref="AE604" si="2493">+AE603/AA603-1</f>
        <v>0.20339568345323733</v>
      </c>
      <c r="AF604" s="1525">
        <f t="shared" ref="AF604" si="2494">+AF603/AB603-1</f>
        <v>0.19812544211270922</v>
      </c>
      <c r="AG604" s="1525">
        <f t="shared" ref="AG604" si="2495">+AG603/AC603-1</f>
        <v>0.17356905112675292</v>
      </c>
      <c r="AH604" s="1525">
        <f t="shared" ref="AH604" si="2496">+AH603/AD603-1</f>
        <v>0.15904676919846716</v>
      </c>
      <c r="AI604" s="1525">
        <f t="shared" ref="AI604" si="2497">+AI603/AE603-1</f>
        <v>0.14749629346214554</v>
      </c>
      <c r="AJ604" s="1525">
        <f t="shared" ref="AJ604:AK604" si="2498">+AJ603/AF603-1</f>
        <v>0.19355473554735547</v>
      </c>
      <c r="AK604" s="1525">
        <f t="shared" si="2498"/>
        <v>0.20327320066951837</v>
      </c>
      <c r="AL604" s="1525">
        <f t="shared" ref="AL604" si="2499">+AL603/AH603-1</f>
        <v>0.20954666908201625</v>
      </c>
      <c r="AM604" s="1525">
        <f t="shared" ref="AM604" si="2500">+AM603/AI603-1</f>
        <v>0.1884716375609552</v>
      </c>
      <c r="AN604" s="1525">
        <f t="shared" ref="AN604" si="2501">+AN603/AJ603-1</f>
        <v>0.18663037511193137</v>
      </c>
      <c r="AO604" s="1525">
        <f t="shared" ref="AO604" si="2502">+AO603/AK603-1</f>
        <v>0.19152543649878706</v>
      </c>
      <c r="AP604" s="1525">
        <f t="shared" ref="AP604" si="2503">+AP603/AL603-1</f>
        <v>0.19070985391558981</v>
      </c>
      <c r="AQ604" s="1525">
        <f t="shared" ref="AQ604" si="2504">+AQ603/AM603-1</f>
        <v>0.20422360633988013</v>
      </c>
      <c r="BC604" s="1525">
        <f t="shared" ref="BC604:BE604" si="2505">+BC603/BB603-1</f>
        <v>9.109730848861286E-2</v>
      </c>
      <c r="BD604" s="1525">
        <f t="shared" si="2505"/>
        <v>5.5956145899219933E-2</v>
      </c>
      <c r="BE604" s="1525">
        <f t="shared" si="2505"/>
        <v>9.5759124670553364E-2</v>
      </c>
      <c r="BG604" s="1526">
        <f>+BD604</f>
        <v>5.5956145899219933E-2</v>
      </c>
      <c r="BH604" s="1525">
        <f>+BH603/BG603-1</f>
        <v>9.8388906700865641E-2</v>
      </c>
      <c r="BI604" s="1525">
        <f>+BI603/BH603-1</f>
        <v>0.17557558288028607</v>
      </c>
      <c r="BJ604" s="1525">
        <f t="shared" ref="BJ604" si="2506">+BJ603/BI603-1</f>
        <v>0.2100003103758652</v>
      </c>
      <c r="BK604" s="1525">
        <f t="shared" ref="BK604" si="2507">+BK603/BJ603-1</f>
        <v>0.24063101192766445</v>
      </c>
      <c r="BL604" s="1525">
        <f t="shared" ref="BL604" si="2508">+BL603/BK603-1</f>
        <v>0.24219493032295425</v>
      </c>
      <c r="BM604" s="1525">
        <f t="shared" ref="BM604" si="2509">+BM603/BL603-1</f>
        <v>0.25251331557922763</v>
      </c>
      <c r="BN604" s="1525">
        <f t="shared" ref="BN604" si="2510">+BN603/BM603-1</f>
        <v>0.16818381151081052</v>
      </c>
      <c r="BO604" s="1525">
        <f t="shared" ref="BO604" si="2511">+BO603/BN603-1</f>
        <v>0.19856211678250868</v>
      </c>
      <c r="BP604" s="1525">
        <f t="shared" ref="BP604" si="2512">+BP603/BO603-1</f>
        <v>0.19362824813109292</v>
      </c>
      <c r="BT604" s="1519"/>
      <c r="BU604" s="1519"/>
      <c r="BV604" s="1519"/>
      <c r="BW604" s="1519"/>
      <c r="BX604" s="1519"/>
      <c r="BY604" s="1519"/>
      <c r="BZ604" s="1519"/>
      <c r="CA604" s="1519"/>
      <c r="CB604" s="1519"/>
      <c r="CC604" s="1519"/>
    </row>
    <row r="605" spans="2:81" s="1518" customFormat="1" outlineLevel="1">
      <c r="B605" s="1539" t="s">
        <v>272</v>
      </c>
      <c r="L605" s="1528">
        <v>0.13</v>
      </c>
      <c r="M605" s="1528">
        <v>0.15</v>
      </c>
      <c r="N605" s="1528">
        <v>0.15</v>
      </c>
      <c r="O605" s="1528">
        <v>0.2</v>
      </c>
      <c r="P605" s="1528">
        <v>0.24</v>
      </c>
      <c r="Q605" s="1528">
        <v>0.21</v>
      </c>
      <c r="R605" s="1528">
        <v>0.24</v>
      </c>
      <c r="S605" s="1528">
        <v>0.21</v>
      </c>
      <c r="T605" s="1528">
        <v>0.28999999999999998</v>
      </c>
      <c r="U605" s="1528">
        <v>0.28000000000000003</v>
      </c>
      <c r="V605" s="1528">
        <v>0.28999999999999998</v>
      </c>
      <c r="W605" s="1528">
        <v>0.19</v>
      </c>
      <c r="X605" s="1528">
        <v>0.19</v>
      </c>
      <c r="Y605" s="1528">
        <v>0.22</v>
      </c>
      <c r="Z605" s="1528">
        <v>0.2</v>
      </c>
      <c r="AA605" s="1528">
        <v>0.255</v>
      </c>
      <c r="AB605" s="1528">
        <v>0.28999999999999998</v>
      </c>
      <c r="AC605" s="1528">
        <v>0.26</v>
      </c>
      <c r="AD605" s="1528">
        <v>0.28999999999999998</v>
      </c>
      <c r="AE605" s="1528">
        <v>0.25</v>
      </c>
      <c r="AF605" s="1528">
        <v>0.26</v>
      </c>
      <c r="AG605" s="1528">
        <v>0.24</v>
      </c>
      <c r="AH605" s="1528">
        <v>0.19</v>
      </c>
      <c r="AI605" s="1528">
        <v>0.17</v>
      </c>
      <c r="AJ605" s="1528">
        <v>0.19</v>
      </c>
      <c r="AK605" s="1528">
        <v>0.19</v>
      </c>
      <c r="AL605" s="1528">
        <v>0.21</v>
      </c>
      <c r="AM605" s="1528">
        <v>0.2</v>
      </c>
      <c r="AN605" s="1536">
        <f t="shared" ref="AN605:AQ605" si="2513">+AN$14-AN$13+AN604</f>
        <v>0.1904935667179968</v>
      </c>
      <c r="AO605" s="1536">
        <f t="shared" si="2513"/>
        <v>0.19295518342064999</v>
      </c>
      <c r="AP605" s="1536">
        <f t="shared" si="2513"/>
        <v>0.20676628506220585</v>
      </c>
      <c r="AQ605" s="1536">
        <f t="shared" si="2513"/>
        <v>0.21449095037569377</v>
      </c>
      <c r="BI605" s="1529">
        <f>+SUMPRODUCT(L605:O605,H603:K603)/BH603</f>
        <v>0.1598208486882913</v>
      </c>
      <c r="BJ605" s="1529">
        <f>+SUMPRODUCT(P605:S605,L603:O603)/BI603</f>
        <v>0.22379744871038831</v>
      </c>
      <c r="BK605" s="1529">
        <f>+SUMPRODUCT(T605:W605,P603:S603)/BJ603</f>
        <v>0.25837552904963451</v>
      </c>
      <c r="BL605" s="1529">
        <f>+SUMPRODUCT(X605:AA605,T603:W603)/BK603</f>
        <v>0.21787071496505808</v>
      </c>
      <c r="BM605" s="1529">
        <f>+SUMPRODUCT(AB605:AE605,X603:AA603)/BL603</f>
        <v>0.2711413115845539</v>
      </c>
      <c r="BN605" s="1529">
        <f>+SUMPRODUCT(AF605:AI605,AB603:AE603)/BM603</f>
        <v>0.2124003667725346</v>
      </c>
      <c r="BO605" s="1529">
        <f>+SUMPRODUCT(AJ605:AM605,AF603:AI603)/BN603</f>
        <v>0.19775307995950267</v>
      </c>
      <c r="BP605" s="1529">
        <f>+SUMPRODUCT(AN605:AQ605,AJ603:AM603)/BO603</f>
        <v>0.20171776326704699</v>
      </c>
      <c r="BT605" s="1576"/>
      <c r="BU605" s="1576"/>
      <c r="BV605" s="1576"/>
      <c r="BW605" s="1576"/>
      <c r="BX605" s="1576"/>
      <c r="BY605" s="1576"/>
      <c r="BZ605" s="1576"/>
      <c r="CA605" s="1576"/>
      <c r="CB605" s="1576"/>
      <c r="CC605" s="1576"/>
    </row>
    <row r="606" spans="2:81" s="1518" customFormat="1" outlineLevel="1">
      <c r="BT606" s="1519"/>
      <c r="BU606" s="1519"/>
      <c r="BV606" s="1519"/>
      <c r="BW606" s="1519"/>
      <c r="BX606" s="1519"/>
      <c r="BY606" s="1519"/>
      <c r="BZ606" s="1519"/>
      <c r="CA606" s="1519"/>
      <c r="CB606" s="1519"/>
      <c r="CC606" s="1519"/>
    </row>
    <row r="607" spans="2:81" s="1527" customFormat="1" outlineLevel="1">
      <c r="B607" s="1518" t="s">
        <v>373</v>
      </c>
      <c r="H607" s="1521">
        <f>+'VA segmentation'!AC165</f>
        <v>4113.9295873830997</v>
      </c>
      <c r="I607" s="1521">
        <f>+'VA segmentation'!AD165</f>
        <v>4625.3397837977263</v>
      </c>
      <c r="J607" s="1521">
        <f>+'VA segmentation'!AE165</f>
        <v>4565.7169680380412</v>
      </c>
      <c r="K607" s="1521">
        <f>+'VA segmentation'!AF165</f>
        <v>5295.5794296899394</v>
      </c>
      <c r="L607" s="1521">
        <f>+'VA segmentation'!AG165</f>
        <v>4602.4300508398401</v>
      </c>
      <c r="M607" s="1521">
        <f>+'VA segmentation'!AH165</f>
        <v>5286.5945241063682</v>
      </c>
      <c r="N607" s="1521">
        <f>+'VA segmentation'!AI165</f>
        <v>5336.6467105841048</v>
      </c>
      <c r="O607" s="1521">
        <f>+'VA segmentation'!AJ165</f>
        <v>6547.6280147622338</v>
      </c>
      <c r="P607" s="1521">
        <f>+'VA segmentation'!AK165</f>
        <v>5884.8566021103879</v>
      </c>
      <c r="Q607" s="1521">
        <f>+'VA segmentation'!AL165</f>
        <v>6388.0693760762706</v>
      </c>
      <c r="R607" s="1521">
        <f>+'VA segmentation'!AM165</f>
        <v>6505.8578344890229</v>
      </c>
      <c r="S607" s="1521">
        <f>+'VA segmentation'!AN165</f>
        <v>7811.6232083708392</v>
      </c>
      <c r="T607" s="1521">
        <f>+'VA segmentation'!AO165</f>
        <v>7505.0920513349974</v>
      </c>
      <c r="U607" s="1521">
        <f>+'VA segmentation'!AP165</f>
        <v>8208.8660016121903</v>
      </c>
      <c r="V607" s="1521">
        <f>+'VA segmentation'!AQ165</f>
        <v>8490.519830234145</v>
      </c>
      <c r="W607" s="1521">
        <f>+'VA segmentation'!AR165</f>
        <v>9254.1317998948307</v>
      </c>
      <c r="X607" s="1521">
        <f>+'VA segmentation'!AS165</f>
        <v>9425.182742361827</v>
      </c>
      <c r="Y607" s="1521">
        <f>+'VA segmentation'!AT165</f>
        <v>10582.717832944454</v>
      </c>
      <c r="Z607" s="1521">
        <f>+'VA segmentation'!AU165</f>
        <v>10774.086446588837</v>
      </c>
      <c r="AA607" s="1521">
        <f>+'VA segmentation'!AV165</f>
        <v>12301.387861631672</v>
      </c>
      <c r="AB607" s="1521">
        <f>+'VA segmentation'!AW165</f>
        <v>12084.747721576136</v>
      </c>
      <c r="AC607" s="1521">
        <f>+'VA segmentation'!AX165</f>
        <v>12833.979885810901</v>
      </c>
      <c r="AD607" s="1521">
        <f>+'VA segmentation'!AY165</f>
        <v>13349.484960513082</v>
      </c>
      <c r="AE607" s="1521">
        <f>+'VA segmentation'!AZ165</f>
        <v>14454.49089405837</v>
      </c>
      <c r="AF607" s="1521">
        <f>+AB607*(1+AF608)</f>
        <v>14501.697265891362</v>
      </c>
      <c r="AG607" s="1521">
        <f>+AC607*(1+AG608)</f>
        <v>15015.756466398752</v>
      </c>
      <c r="AH607" s="1521">
        <f>+AD607*(1+AH608)</f>
        <v>15351.907704590043</v>
      </c>
      <c r="AI607" s="1521">
        <f t="shared" ref="AI607" si="2514">+AE607*(1+AI608)</f>
        <v>16767.209437107707</v>
      </c>
      <c r="AJ607" s="1521">
        <f t="shared" ref="AJ607:AK607" si="2515">+AF607*(1+AJ608)</f>
        <v>17402.036719069634</v>
      </c>
      <c r="AK607" s="1521">
        <f t="shared" si="2515"/>
        <v>18018.907759678503</v>
      </c>
      <c r="AL607" s="1521">
        <f t="shared" ref="AL607" si="2516">+AH607*(1+AL608)</f>
        <v>18422.289245508051</v>
      </c>
      <c r="AM607" s="1521">
        <f t="shared" ref="AM607" si="2517">+AI607*(1+AM608)</f>
        <v>19449.96294704494</v>
      </c>
      <c r="AN607" s="1521"/>
      <c r="AO607" s="1521"/>
      <c r="AP607" s="1521"/>
      <c r="AQ607" s="1521"/>
      <c r="BD607" s="1521"/>
      <c r="BG607" s="1521">
        <f>SUM('VA segmentation'!Y165:AB165)</f>
        <v>17972.55148329405</v>
      </c>
      <c r="BH607" s="1521">
        <f>SUM('VA segmentation'!AC165:AF165)</f>
        <v>18600.565768908808</v>
      </c>
      <c r="BI607" s="1521">
        <f>SUM('VA segmentation'!AG165:AJ165)</f>
        <v>21773.299300292547</v>
      </c>
      <c r="BJ607" s="1521">
        <f>SUM(P607:S607)</f>
        <v>26590.407021046522</v>
      </c>
      <c r="BK607" s="1521">
        <f>SUM(T607:W607)</f>
        <v>33458.60968307616</v>
      </c>
      <c r="BL607" s="1521">
        <f>SUM(X607:AA607)</f>
        <v>43083.374883526791</v>
      </c>
      <c r="BM607" s="1521">
        <f>+SUM(AB607:AE607)</f>
        <v>52722.703461958488</v>
      </c>
      <c r="BN607" s="1521">
        <f>+SUM(AF607:AI607)</f>
        <v>61636.570873987861</v>
      </c>
      <c r="BO607" s="1521">
        <f>SUM(AJ607:AM607)</f>
        <v>73293.196671301121</v>
      </c>
      <c r="BP607" s="1521"/>
      <c r="BT607" s="1519"/>
      <c r="BU607" s="1519"/>
      <c r="BV607" s="1519"/>
      <c r="BW607" s="1519"/>
      <c r="BX607" s="1519"/>
      <c r="BY607" s="1519"/>
      <c r="BZ607" s="1519"/>
      <c r="CA607" s="1519"/>
      <c r="CB607" s="1519"/>
      <c r="CC607" s="1519"/>
    </row>
    <row r="608" spans="2:81" s="1527" customFormat="1" outlineLevel="1">
      <c r="B608" s="1539" t="s">
        <v>113</v>
      </c>
      <c r="L608" s="1528">
        <v>0.1</v>
      </c>
      <c r="M608" s="1528">
        <v>0.13</v>
      </c>
      <c r="N608" s="1528">
        <v>0.16</v>
      </c>
      <c r="O608" s="1528">
        <v>0.23</v>
      </c>
      <c r="P608" s="1528">
        <v>0.28000000000000003</v>
      </c>
      <c r="Q608" s="1528">
        <v>0.2</v>
      </c>
      <c r="R608" s="1528">
        <v>0.21</v>
      </c>
      <c r="S608" s="1528">
        <v>0.19</v>
      </c>
      <c r="T608" s="1528">
        <v>0.27</v>
      </c>
      <c r="U608" s="1528">
        <v>0.28000000000000003</v>
      </c>
      <c r="V608" s="1528">
        <v>0.3</v>
      </c>
      <c r="W608" s="1528">
        <v>0.19</v>
      </c>
      <c r="X608" s="1528">
        <v>0.26</v>
      </c>
      <c r="Y608" s="1528">
        <v>0.28999999999999998</v>
      </c>
      <c r="Z608" s="1528">
        <v>0.27</v>
      </c>
      <c r="AA608" s="1528">
        <v>0.32</v>
      </c>
      <c r="AB608" s="1528">
        <v>0.28000000000000003</v>
      </c>
      <c r="AC608" s="1528">
        <v>0.21</v>
      </c>
      <c r="AD608" s="1528">
        <v>0.24</v>
      </c>
      <c r="AE608" s="1528">
        <v>0.15</v>
      </c>
      <c r="AF608" s="1528">
        <v>0.2</v>
      </c>
      <c r="AG608" s="1528">
        <v>0.17</v>
      </c>
      <c r="AH608" s="1528">
        <v>0.15</v>
      </c>
      <c r="AI608" s="1528">
        <v>0.16</v>
      </c>
      <c r="AJ608" s="1528">
        <v>0.2</v>
      </c>
      <c r="AK608" s="1528">
        <v>0.2</v>
      </c>
      <c r="AL608" s="1528">
        <v>0.2</v>
      </c>
      <c r="AM608" s="1528">
        <v>0.16</v>
      </c>
      <c r="AN608" s="1528"/>
      <c r="AO608" s="1528"/>
      <c r="AP608" s="1528"/>
      <c r="AQ608" s="1528"/>
      <c r="BG608" s="1537"/>
      <c r="BH608" s="1537">
        <f>+BH607/BG607-1</f>
        <v>3.4942967680382742E-2</v>
      </c>
      <c r="BI608" s="1537">
        <f t="shared" ref="BI608" si="2518">+BI607/BH607-1</f>
        <v>0.17057188317825389</v>
      </c>
      <c r="BJ608" s="1537">
        <f t="shared" ref="BJ608" si="2519">+BJ607/BI607-1</f>
        <v>0.221239218472014</v>
      </c>
      <c r="BK608" s="1537">
        <f t="shared" ref="BK608" si="2520">+BK607/BJ607-1</f>
        <v>0.2582962591205693</v>
      </c>
      <c r="BL608" s="1537">
        <f t="shared" ref="BL608" si="2521">+BL607/BK607-1</f>
        <v>0.28766183925804234</v>
      </c>
      <c r="BM608" s="1537">
        <f>+BM607/BL607-1</f>
        <v>0.22373661776708587</v>
      </c>
      <c r="BN608" s="1537">
        <f t="shared" ref="BN608" si="2522">+BN607/BM607-1</f>
        <v>0.16907075750508649</v>
      </c>
      <c r="BO608" s="1537">
        <f t="shared" ref="BO608" si="2523">+BO607/BN607-1</f>
        <v>0.1891186617299736</v>
      </c>
      <c r="BP608" s="1537"/>
      <c r="BT608" s="1519"/>
      <c r="BU608" s="1519"/>
      <c r="BV608" s="1519"/>
      <c r="BW608" s="1519"/>
      <c r="BX608" s="1519"/>
      <c r="BY608" s="1519"/>
      <c r="BZ608" s="1519"/>
      <c r="CA608" s="1519"/>
      <c r="CB608" s="1519"/>
      <c r="CC608" s="1519"/>
    </row>
    <row r="609" spans="2:81" s="1518" customFormat="1" ht="10.5" outlineLevel="1">
      <c r="B609" s="1539" t="s">
        <v>272</v>
      </c>
      <c r="L609" s="1528">
        <v>0.1</v>
      </c>
      <c r="M609" s="1528">
        <v>0.13</v>
      </c>
      <c r="N609" s="1528">
        <v>0.14000000000000001</v>
      </c>
      <c r="O609" s="1528">
        <v>0.2</v>
      </c>
      <c r="P609" s="1528">
        <v>0.27</v>
      </c>
      <c r="Q609" s="1528">
        <v>0.2</v>
      </c>
      <c r="R609" s="1528">
        <v>0.23</v>
      </c>
      <c r="S609" s="1528">
        <v>0.21</v>
      </c>
      <c r="T609" s="1528">
        <v>0.3</v>
      </c>
      <c r="U609" s="1528">
        <v>0.31</v>
      </c>
      <c r="V609" s="1528">
        <v>0.32</v>
      </c>
      <c r="W609" s="1528">
        <v>0.21</v>
      </c>
      <c r="X609" s="1528">
        <v>0.25</v>
      </c>
      <c r="Y609" s="1528">
        <v>0.27</v>
      </c>
      <c r="Z609" s="1528">
        <v>0.24</v>
      </c>
      <c r="AA609" s="1528">
        <v>0.27</v>
      </c>
      <c r="AB609" s="1528">
        <v>0.26</v>
      </c>
      <c r="AC609" s="1528">
        <v>0.22</v>
      </c>
      <c r="AD609" s="1528">
        <v>0.27</v>
      </c>
      <c r="AE609" s="1528">
        <v>0.19</v>
      </c>
      <c r="AF609" s="1528">
        <v>0.26</v>
      </c>
      <c r="AG609" s="1528">
        <v>0.23</v>
      </c>
      <c r="AH609" s="1528">
        <v>0.18</v>
      </c>
      <c r="AI609" s="1528">
        <v>0.17</v>
      </c>
      <c r="AJ609" s="1528">
        <v>0.19</v>
      </c>
      <c r="AK609" s="1528">
        <v>0.18</v>
      </c>
      <c r="AL609" s="1528">
        <v>0.2</v>
      </c>
      <c r="AM609" s="1528">
        <v>0.16</v>
      </c>
      <c r="AN609" s="1528"/>
      <c r="AO609" s="1528"/>
      <c r="AP609" s="1528"/>
      <c r="AQ609" s="1528"/>
      <c r="BH609" s="1529" t="s">
        <v>273</v>
      </c>
      <c r="BI609" s="1537">
        <f>+SUMPRODUCT(L609:O609,H607:K607)/BH607</f>
        <v>0.14574843721295946</v>
      </c>
      <c r="BJ609" s="1537">
        <f>+SUMPRODUCT(P609:S609,L607:O607)/BI607</f>
        <v>0.22515676551677102</v>
      </c>
      <c r="BK609" s="1537">
        <f>+SUMPRODUCT(T609:W609,P607:S607)/BJ607</f>
        <v>0.28085594410420583</v>
      </c>
      <c r="BL609" s="1537">
        <f>+SUMPRODUCT(X609:AA609,T607:W607)/BK607</f>
        <v>0.25790094867156166</v>
      </c>
      <c r="BM609" s="1537">
        <f>+SUMPRODUCT(AB609:AE609,X607:AA607)/BL607</f>
        <v>0.2326886530512722</v>
      </c>
      <c r="BN609" s="1537">
        <f>+SUMPRODUCT(AF609:AI609,AB607:AE607)/BM607</f>
        <v>0.20776666989643922</v>
      </c>
      <c r="BO609" s="1537">
        <f>+SUMPRODUCT(AJ609:AM609,AF607:AI607)/BN607</f>
        <v>0.18189353392561647</v>
      </c>
      <c r="BP609" s="1537"/>
      <c r="BT609" s="1519"/>
      <c r="BU609" s="1520"/>
      <c r="BV609" s="1520"/>
      <c r="BW609" s="1520"/>
      <c r="BX609" s="1520"/>
      <c r="BY609" s="1520"/>
      <c r="BZ609" s="1520"/>
      <c r="CA609" s="1520"/>
      <c r="CB609" s="1520"/>
      <c r="CC609" s="1520"/>
    </row>
    <row r="610" spans="2:81" s="1518" customFormat="1" outlineLevel="1">
      <c r="B610" s="1539" t="s">
        <v>123</v>
      </c>
      <c r="H610" s="1525">
        <f t="shared" ref="H610:AH610" si="2524">+H607/H603</f>
        <v>0.67474652901149745</v>
      </c>
      <c r="I610" s="1525">
        <f t="shared" si="2524"/>
        <v>0.68442435392094203</v>
      </c>
      <c r="J610" s="1525">
        <f t="shared" si="2524"/>
        <v>0.67841262526568225</v>
      </c>
      <c r="K610" s="1525">
        <f t="shared" si="2524"/>
        <v>0.67701092171950128</v>
      </c>
      <c r="L610" s="1525">
        <f t="shared" si="2524"/>
        <v>0.66489888050272172</v>
      </c>
      <c r="M610" s="1525">
        <f t="shared" si="2524"/>
        <v>0.67820327442031669</v>
      </c>
      <c r="N610" s="1525">
        <f t="shared" si="2524"/>
        <v>0.67586711126951682</v>
      </c>
      <c r="O610" s="1525">
        <f t="shared" si="2524"/>
        <v>0.68161857326277675</v>
      </c>
      <c r="P610" s="1525">
        <f t="shared" si="2524"/>
        <v>0.68692151302794302</v>
      </c>
      <c r="Q610" s="1525">
        <f t="shared" si="2524"/>
        <v>0.68117609043253047</v>
      </c>
      <c r="R610" s="1525">
        <f t="shared" si="2524"/>
        <v>0.67425202969105846</v>
      </c>
      <c r="S610" s="1525">
        <f t="shared" si="2524"/>
        <v>0.68577150455366864</v>
      </c>
      <c r="T610" s="1525">
        <f t="shared" si="2524"/>
        <v>0.69203246208713665</v>
      </c>
      <c r="U610" s="1525">
        <f t="shared" si="2524"/>
        <v>0.69162237775820967</v>
      </c>
      <c r="V610" s="1525">
        <f t="shared" si="2524"/>
        <v>0.69135411043352701</v>
      </c>
      <c r="W610" s="1525">
        <f t="shared" si="2524"/>
        <v>0.69210468924499524</v>
      </c>
      <c r="X610" s="1525">
        <f t="shared" si="2524"/>
        <v>0.7257956832251522</v>
      </c>
      <c r="Y610" s="1525">
        <f t="shared" si="2524"/>
        <v>0.72479404376032153</v>
      </c>
      <c r="Z610" s="1525">
        <f t="shared" si="2524"/>
        <v>0.71266612293880394</v>
      </c>
      <c r="AA610" s="1525">
        <f t="shared" si="2524"/>
        <v>0.70799354599318975</v>
      </c>
      <c r="AB610" s="1525">
        <f t="shared" si="2524"/>
        <v>0.71237607413205228</v>
      </c>
      <c r="AC610" s="1525">
        <f t="shared" si="2524"/>
        <v>0.70027718043383536</v>
      </c>
      <c r="AD610" s="1525">
        <f t="shared" si="2524"/>
        <v>0.70072358199113338</v>
      </c>
      <c r="AE610" s="1525">
        <f t="shared" si="2524"/>
        <v>0.69130474408428766</v>
      </c>
      <c r="AF610" s="1525">
        <f t="shared" si="2524"/>
        <v>0.71349064038825893</v>
      </c>
      <c r="AG610" s="1525">
        <f t="shared" si="2524"/>
        <v>0.69814750169233553</v>
      </c>
      <c r="AH610" s="1525">
        <f t="shared" si="2524"/>
        <v>0.69525418706535225</v>
      </c>
      <c r="AI610" s="1525">
        <f t="shared" ref="AI610:AJ610" si="2525">+AI607/AI603</f>
        <v>0.69883755416611959</v>
      </c>
      <c r="AJ610" s="1525">
        <f t="shared" si="2525"/>
        <v>0.71734353102228587</v>
      </c>
      <c r="AK610" s="1525">
        <f t="shared" ref="AK610:AL610" si="2526">+AK607/AK603</f>
        <v>0.6962483678392003</v>
      </c>
      <c r="AL610" s="1525">
        <f t="shared" si="2526"/>
        <v>0.68976670830867348</v>
      </c>
      <c r="AM610" s="1525">
        <f t="shared" ref="AM610" si="2527">+AM607/AM603</f>
        <v>0.68209584243538279</v>
      </c>
      <c r="AN610" s="1525"/>
      <c r="AO610" s="1525"/>
      <c r="AP610" s="1525"/>
      <c r="AQ610" s="1525"/>
      <c r="BB610" s="1525"/>
      <c r="BC610" s="1525"/>
      <c r="BD610" s="1525"/>
      <c r="BE610" s="1525"/>
      <c r="BG610" s="1525">
        <f t="shared" ref="BG610:BM610" si="2528">+BG607/BG603</f>
        <v>0.72028500654432714</v>
      </c>
      <c r="BH610" s="1525">
        <f t="shared" si="2528"/>
        <v>0.67867938004556527</v>
      </c>
      <c r="BI610" s="1525">
        <f t="shared" si="2528"/>
        <v>0.67579066079929695</v>
      </c>
      <c r="BJ610" s="1525">
        <f t="shared" si="2528"/>
        <v>0.6820676419404007</v>
      </c>
      <c r="BK610" s="1525">
        <f t="shared" si="2528"/>
        <v>0.69177954933375019</v>
      </c>
      <c r="BL610" s="1525">
        <f t="shared" si="2528"/>
        <v>0.71710011457268297</v>
      </c>
      <c r="BM610" s="1525">
        <f t="shared" si="2528"/>
        <v>0.70062462242307066</v>
      </c>
      <c r="BN610" s="1525">
        <f t="shared" ref="BN610:BO610" si="2529">+BN607/BN603</f>
        <v>0.70115657312828172</v>
      </c>
      <c r="BO610" s="1525">
        <f t="shared" si="2529"/>
        <v>0.69563216976994668</v>
      </c>
      <c r="BP610" s="1525"/>
      <c r="BT610" s="1519"/>
      <c r="BU610" s="1519"/>
      <c r="BV610" s="1519"/>
      <c r="BW610" s="1519"/>
      <c r="BX610" s="1519"/>
      <c r="BY610" s="1519"/>
      <c r="BZ610" s="1519"/>
      <c r="CA610" s="1519"/>
      <c r="CB610" s="1519"/>
      <c r="CC610" s="1519"/>
    </row>
    <row r="611" spans="2:81" s="1518" customFormat="1" outlineLevel="1">
      <c r="B611" s="1539"/>
      <c r="L611" s="1528"/>
      <c r="M611" s="1528"/>
      <c r="N611" s="1528"/>
      <c r="O611" s="1528"/>
      <c r="P611" s="1528"/>
      <c r="Q611" s="1528"/>
      <c r="R611" s="1528"/>
      <c r="S611" s="1528"/>
      <c r="T611" s="1528"/>
      <c r="U611" s="1528"/>
      <c r="V611" s="1528"/>
      <c r="W611" s="1528"/>
      <c r="X611" s="1528"/>
      <c r="Y611" s="1528"/>
      <c r="Z611" s="1528"/>
      <c r="AA611" s="1528"/>
      <c r="AB611" s="1528"/>
      <c r="AC611" s="1528"/>
      <c r="AD611" s="1528"/>
      <c r="AE611" s="1528"/>
      <c r="AF611" s="1528"/>
      <c r="AG611" s="1528"/>
      <c r="AH611" s="1528"/>
      <c r="AI611" s="1528"/>
      <c r="AJ611" s="1528"/>
      <c r="AK611" s="1528"/>
      <c r="AL611" s="1528"/>
      <c r="AM611" s="1528"/>
      <c r="AN611" s="1528"/>
      <c r="AO611" s="1528"/>
      <c r="AP611" s="1528"/>
      <c r="AQ611" s="1528"/>
      <c r="BI611" s="1537"/>
      <c r="BJ611" s="1537"/>
      <c r="BK611" s="1537"/>
      <c r="BL611" s="1537"/>
      <c r="BM611" s="1537"/>
      <c r="BN611" s="1537"/>
      <c r="BO611" s="1537"/>
      <c r="BP611" s="1537"/>
    </row>
    <row r="612" spans="2:81" s="1518" customFormat="1" outlineLevel="1">
      <c r="B612" s="1518" t="s">
        <v>437</v>
      </c>
      <c r="H612" s="1521">
        <f t="shared" ref="H612:AH612" si="2530">+H607-H617</f>
        <v>2336.9295873830997</v>
      </c>
      <c r="I612" s="1521">
        <f t="shared" si="2530"/>
        <v>2334.3397837977263</v>
      </c>
      <c r="J612" s="1521">
        <f t="shared" si="2530"/>
        <v>2417.7169680380412</v>
      </c>
      <c r="K612" s="1521">
        <f t="shared" si="2530"/>
        <v>2384.5794296899394</v>
      </c>
      <c r="L612" s="1521">
        <f t="shared" si="2530"/>
        <v>2465.4300508398401</v>
      </c>
      <c r="M612" s="1521">
        <f t="shared" si="2530"/>
        <v>2454.5945241063682</v>
      </c>
      <c r="N612" s="1521">
        <f t="shared" si="2530"/>
        <v>2682.6467105841048</v>
      </c>
      <c r="O612" s="1521">
        <f t="shared" si="2530"/>
        <v>2646.6280147622338</v>
      </c>
      <c r="P612" s="1521">
        <f t="shared" si="2530"/>
        <v>2953.8566021103879</v>
      </c>
      <c r="Q612" s="1521">
        <f t="shared" si="2530"/>
        <v>3109.0693760762706</v>
      </c>
      <c r="R612" s="1521">
        <f t="shared" si="2530"/>
        <v>3297.8578344890229</v>
      </c>
      <c r="S612" s="1521">
        <f t="shared" si="2530"/>
        <v>3309.6232083708392</v>
      </c>
      <c r="T612" s="1521">
        <f t="shared" si="2530"/>
        <v>3616.0920513349974</v>
      </c>
      <c r="U612" s="1521">
        <f t="shared" si="2530"/>
        <v>3677.8660016121903</v>
      </c>
      <c r="V612" s="1521">
        <f t="shared" si="2530"/>
        <v>3930.519830234145</v>
      </c>
      <c r="W612" s="1521">
        <f t="shared" si="2530"/>
        <v>3910.1317998948307</v>
      </c>
      <c r="X612" s="1521">
        <f t="shared" si="2530"/>
        <v>4003.182742361827</v>
      </c>
      <c r="Y612" s="1521">
        <f t="shared" si="2530"/>
        <v>4090.7178329444541</v>
      </c>
      <c r="Z612" s="1521">
        <f t="shared" si="2530"/>
        <v>4349.0864465888371</v>
      </c>
      <c r="AA612" s="1521">
        <f t="shared" si="2530"/>
        <v>4514.3878616316724</v>
      </c>
      <c r="AB612" s="1521">
        <f t="shared" si="2530"/>
        <v>4522.7477215761355</v>
      </c>
      <c r="AC612" s="1521">
        <f t="shared" si="2530"/>
        <v>4636.9798858109007</v>
      </c>
      <c r="AD612" s="1521">
        <f t="shared" si="2530"/>
        <v>5068.4849605130821</v>
      </c>
      <c r="AE612" s="1521">
        <f t="shared" si="2530"/>
        <v>5773.49089405837</v>
      </c>
      <c r="AF612" s="1521">
        <f t="shared" si="2530"/>
        <v>5523.6972658913619</v>
      </c>
      <c r="AG612" s="1521">
        <f t="shared" si="2530"/>
        <v>5537.9664663987514</v>
      </c>
      <c r="AH612" s="1521">
        <f t="shared" si="2530"/>
        <v>5875.9077045900431</v>
      </c>
      <c r="AI612" s="1521">
        <f t="shared" ref="AI612:AJ612" si="2531">+AI607-AI617</f>
        <v>6241.2094371077073</v>
      </c>
      <c r="AJ612" s="1521">
        <f t="shared" si="2531"/>
        <v>5651.0367190696343</v>
      </c>
      <c r="AK612" s="1521">
        <f t="shared" ref="AK612:AL612" si="2532">+AK607-AK617</f>
        <v>5557.9077596785028</v>
      </c>
      <c r="AL612" s="1521">
        <f t="shared" si="2532"/>
        <v>5909.289245508051</v>
      </c>
      <c r="AM612" s="1521">
        <f t="shared" ref="AM612" si="2533">+AM607-AM617</f>
        <v>6590.9629470449399</v>
      </c>
      <c r="AN612" s="1521"/>
      <c r="AO612" s="1521"/>
      <c r="AP612" s="1521"/>
      <c r="AQ612" s="1521"/>
      <c r="AS612" s="1518">
        <f t="shared" ref="AS612:BM612" si="2534">+AS607-AS617</f>
        <v>0</v>
      </c>
      <c r="AT612" s="1518">
        <f t="shared" si="2534"/>
        <v>0</v>
      </c>
      <c r="AU612" s="1518">
        <f t="shared" si="2534"/>
        <v>0</v>
      </c>
      <c r="AV612" s="1518">
        <f t="shared" si="2534"/>
        <v>0</v>
      </c>
      <c r="AW612" s="1518">
        <f t="shared" si="2534"/>
        <v>0</v>
      </c>
      <c r="BB612" s="1521"/>
      <c r="BC612" s="1521"/>
      <c r="BD612" s="1521"/>
      <c r="BE612" s="1521"/>
      <c r="BG612" s="1521">
        <f t="shared" si="2534"/>
        <v>8834.5514832940498</v>
      </c>
      <c r="BH612" s="1521">
        <f t="shared" si="2534"/>
        <v>9473.5657689088075</v>
      </c>
      <c r="BI612" s="1521">
        <f t="shared" si="2534"/>
        <v>10249.299300292547</v>
      </c>
      <c r="BJ612" s="1521">
        <f t="shared" si="2534"/>
        <v>12670.407021046522</v>
      </c>
      <c r="BK612" s="1521">
        <f t="shared" si="2534"/>
        <v>15134.60968307616</v>
      </c>
      <c r="BL612" s="1521">
        <f t="shared" si="2534"/>
        <v>16957.374883526791</v>
      </c>
      <c r="BM612" s="1521">
        <f t="shared" si="2534"/>
        <v>20001.703461958488</v>
      </c>
      <c r="BN612" s="1521">
        <f t="shared" ref="BN612:BO612" si="2535">+BN607-BN617</f>
        <v>23178.78087398786</v>
      </c>
      <c r="BO612" s="1521">
        <f t="shared" si="2535"/>
        <v>23709.196671301121</v>
      </c>
      <c r="BP612" s="1521"/>
      <c r="BT612" s="1519"/>
      <c r="BU612" s="1519"/>
      <c r="BV612" s="1519"/>
      <c r="BW612" s="1519"/>
      <c r="BX612" s="1519"/>
      <c r="BY612" s="1519"/>
      <c r="BZ612" s="1519"/>
      <c r="CA612" s="1519"/>
      <c r="CB612" s="1519"/>
      <c r="CC612" s="1519"/>
    </row>
    <row r="613" spans="2:81" s="1518" customFormat="1" outlineLevel="1">
      <c r="B613" s="1539" t="s">
        <v>113</v>
      </c>
      <c r="L613" s="1525">
        <f>+IFERROR(L612/H612-1,"n/a ")</f>
        <v>5.4986878573708209E-2</v>
      </c>
      <c r="M613" s="1525">
        <f t="shared" ref="M613" si="2536">+IFERROR(M612/I612-1,"n/a ")</f>
        <v>5.1515525350384062E-2</v>
      </c>
      <c r="N613" s="1525">
        <f t="shared" ref="N613" si="2537">+IFERROR(N612/J612-1,"n/a ")</f>
        <v>0.10957847674000165</v>
      </c>
      <c r="O613" s="1525">
        <f t="shared" ref="O613" si="2538">+IFERROR(O612/K612-1,"n/a ")</f>
        <v>0.10989299907966066</v>
      </c>
      <c r="P613" s="1525">
        <f t="shared" ref="P613" si="2539">+IFERROR(P612/L612-1,"n/a ")</f>
        <v>0.1981100827030835</v>
      </c>
      <c r="Q613" s="1525">
        <f t="shared" ref="Q613" si="2540">+IFERROR(Q612/M612-1,"n/a ")</f>
        <v>0.2666325723219698</v>
      </c>
      <c r="R613" s="1525">
        <f t="shared" ref="R613" si="2541">+IFERROR(R612/N612-1,"n/a ")</f>
        <v>0.22932990821253751</v>
      </c>
      <c r="S613" s="1525">
        <f t="shared" ref="S613" si="2542">+IFERROR(S612/O612-1,"n/a ")</f>
        <v>0.250505620703243</v>
      </c>
      <c r="T613" s="1525">
        <f t="shared" ref="T613" si="2543">+IFERROR(T612/P612-1,"n/a ")</f>
        <v>0.22419349969510183</v>
      </c>
      <c r="U613" s="1525">
        <f t="shared" ref="U613" si="2544">+IFERROR(U612/Q612-1,"n/a ")</f>
        <v>0.18294755012953634</v>
      </c>
      <c r="V613" s="1525">
        <f t="shared" ref="V613" si="2545">+IFERROR(V612/R612-1,"n/a ")</f>
        <v>0.19184028769485995</v>
      </c>
      <c r="W613" s="1525">
        <f t="shared" ref="W613" si="2546">+IFERROR(W612/S612-1,"n/a ")</f>
        <v>0.1814431896673796</v>
      </c>
      <c r="X613" s="1525">
        <f t="shared" ref="X613" si="2547">+IFERROR(X612/T612-1,"n/a ")</f>
        <v>0.1070466917134818</v>
      </c>
      <c r="Y613" s="1525">
        <f t="shared" ref="Y613" si="2548">+IFERROR(Y612/U612-1,"n/a ")</f>
        <v>0.11225309218750512</v>
      </c>
      <c r="Z613" s="1525">
        <f t="shared" ref="Z613" si="2549">+IFERROR(Z612/V612-1,"n/a ")</f>
        <v>0.10649141447780397</v>
      </c>
      <c r="AA613" s="1525">
        <f t="shared" ref="AA613" si="2550">+IFERROR(AA612/W612-1,"n/a ")</f>
        <v>0.15453598309732008</v>
      </c>
      <c r="AB613" s="1525">
        <f t="shared" ref="AB613" si="2551">+IFERROR(AB612/X612-1,"n/a ")</f>
        <v>0.1297879743825463</v>
      </c>
      <c r="AC613" s="1525">
        <f t="shared" ref="AC613" si="2552">+IFERROR(AC612/Y612-1,"n/a ")</f>
        <v>0.13353696714721908</v>
      </c>
      <c r="AD613" s="1525">
        <f t="shared" ref="AD613" si="2553">+IFERROR(AD612/Z612-1,"n/a ")</f>
        <v>0.16541370762783947</v>
      </c>
      <c r="AE613" s="1525">
        <f t="shared" ref="AE613" si="2554">+IFERROR(AE612/AA612-1,"n/a ")</f>
        <v>0.27890891766920745</v>
      </c>
      <c r="AF613" s="1525">
        <f t="shared" ref="AF613" si="2555">+IFERROR(AF612/AB612-1,"n/a ")</f>
        <v>0.22131447649403824</v>
      </c>
      <c r="AG613" s="1525">
        <f t="shared" ref="AG613" si="2556">+IFERROR(AG612/AC612-1,"n/a ")</f>
        <v>0.19430461265205357</v>
      </c>
      <c r="AH613" s="1525">
        <f t="shared" ref="AH613" si="2557">+IFERROR(AH612/AD612-1,"n/a ")</f>
        <v>0.15930258259959906</v>
      </c>
      <c r="AI613" s="1525">
        <f t="shared" ref="AI613" si="2558">+IFERROR(AI612/AE612-1,"n/a ")</f>
        <v>8.1011393562719025E-2</v>
      </c>
      <c r="AJ613" s="1525">
        <f t="shared" ref="AJ613:AK613" si="2559">+IFERROR(AJ612/AF612-1,"n/a ")</f>
        <v>2.3053300542842825E-2</v>
      </c>
      <c r="AK613" s="1525">
        <f t="shared" si="2559"/>
        <v>3.6008331579369113E-3</v>
      </c>
      <c r="AL613" s="1525">
        <f t="shared" ref="AL613" si="2560">+IFERROR(AL612/AH612-1,"n/a ")</f>
        <v>5.6810866671597182E-3</v>
      </c>
      <c r="AM613" s="1525">
        <f t="shared" ref="AM613" si="2561">+IFERROR(AM612/AI612-1,"n/a ")</f>
        <v>5.6039380421643914E-2</v>
      </c>
      <c r="AN613" s="1525"/>
      <c r="AO613" s="1525"/>
      <c r="AP613" s="1525"/>
      <c r="AQ613" s="1525"/>
      <c r="BC613" s="1525"/>
      <c r="BD613" s="1525"/>
      <c r="BE613" s="1525"/>
      <c r="BG613" s="1525"/>
      <c r="BH613" s="1525">
        <f>+IFERROR(BH612/BG612-1,"n/a ")</f>
        <v>7.2331265126828415E-2</v>
      </c>
      <c r="BI613" s="1525">
        <f>+IFERROR(BI612/BH612-1,"n/a ")</f>
        <v>8.1884007596127129E-2</v>
      </c>
      <c r="BJ613" s="1525">
        <f>+IFERROR(BJ612/BI612-1,"n/a ")</f>
        <v>0.2362217796376449</v>
      </c>
      <c r="BK613" s="1525">
        <f>+IFERROR(BK612/BJ612-1,"n/a ")</f>
        <v>0.1944848857606869</v>
      </c>
      <c r="BL613" s="1525">
        <f t="shared" ref="BL613" si="2562">+IFERROR(BL612/BK612-1,"n/a ")</f>
        <v>0.12043688199563451</v>
      </c>
      <c r="BM613" s="1525">
        <f t="shared" ref="BM613" si="2563">+IFERROR(BM612/BL612-1,"n/a ")</f>
        <v>0.17952829369769407</v>
      </c>
      <c r="BN613" s="1525">
        <f t="shared" ref="BN613" si="2564">+IFERROR(BN612/BM612-1,"n/a ")</f>
        <v>0.15884034167749261</v>
      </c>
      <c r="BO613" s="1525">
        <f t="shared" ref="BO613" si="2565">+IFERROR(BO612/BN612-1,"n/a ")</f>
        <v>2.288367969812044E-2</v>
      </c>
      <c r="BP613" s="1525"/>
    </row>
    <row r="614" spans="2:81" s="1518" customFormat="1" outlineLevel="1">
      <c r="B614" s="1539" t="s">
        <v>272</v>
      </c>
      <c r="L614" s="1525">
        <f t="shared" ref="L614:AG614" si="2566">(H607*(1+L609)-H617*(1+L619))/H612-1</f>
        <v>2.3960053841849405E-2</v>
      </c>
      <c r="M614" s="1525">
        <f t="shared" si="2566"/>
        <v>2.2042280327327912E-2</v>
      </c>
      <c r="N614" s="1525">
        <f t="shared" si="2566"/>
        <v>7.7809097595896271E-2</v>
      </c>
      <c r="O614" s="1525">
        <f t="shared" si="2566"/>
        <v>7.7923965804799655E-2</v>
      </c>
      <c r="P614" s="1525">
        <f t="shared" si="2566"/>
        <v>0.20065712817860604</v>
      </c>
      <c r="Q614" s="1525">
        <f t="shared" si="2566"/>
        <v>0.25768773563590974</v>
      </c>
      <c r="R614" s="1525">
        <f t="shared" si="2566"/>
        <v>0.22999999999999998</v>
      </c>
      <c r="S614" s="1525">
        <f t="shared" si="2566"/>
        <v>0.23947901993208864</v>
      </c>
      <c r="T614" s="1525">
        <f t="shared" si="2566"/>
        <v>0.2206190307842042</v>
      </c>
      <c r="U614" s="1525">
        <f t="shared" si="2566"/>
        <v>0.19398779301116775</v>
      </c>
      <c r="V614" s="1525">
        <f t="shared" si="2566"/>
        <v>0.1838146267849694</v>
      </c>
      <c r="W614" s="1525">
        <f t="shared" si="2566"/>
        <v>0.196397243080078</v>
      </c>
      <c r="X614" s="1525">
        <f t="shared" si="2566"/>
        <v>0.11018884673763996</v>
      </c>
      <c r="Y614" s="1525">
        <f t="shared" si="2566"/>
        <v>9.7524983313166391E-2</v>
      </c>
      <c r="Z614" s="1525">
        <f t="shared" si="2566"/>
        <v>0.100781773497018</v>
      </c>
      <c r="AA614" s="1525">
        <f t="shared" si="2566"/>
        <v>0.10599529815919517</v>
      </c>
      <c r="AB614" s="1525">
        <f t="shared" si="2566"/>
        <v>0.11101354637432315</v>
      </c>
      <c r="AC614" s="1525">
        <f t="shared" si="2566"/>
        <v>0.15651969883899652</v>
      </c>
      <c r="AD614" s="1525">
        <f t="shared" si="2566"/>
        <v>0.18136069500242669</v>
      </c>
      <c r="AE614" s="1525">
        <f t="shared" si="2566"/>
        <v>0.20724929323459929</v>
      </c>
      <c r="AF614" s="1525">
        <f t="shared" si="2566"/>
        <v>0.27671992440331095</v>
      </c>
      <c r="AG614" s="1525">
        <f t="shared" si="2566"/>
        <v>0.21894970406130176</v>
      </c>
      <c r="AH614" s="1525">
        <f>(AD607*(1+AH609)-AD617*(1+AH619))/AD612-1</f>
        <v>0.1963382155900919</v>
      </c>
      <c r="AI614" s="1525">
        <f t="shared" ref="AI614" si="2567">(AE607*(1+AI609)-AE617*(1+AI619))/AE612-1</f>
        <v>9.4820181071612719E-2</v>
      </c>
      <c r="AJ614" s="1525">
        <f t="shared" ref="AJ614:AK614" si="2568">(AF607*(1+AJ609)-AF617*(1+AJ619))/AF612-1</f>
        <v>1.1210332054532701E-2</v>
      </c>
      <c r="AK614" s="1525">
        <f t="shared" si="2568"/>
        <v>7.1503935168260035E-4</v>
      </c>
      <c r="AL614" s="1525">
        <f t="shared" ref="AL614" si="2569">(AH607*(1+AL609)-AH617*(1+AL619))/AH612-1</f>
        <v>5.6810866671597182E-3</v>
      </c>
      <c r="AM614" s="1525">
        <f t="shared" ref="AM614" si="2570">(AI607*(1+AM609)-AI617*(1+AM619))/AI612-1</f>
        <v>4.1942753656179832E-2</v>
      </c>
      <c r="AN614" s="1525"/>
      <c r="AO614" s="1525"/>
      <c r="AP614" s="1525"/>
      <c r="AQ614" s="1525"/>
      <c r="BC614" s="1525"/>
      <c r="BD614" s="1525"/>
      <c r="BE614" s="1525"/>
      <c r="BG614" s="1525"/>
      <c r="BH614" s="1529" t="s">
        <v>273</v>
      </c>
      <c r="BI614" s="1529">
        <f>+SUMPRODUCT(L614:O614,H612:K612)/BH612</f>
        <v>5.0813326664725787E-2</v>
      </c>
      <c r="BJ614" s="1529">
        <f>+SUMPRODUCT(P614:S614,L612:O612)/BI612</f>
        <v>0.23202031430720019</v>
      </c>
      <c r="BK614" s="1529">
        <f>+SUMPRODUCT(T614:W614,P612:S612)/BJ612</f>
        <v>0.19817783784215998</v>
      </c>
      <c r="BL614" s="1529">
        <f>+SUMPRODUCT(X614:AA614,T612:W612)/BK612</f>
        <v>0.10358490977470623</v>
      </c>
      <c r="BM614" s="1529">
        <f>+SUMPRODUCT(AB614:AE614,X612:AA612)/BL612</f>
        <v>0.16565314441916928</v>
      </c>
      <c r="BN614" s="1529">
        <f>+SUMPRODUCT(AF614:AI614,AB612:AE612)/BM612</f>
        <v>0.19045280485603094</v>
      </c>
      <c r="BO614" s="1529">
        <f>+SUMPRODUCT(AJ614:AM614,AF612:AI612)/BN612</f>
        <v>1.5576202962923802E-2</v>
      </c>
      <c r="BP614" s="1525"/>
      <c r="BT614" s="1527"/>
      <c r="BU614" s="1527"/>
      <c r="BV614" s="1527"/>
      <c r="BW614" s="1527"/>
      <c r="BX614" s="1527"/>
      <c r="BY614" s="1527"/>
      <c r="BZ614" s="1527"/>
      <c r="CA614" s="1527"/>
      <c r="CB614" s="1527"/>
      <c r="CC614" s="1527"/>
    </row>
    <row r="615" spans="2:81" s="1518" customFormat="1" ht="11.45" outlineLevel="1">
      <c r="B615" s="1539" t="s">
        <v>123</v>
      </c>
      <c r="C615" s="1525"/>
      <c r="D615" s="1525" t="str">
        <f t="shared" ref="D615:AH615" si="2571">+IFERROR(D612/D603,"n/a ")</f>
        <v xml:space="preserve">n/a </v>
      </c>
      <c r="E615" s="1525" t="str">
        <f t="shared" si="2571"/>
        <v xml:space="preserve">n/a </v>
      </c>
      <c r="F615" s="1525" t="str">
        <f t="shared" si="2571"/>
        <v xml:space="preserve">n/a </v>
      </c>
      <c r="G615" s="1525" t="str">
        <f t="shared" si="2571"/>
        <v xml:space="preserve">n/a </v>
      </c>
      <c r="H615" s="1525">
        <f t="shared" si="2571"/>
        <v>0.38329171516862387</v>
      </c>
      <c r="I615" s="1525">
        <f t="shared" si="2571"/>
        <v>0.34541873095556769</v>
      </c>
      <c r="J615" s="1525">
        <f t="shared" si="2571"/>
        <v>0.35924472036226468</v>
      </c>
      <c r="K615" s="1525">
        <f t="shared" si="2571"/>
        <v>0.30485546275759901</v>
      </c>
      <c r="L615" s="1525">
        <f t="shared" si="2571"/>
        <v>0.35617307871133197</v>
      </c>
      <c r="M615" s="1525">
        <f t="shared" si="2571"/>
        <v>0.31489346043699401</v>
      </c>
      <c r="N615" s="1525">
        <f t="shared" si="2571"/>
        <v>0.33974755706485621</v>
      </c>
      <c r="O615" s="1525">
        <f t="shared" si="2571"/>
        <v>0.27551821931732601</v>
      </c>
      <c r="P615" s="1525">
        <f t="shared" si="2571"/>
        <v>0.344794747532437</v>
      </c>
      <c r="Q615" s="1525">
        <f t="shared" si="2571"/>
        <v>0.33152797782856375</v>
      </c>
      <c r="R615" s="1525">
        <f t="shared" si="2571"/>
        <v>0.3417823437132369</v>
      </c>
      <c r="S615" s="1525">
        <f t="shared" si="2571"/>
        <v>0.29054720466779382</v>
      </c>
      <c r="T615" s="1525">
        <f t="shared" si="2571"/>
        <v>0.33343402962978308</v>
      </c>
      <c r="U615" s="1525">
        <f t="shared" si="2571"/>
        <v>0.30987159841706885</v>
      </c>
      <c r="V615" s="1525">
        <f t="shared" si="2571"/>
        <v>0.32004884213290002</v>
      </c>
      <c r="W615" s="1525">
        <f t="shared" si="2571"/>
        <v>0.29243375962118245</v>
      </c>
      <c r="X615" s="1525">
        <f t="shared" si="2571"/>
        <v>0.30826911615292063</v>
      </c>
      <c r="Y615" s="1525">
        <f t="shared" si="2571"/>
        <v>0.28016696342335828</v>
      </c>
      <c r="Z615" s="1525">
        <f t="shared" si="2571"/>
        <v>0.28767604488615139</v>
      </c>
      <c r="AA615" s="1525">
        <f t="shared" si="2571"/>
        <v>0.25982088412268617</v>
      </c>
      <c r="AB615" s="1525">
        <f t="shared" si="2571"/>
        <v>0.26660856646876535</v>
      </c>
      <c r="AC615" s="1525">
        <f t="shared" si="2571"/>
        <v>0.25301358028105531</v>
      </c>
      <c r="AD615" s="1525">
        <f t="shared" si="2571"/>
        <v>0.26604823686489332</v>
      </c>
      <c r="AE615" s="1525">
        <f t="shared" si="2571"/>
        <v>0.27612467808400065</v>
      </c>
      <c r="AF615" s="1525">
        <f t="shared" si="2571"/>
        <v>0.2717686231680867</v>
      </c>
      <c r="AG615" s="1525">
        <f t="shared" si="2571"/>
        <v>0.25748402763617034</v>
      </c>
      <c r="AH615" s="1525">
        <f t="shared" si="2571"/>
        <v>0.2661069564145665</v>
      </c>
      <c r="AI615" s="1525">
        <f t="shared" ref="AI615:AJ615" si="2572">+IFERROR(AI612/AI603,"n/a ")</f>
        <v>0.26012626337297157</v>
      </c>
      <c r="AJ615" s="1525">
        <f t="shared" si="2572"/>
        <v>0.23294598784243514</v>
      </c>
      <c r="AK615" s="1525">
        <f t="shared" ref="AK615:AL615" si="2573">+IFERROR(AK612/AK603,"n/a ")</f>
        <v>0.21475686861199778</v>
      </c>
      <c r="AL615" s="1525">
        <f t="shared" si="2573"/>
        <v>0.22125540083525727</v>
      </c>
      <c r="AM615" s="1525">
        <f t="shared" ref="AM615" si="2574">+IFERROR(AM612/AM603,"n/a ")</f>
        <v>0.2311402050515497</v>
      </c>
      <c r="AN615" s="1525"/>
      <c r="AO615" s="1525"/>
      <c r="AP615" s="1525"/>
      <c r="AQ615" s="1525"/>
      <c r="AS615" s="1518" t="str">
        <f t="shared" ref="AS615:BM615" si="2575">+IFERROR(AS612/AS603,"n/a ")</f>
        <v xml:space="preserve">n/a </v>
      </c>
      <c r="AT615" s="1518" t="str">
        <f t="shared" si="2575"/>
        <v xml:space="preserve">n/a </v>
      </c>
      <c r="AU615" s="1518" t="str">
        <f t="shared" si="2575"/>
        <v xml:space="preserve">n/a </v>
      </c>
      <c r="AV615" s="1518" t="str">
        <f t="shared" si="2575"/>
        <v xml:space="preserve">n/a </v>
      </c>
      <c r="AW615" s="1518" t="str">
        <f t="shared" si="2575"/>
        <v xml:space="preserve">n/a </v>
      </c>
      <c r="BB615" s="1525"/>
      <c r="BC615" s="1525"/>
      <c r="BD615" s="1525"/>
      <c r="BE615" s="1525"/>
      <c r="BG615" s="1525">
        <f t="shared" si="2575"/>
        <v>0.35406185809931268</v>
      </c>
      <c r="BH615" s="1525">
        <f t="shared" si="2575"/>
        <v>0.34566226762902935</v>
      </c>
      <c r="BI615" s="1525">
        <f t="shared" si="2575"/>
        <v>0.31811351377424957</v>
      </c>
      <c r="BJ615" s="1525">
        <f t="shared" si="2575"/>
        <v>0.32500723409122795</v>
      </c>
      <c r="BK615" s="1525">
        <f t="shared" si="2575"/>
        <v>0.31291836585775462</v>
      </c>
      <c r="BL615" s="1525">
        <f t="shared" si="2575"/>
        <v>0.28224658594418761</v>
      </c>
      <c r="BM615" s="1525">
        <f t="shared" si="2575"/>
        <v>0.26579983604149432</v>
      </c>
      <c r="BN615" s="1525">
        <f t="shared" ref="BN615:BO615" si="2576">+IFERROR(BN612/BN603,"n/a ")</f>
        <v>0.26367389256814427</v>
      </c>
      <c r="BO615" s="1525">
        <f t="shared" si="2576"/>
        <v>0.2250260688986648</v>
      </c>
      <c r="BP615" s="1525"/>
      <c r="BT615" s="1577"/>
      <c r="BU615" s="1577"/>
      <c r="BV615" s="1577"/>
      <c r="BW615" s="1577"/>
      <c r="BX615" s="1577"/>
      <c r="BY615" s="1577"/>
      <c r="BZ615" s="1577"/>
      <c r="CA615" s="1577"/>
      <c r="CB615" s="1577"/>
      <c r="CC615" s="1577"/>
    </row>
    <row r="616" spans="2:81" s="1518" customFormat="1" outlineLevel="1">
      <c r="B616" s="1578"/>
      <c r="BT616" s="1527"/>
      <c r="BU616" s="1527"/>
      <c r="BV616" s="1527"/>
      <c r="BW616" s="1527"/>
      <c r="BX616" s="1527"/>
      <c r="BY616" s="1527"/>
      <c r="BZ616" s="1527"/>
      <c r="CA616" s="1527"/>
      <c r="CB616" s="1527"/>
      <c r="CC616" s="1527"/>
    </row>
    <row r="617" spans="2:81" s="1518" customFormat="1" outlineLevel="1">
      <c r="B617" s="1518" t="s">
        <v>352</v>
      </c>
      <c r="H617" s="1521">
        <f t="shared" ref="H617:AQ617" si="2577">+H256</f>
        <v>1777</v>
      </c>
      <c r="I617" s="1521">
        <f t="shared" si="2577"/>
        <v>2291</v>
      </c>
      <c r="J617" s="1521">
        <f t="shared" si="2577"/>
        <v>2148</v>
      </c>
      <c r="K617" s="1521">
        <f t="shared" si="2577"/>
        <v>2911</v>
      </c>
      <c r="L617" s="1521">
        <f t="shared" si="2577"/>
        <v>2137</v>
      </c>
      <c r="M617" s="1521">
        <f t="shared" si="2577"/>
        <v>2832</v>
      </c>
      <c r="N617" s="1521">
        <f t="shared" si="2577"/>
        <v>2654</v>
      </c>
      <c r="O617" s="1521">
        <f t="shared" si="2577"/>
        <v>3901</v>
      </c>
      <c r="P617" s="1521">
        <f t="shared" si="2577"/>
        <v>2931</v>
      </c>
      <c r="Q617" s="1521">
        <f t="shared" si="2577"/>
        <v>3279</v>
      </c>
      <c r="R617" s="1521">
        <f t="shared" si="2577"/>
        <v>3208</v>
      </c>
      <c r="S617" s="1521">
        <f t="shared" si="2577"/>
        <v>4502</v>
      </c>
      <c r="T617" s="1521">
        <f t="shared" si="2577"/>
        <v>3889</v>
      </c>
      <c r="U617" s="1521">
        <f t="shared" si="2577"/>
        <v>4531</v>
      </c>
      <c r="V617" s="1521">
        <f t="shared" si="2577"/>
        <v>4560</v>
      </c>
      <c r="W617" s="1521">
        <f t="shared" si="2577"/>
        <v>5344</v>
      </c>
      <c r="X617" s="1521">
        <f t="shared" si="2577"/>
        <v>5422</v>
      </c>
      <c r="Y617" s="1521">
        <f t="shared" si="2577"/>
        <v>6492</v>
      </c>
      <c r="Z617" s="1521">
        <f t="shared" si="2577"/>
        <v>6425</v>
      </c>
      <c r="AA617" s="1521">
        <f t="shared" si="2577"/>
        <v>7787</v>
      </c>
      <c r="AB617" s="1521">
        <f t="shared" si="2577"/>
        <v>7562</v>
      </c>
      <c r="AC617" s="1521">
        <f t="shared" si="2577"/>
        <v>8197</v>
      </c>
      <c r="AD617" s="1521">
        <f t="shared" si="2577"/>
        <v>8281</v>
      </c>
      <c r="AE617" s="1521">
        <f t="shared" si="2577"/>
        <v>8681</v>
      </c>
      <c r="AF617" s="1521">
        <f t="shared" si="2577"/>
        <v>8978</v>
      </c>
      <c r="AG617" s="1521">
        <f t="shared" si="2577"/>
        <v>9477.7900000000009</v>
      </c>
      <c r="AH617" s="1521">
        <f t="shared" si="2577"/>
        <v>9476</v>
      </c>
      <c r="AI617" s="1521">
        <f t="shared" si="2577"/>
        <v>10526</v>
      </c>
      <c r="AJ617" s="1521">
        <f t="shared" si="2577"/>
        <v>11751</v>
      </c>
      <c r="AK617" s="1521">
        <f t="shared" si="2577"/>
        <v>12461</v>
      </c>
      <c r="AL617" s="1521">
        <f t="shared" si="2577"/>
        <v>12513</v>
      </c>
      <c r="AM617" s="1521">
        <f t="shared" si="2577"/>
        <v>12859</v>
      </c>
      <c r="AN617" s="1521">
        <f t="shared" si="2577"/>
        <v>13944.093537940307</v>
      </c>
      <c r="AO617" s="1521">
        <f t="shared" si="2577"/>
        <v>15310.148638660216</v>
      </c>
      <c r="AP617" s="1521">
        <f t="shared" si="2577"/>
        <v>15376.374583721437</v>
      </c>
      <c r="AQ617" s="1521">
        <f t="shared" si="2577"/>
        <v>16000.187895946245</v>
      </c>
      <c r="BB617" s="1521">
        <f>+BB256</f>
        <v>8446</v>
      </c>
      <c r="BC617" s="1521">
        <f>+BC256</f>
        <v>9803</v>
      </c>
      <c r="BD617" s="1521">
        <f>+BD256</f>
        <v>9315</v>
      </c>
      <c r="BE617" s="1521">
        <f>+BE256</f>
        <v>9138</v>
      </c>
      <c r="BG617" s="1532">
        <f>+BE617</f>
        <v>9138</v>
      </c>
      <c r="BH617" s="1521">
        <f t="shared" ref="BH617:BM617" si="2578">+BH256</f>
        <v>9127</v>
      </c>
      <c r="BI617" s="1521">
        <f t="shared" si="2578"/>
        <v>11524</v>
      </c>
      <c r="BJ617" s="1521">
        <f t="shared" si="2578"/>
        <v>13920</v>
      </c>
      <c r="BK617" s="1521">
        <f t="shared" si="2578"/>
        <v>18324</v>
      </c>
      <c r="BL617" s="1521">
        <f t="shared" si="2578"/>
        <v>26126</v>
      </c>
      <c r="BM617" s="1521">
        <f t="shared" si="2578"/>
        <v>32721</v>
      </c>
      <c r="BN617" s="1521">
        <f>SUM(AF617:AI617)</f>
        <v>38457.79</v>
      </c>
      <c r="BO617" s="1521">
        <f>SUM(AJ617:AM617)</f>
        <v>49584</v>
      </c>
      <c r="BP617" s="1521">
        <f>+SUM(AN617:AQ617)</f>
        <v>60630.804656268199</v>
      </c>
      <c r="BT617" s="1527"/>
      <c r="BU617" s="1527"/>
      <c r="BV617" s="1527"/>
      <c r="BW617" s="1527"/>
      <c r="BX617" s="1527"/>
      <c r="BY617" s="1527"/>
      <c r="BZ617" s="1527"/>
      <c r="CA617" s="1527"/>
      <c r="CB617" s="1527"/>
      <c r="CC617" s="1527"/>
    </row>
    <row r="618" spans="2:81" s="1518" customFormat="1" outlineLevel="1">
      <c r="B618" s="1539" t="s">
        <v>113</v>
      </c>
      <c r="L618" s="1525">
        <f t="shared" ref="L618" si="2579">+L617/H617-1</f>
        <v>0.20258863252673054</v>
      </c>
      <c r="M618" s="1525">
        <f t="shared" ref="M618" si="2580">+M617/I617-1</f>
        <v>0.23614142295940632</v>
      </c>
      <c r="N618" s="1525">
        <f>+N617/J617-1</f>
        <v>0.23556797020484166</v>
      </c>
      <c r="O618" s="1525">
        <f>+O617/K617-1</f>
        <v>0.34008931638612161</v>
      </c>
      <c r="P618" s="1525">
        <f t="shared" ref="P618:V618" si="2581">+P617/L617-1</f>
        <v>0.37154890032756205</v>
      </c>
      <c r="Q618" s="1525">
        <f t="shared" si="2581"/>
        <v>0.15783898305084754</v>
      </c>
      <c r="R618" s="1525">
        <f t="shared" si="2581"/>
        <v>0.20874152223059528</v>
      </c>
      <c r="S618" s="1525">
        <f t="shared" si="2581"/>
        <v>0.15406306075365284</v>
      </c>
      <c r="T618" s="1525">
        <f t="shared" si="2581"/>
        <v>0.32685090412828388</v>
      </c>
      <c r="U618" s="1525">
        <f t="shared" si="2581"/>
        <v>0.38182372674595921</v>
      </c>
      <c r="V618" s="1525">
        <f t="shared" si="2581"/>
        <v>0.42144638403990031</v>
      </c>
      <c r="W618" s="1525">
        <f t="shared" ref="W618:X618" si="2582">+W617/S617-1</f>
        <v>0.18702798756108385</v>
      </c>
      <c r="X618" s="1525">
        <f t="shared" si="2582"/>
        <v>0.39418873746464378</v>
      </c>
      <c r="Y618" s="1525">
        <f t="shared" ref="Y618" si="2583">+Y617/U617-1</f>
        <v>0.43279629220922544</v>
      </c>
      <c r="Z618" s="1525">
        <f t="shared" ref="Z618" si="2584">+Z617/V617-1</f>
        <v>0.40899122807017552</v>
      </c>
      <c r="AA618" s="1525">
        <f t="shared" ref="AA618" si="2585">+AA617/W617-1</f>
        <v>0.45714820359281427</v>
      </c>
      <c r="AB618" s="1525">
        <f t="shared" ref="AB618" si="2586">+AB617/X617-1</f>
        <v>0.39468830689782375</v>
      </c>
      <c r="AC618" s="1525">
        <f t="shared" ref="AC618" si="2587">+AC617/Y617-1</f>
        <v>0.26263093037584717</v>
      </c>
      <c r="AD618" s="1525">
        <f t="shared" ref="AD618" si="2588">+AD617/Z617-1</f>
        <v>0.28887159533073925</v>
      </c>
      <c r="AE618" s="1525">
        <f t="shared" ref="AE618" si="2589">+AE617/AA617-1</f>
        <v>0.11480672916399137</v>
      </c>
      <c r="AF618" s="1525">
        <f t="shared" ref="AF618" si="2590">+AF617/AB617-1</f>
        <v>0.18725204972229559</v>
      </c>
      <c r="AG618" s="1525">
        <f t="shared" ref="AG618" si="2591">+AG617/AC617-1</f>
        <v>0.15625106746370632</v>
      </c>
      <c r="AH618" s="1525">
        <f t="shared" ref="AH618" si="2592">+AH617/AD617-1</f>
        <v>0.14430624320734209</v>
      </c>
      <c r="AI618" s="1525">
        <f t="shared" ref="AI618" si="2593">+AI617/AE617-1</f>
        <v>0.21253311830434285</v>
      </c>
      <c r="AJ618" s="1525">
        <f t="shared" ref="AJ618:AK618" si="2594">+AJ617/AF617-1</f>
        <v>0.30886611717531753</v>
      </c>
      <c r="AK618" s="1525">
        <f t="shared" si="2594"/>
        <v>0.31475797627928026</v>
      </c>
      <c r="AL618" s="1525">
        <f t="shared" ref="AL618" si="2595">+AL617/AH617-1</f>
        <v>0.32049387927395534</v>
      </c>
      <c r="AM618" s="1525">
        <f t="shared" ref="AM618" si="2596">+AM617/AI617-1</f>
        <v>0.22164164924947749</v>
      </c>
      <c r="AN618" s="1525">
        <f t="shared" ref="AN618" si="2597">+AN617/AJ617-1</f>
        <v>0.18663037511193159</v>
      </c>
      <c r="AO618" s="1525">
        <f t="shared" ref="AO618" si="2598">+AO617/AK617-1</f>
        <v>0.22864526431748788</v>
      </c>
      <c r="AP618" s="1525">
        <f t="shared" ref="AP618" si="2599">+AP617/AL617-1</f>
        <v>0.22883198143702055</v>
      </c>
      <c r="AQ618" s="1525">
        <f t="shared" ref="AQ618" si="2600">+AQ617/AM617-1</f>
        <v>0.24427932933713703</v>
      </c>
      <c r="BC618" s="1525">
        <f t="shared" ref="BC618:BE618" si="2601">+BC617/BB617-1</f>
        <v>0.16066777172626101</v>
      </c>
      <c r="BD618" s="1525">
        <f t="shared" si="2601"/>
        <v>-4.9780679383862103E-2</v>
      </c>
      <c r="BE618" s="1525">
        <f t="shared" si="2601"/>
        <v>-1.900161030595815E-2</v>
      </c>
      <c r="BG618" s="1526">
        <f>+BE618</f>
        <v>-1.900161030595815E-2</v>
      </c>
      <c r="BH618" s="1526">
        <f>+BE618</f>
        <v>-1.900161030595815E-2</v>
      </c>
      <c r="BI618" s="1525">
        <f>+BI617/BH617-1</f>
        <v>0.26262736934370556</v>
      </c>
      <c r="BJ618" s="1525">
        <f t="shared" ref="BJ618" si="2602">+BJ617/BI617-1</f>
        <v>0.20791391877820198</v>
      </c>
      <c r="BK618" s="1525">
        <f t="shared" ref="BK618:BL618" si="2603">+BK617/BJ617-1</f>
        <v>0.31637931034482758</v>
      </c>
      <c r="BL618" s="1525">
        <f t="shared" si="2603"/>
        <v>0.42578039729316752</v>
      </c>
      <c r="BM618" s="1525">
        <f t="shared" ref="BM618" si="2604">+BM617/BL617-1</f>
        <v>0.25243052897496754</v>
      </c>
      <c r="BN618" s="1525">
        <f t="shared" ref="BN618" si="2605">+BN617/BM617-1</f>
        <v>0.17532440940069072</v>
      </c>
      <c r="BO618" s="1525">
        <f t="shared" ref="BO618:BP618" si="2606">+BO617/BN617-1</f>
        <v>0.28930965611908532</v>
      </c>
      <c r="BP618" s="1525">
        <f t="shared" si="2606"/>
        <v>0.22278970345813565</v>
      </c>
      <c r="BT618" s="1530"/>
      <c r="BU618" s="1530"/>
      <c r="BV618" s="1530"/>
      <c r="BW618" s="1530"/>
      <c r="BX618" s="1530"/>
      <c r="BY618" s="1530"/>
      <c r="BZ618" s="1530"/>
      <c r="CA618" s="1530"/>
      <c r="CB618" s="1530"/>
      <c r="CC618" s="1530"/>
    </row>
    <row r="619" spans="2:81" s="1518" customFormat="1" outlineLevel="1">
      <c r="B619" s="1539" t="s">
        <v>272</v>
      </c>
      <c r="L619" s="1528">
        <v>0.2</v>
      </c>
      <c r="M619" s="1528">
        <v>0.24</v>
      </c>
      <c r="N619" s="1528">
        <v>0.21</v>
      </c>
      <c r="O619" s="1528">
        <v>0.3</v>
      </c>
      <c r="P619" s="1528">
        <v>0.35</v>
      </c>
      <c r="Q619" s="1528">
        <v>0.15</v>
      </c>
      <c r="R619" s="1528">
        <v>0.23</v>
      </c>
      <c r="S619" s="1528">
        <v>0.19</v>
      </c>
      <c r="T619" s="1528">
        <v>0.38</v>
      </c>
      <c r="U619" s="1528">
        <v>0.42</v>
      </c>
      <c r="V619" s="1528">
        <v>0.46</v>
      </c>
      <c r="W619" s="1528">
        <v>0.22</v>
      </c>
      <c r="X619" s="1528">
        <v>0.38</v>
      </c>
      <c r="Y619" s="1528">
        <v>0.41</v>
      </c>
      <c r="Z619" s="1528">
        <v>0.36</v>
      </c>
      <c r="AA619" s="1528">
        <v>0.39</v>
      </c>
      <c r="AB619" s="1528">
        <v>0.37</v>
      </c>
      <c r="AC619" s="1528">
        <v>0.26</v>
      </c>
      <c r="AD619" s="1528">
        <v>0.33</v>
      </c>
      <c r="AE619" s="1528">
        <v>0.18</v>
      </c>
      <c r="AF619" s="1528">
        <v>0.25</v>
      </c>
      <c r="AG619" s="1538">
        <f>+AG618+8%</f>
        <v>0.23625106746370633</v>
      </c>
      <c r="AH619" s="1528">
        <v>0.17</v>
      </c>
      <c r="AI619" s="1528">
        <v>0.22</v>
      </c>
      <c r="AJ619" s="1528">
        <v>0.3</v>
      </c>
      <c r="AK619" s="1538">
        <f>+AK618-3%</f>
        <v>0.28475797627928023</v>
      </c>
      <c r="AL619" s="1538">
        <f>+AL618</f>
        <v>0.32049387927395534</v>
      </c>
      <c r="AM619" s="1538">
        <v>0.23</v>
      </c>
      <c r="AN619" s="1528"/>
      <c r="AO619" s="1528"/>
      <c r="AP619" s="1528"/>
      <c r="AQ619" s="1528"/>
      <c r="BC619" s="1529" t="s">
        <v>273</v>
      </c>
      <c r="BG619" s="1529" t="s">
        <v>273</v>
      </c>
      <c r="BH619" s="1529" t="s">
        <v>273</v>
      </c>
      <c r="BI619" s="1529">
        <f>+SUMPRODUCT(L619:O619,H617:K617)/BH617</f>
        <v>0.24428837515065191</v>
      </c>
      <c r="BJ619" s="1529">
        <f>+SUMPRODUCT(P619:S619,L617:O617)/BI617</f>
        <v>0.21905241235682055</v>
      </c>
      <c r="BK619" s="1529">
        <f>+SUMPRODUCT(T619:W619,P617:S617)/BJ617</f>
        <v>0.35611206896551723</v>
      </c>
      <c r="BL619" s="1529">
        <f>+SUMPRODUCT(X619:AA619,T617:W617)/BK617</f>
        <v>0.38535745470421301</v>
      </c>
      <c r="BM619" s="1529">
        <f>+SUMPRODUCT(AB619:AE619,X617:AA617)/BL617</f>
        <v>0.27619880578733824</v>
      </c>
      <c r="BN619" s="1529">
        <f>+SUMPRODUCT(AF619:AI619,AB617:AE617)/BM617</f>
        <v>0.21835029491763702</v>
      </c>
      <c r="BO619" s="1529">
        <f>+SUMPRODUCT(AJ619:AM619,AF617:AI617)/BN617</f>
        <v>0.28213416059529162</v>
      </c>
      <c r="BP619" s="1529"/>
      <c r="BT619" s="1535"/>
      <c r="BU619" s="1535"/>
      <c r="BV619" s="1535"/>
      <c r="BW619" s="1535"/>
      <c r="BX619" s="1535"/>
      <c r="BY619" s="1535"/>
      <c r="BZ619" s="1535"/>
      <c r="CA619" s="1535"/>
      <c r="CB619" s="1535"/>
      <c r="CC619" s="1535"/>
    </row>
    <row r="620" spans="2:81" s="1518" customFormat="1" outlineLevel="1">
      <c r="B620" s="1539" t="s">
        <v>123</v>
      </c>
      <c r="H620" s="1525">
        <f t="shared" ref="H620:AH620" si="2607">+IFERROR(H617/H603,"n/a ")</f>
        <v>0.29145481384287353</v>
      </c>
      <c r="I620" s="1525">
        <f t="shared" si="2607"/>
        <v>0.3390056229653744</v>
      </c>
      <c r="J620" s="1525">
        <f t="shared" si="2607"/>
        <v>0.31916790490341751</v>
      </c>
      <c r="K620" s="1525">
        <f t="shared" si="2607"/>
        <v>0.37215545896190233</v>
      </c>
      <c r="L620" s="1525">
        <f t="shared" si="2607"/>
        <v>0.30872580179138975</v>
      </c>
      <c r="M620" s="1525">
        <f t="shared" si="2607"/>
        <v>0.36330981398332263</v>
      </c>
      <c r="N620" s="1525">
        <f t="shared" si="2607"/>
        <v>0.33611955420466061</v>
      </c>
      <c r="O620" s="1525">
        <f t="shared" si="2607"/>
        <v>0.40610035394545074</v>
      </c>
      <c r="P620" s="1525">
        <f t="shared" si="2607"/>
        <v>0.34212676549550602</v>
      </c>
      <c r="Q620" s="1525">
        <f t="shared" si="2607"/>
        <v>0.34964811260396672</v>
      </c>
      <c r="R620" s="1525">
        <f t="shared" si="2607"/>
        <v>0.33246968597782156</v>
      </c>
      <c r="S620" s="1525">
        <f t="shared" si="2607"/>
        <v>0.39522429988587482</v>
      </c>
      <c r="T620" s="1525">
        <f t="shared" si="2607"/>
        <v>0.35859843245735362</v>
      </c>
      <c r="U620" s="1525">
        <f t="shared" si="2607"/>
        <v>0.38175077934114077</v>
      </c>
      <c r="V620" s="1525">
        <f t="shared" si="2607"/>
        <v>0.37130526830062699</v>
      </c>
      <c r="W620" s="1525">
        <f t="shared" si="2607"/>
        <v>0.39967092962381273</v>
      </c>
      <c r="X620" s="1525">
        <f t="shared" si="2607"/>
        <v>0.41752656707223162</v>
      </c>
      <c r="Y620" s="1525">
        <f t="shared" si="2607"/>
        <v>0.44462708033696324</v>
      </c>
      <c r="Z620" s="1525">
        <f t="shared" si="2607"/>
        <v>0.42499007805265249</v>
      </c>
      <c r="AA620" s="1525">
        <f t="shared" si="2607"/>
        <v>0.44817266187050359</v>
      </c>
      <c r="AB620" s="1525">
        <f t="shared" si="2607"/>
        <v>0.44576750766328699</v>
      </c>
      <c r="AC620" s="1525">
        <f t="shared" si="2607"/>
        <v>0.44726360015278005</v>
      </c>
      <c r="AD620" s="1525">
        <f t="shared" si="2607"/>
        <v>0.43467534512624006</v>
      </c>
      <c r="AE620" s="1525">
        <f t="shared" si="2607"/>
        <v>0.41518006600028695</v>
      </c>
      <c r="AF620" s="1525">
        <f t="shared" si="2607"/>
        <v>0.44172201722017218</v>
      </c>
      <c r="AG620" s="1525">
        <f t="shared" si="2607"/>
        <v>0.44066347405616518</v>
      </c>
      <c r="AH620" s="1525">
        <f t="shared" si="2607"/>
        <v>0.42914723065078575</v>
      </c>
      <c r="AI620" s="1525">
        <f t="shared" ref="AI620:AJ620" si="2608">+IFERROR(AI617/AI603,"n/a ")</f>
        <v>0.43871129079314802</v>
      </c>
      <c r="AJ620" s="1525">
        <f t="shared" si="2608"/>
        <v>0.48439754317985079</v>
      </c>
      <c r="AK620" s="1525">
        <f t="shared" ref="AK620:AL620" si="2609">+IFERROR(AK617/AK603,"n/a ")</f>
        <v>0.48149149922720247</v>
      </c>
      <c r="AL620" s="1525">
        <f t="shared" si="2609"/>
        <v>0.46851130747341618</v>
      </c>
      <c r="AM620" s="1525">
        <f t="shared" ref="AM620" si="2610">+IFERROR(AM617/AM603,"n/a ")</f>
        <v>0.4509556373838331</v>
      </c>
      <c r="AN620" s="1525">
        <f t="shared" ref="AN620:AQ620" si="2611">+IFERROR(AN617/AN603,"n/a ")</f>
        <v>0.48439754317985079</v>
      </c>
      <c r="AO620" s="1525">
        <f t="shared" si="2611"/>
        <v>0.49649149922720248</v>
      </c>
      <c r="AP620" s="1525">
        <f t="shared" si="2611"/>
        <v>0.4835113074734162</v>
      </c>
      <c r="AQ620" s="1525">
        <f t="shared" si="2611"/>
        <v>0.46595563738383311</v>
      </c>
      <c r="BB620" s="1525">
        <f>+IFERROR(BB617/BB603,"n/a ")</f>
        <v>0.38858983206809294</v>
      </c>
      <c r="BC620" s="1525">
        <f>+IFERROR(BC617/BC603,"n/a ")</f>
        <v>0.41336706725701033</v>
      </c>
      <c r="BD620" s="1525">
        <f>+IFERROR(BD617/BD603,"n/a ")</f>
        <v>0.37197508186247102</v>
      </c>
      <c r="BE620" s="1525">
        <f>+IFERROR(BE617/BE603,"n/a ")</f>
        <v>0.33301749271137027</v>
      </c>
      <c r="BG620" s="1526">
        <f t="shared" ref="BG620:BM620" si="2612">+IFERROR(BG617/BG603,"n/a ")</f>
        <v>0.36622314844501441</v>
      </c>
      <c r="BH620" s="1525">
        <f t="shared" si="2612"/>
        <v>0.33301711241653592</v>
      </c>
      <c r="BI620" s="1525">
        <f t="shared" si="2612"/>
        <v>0.35767714702504733</v>
      </c>
      <c r="BJ620" s="1525">
        <f t="shared" si="2612"/>
        <v>0.35706040784917276</v>
      </c>
      <c r="BK620" s="1525">
        <f t="shared" si="2612"/>
        <v>0.37886118347599551</v>
      </c>
      <c r="BL620" s="1525">
        <f t="shared" si="2612"/>
        <v>0.43485352862849536</v>
      </c>
      <c r="BM620" s="1525">
        <f t="shared" si="2612"/>
        <v>0.43482478638157634</v>
      </c>
      <c r="BN620" s="1525">
        <f t="shared" ref="BN620:BP620" si="2613">+IFERROR(BN617/BN603,"n/a ")</f>
        <v>0.43748268056013745</v>
      </c>
      <c r="BO620" s="1525">
        <f t="shared" si="2613"/>
        <v>0.47060610087128185</v>
      </c>
      <c r="BP620" s="1525">
        <f t="shared" si="2613"/>
        <v>0.48210344839860386</v>
      </c>
    </row>
    <row r="621" spans="2:81" s="1518" customFormat="1" outlineLevel="1">
      <c r="BT621" s="1519"/>
      <c r="BU621" s="1519"/>
      <c r="BV621" s="1519"/>
      <c r="BW621" s="1519"/>
      <c r="BX621" s="1519"/>
      <c r="BY621" s="1519"/>
      <c r="BZ621" s="1519"/>
      <c r="CA621" s="1519"/>
      <c r="CB621" s="1519"/>
      <c r="CC621" s="1519"/>
    </row>
    <row r="622" spans="2:81" s="1518" customFormat="1" ht="10.5" outlineLevel="1">
      <c r="B622" s="1299" t="str">
        <f>+B448</f>
        <v>Subsegment Disclosure</v>
      </c>
      <c r="BT622" s="1540"/>
      <c r="BU622" s="1540"/>
      <c r="BV622" s="1540"/>
      <c r="BW622" s="1540"/>
      <c r="BX622" s="1540"/>
      <c r="BY622" s="1540"/>
      <c r="BZ622" s="1540"/>
      <c r="CA622" s="1540"/>
      <c r="CB622" s="1540"/>
      <c r="CC622" s="1540"/>
    </row>
    <row r="623" spans="2:81" s="1518" customFormat="1" ht="11.45" outlineLevel="1">
      <c r="B623" s="1299"/>
      <c r="BT623" s="1542"/>
      <c r="BU623" s="1542"/>
      <c r="BV623" s="1542"/>
      <c r="BW623" s="1542"/>
      <c r="BX623" s="1542"/>
      <c r="BY623" s="1542"/>
      <c r="BZ623" s="1542"/>
      <c r="CA623" s="1542"/>
      <c r="CB623" s="1542"/>
      <c r="CC623" s="1542"/>
    </row>
    <row r="624" spans="2:81" s="1518" customFormat="1" outlineLevel="1">
      <c r="B624" s="1300" t="s">
        <v>376</v>
      </c>
      <c r="D624" s="1545" t="s">
        <v>404</v>
      </c>
      <c r="E624" s="1545"/>
      <c r="F624" s="1545"/>
      <c r="G624" s="1545"/>
      <c r="BT624" s="1540"/>
      <c r="BU624" s="1540"/>
      <c r="BV624" s="1540"/>
      <c r="BW624" s="1540"/>
      <c r="BX624" s="1540"/>
      <c r="BY624" s="1540"/>
      <c r="BZ624" s="1540"/>
      <c r="CA624" s="1540"/>
      <c r="CB624" s="1540"/>
      <c r="CC624" s="1540"/>
    </row>
    <row r="625" spans="2:81" s="1518" customFormat="1" outlineLevel="1">
      <c r="B625" s="1579" t="s">
        <v>438</v>
      </c>
      <c r="D625" s="1546"/>
      <c r="E625" s="1546"/>
      <c r="F625" s="1546"/>
      <c r="G625" s="1546">
        <v>1.02</v>
      </c>
      <c r="H625" s="1546">
        <v>1.1599999999999999</v>
      </c>
      <c r="I625" s="1546">
        <v>0.93</v>
      </c>
      <c r="J625" s="1546">
        <v>0.93</v>
      </c>
      <c r="K625" s="1546">
        <v>0.97</v>
      </c>
      <c r="L625" s="1546">
        <v>0.9</v>
      </c>
      <c r="M625" s="1546">
        <v>0.98</v>
      </c>
      <c r="N625" s="1546">
        <v>0.93</v>
      </c>
      <c r="O625" s="1546">
        <v>0.89</v>
      </c>
      <c r="P625" s="1546">
        <v>0.76</v>
      </c>
      <c r="Q625" s="1546">
        <v>0.76</v>
      </c>
      <c r="R625" s="1546">
        <v>0.73</v>
      </c>
      <c r="S625" s="1546">
        <v>0.64</v>
      </c>
      <c r="T625" s="1546">
        <v>0.59</v>
      </c>
      <c r="U625" s="1546">
        <v>0.62</v>
      </c>
      <c r="V625" s="1546">
        <v>0.59</v>
      </c>
      <c r="W625" s="1546">
        <v>0.47</v>
      </c>
      <c r="X625" s="1546">
        <v>0.48</v>
      </c>
      <c r="Y625" s="1546">
        <v>0.5</v>
      </c>
      <c r="Z625" s="1546">
        <v>0.5</v>
      </c>
      <c r="AA625" s="1546">
        <v>0.51</v>
      </c>
      <c r="AB625" s="1546">
        <v>0.5</v>
      </c>
      <c r="AC625" s="1546">
        <v>0.46</v>
      </c>
      <c r="AD625" s="1546">
        <v>0.46</v>
      </c>
      <c r="AE625" s="1546">
        <v>0.4</v>
      </c>
      <c r="AF625" s="1546">
        <v>0.35</v>
      </c>
      <c r="AG625" s="1546">
        <v>0.31</v>
      </c>
      <c r="AH625" s="1546">
        <v>0.27</v>
      </c>
      <c r="AI625" s="1546">
        <v>0.26</v>
      </c>
      <c r="AJ625" s="1546">
        <v>0.28999999999999998</v>
      </c>
      <c r="AK625" s="1546">
        <v>0.3</v>
      </c>
      <c r="AL625" s="1546">
        <v>0.31</v>
      </c>
      <c r="AM625" s="1546">
        <v>0.28999999999999998</v>
      </c>
      <c r="AN625" s="1546"/>
      <c r="AO625" s="1546"/>
      <c r="AP625" s="1546"/>
      <c r="AQ625" s="1546"/>
      <c r="BG625" s="1547"/>
      <c r="BH625" s="1547">
        <f>+AVERAGE(H625:K625)</f>
        <v>0.99750000000000005</v>
      </c>
      <c r="BI625" s="1547">
        <f>+AVERAGE(L625:O625)</f>
        <v>0.92500000000000004</v>
      </c>
      <c r="BJ625" s="1547">
        <f>+AVERAGE(P625:S625)</f>
        <v>0.72250000000000003</v>
      </c>
      <c r="BK625" s="1547">
        <f>+AVERAGE(T625:W625)</f>
        <v>0.56749999999999989</v>
      </c>
      <c r="BL625" s="1547">
        <f>+AVERAGE(X625:AA625)</f>
        <v>0.4975</v>
      </c>
      <c r="BM625" s="1547">
        <f>+AVERAGE(AB625:AE625)</f>
        <v>0.45499999999999996</v>
      </c>
      <c r="BN625" s="1547">
        <f>+AVERAGE(AF625:AI625)</f>
        <v>0.29749999999999999</v>
      </c>
      <c r="BO625" s="1547">
        <f>+AVERAGE(AJ625:AM625)</f>
        <v>0.29749999999999999</v>
      </c>
      <c r="BP625" s="1547"/>
      <c r="BT625" s="1540"/>
      <c r="BU625" s="1540"/>
      <c r="BV625" s="1540"/>
      <c r="BW625" s="1540"/>
      <c r="BX625" s="1540"/>
      <c r="BY625" s="1540"/>
      <c r="BZ625" s="1540"/>
      <c r="CA625" s="1540"/>
      <c r="CB625" s="1540"/>
      <c r="CC625" s="1540"/>
    </row>
    <row r="626" spans="2:81" s="1527" customFormat="1" outlineLevel="1">
      <c r="B626" s="1539" t="s">
        <v>439</v>
      </c>
      <c r="D626" s="1528"/>
      <c r="E626" s="1528"/>
      <c r="F626" s="1528"/>
      <c r="G626" s="1528"/>
      <c r="H626" s="1528"/>
      <c r="I626" s="1528"/>
      <c r="J626" s="1528"/>
      <c r="K626" s="1528"/>
      <c r="L626" s="1528"/>
      <c r="M626" s="1528"/>
      <c r="N626" s="1528"/>
      <c r="O626" s="1528"/>
      <c r="P626" s="1528"/>
      <c r="Q626" s="1528"/>
      <c r="R626" s="1528"/>
      <c r="S626" s="1528"/>
      <c r="T626" s="1528"/>
      <c r="U626" s="1528"/>
      <c r="V626" s="1528"/>
      <c r="W626" s="1528"/>
      <c r="X626" s="1528"/>
      <c r="Y626" s="1528"/>
      <c r="Z626" s="1528"/>
      <c r="AA626" s="1528"/>
      <c r="AB626" s="1528"/>
      <c r="AC626" s="1528"/>
      <c r="AD626" s="1528"/>
      <c r="AE626" s="1528"/>
      <c r="AF626" s="1528"/>
      <c r="AG626" s="1528"/>
      <c r="AH626" s="1528"/>
      <c r="AI626" s="1528"/>
      <c r="AJ626" s="1528">
        <v>3.3410000000000002E-2</v>
      </c>
      <c r="AK626" s="1528">
        <v>0.06</v>
      </c>
      <c r="AL626" s="1528">
        <v>7.0000000000000007E-2</v>
      </c>
      <c r="AM626" s="1528">
        <v>0.08</v>
      </c>
      <c r="AN626" s="1528"/>
      <c r="AO626" s="1528"/>
      <c r="AP626" s="1528"/>
      <c r="AQ626" s="1528"/>
      <c r="BG626" s="1537"/>
      <c r="BH626" s="1537"/>
      <c r="BI626" s="1537"/>
      <c r="BJ626" s="1537"/>
      <c r="BK626" s="1537"/>
      <c r="BL626" s="1537"/>
      <c r="BM626" s="1537"/>
      <c r="BN626" s="1537"/>
      <c r="BO626" s="1537">
        <f>+BO652/BN645</f>
        <v>6.4834137557460064E-2</v>
      </c>
      <c r="BP626" s="1537"/>
      <c r="BT626" s="1541"/>
      <c r="BU626" s="1541"/>
      <c r="BV626" s="1541"/>
      <c r="BW626" s="1541"/>
      <c r="BX626" s="1541"/>
      <c r="BY626" s="1541"/>
      <c r="BZ626" s="1541"/>
      <c r="CA626" s="1541"/>
      <c r="CB626" s="1541"/>
      <c r="CC626" s="1541"/>
    </row>
    <row r="627" spans="2:81" s="1518" customFormat="1" outlineLevel="1">
      <c r="B627" s="1579" t="s">
        <v>424</v>
      </c>
      <c r="D627" s="1546"/>
      <c r="E627" s="1546"/>
      <c r="F627" s="1546"/>
      <c r="G627" s="1546"/>
      <c r="H627" s="1546"/>
      <c r="I627" s="1546"/>
      <c r="J627" s="1546"/>
      <c r="K627" s="1546"/>
      <c r="L627" s="1546"/>
      <c r="M627" s="1546"/>
      <c r="N627" s="1546"/>
      <c r="O627" s="1546"/>
      <c r="P627" s="1546"/>
      <c r="Q627" s="1546"/>
      <c r="R627" s="1546"/>
      <c r="S627" s="1546"/>
      <c r="T627" s="1546"/>
      <c r="U627" s="1546"/>
      <c r="V627" s="1546"/>
      <c r="W627" s="1546"/>
      <c r="X627" s="1546"/>
      <c r="Y627" s="1546"/>
      <c r="Z627" s="1546"/>
      <c r="AA627" s="1546"/>
      <c r="AB627" s="1546"/>
      <c r="AC627" s="1546"/>
      <c r="AD627" s="1546"/>
      <c r="AE627" s="1546"/>
      <c r="AF627" s="1546"/>
      <c r="AG627" s="1546"/>
      <c r="AH627" s="1546"/>
      <c r="AI627" s="1546"/>
      <c r="AJ627" s="1546">
        <v>0.31</v>
      </c>
      <c r="AK627" s="1546">
        <v>0.33</v>
      </c>
      <c r="AL627" s="1546">
        <v>0.35</v>
      </c>
      <c r="AM627" s="1546">
        <v>0.34</v>
      </c>
      <c r="AN627" s="1546">
        <v>0.33</v>
      </c>
      <c r="AO627" s="1546"/>
      <c r="AP627" s="1546"/>
      <c r="AQ627" s="1546"/>
      <c r="BG627" s="1547"/>
      <c r="BH627" s="1547"/>
      <c r="BI627" s="1547"/>
      <c r="BJ627" s="1547"/>
      <c r="BK627" s="1547"/>
      <c r="BL627" s="1547"/>
      <c r="BM627" s="1547"/>
      <c r="BN627" s="1547"/>
      <c r="BO627" s="1547">
        <f t="shared" ref="BO627:BO640" si="2614">+AVERAGE(AJ627:AM627)</f>
        <v>0.33250000000000002</v>
      </c>
      <c r="BP627" s="1547"/>
      <c r="BT627" s="1543"/>
      <c r="BU627" s="1543"/>
      <c r="BV627" s="1543"/>
      <c r="BW627" s="1543"/>
      <c r="BX627" s="1543"/>
      <c r="BY627" s="1543"/>
      <c r="BZ627" s="1543"/>
      <c r="CA627" s="1543"/>
      <c r="CB627" s="1543"/>
      <c r="CC627" s="1543"/>
    </row>
    <row r="628" spans="2:81" s="1527" customFormat="1" outlineLevel="1">
      <c r="B628" s="1539" t="s">
        <v>425</v>
      </c>
      <c r="D628" s="1528"/>
      <c r="E628" s="1528"/>
      <c r="F628" s="1528"/>
      <c r="G628" s="1528"/>
      <c r="H628" s="1528"/>
      <c r="I628" s="1528"/>
      <c r="J628" s="1528"/>
      <c r="K628" s="1528"/>
      <c r="L628" s="1528"/>
      <c r="M628" s="1528"/>
      <c r="N628" s="1528"/>
      <c r="O628" s="1528"/>
      <c r="P628" s="1528"/>
      <c r="Q628" s="1528"/>
      <c r="R628" s="1528"/>
      <c r="S628" s="1528"/>
      <c r="T628" s="1528"/>
      <c r="U628" s="1528"/>
      <c r="V628" s="1528"/>
      <c r="W628" s="1528"/>
      <c r="X628" s="1528"/>
      <c r="Y628" s="1528"/>
      <c r="Z628" s="1528"/>
      <c r="AA628" s="1528"/>
      <c r="AB628" s="1528"/>
      <c r="AC628" s="1528"/>
      <c r="AD628" s="1528"/>
      <c r="AE628" s="1528"/>
      <c r="AF628" s="1528"/>
      <c r="AG628" s="1528"/>
      <c r="AH628" s="1528"/>
      <c r="AI628" s="1528"/>
      <c r="AJ628" s="1528">
        <v>4.4999999999999998E-2</v>
      </c>
      <c r="AK628" s="1528">
        <v>0.09</v>
      </c>
      <c r="AL628" s="1528">
        <v>0.1</v>
      </c>
      <c r="AM628" s="1528">
        <v>0.11</v>
      </c>
      <c r="AN628" s="1528">
        <v>0.12</v>
      </c>
      <c r="AO628" s="1528"/>
      <c r="AP628" s="1528"/>
      <c r="AQ628" s="1528"/>
      <c r="BG628" s="1537"/>
      <c r="BH628" s="1537"/>
      <c r="BI628" s="1537"/>
      <c r="BJ628" s="1537"/>
      <c r="BK628" s="1537"/>
      <c r="BL628" s="1537"/>
      <c r="BM628" s="1537"/>
      <c r="BN628" s="1537"/>
      <c r="BO628" s="1547"/>
      <c r="BP628" s="1537"/>
      <c r="BT628" s="1519"/>
      <c r="BU628" s="1519"/>
      <c r="BV628" s="1519"/>
      <c r="BW628" s="1519"/>
      <c r="BX628" s="1519"/>
      <c r="BY628" s="1519"/>
      <c r="BZ628" s="1519"/>
      <c r="CA628" s="1519"/>
      <c r="CB628" s="1519"/>
      <c r="CC628" s="1519"/>
    </row>
    <row r="629" spans="2:81" s="1518" customFormat="1" outlineLevel="1">
      <c r="B629" s="1579" t="s">
        <v>426</v>
      </c>
      <c r="D629" s="1546"/>
      <c r="E629" s="1546"/>
      <c r="F629" s="1546"/>
      <c r="G629" s="1546">
        <v>0</v>
      </c>
      <c r="H629" s="1546">
        <v>0.03</v>
      </c>
      <c r="I629" s="1546">
        <v>0.05</v>
      </c>
      <c r="J629" s="1546">
        <v>0.1</v>
      </c>
      <c r="K629" s="1546">
        <v>0.02</v>
      </c>
      <c r="L629" s="1546">
        <v>0.02</v>
      </c>
      <c r="M629" s="1546">
        <v>0.04</v>
      </c>
      <c r="N629" s="1546">
        <v>0.03</v>
      </c>
      <c r="O629" s="1546">
        <v>0.08</v>
      </c>
      <c r="P629" s="1546">
        <v>0.1</v>
      </c>
      <c r="Q629" s="1546">
        <v>0.03</v>
      </c>
      <c r="R629" s="1546">
        <v>7.0000000000000007E-2</v>
      </c>
      <c r="S629" s="1546">
        <v>0.05</v>
      </c>
      <c r="T629" s="1546">
        <v>0.12</v>
      </c>
      <c r="U629" s="1546">
        <v>0.1</v>
      </c>
      <c r="V629" s="1546">
        <v>0.11</v>
      </c>
      <c r="W629" s="1546">
        <v>0</v>
      </c>
      <c r="X629" s="1546">
        <v>-0.01</v>
      </c>
      <c r="Y629" s="1546">
        <v>0.04</v>
      </c>
      <c r="Z629" s="1546">
        <v>0.03</v>
      </c>
      <c r="AA629" s="1546">
        <v>0.16</v>
      </c>
      <c r="AB629" s="1546">
        <v>0.14000000000000001</v>
      </c>
      <c r="AC629" s="1546">
        <v>0.06</v>
      </c>
      <c r="AD629" s="1546">
        <v>0.05</v>
      </c>
      <c r="AE629" s="1546">
        <v>-0.03</v>
      </c>
      <c r="AF629" s="1546">
        <v>0</v>
      </c>
      <c r="AG629" s="1546">
        <v>-0.02</v>
      </c>
      <c r="AH629" s="1546">
        <v>-0.02</v>
      </c>
      <c r="AI629" s="1546">
        <v>-0.01</v>
      </c>
      <c r="AJ629" s="1546">
        <v>0.02</v>
      </c>
      <c r="AK629" s="1546">
        <v>0.03</v>
      </c>
      <c r="AL629" s="1546">
        <v>0.06</v>
      </c>
      <c r="AM629" s="1546">
        <v>0.02</v>
      </c>
      <c r="AN629" s="1546">
        <v>-0.01</v>
      </c>
      <c r="AO629" s="1546"/>
      <c r="AP629" s="1546"/>
      <c r="AQ629" s="1546"/>
      <c r="BG629" s="1547"/>
      <c r="BH629" s="1547">
        <f>+AVERAGE(H629:K629)</f>
        <v>4.9999999999999996E-2</v>
      </c>
      <c r="BI629" s="1547">
        <f>+AVERAGE(L629:O629)</f>
        <v>4.2499999999999996E-2</v>
      </c>
      <c r="BJ629" s="1547">
        <f>+AVERAGE(P629:S629)</f>
        <v>6.25E-2</v>
      </c>
      <c r="BK629" s="1547">
        <f>+AVERAGE(T629:W629)</f>
        <v>8.2500000000000004E-2</v>
      </c>
      <c r="BL629" s="1547">
        <f>+AVERAGE(X629:AA629)</f>
        <v>5.5E-2</v>
      </c>
      <c r="BM629" s="1547">
        <f>+AVERAGE(AB629:AE629)</f>
        <v>5.5E-2</v>
      </c>
      <c r="BN629" s="1547">
        <f t="shared" ref="BN629:BN640" si="2615">+AVERAGE(AF629:AI629)</f>
        <v>-1.2500000000000001E-2</v>
      </c>
      <c r="BO629" s="1547">
        <f t="shared" si="2614"/>
        <v>3.2500000000000001E-2</v>
      </c>
      <c r="BP629" s="1547"/>
      <c r="BT629" s="1519"/>
      <c r="BU629" s="1519"/>
      <c r="BV629" s="1519"/>
      <c r="BW629" s="1519"/>
      <c r="BX629" s="1519"/>
      <c r="BY629" s="1519"/>
      <c r="BZ629" s="1519"/>
      <c r="CA629" s="1519"/>
      <c r="CB629" s="1519"/>
      <c r="CC629" s="1519"/>
    </row>
    <row r="630" spans="2:81" s="1518" customFormat="1" outlineLevel="1">
      <c r="B630" s="1518" t="s">
        <v>427</v>
      </c>
      <c r="D630" s="1546">
        <v>0.06</v>
      </c>
      <c r="E630" s="1546">
        <v>0.03</v>
      </c>
      <c r="F630" s="1546">
        <v>0</v>
      </c>
      <c r="G630" s="1546">
        <v>0.05</v>
      </c>
      <c r="H630" s="1546">
        <v>0.13</v>
      </c>
      <c r="I630" s="1546">
        <v>0.12</v>
      </c>
      <c r="J630" s="1546">
        <v>0.18</v>
      </c>
      <c r="K630" s="1546">
        <v>0.12</v>
      </c>
      <c r="L630" s="1546">
        <v>0.17</v>
      </c>
      <c r="M630" s="1546">
        <v>0.18</v>
      </c>
      <c r="N630" s="1546">
        <v>0.2</v>
      </c>
      <c r="O630" s="1546">
        <v>0.26</v>
      </c>
      <c r="P630" s="1546">
        <v>0.28000000000000003</v>
      </c>
      <c r="Q630" s="1546">
        <v>0.24</v>
      </c>
      <c r="R630" s="1546">
        <v>0.27</v>
      </c>
      <c r="S630" s="1546">
        <v>0.22</v>
      </c>
      <c r="T630" s="1546">
        <v>0.3</v>
      </c>
      <c r="U630" s="1546">
        <v>0.3</v>
      </c>
      <c r="V630" s="1546">
        <v>0.3</v>
      </c>
      <c r="W630" s="1546">
        <v>0.19</v>
      </c>
      <c r="X630" s="1546">
        <v>0.22</v>
      </c>
      <c r="Y630" s="1546">
        <v>0.26</v>
      </c>
      <c r="Z630" s="1546">
        <v>0.26</v>
      </c>
      <c r="AA630" s="1546">
        <v>0.34</v>
      </c>
      <c r="AB630" s="1546">
        <v>0.35</v>
      </c>
      <c r="AC630" s="1546">
        <v>0.28999999999999998</v>
      </c>
      <c r="AD630" s="1546">
        <v>0.28999999999999998</v>
      </c>
      <c r="AE630" s="1546">
        <v>0.22</v>
      </c>
      <c r="AF630" s="1546">
        <v>0.22</v>
      </c>
      <c r="AG630" s="1546">
        <v>0.2</v>
      </c>
      <c r="AH630" s="1546">
        <v>0.17</v>
      </c>
      <c r="AI630" s="1546">
        <v>0.17</v>
      </c>
      <c r="AJ630" s="1546">
        <v>0.21</v>
      </c>
      <c r="AK630" s="1546">
        <v>0.22</v>
      </c>
      <c r="AL630" s="1546">
        <v>0.24</v>
      </c>
      <c r="AM630" s="1546">
        <v>0.21</v>
      </c>
      <c r="AN630" s="1546">
        <v>0.23</v>
      </c>
      <c r="AO630" s="1546"/>
      <c r="AP630" s="1546"/>
      <c r="AQ630" s="1546"/>
      <c r="BG630" s="1547"/>
      <c r="BH630" s="1547">
        <f>+AVERAGE(H630:K630)</f>
        <v>0.13750000000000001</v>
      </c>
      <c r="BI630" s="1547">
        <f>+AVERAGE(L630:O630)</f>
        <v>0.20250000000000001</v>
      </c>
      <c r="BJ630" s="1547">
        <f>+AVERAGE(P630:S630)</f>
        <v>0.2525</v>
      </c>
      <c r="BK630" s="1547">
        <f>+AVERAGE(T630:W630)</f>
        <v>0.27249999999999996</v>
      </c>
      <c r="BL630" s="1547">
        <f>+AVERAGE(X630:AA630)</f>
        <v>0.27</v>
      </c>
      <c r="BM630" s="1547">
        <f>+AVERAGE(AB630:AE630)</f>
        <v>0.28749999999999998</v>
      </c>
      <c r="BN630" s="1547">
        <f t="shared" si="2615"/>
        <v>0.19000000000000003</v>
      </c>
      <c r="BO630" s="1547">
        <f t="shared" si="2614"/>
        <v>0.21999999999999997</v>
      </c>
      <c r="BP630" s="1547"/>
    </row>
    <row r="631" spans="2:81" s="1518" customFormat="1" outlineLevel="1">
      <c r="B631" s="1518" t="s">
        <v>428</v>
      </c>
      <c r="D631" s="1546">
        <v>0.09</v>
      </c>
      <c r="E631" s="1546">
        <v>0.1</v>
      </c>
      <c r="F631" s="1546">
        <v>0.11</v>
      </c>
      <c r="G631" s="1546">
        <v>0.12</v>
      </c>
      <c r="H631" s="1546">
        <v>0.01</v>
      </c>
      <c r="I631" s="1546">
        <v>-0.04</v>
      </c>
      <c r="J631" s="1546">
        <v>-0.01</v>
      </c>
      <c r="K631" s="1546">
        <v>-0.03</v>
      </c>
      <c r="L631" s="1546">
        <v>0.01</v>
      </c>
      <c r="M631" s="1546">
        <v>0.05</v>
      </c>
      <c r="N631" s="1546">
        <v>0.08</v>
      </c>
      <c r="O631" s="1546">
        <v>0.08</v>
      </c>
      <c r="P631" s="1546">
        <v>0.06</v>
      </c>
      <c r="Q631" s="1546">
        <v>0.06</v>
      </c>
      <c r="R631" s="1546">
        <v>0.04</v>
      </c>
      <c r="S631" s="1546">
        <v>0.04</v>
      </c>
      <c r="T631" s="1546">
        <v>7.0000000000000007E-2</v>
      </c>
      <c r="U631" s="1546">
        <v>0.06</v>
      </c>
      <c r="V631" s="1546">
        <v>0.06</v>
      </c>
      <c r="W631" s="1546">
        <v>0</v>
      </c>
      <c r="X631" s="1546">
        <v>0.06</v>
      </c>
      <c r="Y631" s="1546">
        <v>0.05</v>
      </c>
      <c r="Z631" s="1546">
        <v>0.1</v>
      </c>
      <c r="AA631" s="1546">
        <v>0.12</v>
      </c>
      <c r="AB631" s="1546">
        <v>0.09</v>
      </c>
      <c r="AC631" s="1546">
        <v>0.08</v>
      </c>
      <c r="AD631" s="1546">
        <v>0.05</v>
      </c>
      <c r="AE631" s="1546">
        <v>0.05</v>
      </c>
      <c r="AF631" s="1546">
        <v>0.05</v>
      </c>
      <c r="AG631" s="1546">
        <v>0.02</v>
      </c>
      <c r="AH631" s="1546">
        <v>0.06</v>
      </c>
      <c r="AI631" s="1546">
        <v>0.04</v>
      </c>
      <c r="AJ631" s="1546">
        <v>0.01</v>
      </c>
      <c r="AK631" s="1546">
        <v>0.01</v>
      </c>
      <c r="AL631" s="1546">
        <v>-0.09</v>
      </c>
      <c r="AM631" s="1546">
        <v>-7.0000000000000007E-2</v>
      </c>
      <c r="AN631" s="1546">
        <v>-0.01</v>
      </c>
      <c r="AO631" s="1546"/>
      <c r="AP631" s="1546"/>
      <c r="AQ631" s="1546"/>
      <c r="BG631" s="1547"/>
      <c r="BH631" s="1547">
        <f>+AVERAGE(H631:K631)</f>
        <v>-1.7500000000000002E-2</v>
      </c>
      <c r="BI631" s="1547">
        <f>+AVERAGE(L631:O631)</f>
        <v>5.5000000000000007E-2</v>
      </c>
      <c r="BJ631" s="1547">
        <f>+AVERAGE(P631:S631)</f>
        <v>0.05</v>
      </c>
      <c r="BK631" s="1547">
        <f>+AVERAGE(T631:W631)</f>
        <v>4.7500000000000001E-2</v>
      </c>
      <c r="BL631" s="1547">
        <f>+AVERAGE(X631:AA631)</f>
        <v>8.2500000000000004E-2</v>
      </c>
      <c r="BM631" s="1547">
        <f>+AVERAGE(AB631:AE631)</f>
        <v>6.7499999999999991E-2</v>
      </c>
      <c r="BN631" s="1547">
        <f t="shared" si="2615"/>
        <v>4.2500000000000003E-2</v>
      </c>
      <c r="BO631" s="1547">
        <f t="shared" si="2614"/>
        <v>-3.5000000000000003E-2</v>
      </c>
      <c r="BP631" s="1547"/>
    </row>
    <row r="632" spans="2:81" s="1518" customFormat="1" outlineLevel="1">
      <c r="B632" s="1300"/>
      <c r="D632" s="1580"/>
      <c r="E632" s="1580"/>
      <c r="F632" s="1580"/>
      <c r="G632" s="1580"/>
      <c r="BN632" s="1547"/>
      <c r="BO632" s="1547"/>
    </row>
    <row r="633" spans="2:81" s="1518" customFormat="1" outlineLevel="1">
      <c r="B633" s="1300" t="s">
        <v>384</v>
      </c>
      <c r="D633" s="1580"/>
      <c r="E633" s="1580"/>
      <c r="F633" s="1580"/>
      <c r="G633" s="1580"/>
      <c r="BN633" s="1547"/>
      <c r="BO633" s="1547"/>
      <c r="BT633" s="1300"/>
      <c r="BU633" s="1300"/>
      <c r="BV633" s="1300"/>
      <c r="BW633" s="1300"/>
      <c r="BX633" s="1300"/>
      <c r="BY633" s="1300"/>
      <c r="BZ633" s="1300"/>
      <c r="CA633" s="1300"/>
      <c r="CB633" s="1300"/>
      <c r="CC633" s="1300"/>
    </row>
    <row r="634" spans="2:81" s="1518" customFormat="1" outlineLevel="1">
      <c r="B634" s="1579" t="s">
        <v>438</v>
      </c>
      <c r="D634" s="1546">
        <v>1.35</v>
      </c>
      <c r="E634" s="1546">
        <v>1.4</v>
      </c>
      <c r="F634" s="1546">
        <v>1.2</v>
      </c>
      <c r="G634" s="1546">
        <v>1.08</v>
      </c>
      <c r="H634" s="1546">
        <v>1.21</v>
      </c>
      <c r="I634" s="1546">
        <v>0.95</v>
      </c>
      <c r="J634" s="1546">
        <v>0.94</v>
      </c>
      <c r="K634" s="1546">
        <v>0.98</v>
      </c>
      <c r="L634" s="1546">
        <v>0.89</v>
      </c>
      <c r="M634" s="1546">
        <v>0.98</v>
      </c>
      <c r="N634" s="1546">
        <v>0.89</v>
      </c>
      <c r="O634" s="1546">
        <v>0.85</v>
      </c>
      <c r="P634" s="1546">
        <v>0.76</v>
      </c>
      <c r="Q634" s="1546">
        <v>0.76</v>
      </c>
      <c r="R634" s="1546">
        <v>0.75</v>
      </c>
      <c r="S634" s="1546">
        <v>0.68</v>
      </c>
      <c r="T634" s="1546">
        <v>0.63</v>
      </c>
      <c r="U634" s="1546">
        <v>0.64</v>
      </c>
      <c r="V634" s="1546">
        <v>0.61</v>
      </c>
      <c r="W634" s="1546">
        <v>0.5</v>
      </c>
      <c r="X634" s="1546">
        <v>0.47</v>
      </c>
      <c r="Y634" s="1546">
        <v>0.48</v>
      </c>
      <c r="Z634" s="1546">
        <v>0.46</v>
      </c>
      <c r="AA634" s="1546">
        <v>0.45</v>
      </c>
      <c r="AB634" s="1546">
        <v>0.48</v>
      </c>
      <c r="AC634" s="1546">
        <v>0.46</v>
      </c>
      <c r="AD634" s="1546">
        <v>0.49</v>
      </c>
      <c r="AE634" s="1546">
        <v>0.46</v>
      </c>
      <c r="AF634" s="1546">
        <v>0.42</v>
      </c>
      <c r="AG634" s="1546">
        <v>0.38</v>
      </c>
      <c r="AH634" s="1546">
        <v>0.31</v>
      </c>
      <c r="AI634" s="1546">
        <v>0.27</v>
      </c>
      <c r="AJ634" s="1546">
        <v>0.28000000000000003</v>
      </c>
      <c r="AK634" s="1546">
        <v>0.28000000000000003</v>
      </c>
      <c r="AL634" s="1546">
        <v>0.31</v>
      </c>
      <c r="AM634" s="1546">
        <v>0.3</v>
      </c>
      <c r="AN634" s="1546"/>
      <c r="AO634" s="1546"/>
      <c r="AP634" s="1546"/>
      <c r="AQ634" s="1546"/>
      <c r="BG634" s="1547"/>
      <c r="BH634" s="1547">
        <f>+AVERAGE(H634:K634)</f>
        <v>1.02</v>
      </c>
      <c r="BI634" s="1547">
        <f>+AVERAGE(L634:O634)</f>
        <v>0.90250000000000008</v>
      </c>
      <c r="BJ634" s="1547">
        <f>+AVERAGE(P634:S634)</f>
        <v>0.73750000000000004</v>
      </c>
      <c r="BK634" s="1547">
        <f>+AVERAGE(T634:W634)</f>
        <v>0.59499999999999997</v>
      </c>
      <c r="BL634" s="1547">
        <f>+AVERAGE(X634:AA634)</f>
        <v>0.46499999999999997</v>
      </c>
      <c r="BM634" s="1547">
        <f>+AVERAGE(AB634:AE634)</f>
        <v>0.47249999999999998</v>
      </c>
      <c r="BN634" s="1547">
        <f t="shared" si="2615"/>
        <v>0.34500000000000003</v>
      </c>
      <c r="BO634" s="1547">
        <f t="shared" si="2614"/>
        <v>0.29250000000000004</v>
      </c>
      <c r="BP634" s="1547"/>
    </row>
    <row r="635" spans="2:81" s="1527" customFormat="1" outlineLevel="1">
      <c r="B635" s="1539" t="s">
        <v>439</v>
      </c>
      <c r="D635" s="1528"/>
      <c r="E635" s="1528"/>
      <c r="F635" s="1528"/>
      <c r="G635" s="1528"/>
      <c r="H635" s="1528"/>
      <c r="I635" s="1528"/>
      <c r="J635" s="1528"/>
      <c r="K635" s="1528"/>
      <c r="L635" s="1528"/>
      <c r="M635" s="1528"/>
      <c r="N635" s="1528"/>
      <c r="O635" s="1528"/>
      <c r="P635" s="1528"/>
      <c r="Q635" s="1528"/>
      <c r="R635" s="1528"/>
      <c r="S635" s="1528"/>
      <c r="T635" s="1528"/>
      <c r="U635" s="1528"/>
      <c r="V635" s="1528"/>
      <c r="W635" s="1528"/>
      <c r="X635" s="1528"/>
      <c r="Y635" s="1528"/>
      <c r="Z635" s="1528"/>
      <c r="AA635" s="1528"/>
      <c r="AB635" s="1528"/>
      <c r="AC635" s="1528"/>
      <c r="AD635" s="1528"/>
      <c r="AE635" s="1528"/>
      <c r="AF635" s="1528"/>
      <c r="AG635" s="1528"/>
      <c r="AH635" s="1528"/>
      <c r="AI635" s="1528"/>
      <c r="AJ635" s="1528">
        <v>0.03</v>
      </c>
      <c r="AK635" s="1528">
        <v>0.06</v>
      </c>
      <c r="AL635" s="1528">
        <v>7.0000000000000007E-2</v>
      </c>
      <c r="AM635" s="1528">
        <v>0.08</v>
      </c>
      <c r="AN635" s="1528"/>
      <c r="AO635" s="1528"/>
      <c r="AP635" s="1528"/>
      <c r="AQ635" s="1528"/>
      <c r="BG635" s="1537"/>
      <c r="BH635" s="1537"/>
      <c r="BI635" s="1537"/>
      <c r="BJ635" s="1537"/>
      <c r="BK635" s="1537"/>
      <c r="BL635" s="1537"/>
      <c r="BM635" s="1537"/>
      <c r="BN635" s="1537"/>
      <c r="BO635" s="1537">
        <f>+BO652/BN645</f>
        <v>6.4834137557460064E-2</v>
      </c>
      <c r="BP635" s="1537"/>
      <c r="BT635" s="1518"/>
      <c r="BU635" s="1518"/>
      <c r="BV635" s="1518"/>
      <c r="BW635" s="1518"/>
      <c r="BX635" s="1518"/>
      <c r="BY635" s="1518"/>
      <c r="BZ635" s="1518"/>
      <c r="CA635" s="1518"/>
      <c r="CB635" s="1518"/>
      <c r="CC635" s="1518"/>
    </row>
    <row r="636" spans="2:81" s="1518" customFormat="1" outlineLevel="1">
      <c r="B636" s="1579" t="s">
        <v>424</v>
      </c>
      <c r="D636" s="1546"/>
      <c r="E636" s="1546"/>
      <c r="F636" s="1546"/>
      <c r="G636" s="1546"/>
      <c r="H636" s="1546"/>
      <c r="I636" s="1546"/>
      <c r="J636" s="1546"/>
      <c r="K636" s="1546"/>
      <c r="L636" s="1546"/>
      <c r="M636" s="1546"/>
      <c r="N636" s="1546"/>
      <c r="O636" s="1546"/>
      <c r="P636" s="1546"/>
      <c r="Q636" s="1546"/>
      <c r="R636" s="1546"/>
      <c r="S636" s="1546"/>
      <c r="T636" s="1546"/>
      <c r="U636" s="1546"/>
      <c r="V636" s="1546"/>
      <c r="W636" s="1546"/>
      <c r="X636" s="1546"/>
      <c r="Y636" s="1546"/>
      <c r="Z636" s="1546"/>
      <c r="AA636" s="1546"/>
      <c r="AB636" s="1546"/>
      <c r="AC636" s="1546"/>
      <c r="AD636" s="1546"/>
      <c r="AE636" s="1546"/>
      <c r="AF636" s="1546"/>
      <c r="AG636" s="1546"/>
      <c r="AH636" s="1546"/>
      <c r="AI636" s="1546"/>
      <c r="AJ636" s="1546">
        <v>0.3</v>
      </c>
      <c r="AK636" s="1546">
        <v>0.31</v>
      </c>
      <c r="AL636" s="1546">
        <v>0.35</v>
      </c>
      <c r="AM636" s="1546">
        <v>0.35</v>
      </c>
      <c r="AN636" s="1546">
        <v>0.35</v>
      </c>
      <c r="AO636" s="1546"/>
      <c r="AP636" s="1546"/>
      <c r="AQ636" s="1546"/>
      <c r="BG636" s="1547"/>
      <c r="BH636" s="1547"/>
      <c r="BI636" s="1547"/>
      <c r="BJ636" s="1547"/>
      <c r="BK636" s="1547"/>
      <c r="BL636" s="1547"/>
      <c r="BM636" s="1547"/>
      <c r="BN636" s="1547"/>
      <c r="BO636" s="1547">
        <f t="shared" si="2614"/>
        <v>0.32750000000000001</v>
      </c>
      <c r="BP636" s="1547"/>
    </row>
    <row r="637" spans="2:81" s="1527" customFormat="1" outlineLevel="1">
      <c r="B637" s="1539" t="s">
        <v>425</v>
      </c>
      <c r="D637" s="1528"/>
      <c r="E637" s="1528"/>
      <c r="F637" s="1528"/>
      <c r="G637" s="1528"/>
      <c r="H637" s="1528"/>
      <c r="I637" s="1528"/>
      <c r="J637" s="1528"/>
      <c r="K637" s="1528"/>
      <c r="L637" s="1528"/>
      <c r="M637" s="1528"/>
      <c r="N637" s="1528"/>
      <c r="O637" s="1528"/>
      <c r="P637" s="1528"/>
      <c r="Q637" s="1528"/>
      <c r="R637" s="1528"/>
      <c r="S637" s="1528"/>
      <c r="T637" s="1528"/>
      <c r="U637" s="1528"/>
      <c r="V637" s="1528"/>
      <c r="W637" s="1528"/>
      <c r="X637" s="1528"/>
      <c r="Y637" s="1528"/>
      <c r="Z637" s="1528"/>
      <c r="AA637" s="1528"/>
      <c r="AB637" s="1528"/>
      <c r="AC637" s="1528"/>
      <c r="AD637" s="1528"/>
      <c r="AE637" s="1528"/>
      <c r="AF637" s="1528"/>
      <c r="AG637" s="1528"/>
      <c r="AH637" s="1528"/>
      <c r="AI637" s="1528"/>
      <c r="AJ637" s="1528">
        <v>0.05</v>
      </c>
      <c r="AK637" s="1528">
        <v>0.09</v>
      </c>
      <c r="AL637" s="1528">
        <v>0.1</v>
      </c>
      <c r="AM637" s="1528">
        <v>0.11</v>
      </c>
      <c r="AN637" s="1528">
        <v>0.12</v>
      </c>
      <c r="AO637" s="1528"/>
      <c r="AP637" s="1528"/>
      <c r="AQ637" s="1528"/>
      <c r="BG637" s="1537"/>
      <c r="BH637" s="1537"/>
      <c r="BI637" s="1537"/>
      <c r="BJ637" s="1537"/>
      <c r="BK637" s="1537"/>
      <c r="BL637" s="1537"/>
      <c r="BM637" s="1537"/>
      <c r="BN637" s="1537"/>
      <c r="BO637" s="1547"/>
      <c r="BP637" s="1537"/>
      <c r="BT637" s="1518"/>
      <c r="BU637" s="1518"/>
      <c r="BV637" s="1518"/>
      <c r="BW637" s="1518"/>
      <c r="BX637" s="1518"/>
      <c r="BY637" s="1518"/>
      <c r="BZ637" s="1518"/>
      <c r="CA637" s="1518"/>
      <c r="CB637" s="1518"/>
      <c r="CC637" s="1518"/>
    </row>
    <row r="638" spans="2:81" s="1518" customFormat="1" outlineLevel="1">
      <c r="B638" s="1579" t="s">
        <v>426</v>
      </c>
      <c r="D638" s="1546"/>
      <c r="E638" s="1546"/>
      <c r="F638" s="1546"/>
      <c r="G638" s="1546">
        <v>0.03</v>
      </c>
      <c r="H638" s="1546">
        <v>0.05</v>
      </c>
      <c r="I638" s="1546">
        <v>0.06</v>
      </c>
      <c r="J638" s="1546">
        <v>0.11</v>
      </c>
      <c r="K638" s="1546">
        <v>0.03</v>
      </c>
      <c r="L638" s="1546">
        <v>0.02</v>
      </c>
      <c r="M638" s="1546">
        <v>0.03</v>
      </c>
      <c r="N638" s="1546">
        <v>0.01</v>
      </c>
      <c r="O638" s="1546">
        <v>0.06</v>
      </c>
      <c r="P638" s="1546">
        <v>0.09</v>
      </c>
      <c r="Q638" s="1546">
        <v>0.04</v>
      </c>
      <c r="R638" s="1546">
        <v>0.09</v>
      </c>
      <c r="S638" s="1546">
        <v>7.0000000000000007E-2</v>
      </c>
      <c r="T638" s="1546">
        <v>0.14000000000000001</v>
      </c>
      <c r="U638" s="1546">
        <v>0.12</v>
      </c>
      <c r="V638" s="1546">
        <v>0.12</v>
      </c>
      <c r="W638" s="1546">
        <v>0.01</v>
      </c>
      <c r="X638" s="1546">
        <v>-0.01</v>
      </c>
      <c r="Y638" s="1546">
        <v>0.03</v>
      </c>
      <c r="Z638" s="1546">
        <v>0</v>
      </c>
      <c r="AA638" s="1546">
        <v>0.12</v>
      </c>
      <c r="AB638" s="1546">
        <v>0.13</v>
      </c>
      <c r="AC638" s="1546">
        <v>0.06</v>
      </c>
      <c r="AD638" s="1546">
        <v>7.0000000000000007E-2</v>
      </c>
      <c r="AE638" s="1546">
        <v>0.01</v>
      </c>
      <c r="AF638" s="1546">
        <v>0.04</v>
      </c>
      <c r="AG638" s="1546">
        <v>0.02</v>
      </c>
      <c r="AH638" s="1546">
        <v>0</v>
      </c>
      <c r="AI638" s="1546">
        <v>0</v>
      </c>
      <c r="AJ638" s="1546">
        <v>0.02</v>
      </c>
      <c r="AK638" s="1546">
        <v>0.02</v>
      </c>
      <c r="AL638" s="1546">
        <v>0.06</v>
      </c>
      <c r="AM638" s="1546">
        <v>0.03</v>
      </c>
      <c r="AN638" s="1546">
        <v>-0.01</v>
      </c>
      <c r="AO638" s="1546"/>
      <c r="AP638" s="1546"/>
      <c r="AQ638" s="1546"/>
      <c r="BG638" s="1547"/>
      <c r="BH638" s="1547">
        <f>+AVERAGE(H638:K638)</f>
        <v>6.25E-2</v>
      </c>
      <c r="BI638" s="1547">
        <f>+AVERAGE(L638:O638)</f>
        <v>0.03</v>
      </c>
      <c r="BJ638" s="1547">
        <f>+AVERAGE(P638:S638)</f>
        <v>7.2500000000000009E-2</v>
      </c>
      <c r="BK638" s="1547">
        <f>+AVERAGE(T638:W638)</f>
        <v>9.7500000000000003E-2</v>
      </c>
      <c r="BL638" s="1547">
        <f>+AVERAGE(X638:AA638)</f>
        <v>3.4999999999999996E-2</v>
      </c>
      <c r="BM638" s="1547">
        <f>+AVERAGE(AB638:AE638)</f>
        <v>6.7500000000000004E-2</v>
      </c>
      <c r="BN638" s="1547">
        <f t="shared" si="2615"/>
        <v>1.4999999999999999E-2</v>
      </c>
      <c r="BO638" s="1547">
        <f t="shared" si="2614"/>
        <v>3.2500000000000001E-2</v>
      </c>
      <c r="BP638" s="1547"/>
    </row>
    <row r="639" spans="2:81" s="1518" customFormat="1" outlineLevel="1">
      <c r="B639" s="1518" t="s">
        <v>427</v>
      </c>
      <c r="D639" s="1546">
        <v>0.13</v>
      </c>
      <c r="E639" s="1546">
        <v>0.1</v>
      </c>
      <c r="F639" s="1546">
        <v>0.05</v>
      </c>
      <c r="G639" s="1546">
        <v>0.08</v>
      </c>
      <c r="H639" s="1546">
        <v>0.14000000000000001</v>
      </c>
      <c r="I639" s="1546">
        <v>0.13</v>
      </c>
      <c r="J639" s="1546">
        <v>0.2</v>
      </c>
      <c r="K639" s="1546">
        <v>0.13</v>
      </c>
      <c r="L639" s="1546">
        <v>0.17</v>
      </c>
      <c r="M639" s="1546">
        <v>0.18</v>
      </c>
      <c r="N639" s="1546">
        <v>0.17</v>
      </c>
      <c r="O639" s="1546">
        <v>0.24</v>
      </c>
      <c r="P639" s="1546">
        <v>0.28000000000000003</v>
      </c>
      <c r="Q639" s="1546">
        <v>0.24</v>
      </c>
      <c r="R639" s="1546">
        <v>0.28999999999999998</v>
      </c>
      <c r="S639" s="1546">
        <v>0.24</v>
      </c>
      <c r="T639" s="1546">
        <v>0.33</v>
      </c>
      <c r="U639" s="1546">
        <v>0.32</v>
      </c>
      <c r="V639" s="1546">
        <v>0.32</v>
      </c>
      <c r="W639" s="1546">
        <v>0.21</v>
      </c>
      <c r="X639" s="1546">
        <v>0.21</v>
      </c>
      <c r="Y639" s="1546">
        <v>0.24</v>
      </c>
      <c r="Z639" s="1546">
        <v>0.23</v>
      </c>
      <c r="AA639" s="1546">
        <v>0.28999999999999998</v>
      </c>
      <c r="AB639" s="1546">
        <v>0.33</v>
      </c>
      <c r="AC639" s="1546">
        <v>0.28999999999999998</v>
      </c>
      <c r="AD639" s="1546">
        <v>0.32</v>
      </c>
      <c r="AE639" s="1546">
        <v>0.26</v>
      </c>
      <c r="AF639" s="1546">
        <v>0.28000000000000003</v>
      </c>
      <c r="AG639" s="1546">
        <v>0.26</v>
      </c>
      <c r="AH639" s="1546">
        <v>0.21</v>
      </c>
      <c r="AI639" s="1546">
        <v>0.18</v>
      </c>
      <c r="AJ639" s="1546">
        <v>0.21</v>
      </c>
      <c r="AK639" s="1546">
        <v>0.2</v>
      </c>
      <c r="AL639" s="1546">
        <v>0.24</v>
      </c>
      <c r="AM639" s="1546">
        <v>0.22</v>
      </c>
      <c r="AN639" s="1546">
        <v>0.23</v>
      </c>
      <c r="AO639" s="1546"/>
      <c r="AP639" s="1546"/>
      <c r="AQ639" s="1546"/>
      <c r="BG639" s="1547"/>
      <c r="BH639" s="1547">
        <f>+AVERAGE(H639:K639)</f>
        <v>0.15000000000000002</v>
      </c>
      <c r="BI639" s="1547">
        <f>+AVERAGE(L639:O639)</f>
        <v>0.19</v>
      </c>
      <c r="BJ639" s="1547">
        <f>+AVERAGE(P639:S639)</f>
        <v>0.26250000000000001</v>
      </c>
      <c r="BK639" s="1547">
        <f>+AVERAGE(T639:W639)</f>
        <v>0.29499999999999998</v>
      </c>
      <c r="BL639" s="1547">
        <f>+AVERAGE(X639:AA639)</f>
        <v>0.24249999999999999</v>
      </c>
      <c r="BM639" s="1547">
        <f>+AVERAGE(AB639:AE639)</f>
        <v>0.3</v>
      </c>
      <c r="BN639" s="1547">
        <f t="shared" si="2615"/>
        <v>0.23249999999999998</v>
      </c>
      <c r="BO639" s="1547">
        <f t="shared" si="2614"/>
        <v>0.2175</v>
      </c>
      <c r="BP639" s="1547"/>
    </row>
    <row r="640" spans="2:81" s="1518" customFormat="1" outlineLevel="1">
      <c r="B640" s="1518" t="s">
        <v>428</v>
      </c>
      <c r="D640" s="1546">
        <v>0.16</v>
      </c>
      <c r="E640" s="1546">
        <v>0.16</v>
      </c>
      <c r="F640" s="1546">
        <v>0.15</v>
      </c>
      <c r="G640" s="1546">
        <v>0.14000000000000001</v>
      </c>
      <c r="H640" s="1546">
        <v>0.02</v>
      </c>
      <c r="I640" s="1546">
        <v>-0.02</v>
      </c>
      <c r="J640" s="1546">
        <v>0</v>
      </c>
      <c r="K640" s="1546">
        <v>-0.01</v>
      </c>
      <c r="L640" s="1546">
        <v>0</v>
      </c>
      <c r="M640" s="1546">
        <v>0.03</v>
      </c>
      <c r="N640" s="1546">
        <v>0.05</v>
      </c>
      <c r="O640" s="1546">
        <v>7.0000000000000007E-2</v>
      </c>
      <c r="P640" s="1546">
        <v>0.06</v>
      </c>
      <c r="Q640" s="1546">
        <v>7.0000000000000007E-2</v>
      </c>
      <c r="R640" s="1546">
        <v>0.05</v>
      </c>
      <c r="S640" s="1546">
        <v>0.06</v>
      </c>
      <c r="T640" s="1546">
        <v>0.08</v>
      </c>
      <c r="U640" s="1546">
        <v>7.0000000000000007E-2</v>
      </c>
      <c r="V640" s="1546">
        <v>7.0000000000000007E-2</v>
      </c>
      <c r="W640" s="1546">
        <v>0.02</v>
      </c>
      <c r="X640" s="1546">
        <v>0.05</v>
      </c>
      <c r="Y640" s="1546">
        <v>0.04</v>
      </c>
      <c r="Z640" s="1546">
        <v>0.08</v>
      </c>
      <c r="AA640" s="1546">
        <v>0.09</v>
      </c>
      <c r="AB640" s="1546">
        <v>0.08</v>
      </c>
      <c r="AC640" s="1546">
        <v>7.0000000000000007E-2</v>
      </c>
      <c r="AD640" s="1546">
        <v>0.06</v>
      </c>
      <c r="AE640" s="1546">
        <v>0.08</v>
      </c>
      <c r="AF640" s="1546">
        <v>0.1</v>
      </c>
      <c r="AG640" s="1546">
        <v>7.0000000000000007E-2</v>
      </c>
      <c r="AH640" s="1546">
        <v>0.09</v>
      </c>
      <c r="AI640" s="1546">
        <v>0.05</v>
      </c>
      <c r="AJ640" s="1546">
        <v>0.01</v>
      </c>
      <c r="AK640" s="1546">
        <v>0</v>
      </c>
      <c r="AL640" s="1546">
        <v>-0.09</v>
      </c>
      <c r="AM640" s="1546">
        <v>-7.0000000000000007E-2</v>
      </c>
      <c r="AN640" s="1546">
        <v>0</v>
      </c>
      <c r="AO640" s="1546"/>
      <c r="AP640" s="1546"/>
      <c r="AQ640" s="1546"/>
      <c r="BG640" s="1547"/>
      <c r="BH640" s="1547">
        <f>+AVERAGE(H640:K640)</f>
        <v>-2.5000000000000001E-3</v>
      </c>
      <c r="BI640" s="1547">
        <f>+AVERAGE(L640:O640)</f>
        <v>3.7500000000000006E-2</v>
      </c>
      <c r="BJ640" s="1547">
        <f>+AVERAGE(P640:S640)</f>
        <v>0.06</v>
      </c>
      <c r="BK640" s="1547">
        <f>+AVERAGE(T640:W640)</f>
        <v>6.0000000000000005E-2</v>
      </c>
      <c r="BL640" s="1547">
        <f>+AVERAGE(X640:AA640)</f>
        <v>6.5000000000000002E-2</v>
      </c>
      <c r="BM640" s="1547">
        <f>+AVERAGE(AB640:AE640)</f>
        <v>7.2500000000000009E-2</v>
      </c>
      <c r="BN640" s="1547">
        <f t="shared" si="2615"/>
        <v>7.7499999999999999E-2</v>
      </c>
      <c r="BO640" s="1547">
        <f t="shared" si="2614"/>
        <v>-3.7500000000000006E-2</v>
      </c>
      <c r="BP640" s="1547"/>
      <c r="BT640" s="1532">
        <v>-500</v>
      </c>
    </row>
    <row r="641" spans="2:81" s="1518" customFormat="1" outlineLevel="1">
      <c r="AH641" s="1531"/>
      <c r="AI641" s="1546"/>
      <c r="BQ641" s="1518">
        <f>BQ642/BQ647</f>
        <v>0.2481948117605953</v>
      </c>
      <c r="BT641" s="1300"/>
      <c r="BU641" s="1300"/>
      <c r="BV641" s="1300"/>
      <c r="BW641" s="1300"/>
      <c r="BX641" s="1300"/>
      <c r="BY641" s="1300"/>
      <c r="BZ641" s="1300"/>
      <c r="CA641" s="1300"/>
      <c r="CB641" s="1300"/>
      <c r="CC641" s="1300"/>
    </row>
    <row r="642" spans="2:81" s="1518" customFormat="1" ht="10.5" outlineLevel="1">
      <c r="B642" s="1299" t="s">
        <v>440</v>
      </c>
      <c r="AA642" s="1531"/>
      <c r="AD642" s="1581"/>
      <c r="AE642" s="1581"/>
      <c r="AF642" s="1581"/>
      <c r="AG642" s="1581"/>
      <c r="AH642" s="1581"/>
      <c r="AI642" s="1581"/>
      <c r="AJ642" s="1581"/>
      <c r="AK642" s="1581"/>
      <c r="AL642" s="1581"/>
      <c r="AM642" s="1581"/>
      <c r="AN642" s="1581"/>
      <c r="AO642" s="1581"/>
      <c r="AP642" s="1581"/>
      <c r="AQ642" s="1581"/>
      <c r="BK642" s="1531"/>
      <c r="BL642" s="1531"/>
      <c r="BM642" s="1531"/>
      <c r="BN642" s="1531"/>
      <c r="BQ642" s="1521">
        <f>SUM(AD645:AG645)</f>
        <v>50655.071911466934</v>
      </c>
    </row>
    <row r="643" spans="2:81" s="1518" customFormat="1" outlineLevel="1">
      <c r="B643" s="1519" t="s">
        <v>441</v>
      </c>
      <c r="AF643" s="1521">
        <f>+AF645-AF671</f>
        <v>3440</v>
      </c>
      <c r="AG643" s="1521">
        <f t="shared" ref="AG643:AM643" si="2616">+AG645-AG671</f>
        <v>3582</v>
      </c>
      <c r="AH643" s="1521">
        <f t="shared" si="2616"/>
        <v>3837.0000000000018</v>
      </c>
      <c r="AI643" s="1521">
        <f t="shared" si="2616"/>
        <v>4104.0000000000018</v>
      </c>
      <c r="AJ643" s="1521">
        <f t="shared" si="2616"/>
        <v>4246</v>
      </c>
      <c r="AK643" s="1521">
        <f t="shared" si="2616"/>
        <v>4355</v>
      </c>
      <c r="AL643" s="1521">
        <f t="shared" si="2616"/>
        <v>4567</v>
      </c>
      <c r="AM643" s="1521">
        <f t="shared" si="2616"/>
        <v>4730</v>
      </c>
      <c r="AN643" s="1582">
        <f>28600-23800</f>
        <v>4800</v>
      </c>
      <c r="AO643" s="1521"/>
      <c r="AP643" s="1521"/>
      <c r="AQ643" s="1521"/>
      <c r="BK643" s="1521"/>
      <c r="BN643" s="1521">
        <f>+SUM(AF643:AI643)</f>
        <v>14963.000000000004</v>
      </c>
      <c r="BO643" s="1521">
        <f>+SUM(AJ643:AM643)</f>
        <v>17898</v>
      </c>
      <c r="BP643" s="1521"/>
      <c r="BT643" s="1527"/>
      <c r="BU643" s="1527"/>
      <c r="BV643" s="1527"/>
      <c r="BW643" s="1527"/>
      <c r="BX643" s="1527"/>
      <c r="BY643" s="1527"/>
      <c r="BZ643" s="1527"/>
      <c r="CA643" s="1527"/>
      <c r="CB643" s="1527"/>
      <c r="CC643" s="1527"/>
    </row>
    <row r="644" spans="2:81" s="1518" customFormat="1" ht="11.45" outlineLevel="1">
      <c r="B644" s="1519" t="s">
        <v>442</v>
      </c>
      <c r="AA644" s="1531"/>
      <c r="AD644" s="1581"/>
      <c r="AE644" s="1581"/>
      <c r="AF644" s="1583">
        <f>+AF645-AF643</f>
        <v>9460</v>
      </c>
      <c r="AG644" s="1583">
        <f t="shared" ref="AG644:AM644" si="2617">+AG645-AG643</f>
        <v>10293</v>
      </c>
      <c r="AH644" s="1583">
        <f t="shared" si="2617"/>
        <v>10677.868114218852</v>
      </c>
      <c r="AI644" s="1583">
        <f t="shared" si="2617"/>
        <v>11584.312794341437</v>
      </c>
      <c r="AJ644" s="1583">
        <f t="shared" si="2617"/>
        <v>12395</v>
      </c>
      <c r="AK644" s="1583">
        <f t="shared" si="2617"/>
        <v>13682.5</v>
      </c>
      <c r="AL644" s="1583">
        <f t="shared" si="2617"/>
        <v>14447.4772296267</v>
      </c>
      <c r="AM644" s="1583">
        <f t="shared" si="2617"/>
        <v>15507.923504700455</v>
      </c>
      <c r="AN644" s="1583">
        <f>+AN645-AN643</f>
        <v>16700.700065703048</v>
      </c>
      <c r="AO644" s="1581"/>
      <c r="AP644" s="1581"/>
      <c r="AQ644" s="1581"/>
      <c r="BK644" s="1531"/>
      <c r="BL644" s="1531"/>
      <c r="BM644" s="1531"/>
      <c r="BN644" s="1555">
        <f t="shared" ref="BN644" si="2618">+SUM(AF644:AI644)</f>
        <v>42015.180908560287</v>
      </c>
      <c r="BO644" s="1555">
        <f t="shared" ref="BO644" si="2619">+SUM(AJ644:AM644)</f>
        <v>56032.900734327159</v>
      </c>
      <c r="BQ644" s="1521"/>
    </row>
    <row r="645" spans="2:81" s="1519" customFormat="1" outlineLevel="1">
      <c r="B645" s="1584" t="s">
        <v>438</v>
      </c>
      <c r="G645" s="1585"/>
      <c r="H645" s="1585">
        <f>+'VA segmentation'!AC185*1</f>
        <v>811.41105774531002</v>
      </c>
      <c r="I645" s="1585">
        <f>+'VA segmentation'!AD185*1</f>
        <v>842.61233252092336</v>
      </c>
      <c r="J645" s="1585">
        <f>+'VA segmentation'!AE185*1</f>
        <v>989.48344752810476</v>
      </c>
      <c r="K645" s="1585">
        <f>+'VA segmentation'!AF185*1</f>
        <v>1295.745337170302</v>
      </c>
      <c r="L645" s="1550">
        <f>+H645*(1+L655)</f>
        <v>1542.8557865160546</v>
      </c>
      <c r="M645" s="1550">
        <f t="shared" ref="M645:AG645" si="2620">+I645*(1+M655)</f>
        <v>1678.1076319210672</v>
      </c>
      <c r="N645" s="1550">
        <f t="shared" si="2620"/>
        <v>1908.3643867994663</v>
      </c>
      <c r="O645" s="1550">
        <f t="shared" si="2620"/>
        <v>2473.4224949490526</v>
      </c>
      <c r="P645" s="1550">
        <f t="shared" si="2620"/>
        <v>2714.5637181541724</v>
      </c>
      <c r="Q645" s="1550">
        <f t="shared" si="2620"/>
        <v>2980.0382221601849</v>
      </c>
      <c r="R645" s="1550">
        <f t="shared" si="2620"/>
        <v>3303.4116490372553</v>
      </c>
      <c r="S645" s="1550">
        <f t="shared" si="2620"/>
        <v>4023.4569447866184</v>
      </c>
      <c r="T645" s="1550">
        <f t="shared" si="2620"/>
        <v>4318.4699362640222</v>
      </c>
      <c r="U645" s="1550">
        <f t="shared" si="2620"/>
        <v>4827.9539634351177</v>
      </c>
      <c r="V645" s="1550">
        <f t="shared" si="2620"/>
        <v>5246.5172272705677</v>
      </c>
      <c r="W645" s="1550">
        <f t="shared" si="2620"/>
        <v>5907.4284904647411</v>
      </c>
      <c r="X645" s="1550">
        <f t="shared" si="2620"/>
        <v>6387.7208123885985</v>
      </c>
      <c r="Y645" s="1550">
        <f t="shared" si="2620"/>
        <v>7239.6495255537848</v>
      </c>
      <c r="Z645" s="1550">
        <f t="shared" si="2620"/>
        <v>7858.0017297963759</v>
      </c>
      <c r="AA645" s="1550">
        <f t="shared" si="2620"/>
        <v>8927.7595417011344</v>
      </c>
      <c r="AB645" s="1550">
        <f t="shared" si="2620"/>
        <v>9578.9385462084992</v>
      </c>
      <c r="AC645" s="1550">
        <f t="shared" si="2620"/>
        <v>10560.788326958758</v>
      </c>
      <c r="AD645" s="1550">
        <f t="shared" si="2620"/>
        <v>11429.030011195948</v>
      </c>
      <c r="AE645" s="1550">
        <f t="shared" si="2620"/>
        <v>12451.041900270982</v>
      </c>
      <c r="AF645" s="1550">
        <f t="shared" si="2620"/>
        <v>12900</v>
      </c>
      <c r="AG645" s="1550">
        <f t="shared" si="2620"/>
        <v>13875</v>
      </c>
      <c r="AH645" s="1550">
        <f>+AD645*(1+AH625)</f>
        <v>14514.868114218854</v>
      </c>
      <c r="AI645" s="1550">
        <f>+AE645*(1+AI625)</f>
        <v>15688.312794341438</v>
      </c>
      <c r="AJ645" s="1550">
        <f t="shared" ref="AJ645" si="2621">+AF645*(1+AJ625)</f>
        <v>16641</v>
      </c>
      <c r="AK645" s="1550">
        <f t="shared" ref="AK645" si="2622">+AG645*(1+AK625)</f>
        <v>18037.5</v>
      </c>
      <c r="AL645" s="1550">
        <f t="shared" ref="AL645" si="2623">+AH645*(1+AL625)</f>
        <v>19014.4772296267</v>
      </c>
      <c r="AM645" s="1550">
        <f t="shared" ref="AM645" si="2624">+AI645*(1+AM625)</f>
        <v>20237.923504700455</v>
      </c>
      <c r="AN645" s="1586">
        <f>+Azure!AV10</f>
        <v>21500.700065703048</v>
      </c>
      <c r="AO645" s="1586">
        <f>+Azure!AW10</f>
        <v>23245.17766844303</v>
      </c>
      <c r="AP645" s="1586">
        <f>+Azure!AX10</f>
        <v>24447.793003587118</v>
      </c>
      <c r="AQ645" s="1586">
        <f>+Azure!AY10</f>
        <v>26126.880271233942</v>
      </c>
      <c r="AV645" s="1550"/>
      <c r="AW645" s="1550"/>
      <c r="AX645" s="1550"/>
      <c r="AY645" s="1550"/>
      <c r="AZ645" s="1550"/>
      <c r="BA645" s="1550"/>
      <c r="BB645" s="1550"/>
      <c r="BC645" s="1550"/>
      <c r="BD645" s="1550"/>
      <c r="BE645" s="1550"/>
      <c r="BF645" s="1550"/>
      <c r="BG645" s="1550"/>
      <c r="BH645" s="1550">
        <f>SUM(H645:K645)</f>
        <v>3939.2521749646403</v>
      </c>
      <c r="BI645" s="1550">
        <f t="shared" ref="BI645:BI650" si="2625">SUM(L645:O645)</f>
        <v>7602.7503001856403</v>
      </c>
      <c r="BJ645" s="1550">
        <f t="shared" ref="BJ645:BJ650" si="2626">SUM(P645:S645)</f>
        <v>13021.470534138231</v>
      </c>
      <c r="BK645" s="1550">
        <f t="shared" ref="BK645:BK646" si="2627">SUM(T645:W645)</f>
        <v>20300.369617434451</v>
      </c>
      <c r="BL645" s="1550">
        <f t="shared" ref="BL645:BL646" si="2628">SUM(X645:AA645)</f>
        <v>30413.131609439894</v>
      </c>
      <c r="BM645" s="1550">
        <f t="shared" ref="BM645:BM646" si="2629">SUM(AB645:AE645)</f>
        <v>44019.798784634186</v>
      </c>
      <c r="BN645" s="1550">
        <f t="shared" ref="BN645:BN646" si="2630">SUM(AF645:AI645)</f>
        <v>56978.180908560294</v>
      </c>
      <c r="BO645" s="1550">
        <f t="shared" ref="BO645:BO646" si="2631">SUM(AJ645:AM645)</f>
        <v>73930.900734327151</v>
      </c>
      <c r="BP645" s="1550">
        <f t="shared" ref="BP645:BP650" si="2632">+SUM(AN645:AQ645)</f>
        <v>95320.55100896713</v>
      </c>
      <c r="BQ645" s="1551">
        <f>SUM(Z645:AC645)</f>
        <v>36925.488144664763</v>
      </c>
      <c r="BR645" s="1551">
        <f>BQ642-BQ645</f>
        <v>13729.58376680217</v>
      </c>
      <c r="BT645" s="1518"/>
      <c r="BU645" s="1518"/>
      <c r="BV645" s="1518"/>
      <c r="BW645" s="1518"/>
      <c r="BX645" s="1518"/>
      <c r="BY645" s="1518"/>
      <c r="BZ645" s="1518"/>
      <c r="CA645" s="1518"/>
      <c r="CB645" s="1518"/>
      <c r="CC645" s="1518"/>
    </row>
    <row r="646" spans="2:81" s="1576" customFormat="1" outlineLevel="1">
      <c r="B646" s="1519" t="s">
        <v>443</v>
      </c>
      <c r="H646" s="1587">
        <f t="shared" ref="H646:AA646" si="2633">+H647-H645</f>
        <v>3877.5889422546898</v>
      </c>
      <c r="I646" s="1587">
        <f t="shared" si="2633"/>
        <v>4489.3876674790763</v>
      </c>
      <c r="J646" s="1587">
        <f t="shared" si="2633"/>
        <v>4307.516552471895</v>
      </c>
      <c r="K646" s="1587">
        <f t="shared" si="2633"/>
        <v>5035.2546628296977</v>
      </c>
      <c r="L646" s="1587">
        <f t="shared" si="2633"/>
        <v>3953.1442134839454</v>
      </c>
      <c r="M646" s="1587">
        <f t="shared" si="2633"/>
        <v>4620.892368078933</v>
      </c>
      <c r="N646" s="1587">
        <f t="shared" si="2633"/>
        <v>4434.635613200534</v>
      </c>
      <c r="O646" s="1587">
        <f t="shared" si="2633"/>
        <v>5517.5775050509474</v>
      </c>
      <c r="P646" s="1587">
        <f t="shared" si="2633"/>
        <v>4343.4362818458276</v>
      </c>
      <c r="Q646" s="1587">
        <f t="shared" si="2633"/>
        <v>4810.9617778398151</v>
      </c>
      <c r="R646" s="1587">
        <f t="shared" si="2633"/>
        <v>4749.5883509627447</v>
      </c>
      <c r="S646" s="1587">
        <f t="shared" si="2633"/>
        <v>5696.5430552133821</v>
      </c>
      <c r="T646" s="1587">
        <f t="shared" si="2633"/>
        <v>4873.5300637359778</v>
      </c>
      <c r="U646" s="1587">
        <f t="shared" si="2633"/>
        <v>5291.0460365648823</v>
      </c>
      <c r="V646" s="1587">
        <f t="shared" si="2633"/>
        <v>5243.4827727294323</v>
      </c>
      <c r="W646" s="1587">
        <f t="shared" si="2633"/>
        <v>5670.5715095352589</v>
      </c>
      <c r="X646" s="1587">
        <f t="shared" si="2633"/>
        <v>4807.2791876114015</v>
      </c>
      <c r="Y646" s="1587">
        <f t="shared" si="2633"/>
        <v>5489.3504744462152</v>
      </c>
      <c r="Z646" s="1587">
        <f t="shared" si="2633"/>
        <v>5345.9982702036241</v>
      </c>
      <c r="AA646" s="1587">
        <f t="shared" si="2633"/>
        <v>6533.2404582988656</v>
      </c>
      <c r="AB646" s="1587">
        <v>5490.0614537915008</v>
      </c>
      <c r="AC646" s="1587">
        <v>5821.2116730412417</v>
      </c>
      <c r="AD646" s="1587">
        <v>5608.9699888040523</v>
      </c>
      <c r="AE646" s="1587">
        <v>6379.9580997290177</v>
      </c>
      <c r="AF646" s="1587">
        <v>5400</v>
      </c>
      <c r="AG646" s="1587">
        <v>5719</v>
      </c>
      <c r="AH646" s="1587">
        <f t="shared" ref="AH646:AQ646" si="2634">+AD646*(1+AH656)</f>
        <v>5496.7905890279708</v>
      </c>
      <c r="AI646" s="1587">
        <f t="shared" si="2634"/>
        <v>6316.1585187317278</v>
      </c>
      <c r="AJ646" s="1587">
        <f t="shared" si="2634"/>
        <v>5508</v>
      </c>
      <c r="AK646" s="1587">
        <f t="shared" si="2634"/>
        <v>5890.57</v>
      </c>
      <c r="AL646" s="1587">
        <f t="shared" si="2634"/>
        <v>5826.5980243696495</v>
      </c>
      <c r="AM646" s="1587">
        <f t="shared" si="2634"/>
        <v>6442.4816891063629</v>
      </c>
      <c r="AN646" s="1587">
        <f t="shared" si="2634"/>
        <v>5452.92</v>
      </c>
      <c r="AO646" s="1587">
        <f t="shared" si="2634"/>
        <v>5772.7585999999992</v>
      </c>
      <c r="AP646" s="1587">
        <f t="shared" si="2634"/>
        <v>5535.2681231511669</v>
      </c>
      <c r="AQ646" s="1587">
        <f t="shared" si="2634"/>
        <v>6378.0568722152993</v>
      </c>
      <c r="AV646" s="1587"/>
      <c r="AW646" s="1587"/>
      <c r="AX646" s="1587"/>
      <c r="AY646" s="1587"/>
      <c r="AZ646" s="1587"/>
      <c r="BA646" s="1587"/>
      <c r="BB646" s="1587"/>
      <c r="BC646" s="1587"/>
      <c r="BD646" s="1587"/>
      <c r="BE646" s="1587"/>
      <c r="BF646" s="1587"/>
      <c r="BG646" s="1587"/>
      <c r="BH646" s="1587">
        <f t="shared" ref="BH646:BH650" si="2635">SUM(H646:K646)</f>
        <v>17709.74782503536</v>
      </c>
      <c r="BI646" s="1587">
        <f t="shared" si="2625"/>
        <v>18526.249699814362</v>
      </c>
      <c r="BJ646" s="1587">
        <f t="shared" si="2626"/>
        <v>19600.529465861771</v>
      </c>
      <c r="BK646" s="1587">
        <f t="shared" si="2627"/>
        <v>21078.630382565549</v>
      </c>
      <c r="BL646" s="1587">
        <f t="shared" si="2628"/>
        <v>22175.868390560106</v>
      </c>
      <c r="BM646" s="1587">
        <f t="shared" si="2629"/>
        <v>23300.201215365814</v>
      </c>
      <c r="BN646" s="1587">
        <f t="shared" si="2630"/>
        <v>22931.949107759701</v>
      </c>
      <c r="BO646" s="1587">
        <f t="shared" si="2631"/>
        <v>23667.649713476014</v>
      </c>
      <c r="BP646" s="1587">
        <f t="shared" si="2632"/>
        <v>23139.003595366466</v>
      </c>
      <c r="BT646" s="1518"/>
      <c r="BU646" s="1518"/>
      <c r="BV646" s="1518"/>
      <c r="BW646" s="1518"/>
      <c r="BX646" s="1518"/>
      <c r="BY646" s="1518"/>
      <c r="BZ646" s="1518"/>
      <c r="CA646" s="1518"/>
      <c r="CB646" s="1518"/>
      <c r="CC646" s="1518"/>
    </row>
    <row r="647" spans="2:81" s="1519" customFormat="1" outlineLevel="1">
      <c r="B647" s="1559" t="s">
        <v>432</v>
      </c>
      <c r="H647" s="1550">
        <f>+'VA segmentation'!AC27</f>
        <v>4689</v>
      </c>
      <c r="I647" s="1550">
        <f>+'VA segmentation'!AD27</f>
        <v>5332</v>
      </c>
      <c r="J647" s="1550">
        <f>+'VA segmentation'!AE27</f>
        <v>5297</v>
      </c>
      <c r="K647" s="1550">
        <f>+'VA segmentation'!AF27</f>
        <v>6331</v>
      </c>
      <c r="L647" s="1550">
        <f>+'VA segmentation'!AG27</f>
        <v>5496</v>
      </c>
      <c r="M647" s="1550">
        <f>+'VA segmentation'!AH27</f>
        <v>6299</v>
      </c>
      <c r="N647" s="1550">
        <f>+'VA segmentation'!AI27</f>
        <v>6343</v>
      </c>
      <c r="O647" s="1550">
        <f>+'VA segmentation'!AJ27</f>
        <v>7991</v>
      </c>
      <c r="P647" s="1550">
        <f>+'VA segmentation'!AK27</f>
        <v>7058</v>
      </c>
      <c r="Q647" s="1550">
        <f>+'VA segmentation'!AL27</f>
        <v>7791</v>
      </c>
      <c r="R647" s="1550">
        <f>+'VA segmentation'!AM27</f>
        <v>8053</v>
      </c>
      <c r="S647" s="1550">
        <f>+'VA segmentation'!AN27</f>
        <v>9720</v>
      </c>
      <c r="T647" s="1550">
        <f>+'VA segmentation'!AO27</f>
        <v>9192</v>
      </c>
      <c r="U647" s="1550">
        <f>+'VA segmentation'!AP27</f>
        <v>10119</v>
      </c>
      <c r="V647" s="1550">
        <f>+'VA segmentation'!AQ27</f>
        <v>10490</v>
      </c>
      <c r="W647" s="1550">
        <f>+'VA segmentation'!AR27</f>
        <v>11578</v>
      </c>
      <c r="X647" s="1550">
        <f>+'VA segmentation'!AS27</f>
        <v>11195</v>
      </c>
      <c r="Y647" s="1550">
        <f>+'VA segmentation'!AT27</f>
        <v>12729</v>
      </c>
      <c r="Z647" s="1550">
        <f>+'VA segmentation'!AU27</f>
        <v>13204</v>
      </c>
      <c r="AA647" s="1550">
        <f>+'VA segmentation'!AV27</f>
        <v>15461</v>
      </c>
      <c r="AB647" s="1550">
        <f>+SUM(AB645:AB646)</f>
        <v>15069</v>
      </c>
      <c r="AC647" s="1550">
        <f t="shared" ref="AC647:AM647" si="2636">+SUM(AC645:AC646)</f>
        <v>16382</v>
      </c>
      <c r="AD647" s="1550">
        <f t="shared" si="2636"/>
        <v>17038</v>
      </c>
      <c r="AE647" s="1550">
        <f t="shared" si="2636"/>
        <v>18831</v>
      </c>
      <c r="AF647" s="1550">
        <f t="shared" si="2636"/>
        <v>18300</v>
      </c>
      <c r="AG647" s="1550">
        <f t="shared" si="2636"/>
        <v>19594</v>
      </c>
      <c r="AH647" s="1550">
        <f t="shared" si="2636"/>
        <v>20011.658703246823</v>
      </c>
      <c r="AI647" s="1550">
        <f t="shared" si="2636"/>
        <v>22004.471313073165</v>
      </c>
      <c r="AJ647" s="1550">
        <f t="shared" si="2636"/>
        <v>22149</v>
      </c>
      <c r="AK647" s="1550">
        <f t="shared" si="2636"/>
        <v>23928.07</v>
      </c>
      <c r="AL647" s="1550">
        <f t="shared" si="2636"/>
        <v>24841.075253996351</v>
      </c>
      <c r="AM647" s="1550">
        <f t="shared" si="2636"/>
        <v>26680.405193806819</v>
      </c>
      <c r="AN647" s="1550">
        <f>+SUM(AN645:AN646)</f>
        <v>26953.620065703049</v>
      </c>
      <c r="AO647" s="1550">
        <f>+SUM(AO645:AO646)</f>
        <v>29017.936268443031</v>
      </c>
      <c r="AP647" s="1550">
        <f>+SUM(AP645:AP646)</f>
        <v>29983.061126738285</v>
      </c>
      <c r="AQ647" s="1550">
        <f>+SUM(AQ645:AQ646)</f>
        <v>32504.937143449242</v>
      </c>
      <c r="AV647" s="1550"/>
      <c r="AW647" s="1550"/>
      <c r="AX647" s="1550"/>
      <c r="AY647" s="1550"/>
      <c r="AZ647" s="1550"/>
      <c r="BA647" s="1550"/>
      <c r="BB647" s="1550"/>
      <c r="BC647" s="1550"/>
      <c r="BD647" s="1550"/>
      <c r="BE647" s="1550"/>
      <c r="BF647" s="1550"/>
      <c r="BG647" s="1550"/>
      <c r="BH647" s="1550">
        <f t="shared" si="2635"/>
        <v>21649</v>
      </c>
      <c r="BI647" s="1550">
        <f t="shared" si="2625"/>
        <v>26129</v>
      </c>
      <c r="BJ647" s="1550">
        <f t="shared" si="2626"/>
        <v>32622</v>
      </c>
      <c r="BK647" s="1550">
        <f>SUM(T647:W647)</f>
        <v>41379</v>
      </c>
      <c r="BL647" s="1550">
        <f>SUM(X647:AA647)</f>
        <v>52589</v>
      </c>
      <c r="BM647" s="1550">
        <f>SUM(AB647:AE647)</f>
        <v>67320</v>
      </c>
      <c r="BN647" s="1550">
        <f>SUM(AF647:AI647)</f>
        <v>79910.130016319992</v>
      </c>
      <c r="BO647" s="1550">
        <f>SUM(AJ647:AM647)</f>
        <v>97598.550447803165</v>
      </c>
      <c r="BP647" s="1550">
        <f t="shared" si="2632"/>
        <v>118459.55460433359</v>
      </c>
      <c r="BQ647" s="1551">
        <f>SUM(AD12:AG12)</f>
        <v>204094</v>
      </c>
      <c r="BT647" s="1518"/>
      <c r="BU647" s="1518"/>
      <c r="BV647" s="1518"/>
      <c r="BW647" s="1518"/>
      <c r="BX647" s="1518"/>
      <c r="BY647" s="1518"/>
      <c r="BZ647" s="1518"/>
      <c r="CA647" s="1518"/>
      <c r="CB647" s="1518"/>
      <c r="CC647" s="1518"/>
    </row>
    <row r="648" spans="2:81" s="1519" customFormat="1" outlineLevel="1">
      <c r="B648" s="1519" t="s">
        <v>444</v>
      </c>
      <c r="H648" s="1550">
        <f>+'VA segmentation'!AC30</f>
        <v>1355</v>
      </c>
      <c r="I648" s="1550">
        <f>+'VA segmentation'!AD30</f>
        <v>1371</v>
      </c>
      <c r="J648" s="1550">
        <f>+'VA segmentation'!AE30</f>
        <v>1383</v>
      </c>
      <c r="K648" s="1550">
        <f>+'VA segmentation'!AF30</f>
        <v>1433</v>
      </c>
      <c r="L648" s="1550">
        <f>+'VA segmentation'!AG30</f>
        <v>1371</v>
      </c>
      <c r="M648" s="1550">
        <f>+'VA segmentation'!AH30</f>
        <v>1435</v>
      </c>
      <c r="N648" s="1550">
        <f>+'VA segmentation'!AI30</f>
        <v>1489</v>
      </c>
      <c r="O648" s="1550">
        <f>+'VA segmentation'!AJ30</f>
        <v>1551</v>
      </c>
      <c r="P648" s="1550">
        <f>+'VA segmentation'!AK30</f>
        <v>1450</v>
      </c>
      <c r="Q648" s="1550">
        <f>+'VA segmentation'!AL30</f>
        <v>1521</v>
      </c>
      <c r="R648" s="1550">
        <f>+'VA segmentation'!AM30</f>
        <v>1542</v>
      </c>
      <c r="S648" s="1550">
        <f>+'VA segmentation'!AN30</f>
        <v>1611</v>
      </c>
      <c r="T648" s="1550">
        <f>+'VA segmentation'!AO30</f>
        <v>1545</v>
      </c>
      <c r="U648" s="1550">
        <f>+'VA segmentation'!AP30</f>
        <v>1612</v>
      </c>
      <c r="V648" s="1550">
        <f>+'VA segmentation'!AQ30</f>
        <v>1633</v>
      </c>
      <c r="W648" s="1550">
        <f>+'VA segmentation'!AR30</f>
        <v>1619</v>
      </c>
      <c r="X648" s="1550">
        <f>+'VA segmentation'!AS30</f>
        <v>1637</v>
      </c>
      <c r="Y648" s="1550">
        <f>+'VA segmentation'!AT30</f>
        <v>1695</v>
      </c>
      <c r="Z648" s="1550">
        <f>+'VA segmentation'!AU30</f>
        <v>1803</v>
      </c>
      <c r="AA648" s="1550">
        <f>+'VA segmentation'!AV30</f>
        <v>1808</v>
      </c>
      <c r="AB648" s="1550">
        <f>+'VA segmentation'!AW30</f>
        <v>1791</v>
      </c>
      <c r="AC648" s="1550">
        <f>+'VA segmentation'!AX30</f>
        <v>1823</v>
      </c>
      <c r="AD648" s="1550">
        <f>+'VA segmentation'!AY30</f>
        <v>1891</v>
      </c>
      <c r="AE648" s="1550">
        <f>+'VA segmentation'!AZ30</f>
        <v>1902</v>
      </c>
      <c r="AF648" s="1550">
        <f>+'VA segmentation'!BA30</f>
        <v>1876</v>
      </c>
      <c r="AG648" s="1550">
        <f>+'VA segmentation'!BB30</f>
        <v>1862</v>
      </c>
      <c r="AH648" s="1550">
        <f t="shared" ref="AH648:AQ648" si="2637">+AD648*(1+AH658)</f>
        <v>2004.46</v>
      </c>
      <c r="AI648" s="1550">
        <f t="shared" si="2637"/>
        <v>1978.0800000000002</v>
      </c>
      <c r="AJ648" s="1550">
        <f t="shared" si="2637"/>
        <v>1894.76</v>
      </c>
      <c r="AK648" s="1550">
        <f t="shared" si="2637"/>
        <v>1880.6200000000001</v>
      </c>
      <c r="AL648" s="1550">
        <f t="shared" si="2637"/>
        <v>1824.0586000000001</v>
      </c>
      <c r="AM648" s="1550">
        <f t="shared" si="2637"/>
        <v>1839.6143999999999</v>
      </c>
      <c r="AN648" s="1550">
        <f t="shared" si="2637"/>
        <v>1837.9171999999999</v>
      </c>
      <c r="AO648" s="1550">
        <f t="shared" si="2637"/>
        <v>1824.2014000000001</v>
      </c>
      <c r="AP648" s="1550">
        <f t="shared" si="2637"/>
        <v>1824.0586000000001</v>
      </c>
      <c r="AQ648" s="1550">
        <f t="shared" si="2637"/>
        <v>1839.6143999999999</v>
      </c>
      <c r="AV648" s="1550"/>
      <c r="AW648" s="1550"/>
      <c r="AX648" s="1550"/>
      <c r="AY648" s="1550"/>
      <c r="AZ648" s="1550"/>
      <c r="BA648" s="1550"/>
      <c r="BB648" s="1550"/>
      <c r="BC648" s="1550"/>
      <c r="BD648" s="1550"/>
      <c r="BE648" s="1550"/>
      <c r="BF648" s="1550"/>
      <c r="BG648" s="1550"/>
      <c r="BH648" s="1550">
        <f t="shared" si="2635"/>
        <v>5542</v>
      </c>
      <c r="BI648" s="1550">
        <f t="shared" si="2625"/>
        <v>5846</v>
      </c>
      <c r="BJ648" s="1550">
        <f t="shared" si="2626"/>
        <v>6124</v>
      </c>
      <c r="BK648" s="1550">
        <f t="shared" ref="BK648:BK650" si="2638">SUM(T648:W648)</f>
        <v>6409</v>
      </c>
      <c r="BL648" s="1550">
        <f t="shared" ref="BL648:BL650" si="2639">SUM(X648:AA648)</f>
        <v>6943</v>
      </c>
      <c r="BM648" s="1550">
        <f t="shared" ref="BM648:BM650" si="2640">SUM(AB648:AE648)</f>
        <v>7407</v>
      </c>
      <c r="BN648" s="1550">
        <f t="shared" ref="BN648:BN650" si="2641">SUM(AF648:AI648)</f>
        <v>7720.54</v>
      </c>
      <c r="BO648" s="1550">
        <f t="shared" ref="BO648:BO650" si="2642">SUM(AJ648:AM648)</f>
        <v>7439.0529999999999</v>
      </c>
      <c r="BP648" s="1550">
        <f t="shared" si="2632"/>
        <v>7325.7916000000005</v>
      </c>
      <c r="BQ648" s="1551">
        <f>SUM(Z12:AC12)</f>
        <v>184903</v>
      </c>
      <c r="BR648" s="1551">
        <f>BQ647-BQ648</f>
        <v>19191</v>
      </c>
      <c r="BT648" s="1518"/>
      <c r="BU648" s="1518"/>
      <c r="BV648" s="1518"/>
      <c r="BW648" s="1518"/>
      <c r="BX648" s="1518"/>
      <c r="BY648" s="1518"/>
      <c r="BZ648" s="1518"/>
      <c r="CA648" s="1518"/>
      <c r="CB648" s="1518"/>
      <c r="CC648" s="1518"/>
    </row>
    <row r="649" spans="2:81" s="1519" customFormat="1" ht="11.45" outlineLevel="1">
      <c r="B649" s="1519" t="s">
        <v>200</v>
      </c>
      <c r="H649" s="1555">
        <f>+H650-SUM(H647:H648)</f>
        <v>53</v>
      </c>
      <c r="I649" s="1555">
        <f t="shared" ref="I649:AI649" si="2643">+I650-SUM(I647:I648)</f>
        <v>55</v>
      </c>
      <c r="J649" s="1555">
        <f t="shared" si="2643"/>
        <v>50</v>
      </c>
      <c r="K649" s="1555">
        <f t="shared" si="2643"/>
        <v>58</v>
      </c>
      <c r="L649" s="1555">
        <f t="shared" si="2643"/>
        <v>55</v>
      </c>
      <c r="M649" s="1555">
        <f t="shared" si="2643"/>
        <v>61</v>
      </c>
      <c r="N649" s="1555">
        <f t="shared" si="2643"/>
        <v>64</v>
      </c>
      <c r="O649" s="1555">
        <f t="shared" si="2643"/>
        <v>64</v>
      </c>
      <c r="P649" s="1555">
        <f t="shared" si="2643"/>
        <v>59</v>
      </c>
      <c r="Q649" s="1555">
        <f t="shared" si="2643"/>
        <v>66</v>
      </c>
      <c r="R649" s="1555">
        <f t="shared" si="2643"/>
        <v>54</v>
      </c>
      <c r="S649" s="1555">
        <f t="shared" si="2643"/>
        <v>60</v>
      </c>
      <c r="T649" s="1555">
        <f t="shared" si="2643"/>
        <v>108</v>
      </c>
      <c r="U649" s="1555">
        <f t="shared" si="2643"/>
        <v>138</v>
      </c>
      <c r="V649" s="1555">
        <f t="shared" si="2643"/>
        <v>158</v>
      </c>
      <c r="W649" s="1555">
        <f t="shared" si="2643"/>
        <v>174</v>
      </c>
      <c r="X649" s="1555">
        <f t="shared" si="2643"/>
        <v>154</v>
      </c>
      <c r="Y649" s="1555">
        <f t="shared" si="2643"/>
        <v>177</v>
      </c>
      <c r="Z649" s="1555">
        <f t="shared" si="2643"/>
        <v>111</v>
      </c>
      <c r="AA649" s="1555">
        <f t="shared" si="2643"/>
        <v>106</v>
      </c>
      <c r="AB649" s="1555">
        <f t="shared" si="2643"/>
        <v>104</v>
      </c>
      <c r="AC649" s="1555">
        <f t="shared" si="2643"/>
        <v>122</v>
      </c>
      <c r="AD649" s="1555">
        <f t="shared" si="2643"/>
        <v>122</v>
      </c>
      <c r="AE649" s="1555">
        <f t="shared" si="2643"/>
        <v>176</v>
      </c>
      <c r="AF649" s="1555">
        <f t="shared" si="2643"/>
        <v>149</v>
      </c>
      <c r="AG649" s="1555">
        <f t="shared" si="2643"/>
        <v>52</v>
      </c>
      <c r="AH649" s="1555">
        <f t="shared" si="2643"/>
        <v>64.881296753177594</v>
      </c>
      <c r="AI649" s="1555">
        <f t="shared" si="2643"/>
        <v>10.448686926833034</v>
      </c>
      <c r="AJ649" s="1555">
        <f t="shared" ref="AJ649:AK649" si="2644">+AJ650-SUM(AJ647:AJ648)</f>
        <v>215.2400000000016</v>
      </c>
      <c r="AK649" s="1555">
        <f t="shared" si="2644"/>
        <v>71.31000000000131</v>
      </c>
      <c r="AL649" s="1555">
        <f t="shared" ref="AL649:AM649" si="2645">+AL650-SUM(AL647:AL648)</f>
        <v>42.866146003649192</v>
      </c>
      <c r="AM649" s="1555">
        <f t="shared" si="2645"/>
        <v>-5.0195938068172836</v>
      </c>
      <c r="AN649" s="1588">
        <f t="shared" ref="AN649" si="2646">+AM649/AM647*AN647</f>
        <v>-5.0709958627058143</v>
      </c>
      <c r="AO649" s="1588">
        <f t="shared" ref="AO649" si="2647">+AN649/AN647*AO647</f>
        <v>-5.4593718544239414</v>
      </c>
      <c r="AP649" s="1588">
        <f t="shared" ref="AP649" si="2648">+AO649/AO647*AP647</f>
        <v>-5.6409483607143631</v>
      </c>
      <c r="AQ649" s="1588">
        <f t="shared" ref="AQ649" si="2649">+AP649/AP647*AQ647</f>
        <v>-6.1154086675608941</v>
      </c>
      <c r="AV649" s="1555"/>
      <c r="AW649" s="1555"/>
      <c r="AX649" s="1555"/>
      <c r="AY649" s="1555"/>
      <c r="AZ649" s="1555"/>
      <c r="BA649" s="1555"/>
      <c r="BB649" s="1555"/>
      <c r="BC649" s="1555"/>
      <c r="BD649" s="1555"/>
      <c r="BE649" s="1555"/>
      <c r="BF649" s="1555"/>
      <c r="BG649" s="1555"/>
      <c r="BH649" s="1555">
        <f t="shared" si="2635"/>
        <v>216</v>
      </c>
      <c r="BI649" s="1555">
        <f t="shared" si="2625"/>
        <v>244</v>
      </c>
      <c r="BJ649" s="1555">
        <f t="shared" si="2626"/>
        <v>239</v>
      </c>
      <c r="BK649" s="1555">
        <f t="shared" si="2638"/>
        <v>578</v>
      </c>
      <c r="BL649" s="1555">
        <f t="shared" si="2639"/>
        <v>548</v>
      </c>
      <c r="BM649" s="1555">
        <f t="shared" si="2640"/>
        <v>524</v>
      </c>
      <c r="BN649" s="1555">
        <f t="shared" si="2641"/>
        <v>276.32998368001063</v>
      </c>
      <c r="BO649" s="1555">
        <f t="shared" si="2642"/>
        <v>324.39655219683482</v>
      </c>
      <c r="BP649" s="1555">
        <f t="shared" si="2632"/>
        <v>-22.28672474540501</v>
      </c>
      <c r="BR649" s="1519">
        <f>BR645/BR648</f>
        <v>0.71541783996676411</v>
      </c>
      <c r="BT649" s="1521">
        <v>0</v>
      </c>
      <c r="BU649" s="1518"/>
      <c r="BV649" s="1518"/>
      <c r="BW649" s="1518"/>
      <c r="BX649" s="1518"/>
      <c r="BY649" s="1518"/>
      <c r="BZ649" s="1518"/>
      <c r="CA649" s="1518"/>
      <c r="CB649" s="1518"/>
      <c r="CC649" s="1518"/>
    </row>
    <row r="650" spans="2:81" s="1520" customFormat="1" ht="10.5" outlineLevel="1">
      <c r="B650" s="1562" t="s">
        <v>434</v>
      </c>
      <c r="H650" s="1563">
        <f t="shared" ref="H650:AM650" si="2650">+H603</f>
        <v>6097</v>
      </c>
      <c r="I650" s="1563">
        <f t="shared" si="2650"/>
        <v>6758</v>
      </c>
      <c r="J650" s="1563">
        <f t="shared" si="2650"/>
        <v>6730</v>
      </c>
      <c r="K650" s="1563">
        <f t="shared" si="2650"/>
        <v>7822</v>
      </c>
      <c r="L650" s="1563">
        <f t="shared" si="2650"/>
        <v>6922</v>
      </c>
      <c r="M650" s="1563">
        <f t="shared" si="2650"/>
        <v>7795</v>
      </c>
      <c r="N650" s="1563">
        <f t="shared" si="2650"/>
        <v>7896</v>
      </c>
      <c r="O650" s="1563">
        <f t="shared" si="2650"/>
        <v>9606</v>
      </c>
      <c r="P650" s="1563">
        <f t="shared" si="2650"/>
        <v>8567</v>
      </c>
      <c r="Q650" s="1563">
        <f t="shared" si="2650"/>
        <v>9378</v>
      </c>
      <c r="R650" s="1563">
        <f t="shared" si="2650"/>
        <v>9649</v>
      </c>
      <c r="S650" s="1563">
        <f t="shared" si="2650"/>
        <v>11391</v>
      </c>
      <c r="T650" s="1563">
        <f t="shared" si="2650"/>
        <v>10845</v>
      </c>
      <c r="U650" s="1563">
        <f t="shared" si="2650"/>
        <v>11869</v>
      </c>
      <c r="V650" s="1563">
        <f t="shared" si="2650"/>
        <v>12281</v>
      </c>
      <c r="W650" s="1563">
        <f t="shared" si="2650"/>
        <v>13371</v>
      </c>
      <c r="X650" s="1563">
        <f t="shared" si="2650"/>
        <v>12986</v>
      </c>
      <c r="Y650" s="1563">
        <f t="shared" si="2650"/>
        <v>14601</v>
      </c>
      <c r="Z650" s="1563">
        <f t="shared" si="2650"/>
        <v>15118</v>
      </c>
      <c r="AA650" s="1563">
        <f t="shared" si="2650"/>
        <v>17375</v>
      </c>
      <c r="AB650" s="1563">
        <f t="shared" si="2650"/>
        <v>16964</v>
      </c>
      <c r="AC650" s="1563">
        <f t="shared" si="2650"/>
        <v>18327</v>
      </c>
      <c r="AD650" s="1563">
        <f t="shared" si="2650"/>
        <v>19051</v>
      </c>
      <c r="AE650" s="1563">
        <f t="shared" si="2650"/>
        <v>20909</v>
      </c>
      <c r="AF650" s="1563">
        <f t="shared" si="2650"/>
        <v>20325</v>
      </c>
      <c r="AG650" s="1563">
        <f t="shared" si="2650"/>
        <v>21508</v>
      </c>
      <c r="AH650" s="1563">
        <f t="shared" si="2650"/>
        <v>22081</v>
      </c>
      <c r="AI650" s="1563">
        <f t="shared" si="2650"/>
        <v>23993</v>
      </c>
      <c r="AJ650" s="1563">
        <f t="shared" si="2650"/>
        <v>24259</v>
      </c>
      <c r="AK650" s="1563">
        <f t="shared" si="2650"/>
        <v>25880</v>
      </c>
      <c r="AL650" s="1563">
        <f t="shared" si="2650"/>
        <v>26708</v>
      </c>
      <c r="AM650" s="1563">
        <f t="shared" si="2650"/>
        <v>28515</v>
      </c>
      <c r="AN650" s="1563">
        <f t="shared" ref="AN650:AQ650" si="2651">+SUM(AN647:AN649)</f>
        <v>28786.466269840344</v>
      </c>
      <c r="AO650" s="1563">
        <f t="shared" si="2651"/>
        <v>30836.678296588609</v>
      </c>
      <c r="AP650" s="1563">
        <f t="shared" si="2651"/>
        <v>31801.478778377572</v>
      </c>
      <c r="AQ650" s="1563">
        <f t="shared" si="2651"/>
        <v>34338.436134781681</v>
      </c>
      <c r="AV650" s="1563"/>
      <c r="AW650" s="1563"/>
      <c r="AX650" s="1563"/>
      <c r="AY650" s="1563"/>
      <c r="AZ650" s="1563"/>
      <c r="BA650" s="1563"/>
      <c r="BB650" s="1563"/>
      <c r="BC650" s="1563"/>
      <c r="BD650" s="1563"/>
      <c r="BE650" s="1563"/>
      <c r="BF650" s="1563"/>
      <c r="BG650" s="1563"/>
      <c r="BH650" s="1563">
        <f t="shared" si="2635"/>
        <v>27407</v>
      </c>
      <c r="BI650" s="1563">
        <f t="shared" si="2625"/>
        <v>32219</v>
      </c>
      <c r="BJ650" s="1563">
        <f t="shared" si="2626"/>
        <v>38985</v>
      </c>
      <c r="BK650" s="1563">
        <f t="shared" si="2638"/>
        <v>48366</v>
      </c>
      <c r="BL650" s="1563">
        <f t="shared" si="2639"/>
        <v>60080</v>
      </c>
      <c r="BM650" s="1563">
        <f t="shared" si="2640"/>
        <v>75251</v>
      </c>
      <c r="BN650" s="1563">
        <f t="shared" si="2641"/>
        <v>87907</v>
      </c>
      <c r="BO650" s="1563">
        <f t="shared" si="2642"/>
        <v>105362</v>
      </c>
      <c r="BP650" s="1563">
        <f t="shared" si="2632"/>
        <v>125763.05947958821</v>
      </c>
      <c r="BT650" s="1300"/>
      <c r="BU650" s="1300"/>
      <c r="BV650" s="1300"/>
      <c r="BW650" s="1300"/>
      <c r="BX650" s="1300"/>
      <c r="BY650" s="1300"/>
      <c r="BZ650" s="1300"/>
      <c r="CA650" s="1300"/>
      <c r="CB650" s="1300"/>
      <c r="CC650" s="1300"/>
    </row>
    <row r="651" spans="2:81" s="1518" customFormat="1" outlineLevel="1">
      <c r="AG651" s="1589"/>
      <c r="AH651" s="1521"/>
      <c r="AI651" s="1521"/>
      <c r="AJ651" s="1521"/>
      <c r="AK651" s="1521"/>
      <c r="AL651" s="1521"/>
      <c r="AM651" s="1521"/>
      <c r="AN651" s="1521"/>
      <c r="AO651" s="1521"/>
      <c r="AP651" s="1521"/>
      <c r="AQ651" s="1521"/>
    </row>
    <row r="652" spans="2:81" s="1518" customFormat="1" outlineLevel="1">
      <c r="B652" s="1584" t="s">
        <v>435</v>
      </c>
      <c r="AF652" s="1521"/>
      <c r="AG652" s="1589"/>
      <c r="AH652" s="1521"/>
      <c r="AI652" s="1521"/>
      <c r="AJ652" s="1550">
        <f>+AJ678</f>
        <v>425.7</v>
      </c>
      <c r="AK652" s="1550">
        <f t="shared" ref="AK652:AM652" si="2652">+AK678</f>
        <v>926.37</v>
      </c>
      <c r="AL652" s="1550">
        <f t="shared" si="2652"/>
        <v>1067.7868114218852</v>
      </c>
      <c r="AM652" s="1550">
        <f t="shared" si="2652"/>
        <v>1274.274407377558</v>
      </c>
      <c r="AN652" s="1521"/>
      <c r="AO652" s="1521"/>
      <c r="AP652" s="1521"/>
      <c r="AQ652" s="1521"/>
      <c r="BO652" s="1521">
        <f>+SUM(AJ652:AM652)</f>
        <v>3694.1312187994431</v>
      </c>
      <c r="BP652" s="1521"/>
    </row>
    <row r="653" spans="2:81" s="1518" customFormat="1" outlineLevel="1">
      <c r="AG653" s="1589"/>
      <c r="AH653" s="1521"/>
      <c r="AI653" s="1521"/>
      <c r="AJ653" s="1521"/>
      <c r="AK653" s="1521"/>
      <c r="AL653" s="1521"/>
      <c r="AM653" s="1521"/>
      <c r="AN653" s="1521"/>
      <c r="AO653" s="1521"/>
      <c r="AP653" s="1521"/>
      <c r="AQ653" s="1521"/>
    </row>
    <row r="654" spans="2:81" s="1518" customFormat="1" ht="11.45" outlineLevel="1">
      <c r="B654" s="1564" t="s">
        <v>113</v>
      </c>
      <c r="AH654" s="1568"/>
      <c r="AI654" s="1568"/>
      <c r="AJ654" s="1568"/>
      <c r="AK654" s="1568"/>
      <c r="AL654" s="1568"/>
      <c r="AM654" s="1568"/>
      <c r="AN654" s="1568"/>
      <c r="AO654" s="1568"/>
      <c r="AP654" s="1568"/>
      <c r="AQ654" s="1568"/>
    </row>
    <row r="655" spans="2:81" s="1527" customFormat="1" outlineLevel="1">
      <c r="B655" s="1539" t="str">
        <f t="shared" ref="B655:B660" si="2653">+B645</f>
        <v>Azure (old segmentation)</v>
      </c>
      <c r="D655" s="1565"/>
      <c r="E655" s="1565"/>
      <c r="F655" s="1565"/>
      <c r="G655" s="1565"/>
      <c r="H655" s="1565"/>
      <c r="I655" s="1565"/>
      <c r="J655" s="1565"/>
      <c r="K655" s="1565"/>
      <c r="L655" s="1526">
        <v>0.90144781955921327</v>
      </c>
      <c r="M655" s="1526">
        <v>0.99155360912000079</v>
      </c>
      <c r="N655" s="1526">
        <v>0.92864710528193251</v>
      </c>
      <c r="O655" s="1526">
        <v>0.90888010475160708</v>
      </c>
      <c r="P655" s="1526">
        <v>0.75944099369388796</v>
      </c>
      <c r="Q655" s="1526">
        <v>0.77583258992076165</v>
      </c>
      <c r="R655" s="1526">
        <v>0.73101723752948167</v>
      </c>
      <c r="S655" s="1526">
        <v>0.62667597347516368</v>
      </c>
      <c r="T655" s="1526">
        <v>0.59085230064168881</v>
      </c>
      <c r="U655" s="1526">
        <v>0.62009799992947956</v>
      </c>
      <c r="V655" s="1526">
        <v>0.58821175943955106</v>
      </c>
      <c r="W655" s="1526">
        <v>0.46824697555649819</v>
      </c>
      <c r="X655" s="1526">
        <v>0.47916296898311139</v>
      </c>
      <c r="Y655" s="1526">
        <v>0.49952745622344996</v>
      </c>
      <c r="Z655" s="1526">
        <v>0.49775582341590807</v>
      </c>
      <c r="AA655" s="1526">
        <v>0.51127678584879188</v>
      </c>
      <c r="AB655" s="1526">
        <v>0.49958628868543009</v>
      </c>
      <c r="AC655" s="1526">
        <v>0.45874303578955766</v>
      </c>
      <c r="AD655" s="1526">
        <v>0.45444483269312119</v>
      </c>
      <c r="AE655" s="1526">
        <v>0.39464350961882055</v>
      </c>
      <c r="AF655" s="1526">
        <v>0.34670453701846027</v>
      </c>
      <c r="AG655" s="1526">
        <v>0.3138223748487583</v>
      </c>
      <c r="AH655" s="1565">
        <f t="shared" ref="AH655:AQ655" si="2654">+AH645/AD645-1</f>
        <v>0.27</v>
      </c>
      <c r="AI655" s="1565">
        <f t="shared" si="2654"/>
        <v>0.26</v>
      </c>
      <c r="AJ655" s="1565">
        <f t="shared" si="2654"/>
        <v>0.29000000000000004</v>
      </c>
      <c r="AK655" s="1565">
        <f t="shared" si="2654"/>
        <v>0.30000000000000004</v>
      </c>
      <c r="AL655" s="1565">
        <f t="shared" si="2654"/>
        <v>0.31000000000000005</v>
      </c>
      <c r="AM655" s="1565">
        <f t="shared" si="2654"/>
        <v>0.29000000000000004</v>
      </c>
      <c r="AN655" s="1565">
        <f t="shared" si="2654"/>
        <v>0.29203173281071138</v>
      </c>
      <c r="AO655" s="1565">
        <f t="shared" si="2654"/>
        <v>0.28871393865242023</v>
      </c>
      <c r="AP655" s="1565">
        <f t="shared" si="2654"/>
        <v>0.28574626103812628</v>
      </c>
      <c r="AQ655" s="1565">
        <f t="shared" si="2654"/>
        <v>0.29098621531827207</v>
      </c>
      <c r="AR655" s="1565"/>
      <c r="AS655" s="1565"/>
      <c r="AT655" s="1565" t="e">
        <f t="shared" ref="AT655:AW660" si="2655">+AT645/AS645-1</f>
        <v>#DIV/0!</v>
      </c>
      <c r="AU655" s="1565" t="e">
        <f t="shared" si="2655"/>
        <v>#DIV/0!</v>
      </c>
      <c r="AV655" s="1565" t="e">
        <f t="shared" si="2655"/>
        <v>#DIV/0!</v>
      </c>
      <c r="AW655" s="1565" t="e">
        <f t="shared" si="2655"/>
        <v>#DIV/0!</v>
      </c>
      <c r="AX655" s="1565"/>
      <c r="AY655" s="1565"/>
      <c r="AZ655" s="1565"/>
      <c r="BA655" s="1565"/>
      <c r="BB655" s="1565"/>
      <c r="BC655" s="1565"/>
      <c r="BD655" s="1565"/>
      <c r="BE655" s="1565"/>
      <c r="BF655" s="1565"/>
      <c r="BG655" s="1565"/>
      <c r="BH655" s="1565"/>
      <c r="BI655" s="1565">
        <f t="shared" ref="BI655:BP660" si="2656">+BI645/BH645-1</f>
        <v>0.92999837596177359</v>
      </c>
      <c r="BJ655" s="1565">
        <f t="shared" si="2656"/>
        <v>0.71273158002049319</v>
      </c>
      <c r="BK655" s="1565">
        <f t="shared" si="2656"/>
        <v>0.55899209418884133</v>
      </c>
      <c r="BL655" s="1565">
        <f t="shared" si="2656"/>
        <v>0.49815654505720697</v>
      </c>
      <c r="BM655" s="1565">
        <f t="shared" si="2656"/>
        <v>0.44739447913252506</v>
      </c>
      <c r="BN655" s="1565">
        <f t="shared" si="2656"/>
        <v>0.2943762234653704</v>
      </c>
      <c r="BO655" s="1565">
        <f t="shared" si="2656"/>
        <v>0.29753002913471227</v>
      </c>
      <c r="BP655" s="1565">
        <f t="shared" si="2656"/>
        <v>0.28931948700996224</v>
      </c>
      <c r="BT655" s="1518"/>
      <c r="BU655" s="1518"/>
      <c r="BV655" s="1518"/>
      <c r="BW655" s="1518"/>
      <c r="BX655" s="1518"/>
      <c r="BY655" s="1518"/>
      <c r="BZ655" s="1518"/>
      <c r="CA655" s="1518"/>
      <c r="CB655" s="1518"/>
      <c r="CC655" s="1518"/>
    </row>
    <row r="656" spans="2:81" s="1577" customFormat="1" ht="11.45" outlineLevel="1">
      <c r="B656" s="1539" t="str">
        <f t="shared" si="2653"/>
        <v>Server Products and Licensing</v>
      </c>
      <c r="D656" s="1567"/>
      <c r="E656" s="1567"/>
      <c r="F656" s="1567"/>
      <c r="G656" s="1567"/>
      <c r="H656" s="1567"/>
      <c r="I656" s="1567"/>
      <c r="J656" s="1567"/>
      <c r="K656" s="1567"/>
      <c r="L656" s="1567">
        <f t="shared" ref="L656:U660" si="2657">+L646/H646-1</f>
        <v>1.9485116229293498E-2</v>
      </c>
      <c r="M656" s="1567">
        <f t="shared" si="2657"/>
        <v>2.9292346827713533E-2</v>
      </c>
      <c r="N656" s="1567">
        <f t="shared" si="2657"/>
        <v>2.9510986012506679E-2</v>
      </c>
      <c r="O656" s="1567">
        <f t="shared" si="2657"/>
        <v>9.5789165497777384E-2</v>
      </c>
      <c r="P656" s="1567">
        <f t="shared" si="2657"/>
        <v>9.8729529530093618E-2</v>
      </c>
      <c r="Q656" s="1567">
        <f t="shared" si="2657"/>
        <v>4.1132619983507812E-2</v>
      </c>
      <c r="R656" s="1567">
        <f t="shared" si="2657"/>
        <v>7.1021108662162602E-2</v>
      </c>
      <c r="S656" s="1567">
        <f t="shared" si="2657"/>
        <v>3.2435529903948712E-2</v>
      </c>
      <c r="T656" s="1567">
        <f t="shared" si="2657"/>
        <v>0.12204479299161641</v>
      </c>
      <c r="U656" s="1567">
        <f t="shared" si="2657"/>
        <v>9.9789663874783718E-2</v>
      </c>
      <c r="V656" s="1567">
        <f t="shared" ref="V656:AE660" si="2658">+V646/R646-1</f>
        <v>0.10398678480558732</v>
      </c>
      <c r="W656" s="1567">
        <f t="shared" si="2658"/>
        <v>-4.5591765789173566E-3</v>
      </c>
      <c r="X656" s="1567">
        <f t="shared" si="2658"/>
        <v>-1.3594022250432047E-2</v>
      </c>
      <c r="Y656" s="1567">
        <f t="shared" si="2658"/>
        <v>3.7479250135211251E-2</v>
      </c>
      <c r="Z656" s="1567">
        <f t="shared" si="2658"/>
        <v>1.9551031617260017E-2</v>
      </c>
      <c r="AA656" s="1567">
        <f t="shared" si="2658"/>
        <v>0.15213086499535367</v>
      </c>
      <c r="AB656" s="1567">
        <f t="shared" si="2658"/>
        <v>0.14203091593674499</v>
      </c>
      <c r="AC656" s="1567">
        <f t="shared" si="2658"/>
        <v>6.0455458280518348E-2</v>
      </c>
      <c r="AD656" s="1567">
        <f t="shared" si="2658"/>
        <v>4.9190386025024235E-2</v>
      </c>
      <c r="AE656" s="1567">
        <f t="shared" si="2658"/>
        <v>-2.3461919019854949E-2</v>
      </c>
      <c r="AF656" s="1567">
        <f t="shared" ref="AF656:AG660" si="2659">+AF646/AB646-1</f>
        <v>-1.6404452764240629E-2</v>
      </c>
      <c r="AG656" s="1567">
        <f t="shared" si="2659"/>
        <v>-1.7558487610851992E-2</v>
      </c>
      <c r="AH656" s="1567">
        <f t="shared" ref="AH656:AM656" si="2660">+AH629</f>
        <v>-0.02</v>
      </c>
      <c r="AI656" s="1567">
        <f t="shared" si="2660"/>
        <v>-0.01</v>
      </c>
      <c r="AJ656" s="1567">
        <f t="shared" si="2660"/>
        <v>0.02</v>
      </c>
      <c r="AK656" s="1567">
        <f t="shared" si="2660"/>
        <v>0.03</v>
      </c>
      <c r="AL656" s="1567">
        <f t="shared" si="2660"/>
        <v>0.06</v>
      </c>
      <c r="AM656" s="1567">
        <f t="shared" si="2660"/>
        <v>0.02</v>
      </c>
      <c r="AN656" s="1568">
        <f t="shared" ref="AN656" si="2661">+AM656+AI656-AJ656</f>
        <v>-0.01</v>
      </c>
      <c r="AO656" s="1568">
        <f t="shared" ref="AO656" si="2662">+AN656+AJ656-AK656</f>
        <v>-1.9999999999999997E-2</v>
      </c>
      <c r="AP656" s="1568">
        <f t="shared" ref="AP656" si="2663">+AO656+AK656-AL656</f>
        <v>-4.9999999999999996E-2</v>
      </c>
      <c r="AQ656" s="1568">
        <f t="shared" ref="AQ656" si="2664">+AP656+AL656-AM656</f>
        <v>-9.9999999999999985E-3</v>
      </c>
      <c r="AR656" s="1567"/>
      <c r="AS656" s="1567"/>
      <c r="AT656" s="1567" t="e">
        <f t="shared" si="2655"/>
        <v>#DIV/0!</v>
      </c>
      <c r="AU656" s="1567" t="e">
        <f t="shared" si="2655"/>
        <v>#DIV/0!</v>
      </c>
      <c r="AV656" s="1567" t="e">
        <f t="shared" si="2655"/>
        <v>#DIV/0!</v>
      </c>
      <c r="AW656" s="1567" t="e">
        <f t="shared" si="2655"/>
        <v>#DIV/0!</v>
      </c>
      <c r="AX656" s="1567"/>
      <c r="AY656" s="1567"/>
      <c r="AZ656" s="1567"/>
      <c r="BA656" s="1567"/>
      <c r="BB656" s="1567"/>
      <c r="BC656" s="1567"/>
      <c r="BD656" s="1567"/>
      <c r="BE656" s="1567"/>
      <c r="BF656" s="1567"/>
      <c r="BG656" s="1567"/>
      <c r="BH656" s="1567"/>
      <c r="BI656" s="1567">
        <f t="shared" si="2656"/>
        <v>4.610465845395928E-2</v>
      </c>
      <c r="BJ656" s="1567">
        <f t="shared" si="2656"/>
        <v>5.7986898776290152E-2</v>
      </c>
      <c r="BK656" s="1567">
        <f t="shared" si="2656"/>
        <v>7.5411274949392704E-2</v>
      </c>
      <c r="BL656" s="1567">
        <f t="shared" si="2656"/>
        <v>5.2054521004462506E-2</v>
      </c>
      <c r="BM656" s="1567">
        <f t="shared" si="2656"/>
        <v>5.0700734916172108E-2</v>
      </c>
      <c r="BN656" s="1567">
        <f t="shared" si="2656"/>
        <v>-1.5804674998397106E-2</v>
      </c>
      <c r="BO656" s="1567">
        <f t="shared" si="2656"/>
        <v>3.2081904693716856E-2</v>
      </c>
      <c r="BP656" s="1567">
        <f t="shared" si="2656"/>
        <v>-2.2336232135823142E-2</v>
      </c>
      <c r="BT656" s="1518"/>
      <c r="BU656" s="1518"/>
      <c r="BV656" s="1518"/>
      <c r="BW656" s="1518"/>
      <c r="BX656" s="1518"/>
      <c r="BY656" s="1518"/>
      <c r="BZ656" s="1518"/>
      <c r="CA656" s="1518"/>
      <c r="CB656" s="1518"/>
      <c r="CC656" s="1518"/>
    </row>
    <row r="657" spans="2:81" s="1527" customFormat="1" outlineLevel="1">
      <c r="B657" s="1524" t="str">
        <f t="shared" si="2653"/>
        <v>Server Products and Cloud Services</v>
      </c>
      <c r="D657" s="1565"/>
      <c r="E657" s="1565"/>
      <c r="F657" s="1565"/>
      <c r="G657" s="1565"/>
      <c r="H657" s="1565"/>
      <c r="I657" s="1565"/>
      <c r="J657" s="1565"/>
      <c r="K657" s="1565"/>
      <c r="L657" s="1565">
        <f t="shared" si="2657"/>
        <v>0.17210492642354436</v>
      </c>
      <c r="M657" s="1565">
        <f t="shared" si="2657"/>
        <v>0.18135783945986494</v>
      </c>
      <c r="N657" s="1565">
        <f t="shared" si="2657"/>
        <v>0.19747026618840846</v>
      </c>
      <c r="O657" s="1565">
        <f t="shared" si="2657"/>
        <v>0.26220186384457422</v>
      </c>
      <c r="P657" s="1565">
        <f t="shared" si="2657"/>
        <v>0.28420669577874813</v>
      </c>
      <c r="Q657" s="1565">
        <f t="shared" si="2657"/>
        <v>0.23686299412605183</v>
      </c>
      <c r="R657" s="1565">
        <f t="shared" si="2657"/>
        <v>0.26958852278101841</v>
      </c>
      <c r="S657" s="1565">
        <f t="shared" si="2657"/>
        <v>0.21636841446627453</v>
      </c>
      <c r="T657" s="1565">
        <f t="shared" si="2657"/>
        <v>0.30235194105979035</v>
      </c>
      <c r="U657" s="1565">
        <f t="shared" si="2657"/>
        <v>0.29880631497882182</v>
      </c>
      <c r="V657" s="1565">
        <f t="shared" si="2658"/>
        <v>0.30262014156215078</v>
      </c>
      <c r="W657" s="1565">
        <f t="shared" si="2658"/>
        <v>0.19115226337448554</v>
      </c>
      <c r="X657" s="1565">
        <f t="shared" si="2658"/>
        <v>0.21790687554395127</v>
      </c>
      <c r="Y657" s="1565">
        <f t="shared" si="2658"/>
        <v>0.25793062555588486</v>
      </c>
      <c r="Z657" s="1565">
        <f t="shared" si="2658"/>
        <v>0.25872259294566247</v>
      </c>
      <c r="AA657" s="1565">
        <f t="shared" si="2658"/>
        <v>0.33537743997236147</v>
      </c>
      <c r="AB657" s="1565">
        <f t="shared" si="2658"/>
        <v>0.34604734256364456</v>
      </c>
      <c r="AC657" s="1565">
        <f t="shared" si="2658"/>
        <v>0.28698248094901402</v>
      </c>
      <c r="AD657" s="1565">
        <f t="shared" si="2658"/>
        <v>0.29036655558921542</v>
      </c>
      <c r="AE657" s="1565">
        <f t="shared" si="2658"/>
        <v>0.21796778992303212</v>
      </c>
      <c r="AF657" s="1565">
        <f t="shared" si="2659"/>
        <v>0.2144136969938284</v>
      </c>
      <c r="AG657" s="1565">
        <f t="shared" si="2659"/>
        <v>0.19606885606153091</v>
      </c>
      <c r="AH657" s="1565">
        <f t="shared" ref="AH657:AQ657" si="2665">+AH647/AD647-1</f>
        <v>0.17453097213562763</v>
      </c>
      <c r="AI657" s="1565">
        <f t="shared" si="2665"/>
        <v>0.16852378063157381</v>
      </c>
      <c r="AJ657" s="1565">
        <f t="shared" si="2665"/>
        <v>0.21032786885245902</v>
      </c>
      <c r="AK657" s="1565">
        <f t="shared" si="2665"/>
        <v>0.22119373277533927</v>
      </c>
      <c r="AL657" s="1565">
        <f t="shared" si="2665"/>
        <v>0.24133014770864403</v>
      </c>
      <c r="AM657" s="1565">
        <f t="shared" si="2665"/>
        <v>0.21249926045510659</v>
      </c>
      <c r="AN657" s="1565">
        <f t="shared" si="2665"/>
        <v>0.21692266313165609</v>
      </c>
      <c r="AO657" s="1565">
        <f t="shared" si="2665"/>
        <v>0.2127152866254165</v>
      </c>
      <c r="AP657" s="1565">
        <f t="shared" si="2665"/>
        <v>0.20699530194107463</v>
      </c>
      <c r="AQ657" s="1565">
        <f t="shared" si="2665"/>
        <v>0.21830747724155408</v>
      </c>
      <c r="AR657" s="1565"/>
      <c r="AS657" s="1565"/>
      <c r="AT657" s="1565" t="e">
        <f t="shared" si="2655"/>
        <v>#DIV/0!</v>
      </c>
      <c r="AU657" s="1565" t="e">
        <f t="shared" si="2655"/>
        <v>#DIV/0!</v>
      </c>
      <c r="AV657" s="1565" t="e">
        <f t="shared" si="2655"/>
        <v>#DIV/0!</v>
      </c>
      <c r="AW657" s="1565" t="e">
        <f t="shared" si="2655"/>
        <v>#DIV/0!</v>
      </c>
      <c r="AX657" s="1565"/>
      <c r="AY657" s="1565"/>
      <c r="AZ657" s="1565"/>
      <c r="BA657" s="1565"/>
      <c r="BB657" s="1565"/>
      <c r="BC657" s="1565"/>
      <c r="BD657" s="1565"/>
      <c r="BE657" s="1565"/>
      <c r="BF657" s="1565"/>
      <c r="BG657" s="1565"/>
      <c r="BH657" s="1565"/>
      <c r="BI657" s="1565">
        <f t="shared" si="2656"/>
        <v>0.20693796480206927</v>
      </c>
      <c r="BJ657" s="1565">
        <f t="shared" si="2656"/>
        <v>0.24849783765165134</v>
      </c>
      <c r="BK657" s="1565">
        <f t="shared" si="2656"/>
        <v>0.26843847710134261</v>
      </c>
      <c r="BL657" s="1565">
        <f t="shared" si="2656"/>
        <v>0.27091036516107203</v>
      </c>
      <c r="BM657" s="1565">
        <f t="shared" si="2656"/>
        <v>0.28011561353134695</v>
      </c>
      <c r="BN657" s="1565">
        <f t="shared" si="2656"/>
        <v>0.18701916245276284</v>
      </c>
      <c r="BO657" s="1565">
        <f t="shared" si="2656"/>
        <v>0.22135391880692312</v>
      </c>
      <c r="BP657" s="1565">
        <f t="shared" si="2656"/>
        <v>0.2137429711897938</v>
      </c>
      <c r="BT657" s="1518"/>
      <c r="BU657" s="1518"/>
      <c r="BV657" s="1518"/>
      <c r="BW657" s="1518"/>
      <c r="BX657" s="1518"/>
      <c r="BY657" s="1518"/>
      <c r="BZ657" s="1518"/>
      <c r="CA657" s="1518"/>
      <c r="CB657" s="1518"/>
      <c r="CC657" s="1518"/>
    </row>
    <row r="658" spans="2:81" s="1527" customFormat="1" outlineLevel="1">
      <c r="B658" s="1539" t="str">
        <f t="shared" si="2653"/>
        <v>Enterprise Services</v>
      </c>
      <c r="D658" s="1565"/>
      <c r="E658" s="1565"/>
      <c r="F658" s="1565"/>
      <c r="G658" s="1565"/>
      <c r="H658" s="1565"/>
      <c r="I658" s="1565"/>
      <c r="J658" s="1565"/>
      <c r="K658" s="1565"/>
      <c r="L658" s="1565">
        <f t="shared" si="2657"/>
        <v>1.1808118081180874E-2</v>
      </c>
      <c r="M658" s="1565">
        <f t="shared" si="2657"/>
        <v>4.6681254558716301E-2</v>
      </c>
      <c r="N658" s="1565">
        <f t="shared" si="2657"/>
        <v>7.6644974692696932E-2</v>
      </c>
      <c r="O658" s="1565">
        <f t="shared" si="2657"/>
        <v>8.2344731332868015E-2</v>
      </c>
      <c r="P658" s="1565">
        <f t="shared" si="2657"/>
        <v>5.7622173595915482E-2</v>
      </c>
      <c r="Q658" s="1565">
        <f t="shared" si="2657"/>
        <v>5.9930313588850259E-2</v>
      </c>
      <c r="R658" s="1565">
        <f t="shared" si="2657"/>
        <v>3.5594358629952971E-2</v>
      </c>
      <c r="S658" s="1565">
        <f t="shared" si="2657"/>
        <v>3.8684719535783341E-2</v>
      </c>
      <c r="T658" s="1565">
        <f t="shared" si="2657"/>
        <v>6.5517241379310365E-2</v>
      </c>
      <c r="U658" s="1565">
        <f t="shared" si="2657"/>
        <v>5.9829059829059839E-2</v>
      </c>
      <c r="V658" s="1565">
        <f t="shared" si="2658"/>
        <v>5.9014267185473424E-2</v>
      </c>
      <c r="W658" s="1565">
        <f t="shared" si="2658"/>
        <v>4.9658597144630612E-3</v>
      </c>
      <c r="X658" s="1565">
        <f t="shared" si="2658"/>
        <v>5.9546925566343001E-2</v>
      </c>
      <c r="Y658" s="1565">
        <f t="shared" si="2658"/>
        <v>5.1488833746898166E-2</v>
      </c>
      <c r="Z658" s="1565">
        <f t="shared" si="2658"/>
        <v>0.10410287813839569</v>
      </c>
      <c r="AA658" s="1565">
        <f t="shared" si="2658"/>
        <v>0.11673872760963566</v>
      </c>
      <c r="AB658" s="1565">
        <f t="shared" si="2658"/>
        <v>9.4074526572999417E-2</v>
      </c>
      <c r="AC658" s="1565">
        <f t="shared" si="2658"/>
        <v>7.5516224188790559E-2</v>
      </c>
      <c r="AD658" s="1565">
        <f t="shared" si="2658"/>
        <v>4.8807542983915653E-2</v>
      </c>
      <c r="AE658" s="1565">
        <f t="shared" si="2658"/>
        <v>5.1991150442477929E-2</v>
      </c>
      <c r="AF658" s="1565">
        <f t="shared" si="2659"/>
        <v>4.7459519821328788E-2</v>
      </c>
      <c r="AG658" s="1565">
        <f t="shared" si="2659"/>
        <v>2.1393307734503653E-2</v>
      </c>
      <c r="AH658" s="1565">
        <f t="shared" ref="AH658:AM658" si="2666">+AH631</f>
        <v>0.06</v>
      </c>
      <c r="AI658" s="1565">
        <f t="shared" si="2666"/>
        <v>0.04</v>
      </c>
      <c r="AJ658" s="1565">
        <f t="shared" si="2666"/>
        <v>0.01</v>
      </c>
      <c r="AK658" s="1565">
        <f t="shared" si="2666"/>
        <v>0.01</v>
      </c>
      <c r="AL658" s="1565">
        <f t="shared" si="2666"/>
        <v>-0.09</v>
      </c>
      <c r="AM658" s="1565">
        <f t="shared" si="2666"/>
        <v>-7.0000000000000007E-2</v>
      </c>
      <c r="AN658" s="1526">
        <v>-0.03</v>
      </c>
      <c r="AO658" s="1526">
        <v>-0.03</v>
      </c>
      <c r="AP658" s="1526">
        <v>0</v>
      </c>
      <c r="AQ658" s="1526">
        <v>0</v>
      </c>
      <c r="AR658" s="1565"/>
      <c r="AS658" s="1565"/>
      <c r="AT658" s="1565" t="e">
        <f t="shared" si="2655"/>
        <v>#DIV/0!</v>
      </c>
      <c r="AU658" s="1565" t="e">
        <f t="shared" si="2655"/>
        <v>#DIV/0!</v>
      </c>
      <c r="AV658" s="1565" t="e">
        <f t="shared" si="2655"/>
        <v>#DIV/0!</v>
      </c>
      <c r="AW658" s="1565" t="e">
        <f t="shared" si="2655"/>
        <v>#DIV/0!</v>
      </c>
      <c r="AX658" s="1565"/>
      <c r="AY658" s="1565"/>
      <c r="AZ658" s="1565"/>
      <c r="BA658" s="1565"/>
      <c r="BB658" s="1565"/>
      <c r="BC658" s="1565"/>
      <c r="BD658" s="1565"/>
      <c r="BE658" s="1565"/>
      <c r="BF658" s="1565"/>
      <c r="BG658" s="1565"/>
      <c r="BH658" s="1565"/>
      <c r="BI658" s="1565">
        <f t="shared" si="2656"/>
        <v>5.4853843377841827E-2</v>
      </c>
      <c r="BJ658" s="1565">
        <f t="shared" si="2656"/>
        <v>4.7553882996920871E-2</v>
      </c>
      <c r="BK658" s="1565">
        <f t="shared" si="2656"/>
        <v>4.6538210320052231E-2</v>
      </c>
      <c r="BL658" s="1565">
        <f t="shared" si="2656"/>
        <v>8.3320330784833807E-2</v>
      </c>
      <c r="BM658" s="1565">
        <f t="shared" si="2656"/>
        <v>6.6829900619328919E-2</v>
      </c>
      <c r="BN658" s="1565">
        <f t="shared" si="2656"/>
        <v>4.2330228162548833E-2</v>
      </c>
      <c r="BO658" s="1565">
        <f t="shared" si="2656"/>
        <v>-3.6459496356472498E-2</v>
      </c>
      <c r="BP658" s="1565">
        <f t="shared" si="2656"/>
        <v>-1.5225244396027238E-2</v>
      </c>
      <c r="BT658" s="1518"/>
      <c r="BU658" s="1518"/>
      <c r="BV658" s="1518"/>
      <c r="BW658" s="1518"/>
      <c r="BX658" s="1518"/>
      <c r="BY658" s="1518"/>
      <c r="BZ658" s="1518"/>
      <c r="CA658" s="1518"/>
      <c r="CB658" s="1518"/>
      <c r="CC658" s="1518"/>
    </row>
    <row r="659" spans="2:81" s="1530" customFormat="1" ht="11.45" outlineLevel="1">
      <c r="B659" s="1539" t="str">
        <f t="shared" si="2653"/>
        <v>Other</v>
      </c>
      <c r="D659" s="1567"/>
      <c r="E659" s="1567"/>
      <c r="F659" s="1567"/>
      <c r="G659" s="1567"/>
      <c r="H659" s="1567"/>
      <c r="I659" s="1567"/>
      <c r="J659" s="1567"/>
      <c r="K659" s="1567"/>
      <c r="L659" s="1567">
        <f t="shared" si="2657"/>
        <v>3.7735849056603765E-2</v>
      </c>
      <c r="M659" s="1567">
        <f t="shared" si="2657"/>
        <v>0.10909090909090913</v>
      </c>
      <c r="N659" s="1567">
        <f t="shared" si="2657"/>
        <v>0.28000000000000003</v>
      </c>
      <c r="O659" s="1567">
        <f t="shared" si="2657"/>
        <v>0.10344827586206895</v>
      </c>
      <c r="P659" s="1567">
        <f t="shared" si="2657"/>
        <v>7.2727272727272751E-2</v>
      </c>
      <c r="Q659" s="1567">
        <f t="shared" si="2657"/>
        <v>8.1967213114754189E-2</v>
      </c>
      <c r="R659" s="1567">
        <f t="shared" si="2657"/>
        <v>-0.15625</v>
      </c>
      <c r="S659" s="1567">
        <f t="shared" si="2657"/>
        <v>-6.25E-2</v>
      </c>
      <c r="T659" s="1567">
        <f t="shared" si="2657"/>
        <v>0.83050847457627119</v>
      </c>
      <c r="U659" s="1567">
        <f t="shared" si="2657"/>
        <v>1.0909090909090908</v>
      </c>
      <c r="V659" s="1567">
        <f t="shared" si="2658"/>
        <v>1.925925925925926</v>
      </c>
      <c r="W659" s="1567">
        <f t="shared" si="2658"/>
        <v>1.9</v>
      </c>
      <c r="X659" s="1567">
        <f t="shared" si="2658"/>
        <v>0.42592592592592582</v>
      </c>
      <c r="Y659" s="1567">
        <f t="shared" si="2658"/>
        <v>0.28260869565217384</v>
      </c>
      <c r="Z659" s="1567">
        <f t="shared" si="2658"/>
        <v>-0.29746835443037978</v>
      </c>
      <c r="AA659" s="1567">
        <f t="shared" si="2658"/>
        <v>-0.39080459770114939</v>
      </c>
      <c r="AB659" s="1567">
        <f t="shared" si="2658"/>
        <v>-0.32467532467532467</v>
      </c>
      <c r="AC659" s="1567">
        <f t="shared" si="2658"/>
        <v>-0.31073446327683618</v>
      </c>
      <c r="AD659" s="1567">
        <f t="shared" si="2658"/>
        <v>9.9099099099099197E-2</v>
      </c>
      <c r="AE659" s="1567">
        <f t="shared" si="2658"/>
        <v>0.66037735849056611</v>
      </c>
      <c r="AF659" s="1567">
        <f t="shared" si="2659"/>
        <v>0.43269230769230771</v>
      </c>
      <c r="AG659" s="1567">
        <f t="shared" si="2659"/>
        <v>-0.57377049180327866</v>
      </c>
      <c r="AH659" s="1567">
        <f t="shared" ref="AH659:AQ660" si="2667">+AH649/AD649-1</f>
        <v>-0.46818609218706886</v>
      </c>
      <c r="AI659" s="1567">
        <f t="shared" si="2667"/>
        <v>-0.94063246064299411</v>
      </c>
      <c r="AJ659" s="1567">
        <f t="shared" si="2667"/>
        <v>0.44456375838927253</v>
      </c>
      <c r="AK659" s="1567">
        <f t="shared" si="2667"/>
        <v>0.37134615384617908</v>
      </c>
      <c r="AL659" s="1567">
        <f t="shared" si="2667"/>
        <v>-0.33931428394963759</v>
      </c>
      <c r="AM659" s="1567">
        <f t="shared" si="2667"/>
        <v>-1.4804042691648249</v>
      </c>
      <c r="AN659" s="1567">
        <f t="shared" si="2667"/>
        <v>-1.0235597280371018</v>
      </c>
      <c r="AO659" s="1567">
        <f t="shared" si="2667"/>
        <v>-1.0765582927278621</v>
      </c>
      <c r="AP659" s="1567">
        <f t="shared" si="2667"/>
        <v>-1.1315944839135794</v>
      </c>
      <c r="AQ659" s="1567">
        <f t="shared" si="2667"/>
        <v>0.21830747724155408</v>
      </c>
      <c r="AR659" s="1567"/>
      <c r="AS659" s="1567"/>
      <c r="AT659" s="1567" t="e">
        <f t="shared" si="2655"/>
        <v>#DIV/0!</v>
      </c>
      <c r="AU659" s="1567" t="e">
        <f t="shared" si="2655"/>
        <v>#DIV/0!</v>
      </c>
      <c r="AV659" s="1567" t="e">
        <f t="shared" si="2655"/>
        <v>#DIV/0!</v>
      </c>
      <c r="AW659" s="1567" t="e">
        <f t="shared" si="2655"/>
        <v>#DIV/0!</v>
      </c>
      <c r="AX659" s="1567"/>
      <c r="AY659" s="1567"/>
      <c r="AZ659" s="1567"/>
      <c r="BA659" s="1567"/>
      <c r="BB659" s="1567"/>
      <c r="BC659" s="1567"/>
      <c r="BD659" s="1567"/>
      <c r="BE659" s="1567"/>
      <c r="BF659" s="1567"/>
      <c r="BG659" s="1567"/>
      <c r="BH659" s="1567"/>
      <c r="BI659" s="1567">
        <f t="shared" si="2656"/>
        <v>0.12962962962962954</v>
      </c>
      <c r="BJ659" s="1567">
        <f t="shared" si="2656"/>
        <v>-2.0491803278688492E-2</v>
      </c>
      <c r="BK659" s="1567">
        <f t="shared" si="2656"/>
        <v>1.4184100418410042</v>
      </c>
      <c r="BL659" s="1567">
        <f t="shared" si="2656"/>
        <v>-5.1903114186851229E-2</v>
      </c>
      <c r="BM659" s="1567">
        <f t="shared" si="2656"/>
        <v>-4.3795620437956151E-2</v>
      </c>
      <c r="BN659" s="1567">
        <f t="shared" si="2656"/>
        <v>-0.47265270290074313</v>
      </c>
      <c r="BO659" s="1567">
        <f t="shared" si="2656"/>
        <v>0.1739462648124539</v>
      </c>
      <c r="BP659" s="1567">
        <f t="shared" si="2656"/>
        <v>-1.0687021011613034</v>
      </c>
      <c r="BT659" s="1518"/>
      <c r="BU659" s="1518"/>
      <c r="BV659" s="1518"/>
      <c r="BW659" s="1518"/>
      <c r="BX659" s="1518"/>
      <c r="BY659" s="1518"/>
      <c r="BZ659" s="1518"/>
      <c r="CA659" s="1518"/>
      <c r="CB659" s="1518"/>
      <c r="CC659" s="1518"/>
    </row>
    <row r="660" spans="2:81" s="1535" customFormat="1" outlineLevel="1">
      <c r="B660" s="1569" t="str">
        <f t="shared" si="2653"/>
        <v>Total IC Revenue</v>
      </c>
      <c r="D660" s="1570"/>
      <c r="E660" s="1570"/>
      <c r="F660" s="1570"/>
      <c r="G660" s="1570"/>
      <c r="H660" s="1570"/>
      <c r="I660" s="1570"/>
      <c r="J660" s="1570"/>
      <c r="K660" s="1570"/>
      <c r="L660" s="1570">
        <f t="shared" si="2657"/>
        <v>0.13531244874528459</v>
      </c>
      <c r="M660" s="1570">
        <f t="shared" si="2657"/>
        <v>0.1534477656111275</v>
      </c>
      <c r="N660" s="1570">
        <f t="shared" si="2657"/>
        <v>0.17325408618127791</v>
      </c>
      <c r="O660" s="1570">
        <f t="shared" si="2657"/>
        <v>0.22807466121196618</v>
      </c>
      <c r="P660" s="1570">
        <f t="shared" si="2657"/>
        <v>0.23764807859000281</v>
      </c>
      <c r="Q660" s="1570">
        <f t="shared" si="2657"/>
        <v>0.2030788967286723</v>
      </c>
      <c r="R660" s="1570">
        <f t="shared" si="2657"/>
        <v>0.22201114488348539</v>
      </c>
      <c r="S660" s="1570">
        <f t="shared" si="2657"/>
        <v>0.18582136164896945</v>
      </c>
      <c r="T660" s="1570">
        <f t="shared" si="2657"/>
        <v>0.26590405042605347</v>
      </c>
      <c r="U660" s="1570">
        <f t="shared" si="2657"/>
        <v>0.26562166773299212</v>
      </c>
      <c r="V660" s="1570">
        <f t="shared" si="2658"/>
        <v>0.27277438076484617</v>
      </c>
      <c r="W660" s="1570">
        <f t="shared" si="2658"/>
        <v>0.17382143797735061</v>
      </c>
      <c r="X660" s="1570">
        <f t="shared" si="2658"/>
        <v>0.19741816505301979</v>
      </c>
      <c r="Y660" s="1570">
        <f t="shared" si="2658"/>
        <v>0.23017945909512183</v>
      </c>
      <c r="Z660" s="1570">
        <f t="shared" si="2658"/>
        <v>0.23100724696685937</v>
      </c>
      <c r="AA660" s="1570">
        <f t="shared" si="2658"/>
        <v>0.29945404233041661</v>
      </c>
      <c r="AB660" s="1570">
        <f t="shared" si="2658"/>
        <v>0.30632989373171116</v>
      </c>
      <c r="AC660" s="1570">
        <f t="shared" si="2658"/>
        <v>0.25518800082186144</v>
      </c>
      <c r="AD660" s="1570">
        <f t="shared" si="2658"/>
        <v>0.2601534594523085</v>
      </c>
      <c r="AE660" s="1570">
        <f t="shared" si="2658"/>
        <v>0.20339568345323733</v>
      </c>
      <c r="AF660" s="1570">
        <f t="shared" si="2659"/>
        <v>0.19812544211270922</v>
      </c>
      <c r="AG660" s="1570">
        <f t="shared" si="2659"/>
        <v>0.17356905112675292</v>
      </c>
      <c r="AH660" s="1570">
        <f t="shared" si="2667"/>
        <v>0.15904676919846716</v>
      </c>
      <c r="AI660" s="1570">
        <f t="shared" si="2667"/>
        <v>0.14749629346214554</v>
      </c>
      <c r="AJ660" s="1570">
        <f t="shared" si="2667"/>
        <v>0.19355473554735547</v>
      </c>
      <c r="AK660" s="1570">
        <f t="shared" si="2667"/>
        <v>0.20327320066951837</v>
      </c>
      <c r="AL660" s="1570">
        <f t="shared" si="2667"/>
        <v>0.20954666908201625</v>
      </c>
      <c r="AM660" s="1570">
        <f t="shared" si="2667"/>
        <v>0.1884716375609552</v>
      </c>
      <c r="AN660" s="1570">
        <f t="shared" si="2667"/>
        <v>0.18663037511193137</v>
      </c>
      <c r="AO660" s="1570">
        <f t="shared" si="2667"/>
        <v>0.19152543649878706</v>
      </c>
      <c r="AP660" s="1570">
        <f t="shared" si="2667"/>
        <v>0.19070985391558981</v>
      </c>
      <c r="AQ660" s="1570">
        <f t="shared" si="2667"/>
        <v>0.20422360633988013</v>
      </c>
      <c r="AR660" s="1570"/>
      <c r="AS660" s="1570"/>
      <c r="AT660" s="1570" t="e">
        <f t="shared" si="2655"/>
        <v>#DIV/0!</v>
      </c>
      <c r="AU660" s="1570" t="e">
        <f t="shared" si="2655"/>
        <v>#DIV/0!</v>
      </c>
      <c r="AV660" s="1570" t="e">
        <f t="shared" si="2655"/>
        <v>#DIV/0!</v>
      </c>
      <c r="AW660" s="1570" t="e">
        <f t="shared" si="2655"/>
        <v>#DIV/0!</v>
      </c>
      <c r="AX660" s="1570"/>
      <c r="AY660" s="1570"/>
      <c r="AZ660" s="1570"/>
      <c r="BA660" s="1570"/>
      <c r="BB660" s="1570"/>
      <c r="BC660" s="1570"/>
      <c r="BD660" s="1570"/>
      <c r="BE660" s="1570"/>
      <c r="BF660" s="1570"/>
      <c r="BG660" s="1570"/>
      <c r="BH660" s="1570"/>
      <c r="BI660" s="1570">
        <f t="shared" si="2656"/>
        <v>0.17557558288028607</v>
      </c>
      <c r="BJ660" s="1570">
        <f t="shared" si="2656"/>
        <v>0.2100003103758652</v>
      </c>
      <c r="BK660" s="1570">
        <f t="shared" si="2656"/>
        <v>0.24063101192766445</v>
      </c>
      <c r="BL660" s="1570">
        <f t="shared" si="2656"/>
        <v>0.24219493032295425</v>
      </c>
      <c r="BM660" s="1570">
        <f t="shared" si="2656"/>
        <v>0.25251331557922763</v>
      </c>
      <c r="BN660" s="1570">
        <f t="shared" si="2656"/>
        <v>0.16818381151081052</v>
      </c>
      <c r="BO660" s="1570">
        <f t="shared" si="2656"/>
        <v>0.19856211678250868</v>
      </c>
      <c r="BP660" s="1570">
        <f t="shared" si="2656"/>
        <v>0.19362824813109292</v>
      </c>
      <c r="BT660" s="1300"/>
      <c r="BU660" s="1300"/>
      <c r="BV660" s="1300"/>
      <c r="BW660" s="1300"/>
      <c r="BX660" s="1300"/>
      <c r="BY660" s="1300"/>
      <c r="BZ660" s="1300"/>
      <c r="CA660" s="1300"/>
      <c r="CB660" s="1300"/>
      <c r="CC660" s="1300"/>
    </row>
    <row r="661" spans="2:81" s="1518" customFormat="1" outlineLevel="1"/>
    <row r="662" spans="2:81" s="1519" customFormat="1" ht="11.45" outlineLevel="1">
      <c r="B662" s="1571" t="str">
        <f>+B530</f>
        <v>2-yr Stack Growth %</v>
      </c>
      <c r="AH662" s="1567"/>
      <c r="AI662" s="1567"/>
      <c r="AJ662" s="1567"/>
      <c r="AK662" s="1567"/>
      <c r="AL662" s="1567"/>
      <c r="AM662" s="1567"/>
      <c r="AN662" s="1567"/>
      <c r="AO662" s="1567"/>
      <c r="AP662" s="1567"/>
      <c r="AQ662" s="1567"/>
      <c r="BT662" s="1518"/>
      <c r="BU662" s="1518"/>
      <c r="BV662" s="1518"/>
      <c r="BW662" s="1518"/>
      <c r="BX662" s="1518"/>
      <c r="BY662" s="1518"/>
      <c r="BZ662" s="1518"/>
      <c r="CA662" s="1518"/>
      <c r="CB662" s="1518"/>
      <c r="CC662" s="1518"/>
    </row>
    <row r="663" spans="2:81" s="1540" customFormat="1" outlineLevel="1">
      <c r="B663" s="1573" t="str">
        <f t="shared" ref="B663:B664" si="2668">+B655</f>
        <v>Azure (old segmentation)</v>
      </c>
      <c r="D663" s="1565"/>
      <c r="E663" s="1565"/>
      <c r="F663" s="1565"/>
      <c r="G663" s="1565"/>
      <c r="H663" s="1565"/>
      <c r="I663" s="1565"/>
      <c r="J663" s="1565"/>
      <c r="K663" s="1565"/>
      <c r="L663" s="1565"/>
      <c r="M663" s="1565"/>
      <c r="N663" s="1565"/>
      <c r="O663" s="1565"/>
      <c r="P663" s="1565">
        <f>+P655+L655</f>
        <v>1.6608888132531012</v>
      </c>
      <c r="Q663" s="1565">
        <f t="shared" ref="Q663:AJ663" si="2669">+Q655+M655</f>
        <v>1.7673861990407624</v>
      </c>
      <c r="R663" s="1565">
        <f t="shared" si="2669"/>
        <v>1.6596643428114142</v>
      </c>
      <c r="S663" s="1565">
        <f t="shared" si="2669"/>
        <v>1.5355560782267708</v>
      </c>
      <c r="T663" s="1565">
        <f t="shared" si="2669"/>
        <v>1.3502932943355768</v>
      </c>
      <c r="U663" s="1565">
        <f t="shared" si="2669"/>
        <v>1.3959305898502412</v>
      </c>
      <c r="V663" s="1565">
        <f t="shared" si="2669"/>
        <v>1.3192289969690327</v>
      </c>
      <c r="W663" s="1565">
        <f t="shared" si="2669"/>
        <v>1.0949229490316619</v>
      </c>
      <c r="X663" s="1565">
        <f t="shared" si="2669"/>
        <v>1.0700152696248002</v>
      </c>
      <c r="Y663" s="1565">
        <f t="shared" si="2669"/>
        <v>1.1196254561529295</v>
      </c>
      <c r="Z663" s="1565">
        <f t="shared" si="2669"/>
        <v>1.0859675828554591</v>
      </c>
      <c r="AA663" s="1565">
        <f t="shared" si="2669"/>
        <v>0.97952376140529007</v>
      </c>
      <c r="AB663" s="1565">
        <f t="shared" si="2669"/>
        <v>0.97874925766854148</v>
      </c>
      <c r="AC663" s="1565">
        <f t="shared" si="2669"/>
        <v>0.95827049201300762</v>
      </c>
      <c r="AD663" s="1565">
        <f t="shared" si="2669"/>
        <v>0.95220065610902926</v>
      </c>
      <c r="AE663" s="1565">
        <f t="shared" si="2669"/>
        <v>0.90592029546761244</v>
      </c>
      <c r="AF663" s="1565">
        <f t="shared" si="2669"/>
        <v>0.84629082570389036</v>
      </c>
      <c r="AG663" s="1565">
        <f t="shared" si="2669"/>
        <v>0.77256541063831596</v>
      </c>
      <c r="AH663" s="1565">
        <f t="shared" si="2669"/>
        <v>0.72444483269312121</v>
      </c>
      <c r="AI663" s="1565">
        <f t="shared" si="2669"/>
        <v>0.65464350961882056</v>
      </c>
      <c r="AJ663" s="1565">
        <f t="shared" si="2669"/>
        <v>0.6367045370184603</v>
      </c>
      <c r="AK663" s="1565">
        <f t="shared" ref="AK663:AK668" si="2670">+AK655+AG655</f>
        <v>0.61382237484875835</v>
      </c>
      <c r="AL663" s="1565">
        <f t="shared" ref="AL663:AL668" si="2671">+AL655+AH655</f>
        <v>0.58000000000000007</v>
      </c>
      <c r="AM663" s="1565">
        <f t="shared" ref="AM663:AM668" si="2672">+AM655+AI655</f>
        <v>0.55000000000000004</v>
      </c>
      <c r="AN663" s="1565">
        <f t="shared" ref="AN663:AN668" si="2673">+AN655+AJ655</f>
        <v>0.58203173281071141</v>
      </c>
      <c r="AO663" s="1565">
        <f t="shared" ref="AO663:AO668" si="2674">+AO655+AK655</f>
        <v>0.58871393865242028</v>
      </c>
      <c r="AP663" s="1565">
        <f t="shared" ref="AP663:AP668" si="2675">+AP655+AL655</f>
        <v>0.59574626103812633</v>
      </c>
      <c r="AQ663" s="1565">
        <f t="shared" ref="AQ663:AQ668" si="2676">+AQ655+AM655</f>
        <v>0.5809862153182721</v>
      </c>
      <c r="AR663" s="1565"/>
      <c r="AS663" s="1565"/>
      <c r="AT663" s="1565" t="e">
        <f t="shared" ref="AT663:AT668" si="2677">+AT655/AS655-1</f>
        <v>#DIV/0!</v>
      </c>
      <c r="AU663" s="1565" t="e">
        <f t="shared" ref="AU663:AU668" si="2678">+AU655/AT655-1</f>
        <v>#DIV/0!</v>
      </c>
      <c r="AV663" s="1565" t="e">
        <f t="shared" ref="AV663:AV668" si="2679">+AV655/AU655-1</f>
        <v>#DIV/0!</v>
      </c>
      <c r="AW663" s="1565" t="e">
        <f t="shared" ref="AW663:AW668" si="2680">+AW655/AV655-1</f>
        <v>#DIV/0!</v>
      </c>
      <c r="AX663" s="1565"/>
      <c r="AY663" s="1565"/>
      <c r="AZ663" s="1565"/>
      <c r="BA663" s="1565"/>
      <c r="BB663" s="1565"/>
      <c r="BC663" s="1565"/>
      <c r="BD663" s="1565"/>
      <c r="BE663" s="1565"/>
      <c r="BF663" s="1565"/>
      <c r="BG663" s="1565"/>
      <c r="BH663" s="1565"/>
      <c r="BI663" s="1565"/>
      <c r="BJ663" s="1565">
        <f t="shared" ref="BJ663:BL663" si="2681">+BJ655+BI655</f>
        <v>1.6427299559822668</v>
      </c>
      <c r="BK663" s="1565">
        <f t="shared" si="2681"/>
        <v>1.2717236742093345</v>
      </c>
      <c r="BL663" s="1565">
        <f t="shared" si="2681"/>
        <v>1.0571486392460483</v>
      </c>
      <c r="BM663" s="1565">
        <f>+BM655+BL655</f>
        <v>0.94555102418973203</v>
      </c>
      <c r="BN663" s="1565">
        <f t="shared" ref="BN663:BO663" si="2682">+BN655+BM655</f>
        <v>0.74177070259789546</v>
      </c>
      <c r="BO663" s="1565">
        <f t="shared" si="2682"/>
        <v>0.59190625260008267</v>
      </c>
      <c r="BP663" s="1565">
        <f t="shared" ref="BP663:BP668" si="2683">+BP655+BO655</f>
        <v>0.58684951614467451</v>
      </c>
      <c r="BT663" s="1518"/>
      <c r="BU663" s="1518"/>
      <c r="BV663" s="1518"/>
      <c r="BW663" s="1518"/>
      <c r="BX663" s="1518"/>
      <c r="BY663" s="1518"/>
      <c r="BZ663" s="1518"/>
      <c r="CA663" s="1518"/>
      <c r="CB663" s="1518"/>
      <c r="CC663" s="1518"/>
    </row>
    <row r="664" spans="2:81" s="1542" customFormat="1" ht="11.45" outlineLevel="1">
      <c r="B664" s="1573" t="str">
        <f t="shared" si="2668"/>
        <v>Server Products and Licensing</v>
      </c>
      <c r="D664" s="1567"/>
      <c r="E664" s="1567"/>
      <c r="F664" s="1567"/>
      <c r="G664" s="1567"/>
      <c r="H664" s="1567"/>
      <c r="I664" s="1567"/>
      <c r="J664" s="1567"/>
      <c r="K664" s="1567"/>
      <c r="L664" s="1567"/>
      <c r="M664" s="1567"/>
      <c r="N664" s="1567"/>
      <c r="O664" s="1567"/>
      <c r="P664" s="1567">
        <f t="shared" ref="P664:AJ664" si="2684">+P656+L656</f>
        <v>0.11821464575938712</v>
      </c>
      <c r="Q664" s="1567">
        <f t="shared" si="2684"/>
        <v>7.0424966811221346E-2</v>
      </c>
      <c r="R664" s="1567">
        <f t="shared" si="2684"/>
        <v>0.10053209467466928</v>
      </c>
      <c r="S664" s="1567">
        <f t="shared" si="2684"/>
        <v>0.1282246954017261</v>
      </c>
      <c r="T664" s="1567">
        <f t="shared" si="2684"/>
        <v>0.22077432252171003</v>
      </c>
      <c r="U664" s="1567">
        <f t="shared" si="2684"/>
        <v>0.14092228385829153</v>
      </c>
      <c r="V664" s="1567">
        <f t="shared" si="2684"/>
        <v>0.17500789346774992</v>
      </c>
      <c r="W664" s="1567">
        <f t="shared" si="2684"/>
        <v>2.7876353325031356E-2</v>
      </c>
      <c r="X664" s="1567">
        <f t="shared" si="2684"/>
        <v>0.10845077074118437</v>
      </c>
      <c r="Y664" s="1567">
        <f t="shared" si="2684"/>
        <v>0.13726891400999497</v>
      </c>
      <c r="Z664" s="1567">
        <f t="shared" si="2684"/>
        <v>0.12353781642284734</v>
      </c>
      <c r="AA664" s="1567">
        <f t="shared" si="2684"/>
        <v>0.14757168841643631</v>
      </c>
      <c r="AB664" s="1567">
        <f t="shared" si="2684"/>
        <v>0.12843689368631295</v>
      </c>
      <c r="AC664" s="1567">
        <f t="shared" si="2684"/>
        <v>9.7934708415729599E-2</v>
      </c>
      <c r="AD664" s="1567">
        <f t="shared" si="2684"/>
        <v>6.8741417642284253E-2</v>
      </c>
      <c r="AE664" s="1567">
        <f t="shared" si="2684"/>
        <v>0.12866894597549872</v>
      </c>
      <c r="AF664" s="1567">
        <f t="shared" si="2684"/>
        <v>0.12562646317250437</v>
      </c>
      <c r="AG664" s="1567">
        <f t="shared" si="2684"/>
        <v>4.2896970669666357E-2</v>
      </c>
      <c r="AH664" s="1567">
        <f t="shared" si="2684"/>
        <v>2.9190386025024235E-2</v>
      </c>
      <c r="AI664" s="1567">
        <f t="shared" si="2684"/>
        <v>-3.3461919019854951E-2</v>
      </c>
      <c r="AJ664" s="1567">
        <f t="shared" si="2684"/>
        <v>3.5955472357593714E-3</v>
      </c>
      <c r="AK664" s="1567">
        <f t="shared" si="2670"/>
        <v>1.2441512389148007E-2</v>
      </c>
      <c r="AL664" s="1567">
        <f t="shared" si="2671"/>
        <v>3.9999999999999994E-2</v>
      </c>
      <c r="AM664" s="1567">
        <f t="shared" si="2672"/>
        <v>0.01</v>
      </c>
      <c r="AN664" s="1567">
        <f t="shared" si="2673"/>
        <v>0.01</v>
      </c>
      <c r="AO664" s="1567">
        <f t="shared" si="2674"/>
        <v>1.0000000000000002E-2</v>
      </c>
      <c r="AP664" s="1567">
        <f t="shared" si="2675"/>
        <v>1.0000000000000002E-2</v>
      </c>
      <c r="AQ664" s="1567">
        <f t="shared" si="2676"/>
        <v>1.0000000000000002E-2</v>
      </c>
      <c r="AR664" s="1567"/>
      <c r="AS664" s="1567"/>
      <c r="AT664" s="1567" t="e">
        <f t="shared" si="2677"/>
        <v>#DIV/0!</v>
      </c>
      <c r="AU664" s="1567" t="e">
        <f t="shared" si="2678"/>
        <v>#DIV/0!</v>
      </c>
      <c r="AV664" s="1567" t="e">
        <f t="shared" si="2679"/>
        <v>#DIV/0!</v>
      </c>
      <c r="AW664" s="1567" t="e">
        <f t="shared" si="2680"/>
        <v>#DIV/0!</v>
      </c>
      <c r="AX664" s="1567"/>
      <c r="AY664" s="1567"/>
      <c r="AZ664" s="1567"/>
      <c r="BA664" s="1567"/>
      <c r="BB664" s="1567"/>
      <c r="BC664" s="1567"/>
      <c r="BD664" s="1567"/>
      <c r="BE664" s="1567"/>
      <c r="BF664" s="1567"/>
      <c r="BG664" s="1567"/>
      <c r="BH664" s="1567"/>
      <c r="BI664" s="1567"/>
      <c r="BJ664" s="1567">
        <f t="shared" ref="BJ664:BL664" si="2685">+BJ656+BI656</f>
        <v>0.10409155723024943</v>
      </c>
      <c r="BK664" s="1567">
        <f t="shared" si="2685"/>
        <v>0.13339817372568286</v>
      </c>
      <c r="BL664" s="1567">
        <f t="shared" si="2685"/>
        <v>0.12746579595385521</v>
      </c>
      <c r="BM664" s="1567">
        <f t="shared" ref="BM664:BO664" si="2686">+BM656+BL656</f>
        <v>0.10275525592063461</v>
      </c>
      <c r="BN664" s="1567">
        <f t="shared" si="2686"/>
        <v>3.4896059917775002E-2</v>
      </c>
      <c r="BO664" s="1567">
        <f t="shared" si="2686"/>
        <v>1.627722969531975E-2</v>
      </c>
      <c r="BP664" s="1567">
        <f t="shared" si="2683"/>
        <v>9.7456725578937142E-3</v>
      </c>
      <c r="BT664" s="1518"/>
      <c r="BU664" s="1518"/>
      <c r="BV664" s="1518"/>
      <c r="BW664" s="1518"/>
      <c r="BX664" s="1518"/>
      <c r="BY664" s="1518"/>
      <c r="BZ664" s="1518"/>
      <c r="CA664" s="1518"/>
      <c r="CB664" s="1518"/>
      <c r="CC664" s="1518"/>
    </row>
    <row r="665" spans="2:81" s="1540" customFormat="1" outlineLevel="1">
      <c r="B665" s="1574" t="str">
        <f>+B657</f>
        <v>Server Products and Cloud Services</v>
      </c>
      <c r="D665" s="1565"/>
      <c r="E665" s="1565"/>
      <c r="F665" s="1565"/>
      <c r="G665" s="1565"/>
      <c r="H665" s="1565"/>
      <c r="I665" s="1565"/>
      <c r="J665" s="1565"/>
      <c r="K665" s="1565"/>
      <c r="L665" s="1565"/>
      <c r="M665" s="1565"/>
      <c r="N665" s="1565"/>
      <c r="O665" s="1565"/>
      <c r="P665" s="1565">
        <f t="shared" ref="P665:AJ665" si="2687">+P657+L657</f>
        <v>0.45631162220229249</v>
      </c>
      <c r="Q665" s="1565">
        <f t="shared" si="2687"/>
        <v>0.41822083358591677</v>
      </c>
      <c r="R665" s="1565">
        <f t="shared" si="2687"/>
        <v>0.46705878896942687</v>
      </c>
      <c r="S665" s="1565">
        <f t="shared" si="2687"/>
        <v>0.47857027831084875</v>
      </c>
      <c r="T665" s="1565">
        <f t="shared" si="2687"/>
        <v>0.58655863683853848</v>
      </c>
      <c r="U665" s="1565">
        <f t="shared" si="2687"/>
        <v>0.53566930910487365</v>
      </c>
      <c r="V665" s="1565">
        <f t="shared" si="2687"/>
        <v>0.57220866434316919</v>
      </c>
      <c r="W665" s="1565">
        <f t="shared" si="2687"/>
        <v>0.40752067784076007</v>
      </c>
      <c r="X665" s="1565">
        <f t="shared" si="2687"/>
        <v>0.52025881660374163</v>
      </c>
      <c r="Y665" s="1565">
        <f t="shared" si="2687"/>
        <v>0.55673694053470668</v>
      </c>
      <c r="Z665" s="1565">
        <f t="shared" si="2687"/>
        <v>0.56134273450781325</v>
      </c>
      <c r="AA665" s="1565">
        <f t="shared" si="2687"/>
        <v>0.52652970334684701</v>
      </c>
      <c r="AB665" s="1565">
        <f t="shared" si="2687"/>
        <v>0.56395421810759583</v>
      </c>
      <c r="AC665" s="1565">
        <f t="shared" si="2687"/>
        <v>0.54491310650489888</v>
      </c>
      <c r="AD665" s="1565">
        <f t="shared" si="2687"/>
        <v>0.54908914853487789</v>
      </c>
      <c r="AE665" s="1565">
        <f t="shared" si="2687"/>
        <v>0.55334522989539359</v>
      </c>
      <c r="AF665" s="1565">
        <f t="shared" si="2687"/>
        <v>0.56046103955747295</v>
      </c>
      <c r="AG665" s="1565">
        <f t="shared" si="2687"/>
        <v>0.48305133701054492</v>
      </c>
      <c r="AH665" s="1565">
        <f t="shared" si="2687"/>
        <v>0.46489752772484305</v>
      </c>
      <c r="AI665" s="1565">
        <f t="shared" si="2687"/>
        <v>0.38649157055460592</v>
      </c>
      <c r="AJ665" s="1565">
        <f t="shared" si="2687"/>
        <v>0.42474156584628742</v>
      </c>
      <c r="AK665" s="1565">
        <f t="shared" si="2670"/>
        <v>0.41726258883687017</v>
      </c>
      <c r="AL665" s="1565">
        <f t="shared" si="2671"/>
        <v>0.41586111984427165</v>
      </c>
      <c r="AM665" s="1565">
        <f t="shared" si="2672"/>
        <v>0.38102304108668039</v>
      </c>
      <c r="AN665" s="1565">
        <f t="shared" si="2673"/>
        <v>0.42725053198411511</v>
      </c>
      <c r="AO665" s="1565">
        <f t="shared" si="2674"/>
        <v>0.43390901940075577</v>
      </c>
      <c r="AP665" s="1565">
        <f t="shared" si="2675"/>
        <v>0.44832544964971865</v>
      </c>
      <c r="AQ665" s="1565">
        <f t="shared" si="2676"/>
        <v>0.43080673769666067</v>
      </c>
      <c r="AR665" s="1565"/>
      <c r="AS665" s="1565"/>
      <c r="AT665" s="1565" t="e">
        <f t="shared" si="2677"/>
        <v>#DIV/0!</v>
      </c>
      <c r="AU665" s="1565" t="e">
        <f t="shared" si="2678"/>
        <v>#DIV/0!</v>
      </c>
      <c r="AV665" s="1565" t="e">
        <f t="shared" si="2679"/>
        <v>#DIV/0!</v>
      </c>
      <c r="AW665" s="1565" t="e">
        <f t="shared" si="2680"/>
        <v>#DIV/0!</v>
      </c>
      <c r="AX665" s="1565"/>
      <c r="AY665" s="1565"/>
      <c r="AZ665" s="1565"/>
      <c r="BA665" s="1565"/>
      <c r="BB665" s="1565"/>
      <c r="BC665" s="1565"/>
      <c r="BD665" s="1565"/>
      <c r="BE665" s="1565"/>
      <c r="BF665" s="1565"/>
      <c r="BG665" s="1565"/>
      <c r="BH665" s="1565"/>
      <c r="BI665" s="1565"/>
      <c r="BJ665" s="1565">
        <f t="shared" ref="BJ665:BL665" si="2688">+BJ657+BI657</f>
        <v>0.45543580245372062</v>
      </c>
      <c r="BK665" s="1565">
        <f t="shared" si="2688"/>
        <v>0.51693631475299395</v>
      </c>
      <c r="BL665" s="1565">
        <f t="shared" si="2688"/>
        <v>0.53934884226241464</v>
      </c>
      <c r="BM665" s="1565">
        <f t="shared" ref="BM665:BO665" si="2689">+BM657+BL657</f>
        <v>0.55102597869241898</v>
      </c>
      <c r="BN665" s="1565">
        <f t="shared" si="2689"/>
        <v>0.4671347759841098</v>
      </c>
      <c r="BO665" s="1565">
        <f t="shared" si="2689"/>
        <v>0.40837308125968597</v>
      </c>
      <c r="BP665" s="1565">
        <f t="shared" si="2683"/>
        <v>0.43509688999671692</v>
      </c>
      <c r="BT665" s="1518"/>
      <c r="BU665" s="1518"/>
      <c r="BV665" s="1518"/>
      <c r="BW665" s="1518"/>
      <c r="BX665" s="1518"/>
      <c r="BY665" s="1518"/>
      <c r="BZ665" s="1518"/>
      <c r="CA665" s="1518"/>
      <c r="CB665" s="1518"/>
      <c r="CC665" s="1518"/>
    </row>
    <row r="666" spans="2:81" s="1540" customFormat="1" outlineLevel="1">
      <c r="B666" s="1573" t="str">
        <f>+B658</f>
        <v>Enterprise Services</v>
      </c>
      <c r="D666" s="1565"/>
      <c r="E666" s="1565"/>
      <c r="F666" s="1565"/>
      <c r="G666" s="1565"/>
      <c r="H666" s="1565"/>
      <c r="I666" s="1565"/>
      <c r="J666" s="1565"/>
      <c r="K666" s="1565"/>
      <c r="L666" s="1565"/>
      <c r="M666" s="1565"/>
      <c r="N666" s="1565"/>
      <c r="O666" s="1565"/>
      <c r="P666" s="1565">
        <f t="shared" ref="P666:AJ666" si="2690">+P658+L658</f>
        <v>6.9430291677096356E-2</v>
      </c>
      <c r="Q666" s="1565">
        <f t="shared" si="2690"/>
        <v>0.10661156814756656</v>
      </c>
      <c r="R666" s="1565">
        <f t="shared" si="2690"/>
        <v>0.1122393333226499</v>
      </c>
      <c r="S666" s="1565">
        <f t="shared" si="2690"/>
        <v>0.12102945086865136</v>
      </c>
      <c r="T666" s="1565">
        <f t="shared" si="2690"/>
        <v>0.12313941497522585</v>
      </c>
      <c r="U666" s="1565">
        <f t="shared" si="2690"/>
        <v>0.1197593734179101</v>
      </c>
      <c r="V666" s="1565">
        <f t="shared" si="2690"/>
        <v>9.4608625815426395E-2</v>
      </c>
      <c r="W666" s="1565">
        <f t="shared" si="2690"/>
        <v>4.3650579250246402E-2</v>
      </c>
      <c r="X666" s="1565">
        <f t="shared" si="2690"/>
        <v>0.12506416694565337</v>
      </c>
      <c r="Y666" s="1565">
        <f t="shared" si="2690"/>
        <v>0.111317893575958</v>
      </c>
      <c r="Z666" s="1565">
        <f t="shared" si="2690"/>
        <v>0.16311714532386912</v>
      </c>
      <c r="AA666" s="1565">
        <f t="shared" si="2690"/>
        <v>0.12170458732409872</v>
      </c>
      <c r="AB666" s="1565">
        <f t="shared" si="2690"/>
        <v>0.15362145213934242</v>
      </c>
      <c r="AC666" s="1565">
        <f t="shared" si="2690"/>
        <v>0.12700505793568873</v>
      </c>
      <c r="AD666" s="1565">
        <f t="shared" si="2690"/>
        <v>0.15291042112231135</v>
      </c>
      <c r="AE666" s="1565">
        <f t="shared" si="2690"/>
        <v>0.16872987805211359</v>
      </c>
      <c r="AF666" s="1565">
        <f t="shared" si="2690"/>
        <v>0.14153404639432821</v>
      </c>
      <c r="AG666" s="1565">
        <f t="shared" si="2690"/>
        <v>9.6909531923294212E-2</v>
      </c>
      <c r="AH666" s="1565">
        <f t="shared" si="2690"/>
        <v>0.10880754298391565</v>
      </c>
      <c r="AI666" s="1565">
        <f t="shared" si="2690"/>
        <v>9.1991150442477937E-2</v>
      </c>
      <c r="AJ666" s="1565">
        <f t="shared" si="2690"/>
        <v>5.745951982132879E-2</v>
      </c>
      <c r="AK666" s="1565">
        <f t="shared" si="2670"/>
        <v>3.1393307734503655E-2</v>
      </c>
      <c r="AL666" s="1565">
        <f t="shared" si="2671"/>
        <v>-0.03</v>
      </c>
      <c r="AM666" s="1565">
        <f t="shared" si="2672"/>
        <v>-3.0000000000000006E-2</v>
      </c>
      <c r="AN666" s="1565">
        <f t="shared" si="2673"/>
        <v>-1.9999999999999997E-2</v>
      </c>
      <c r="AO666" s="1565">
        <f t="shared" si="2674"/>
        <v>-1.9999999999999997E-2</v>
      </c>
      <c r="AP666" s="1565">
        <f t="shared" si="2675"/>
        <v>-0.09</v>
      </c>
      <c r="AQ666" s="1565">
        <f t="shared" si="2676"/>
        <v>-7.0000000000000007E-2</v>
      </c>
      <c r="AR666" s="1565"/>
      <c r="AS666" s="1565"/>
      <c r="AT666" s="1565" t="e">
        <f t="shared" si="2677"/>
        <v>#DIV/0!</v>
      </c>
      <c r="AU666" s="1565" t="e">
        <f t="shared" si="2678"/>
        <v>#DIV/0!</v>
      </c>
      <c r="AV666" s="1565" t="e">
        <f t="shared" si="2679"/>
        <v>#DIV/0!</v>
      </c>
      <c r="AW666" s="1565" t="e">
        <f t="shared" si="2680"/>
        <v>#DIV/0!</v>
      </c>
      <c r="AX666" s="1565"/>
      <c r="AY666" s="1565"/>
      <c r="AZ666" s="1565"/>
      <c r="BA666" s="1565"/>
      <c r="BB666" s="1565"/>
      <c r="BC666" s="1565"/>
      <c r="BD666" s="1565"/>
      <c r="BE666" s="1565"/>
      <c r="BF666" s="1565"/>
      <c r="BG666" s="1565"/>
      <c r="BH666" s="1565"/>
      <c r="BI666" s="1565"/>
      <c r="BJ666" s="1565">
        <f t="shared" ref="BJ666:BL666" si="2691">+BJ658+BI658</f>
        <v>0.1024077263747627</v>
      </c>
      <c r="BK666" s="1565">
        <f t="shared" si="2691"/>
        <v>9.4092093316973102E-2</v>
      </c>
      <c r="BL666" s="1565">
        <f t="shared" si="2691"/>
        <v>0.12985854110488604</v>
      </c>
      <c r="BM666" s="1565">
        <f t="shared" ref="BM666:BO666" si="2692">+BM658+BL658</f>
        <v>0.15015023140416273</v>
      </c>
      <c r="BN666" s="1565">
        <f t="shared" si="2692"/>
        <v>0.10916012878187775</v>
      </c>
      <c r="BO666" s="1565">
        <f t="shared" si="2692"/>
        <v>5.8707318060763347E-3</v>
      </c>
      <c r="BP666" s="1565">
        <f t="shared" si="2683"/>
        <v>-5.1684740752499736E-2</v>
      </c>
      <c r="BT666" s="1518"/>
      <c r="BU666" s="1518"/>
      <c r="BV666" s="1518"/>
      <c r="BW666" s="1518"/>
      <c r="BX666" s="1518"/>
      <c r="BY666" s="1518"/>
      <c r="BZ666" s="1518"/>
      <c r="CA666" s="1518"/>
      <c r="CB666" s="1518"/>
      <c r="CC666" s="1518"/>
    </row>
    <row r="667" spans="2:81" s="1541" customFormat="1" ht="11.45" outlineLevel="1">
      <c r="B667" s="1573" t="str">
        <f>+B659</f>
        <v>Other</v>
      </c>
      <c r="D667" s="1567"/>
      <c r="E667" s="1567"/>
      <c r="F667" s="1567"/>
      <c r="G667" s="1567"/>
      <c r="H667" s="1567"/>
      <c r="I667" s="1567"/>
      <c r="J667" s="1567"/>
      <c r="K667" s="1567"/>
      <c r="L667" s="1567"/>
      <c r="M667" s="1567"/>
      <c r="N667" s="1567"/>
      <c r="O667" s="1567"/>
      <c r="P667" s="1567">
        <f t="shared" ref="P667:AJ667" si="2693">+P659+L659</f>
        <v>0.11046312178387652</v>
      </c>
      <c r="Q667" s="1567">
        <f t="shared" si="2693"/>
        <v>0.19105812220566332</v>
      </c>
      <c r="R667" s="1567">
        <f t="shared" si="2693"/>
        <v>0.12375000000000003</v>
      </c>
      <c r="S667" s="1567">
        <f t="shared" si="2693"/>
        <v>4.094827586206895E-2</v>
      </c>
      <c r="T667" s="1567">
        <f t="shared" si="2693"/>
        <v>0.90323574730354395</v>
      </c>
      <c r="U667" s="1567">
        <f t="shared" si="2693"/>
        <v>1.172876304023845</v>
      </c>
      <c r="V667" s="1567">
        <f t="shared" si="2693"/>
        <v>1.769675925925926</v>
      </c>
      <c r="W667" s="1567">
        <f t="shared" si="2693"/>
        <v>1.8374999999999999</v>
      </c>
      <c r="X667" s="1567">
        <f t="shared" si="2693"/>
        <v>1.256434400502197</v>
      </c>
      <c r="Y667" s="1567">
        <f t="shared" si="2693"/>
        <v>1.3735177865612647</v>
      </c>
      <c r="Z667" s="1567">
        <f t="shared" si="2693"/>
        <v>1.6284575714955463</v>
      </c>
      <c r="AA667" s="1567">
        <f t="shared" si="2693"/>
        <v>1.5091954022988505</v>
      </c>
      <c r="AB667" s="1567">
        <f t="shared" si="2693"/>
        <v>0.10125060125060115</v>
      </c>
      <c r="AC667" s="1567">
        <f t="shared" si="2693"/>
        <v>-2.8125767624662346E-2</v>
      </c>
      <c r="AD667" s="1567">
        <f t="shared" si="2693"/>
        <v>-0.19836925533128058</v>
      </c>
      <c r="AE667" s="1567">
        <f t="shared" si="2693"/>
        <v>0.26957276078941672</v>
      </c>
      <c r="AF667" s="1567">
        <f t="shared" si="2693"/>
        <v>0.10801698301698304</v>
      </c>
      <c r="AG667" s="1567">
        <f t="shared" si="2693"/>
        <v>-0.88450495508011484</v>
      </c>
      <c r="AH667" s="1567">
        <f t="shared" si="2693"/>
        <v>-0.36908699308796966</v>
      </c>
      <c r="AI667" s="1567">
        <f t="shared" si="2693"/>
        <v>-0.28025510215242799</v>
      </c>
      <c r="AJ667" s="1567">
        <f t="shared" si="2693"/>
        <v>0.87725606608158024</v>
      </c>
      <c r="AK667" s="1567">
        <f t="shared" si="2670"/>
        <v>-0.20242433795709958</v>
      </c>
      <c r="AL667" s="1567">
        <f t="shared" si="2671"/>
        <v>-0.80750037613670644</v>
      </c>
      <c r="AM667" s="1567">
        <f t="shared" si="2672"/>
        <v>-2.421036729807819</v>
      </c>
      <c r="AN667" s="1567">
        <f t="shared" si="2673"/>
        <v>-0.57899596964782929</v>
      </c>
      <c r="AO667" s="1567">
        <f t="shared" si="2674"/>
        <v>-0.70521213888168299</v>
      </c>
      <c r="AP667" s="1567">
        <f t="shared" si="2675"/>
        <v>-1.4709087678632171</v>
      </c>
      <c r="AQ667" s="1567">
        <f t="shared" si="2676"/>
        <v>-1.2620967919232708</v>
      </c>
      <c r="AR667" s="1567"/>
      <c r="AS667" s="1567"/>
      <c r="AT667" s="1567" t="e">
        <f t="shared" si="2677"/>
        <v>#DIV/0!</v>
      </c>
      <c r="AU667" s="1567" t="e">
        <f t="shared" si="2678"/>
        <v>#DIV/0!</v>
      </c>
      <c r="AV667" s="1567" t="e">
        <f t="shared" si="2679"/>
        <v>#DIV/0!</v>
      </c>
      <c r="AW667" s="1567" t="e">
        <f t="shared" si="2680"/>
        <v>#DIV/0!</v>
      </c>
      <c r="AX667" s="1567"/>
      <c r="AY667" s="1567"/>
      <c r="AZ667" s="1567"/>
      <c r="BA667" s="1567"/>
      <c r="BB667" s="1567"/>
      <c r="BC667" s="1567"/>
      <c r="BD667" s="1567"/>
      <c r="BE667" s="1567"/>
      <c r="BF667" s="1567"/>
      <c r="BG667" s="1567"/>
      <c r="BH667" s="1567"/>
      <c r="BI667" s="1567"/>
      <c r="BJ667" s="1567">
        <f t="shared" ref="BJ667:BL667" si="2694">+BJ659+BI659</f>
        <v>0.10913782635094105</v>
      </c>
      <c r="BK667" s="1567">
        <f t="shared" si="2694"/>
        <v>1.3979182385623157</v>
      </c>
      <c r="BL667" s="1567">
        <f t="shared" si="2694"/>
        <v>1.3665069276541528</v>
      </c>
      <c r="BM667" s="1567">
        <f t="shared" ref="BM667:BO667" si="2695">+BM659+BL659</f>
        <v>-9.569873462480738E-2</v>
      </c>
      <c r="BN667" s="1567">
        <f t="shared" si="2695"/>
        <v>-0.51644832333869928</v>
      </c>
      <c r="BO667" s="1567">
        <f t="shared" si="2695"/>
        <v>-0.29870643808828923</v>
      </c>
      <c r="BP667" s="1567">
        <f t="shared" si="2683"/>
        <v>-0.89475583634884948</v>
      </c>
      <c r="BT667" s="1518"/>
      <c r="BU667" s="1518"/>
      <c r="BV667" s="1518"/>
      <c r="BW667" s="1518"/>
      <c r="BX667" s="1518"/>
      <c r="BY667" s="1518"/>
      <c r="BZ667" s="1518"/>
      <c r="CA667" s="1518"/>
      <c r="CB667" s="1518"/>
      <c r="CC667" s="1518"/>
    </row>
    <row r="668" spans="2:81" s="1543" customFormat="1" outlineLevel="1">
      <c r="B668" s="1575" t="str">
        <f>+B660</f>
        <v>Total IC Revenue</v>
      </c>
      <c r="D668" s="1570"/>
      <c r="E668" s="1570"/>
      <c r="F668" s="1570"/>
      <c r="G668" s="1570"/>
      <c r="H668" s="1570"/>
      <c r="I668" s="1570"/>
      <c r="J668" s="1570"/>
      <c r="K668" s="1570"/>
      <c r="L668" s="1570"/>
      <c r="M668" s="1570"/>
      <c r="N668" s="1570"/>
      <c r="O668" s="1570"/>
      <c r="P668" s="1570">
        <f t="shared" ref="P668:AJ668" si="2696">+P660+L660</f>
        <v>0.3729605273352874</v>
      </c>
      <c r="Q668" s="1570">
        <f t="shared" si="2696"/>
        <v>0.35652666233979979</v>
      </c>
      <c r="R668" s="1570">
        <f t="shared" si="2696"/>
        <v>0.3952652310647633</v>
      </c>
      <c r="S668" s="1570">
        <f t="shared" si="2696"/>
        <v>0.41389602286093563</v>
      </c>
      <c r="T668" s="1570">
        <f t="shared" si="2696"/>
        <v>0.50355212901605628</v>
      </c>
      <c r="U668" s="1570">
        <f t="shared" si="2696"/>
        <v>0.46870056446166442</v>
      </c>
      <c r="V668" s="1570">
        <f t="shared" si="2696"/>
        <v>0.49478552564833156</v>
      </c>
      <c r="W668" s="1570">
        <f t="shared" si="2696"/>
        <v>0.35964279962632006</v>
      </c>
      <c r="X668" s="1570">
        <f t="shared" si="2696"/>
        <v>0.46332221547907326</v>
      </c>
      <c r="Y668" s="1570">
        <f t="shared" si="2696"/>
        <v>0.49580112682811395</v>
      </c>
      <c r="Z668" s="1570">
        <f t="shared" si="2696"/>
        <v>0.50378162773170554</v>
      </c>
      <c r="AA668" s="1570">
        <f t="shared" si="2696"/>
        <v>0.47327548030776723</v>
      </c>
      <c r="AB668" s="1570">
        <f t="shared" si="2696"/>
        <v>0.50374805878473095</v>
      </c>
      <c r="AC668" s="1570">
        <f t="shared" si="2696"/>
        <v>0.48536745991698327</v>
      </c>
      <c r="AD668" s="1570">
        <f t="shared" si="2696"/>
        <v>0.49116070641916787</v>
      </c>
      <c r="AE668" s="1570">
        <f t="shared" si="2696"/>
        <v>0.50284972578365394</v>
      </c>
      <c r="AF668" s="1570">
        <f t="shared" si="2696"/>
        <v>0.50445533584442037</v>
      </c>
      <c r="AG668" s="1570">
        <f t="shared" si="2696"/>
        <v>0.42875705194861435</v>
      </c>
      <c r="AH668" s="1570">
        <f t="shared" si="2696"/>
        <v>0.41920022865077566</v>
      </c>
      <c r="AI668" s="1570">
        <f t="shared" si="2696"/>
        <v>0.35089197691538287</v>
      </c>
      <c r="AJ668" s="1570">
        <f t="shared" si="2696"/>
        <v>0.39168017766006469</v>
      </c>
      <c r="AK668" s="1570">
        <f t="shared" si="2670"/>
        <v>0.37684225179627129</v>
      </c>
      <c r="AL668" s="1570">
        <f t="shared" si="2671"/>
        <v>0.36859343828048341</v>
      </c>
      <c r="AM668" s="1570">
        <f t="shared" si="2672"/>
        <v>0.33596793102310074</v>
      </c>
      <c r="AN668" s="1570">
        <f t="shared" si="2673"/>
        <v>0.38018511065928684</v>
      </c>
      <c r="AO668" s="1570">
        <f t="shared" si="2674"/>
        <v>0.39479863716830543</v>
      </c>
      <c r="AP668" s="1570">
        <f t="shared" si="2675"/>
        <v>0.40025652299760606</v>
      </c>
      <c r="AQ668" s="1570">
        <f t="shared" si="2676"/>
        <v>0.39269524390083532</v>
      </c>
      <c r="AR668" s="1570"/>
      <c r="AS668" s="1570"/>
      <c r="AT668" s="1570" t="e">
        <f t="shared" si="2677"/>
        <v>#DIV/0!</v>
      </c>
      <c r="AU668" s="1570" t="e">
        <f t="shared" si="2678"/>
        <v>#DIV/0!</v>
      </c>
      <c r="AV668" s="1570" t="e">
        <f t="shared" si="2679"/>
        <v>#DIV/0!</v>
      </c>
      <c r="AW668" s="1570" t="e">
        <f t="shared" si="2680"/>
        <v>#DIV/0!</v>
      </c>
      <c r="AX668" s="1570"/>
      <c r="AY668" s="1570"/>
      <c r="AZ668" s="1570"/>
      <c r="BA668" s="1570"/>
      <c r="BB668" s="1570"/>
      <c r="BC668" s="1570"/>
      <c r="BD668" s="1570"/>
      <c r="BE668" s="1570"/>
      <c r="BF668" s="1570"/>
      <c r="BG668" s="1570"/>
      <c r="BH668" s="1570"/>
      <c r="BI668" s="1570"/>
      <c r="BJ668" s="1570">
        <f t="shared" ref="BJ668:BL668" si="2697">+BJ660+BI660</f>
        <v>0.38557589325615127</v>
      </c>
      <c r="BK668" s="1570">
        <f t="shared" si="2697"/>
        <v>0.45063132230352965</v>
      </c>
      <c r="BL668" s="1570">
        <f t="shared" si="2697"/>
        <v>0.4828259422506187</v>
      </c>
      <c r="BM668" s="1570">
        <f t="shared" ref="BM668:BO668" si="2698">+BM660+BL660</f>
        <v>0.49470824590218188</v>
      </c>
      <c r="BN668" s="1570">
        <f t="shared" si="2698"/>
        <v>0.42069712709003815</v>
      </c>
      <c r="BO668" s="1570">
        <f t="shared" si="2698"/>
        <v>0.3667459282933192</v>
      </c>
      <c r="BP668" s="1570">
        <f t="shared" si="2683"/>
        <v>0.3921903649136016</v>
      </c>
      <c r="BT668" s="1518"/>
      <c r="BU668" s="1518"/>
      <c r="BV668" s="1518"/>
      <c r="BW668" s="1518"/>
      <c r="BX668" s="1518"/>
      <c r="BY668" s="1518"/>
      <c r="BZ668" s="1518"/>
      <c r="CA668" s="1518"/>
      <c r="CB668" s="1518"/>
      <c r="CC668" s="1518"/>
    </row>
    <row r="669" spans="2:81" s="1543" customFormat="1" outlineLevel="1">
      <c r="B669" s="1575"/>
      <c r="D669" s="1570"/>
      <c r="E669" s="1570"/>
      <c r="F669" s="1570"/>
      <c r="G669" s="1570"/>
      <c r="H669" s="1570"/>
      <c r="I669" s="1570"/>
      <c r="J669" s="1570"/>
      <c r="K669" s="1570"/>
      <c r="L669" s="1570"/>
      <c r="M669" s="1570"/>
      <c r="N669" s="1570"/>
      <c r="O669" s="1570"/>
      <c r="P669" s="1570"/>
      <c r="Q669" s="1570"/>
      <c r="R669" s="1570"/>
      <c r="S669" s="1570"/>
      <c r="T669" s="1570"/>
      <c r="U669" s="1570"/>
      <c r="V669" s="1570"/>
      <c r="W669" s="1570"/>
      <c r="X669" s="1570"/>
      <c r="Y669" s="1570"/>
      <c r="Z669" s="1570"/>
      <c r="AA669" s="1570"/>
      <c r="AB669" s="1570"/>
      <c r="AC669" s="1570"/>
      <c r="AD669" s="1570"/>
      <c r="AE669" s="1570"/>
      <c r="AF669" s="1570"/>
      <c r="AG669" s="1570"/>
      <c r="AH669" s="1570"/>
      <c r="AI669" s="1570"/>
      <c r="AJ669" s="1570"/>
      <c r="AK669" s="1570"/>
      <c r="AL669" s="1570"/>
      <c r="AM669" s="1570"/>
      <c r="AN669" s="1570"/>
      <c r="AO669" s="1570"/>
      <c r="AP669" s="1570"/>
      <c r="AQ669" s="1570"/>
      <c r="AR669" s="1570"/>
      <c r="AS669" s="1570"/>
      <c r="AT669" s="1570"/>
      <c r="AU669" s="1570"/>
      <c r="AV669" s="1570"/>
      <c r="AW669" s="1570"/>
      <c r="AX669" s="1570"/>
      <c r="AY669" s="1570"/>
      <c r="AZ669" s="1570"/>
      <c r="BA669" s="1570"/>
      <c r="BB669" s="1570"/>
      <c r="BC669" s="1570"/>
      <c r="BD669" s="1570"/>
      <c r="BE669" s="1570"/>
      <c r="BF669" s="1570"/>
      <c r="BG669" s="1570"/>
      <c r="BH669" s="1570"/>
      <c r="BI669" s="1570"/>
      <c r="BJ669" s="1570"/>
      <c r="BK669" s="1570"/>
      <c r="BL669" s="1570"/>
      <c r="BM669" s="1570"/>
      <c r="BN669" s="1570"/>
      <c r="BO669" s="1570"/>
      <c r="BP669" s="1570"/>
      <c r="BT669" s="1518"/>
      <c r="BU669" s="1518"/>
      <c r="BV669" s="1518"/>
      <c r="BW669" s="1518"/>
      <c r="BX669" s="1518"/>
      <c r="BY669" s="1518"/>
      <c r="BZ669" s="1518"/>
      <c r="CA669" s="1518"/>
      <c r="CB669" s="1518"/>
      <c r="CC669" s="1518"/>
    </row>
    <row r="670" spans="2:81" s="1518" customFormat="1" ht="10.5" hidden="1" outlineLevel="2">
      <c r="B670" s="1299" t="s">
        <v>445</v>
      </c>
      <c r="AA670" s="1531"/>
      <c r="AD670" s="1581"/>
      <c r="AE670" s="1581"/>
      <c r="AF670" s="1581"/>
      <c r="AG670" s="1581"/>
      <c r="AH670" s="1581"/>
      <c r="AI670" s="1581"/>
      <c r="AJ670" s="1581"/>
      <c r="AK670" s="1581"/>
      <c r="AL670" s="1581"/>
      <c r="AM670" s="1581"/>
      <c r="AN670" s="1581"/>
      <c r="AO670" s="1581"/>
      <c r="AP670" s="1581"/>
      <c r="AQ670" s="1581"/>
      <c r="BK670" s="1531"/>
      <c r="BL670" s="1531"/>
      <c r="BM670" s="1531"/>
      <c r="BN670" s="1531"/>
      <c r="BQ670" s="1521"/>
    </row>
    <row r="671" spans="2:81" s="1519" customFormat="1" hidden="1" outlineLevel="2">
      <c r="B671" s="1519" t="s">
        <v>424</v>
      </c>
      <c r="H671" s="1550"/>
      <c r="I671" s="1550"/>
      <c r="J671" s="1550"/>
      <c r="K671" s="1550"/>
      <c r="L671" s="1550"/>
      <c r="M671" s="1550"/>
      <c r="N671" s="1550"/>
      <c r="O671" s="1550"/>
      <c r="P671" s="1550"/>
      <c r="Q671" s="1550"/>
      <c r="R671" s="1550"/>
      <c r="S671" s="1550"/>
      <c r="T671" s="1550"/>
      <c r="U671" s="1550"/>
      <c r="V671" s="1550"/>
      <c r="W671" s="1550"/>
      <c r="X671" s="1550"/>
      <c r="Y671" s="1550"/>
      <c r="Z671" s="1550"/>
      <c r="AA671" s="1550"/>
      <c r="AB671" s="1550"/>
      <c r="AC671" s="1550"/>
      <c r="AD671" s="1550"/>
      <c r="AE671" s="1550"/>
      <c r="AF671" s="1585">
        <f>+AF677-AF675-AF674-AF672</f>
        <v>9460</v>
      </c>
      <c r="AG671" s="1585">
        <f t="shared" ref="AG671:AI671" si="2699">+AG677-AG675-AG674-AG672</f>
        <v>10293</v>
      </c>
      <c r="AH671" s="1585">
        <f t="shared" si="2699"/>
        <v>10677.868114218852</v>
      </c>
      <c r="AI671" s="1585">
        <f t="shared" si="2699"/>
        <v>11584.312794341437</v>
      </c>
      <c r="AJ671" s="1585">
        <f t="shared" ref="AJ671" si="2700">+AJ677-AJ675-AJ674-AJ672</f>
        <v>12395</v>
      </c>
      <c r="AK671" s="1585">
        <f t="shared" ref="AK671" si="2701">+AK677-AK675-AK674-AK672</f>
        <v>13682.5</v>
      </c>
      <c r="AL671" s="1585">
        <f t="shared" ref="AL671" si="2702">+AL677-AL675-AL674-AL672</f>
        <v>14447.4772296267</v>
      </c>
      <c r="AM671" s="1585">
        <f t="shared" ref="AM671" si="2703">+AM677-AM675-AM674-AM672</f>
        <v>15507.923504700455</v>
      </c>
      <c r="AN671" s="1550">
        <f>+AJ671*(1+AN627)</f>
        <v>16485.350000000002</v>
      </c>
      <c r="AO671" s="1550">
        <f t="shared" ref="AO671:AQ671" si="2704">+AK671*(1+AO681)</f>
        <v>18197.725000000002</v>
      </c>
      <c r="AP671" s="1550">
        <f t="shared" si="2704"/>
        <v>19215.144715403512</v>
      </c>
      <c r="AQ671" s="1550">
        <f t="shared" si="2704"/>
        <v>20625.538261251608</v>
      </c>
      <c r="AV671" s="1550"/>
      <c r="AW671" s="1550"/>
      <c r="AX671" s="1550"/>
      <c r="AY671" s="1550"/>
      <c r="AZ671" s="1550"/>
      <c r="BA671" s="1550"/>
      <c r="BB671" s="1550"/>
      <c r="BC671" s="1550"/>
      <c r="BD671" s="1550"/>
      <c r="BE671" s="1550"/>
      <c r="BF671" s="1550"/>
      <c r="BG671" s="1550"/>
      <c r="BH671" s="1550"/>
      <c r="BI671" s="1550"/>
      <c r="BJ671" s="1550"/>
      <c r="BK671" s="1550"/>
      <c r="BL671" s="1550"/>
      <c r="BM671" s="1550"/>
      <c r="BN671" s="1550">
        <f>+SUM(AF671:AI671)</f>
        <v>42015.180908560287</v>
      </c>
      <c r="BO671" s="1550">
        <f>+SUM(AJ671:AM671)</f>
        <v>56032.900734327159</v>
      </c>
      <c r="BP671" s="1550">
        <f>+SUM(AN671:AQ671)</f>
        <v>74523.757976655121</v>
      </c>
      <c r="BQ671" s="1551"/>
      <c r="BR671" s="1551"/>
      <c r="BT671" s="1518"/>
      <c r="BU671" s="1518"/>
      <c r="BV671" s="1518"/>
      <c r="BW671" s="1518"/>
      <c r="BX671" s="1518"/>
      <c r="BY671" s="1518"/>
      <c r="BZ671" s="1518"/>
      <c r="CA671" s="1518"/>
      <c r="CB671" s="1518"/>
      <c r="CC671" s="1518"/>
    </row>
    <row r="672" spans="2:81" s="1576" customFormat="1" hidden="1" outlineLevel="2">
      <c r="B672" s="1519" t="s">
        <v>443</v>
      </c>
      <c r="H672" s="1587"/>
      <c r="I672" s="1587"/>
      <c r="J672" s="1587"/>
      <c r="K672" s="1587"/>
      <c r="L672" s="1587"/>
      <c r="M672" s="1587"/>
      <c r="N672" s="1587"/>
      <c r="O672" s="1587"/>
      <c r="P672" s="1587"/>
      <c r="Q672" s="1587"/>
      <c r="R672" s="1587"/>
      <c r="S672" s="1587"/>
      <c r="T672" s="1587"/>
      <c r="U672" s="1587"/>
      <c r="V672" s="1587"/>
      <c r="W672" s="1587"/>
      <c r="X672" s="1587"/>
      <c r="Y672" s="1587"/>
      <c r="Z672" s="1587"/>
      <c r="AA672" s="1587"/>
      <c r="AB672" s="1587"/>
      <c r="AC672" s="1587"/>
      <c r="AD672" s="1587"/>
      <c r="AE672" s="1587"/>
      <c r="AF672" s="1587">
        <f t="shared" ref="AF672:AM672" si="2705">+AF646</f>
        <v>5400</v>
      </c>
      <c r="AG672" s="1587">
        <f t="shared" si="2705"/>
        <v>5719</v>
      </c>
      <c r="AH672" s="1587">
        <f t="shared" si="2705"/>
        <v>5496.7905890279708</v>
      </c>
      <c r="AI672" s="1587">
        <f t="shared" si="2705"/>
        <v>6316.1585187317278</v>
      </c>
      <c r="AJ672" s="1587">
        <f t="shared" si="2705"/>
        <v>5508</v>
      </c>
      <c r="AK672" s="1587">
        <f t="shared" si="2705"/>
        <v>5890.57</v>
      </c>
      <c r="AL672" s="1587">
        <f t="shared" si="2705"/>
        <v>5826.5980243696495</v>
      </c>
      <c r="AM672" s="1587">
        <f t="shared" si="2705"/>
        <v>6442.4816891063629</v>
      </c>
      <c r="AN672" s="1587">
        <f>+AJ672*(1+AN684)</f>
        <v>5342.76</v>
      </c>
      <c r="AO672" s="1587">
        <f>+AK672*(1+AO684)</f>
        <v>5713.8528999999999</v>
      </c>
      <c r="AP672" s="1587">
        <f>+AL672*(1+AP684)</f>
        <v>5826.5980243696495</v>
      </c>
      <c r="AQ672" s="1587">
        <f>+AM672*(1+AQ684)</f>
        <v>6442.4816891063629</v>
      </c>
      <c r="AV672" s="1587"/>
      <c r="AW672" s="1587"/>
      <c r="AX672" s="1587"/>
      <c r="AY672" s="1587"/>
      <c r="AZ672" s="1587"/>
      <c r="BA672" s="1587"/>
      <c r="BB672" s="1587"/>
      <c r="BC672" s="1587"/>
      <c r="BD672" s="1587"/>
      <c r="BE672" s="1587"/>
      <c r="BF672" s="1587"/>
      <c r="BG672" s="1587"/>
      <c r="BH672" s="1587"/>
      <c r="BI672" s="1587"/>
      <c r="BJ672" s="1587"/>
      <c r="BK672" s="1587"/>
      <c r="BL672" s="1587"/>
      <c r="BM672" s="1587"/>
      <c r="BN672" s="1587">
        <f t="shared" ref="BN672:BN676" si="2706">+SUM(AF672:AI672)</f>
        <v>22931.949107759701</v>
      </c>
      <c r="BO672" s="1587">
        <f t="shared" ref="BO672:BO676" si="2707">+SUM(AJ672:AM672)</f>
        <v>23667.649713476014</v>
      </c>
      <c r="BP672" s="1587">
        <f t="shared" ref="BP672:BP676" si="2708">+SUM(AN672:AQ672)</f>
        <v>23325.692613476014</v>
      </c>
      <c r="BT672" s="1518"/>
      <c r="BU672" s="1518"/>
      <c r="BV672" s="1518"/>
      <c r="BW672" s="1518"/>
      <c r="BX672" s="1518"/>
      <c r="BY672" s="1518"/>
      <c r="BZ672" s="1518"/>
      <c r="CA672" s="1518"/>
      <c r="CB672" s="1518"/>
      <c r="CC672" s="1518"/>
    </row>
    <row r="673" spans="2:81" s="1519" customFormat="1" hidden="1" outlineLevel="2">
      <c r="B673" s="1559" t="s">
        <v>432</v>
      </c>
      <c r="H673" s="1550"/>
      <c r="I673" s="1550"/>
      <c r="J673" s="1550"/>
      <c r="K673" s="1550"/>
      <c r="L673" s="1550"/>
      <c r="M673" s="1550"/>
      <c r="N673" s="1550"/>
      <c r="O673" s="1550"/>
      <c r="P673" s="1550"/>
      <c r="Q673" s="1550"/>
      <c r="R673" s="1550"/>
      <c r="S673" s="1550"/>
      <c r="T673" s="1550"/>
      <c r="U673" s="1550"/>
      <c r="V673" s="1550"/>
      <c r="W673" s="1550"/>
      <c r="X673" s="1550"/>
      <c r="Y673" s="1550"/>
      <c r="Z673" s="1550"/>
      <c r="AA673" s="1550"/>
      <c r="AB673" s="1550"/>
      <c r="AC673" s="1550"/>
      <c r="AD673" s="1550"/>
      <c r="AE673" s="1550"/>
      <c r="AF673" s="1550">
        <f>+SUM(AF671:AF672)</f>
        <v>14860</v>
      </c>
      <c r="AG673" s="1550">
        <f t="shared" ref="AG673:AM673" si="2709">+SUM(AG671:AG672)</f>
        <v>16012</v>
      </c>
      <c r="AH673" s="1550">
        <f t="shared" si="2709"/>
        <v>16174.658703246823</v>
      </c>
      <c r="AI673" s="1550">
        <f t="shared" si="2709"/>
        <v>17900.471313073165</v>
      </c>
      <c r="AJ673" s="1550">
        <f t="shared" si="2709"/>
        <v>17903</v>
      </c>
      <c r="AK673" s="1550">
        <f t="shared" si="2709"/>
        <v>19573.07</v>
      </c>
      <c r="AL673" s="1550">
        <f t="shared" si="2709"/>
        <v>20274.075253996351</v>
      </c>
      <c r="AM673" s="1550">
        <f t="shared" si="2709"/>
        <v>21950.405193806819</v>
      </c>
      <c r="AN673" s="1550">
        <f>+SUM(AN671:AN672)</f>
        <v>21828.11</v>
      </c>
      <c r="AO673" s="1550">
        <f>+SUM(AO671:AO672)</f>
        <v>23911.577900000004</v>
      </c>
      <c r="AP673" s="1550">
        <f>+SUM(AP671:AP672)</f>
        <v>25041.742739773163</v>
      </c>
      <c r="AQ673" s="1550">
        <f>+SUM(AQ671:AQ672)</f>
        <v>27068.019950357972</v>
      </c>
      <c r="AV673" s="1550"/>
      <c r="AW673" s="1550"/>
      <c r="AX673" s="1550"/>
      <c r="AY673" s="1550"/>
      <c r="AZ673" s="1550"/>
      <c r="BA673" s="1550"/>
      <c r="BB673" s="1550"/>
      <c r="BC673" s="1550"/>
      <c r="BD673" s="1550"/>
      <c r="BE673" s="1550"/>
      <c r="BF673" s="1550"/>
      <c r="BG673" s="1550"/>
      <c r="BH673" s="1550"/>
      <c r="BI673" s="1550"/>
      <c r="BJ673" s="1550"/>
      <c r="BK673" s="1550"/>
      <c r="BL673" s="1550"/>
      <c r="BM673" s="1550"/>
      <c r="BN673" s="1550">
        <f t="shared" si="2706"/>
        <v>64947.130016319992</v>
      </c>
      <c r="BO673" s="1550">
        <f t="shared" si="2707"/>
        <v>79700.550447803165</v>
      </c>
      <c r="BP673" s="1550">
        <f t="shared" si="2708"/>
        <v>97849.450590131135</v>
      </c>
      <c r="BQ673" s="1551"/>
      <c r="BT673" s="1518"/>
      <c r="BU673" s="1518"/>
      <c r="BV673" s="1518"/>
      <c r="BW673" s="1518"/>
      <c r="BX673" s="1518"/>
      <c r="BY673" s="1518"/>
      <c r="BZ673" s="1518"/>
      <c r="CA673" s="1518"/>
      <c r="CB673" s="1518"/>
      <c r="CC673" s="1518"/>
    </row>
    <row r="674" spans="2:81" s="1519" customFormat="1" hidden="1" outlineLevel="2">
      <c r="B674" s="1519" t="s">
        <v>444</v>
      </c>
      <c r="H674" s="1550"/>
      <c r="I674" s="1550"/>
      <c r="J674" s="1550"/>
      <c r="K674" s="1550"/>
      <c r="L674" s="1550"/>
      <c r="M674" s="1550"/>
      <c r="N674" s="1550"/>
      <c r="O674" s="1550"/>
      <c r="P674" s="1550"/>
      <c r="Q674" s="1550"/>
      <c r="R674" s="1550"/>
      <c r="S674" s="1550"/>
      <c r="T674" s="1550"/>
      <c r="U674" s="1550"/>
      <c r="V674" s="1550"/>
      <c r="W674" s="1550"/>
      <c r="X674" s="1550"/>
      <c r="Y674" s="1550"/>
      <c r="Z674" s="1550"/>
      <c r="AA674" s="1550"/>
      <c r="AB674" s="1550"/>
      <c r="AC674" s="1550"/>
      <c r="AD674" s="1550"/>
      <c r="AE674" s="1550"/>
      <c r="AF674" s="1550">
        <f t="shared" ref="AF674:AM675" si="2710">+AF648</f>
        <v>1876</v>
      </c>
      <c r="AG674" s="1550">
        <f t="shared" si="2710"/>
        <v>1862</v>
      </c>
      <c r="AH674" s="1550">
        <f t="shared" si="2710"/>
        <v>2004.46</v>
      </c>
      <c r="AI674" s="1550">
        <f t="shared" si="2710"/>
        <v>1978.0800000000002</v>
      </c>
      <c r="AJ674" s="1550">
        <f t="shared" si="2710"/>
        <v>1894.76</v>
      </c>
      <c r="AK674" s="1550">
        <f t="shared" si="2710"/>
        <v>1880.6200000000001</v>
      </c>
      <c r="AL674" s="1550">
        <f t="shared" si="2710"/>
        <v>1824.0586000000001</v>
      </c>
      <c r="AM674" s="1550">
        <f t="shared" si="2710"/>
        <v>1839.6143999999999</v>
      </c>
      <c r="AN674" s="1550">
        <f>+AJ674*(1+AN684)</f>
        <v>1837.9171999999999</v>
      </c>
      <c r="AO674" s="1550">
        <f>+AK674*(1+AO684)</f>
        <v>1824.2014000000001</v>
      </c>
      <c r="AP674" s="1550">
        <f>+AL674*(1+AP684)</f>
        <v>1824.0586000000001</v>
      </c>
      <c r="AQ674" s="1550">
        <f>+AM674*(1+AQ684)</f>
        <v>1839.6143999999999</v>
      </c>
      <c r="AV674" s="1550"/>
      <c r="AW674" s="1550"/>
      <c r="AX674" s="1550"/>
      <c r="AY674" s="1550"/>
      <c r="AZ674" s="1550"/>
      <c r="BA674" s="1550"/>
      <c r="BB674" s="1550"/>
      <c r="BC674" s="1550"/>
      <c r="BD674" s="1550"/>
      <c r="BE674" s="1550"/>
      <c r="BF674" s="1550"/>
      <c r="BG674" s="1550"/>
      <c r="BH674" s="1550"/>
      <c r="BI674" s="1550"/>
      <c r="BJ674" s="1550"/>
      <c r="BK674" s="1550"/>
      <c r="BL674" s="1550"/>
      <c r="BM674" s="1550"/>
      <c r="BN674" s="1550">
        <f t="shared" si="2706"/>
        <v>7720.54</v>
      </c>
      <c r="BO674" s="1550">
        <f t="shared" si="2707"/>
        <v>7439.0529999999999</v>
      </c>
      <c r="BP674" s="1550">
        <f t="shared" si="2708"/>
        <v>7325.7916000000005</v>
      </c>
      <c r="BQ674" s="1551"/>
      <c r="BR674" s="1551"/>
      <c r="BT674" s="1518"/>
      <c r="BU674" s="1518"/>
      <c r="BV674" s="1518"/>
      <c r="BW674" s="1518"/>
      <c r="BX674" s="1518"/>
      <c r="BY674" s="1518"/>
      <c r="BZ674" s="1518"/>
      <c r="CA674" s="1518"/>
      <c r="CB674" s="1518"/>
      <c r="CC674" s="1518"/>
    </row>
    <row r="675" spans="2:81" s="1519" customFormat="1" ht="11.45" hidden="1" outlineLevel="2">
      <c r="B675" s="1519" t="s">
        <v>200</v>
      </c>
      <c r="H675" s="1555"/>
      <c r="I675" s="1555"/>
      <c r="J675" s="1555"/>
      <c r="K675" s="1555"/>
      <c r="L675" s="1555"/>
      <c r="M675" s="1555"/>
      <c r="N675" s="1555"/>
      <c r="O675" s="1555"/>
      <c r="P675" s="1555"/>
      <c r="Q675" s="1555"/>
      <c r="R675" s="1555"/>
      <c r="S675" s="1555"/>
      <c r="T675" s="1555"/>
      <c r="U675" s="1555"/>
      <c r="V675" s="1555"/>
      <c r="W675" s="1555"/>
      <c r="X675" s="1555"/>
      <c r="Y675" s="1555"/>
      <c r="Z675" s="1555"/>
      <c r="AA675" s="1555"/>
      <c r="AB675" s="1555"/>
      <c r="AC675" s="1555"/>
      <c r="AD675" s="1555"/>
      <c r="AE675" s="1555"/>
      <c r="AF675" s="1555">
        <f t="shared" si="2710"/>
        <v>149</v>
      </c>
      <c r="AG675" s="1555">
        <f t="shared" si="2710"/>
        <v>52</v>
      </c>
      <c r="AH675" s="1555">
        <f t="shared" si="2710"/>
        <v>64.881296753177594</v>
      </c>
      <c r="AI675" s="1555">
        <f t="shared" si="2710"/>
        <v>10.448686926833034</v>
      </c>
      <c r="AJ675" s="1555">
        <f t="shared" si="2710"/>
        <v>215.2400000000016</v>
      </c>
      <c r="AK675" s="1555">
        <f t="shared" si="2710"/>
        <v>71.31000000000131</v>
      </c>
      <c r="AL675" s="1555">
        <f t="shared" si="2710"/>
        <v>42.866146003649192</v>
      </c>
      <c r="AM675" s="1555">
        <f t="shared" si="2710"/>
        <v>-5.0195938068172836</v>
      </c>
      <c r="AN675" s="1588">
        <v>0</v>
      </c>
      <c r="AO675" s="1588">
        <f t="shared" ref="AO675" si="2711">+AN675/AN673*AO673</f>
        <v>0</v>
      </c>
      <c r="AP675" s="1588">
        <f t="shared" ref="AP675" si="2712">+AO675/AO673*AP673</f>
        <v>0</v>
      </c>
      <c r="AQ675" s="1588">
        <f t="shared" ref="AQ675" si="2713">+AP675/AP673*AQ673</f>
        <v>0</v>
      </c>
      <c r="AV675" s="1555"/>
      <c r="AW675" s="1555"/>
      <c r="AX675" s="1555"/>
      <c r="AY675" s="1555"/>
      <c r="AZ675" s="1555"/>
      <c r="BA675" s="1555"/>
      <c r="BB675" s="1555"/>
      <c r="BC675" s="1555"/>
      <c r="BD675" s="1555"/>
      <c r="BE675" s="1555"/>
      <c r="BF675" s="1555"/>
      <c r="BG675" s="1555"/>
      <c r="BH675" s="1555"/>
      <c r="BI675" s="1555"/>
      <c r="BJ675" s="1555"/>
      <c r="BK675" s="1555"/>
      <c r="BL675" s="1555"/>
      <c r="BM675" s="1555"/>
      <c r="BN675" s="1555">
        <f t="shared" si="2706"/>
        <v>276.32998368001063</v>
      </c>
      <c r="BO675" s="1555">
        <f t="shared" si="2707"/>
        <v>324.39655219683482</v>
      </c>
      <c r="BP675" s="1555">
        <f t="shared" si="2708"/>
        <v>0</v>
      </c>
      <c r="BT675" s="1518"/>
      <c r="BU675" s="1518"/>
      <c r="BV675" s="1518"/>
      <c r="BW675" s="1518"/>
      <c r="BX675" s="1518"/>
      <c r="BY675" s="1518"/>
      <c r="BZ675" s="1518"/>
      <c r="CA675" s="1518"/>
      <c r="CB675" s="1518"/>
      <c r="CC675" s="1518"/>
    </row>
    <row r="676" spans="2:81" s="1520" customFormat="1" ht="10.5" hidden="1" outlineLevel="2">
      <c r="B676" s="1562" t="s">
        <v>434</v>
      </c>
      <c r="H676" s="1563"/>
      <c r="I676" s="1563"/>
      <c r="J676" s="1563"/>
      <c r="K676" s="1563"/>
      <c r="L676" s="1563"/>
      <c r="M676" s="1563"/>
      <c r="N676" s="1563"/>
      <c r="O676" s="1563"/>
      <c r="P676" s="1563"/>
      <c r="Q676" s="1563"/>
      <c r="R676" s="1563"/>
      <c r="S676" s="1563"/>
      <c r="T676" s="1563"/>
      <c r="U676" s="1563"/>
      <c r="V676" s="1563"/>
      <c r="W676" s="1563"/>
      <c r="X676" s="1563"/>
      <c r="Y676" s="1563"/>
      <c r="Z676" s="1563"/>
      <c r="AA676" s="1563"/>
      <c r="AB676" s="1563"/>
      <c r="AC676" s="1563"/>
      <c r="AD676" s="1563"/>
      <c r="AE676" s="1563"/>
      <c r="AF676" s="1563">
        <f>+SUM(AF673:AF675)</f>
        <v>16885</v>
      </c>
      <c r="AG676" s="1563">
        <f t="shared" ref="AG676:AM676" si="2714">+SUM(AG673:AG675)</f>
        <v>17926</v>
      </c>
      <c r="AH676" s="1563">
        <f t="shared" si="2714"/>
        <v>18244</v>
      </c>
      <c r="AI676" s="1563">
        <f t="shared" si="2714"/>
        <v>19889</v>
      </c>
      <c r="AJ676" s="1563">
        <f t="shared" si="2714"/>
        <v>20013</v>
      </c>
      <c r="AK676" s="1563">
        <f t="shared" si="2714"/>
        <v>21525</v>
      </c>
      <c r="AL676" s="1563">
        <f t="shared" si="2714"/>
        <v>22141</v>
      </c>
      <c r="AM676" s="1563">
        <f t="shared" si="2714"/>
        <v>23785</v>
      </c>
      <c r="AN676" s="1563">
        <f t="shared" ref="AN676:AQ676" si="2715">+SUM(AN673:AN675)</f>
        <v>23666.0272</v>
      </c>
      <c r="AO676" s="1563">
        <f t="shared" si="2715"/>
        <v>25735.779300000006</v>
      </c>
      <c r="AP676" s="1563">
        <f t="shared" si="2715"/>
        <v>26865.801339773163</v>
      </c>
      <c r="AQ676" s="1563">
        <f t="shared" si="2715"/>
        <v>28907.63435035797</v>
      </c>
      <c r="AV676" s="1563"/>
      <c r="AW676" s="1563"/>
      <c r="AX676" s="1563"/>
      <c r="AY676" s="1563"/>
      <c r="AZ676" s="1563"/>
      <c r="BA676" s="1563"/>
      <c r="BB676" s="1563"/>
      <c r="BC676" s="1563"/>
      <c r="BD676" s="1563"/>
      <c r="BE676" s="1563"/>
      <c r="BF676" s="1563"/>
      <c r="BG676" s="1563"/>
      <c r="BH676" s="1563"/>
      <c r="BI676" s="1563"/>
      <c r="BJ676" s="1563"/>
      <c r="BK676" s="1563"/>
      <c r="BL676" s="1563"/>
      <c r="BM676" s="1563"/>
      <c r="BN676" s="1563">
        <f t="shared" si="2706"/>
        <v>72944</v>
      </c>
      <c r="BO676" s="1563">
        <f t="shared" si="2707"/>
        <v>87464</v>
      </c>
      <c r="BP676" s="1563">
        <f t="shared" si="2708"/>
        <v>105175.24219013115</v>
      </c>
      <c r="BT676" s="1518"/>
      <c r="BU676" s="1518"/>
      <c r="BV676" s="1518"/>
      <c r="BW676" s="1518"/>
      <c r="BX676" s="1518"/>
      <c r="BY676" s="1518"/>
      <c r="BZ676" s="1518"/>
      <c r="CA676" s="1518"/>
      <c r="CB676" s="1518"/>
      <c r="CC676" s="1518"/>
    </row>
    <row r="677" spans="2:81" s="1519" customFormat="1" hidden="1" outlineLevel="2">
      <c r="H677" s="1550"/>
      <c r="I677" s="1550"/>
      <c r="J677" s="1550"/>
      <c r="K677" s="1550"/>
      <c r="L677" s="1550"/>
      <c r="M677" s="1550"/>
      <c r="N677" s="1550"/>
      <c r="O677" s="1550"/>
      <c r="P677" s="1550"/>
      <c r="Q677" s="1550"/>
      <c r="R677" s="1550"/>
      <c r="S677" s="1550"/>
      <c r="T677" s="1550"/>
      <c r="U677" s="1550"/>
      <c r="V677" s="1550"/>
      <c r="W677" s="1550"/>
      <c r="X677" s="1550"/>
      <c r="Y677" s="1550"/>
      <c r="Z677" s="1550"/>
      <c r="AA677" s="1550"/>
      <c r="AB677" s="1550"/>
      <c r="AC677" s="1550"/>
      <c r="AD677" s="1550"/>
      <c r="AE677" s="1550"/>
      <c r="AF677" s="1550">
        <f>+AF541</f>
        <v>16885</v>
      </c>
      <c r="AG677" s="1550">
        <f t="shared" ref="AG677:AM677" si="2716">+AG541</f>
        <v>17926</v>
      </c>
      <c r="AH677" s="1550">
        <f t="shared" si="2716"/>
        <v>18244</v>
      </c>
      <c r="AI677" s="1550">
        <f t="shared" si="2716"/>
        <v>19889</v>
      </c>
      <c r="AJ677" s="1550">
        <f t="shared" si="2716"/>
        <v>20013</v>
      </c>
      <c r="AK677" s="1550">
        <f t="shared" si="2716"/>
        <v>21525</v>
      </c>
      <c r="AL677" s="1550">
        <f t="shared" si="2716"/>
        <v>22141</v>
      </c>
      <c r="AM677" s="1550">
        <f t="shared" si="2716"/>
        <v>23785</v>
      </c>
      <c r="AN677" s="1521"/>
      <c r="AO677" s="1521"/>
      <c r="AP677" s="1521"/>
      <c r="AQ677" s="1521"/>
      <c r="AV677" s="1550"/>
      <c r="AW677" s="1550"/>
      <c r="AX677" s="1550"/>
      <c r="AY677" s="1550"/>
      <c r="AZ677" s="1550"/>
      <c r="BA677" s="1550"/>
      <c r="BB677" s="1550"/>
      <c r="BC677" s="1550"/>
      <c r="BD677" s="1550"/>
      <c r="BE677" s="1550"/>
      <c r="BF677" s="1550"/>
      <c r="BG677" s="1550"/>
      <c r="BH677" s="1550"/>
      <c r="BI677" s="1550"/>
      <c r="BJ677" s="1550"/>
      <c r="BK677" s="1550"/>
      <c r="BL677" s="1550"/>
      <c r="BM677" s="1550"/>
      <c r="BN677" s="1550"/>
      <c r="BO677" s="1550"/>
      <c r="BP677" s="1550"/>
      <c r="BQ677" s="1551"/>
      <c r="BR677" s="1551"/>
      <c r="BT677" s="1518"/>
      <c r="BU677" s="1518"/>
      <c r="BV677" s="1518"/>
      <c r="BW677" s="1518"/>
      <c r="BX677" s="1518"/>
      <c r="BY677" s="1518"/>
      <c r="BZ677" s="1518"/>
      <c r="CA677" s="1518"/>
      <c r="CB677" s="1518"/>
      <c r="CC677" s="1518"/>
    </row>
    <row r="678" spans="2:81" s="1518" customFormat="1" hidden="1" outlineLevel="2">
      <c r="B678" s="1584" t="s">
        <v>435</v>
      </c>
      <c r="AF678" s="1521"/>
      <c r="AG678" s="1521"/>
      <c r="AH678" s="1521"/>
      <c r="AI678" s="1521"/>
      <c r="AJ678" s="1521">
        <f>+AJ628*AF671</f>
        <v>425.7</v>
      </c>
      <c r="AK678" s="1521">
        <f t="shared" ref="AK678:AM678" si="2717">+AK628*AG671</f>
        <v>926.37</v>
      </c>
      <c r="AL678" s="1521">
        <f t="shared" si="2717"/>
        <v>1067.7868114218852</v>
      </c>
      <c r="AM678" s="1521">
        <f t="shared" si="2717"/>
        <v>1274.274407377558</v>
      </c>
      <c r="AN678" s="1521"/>
      <c r="AO678" s="1521"/>
      <c r="AP678" s="1521"/>
      <c r="AQ678" s="1521"/>
      <c r="BO678" s="1521">
        <f>+SUM(AJ678:AM678)</f>
        <v>3694.1312187994431</v>
      </c>
      <c r="BP678" s="1521"/>
    </row>
    <row r="679" spans="2:81" s="1519" customFormat="1" hidden="1" outlineLevel="2">
      <c r="H679" s="1550"/>
      <c r="I679" s="1550"/>
      <c r="J679" s="1550"/>
      <c r="K679" s="1550"/>
      <c r="L679" s="1550"/>
      <c r="M679" s="1550"/>
      <c r="N679" s="1550"/>
      <c r="O679" s="1550"/>
      <c r="P679" s="1550"/>
      <c r="Q679" s="1550"/>
      <c r="R679" s="1550"/>
      <c r="S679" s="1550"/>
      <c r="T679" s="1550"/>
      <c r="U679" s="1550"/>
      <c r="V679" s="1550"/>
      <c r="W679" s="1550"/>
      <c r="X679" s="1550"/>
      <c r="Y679" s="1550"/>
      <c r="Z679" s="1550"/>
      <c r="AA679" s="1550"/>
      <c r="AB679" s="1550"/>
      <c r="AC679" s="1550"/>
      <c r="AD679" s="1550"/>
      <c r="AE679" s="1550"/>
      <c r="AF679" s="1550"/>
      <c r="AG679" s="1550"/>
      <c r="AH679" s="1550"/>
      <c r="AI679" s="1550"/>
      <c r="AJ679" s="1550"/>
      <c r="AK679" s="1550"/>
      <c r="AL679" s="1550"/>
      <c r="AM679" s="1550"/>
      <c r="AN679" s="1521"/>
      <c r="AO679" s="1521"/>
      <c r="AP679" s="1521"/>
      <c r="AQ679" s="1521"/>
      <c r="AV679" s="1550"/>
      <c r="AW679" s="1550"/>
      <c r="AX679" s="1550"/>
      <c r="AY679" s="1550"/>
      <c r="AZ679" s="1550"/>
      <c r="BA679" s="1550"/>
      <c r="BB679" s="1550"/>
      <c r="BC679" s="1550"/>
      <c r="BD679" s="1550"/>
      <c r="BE679" s="1550"/>
      <c r="BF679" s="1550"/>
      <c r="BG679" s="1550"/>
      <c r="BH679" s="1550"/>
      <c r="BI679" s="1550"/>
      <c r="BJ679" s="1550"/>
      <c r="BK679" s="1550"/>
      <c r="BL679" s="1550"/>
      <c r="BM679" s="1550"/>
      <c r="BN679" s="1550"/>
      <c r="BO679" s="1550"/>
      <c r="BP679" s="1550"/>
      <c r="BQ679" s="1551"/>
      <c r="BR679" s="1551"/>
      <c r="BT679" s="1518"/>
      <c r="BU679" s="1518"/>
      <c r="BV679" s="1518"/>
      <c r="BW679" s="1518"/>
      <c r="BX679" s="1518"/>
      <c r="BY679" s="1518"/>
      <c r="BZ679" s="1518"/>
      <c r="CA679" s="1518"/>
      <c r="CB679" s="1518"/>
      <c r="CC679" s="1518"/>
    </row>
    <row r="680" spans="2:81" s="1518" customFormat="1" ht="11.45" hidden="1" outlineLevel="2">
      <c r="B680" s="1564" t="s">
        <v>113</v>
      </c>
      <c r="AH680" s="1568"/>
      <c r="AI680" s="1550"/>
      <c r="AJ680" s="1550"/>
      <c r="AK680" s="1550"/>
      <c r="AL680" s="1550"/>
      <c r="AM680" s="1550"/>
      <c r="AN680" s="1521"/>
      <c r="AO680" s="1521"/>
      <c r="AP680" s="1521"/>
      <c r="AQ680" s="1521"/>
    </row>
    <row r="681" spans="2:81" s="1527" customFormat="1" hidden="1" outlineLevel="2">
      <c r="B681" s="1539" t="str">
        <f>+B671</f>
        <v>Azure (new segmentation)</v>
      </c>
      <c r="D681" s="1565"/>
      <c r="E681" s="1565"/>
      <c r="F681" s="1565"/>
      <c r="G681" s="1565"/>
      <c r="H681" s="1565"/>
      <c r="I681" s="1565"/>
      <c r="J681" s="1565"/>
      <c r="K681" s="1565"/>
      <c r="L681" s="1565"/>
      <c r="M681" s="1565"/>
      <c r="N681" s="1565"/>
      <c r="O681" s="1565"/>
      <c r="P681" s="1565"/>
      <c r="Q681" s="1565"/>
      <c r="R681" s="1565"/>
      <c r="S681" s="1565"/>
      <c r="T681" s="1565"/>
      <c r="U681" s="1565"/>
      <c r="V681" s="1565"/>
      <c r="W681" s="1565"/>
      <c r="X681" s="1565"/>
      <c r="Y681" s="1565"/>
      <c r="Z681" s="1565"/>
      <c r="AA681" s="1565"/>
      <c r="AB681" s="1565"/>
      <c r="AC681" s="1565"/>
      <c r="AD681" s="1565"/>
      <c r="AE681" s="1565"/>
      <c r="AF681" s="1565"/>
      <c r="AG681" s="1565"/>
      <c r="AH681" s="1565"/>
      <c r="AI681" s="1550"/>
      <c r="AJ681" s="1565">
        <f t="shared" ref="AJ681" si="2718">+AJ671/AF671-1</f>
        <v>0.31025369978858341</v>
      </c>
      <c r="AK681" s="1565">
        <f t="shared" ref="AK681" si="2719">+AK671/AG671-1</f>
        <v>0.32930146701641894</v>
      </c>
      <c r="AL681" s="1565">
        <f t="shared" ref="AL681" si="2720">+AL671/AH671-1</f>
        <v>0.35303012502918674</v>
      </c>
      <c r="AM681" s="1565">
        <f t="shared" ref="AM681" si="2721">+AM671/AI671-1</f>
        <v>0.33870034243857572</v>
      </c>
      <c r="AN681" s="1526">
        <v>0.33</v>
      </c>
      <c r="AO681" s="1526">
        <v>0.33</v>
      </c>
      <c r="AP681" s="1526">
        <v>0.33</v>
      </c>
      <c r="AQ681" s="1526">
        <v>0.33</v>
      </c>
      <c r="AR681" s="1565"/>
      <c r="AS681" s="1565"/>
      <c r="AT681" s="1565"/>
      <c r="AU681" s="1565"/>
      <c r="AV681" s="1565"/>
      <c r="AW681" s="1565"/>
      <c r="AX681" s="1565"/>
      <c r="AY681" s="1565"/>
      <c r="AZ681" s="1565"/>
      <c r="BA681" s="1565"/>
      <c r="BB681" s="1565"/>
      <c r="BC681" s="1565"/>
      <c r="BD681" s="1565"/>
      <c r="BE681" s="1565"/>
      <c r="BF681" s="1565"/>
      <c r="BG681" s="1565"/>
      <c r="BH681" s="1565"/>
      <c r="BI681" s="1565"/>
      <c r="BJ681" s="1565"/>
      <c r="BK681" s="1565"/>
      <c r="BL681" s="1565"/>
      <c r="BM681" s="1565"/>
      <c r="BN681" s="1565"/>
      <c r="BO681" s="1565">
        <f t="shared" ref="BO681:BO686" si="2722">+BO671/BN671-1</f>
        <v>0.33363464163761014</v>
      </c>
      <c r="BP681" s="1565">
        <f t="shared" ref="BP681:BP686" si="2723">+BP671/BO671-1</f>
        <v>0.33000000000000007</v>
      </c>
      <c r="BT681" s="1518"/>
      <c r="BU681" s="1518"/>
      <c r="BV681" s="1518"/>
      <c r="BW681" s="1518"/>
      <c r="BX681" s="1518"/>
      <c r="BY681" s="1518"/>
      <c r="BZ681" s="1518"/>
      <c r="CA681" s="1518"/>
      <c r="CB681" s="1518"/>
      <c r="CC681" s="1518"/>
    </row>
    <row r="682" spans="2:81" s="1577" customFormat="1" ht="11.45" hidden="1" outlineLevel="2">
      <c r="B682" s="1539" t="str">
        <f t="shared" ref="B682:B686" si="2724">+B672</f>
        <v>Server Products and Licensing</v>
      </c>
      <c r="D682" s="1567"/>
      <c r="E682" s="1567"/>
      <c r="F682" s="1567"/>
      <c r="G682" s="1567"/>
      <c r="H682" s="1567"/>
      <c r="I682" s="1567"/>
      <c r="J682" s="1567"/>
      <c r="K682" s="1567"/>
      <c r="L682" s="1567"/>
      <c r="M682" s="1567"/>
      <c r="N682" s="1567"/>
      <c r="O682" s="1567"/>
      <c r="P682" s="1567"/>
      <c r="Q682" s="1567"/>
      <c r="R682" s="1567"/>
      <c r="S682" s="1567"/>
      <c r="T682" s="1567"/>
      <c r="U682" s="1567"/>
      <c r="V682" s="1567"/>
      <c r="W682" s="1567"/>
      <c r="X682" s="1567"/>
      <c r="Y682" s="1567"/>
      <c r="Z682" s="1567"/>
      <c r="AA682" s="1567"/>
      <c r="AB682" s="1567"/>
      <c r="AC682" s="1567"/>
      <c r="AD682" s="1567"/>
      <c r="AE682" s="1567"/>
      <c r="AF682" s="1567"/>
      <c r="AG682" s="1567"/>
      <c r="AH682" s="1567"/>
      <c r="AI682" s="1550"/>
      <c r="AJ682" s="1567">
        <f t="shared" ref="AJ682:AM686" si="2725">+AJ672/AF672-1</f>
        <v>2.0000000000000018E-2</v>
      </c>
      <c r="AK682" s="1567">
        <f t="shared" si="2725"/>
        <v>3.0000000000000027E-2</v>
      </c>
      <c r="AL682" s="1567">
        <f t="shared" si="2725"/>
        <v>6.0000000000000053E-2</v>
      </c>
      <c r="AM682" s="1567">
        <f t="shared" si="2725"/>
        <v>2.0000000000000018E-2</v>
      </c>
      <c r="AN682" s="1568">
        <f>+AN656</f>
        <v>-0.01</v>
      </c>
      <c r="AO682" s="1568">
        <f t="shared" ref="AO682:AQ682" si="2726">+AO656</f>
        <v>-1.9999999999999997E-2</v>
      </c>
      <c r="AP682" s="1568">
        <f t="shared" si="2726"/>
        <v>-4.9999999999999996E-2</v>
      </c>
      <c r="AQ682" s="1568">
        <f t="shared" si="2726"/>
        <v>-9.9999999999999985E-3</v>
      </c>
      <c r="AR682" s="1565"/>
      <c r="AS682" s="1567"/>
      <c r="AT682" s="1567"/>
      <c r="AU682" s="1567"/>
      <c r="AV682" s="1567"/>
      <c r="AW682" s="1567"/>
      <c r="AX682" s="1567"/>
      <c r="AY682" s="1567"/>
      <c r="AZ682" s="1567"/>
      <c r="BA682" s="1567"/>
      <c r="BB682" s="1567"/>
      <c r="BC682" s="1567"/>
      <c r="BD682" s="1567"/>
      <c r="BE682" s="1567"/>
      <c r="BF682" s="1567"/>
      <c r="BG682" s="1567"/>
      <c r="BH682" s="1567"/>
      <c r="BI682" s="1567"/>
      <c r="BJ682" s="1567"/>
      <c r="BK682" s="1567"/>
      <c r="BL682" s="1567"/>
      <c r="BM682" s="1567"/>
      <c r="BN682" s="1567"/>
      <c r="BO682" s="1567">
        <f t="shared" si="2722"/>
        <v>3.2081904693716856E-2</v>
      </c>
      <c r="BP682" s="1567">
        <f t="shared" si="2723"/>
        <v>-1.4448291407882952E-2</v>
      </c>
      <c r="BT682" s="1518"/>
      <c r="BU682" s="1518"/>
      <c r="BV682" s="1518"/>
      <c r="BW682" s="1518"/>
      <c r="BX682" s="1518"/>
      <c r="BY682" s="1518"/>
      <c r="BZ682" s="1518"/>
      <c r="CA682" s="1518"/>
      <c r="CB682" s="1518"/>
      <c r="CC682" s="1518"/>
    </row>
    <row r="683" spans="2:81" s="1527" customFormat="1" ht="11.45" hidden="1" outlineLevel="2">
      <c r="B683" s="1524" t="str">
        <f t="shared" si="2724"/>
        <v>Server Products and Cloud Services</v>
      </c>
      <c r="D683" s="1565"/>
      <c r="E683" s="1565"/>
      <c r="F683" s="1565"/>
      <c r="G683" s="1565"/>
      <c r="H683" s="1565"/>
      <c r="I683" s="1565"/>
      <c r="J683" s="1565"/>
      <c r="K683" s="1565"/>
      <c r="L683" s="1565"/>
      <c r="M683" s="1565"/>
      <c r="N683" s="1565"/>
      <c r="O683" s="1565"/>
      <c r="P683" s="1565"/>
      <c r="Q683" s="1565"/>
      <c r="R683" s="1565"/>
      <c r="S683" s="1565"/>
      <c r="T683" s="1565"/>
      <c r="U683" s="1565"/>
      <c r="V683" s="1565"/>
      <c r="W683" s="1565"/>
      <c r="X683" s="1565"/>
      <c r="Y683" s="1565"/>
      <c r="Z683" s="1565"/>
      <c r="AA683" s="1565"/>
      <c r="AB683" s="1565"/>
      <c r="AC683" s="1565"/>
      <c r="AD683" s="1565"/>
      <c r="AE683" s="1565"/>
      <c r="AF683" s="1565"/>
      <c r="AG683" s="1565"/>
      <c r="AH683" s="1565"/>
      <c r="AI683" s="1550"/>
      <c r="AJ683" s="1565">
        <f t="shared" si="2725"/>
        <v>0.204777927321669</v>
      </c>
      <c r="AK683" s="1565">
        <f t="shared" si="2725"/>
        <v>0.22240007494379221</v>
      </c>
      <c r="AL683" s="1565">
        <f t="shared" si="2725"/>
        <v>0.25344686561618945</v>
      </c>
      <c r="AM683" s="1565">
        <f t="shared" si="2725"/>
        <v>0.22624733225744098</v>
      </c>
      <c r="AN683" s="1565">
        <f>+AN673/AJ673-1</f>
        <v>0.21924314360721664</v>
      </c>
      <c r="AO683" s="1565">
        <f>+AO673/AK673-1</f>
        <v>0.22165699606653444</v>
      </c>
      <c r="AP683" s="1565">
        <f>+AP673/AL673-1</f>
        <v>0.23516078667198537</v>
      </c>
      <c r="AQ683" s="1565">
        <f>+AQ673/AM673-1</f>
        <v>0.2331444322492533</v>
      </c>
      <c r="AR683" s="1567"/>
      <c r="AS683" s="1565"/>
      <c r="AT683" s="1565"/>
      <c r="AU683" s="1565"/>
      <c r="AV683" s="1565"/>
      <c r="AW683" s="1565"/>
      <c r="AX683" s="1565"/>
      <c r="AY683" s="1565"/>
      <c r="AZ683" s="1565"/>
      <c r="BA683" s="1565"/>
      <c r="BB683" s="1565"/>
      <c r="BC683" s="1565"/>
      <c r="BD683" s="1565"/>
      <c r="BE683" s="1565"/>
      <c r="BF683" s="1565"/>
      <c r="BG683" s="1565"/>
      <c r="BH683" s="1565"/>
      <c r="BI683" s="1565"/>
      <c r="BJ683" s="1565"/>
      <c r="BK683" s="1565"/>
      <c r="BL683" s="1565"/>
      <c r="BM683" s="1565"/>
      <c r="BN683" s="1565"/>
      <c r="BO683" s="1565">
        <f t="shared" si="2722"/>
        <v>0.22716046771852616</v>
      </c>
      <c r="BP683" s="1565">
        <f t="shared" si="2723"/>
        <v>0.22771361101469312</v>
      </c>
      <c r="BT683" s="1518"/>
      <c r="BU683" s="1518"/>
      <c r="BV683" s="1518"/>
      <c r="BW683" s="1518"/>
      <c r="BX683" s="1518"/>
      <c r="BY683" s="1518"/>
      <c r="BZ683" s="1518"/>
      <c r="CA683" s="1518"/>
      <c r="CB683" s="1518"/>
      <c r="CC683" s="1518"/>
    </row>
    <row r="684" spans="2:81" s="1527" customFormat="1" ht="11.45" hidden="1" outlineLevel="2">
      <c r="B684" s="1539" t="str">
        <f t="shared" si="2724"/>
        <v>Enterprise Services</v>
      </c>
      <c r="D684" s="1565"/>
      <c r="E684" s="1565"/>
      <c r="F684" s="1565"/>
      <c r="G684" s="1565"/>
      <c r="H684" s="1565"/>
      <c r="I684" s="1565"/>
      <c r="J684" s="1565"/>
      <c r="K684" s="1565"/>
      <c r="L684" s="1565"/>
      <c r="M684" s="1565"/>
      <c r="N684" s="1565"/>
      <c r="O684" s="1565"/>
      <c r="P684" s="1565"/>
      <c r="Q684" s="1565"/>
      <c r="R684" s="1565"/>
      <c r="S684" s="1565"/>
      <c r="T684" s="1565"/>
      <c r="U684" s="1565"/>
      <c r="V684" s="1565"/>
      <c r="W684" s="1565"/>
      <c r="X684" s="1565"/>
      <c r="Y684" s="1565"/>
      <c r="Z684" s="1565"/>
      <c r="AA684" s="1565"/>
      <c r="AB684" s="1565"/>
      <c r="AC684" s="1565"/>
      <c r="AD684" s="1565"/>
      <c r="AE684" s="1565"/>
      <c r="AF684" s="1565"/>
      <c r="AG684" s="1565"/>
      <c r="AH684" s="1565"/>
      <c r="AI684" s="1550"/>
      <c r="AJ684" s="1565">
        <f t="shared" si="2725"/>
        <v>1.0000000000000009E-2</v>
      </c>
      <c r="AK684" s="1565">
        <f t="shared" si="2725"/>
        <v>1.0000000000000009E-2</v>
      </c>
      <c r="AL684" s="1565">
        <f t="shared" si="2725"/>
        <v>-8.9999999999999969E-2</v>
      </c>
      <c r="AM684" s="1565">
        <f t="shared" si="2725"/>
        <v>-7.0000000000000062E-2</v>
      </c>
      <c r="AN684" s="1526">
        <v>-0.03</v>
      </c>
      <c r="AO684" s="1526">
        <v>-0.03</v>
      </c>
      <c r="AP684" s="1526">
        <v>0</v>
      </c>
      <c r="AQ684" s="1526">
        <v>0</v>
      </c>
      <c r="AR684" s="1570"/>
      <c r="AS684" s="1565"/>
      <c r="AT684" s="1565"/>
      <c r="AU684" s="1565"/>
      <c r="AV684" s="1565"/>
      <c r="AW684" s="1565"/>
      <c r="AX684" s="1565"/>
      <c r="AY684" s="1565"/>
      <c r="AZ684" s="1565"/>
      <c r="BA684" s="1565"/>
      <c r="BB684" s="1565"/>
      <c r="BC684" s="1565"/>
      <c r="BD684" s="1565"/>
      <c r="BE684" s="1565"/>
      <c r="BF684" s="1565"/>
      <c r="BG684" s="1565"/>
      <c r="BH684" s="1565"/>
      <c r="BI684" s="1565"/>
      <c r="BJ684" s="1565"/>
      <c r="BK684" s="1565"/>
      <c r="BL684" s="1565"/>
      <c r="BM684" s="1565"/>
      <c r="BN684" s="1565"/>
      <c r="BO684" s="1565">
        <f t="shared" si="2722"/>
        <v>-3.6459496356472498E-2</v>
      </c>
      <c r="BP684" s="1565">
        <f t="shared" si="2723"/>
        <v>-1.5225244396027238E-2</v>
      </c>
      <c r="BQ684" s="1577"/>
      <c r="BT684" s="1518"/>
      <c r="BU684" s="1518"/>
      <c r="BV684" s="1518"/>
      <c r="BW684" s="1518"/>
      <c r="BX684" s="1518"/>
      <c r="BY684" s="1518"/>
      <c r="BZ684" s="1518"/>
      <c r="CA684" s="1518"/>
      <c r="CB684" s="1518"/>
      <c r="CC684" s="1518"/>
    </row>
    <row r="685" spans="2:81" s="1530" customFormat="1" ht="11.45" hidden="1" outlineLevel="2">
      <c r="B685" s="1539" t="str">
        <f t="shared" si="2724"/>
        <v>Other</v>
      </c>
      <c r="D685" s="1567"/>
      <c r="E685" s="1567"/>
      <c r="F685" s="1567"/>
      <c r="G685" s="1567"/>
      <c r="H685" s="1567"/>
      <c r="I685" s="1567"/>
      <c r="J685" s="1567"/>
      <c r="K685" s="1567"/>
      <c r="L685" s="1567"/>
      <c r="M685" s="1567"/>
      <c r="N685" s="1567"/>
      <c r="O685" s="1567"/>
      <c r="P685" s="1567"/>
      <c r="Q685" s="1567"/>
      <c r="R685" s="1567"/>
      <c r="S685" s="1567"/>
      <c r="T685" s="1567"/>
      <c r="U685" s="1567"/>
      <c r="V685" s="1567"/>
      <c r="W685" s="1567"/>
      <c r="X685" s="1567"/>
      <c r="Y685" s="1567"/>
      <c r="Z685" s="1567"/>
      <c r="AA685" s="1567"/>
      <c r="AB685" s="1567"/>
      <c r="AC685" s="1567"/>
      <c r="AD685" s="1567"/>
      <c r="AE685" s="1567"/>
      <c r="AF685" s="1567"/>
      <c r="AG685" s="1567"/>
      <c r="AH685" s="1567"/>
      <c r="AI685" s="1567"/>
      <c r="AJ685" s="1567">
        <f t="shared" si="2725"/>
        <v>0.44456375838927253</v>
      </c>
      <c r="AK685" s="1567">
        <f t="shared" si="2725"/>
        <v>0.37134615384617908</v>
      </c>
      <c r="AL685" s="1567">
        <f t="shared" si="2725"/>
        <v>-0.33931428394963759</v>
      </c>
      <c r="AM685" s="1567">
        <f t="shared" si="2725"/>
        <v>-1.4804042691648249</v>
      </c>
      <c r="AN685" s="1567">
        <f t="shared" ref="AN685:AQ686" si="2727">+AN675/AJ675-1</f>
        <v>-1</v>
      </c>
      <c r="AO685" s="1567">
        <f t="shared" si="2727"/>
        <v>-1</v>
      </c>
      <c r="AP685" s="1567">
        <f t="shared" si="2727"/>
        <v>-1</v>
      </c>
      <c r="AQ685" s="1567">
        <f t="shared" si="2727"/>
        <v>-1</v>
      </c>
      <c r="AR685" s="1518"/>
      <c r="AS685" s="1567"/>
      <c r="AT685" s="1567"/>
      <c r="AU685" s="1567"/>
      <c r="AV685" s="1567"/>
      <c r="AW685" s="1567"/>
      <c r="AX685" s="1567"/>
      <c r="AY685" s="1567"/>
      <c r="AZ685" s="1567"/>
      <c r="BA685" s="1567"/>
      <c r="BB685" s="1567"/>
      <c r="BC685" s="1567"/>
      <c r="BD685" s="1567"/>
      <c r="BE685" s="1567"/>
      <c r="BF685" s="1567"/>
      <c r="BG685" s="1567"/>
      <c r="BH685" s="1567"/>
      <c r="BI685" s="1567"/>
      <c r="BJ685" s="1567"/>
      <c r="BK685" s="1567"/>
      <c r="BL685" s="1567"/>
      <c r="BM685" s="1567"/>
      <c r="BN685" s="1567"/>
      <c r="BO685" s="1567">
        <f t="shared" si="2722"/>
        <v>0.1739462648124539</v>
      </c>
      <c r="BP685" s="1567">
        <f t="shared" si="2723"/>
        <v>-1</v>
      </c>
      <c r="BQ685" s="1527"/>
      <c r="BT685" s="1527"/>
      <c r="BU685" s="1527"/>
      <c r="BV685" s="1527"/>
      <c r="BW685" s="1527"/>
      <c r="BX685" s="1527"/>
      <c r="BY685" s="1527"/>
      <c r="BZ685" s="1527"/>
      <c r="CA685" s="1527"/>
      <c r="CB685" s="1527"/>
      <c r="CC685" s="1527"/>
    </row>
    <row r="686" spans="2:81" s="1535" customFormat="1" hidden="1" outlineLevel="2">
      <c r="B686" s="1569" t="str">
        <f t="shared" si="2724"/>
        <v>Total IC Revenue</v>
      </c>
      <c r="D686" s="1570"/>
      <c r="E686" s="1570"/>
      <c r="F686" s="1570"/>
      <c r="G686" s="1570"/>
      <c r="H686" s="1570"/>
      <c r="I686" s="1570"/>
      <c r="J686" s="1570"/>
      <c r="K686" s="1570"/>
      <c r="L686" s="1570"/>
      <c r="M686" s="1570"/>
      <c r="N686" s="1570"/>
      <c r="O686" s="1570"/>
      <c r="P686" s="1570"/>
      <c r="Q686" s="1570"/>
      <c r="R686" s="1570"/>
      <c r="S686" s="1570"/>
      <c r="T686" s="1570"/>
      <c r="U686" s="1570"/>
      <c r="V686" s="1570"/>
      <c r="W686" s="1570"/>
      <c r="X686" s="1570"/>
      <c r="Y686" s="1570"/>
      <c r="Z686" s="1570"/>
      <c r="AA686" s="1570"/>
      <c r="AB686" s="1570"/>
      <c r="AC686" s="1570"/>
      <c r="AD686" s="1570"/>
      <c r="AE686" s="1570"/>
      <c r="AF686" s="1570"/>
      <c r="AG686" s="1570"/>
      <c r="AH686" s="1570"/>
      <c r="AI686" s="1570"/>
      <c r="AJ686" s="1570">
        <f t="shared" si="2725"/>
        <v>0.18525318329878582</v>
      </c>
      <c r="AK686" s="1570">
        <f t="shared" si="2725"/>
        <v>0.2007698315296218</v>
      </c>
      <c r="AL686" s="1570">
        <f t="shared" si="2725"/>
        <v>0.21360447270335459</v>
      </c>
      <c r="AM686" s="1570">
        <f t="shared" si="2725"/>
        <v>0.19588717381467147</v>
      </c>
      <c r="AN686" s="1570">
        <f t="shared" si="2727"/>
        <v>0.18253271373607149</v>
      </c>
      <c r="AO686" s="1570">
        <f t="shared" si="2727"/>
        <v>0.19562273170731737</v>
      </c>
      <c r="AP686" s="1570">
        <f t="shared" si="2727"/>
        <v>0.21339602275295433</v>
      </c>
      <c r="AQ686" s="1570">
        <f t="shared" si="2727"/>
        <v>0.21537247636569146</v>
      </c>
      <c r="AR686" s="1519"/>
      <c r="AS686" s="1570"/>
      <c r="AT686" s="1570"/>
      <c r="AU686" s="1570"/>
      <c r="AV686" s="1570"/>
      <c r="AW686" s="1570"/>
      <c r="AX686" s="1570"/>
      <c r="AY686" s="1570"/>
      <c r="AZ686" s="1570"/>
      <c r="BA686" s="1570"/>
      <c r="BB686" s="1570"/>
      <c r="BC686" s="1570"/>
      <c r="BD686" s="1570"/>
      <c r="BE686" s="1570"/>
      <c r="BF686" s="1570"/>
      <c r="BG686" s="1570"/>
      <c r="BH686" s="1570"/>
      <c r="BI686" s="1570"/>
      <c r="BJ686" s="1570"/>
      <c r="BK686" s="1570"/>
      <c r="BL686" s="1570"/>
      <c r="BM686" s="1570"/>
      <c r="BN686" s="1570"/>
      <c r="BO686" s="1570">
        <f t="shared" si="2722"/>
        <v>0.19905681070410175</v>
      </c>
      <c r="BP686" s="1570">
        <f t="shared" si="2723"/>
        <v>0.20249750971978342</v>
      </c>
      <c r="BQ686" s="1527"/>
      <c r="BT686" s="1527"/>
      <c r="BU686" s="1527"/>
      <c r="BV686" s="1527"/>
      <c r="BW686" s="1527"/>
      <c r="BX686" s="1527"/>
      <c r="BY686" s="1527"/>
      <c r="BZ686" s="1527"/>
      <c r="CA686" s="1527"/>
      <c r="CB686" s="1527"/>
      <c r="CC686" s="1527"/>
    </row>
    <row r="687" spans="2:81" s="1518" customFormat="1" hidden="1" outlineLevel="2">
      <c r="AR687" s="1565"/>
      <c r="BQ687" s="1530"/>
    </row>
    <row r="688" spans="2:81" s="1519" customFormat="1" ht="11.45" hidden="1" outlineLevel="2">
      <c r="B688" s="1571" t="str">
        <f>+B662</f>
        <v>2-yr Stack Growth %</v>
      </c>
      <c r="AH688" s="1567"/>
      <c r="AI688" s="1567"/>
      <c r="AJ688" s="1567"/>
      <c r="AK688" s="1567"/>
      <c r="AL688" s="1567"/>
      <c r="AM688" s="1567"/>
      <c r="AN688" s="1567"/>
      <c r="AO688" s="1567"/>
      <c r="AP688" s="1567"/>
      <c r="AQ688" s="1567"/>
      <c r="AR688" s="1567"/>
      <c r="BQ688" s="1535"/>
      <c r="BT688" s="1518"/>
      <c r="BU688" s="1518"/>
      <c r="BV688" s="1518"/>
      <c r="BW688" s="1518"/>
      <c r="BX688" s="1518"/>
      <c r="BY688" s="1518"/>
      <c r="BZ688" s="1518"/>
      <c r="CA688" s="1518"/>
      <c r="CB688" s="1518"/>
      <c r="CC688" s="1518"/>
    </row>
    <row r="689" spans="2:81" s="1540" customFormat="1" hidden="1" outlineLevel="2">
      <c r="B689" s="1573" t="str">
        <f t="shared" ref="B689:B690" si="2728">+B681</f>
        <v>Azure (new segmentation)</v>
      </c>
      <c r="D689" s="1565"/>
      <c r="E689" s="1565"/>
      <c r="F689" s="1565"/>
      <c r="G689" s="1565"/>
      <c r="H689" s="1565"/>
      <c r="I689" s="1565"/>
      <c r="J689" s="1565"/>
      <c r="K689" s="1565"/>
      <c r="L689" s="1565"/>
      <c r="M689" s="1565"/>
      <c r="N689" s="1565"/>
      <c r="O689" s="1565"/>
      <c r="P689" s="1565"/>
      <c r="Q689" s="1565"/>
      <c r="R689" s="1565"/>
      <c r="S689" s="1565"/>
      <c r="T689" s="1565"/>
      <c r="U689" s="1565"/>
      <c r="V689" s="1565"/>
      <c r="W689" s="1565"/>
      <c r="X689" s="1565"/>
      <c r="Y689" s="1565"/>
      <c r="Z689" s="1565"/>
      <c r="AA689" s="1565"/>
      <c r="AB689" s="1565"/>
      <c r="AC689" s="1565"/>
      <c r="AD689" s="1565"/>
      <c r="AE689" s="1565"/>
      <c r="AF689" s="1565"/>
      <c r="AG689" s="1565"/>
      <c r="AH689" s="1565"/>
      <c r="AI689" s="1565"/>
      <c r="AJ689" s="1565">
        <f t="shared" ref="AJ689:AQ694" si="2729">+AJ681+AF683</f>
        <v>0.31025369978858341</v>
      </c>
      <c r="AK689" s="1565">
        <f t="shared" si="2729"/>
        <v>0.32930146701641894</v>
      </c>
      <c r="AL689" s="1565">
        <f t="shared" si="2729"/>
        <v>0.35303012502918674</v>
      </c>
      <c r="AM689" s="1565">
        <f t="shared" si="2729"/>
        <v>0.33870034243857572</v>
      </c>
      <c r="AN689" s="1565">
        <f t="shared" si="2729"/>
        <v>0.53477792732166907</v>
      </c>
      <c r="AO689" s="1565">
        <f t="shared" si="2729"/>
        <v>0.55240007494379229</v>
      </c>
      <c r="AP689" s="1565">
        <f t="shared" si="2729"/>
        <v>0.58344686561618953</v>
      </c>
      <c r="AQ689" s="1565">
        <f t="shared" si="2729"/>
        <v>0.55624733225744105</v>
      </c>
      <c r="AR689" s="1565"/>
      <c r="AS689" s="1565"/>
      <c r="AT689" s="1565"/>
      <c r="AU689" s="1565"/>
      <c r="AV689" s="1565"/>
      <c r="AW689" s="1565"/>
      <c r="AX689" s="1565"/>
      <c r="AY689" s="1565"/>
      <c r="AZ689" s="1565"/>
      <c r="BA689" s="1565"/>
      <c r="BB689" s="1565"/>
      <c r="BC689" s="1565"/>
      <c r="BD689" s="1565"/>
      <c r="BE689" s="1565"/>
      <c r="BF689" s="1565"/>
      <c r="BG689" s="1565"/>
      <c r="BH689" s="1565"/>
      <c r="BI689" s="1565"/>
      <c r="BJ689" s="1565"/>
      <c r="BK689" s="1565"/>
      <c r="BL689" s="1565"/>
      <c r="BM689" s="1565"/>
      <c r="BN689" s="1565"/>
      <c r="BO689" s="1565"/>
      <c r="BP689" s="1565">
        <f>+BP681+BO681</f>
        <v>0.66363464163761021</v>
      </c>
      <c r="BQ689" s="1518"/>
      <c r="BT689" s="1518"/>
      <c r="BU689" s="1518"/>
      <c r="BV689" s="1518"/>
      <c r="BW689" s="1518"/>
      <c r="BX689" s="1518"/>
      <c r="BY689" s="1518"/>
      <c r="BZ689" s="1518"/>
      <c r="CA689" s="1518"/>
      <c r="CB689" s="1518"/>
      <c r="CC689" s="1518"/>
    </row>
    <row r="690" spans="2:81" s="1542" customFormat="1" ht="11.45" hidden="1" outlineLevel="2">
      <c r="B690" s="1573" t="str">
        <f t="shared" si="2728"/>
        <v>Server Products and Licensing</v>
      </c>
      <c r="D690" s="1567"/>
      <c r="E690" s="1567"/>
      <c r="F690" s="1567"/>
      <c r="G690" s="1567"/>
      <c r="H690" s="1567"/>
      <c r="I690" s="1567"/>
      <c r="J690" s="1567"/>
      <c r="K690" s="1567"/>
      <c r="L690" s="1567"/>
      <c r="M690" s="1567"/>
      <c r="N690" s="1567"/>
      <c r="O690" s="1567"/>
      <c r="P690" s="1567"/>
      <c r="Q690" s="1567"/>
      <c r="R690" s="1567"/>
      <c r="S690" s="1567"/>
      <c r="T690" s="1567"/>
      <c r="U690" s="1567"/>
      <c r="V690" s="1567"/>
      <c r="W690" s="1567"/>
      <c r="X690" s="1567"/>
      <c r="Y690" s="1567"/>
      <c r="Z690" s="1567"/>
      <c r="AA690" s="1567"/>
      <c r="AB690" s="1567"/>
      <c r="AC690" s="1567"/>
      <c r="AD690" s="1567"/>
      <c r="AE690" s="1567"/>
      <c r="AF690" s="1567"/>
      <c r="AG690" s="1567"/>
      <c r="AH690" s="1567"/>
      <c r="AI690" s="1567"/>
      <c r="AJ690" s="1567">
        <f t="shared" si="2729"/>
        <v>2.0000000000000018E-2</v>
      </c>
      <c r="AK690" s="1567">
        <f t="shared" si="2729"/>
        <v>3.0000000000000027E-2</v>
      </c>
      <c r="AL690" s="1567">
        <f t="shared" si="2729"/>
        <v>6.0000000000000053E-2</v>
      </c>
      <c r="AM690" s="1567">
        <f t="shared" si="2729"/>
        <v>2.0000000000000018E-2</v>
      </c>
      <c r="AN690" s="1567">
        <f t="shared" si="2729"/>
        <v>0</v>
      </c>
      <c r="AO690" s="1567">
        <f t="shared" si="2729"/>
        <v>-9.9999999999999881E-3</v>
      </c>
      <c r="AP690" s="1567">
        <f t="shared" si="2729"/>
        <v>-0.13999999999999996</v>
      </c>
      <c r="AQ690" s="1567">
        <f t="shared" si="2729"/>
        <v>-8.0000000000000057E-2</v>
      </c>
      <c r="AR690" s="1565"/>
      <c r="AS690" s="1567"/>
      <c r="AT690" s="1567"/>
      <c r="AU690" s="1567"/>
      <c r="AV690" s="1567"/>
      <c r="AW690" s="1567"/>
      <c r="AX690" s="1567"/>
      <c r="AY690" s="1567"/>
      <c r="AZ690" s="1567"/>
      <c r="BA690" s="1567"/>
      <c r="BB690" s="1567"/>
      <c r="BC690" s="1567"/>
      <c r="BD690" s="1567"/>
      <c r="BE690" s="1567"/>
      <c r="BF690" s="1567"/>
      <c r="BG690" s="1567"/>
      <c r="BH690" s="1567"/>
      <c r="BI690" s="1567"/>
      <c r="BJ690" s="1567"/>
      <c r="BK690" s="1567"/>
      <c r="BL690" s="1567"/>
      <c r="BM690" s="1567"/>
      <c r="BN690" s="1567"/>
      <c r="BO690" s="1567"/>
      <c r="BP690" s="1567">
        <f t="shared" ref="BP690:BP694" si="2730">+BP682+BO682</f>
        <v>1.7633613285833905E-2</v>
      </c>
      <c r="BQ690" s="1519"/>
      <c r="BT690" s="1518"/>
      <c r="BU690" s="1518"/>
      <c r="BV690" s="1518"/>
      <c r="BW690" s="1518"/>
      <c r="BX690" s="1518"/>
      <c r="BY690" s="1518"/>
      <c r="BZ690" s="1518"/>
      <c r="CA690" s="1518"/>
      <c r="CB690" s="1518"/>
      <c r="CC690" s="1518"/>
    </row>
    <row r="691" spans="2:81" s="1540" customFormat="1" ht="11.45" hidden="1" outlineLevel="2">
      <c r="B691" s="1574" t="str">
        <f>+B683</f>
        <v>Server Products and Cloud Services</v>
      </c>
      <c r="D691" s="1565"/>
      <c r="E691" s="1565"/>
      <c r="F691" s="1565"/>
      <c r="G691" s="1565"/>
      <c r="H691" s="1565"/>
      <c r="I691" s="1565"/>
      <c r="J691" s="1565"/>
      <c r="K691" s="1565"/>
      <c r="L691" s="1565"/>
      <c r="M691" s="1565"/>
      <c r="N691" s="1565"/>
      <c r="O691" s="1565"/>
      <c r="P691" s="1565"/>
      <c r="Q691" s="1565"/>
      <c r="R691" s="1565"/>
      <c r="S691" s="1565"/>
      <c r="T691" s="1565"/>
      <c r="U691" s="1565"/>
      <c r="V691" s="1565"/>
      <c r="W691" s="1565"/>
      <c r="X691" s="1565"/>
      <c r="Y691" s="1565"/>
      <c r="Z691" s="1565"/>
      <c r="AA691" s="1565"/>
      <c r="AB691" s="1565"/>
      <c r="AC691" s="1565"/>
      <c r="AD691" s="1565"/>
      <c r="AE691" s="1565"/>
      <c r="AF691" s="1565"/>
      <c r="AG691" s="1565"/>
      <c r="AH691" s="1565"/>
      <c r="AI691" s="1565"/>
      <c r="AJ691" s="1565">
        <f t="shared" si="2729"/>
        <v>0.204777927321669</v>
      </c>
      <c r="AK691" s="1565">
        <f t="shared" si="2729"/>
        <v>0.22240007494379221</v>
      </c>
      <c r="AL691" s="1565">
        <f t="shared" si="2729"/>
        <v>0.25344686561618945</v>
      </c>
      <c r="AM691" s="1565">
        <f t="shared" si="2729"/>
        <v>0.22624733225744098</v>
      </c>
      <c r="AN691" s="1565">
        <f t="shared" si="2729"/>
        <v>0.66380690199648917</v>
      </c>
      <c r="AO691" s="1565">
        <f t="shared" si="2729"/>
        <v>0.59300314991271352</v>
      </c>
      <c r="AP691" s="1565">
        <f t="shared" si="2729"/>
        <v>-0.10415349727765222</v>
      </c>
      <c r="AQ691" s="1565">
        <f t="shared" si="2729"/>
        <v>-1.2472598369155716</v>
      </c>
      <c r="AR691" s="1567"/>
      <c r="AS691" s="1565"/>
      <c r="AT691" s="1565"/>
      <c r="AU691" s="1565"/>
      <c r="AV691" s="1565"/>
      <c r="AW691" s="1565"/>
      <c r="AX691" s="1565"/>
      <c r="AY691" s="1565"/>
      <c r="AZ691" s="1565"/>
      <c r="BA691" s="1565"/>
      <c r="BB691" s="1565"/>
      <c r="BC691" s="1565"/>
      <c r="BD691" s="1565"/>
      <c r="BE691" s="1565"/>
      <c r="BF691" s="1565"/>
      <c r="BG691" s="1565"/>
      <c r="BH691" s="1565"/>
      <c r="BI691" s="1565"/>
      <c r="BJ691" s="1565"/>
      <c r="BK691" s="1565"/>
      <c r="BL691" s="1565"/>
      <c r="BM691" s="1565"/>
      <c r="BN691" s="1565"/>
      <c r="BO691" s="1565"/>
      <c r="BP691" s="1565">
        <f t="shared" si="2730"/>
        <v>0.45487407873321928</v>
      </c>
      <c r="BT691" s="1519"/>
      <c r="BU691" s="1519"/>
      <c r="BV691" s="1519"/>
      <c r="BW691" s="1519"/>
      <c r="BX691" s="1519"/>
      <c r="BY691" s="1519"/>
      <c r="BZ691" s="1519"/>
      <c r="CA691" s="1519"/>
      <c r="CB691" s="1519"/>
      <c r="CC691" s="1519"/>
    </row>
    <row r="692" spans="2:81" s="1540" customFormat="1" ht="11.45" hidden="1" outlineLevel="2">
      <c r="B692" s="1573" t="str">
        <f>+B684</f>
        <v>Enterprise Services</v>
      </c>
      <c r="D692" s="1565"/>
      <c r="E692" s="1565"/>
      <c r="F692" s="1565"/>
      <c r="G692" s="1565"/>
      <c r="H692" s="1565"/>
      <c r="I692" s="1565"/>
      <c r="J692" s="1565"/>
      <c r="K692" s="1565"/>
      <c r="L692" s="1565"/>
      <c r="M692" s="1565"/>
      <c r="N692" s="1565"/>
      <c r="O692" s="1565"/>
      <c r="P692" s="1565"/>
      <c r="Q692" s="1565"/>
      <c r="R692" s="1565"/>
      <c r="S692" s="1565"/>
      <c r="T692" s="1565"/>
      <c r="U692" s="1565"/>
      <c r="V692" s="1565"/>
      <c r="W692" s="1565"/>
      <c r="X692" s="1565"/>
      <c r="Y692" s="1565"/>
      <c r="Z692" s="1565"/>
      <c r="AA692" s="1565"/>
      <c r="AB692" s="1565"/>
      <c r="AC692" s="1565"/>
      <c r="AD692" s="1565"/>
      <c r="AE692" s="1565"/>
      <c r="AF692" s="1565"/>
      <c r="AG692" s="1565"/>
      <c r="AH692" s="1565"/>
      <c r="AI692" s="1565"/>
      <c r="AJ692" s="1565">
        <f t="shared" si="2729"/>
        <v>1.0000000000000009E-2</v>
      </c>
      <c r="AK692" s="1565">
        <f t="shared" si="2729"/>
        <v>1.0000000000000009E-2</v>
      </c>
      <c r="AL692" s="1565">
        <f t="shared" si="2729"/>
        <v>-8.9999999999999969E-2</v>
      </c>
      <c r="AM692" s="1565">
        <f t="shared" si="2729"/>
        <v>-7.0000000000000062E-2</v>
      </c>
      <c r="AN692" s="1565">
        <f t="shared" si="2729"/>
        <v>0.15525318329878582</v>
      </c>
      <c r="AO692" s="1565">
        <f t="shared" si="2729"/>
        <v>0.1707698315296218</v>
      </c>
      <c r="AP692" s="1565">
        <f t="shared" si="2729"/>
        <v>0.21360447270335459</v>
      </c>
      <c r="AQ692" s="1565">
        <f t="shared" si="2729"/>
        <v>0.19588717381467147</v>
      </c>
      <c r="AR692" s="1570"/>
      <c r="AS692" s="1565"/>
      <c r="AT692" s="1565"/>
      <c r="AU692" s="1565"/>
      <c r="AV692" s="1565"/>
      <c r="AW692" s="1565"/>
      <c r="AX692" s="1565"/>
      <c r="AY692" s="1565"/>
      <c r="AZ692" s="1565"/>
      <c r="BA692" s="1565"/>
      <c r="BB692" s="1565"/>
      <c r="BC692" s="1565"/>
      <c r="BD692" s="1565"/>
      <c r="BE692" s="1565"/>
      <c r="BF692" s="1565"/>
      <c r="BG692" s="1565"/>
      <c r="BH692" s="1565"/>
      <c r="BI692" s="1565"/>
      <c r="BJ692" s="1565"/>
      <c r="BK692" s="1565"/>
      <c r="BL692" s="1565"/>
      <c r="BM692" s="1565"/>
      <c r="BN692" s="1565"/>
      <c r="BO692" s="1565"/>
      <c r="BP692" s="1565">
        <f t="shared" si="2730"/>
        <v>-5.1684740752499736E-2</v>
      </c>
      <c r="BQ692" s="1542"/>
      <c r="BT692" s="1554"/>
      <c r="BU692" s="1554"/>
      <c r="BV692" s="1554"/>
      <c r="BW692" s="1554"/>
      <c r="BX692" s="1554"/>
      <c r="BY692" s="1554"/>
      <c r="BZ692" s="1554"/>
      <c r="CA692" s="1554"/>
      <c r="CB692" s="1554"/>
      <c r="CC692" s="1554"/>
    </row>
    <row r="693" spans="2:81" s="1541" customFormat="1" ht="11.45" hidden="1" outlineLevel="2">
      <c r="B693" s="1573" t="str">
        <f>+B685</f>
        <v>Other</v>
      </c>
      <c r="D693" s="1567"/>
      <c r="E693" s="1567"/>
      <c r="F693" s="1567"/>
      <c r="G693" s="1567"/>
      <c r="H693" s="1567"/>
      <c r="I693" s="1567"/>
      <c r="J693" s="1567"/>
      <c r="K693" s="1567"/>
      <c r="L693" s="1567"/>
      <c r="M693" s="1567"/>
      <c r="N693" s="1567"/>
      <c r="O693" s="1567"/>
      <c r="P693" s="1567"/>
      <c r="Q693" s="1567"/>
      <c r="R693" s="1567"/>
      <c r="S693" s="1567"/>
      <c r="T693" s="1567"/>
      <c r="U693" s="1567"/>
      <c r="V693" s="1567"/>
      <c r="W693" s="1567"/>
      <c r="X693" s="1567"/>
      <c r="Y693" s="1567"/>
      <c r="Z693" s="1567"/>
      <c r="AA693" s="1567"/>
      <c r="AB693" s="1567"/>
      <c r="AC693" s="1567"/>
      <c r="AD693" s="1567"/>
      <c r="AE693" s="1567"/>
      <c r="AF693" s="1567"/>
      <c r="AG693" s="1567"/>
      <c r="AH693" s="1567"/>
      <c r="AI693" s="1567"/>
      <c r="AJ693" s="1567">
        <f t="shared" si="2729"/>
        <v>0.44456375838927253</v>
      </c>
      <c r="AK693" s="1567">
        <f t="shared" si="2729"/>
        <v>0.37134615384617908</v>
      </c>
      <c r="AL693" s="1567">
        <f t="shared" si="2729"/>
        <v>-0.33931428394963759</v>
      </c>
      <c r="AM693" s="1567">
        <f t="shared" si="2729"/>
        <v>-1.4804042691648249</v>
      </c>
      <c r="AN693" s="1567">
        <f t="shared" si="2729"/>
        <v>-1</v>
      </c>
      <c r="AO693" s="1567">
        <f t="shared" si="2729"/>
        <v>-1</v>
      </c>
      <c r="AP693" s="1567">
        <f t="shared" si="2729"/>
        <v>-1</v>
      </c>
      <c r="AQ693" s="1567">
        <f t="shared" si="2729"/>
        <v>-1</v>
      </c>
      <c r="AR693" s="1519"/>
      <c r="AS693" s="1567"/>
      <c r="AT693" s="1567"/>
      <c r="AU693" s="1567"/>
      <c r="AV693" s="1567"/>
      <c r="AW693" s="1567"/>
      <c r="AX693" s="1567"/>
      <c r="AY693" s="1567"/>
      <c r="AZ693" s="1567"/>
      <c r="BA693" s="1567"/>
      <c r="BB693" s="1567"/>
      <c r="BC693" s="1567"/>
      <c r="BD693" s="1567"/>
      <c r="BE693" s="1567"/>
      <c r="BF693" s="1567"/>
      <c r="BG693" s="1567"/>
      <c r="BH693" s="1567"/>
      <c r="BI693" s="1567"/>
      <c r="BJ693" s="1567"/>
      <c r="BK693" s="1567"/>
      <c r="BL693" s="1567"/>
      <c r="BM693" s="1567"/>
      <c r="BN693" s="1567"/>
      <c r="BO693" s="1567"/>
      <c r="BP693" s="1567">
        <f t="shared" si="2730"/>
        <v>-0.8260537351875461</v>
      </c>
      <c r="BQ693" s="1540"/>
      <c r="BT693" s="1519"/>
      <c r="BU693" s="1519"/>
      <c r="BV693" s="1519"/>
      <c r="BW693" s="1519"/>
      <c r="BX693" s="1519"/>
      <c r="BY693" s="1519"/>
      <c r="BZ693" s="1519"/>
      <c r="CA693" s="1519"/>
      <c r="CB693" s="1519"/>
      <c r="CC693" s="1519"/>
    </row>
    <row r="694" spans="2:81" s="1543" customFormat="1" hidden="1" outlineLevel="2">
      <c r="B694" s="1575" t="str">
        <f>+B686</f>
        <v>Total IC Revenue</v>
      </c>
      <c r="D694" s="1570"/>
      <c r="E694" s="1570"/>
      <c r="F694" s="1570"/>
      <c r="G694" s="1570"/>
      <c r="H694" s="1570"/>
      <c r="I694" s="1570"/>
      <c r="J694" s="1570"/>
      <c r="K694" s="1570"/>
      <c r="L694" s="1570"/>
      <c r="M694" s="1570"/>
      <c r="N694" s="1570"/>
      <c r="O694" s="1570"/>
      <c r="P694" s="1570"/>
      <c r="Q694" s="1570"/>
      <c r="R694" s="1570"/>
      <c r="S694" s="1570"/>
      <c r="T694" s="1570"/>
      <c r="U694" s="1570"/>
      <c r="V694" s="1570"/>
      <c r="W694" s="1570"/>
      <c r="X694" s="1570"/>
      <c r="Y694" s="1570"/>
      <c r="Z694" s="1570"/>
      <c r="AA694" s="1570"/>
      <c r="AB694" s="1570"/>
      <c r="AC694" s="1570"/>
      <c r="AD694" s="1570"/>
      <c r="AE694" s="1570"/>
      <c r="AF694" s="1570"/>
      <c r="AG694" s="1570"/>
      <c r="AH694" s="1570"/>
      <c r="AI694" s="1570"/>
      <c r="AJ694" s="1570">
        <f t="shared" si="2729"/>
        <v>0.18525318329878582</v>
      </c>
      <c r="AK694" s="1570">
        <f t="shared" si="2729"/>
        <v>0.2007698315296218</v>
      </c>
      <c r="AL694" s="1570">
        <f t="shared" si="2729"/>
        <v>0.21360447270335459</v>
      </c>
      <c r="AM694" s="1570">
        <f t="shared" si="2729"/>
        <v>0.19588717381467147</v>
      </c>
      <c r="AN694" s="1570">
        <f t="shared" si="2729"/>
        <v>0.18253271373607149</v>
      </c>
      <c r="AO694" s="1570">
        <f t="shared" si="2729"/>
        <v>0.19562273170731737</v>
      </c>
      <c r="AP694" s="1570">
        <f t="shared" si="2729"/>
        <v>0.21339602275295433</v>
      </c>
      <c r="AQ694" s="1570">
        <f t="shared" si="2729"/>
        <v>0.21537247636569146</v>
      </c>
      <c r="AR694" s="1519"/>
      <c r="AS694" s="1570"/>
      <c r="AT694" s="1570"/>
      <c r="AU694" s="1570"/>
      <c r="AV694" s="1570"/>
      <c r="AW694" s="1570"/>
      <c r="AX694" s="1570"/>
      <c r="AY694" s="1570"/>
      <c r="AZ694" s="1570"/>
      <c r="BA694" s="1570"/>
      <c r="BB694" s="1570"/>
      <c r="BC694" s="1570"/>
      <c r="BD694" s="1570"/>
      <c r="BE694" s="1570"/>
      <c r="BF694" s="1570"/>
      <c r="BG694" s="1570"/>
      <c r="BH694" s="1570"/>
      <c r="BI694" s="1570"/>
      <c r="BJ694" s="1570"/>
      <c r="BK694" s="1570"/>
      <c r="BL694" s="1570"/>
      <c r="BM694" s="1570"/>
      <c r="BN694" s="1570"/>
      <c r="BO694" s="1570"/>
      <c r="BP694" s="1570">
        <f t="shared" si="2730"/>
        <v>0.40155432042388517</v>
      </c>
      <c r="BQ694" s="1540"/>
      <c r="BT694" s="1519"/>
      <c r="BU694" s="1519"/>
      <c r="BV694" s="1519"/>
      <c r="BW694" s="1519"/>
      <c r="BX694" s="1519"/>
      <c r="BY694" s="1519"/>
      <c r="BZ694" s="1519"/>
      <c r="CA694" s="1519"/>
      <c r="CB694" s="1519"/>
      <c r="CC694" s="1519"/>
    </row>
    <row r="695" spans="2:81" s="1519" customFormat="1" outlineLevel="1" collapsed="1">
      <c r="H695" s="1550"/>
      <c r="I695" s="1550"/>
      <c r="J695" s="1550"/>
      <c r="K695" s="1550"/>
      <c r="L695" s="1550"/>
      <c r="M695" s="1550"/>
      <c r="N695" s="1550"/>
      <c r="O695" s="1550"/>
      <c r="P695" s="1550"/>
      <c r="Q695" s="1550"/>
      <c r="R695" s="1550"/>
      <c r="S695" s="1550"/>
      <c r="T695" s="1550"/>
      <c r="U695" s="1550"/>
      <c r="V695" s="1550"/>
      <c r="W695" s="1550"/>
      <c r="X695" s="1550"/>
      <c r="Y695" s="1550"/>
      <c r="Z695" s="1550"/>
      <c r="AA695" s="1550"/>
      <c r="AB695" s="1550"/>
      <c r="AC695" s="1550"/>
      <c r="AD695" s="1550"/>
      <c r="AE695" s="1550"/>
      <c r="AF695" s="1550"/>
      <c r="AG695" s="1550"/>
      <c r="AH695" s="1550"/>
      <c r="AI695" s="1550"/>
      <c r="BQ695" s="1541"/>
      <c r="BR695" s="1551"/>
    </row>
    <row r="696" spans="2:81" s="100" customFormat="1" ht="10.5">
      <c r="B696" s="5" t="s">
        <v>446</v>
      </c>
      <c r="C696" s="4"/>
      <c r="H696" s="880"/>
      <c r="I696" s="880"/>
      <c r="J696" s="880"/>
      <c r="K696" s="880"/>
      <c r="L696" s="880"/>
      <c r="M696" s="880"/>
      <c r="N696" s="880"/>
      <c r="O696" s="880"/>
      <c r="P696" s="880"/>
      <c r="Q696" s="880"/>
      <c r="R696" s="880"/>
      <c r="S696" s="880"/>
      <c r="T696" s="880"/>
      <c r="U696" s="880"/>
      <c r="V696" s="880"/>
      <c r="W696" s="880"/>
      <c r="X696" s="880"/>
      <c r="Y696" s="880"/>
      <c r="Z696" s="880"/>
      <c r="AA696" s="880"/>
      <c r="AB696" s="880"/>
      <c r="AC696" s="880"/>
      <c r="AD696" s="880"/>
      <c r="AE696" s="880"/>
      <c r="AF696" s="880"/>
      <c r="AG696" s="880"/>
      <c r="AH696" s="880"/>
      <c r="AI696" s="880"/>
      <c r="BQ696" s="1162"/>
      <c r="BR696" s="11"/>
    </row>
    <row r="697" spans="2:81" s="100" customFormat="1">
      <c r="H697" s="880"/>
      <c r="I697" s="880"/>
      <c r="J697" s="880"/>
      <c r="K697" s="880"/>
      <c r="L697" s="880"/>
      <c r="M697" s="880"/>
      <c r="N697" s="880"/>
      <c r="O697" s="880"/>
      <c r="P697" s="880"/>
      <c r="Q697" s="880"/>
      <c r="R697" s="880"/>
      <c r="S697" s="880"/>
      <c r="T697" s="880"/>
      <c r="U697" s="880"/>
      <c r="V697" s="880"/>
      <c r="W697" s="880"/>
      <c r="X697" s="880"/>
      <c r="Y697" s="880"/>
      <c r="Z697" s="880"/>
      <c r="AA697" s="880"/>
      <c r="AB697" s="880"/>
      <c r="AC697" s="880"/>
      <c r="AD697" s="880"/>
      <c r="AE697" s="880"/>
      <c r="AF697" s="880"/>
      <c r="AG697" s="880"/>
      <c r="AH697" s="880"/>
      <c r="AI697" s="880"/>
      <c r="AJ697" s="880"/>
      <c r="AK697" s="880"/>
      <c r="AL697" s="880"/>
      <c r="AM697" s="880"/>
      <c r="AN697" s="880"/>
      <c r="BQ697" s="1162"/>
      <c r="BR697" s="11"/>
    </row>
    <row r="698" spans="2:81" ht="10.5">
      <c r="B698" t="s">
        <v>447</v>
      </c>
      <c r="C698" s="61"/>
      <c r="D698" s="61">
        <f t="shared" ref="D698:S698" si="2731">+D868-D861</f>
        <v>0</v>
      </c>
      <c r="E698" s="61">
        <f t="shared" si="2731"/>
        <v>0</v>
      </c>
      <c r="F698" s="61">
        <f t="shared" si="2731"/>
        <v>0</v>
      </c>
      <c r="G698" s="61">
        <f t="shared" si="2731"/>
        <v>0</v>
      </c>
      <c r="H698" s="61">
        <f t="shared" si="2731"/>
        <v>7707.4280972923152</v>
      </c>
      <c r="I698" s="61">
        <f t="shared" si="2731"/>
        <v>10086.849467196171</v>
      </c>
      <c r="J698" s="61">
        <f t="shared" si="2731"/>
        <v>7226.583035157154</v>
      </c>
      <c r="K698" s="61">
        <f t="shared" si="2731"/>
        <v>7276.9740834197792</v>
      </c>
      <c r="L698" s="61">
        <f t="shared" si="2731"/>
        <v>7775.9078141014161</v>
      </c>
      <c r="M698" s="61">
        <f t="shared" si="2731"/>
        <v>10441.107765285085</v>
      </c>
      <c r="N698" s="61">
        <f t="shared" si="2731"/>
        <v>8121.1564813988643</v>
      </c>
      <c r="O698" s="61">
        <f t="shared" si="2731"/>
        <v>8535.2438291158142</v>
      </c>
      <c r="P698" s="61">
        <f t="shared" si="2731"/>
        <v>8969.9619680638589</v>
      </c>
      <c r="Q698" s="61">
        <f t="shared" si="2731"/>
        <v>11172.405824168467</v>
      </c>
      <c r="R698" s="61">
        <f t="shared" si="2731"/>
        <v>8797.552381130281</v>
      </c>
      <c r="S698" s="61">
        <f t="shared" si="2731"/>
        <v>8919.103087089512</v>
      </c>
      <c r="T698" s="61">
        <f t="shared" ref="T698:AD698" si="2732">+T868-T861</f>
        <v>9186.8555019030555</v>
      </c>
      <c r="U698" s="61">
        <f t="shared" si="2732"/>
        <v>11097.376239213618</v>
      </c>
      <c r="V698" s="61">
        <f t="shared" si="2732"/>
        <v>8828.2126537303793</v>
      </c>
      <c r="W698" s="61">
        <f t="shared" si="2732"/>
        <v>10361.18743700881</v>
      </c>
      <c r="X698" s="61">
        <f t="shared" si="2732"/>
        <v>9933.3037798967343</v>
      </c>
      <c r="Y698" s="61">
        <f t="shared" si="2732"/>
        <v>13132.558454923101</v>
      </c>
      <c r="Z698" s="61">
        <f t="shared" si="2732"/>
        <v>10933.857546612837</v>
      </c>
      <c r="AA698" s="61">
        <f t="shared" si="2732"/>
        <v>11308.536468540682</v>
      </c>
      <c r="AB698" s="61">
        <f t="shared" si="2732"/>
        <v>11190.75144181695</v>
      </c>
      <c r="AC698" s="61">
        <f t="shared" si="2732"/>
        <v>15253.790690382468</v>
      </c>
      <c r="AD698" s="61">
        <f t="shared" si="2732"/>
        <v>12164.564218324227</v>
      </c>
      <c r="AE698" s="61">
        <f>+AE868-AE861</f>
        <v>11444.391355187348</v>
      </c>
      <c r="AF698" s="8">
        <f t="shared" ref="AF698:AI698" si="2733">+AF700-AF699</f>
        <v>11163</v>
      </c>
      <c r="AG698" s="8">
        <f t="shared" si="2733"/>
        <v>12219</v>
      </c>
      <c r="AH698" s="8">
        <f t="shared" si="2733"/>
        <v>10687</v>
      </c>
      <c r="AI698" s="8">
        <f t="shared" si="2733"/>
        <v>10751</v>
      </c>
      <c r="AJ698" s="8">
        <f t="shared" ref="AJ698:AN698" si="2734">+AJ700-AJ699</f>
        <v>11278</v>
      </c>
      <c r="AK698" s="8">
        <f t="shared" si="2734"/>
        <v>12561</v>
      </c>
      <c r="AL698" s="8">
        <f t="shared" si="2734"/>
        <v>10634</v>
      </c>
      <c r="AM698" s="8">
        <f t="shared" si="2734"/>
        <v>10635</v>
      </c>
      <c r="AN698" s="8">
        <f t="shared" si="2734"/>
        <v>11486</v>
      </c>
      <c r="AO698" s="8">
        <f>+AO700-AO699</f>
        <v>12024.502199999999</v>
      </c>
      <c r="AP698" s="8">
        <f t="shared" ref="AP698:AQ698" si="2735">+AP700-AP699</f>
        <v>10397.413872000001</v>
      </c>
      <c r="AQ698" s="8">
        <f t="shared" si="2735"/>
        <v>10838.029542240001</v>
      </c>
      <c r="BB698" s="8"/>
      <c r="BC698" s="8"/>
      <c r="BD698" s="8"/>
      <c r="BE698" s="8"/>
      <c r="BG698" s="8"/>
      <c r="BH698" s="8"/>
      <c r="BI698" s="8"/>
      <c r="BJ698" s="8"/>
      <c r="BK698" s="8"/>
      <c r="BL698" s="8"/>
      <c r="BM698" s="8"/>
      <c r="BN698" s="8">
        <f t="shared" ref="BN698" si="2736">+BN700-BN699</f>
        <v>44820</v>
      </c>
      <c r="BO698" s="8">
        <f t="shared" ref="BO698:BO699" si="2737">SUM(AJ698:AM698)</f>
        <v>45108</v>
      </c>
      <c r="BP698" s="8">
        <f>+SUM(AN698:AQ698)</f>
        <v>44745.945614240001</v>
      </c>
      <c r="BT698" s="100"/>
      <c r="BU698" s="102"/>
      <c r="BV698" s="102"/>
      <c r="BW698" s="102"/>
      <c r="BX698" s="102"/>
      <c r="BY698" s="102"/>
      <c r="BZ698" s="102"/>
      <c r="CA698" s="102"/>
      <c r="CB698" s="102"/>
      <c r="CC698" s="102"/>
    </row>
    <row r="699" spans="2:81" s="852" customFormat="1" ht="11.45">
      <c r="B699" t="s">
        <v>448</v>
      </c>
      <c r="C699" s="1203"/>
      <c r="D699" s="1203">
        <v>0</v>
      </c>
      <c r="E699" s="1203">
        <v>0</v>
      </c>
      <c r="F699" s="1203">
        <v>0</v>
      </c>
      <c r="G699" s="1203">
        <v>0</v>
      </c>
      <c r="H699" s="1203">
        <v>0</v>
      </c>
      <c r="I699" s="1203">
        <v>0</v>
      </c>
      <c r="J699" s="1203">
        <v>0</v>
      </c>
      <c r="K699" s="1203">
        <v>0</v>
      </c>
      <c r="L699" s="1203">
        <v>0</v>
      </c>
      <c r="M699" s="1203">
        <v>0</v>
      </c>
      <c r="N699" s="1203">
        <v>0</v>
      </c>
      <c r="O699" s="1203">
        <v>0</v>
      </c>
      <c r="P699" s="1203">
        <v>0</v>
      </c>
      <c r="Q699" s="1203">
        <v>0</v>
      </c>
      <c r="R699" s="1203">
        <v>0</v>
      </c>
      <c r="S699" s="1203">
        <v>0</v>
      </c>
      <c r="T699" s="1203">
        <v>0</v>
      </c>
      <c r="U699" s="1203">
        <v>0</v>
      </c>
      <c r="V699" s="1203">
        <v>0</v>
      </c>
      <c r="W699" s="1203">
        <v>0</v>
      </c>
      <c r="X699" s="1203">
        <v>0</v>
      </c>
      <c r="Y699" s="1203">
        <v>0</v>
      </c>
      <c r="Z699" s="1203">
        <v>0</v>
      </c>
      <c r="AA699" s="1203">
        <v>0</v>
      </c>
      <c r="AB699" s="1203">
        <v>0</v>
      </c>
      <c r="AC699" s="1203">
        <v>0</v>
      </c>
      <c r="AD699" s="1203">
        <v>0</v>
      </c>
      <c r="AE699" s="58">
        <v>0</v>
      </c>
      <c r="AF699" s="30">
        <v>0</v>
      </c>
      <c r="AG699" s="30">
        <v>0</v>
      </c>
      <c r="AH699" s="30">
        <v>0</v>
      </c>
      <c r="AI699" s="30">
        <v>0</v>
      </c>
      <c r="AJ699" s="30">
        <v>0</v>
      </c>
      <c r="AK699" s="30">
        <v>2080</v>
      </c>
      <c r="AL699" s="30">
        <v>1970</v>
      </c>
      <c r="AM699" s="30">
        <v>1680</v>
      </c>
      <c r="AN699" s="30">
        <v>1690</v>
      </c>
      <c r="AO699" s="10">
        <f>+AO750</f>
        <v>2225.6</v>
      </c>
      <c r="AP699" s="10">
        <f t="shared" ref="AP699:AQ699" si="2738">+AP750</f>
        <v>2107.9</v>
      </c>
      <c r="AQ699" s="10">
        <f t="shared" si="2738"/>
        <v>1797.6000000000001</v>
      </c>
      <c r="AR699" s="853"/>
      <c r="AS699" s="853"/>
      <c r="AT699" s="853"/>
      <c r="AU699" s="853"/>
      <c r="AV699" s="853"/>
      <c r="AW699" s="853"/>
      <c r="AX699" s="853"/>
      <c r="AY699" s="853"/>
      <c r="AZ699" s="853"/>
      <c r="BA699" s="853"/>
      <c r="BB699" s="853"/>
      <c r="BC699" s="853"/>
      <c r="BD699" s="853"/>
      <c r="BE699" s="853"/>
      <c r="BF699" s="853"/>
      <c r="BG699" s="853"/>
      <c r="BH699" s="853"/>
      <c r="BI699" s="853"/>
      <c r="BJ699" s="853"/>
      <c r="BK699" s="853"/>
      <c r="BL699" s="853"/>
      <c r="BM699" s="853"/>
      <c r="BN699" s="853">
        <v>0</v>
      </c>
      <c r="BO699" s="853">
        <f t="shared" si="2737"/>
        <v>5730</v>
      </c>
      <c r="BP699" s="853">
        <f t="shared" ref="BP699:BP700" si="2739">+SUM(AN699:AQ699)</f>
        <v>7821.1</v>
      </c>
      <c r="BT699"/>
      <c r="BU699"/>
      <c r="BV699"/>
      <c r="BW699"/>
      <c r="BX699"/>
      <c r="BY699"/>
      <c r="BZ699"/>
      <c r="CA699"/>
      <c r="CB699"/>
      <c r="CC699"/>
    </row>
    <row r="700" spans="2:81">
      <c r="B700" s="12" t="s">
        <v>86</v>
      </c>
      <c r="C700" s="61"/>
      <c r="D700" s="61">
        <f t="shared" ref="D700" si="2740">+D699+D698</f>
        <v>0</v>
      </c>
      <c r="E700" s="61">
        <f t="shared" ref="E700" si="2741">+E699+E698</f>
        <v>0</v>
      </c>
      <c r="F700" s="61">
        <f t="shared" ref="F700" si="2742">+F699+F698</f>
        <v>0</v>
      </c>
      <c r="G700" s="61">
        <f t="shared" ref="G700" si="2743">+G699+G698</f>
        <v>0</v>
      </c>
      <c r="H700" s="61">
        <f t="shared" ref="H700" si="2744">+H699+H698</f>
        <v>7707.4280972923152</v>
      </c>
      <c r="I700" s="61">
        <f t="shared" ref="I700" si="2745">+I699+I698</f>
        <v>10086.849467196171</v>
      </c>
      <c r="J700" s="61">
        <f t="shared" ref="J700" si="2746">+J699+J698</f>
        <v>7226.583035157154</v>
      </c>
      <c r="K700" s="61">
        <f t="shared" ref="K700" si="2747">+K699+K698</f>
        <v>7276.9740834197792</v>
      </c>
      <c r="L700" s="61">
        <f t="shared" ref="L700" si="2748">+L699+L698</f>
        <v>7775.9078141014161</v>
      </c>
      <c r="M700" s="61">
        <f t="shared" ref="M700" si="2749">+M699+M698</f>
        <v>10441.107765285085</v>
      </c>
      <c r="N700" s="61">
        <f t="shared" ref="N700" si="2750">+N699+N698</f>
        <v>8121.1564813988643</v>
      </c>
      <c r="O700" s="61">
        <f t="shared" ref="O700" si="2751">+O699+O698</f>
        <v>8535.2438291158142</v>
      </c>
      <c r="P700" s="61">
        <f t="shared" ref="P700" si="2752">+P699+P698</f>
        <v>8969.9619680638589</v>
      </c>
      <c r="Q700" s="61">
        <f t="shared" ref="Q700" si="2753">+Q699+Q698</f>
        <v>11172.405824168467</v>
      </c>
      <c r="R700" s="61">
        <f t="shared" ref="R700" si="2754">+R699+R698</f>
        <v>8797.552381130281</v>
      </c>
      <c r="S700" s="61">
        <f t="shared" ref="S700" si="2755">+S699+S698</f>
        <v>8919.103087089512</v>
      </c>
      <c r="T700" s="61">
        <f t="shared" ref="T700:AD700" si="2756">+T699+T698</f>
        <v>9186.8555019030555</v>
      </c>
      <c r="U700" s="61">
        <f t="shared" si="2756"/>
        <v>11097.376239213618</v>
      </c>
      <c r="V700" s="61">
        <f t="shared" si="2756"/>
        <v>8828.2126537303793</v>
      </c>
      <c r="W700" s="61">
        <f t="shared" si="2756"/>
        <v>10361.18743700881</v>
      </c>
      <c r="X700" s="61">
        <f t="shared" si="2756"/>
        <v>9933.3037798967343</v>
      </c>
      <c r="Y700" s="61">
        <f t="shared" si="2756"/>
        <v>13132.558454923101</v>
      </c>
      <c r="Z700" s="61">
        <f t="shared" si="2756"/>
        <v>10933.857546612837</v>
      </c>
      <c r="AA700" s="61">
        <f t="shared" si="2756"/>
        <v>11308.536468540682</v>
      </c>
      <c r="AB700" s="61">
        <f t="shared" si="2756"/>
        <v>11190.75144181695</v>
      </c>
      <c r="AC700" s="61">
        <f t="shared" si="2756"/>
        <v>15253.790690382468</v>
      </c>
      <c r="AD700" s="61">
        <f t="shared" si="2756"/>
        <v>12164.564218324227</v>
      </c>
      <c r="AE700" s="61">
        <f>+AE699+AE698</f>
        <v>11444.391355187348</v>
      </c>
      <c r="AF700" s="8">
        <f t="shared" ref="AF700:AN700" si="2757">+AF154</f>
        <v>11163</v>
      </c>
      <c r="AG700" s="8">
        <f t="shared" si="2757"/>
        <v>12219</v>
      </c>
      <c r="AH700" s="8">
        <f t="shared" si="2757"/>
        <v>10687</v>
      </c>
      <c r="AI700" s="8">
        <f t="shared" si="2757"/>
        <v>10751</v>
      </c>
      <c r="AJ700" s="8">
        <f t="shared" si="2757"/>
        <v>11278</v>
      </c>
      <c r="AK700" s="8">
        <f t="shared" si="2757"/>
        <v>14641</v>
      </c>
      <c r="AL700" s="8">
        <f t="shared" si="2757"/>
        <v>12604</v>
      </c>
      <c r="AM700" s="8">
        <f t="shared" si="2757"/>
        <v>12315</v>
      </c>
      <c r="AN700" s="8">
        <f t="shared" si="2757"/>
        <v>13176</v>
      </c>
      <c r="AO700" s="8">
        <f>+AO751</f>
        <v>14250.102199999999</v>
      </c>
      <c r="AP700" s="8">
        <f t="shared" ref="AP700:AQ700" si="2758">+AP751</f>
        <v>12505.313872000001</v>
      </c>
      <c r="AQ700" s="8">
        <f t="shared" si="2758"/>
        <v>12635.629542240002</v>
      </c>
      <c r="BB700" s="8"/>
      <c r="BC700" s="8"/>
      <c r="BD700" s="8"/>
      <c r="BE700" s="8"/>
      <c r="BG700" s="8"/>
      <c r="BH700" s="8"/>
      <c r="BI700" s="8"/>
      <c r="BJ700" s="8"/>
      <c r="BK700" s="8"/>
      <c r="BL700" s="8"/>
      <c r="BM700" s="8"/>
      <c r="BN700" s="8">
        <f>SUM(AF700:AI700)</f>
        <v>44820</v>
      </c>
      <c r="BO700" s="8">
        <f>SUM(AJ700:AM700)</f>
        <v>50838</v>
      </c>
      <c r="BP700" s="8">
        <f t="shared" si="2739"/>
        <v>52567.04561424</v>
      </c>
    </row>
    <row r="701" spans="2:81">
      <c r="B701" s="15" t="s">
        <v>113</v>
      </c>
      <c r="L701" s="14"/>
      <c r="M701" s="14"/>
      <c r="N701" s="14"/>
      <c r="O701" s="14"/>
      <c r="P701" s="14"/>
      <c r="Q701" s="14"/>
      <c r="R701" s="14"/>
      <c r="S701" s="14"/>
      <c r="T701" s="14">
        <f t="shared" ref="T701" si="2759">+T700/P700-1</f>
        <v>2.4179983662295568E-2</v>
      </c>
      <c r="U701" s="14">
        <f t="shared" ref="U701" si="2760">+U700/Q700-1</f>
        <v>-6.7156157890848611E-3</v>
      </c>
      <c r="V701" s="14">
        <f t="shared" ref="V701" si="2761">+V700/R700-1</f>
        <v>3.4850912244479559E-3</v>
      </c>
      <c r="W701" s="14">
        <f t="shared" ref="W701" si="2762">+W700/S700-1</f>
        <v>0.16168490663671431</v>
      </c>
      <c r="X701" s="14">
        <f t="shared" ref="X701" si="2763">+X700/T700-1</f>
        <v>8.1251770841399784E-2</v>
      </c>
      <c r="Y701" s="14">
        <f t="shared" ref="Y701" si="2764">+Y700/U700-1</f>
        <v>0.18339309867840448</v>
      </c>
      <c r="Z701" s="14">
        <f t="shared" ref="Z701" si="2765">+Z700/V700-1</f>
        <v>0.23851315951170626</v>
      </c>
      <c r="AA701" s="14">
        <f t="shared" ref="AA701" si="2766">+AA700/W700-1</f>
        <v>9.1432476952213459E-2</v>
      </c>
      <c r="AB701" s="14">
        <f t="shared" ref="AB701" si="2767">+AB700/X700-1</f>
        <v>0.12658906742236864</v>
      </c>
      <c r="AC701" s="14">
        <f t="shared" ref="AC701" si="2768">+AC700/Y700-1</f>
        <v>0.16152467493218459</v>
      </c>
      <c r="AD701" s="14">
        <f t="shared" ref="AD701" si="2769">+AD700/Z700-1</f>
        <v>0.11255923780465271</v>
      </c>
      <c r="AE701" s="14">
        <f t="shared" ref="AE701" si="2770">+AE700/AA700-1</f>
        <v>1.2013480880094685E-2</v>
      </c>
      <c r="AF701" s="14">
        <f t="shared" ref="AF701" si="2771">+AF700/AB700-1</f>
        <v>-2.4798550804416841E-3</v>
      </c>
      <c r="AG701" s="14">
        <f t="shared" ref="AG701" si="2772">+AG700/AC700-1</f>
        <v>-0.19895321444891112</v>
      </c>
      <c r="AH701" s="14">
        <f t="shared" ref="AH701" si="2773">+AH700/AD700-1</f>
        <v>-0.12146462395245383</v>
      </c>
      <c r="AI701" s="14">
        <f t="shared" ref="AI701" si="2774">+AI700/AE700-1</f>
        <v>-6.0587875201686292E-2</v>
      </c>
      <c r="AJ701" s="14">
        <f t="shared" ref="AJ701:AK701" si="2775">+AJ700/AF700-1</f>
        <v>1.0301890172892625E-2</v>
      </c>
      <c r="AK701" s="14">
        <f t="shared" si="2775"/>
        <v>0.1982158932809559</v>
      </c>
      <c r="AL701" s="14">
        <f t="shared" ref="AL701" si="2776">+AL700/AH700-1</f>
        <v>0.17937681295031349</v>
      </c>
      <c r="AM701" s="14">
        <f t="shared" ref="AM701:AN701" si="2777">+AM700/AI700-1</f>
        <v>0.14547483954980933</v>
      </c>
      <c r="AN701" s="14">
        <f t="shared" si="2777"/>
        <v>0.16829225039900697</v>
      </c>
      <c r="AO701" s="14">
        <f t="shared" ref="AO701" si="2778">+AO700/AK700-1</f>
        <v>-2.6698845707260443E-2</v>
      </c>
      <c r="AP701" s="14">
        <f t="shared" ref="AP701" si="2779">+AP700/AL700-1</f>
        <v>-7.8297467470643811E-3</v>
      </c>
      <c r="AQ701" s="14">
        <f t="shared" ref="AQ701" si="2780">+AQ700/AM700-1</f>
        <v>2.6035691615103662E-2</v>
      </c>
      <c r="BC701" s="14"/>
      <c r="BD701" s="14"/>
      <c r="BE701" s="14"/>
      <c r="BG701" s="829"/>
      <c r="BH701" s="829"/>
      <c r="BI701" s="14"/>
      <c r="BJ701" s="14"/>
      <c r="BK701" s="14"/>
      <c r="BL701" s="14"/>
      <c r="BM701" s="14"/>
      <c r="BN701" s="14"/>
      <c r="BO701" s="14">
        <f t="shared" ref="BO701:BP701" si="2781">+BO700/BN700-1</f>
        <v>0.1342704149933065</v>
      </c>
      <c r="BP701" s="14">
        <f t="shared" si="2781"/>
        <v>3.4010889772217556E-2</v>
      </c>
      <c r="BT701" s="3"/>
      <c r="BU701" s="3"/>
      <c r="BV701" s="3"/>
      <c r="BW701" s="3"/>
      <c r="BX701" s="3"/>
      <c r="BY701" s="3"/>
      <c r="BZ701" s="3"/>
      <c r="CA701" s="3"/>
      <c r="CB701" s="3"/>
      <c r="CC701" s="3"/>
    </row>
    <row r="702" spans="2:81">
      <c r="B702" s="15" t="s">
        <v>449</v>
      </c>
      <c r="L702" s="14"/>
      <c r="M702" s="14"/>
      <c r="N702" s="14"/>
      <c r="O702" s="14"/>
      <c r="P702" s="14"/>
      <c r="Q702" s="14"/>
      <c r="R702" s="14"/>
      <c r="S702" s="14"/>
      <c r="T702" s="14">
        <f t="shared" ref="T702" si="2782">+T698/P698-1</f>
        <v>2.4179983662295568E-2</v>
      </c>
      <c r="U702" s="14">
        <f t="shared" ref="U702" si="2783">+U698/Q698-1</f>
        <v>-6.7156157890848611E-3</v>
      </c>
      <c r="V702" s="14">
        <f t="shared" ref="V702" si="2784">+V698/R698-1</f>
        <v>3.4850912244479559E-3</v>
      </c>
      <c r="W702" s="14">
        <f t="shared" ref="W702" si="2785">+W698/S698-1</f>
        <v>0.16168490663671431</v>
      </c>
      <c r="X702" s="14">
        <f t="shared" ref="X702" si="2786">+X698/T698-1</f>
        <v>8.1251770841399784E-2</v>
      </c>
      <c r="Y702" s="14">
        <f t="shared" ref="Y702" si="2787">+Y698/U698-1</f>
        <v>0.18339309867840448</v>
      </c>
      <c r="Z702" s="14">
        <f t="shared" ref="Z702" si="2788">+Z698/V698-1</f>
        <v>0.23851315951170626</v>
      </c>
      <c r="AA702" s="14">
        <f t="shared" ref="AA702" si="2789">+AA698/W698-1</f>
        <v>9.1432476952213459E-2</v>
      </c>
      <c r="AB702" s="14">
        <f t="shared" ref="AB702" si="2790">+AB698/X698-1</f>
        <v>0.12658906742236864</v>
      </c>
      <c r="AC702" s="14">
        <f t="shared" ref="AC702" si="2791">+AC698/Y698-1</f>
        <v>0.16152467493218459</v>
      </c>
      <c r="AD702" s="14">
        <f t="shared" ref="AD702" si="2792">+AD698/Z698-1</f>
        <v>0.11255923780465271</v>
      </c>
      <c r="AE702" s="14">
        <f t="shared" ref="AE702" si="2793">+AE698/AA698-1</f>
        <v>1.2013480880094685E-2</v>
      </c>
      <c r="AF702" s="14">
        <f t="shared" ref="AF702" si="2794">+AF698/AB698-1</f>
        <v>-2.4798550804416841E-3</v>
      </c>
      <c r="AG702" s="14">
        <f t="shared" ref="AG702" si="2795">+AG698/AC698-1</f>
        <v>-0.19895321444891112</v>
      </c>
      <c r="AH702" s="14">
        <f t="shared" ref="AH702" si="2796">+AH698/AD698-1</f>
        <v>-0.12146462395245383</v>
      </c>
      <c r="AI702" s="14">
        <f t="shared" ref="AI702" si="2797">+AI698/AE698-1</f>
        <v>-6.0587875201686292E-2</v>
      </c>
      <c r="AJ702" s="14">
        <f t="shared" ref="AJ702:AM702" si="2798">+AJ698/AF698-1</f>
        <v>1.0301890172892625E-2</v>
      </c>
      <c r="AK702" s="14">
        <f t="shared" si="2798"/>
        <v>2.7989197151976342E-2</v>
      </c>
      <c r="AL702" s="14">
        <f t="shared" si="2798"/>
        <v>-4.9592963413492841E-3</v>
      </c>
      <c r="AM702" s="14">
        <f t="shared" si="2798"/>
        <v>-1.0789693981955173E-2</v>
      </c>
      <c r="AN702" s="14">
        <f>+AN698/AJ698-1</f>
        <v>1.8442986345096557E-2</v>
      </c>
      <c r="AO702" s="14">
        <f t="shared" ref="AO702:AQ702" si="2799">+AO698/AK698-1</f>
        <v>-4.2711392405063386E-2</v>
      </c>
      <c r="AP702" s="14">
        <f t="shared" si="2799"/>
        <v>-2.2248084258040146E-2</v>
      </c>
      <c r="AQ702" s="14">
        <f t="shared" si="2799"/>
        <v>1.909069508603678E-2</v>
      </c>
      <c r="BC702" s="14"/>
      <c r="BD702" s="14"/>
      <c r="BE702" s="14"/>
      <c r="BG702" s="829"/>
      <c r="BH702" s="829"/>
      <c r="BI702" s="14"/>
      <c r="BJ702" s="14"/>
      <c r="BK702" s="14"/>
      <c r="BL702" s="14"/>
      <c r="BM702" s="14"/>
      <c r="BN702" s="14"/>
      <c r="BO702" s="14">
        <f>+BO698/BN698-1</f>
        <v>6.4257028112448822E-3</v>
      </c>
      <c r="BP702" s="14">
        <f>+BP698/BO698-1</f>
        <v>-8.0263896816529234E-3</v>
      </c>
      <c r="BT702" s="3"/>
      <c r="BU702" s="3"/>
      <c r="BV702" s="3"/>
      <c r="BW702" s="3"/>
      <c r="BX702" s="3"/>
      <c r="BY702" s="3"/>
      <c r="BZ702" s="3"/>
      <c r="CA702" s="3"/>
      <c r="CB702" s="3"/>
      <c r="CC702" s="3"/>
    </row>
    <row r="703" spans="2:81">
      <c r="B703" s="15" t="s">
        <v>272</v>
      </c>
      <c r="L703" s="22"/>
      <c r="M703" s="22"/>
      <c r="N703" s="22"/>
      <c r="O703" s="22"/>
      <c r="P703" s="22"/>
      <c r="Q703" s="22"/>
      <c r="R703" s="22"/>
      <c r="S703" s="22"/>
      <c r="T703" s="891" t="s">
        <v>273</v>
      </c>
      <c r="U703" s="891" t="s">
        <v>273</v>
      </c>
      <c r="V703" s="891" t="s">
        <v>273</v>
      </c>
      <c r="W703" s="891" t="s">
        <v>273</v>
      </c>
      <c r="X703" s="891" t="s">
        <v>273</v>
      </c>
      <c r="Y703" s="891" t="s">
        <v>273</v>
      </c>
      <c r="Z703" s="891" t="s">
        <v>273</v>
      </c>
      <c r="AA703" s="891" t="s">
        <v>273</v>
      </c>
      <c r="AB703" s="891" t="s">
        <v>273</v>
      </c>
      <c r="AC703" s="891" t="s">
        <v>273</v>
      </c>
      <c r="AD703" s="891" t="s">
        <v>273</v>
      </c>
      <c r="AE703" s="891" t="s">
        <v>273</v>
      </c>
      <c r="AF703" s="891" t="s">
        <v>273</v>
      </c>
      <c r="AG703" s="891" t="s">
        <v>273</v>
      </c>
      <c r="AH703" s="891" t="s">
        <v>273</v>
      </c>
      <c r="AI703" s="891" t="s">
        <v>273</v>
      </c>
      <c r="AJ703" s="891" t="s">
        <v>273</v>
      </c>
      <c r="AK703" s="891" t="s">
        <v>273</v>
      </c>
      <c r="AL703" s="891" t="s">
        <v>273</v>
      </c>
      <c r="AM703" s="891" t="s">
        <v>273</v>
      </c>
      <c r="AN703" s="22">
        <f>+AN169</f>
        <v>0.16800000000000001</v>
      </c>
      <c r="AO703" s="23"/>
      <c r="AP703" s="23"/>
      <c r="AQ703" s="23"/>
      <c r="BC703" s="23"/>
      <c r="BG703" s="23"/>
      <c r="BH703" s="23"/>
      <c r="BI703" s="23"/>
      <c r="BJ703" s="23"/>
      <c r="BK703" s="23"/>
      <c r="BL703" s="23"/>
      <c r="BM703" s="23"/>
      <c r="BN703" s="23"/>
      <c r="BO703" s="23" t="s">
        <v>273</v>
      </c>
      <c r="BP703" s="23" t="s">
        <v>273</v>
      </c>
      <c r="BT703" s="839"/>
      <c r="BU703" s="839"/>
      <c r="BV703" s="839"/>
      <c r="BW703" s="839"/>
      <c r="BX703" s="839"/>
      <c r="BY703" s="839"/>
      <c r="BZ703" s="839"/>
      <c r="CA703" s="839"/>
      <c r="CB703" s="839"/>
      <c r="CC703" s="839"/>
    </row>
    <row r="704" spans="2:81">
      <c r="B704" s="15" t="s">
        <v>450</v>
      </c>
      <c r="L704" s="22"/>
      <c r="M704" s="22"/>
      <c r="N704" s="22"/>
      <c r="O704" s="22"/>
      <c r="P704" s="22"/>
      <c r="Q704" s="22"/>
      <c r="R704" s="22"/>
      <c r="S704" s="22"/>
      <c r="T704" s="891" t="s">
        <v>273</v>
      </c>
      <c r="U704" s="891" t="s">
        <v>273</v>
      </c>
      <c r="V704" s="891" t="s">
        <v>273</v>
      </c>
      <c r="W704" s="891" t="s">
        <v>273</v>
      </c>
      <c r="X704" s="891" t="s">
        <v>273</v>
      </c>
      <c r="Y704" s="891" t="s">
        <v>273</v>
      </c>
      <c r="Z704" s="891" t="s">
        <v>273</v>
      </c>
      <c r="AA704" s="891" t="s">
        <v>273</v>
      </c>
      <c r="AB704" s="891" t="s">
        <v>273</v>
      </c>
      <c r="AC704" s="891" t="s">
        <v>273</v>
      </c>
      <c r="AD704" s="891" t="s">
        <v>273</v>
      </c>
      <c r="AE704" s="891" t="s">
        <v>273</v>
      </c>
      <c r="AF704" s="891" t="s">
        <v>273</v>
      </c>
      <c r="AG704" s="891" t="s">
        <v>273</v>
      </c>
      <c r="AH704" s="891" t="s">
        <v>273</v>
      </c>
      <c r="AI704" s="891" t="s">
        <v>273</v>
      </c>
      <c r="AJ704" s="891" t="s">
        <v>273</v>
      </c>
      <c r="AK704" s="891" t="s">
        <v>273</v>
      </c>
      <c r="AL704" s="891" t="s">
        <v>273</v>
      </c>
      <c r="AM704" s="891" t="s">
        <v>273</v>
      </c>
      <c r="AN704" s="23">
        <f>+AN698/AJ698-1+AN703-AN701</f>
        <v>1.8150735946089597E-2</v>
      </c>
      <c r="AO704" s="23"/>
      <c r="AP704" s="23"/>
      <c r="AQ704" s="23"/>
      <c r="AR704" s="9"/>
      <c r="BC704" s="23"/>
      <c r="BG704" s="23"/>
      <c r="BH704" s="23"/>
      <c r="BI704" s="23"/>
      <c r="BJ704" s="23"/>
      <c r="BK704" s="23"/>
      <c r="BL704" s="23"/>
      <c r="BM704" s="23"/>
      <c r="BN704" s="23"/>
      <c r="BO704" s="23" t="s">
        <v>273</v>
      </c>
      <c r="BP704" s="23" t="s">
        <v>273</v>
      </c>
      <c r="BT704" s="3"/>
      <c r="BU704" s="3"/>
      <c r="BV704" s="3"/>
      <c r="BW704" s="3"/>
      <c r="BX704" s="3"/>
      <c r="BY704" s="3"/>
      <c r="BZ704" s="3"/>
      <c r="CA704" s="3"/>
      <c r="CB704" s="3"/>
      <c r="CC704" s="3"/>
    </row>
    <row r="705" spans="2:81">
      <c r="L705" s="9"/>
      <c r="AK705" s="8"/>
      <c r="AL705" s="8"/>
      <c r="AM705" s="23"/>
      <c r="AN705" s="8"/>
      <c r="AO705" s="8"/>
      <c r="AP705" s="8"/>
      <c r="AQ705" s="8"/>
      <c r="BT705" s="3"/>
      <c r="BU705" s="3"/>
      <c r="BV705" s="3"/>
      <c r="BW705" s="3"/>
      <c r="BX705" s="3"/>
      <c r="BY705" s="3"/>
      <c r="BZ705" s="3"/>
      <c r="CA705" s="3"/>
      <c r="CB705" s="3"/>
      <c r="CC705" s="3"/>
    </row>
    <row r="706" spans="2:81">
      <c r="B706" t="s">
        <v>447</v>
      </c>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f>+AJ708-AJ707</f>
        <v>7032.7800327843252</v>
      </c>
      <c r="AK706" s="8"/>
      <c r="AL706" s="8"/>
      <c r="AM706" s="8"/>
      <c r="AN706" s="8">
        <f>+AN708-AN707</f>
        <v>7337</v>
      </c>
      <c r="AO706" s="61"/>
      <c r="AP706" s="61"/>
      <c r="AQ706" s="61"/>
      <c r="AX706" s="8"/>
      <c r="AY706" s="8"/>
      <c r="AZ706" s="8"/>
      <c r="BA706" s="8"/>
      <c r="BB706" s="8"/>
      <c r="BC706" s="8"/>
      <c r="BD706" s="8"/>
      <c r="BE706" s="8"/>
      <c r="BG706" s="8"/>
      <c r="BH706" s="8"/>
      <c r="BI706" s="8"/>
      <c r="BJ706" s="8"/>
      <c r="BK706" s="8"/>
      <c r="BL706" s="8"/>
      <c r="BM706" s="8"/>
      <c r="BN706" s="8"/>
      <c r="BO706" s="8"/>
      <c r="BP706" s="8"/>
      <c r="BR706" t="s">
        <v>451</v>
      </c>
      <c r="BT706" s="3"/>
      <c r="BU706" s="3"/>
      <c r="BV706" s="3"/>
      <c r="BW706" s="3"/>
      <c r="BX706" s="3"/>
      <c r="BY706" s="3"/>
      <c r="BZ706" s="3"/>
      <c r="CA706" s="3"/>
      <c r="CB706" s="3"/>
      <c r="CC706" s="3"/>
    </row>
    <row r="707" spans="2:81" s="852" customFormat="1">
      <c r="B707" t="s">
        <v>448</v>
      </c>
      <c r="C707" s="853"/>
      <c r="D707" s="853"/>
      <c r="E707" s="853"/>
      <c r="F707" s="853"/>
      <c r="G707" s="853"/>
      <c r="H707" s="853"/>
      <c r="I707" s="853"/>
      <c r="J707" s="853"/>
      <c r="K707" s="853"/>
      <c r="L707" s="853"/>
      <c r="M707" s="853"/>
      <c r="N707" s="853"/>
      <c r="O707" s="853"/>
      <c r="P707" s="853"/>
      <c r="Q707" s="853"/>
      <c r="R707" s="853"/>
      <c r="S707" s="853"/>
      <c r="T707" s="853"/>
      <c r="U707" s="853"/>
      <c r="V707" s="853"/>
      <c r="W707" s="853"/>
      <c r="X707" s="853"/>
      <c r="Y707" s="853"/>
      <c r="Z707" s="853"/>
      <c r="AA707" s="853"/>
      <c r="AB707" s="853"/>
      <c r="AC707" s="853"/>
      <c r="AD707" s="853"/>
      <c r="AE707" s="853"/>
      <c r="AF707" s="853"/>
      <c r="AG707" s="853"/>
      <c r="AH707" s="853"/>
      <c r="AI707" s="853"/>
      <c r="AJ707" s="853">
        <v>0</v>
      </c>
      <c r="AK707" s="29">
        <f>1160+580</f>
        <v>1740</v>
      </c>
      <c r="AL707" s="29">
        <f>990+670</f>
        <v>1660</v>
      </c>
      <c r="AM707" s="29">
        <f>780+690</f>
        <v>1470</v>
      </c>
      <c r="AN707" s="939">
        <f>730+680</f>
        <v>1410</v>
      </c>
      <c r="AO707" s="61">
        <f>+AK707/AK699*AO699</f>
        <v>1861.8</v>
      </c>
      <c r="AP707" s="61">
        <f t="shared" ref="AP707:AQ707" si="2800">+AL707/AL699*AP699</f>
        <v>1776.2</v>
      </c>
      <c r="AQ707" s="61">
        <f t="shared" si="2800"/>
        <v>1572.9</v>
      </c>
      <c r="AR707" s="853"/>
      <c r="AS707" s="853"/>
      <c r="AT707" s="853"/>
      <c r="AU707" s="853"/>
      <c r="AV707" s="853"/>
      <c r="AW707" s="853"/>
      <c r="AX707" s="853"/>
      <c r="AY707" s="853"/>
      <c r="AZ707" s="853"/>
      <c r="BA707" s="853"/>
      <c r="BB707" s="853"/>
      <c r="BC707" s="853"/>
      <c r="BD707" s="853"/>
      <c r="BE707" s="853"/>
      <c r="BF707" s="853"/>
      <c r="BG707" s="853"/>
      <c r="BH707" s="853"/>
      <c r="BI707" s="853"/>
      <c r="BJ707" s="853"/>
      <c r="BK707" s="853"/>
      <c r="BL707" s="853"/>
      <c r="BM707" s="853"/>
      <c r="BN707" s="853"/>
      <c r="BO707" s="853"/>
      <c r="BP707" s="853"/>
      <c r="BT707" s="839"/>
      <c r="BU707" s="839"/>
      <c r="BV707" s="839"/>
      <c r="BW707" s="839"/>
      <c r="BX707" s="839"/>
      <c r="BY707" s="839"/>
      <c r="BZ707" s="839"/>
      <c r="CA707" s="839"/>
      <c r="CB707" s="839"/>
      <c r="CC707" s="839"/>
    </row>
    <row r="708" spans="2:81">
      <c r="B708" s="12" t="s">
        <v>373</v>
      </c>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f>+AJ22-AJ545-AJ341</f>
        <v>7032.7800327843252</v>
      </c>
      <c r="AK708" s="8"/>
      <c r="AL708" s="8"/>
      <c r="AM708" s="8"/>
      <c r="AN708" s="8">
        <f>+AN22-AN545-AN341</f>
        <v>8747</v>
      </c>
      <c r="AO708" s="8"/>
      <c r="AP708" s="8"/>
      <c r="AQ708" s="8"/>
      <c r="AX708" s="8"/>
      <c r="AY708" s="8"/>
      <c r="AZ708" s="8"/>
      <c r="BA708" s="8"/>
      <c r="BB708" s="8"/>
      <c r="BC708" s="8"/>
      <c r="BD708" s="8"/>
      <c r="BE708" s="8"/>
      <c r="BG708" s="8"/>
      <c r="BH708" s="8"/>
      <c r="BI708" s="8"/>
      <c r="BJ708" s="8"/>
      <c r="BK708" s="8"/>
      <c r="BL708" s="8"/>
      <c r="BM708" s="8"/>
      <c r="BN708" s="8"/>
      <c r="BO708" s="8"/>
      <c r="BP708" s="8"/>
      <c r="BT708" s="7"/>
      <c r="BU708" s="7"/>
      <c r="BV708" s="7"/>
      <c r="BW708" s="7"/>
      <c r="BX708" s="7"/>
      <c r="BY708" s="7"/>
      <c r="BZ708" s="7"/>
      <c r="CA708" s="7"/>
      <c r="CB708" s="7"/>
      <c r="CC708" s="7"/>
    </row>
    <row r="709" spans="2:81" s="3" customFormat="1">
      <c r="B709" s="15" t="s">
        <v>113</v>
      </c>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3" t="s">
        <v>273</v>
      </c>
      <c r="AK709" s="891"/>
      <c r="AL709" s="891"/>
      <c r="AM709" s="891"/>
      <c r="AN709" s="14">
        <f t="shared" ref="AN709" si="2801">+AN708/AJ708-1</f>
        <v>0.24374713260255398</v>
      </c>
      <c r="AO709" s="891"/>
      <c r="AP709" s="891"/>
      <c r="AQ709" s="891"/>
      <c r="BH709" s="21"/>
      <c r="BI709" s="21"/>
      <c r="BJ709" s="21"/>
      <c r="BK709" s="21"/>
      <c r="BL709" s="21"/>
      <c r="BM709" s="21"/>
      <c r="BN709" s="21"/>
      <c r="BO709" s="21"/>
      <c r="BP709" s="21"/>
      <c r="BT709" s="7"/>
      <c r="BU709" s="7"/>
      <c r="BV709" s="7"/>
      <c r="BW709" s="7"/>
      <c r="BX709" s="7"/>
      <c r="BY709" s="7"/>
      <c r="BZ709" s="7"/>
      <c r="CA709" s="7"/>
      <c r="CB709" s="7"/>
      <c r="CC709" s="7"/>
    </row>
    <row r="710" spans="2:81" s="3" customFormat="1">
      <c r="B710" s="15" t="s">
        <v>272</v>
      </c>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3" t="s">
        <v>273</v>
      </c>
      <c r="AK710" s="891"/>
      <c r="AL710" s="891"/>
      <c r="AM710" s="891"/>
      <c r="AN710" s="93">
        <f>+AN709+1%</f>
        <v>0.25374713260255399</v>
      </c>
      <c r="AO710" s="891"/>
      <c r="AP710" s="891"/>
      <c r="AQ710" s="891"/>
      <c r="BH710" s="21"/>
      <c r="BI710" s="21"/>
      <c r="BJ710" s="21"/>
      <c r="BK710" s="21"/>
      <c r="BL710" s="21"/>
      <c r="BM710" s="21"/>
      <c r="BN710" s="21"/>
      <c r="BO710" s="21"/>
      <c r="BP710" s="21"/>
      <c r="BT710" s="7"/>
      <c r="BU710" s="7"/>
      <c r="BV710" s="7"/>
      <c r="BW710" s="7"/>
      <c r="BX710" s="7"/>
      <c r="BY710" s="7"/>
      <c r="BZ710" s="7"/>
      <c r="CA710" s="7"/>
      <c r="CB710" s="7"/>
      <c r="CC710" s="7"/>
    </row>
    <row r="711" spans="2:81">
      <c r="B711" s="15" t="s">
        <v>123</v>
      </c>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f>+AJ708/AJ700</f>
        <v>0.62358397169571955</v>
      </c>
      <c r="AK711" s="14"/>
      <c r="AL711" s="14"/>
      <c r="AM711" s="14"/>
      <c r="AN711" s="14">
        <f>+AN708/AN700</f>
        <v>0.66385853066180933</v>
      </c>
      <c r="AO711" s="14"/>
      <c r="AP711" s="14"/>
      <c r="AQ711" s="14"/>
      <c r="BA711" s="14"/>
      <c r="BB711" s="14"/>
      <c r="BC711" s="14"/>
      <c r="BD711" s="14"/>
      <c r="BE711" s="14"/>
      <c r="BG711" s="14"/>
      <c r="BH711" s="14"/>
      <c r="BI711" s="14"/>
      <c r="BJ711" s="14"/>
      <c r="BK711" s="14"/>
      <c r="BL711" s="14"/>
      <c r="BM711" s="14"/>
      <c r="BN711" s="14"/>
      <c r="BO711" s="14"/>
      <c r="BP711" s="14"/>
      <c r="BT711" s="7"/>
      <c r="BU711" s="7"/>
      <c r="BV711" s="7"/>
      <c r="BW711" s="7"/>
      <c r="BX711" s="7"/>
      <c r="BY711" s="7"/>
      <c r="BZ711" s="7"/>
      <c r="CA711" s="7"/>
      <c r="CB711" s="7"/>
      <c r="CC711" s="7"/>
    </row>
    <row r="712" spans="2:81">
      <c r="B712" s="13"/>
      <c r="AG712" s="8"/>
      <c r="AI712" s="9"/>
      <c r="AJ712" s="9"/>
      <c r="AK712" s="9"/>
      <c r="BT712" s="7"/>
      <c r="BU712" s="7"/>
      <c r="BV712" s="7"/>
      <c r="BW712" s="7"/>
      <c r="BX712" s="7"/>
      <c r="BY712" s="7"/>
      <c r="BZ712" s="7"/>
      <c r="CA712" s="7"/>
      <c r="CB712" s="7"/>
      <c r="CC712" s="7"/>
    </row>
    <row r="713" spans="2:81">
      <c r="B713" t="s">
        <v>447</v>
      </c>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f>+AJ715-AJ714</f>
        <v>3342.7800327843252</v>
      </c>
      <c r="AK713" s="8"/>
      <c r="AL713" s="8"/>
      <c r="AM713" s="8"/>
      <c r="AN713" s="8">
        <f>+AN715-AN714</f>
        <v>3364</v>
      </c>
      <c r="AO713" s="8"/>
      <c r="AP713" s="8"/>
      <c r="AQ713" s="8"/>
      <c r="AR713" s="8"/>
      <c r="BB713" s="8"/>
      <c r="BC713" s="8"/>
      <c r="BD713" s="8"/>
      <c r="BE713" s="8"/>
      <c r="BG713" s="8"/>
      <c r="BH713" s="8"/>
      <c r="BI713" s="8"/>
      <c r="BJ713" s="8"/>
      <c r="BK713" s="8"/>
      <c r="BL713" s="8"/>
      <c r="BM713" s="8"/>
      <c r="BN713" s="8"/>
      <c r="BO713" s="8"/>
      <c r="BP713" s="8"/>
      <c r="BR713" t="s">
        <v>452</v>
      </c>
      <c r="BT713" s="100"/>
      <c r="BU713" s="100"/>
      <c r="BV713" s="100"/>
      <c r="BW713" s="100"/>
      <c r="BX713" s="100"/>
      <c r="BY713" s="100"/>
      <c r="BZ713" s="100"/>
      <c r="CA713" s="100"/>
      <c r="CB713" s="100"/>
      <c r="CC713" s="100"/>
    </row>
    <row r="714" spans="2:81" s="852" customFormat="1" ht="11.45">
      <c r="B714" t="s">
        <v>448</v>
      </c>
      <c r="C714" s="853"/>
      <c r="D714" s="853"/>
      <c r="E714" s="853"/>
      <c r="F714" s="853"/>
      <c r="G714" s="853"/>
      <c r="H714" s="853"/>
      <c r="I714" s="853"/>
      <c r="J714" s="853"/>
      <c r="K714" s="853"/>
      <c r="L714" s="853"/>
      <c r="M714" s="853"/>
      <c r="N714" s="853"/>
      <c r="O714" s="853"/>
      <c r="P714" s="853"/>
      <c r="Q714" s="853"/>
      <c r="R714" s="853"/>
      <c r="S714" s="853"/>
      <c r="T714" s="853"/>
      <c r="U714" s="853"/>
      <c r="V714" s="853"/>
      <c r="W714" s="853"/>
      <c r="X714" s="853"/>
      <c r="Y714" s="853"/>
      <c r="Z714" s="853"/>
      <c r="AA714" s="853"/>
      <c r="AB714" s="853"/>
      <c r="AC714" s="853"/>
      <c r="AD714" s="853"/>
      <c r="AE714" s="853"/>
      <c r="AF714" s="853"/>
      <c r="AG714" s="853"/>
      <c r="AH714" s="853"/>
      <c r="AI714" s="853"/>
      <c r="AJ714" s="853">
        <v>0</v>
      </c>
      <c r="AK714" s="29">
        <v>1040</v>
      </c>
      <c r="AL714" s="29">
        <v>1070</v>
      </c>
      <c r="AM714" s="29">
        <f>1350-250</f>
        <v>1100</v>
      </c>
      <c r="AN714" s="939">
        <f>1170-230</f>
        <v>940</v>
      </c>
      <c r="AO714" s="58">
        <v>1056</v>
      </c>
      <c r="AP714" s="58">
        <v>1067</v>
      </c>
      <c r="AQ714" s="58">
        <v>933</v>
      </c>
      <c r="AR714" s="8"/>
      <c r="AS714" s="853"/>
      <c r="AT714" s="853"/>
      <c r="AU714" s="853"/>
      <c r="AV714" s="853"/>
      <c r="AW714" s="853"/>
      <c r="AX714"/>
      <c r="AY714" s="853"/>
      <c r="AZ714" s="853"/>
      <c r="BA714" s="853"/>
      <c r="BB714" s="853"/>
      <c r="BC714" s="853"/>
      <c r="BD714" s="853"/>
      <c r="BE714" s="853"/>
      <c r="BF714" s="853"/>
      <c r="BG714" s="853"/>
      <c r="BH714" s="853"/>
      <c r="BI714" s="853"/>
      <c r="BJ714" s="853"/>
      <c r="BK714" s="853"/>
      <c r="BL714" s="853"/>
      <c r="BM714" s="853"/>
      <c r="BN714" s="853"/>
      <c r="BO714" s="853"/>
      <c r="BP714" s="853"/>
      <c r="BT714" s="1161"/>
      <c r="BU714" s="1161"/>
      <c r="BV714" s="1161"/>
      <c r="BW714" s="1161"/>
      <c r="BX714" s="1161"/>
      <c r="BY714" s="1161"/>
      <c r="BZ714" s="1161"/>
      <c r="CA714" s="1161"/>
      <c r="CB714" s="1161"/>
      <c r="CC714" s="1161"/>
    </row>
    <row r="715" spans="2:81">
      <c r="B715" s="12" t="s">
        <v>374</v>
      </c>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f>+AJ708-AJ722</f>
        <v>3342.7800327843252</v>
      </c>
      <c r="AK715" s="8"/>
      <c r="AL715" s="8"/>
      <c r="AM715" s="8"/>
      <c r="AN715" s="8">
        <f>+AN708-AN722</f>
        <v>4304</v>
      </c>
      <c r="AO715" s="8"/>
      <c r="AP715" s="8"/>
      <c r="AQ715" s="8"/>
      <c r="AR715" s="8"/>
      <c r="BB715" s="8"/>
      <c r="BC715" s="8"/>
      <c r="BD715" s="8"/>
      <c r="BE715" s="8"/>
      <c r="BG715" s="8"/>
      <c r="BH715" s="8"/>
      <c r="BI715" s="8"/>
      <c r="BJ715" s="8"/>
      <c r="BK715" s="8"/>
      <c r="BL715" s="8"/>
      <c r="BM715" s="8"/>
      <c r="BN715" s="8"/>
      <c r="BO715" s="8"/>
      <c r="BP715" s="8"/>
      <c r="BT715" s="872"/>
      <c r="BU715" s="872"/>
      <c r="BV715" s="872"/>
      <c r="BW715" s="872"/>
      <c r="BX715" s="872"/>
      <c r="BY715" s="872"/>
      <c r="BZ715" s="872"/>
      <c r="CA715" s="872"/>
      <c r="CB715" s="872"/>
      <c r="CC715" s="872"/>
    </row>
    <row r="716" spans="2:81">
      <c r="B716" s="15" t="s">
        <v>113</v>
      </c>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23" t="s">
        <v>273</v>
      </c>
      <c r="AK716" s="14"/>
      <c r="AL716" s="14"/>
      <c r="AM716" s="14"/>
      <c r="AN716" s="14">
        <f t="shared" ref="AN716" si="2802">+AN715/AJ715-1</f>
        <v>0.28755106761094273</v>
      </c>
      <c r="AO716" s="14"/>
      <c r="AP716" s="14"/>
      <c r="AQ716" s="14"/>
      <c r="BC716" s="14"/>
      <c r="BD716" s="14"/>
      <c r="BE716" s="14"/>
      <c r="BH716" s="14"/>
      <c r="BI716" s="14"/>
      <c r="BJ716" s="14"/>
      <c r="BK716" s="14"/>
      <c r="BL716" s="14"/>
      <c r="BM716" s="14"/>
      <c r="BN716" s="14"/>
      <c r="BO716" s="14"/>
      <c r="BP716" s="14"/>
      <c r="BT716" s="872"/>
      <c r="BU716" s="872"/>
      <c r="BV716" s="872"/>
      <c r="BW716" s="872"/>
      <c r="BX716" s="872"/>
      <c r="BY716" s="872"/>
      <c r="BZ716" s="872"/>
      <c r="CA716" s="872"/>
      <c r="CB716" s="872"/>
      <c r="CC716" s="872"/>
    </row>
    <row r="717" spans="2:81">
      <c r="B717" s="15" t="s">
        <v>272</v>
      </c>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23" t="s">
        <v>273</v>
      </c>
      <c r="AK717" s="14"/>
      <c r="AL717" s="14"/>
      <c r="AM717" s="14"/>
      <c r="AN717" s="93">
        <f>+AN716</f>
        <v>0.28755106761094273</v>
      </c>
      <c r="AO717" s="14"/>
      <c r="AP717" s="14"/>
      <c r="AQ717" s="14"/>
      <c r="BC717" s="14"/>
      <c r="BD717" s="14"/>
      <c r="BE717" s="14"/>
      <c r="BH717" s="14"/>
      <c r="BI717" s="14"/>
      <c r="BJ717" s="14"/>
      <c r="BK717" s="14"/>
      <c r="BL717" s="14"/>
      <c r="BM717" s="14"/>
      <c r="BN717" s="14"/>
      <c r="BO717" s="14"/>
      <c r="BP717" s="14"/>
      <c r="BT717" s="872"/>
      <c r="BU717" s="872"/>
      <c r="BV717" s="872"/>
      <c r="BW717" s="872"/>
      <c r="BX717" s="872"/>
      <c r="BY717" s="872"/>
      <c r="BZ717" s="872"/>
      <c r="CA717" s="872"/>
      <c r="CB717" s="872"/>
      <c r="CC717" s="872"/>
    </row>
    <row r="718" spans="2:81" ht="11.45">
      <c r="B718" s="15" t="s">
        <v>123</v>
      </c>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f>+AJ715/AJ700</f>
        <v>0.29639830047741844</v>
      </c>
      <c r="AK718" s="14"/>
      <c r="AL718" s="14"/>
      <c r="AM718" s="14"/>
      <c r="AN718" s="14">
        <f>+AN715/AN700</f>
        <v>0.32665452337583484</v>
      </c>
      <c r="AO718" s="14"/>
      <c r="AP718" s="14"/>
      <c r="AQ718" s="14"/>
      <c r="BA718" s="14"/>
      <c r="BB718" s="14"/>
      <c r="BC718" s="14"/>
      <c r="BD718" s="14"/>
      <c r="BE718" s="14"/>
      <c r="BG718" s="14"/>
      <c r="BH718" s="14"/>
      <c r="BI718" s="14"/>
      <c r="BJ718" s="14"/>
      <c r="BK718" s="14"/>
      <c r="BL718" s="14"/>
      <c r="BM718" s="14"/>
      <c r="BN718" s="14"/>
      <c r="BO718" s="14"/>
      <c r="BP718" s="14"/>
      <c r="BT718" s="1159"/>
      <c r="BU718" s="1159"/>
      <c r="BV718" s="1159"/>
      <c r="BW718" s="1159"/>
      <c r="BX718" s="1159"/>
      <c r="BY718" s="1159"/>
      <c r="BZ718" s="1159"/>
      <c r="CA718" s="1159"/>
      <c r="CB718" s="1159"/>
      <c r="CC718" s="1159"/>
    </row>
    <row r="719" spans="2:81">
      <c r="B719" s="13"/>
      <c r="AG719" s="8"/>
      <c r="AO719" s="8"/>
      <c r="AP719" s="8"/>
      <c r="AQ719" s="8"/>
      <c r="BT719" s="1162"/>
      <c r="BU719" s="1162"/>
      <c r="BV719" s="1162"/>
      <c r="BW719" s="1162"/>
      <c r="BX719" s="1162"/>
      <c r="BY719" s="1162"/>
      <c r="BZ719" s="1162"/>
      <c r="CA719" s="1162"/>
      <c r="CB719" s="1162"/>
      <c r="CC719" s="1162"/>
    </row>
    <row r="720" spans="2:81">
      <c r="B720" t="s">
        <v>447</v>
      </c>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f t="shared" ref="AF720:AI720" si="2803">+AF722-AF721</f>
        <v>2828</v>
      </c>
      <c r="AG720" s="859" t="str">
        <f>+AG184</f>
        <v>NA</v>
      </c>
      <c r="AH720" s="8">
        <f t="shared" si="2803"/>
        <v>2559</v>
      </c>
      <c r="AI720" s="8">
        <f t="shared" si="2803"/>
        <v>2462</v>
      </c>
      <c r="AJ720" s="8">
        <f t="shared" ref="AJ720:AN720" si="2804">+AJ722-AJ721</f>
        <v>3690</v>
      </c>
      <c r="AK720" s="8">
        <f t="shared" si="2804"/>
        <v>3402</v>
      </c>
      <c r="AL720" s="8">
        <f t="shared" si="2804"/>
        <v>3273</v>
      </c>
      <c r="AM720" s="8">
        <f t="shared" si="2804"/>
        <v>2734</v>
      </c>
      <c r="AN720" s="8">
        <f t="shared" si="2804"/>
        <v>3973</v>
      </c>
      <c r="AO720" s="8">
        <f>+AO698*AO729</f>
        <v>3256.6958430379746</v>
      </c>
      <c r="AP720" s="8">
        <f t="shared" ref="AP720:AQ720" si="2805">+AP698*AP729</f>
        <v>3200.1820202234348</v>
      </c>
      <c r="AQ720" s="8">
        <f t="shared" si="2805"/>
        <v>2839.5637400668807</v>
      </c>
      <c r="AR720" s="8"/>
      <c r="BB720" s="8"/>
      <c r="BC720" s="8"/>
      <c r="BD720" s="8"/>
      <c r="BE720" s="8"/>
      <c r="BG720" s="8"/>
      <c r="BH720" s="8"/>
      <c r="BI720" s="8"/>
      <c r="BJ720" s="8"/>
      <c r="BK720" s="8"/>
      <c r="BL720" s="8"/>
      <c r="BM720" s="8"/>
      <c r="BN720" s="859" t="s">
        <v>273</v>
      </c>
      <c r="BO720" s="8">
        <f t="shared" ref="BO720:BO721" si="2806">SUM(AJ720:AM720)</f>
        <v>13099</v>
      </c>
      <c r="BP720" s="8">
        <f t="shared" ref="BP720:BP722" si="2807">+SUM(AN720:AQ720)</f>
        <v>13269.441603328289</v>
      </c>
      <c r="BT720" s="1162"/>
      <c r="BU720" s="1162"/>
      <c r="BV720" s="1162"/>
      <c r="BW720" s="1162"/>
      <c r="BX720" s="1162"/>
      <c r="BY720" s="1162"/>
      <c r="BZ720" s="1162"/>
      <c r="CA720" s="1162"/>
      <c r="CB720" s="1162"/>
      <c r="CC720" s="1162"/>
    </row>
    <row r="721" spans="2:81" s="852" customFormat="1">
      <c r="B721" t="s">
        <v>448</v>
      </c>
      <c r="C721" s="853"/>
      <c r="D721" s="853"/>
      <c r="E721" s="853"/>
      <c r="F721" s="853"/>
      <c r="G721" s="853"/>
      <c r="H721" s="853"/>
      <c r="I721" s="853"/>
      <c r="J721" s="853"/>
      <c r="K721" s="853"/>
      <c r="L721" s="853"/>
      <c r="M721" s="853"/>
      <c r="N721" s="853"/>
      <c r="O721" s="853"/>
      <c r="P721" s="853"/>
      <c r="Q721" s="853"/>
      <c r="R721" s="853"/>
      <c r="S721" s="853"/>
      <c r="T721" s="853"/>
      <c r="U721" s="853"/>
      <c r="V721" s="853"/>
      <c r="W721" s="853"/>
      <c r="X721" s="853"/>
      <c r="Y721" s="853"/>
      <c r="Z721" s="853"/>
      <c r="AA721" s="853"/>
      <c r="AB721" s="853"/>
      <c r="AC721" s="853"/>
      <c r="AD721" s="853"/>
      <c r="AE721" s="853"/>
      <c r="AF721" s="853">
        <v>0</v>
      </c>
      <c r="AG721" s="853">
        <v>0</v>
      </c>
      <c r="AH721" s="853">
        <v>0</v>
      </c>
      <c r="AI721" s="853">
        <v>0</v>
      </c>
      <c r="AJ721" s="853">
        <v>0</v>
      </c>
      <c r="AK721" s="853">
        <f>-440+550+580</f>
        <v>690</v>
      </c>
      <c r="AL721" s="853">
        <f>-350+270+670</f>
        <v>590</v>
      </c>
      <c r="AM721" s="853">
        <f t="shared" ref="AM721" si="2808">-350+270+670</f>
        <v>590</v>
      </c>
      <c r="AN721" s="853">
        <f>-440+230+680</f>
        <v>470</v>
      </c>
      <c r="AO721" s="853">
        <f>+AO707-AO714</f>
        <v>805.8</v>
      </c>
      <c r="AP721" s="853">
        <f t="shared" ref="AP721:AQ721" si="2809">+AP707-AP714</f>
        <v>709.2</v>
      </c>
      <c r="AQ721" s="853">
        <f t="shared" si="2809"/>
        <v>639.90000000000009</v>
      </c>
      <c r="AR721" s="8"/>
      <c r="AS721" s="853"/>
      <c r="AT721" s="853"/>
      <c r="AU721" s="853"/>
      <c r="AV721" s="853"/>
      <c r="AW721" s="853"/>
      <c r="AX721" s="853"/>
      <c r="AY721" s="853"/>
      <c r="AZ721" s="853"/>
      <c r="BA721" s="853"/>
      <c r="BB721" s="853"/>
      <c r="BC721" s="853"/>
      <c r="BD721" s="853"/>
      <c r="BE721" s="853"/>
      <c r="BF721" s="853"/>
      <c r="BG721" s="853"/>
      <c r="BH721" s="853"/>
      <c r="BI721" s="853"/>
      <c r="BJ721" s="853"/>
      <c r="BK721" s="853"/>
      <c r="BL721" s="853"/>
      <c r="BM721" s="853"/>
      <c r="BN721" s="1350">
        <v>0</v>
      </c>
      <c r="BO721" s="853">
        <f t="shared" si="2806"/>
        <v>1870</v>
      </c>
      <c r="BP721" s="853">
        <f t="shared" si="2807"/>
        <v>2624.9</v>
      </c>
      <c r="BT721" s="1162"/>
      <c r="BU721" s="1162"/>
      <c r="BV721" s="1162"/>
      <c r="BW721" s="1162"/>
      <c r="BX721" s="1162"/>
      <c r="BY721" s="1162"/>
      <c r="BZ721" s="1162"/>
      <c r="CA721" s="1162"/>
      <c r="CB721" s="1162"/>
      <c r="CC721" s="1162"/>
    </row>
    <row r="722" spans="2:81">
      <c r="B722" s="12" t="s">
        <v>352</v>
      </c>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f t="shared" ref="AF722:AN722" si="2810">+AF186</f>
        <v>2828</v>
      </c>
      <c r="AG722" s="859" t="str">
        <f t="shared" si="2810"/>
        <v>NA</v>
      </c>
      <c r="AH722" s="8">
        <f t="shared" si="2810"/>
        <v>2559</v>
      </c>
      <c r="AI722" s="8">
        <f t="shared" si="2810"/>
        <v>2462</v>
      </c>
      <c r="AJ722" s="8">
        <f t="shared" si="2810"/>
        <v>3690</v>
      </c>
      <c r="AK722" s="8">
        <f t="shared" si="2810"/>
        <v>4092</v>
      </c>
      <c r="AL722" s="8">
        <f t="shared" si="2810"/>
        <v>3863</v>
      </c>
      <c r="AM722" s="8">
        <f t="shared" si="2810"/>
        <v>3324</v>
      </c>
      <c r="AN722" s="8">
        <f t="shared" si="2810"/>
        <v>4443</v>
      </c>
      <c r="AO722" s="8">
        <f>+AO721+AO720</f>
        <v>4062.4958430379747</v>
      </c>
      <c r="AP722" s="8">
        <f t="shared" ref="AP722:AQ722" si="2811">+AP721+AP720</f>
        <v>3909.3820202234347</v>
      </c>
      <c r="AQ722" s="8">
        <f t="shared" si="2811"/>
        <v>3479.4637400668807</v>
      </c>
      <c r="AR722" s="8"/>
      <c r="BB722" s="8"/>
      <c r="BC722" s="8"/>
      <c r="BD722" s="8"/>
      <c r="BE722" s="8"/>
      <c r="BG722" s="8"/>
      <c r="BH722" s="8"/>
      <c r="BI722" s="8"/>
      <c r="BJ722" s="8"/>
      <c r="BK722" s="8"/>
      <c r="BL722" s="8"/>
      <c r="BM722" s="8"/>
      <c r="BN722" s="859" t="s">
        <v>273</v>
      </c>
      <c r="BO722" s="8">
        <f>SUM(AJ722:AM722)</f>
        <v>14969</v>
      </c>
      <c r="BP722" s="8">
        <f t="shared" si="2807"/>
        <v>15894.341603328288</v>
      </c>
      <c r="BT722" s="1162"/>
      <c r="BU722" s="1162"/>
      <c r="BV722" s="1162"/>
      <c r="BW722" s="1162"/>
      <c r="BX722" s="1162"/>
      <c r="BY722" s="1162"/>
      <c r="BZ722" s="1162"/>
      <c r="CA722" s="1162"/>
      <c r="CB722" s="1162"/>
      <c r="CC722" s="1162"/>
    </row>
    <row r="723" spans="2:81">
      <c r="B723" s="15" t="s">
        <v>113</v>
      </c>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f t="shared" ref="AJ723:AL723" si="2812">+AJ722/AF722-1</f>
        <v>0.30480905233380473</v>
      </c>
      <c r="AK723" s="14" t="s">
        <v>273</v>
      </c>
      <c r="AL723" s="14">
        <f t="shared" si="2812"/>
        <v>0.50957405236420472</v>
      </c>
      <c r="AM723" s="14">
        <f t="shared" ref="AM723:AN723" si="2813">+AM722/AI722-1</f>
        <v>0.3501218521527214</v>
      </c>
      <c r="AN723" s="14">
        <f t="shared" si="2813"/>
        <v>0.20406504065040654</v>
      </c>
      <c r="AO723" s="14">
        <f t="shared" ref="AO723" si="2814">+AO722/AK722-1</f>
        <v>-7.2102045361742695E-3</v>
      </c>
      <c r="AP723" s="14">
        <f t="shared" ref="AP723" si="2815">+AP722/AL722-1</f>
        <v>1.2006735755484055E-2</v>
      </c>
      <c r="AQ723" s="14">
        <f t="shared" ref="AQ723" si="2816">+AQ722/AM722-1</f>
        <v>4.6770078239133817E-2</v>
      </c>
      <c r="BC723" s="14"/>
      <c r="BD723" s="14"/>
      <c r="BE723" s="14"/>
      <c r="BG723" s="829"/>
      <c r="BH723" s="829"/>
      <c r="BI723" s="14"/>
      <c r="BJ723" s="14"/>
      <c r="BK723" s="14"/>
      <c r="BL723" s="14"/>
      <c r="BM723" s="14"/>
      <c r="BN723" s="14"/>
      <c r="BO723" s="14" t="s">
        <v>273</v>
      </c>
      <c r="BP723" s="14">
        <f t="shared" ref="BP723" si="2817">+BP722/BO722-1</f>
        <v>6.1817195759789501E-2</v>
      </c>
    </row>
    <row r="724" spans="2:81">
      <c r="B724" s="15" t="s">
        <v>449</v>
      </c>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f t="shared" ref="AJ724:AM724" si="2818">+AJ720/AF720-1</f>
        <v>0.30480905233380473</v>
      </c>
      <c r="AK724" s="14" t="s">
        <v>273</v>
      </c>
      <c r="AL724" s="14">
        <f t="shared" si="2818"/>
        <v>0.27901524032825331</v>
      </c>
      <c r="AM724" s="14">
        <f t="shared" si="2818"/>
        <v>0.11047928513403726</v>
      </c>
      <c r="AN724" s="14">
        <f>+AN720/AJ720-1</f>
        <v>7.6693766937669272E-2</v>
      </c>
      <c r="AO724" s="14">
        <f t="shared" ref="AO724:AQ724" si="2819">+AO720/AK720-1</f>
        <v>-4.2711392405063275E-2</v>
      </c>
      <c r="AP724" s="14">
        <f t="shared" si="2819"/>
        <v>-2.2248084258040035E-2</v>
      </c>
      <c r="AQ724" s="14">
        <f t="shared" si="2819"/>
        <v>3.8611463082253383E-2</v>
      </c>
      <c r="BC724" s="14"/>
      <c r="BD724" s="14"/>
      <c r="BE724" s="14"/>
      <c r="BG724" s="829"/>
      <c r="BH724" s="829"/>
      <c r="BI724" s="14"/>
      <c r="BJ724" s="14"/>
      <c r="BK724" s="14"/>
      <c r="BL724" s="14"/>
      <c r="BM724" s="14"/>
      <c r="BN724" s="14"/>
      <c r="BO724" s="14" t="s">
        <v>273</v>
      </c>
      <c r="BP724" s="14">
        <f>+BP720/BO720-1</f>
        <v>1.3011802681753393E-2</v>
      </c>
    </row>
    <row r="725" spans="2:81">
      <c r="B725" s="15" t="s">
        <v>272</v>
      </c>
      <c r="L725" s="22"/>
      <c r="M725" s="22"/>
      <c r="N725" s="22"/>
      <c r="O725" s="22"/>
      <c r="P725" s="22"/>
      <c r="Q725" s="22"/>
      <c r="R725" s="22"/>
      <c r="S725" s="22"/>
      <c r="T725" s="22"/>
      <c r="U725" s="22"/>
      <c r="V725" s="22"/>
      <c r="W725" s="22"/>
      <c r="X725" s="22"/>
      <c r="Y725" s="22"/>
      <c r="Z725" s="22"/>
      <c r="AA725" s="22"/>
      <c r="AB725" s="22"/>
      <c r="AC725" s="22"/>
      <c r="AD725" s="22"/>
      <c r="AE725" s="22"/>
      <c r="AF725" s="22"/>
      <c r="AG725" s="93"/>
      <c r="AH725" s="22"/>
      <c r="AI725" s="22"/>
      <c r="AJ725" s="891"/>
      <c r="AK725" s="93"/>
      <c r="AL725" s="93"/>
      <c r="AM725" s="93"/>
      <c r="AN725" s="14">
        <f>+AN201</f>
        <v>0.20661246612466111</v>
      </c>
      <c r="AO725" s="14"/>
      <c r="AP725" s="14"/>
      <c r="AQ725" s="14"/>
      <c r="BC725" s="23"/>
      <c r="BG725" s="23"/>
      <c r="BH725" s="23"/>
      <c r="BI725" s="23"/>
      <c r="BJ725" s="23"/>
      <c r="BK725" s="23"/>
      <c r="BL725" s="23"/>
      <c r="BM725" s="23"/>
      <c r="BN725" s="23"/>
      <c r="BO725" s="14" t="s">
        <v>273</v>
      </c>
      <c r="BP725" s="23" t="s">
        <v>273</v>
      </c>
      <c r="BT725" s="100"/>
      <c r="BU725" s="100"/>
      <c r="BV725" s="100"/>
      <c r="BW725" s="100"/>
      <c r="BX725" s="100"/>
      <c r="BY725" s="100"/>
      <c r="BZ725" s="100"/>
      <c r="CA725" s="100"/>
      <c r="CB725" s="100"/>
      <c r="CC725" s="100"/>
    </row>
    <row r="726" spans="2:81">
      <c r="B726" s="15" t="s">
        <v>450</v>
      </c>
      <c r="L726" s="22"/>
      <c r="M726" s="22"/>
      <c r="N726" s="22"/>
      <c r="O726" s="22"/>
      <c r="P726" s="22"/>
      <c r="Q726" s="22"/>
      <c r="R726" s="22"/>
      <c r="S726" s="22"/>
      <c r="T726" s="22"/>
      <c r="U726" s="22"/>
      <c r="V726" s="22"/>
      <c r="W726" s="22"/>
      <c r="X726" s="22"/>
      <c r="Y726" s="22"/>
      <c r="Z726" s="22"/>
      <c r="AA726" s="22"/>
      <c r="AB726" s="23"/>
      <c r="AC726" s="23"/>
      <c r="AD726" s="23"/>
      <c r="AE726" s="23"/>
      <c r="AF726" s="23"/>
      <c r="AG726" s="23"/>
      <c r="AH726" s="23"/>
      <c r="AI726" s="23"/>
      <c r="AJ726" s="891"/>
      <c r="AK726" s="23"/>
      <c r="AL726" s="23"/>
      <c r="AM726" s="23"/>
      <c r="AN726" s="23">
        <f t="shared" ref="AN726" si="2820">+AN725-AN721/AJ722</f>
        <v>7.9241192411923983E-2</v>
      </c>
      <c r="AO726" s="14"/>
      <c r="AP726" s="14"/>
      <c r="AQ726" s="14"/>
      <c r="BC726" s="23"/>
      <c r="BG726" s="23"/>
      <c r="BH726" s="23"/>
      <c r="BI726" s="23"/>
      <c r="BJ726" s="23"/>
      <c r="BK726" s="23"/>
      <c r="BL726" s="23"/>
      <c r="BM726" s="23"/>
      <c r="BN726" s="23"/>
      <c r="BO726" s="14" t="s">
        <v>273</v>
      </c>
      <c r="BP726" s="23" t="s">
        <v>273</v>
      </c>
    </row>
    <row r="727" spans="2:81">
      <c r="B727" s="15" t="s">
        <v>123</v>
      </c>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f t="shared" ref="AF727:AM727" si="2821">+AF722/AF700</f>
        <v>0.25333691659948043</v>
      </c>
      <c r="AG727" s="14" t="s">
        <v>273</v>
      </c>
      <c r="AH727" s="14">
        <f t="shared" si="2821"/>
        <v>0.23944979882099748</v>
      </c>
      <c r="AI727" s="14">
        <f>+AI722/AI700</f>
        <v>0.22900195330666914</v>
      </c>
      <c r="AJ727" s="14">
        <f t="shared" si="2821"/>
        <v>0.32718567121830111</v>
      </c>
      <c r="AK727" s="14">
        <f t="shared" si="2821"/>
        <v>0.27948910593538695</v>
      </c>
      <c r="AL727" s="14">
        <f t="shared" si="2821"/>
        <v>0.3064900031735957</v>
      </c>
      <c r="AM727" s="14">
        <f t="shared" si="2821"/>
        <v>0.26991473812423872</v>
      </c>
      <c r="AN727" s="14">
        <f>+AN722/AN700</f>
        <v>0.33720400728597449</v>
      </c>
      <c r="AO727" s="14">
        <f t="shared" ref="AO727:AQ727" si="2822">+AO722/AO700</f>
        <v>0.28508538296925162</v>
      </c>
      <c r="AP727" s="14">
        <f t="shared" si="2822"/>
        <v>0.31261766479742098</v>
      </c>
      <c r="AQ727" s="14">
        <f t="shared" si="2822"/>
        <v>0.2753692428568979</v>
      </c>
      <c r="BA727" s="14"/>
      <c r="BB727" s="14"/>
      <c r="BC727" s="14"/>
      <c r="BD727" s="14"/>
      <c r="BE727" s="14"/>
      <c r="BG727" s="14"/>
      <c r="BH727" s="14"/>
      <c r="BI727" s="14"/>
      <c r="BJ727" s="14"/>
      <c r="BK727" s="14"/>
      <c r="BL727" s="14"/>
      <c r="BM727" s="14"/>
      <c r="BN727" s="14" t="s">
        <v>273</v>
      </c>
      <c r="BO727" s="14">
        <f>+IFERROR(BO722/BO700,"n/a ")</f>
        <v>0.29444510012195602</v>
      </c>
      <c r="BP727" s="14">
        <f t="shared" ref="BP727" si="2823">+IFERROR(BP722/BP700,"n/a ")</f>
        <v>0.30236322809480159</v>
      </c>
      <c r="BT727" s="1077"/>
      <c r="BU727" s="1077"/>
      <c r="BV727" s="1077"/>
      <c r="BW727" s="1077"/>
      <c r="BX727" s="1077"/>
      <c r="BY727" s="1077"/>
      <c r="BZ727" s="1077"/>
      <c r="CA727" s="1077"/>
      <c r="CB727" s="1077"/>
      <c r="CC727" s="1077"/>
    </row>
    <row r="729" spans="2:81" ht="11.45">
      <c r="B729" s="15" t="s">
        <v>453</v>
      </c>
      <c r="T729" s="14"/>
      <c r="U729" s="14"/>
      <c r="V729" s="14"/>
      <c r="W729" s="14"/>
      <c r="X729" s="14"/>
      <c r="Y729" s="14"/>
      <c r="Z729" s="14"/>
      <c r="AA729" s="14"/>
      <c r="AB729" s="14"/>
      <c r="AC729" s="14"/>
      <c r="AD729" s="14"/>
      <c r="AE729" s="14"/>
      <c r="AF729" s="14">
        <f t="shared" ref="AF729:AH729" si="2824">+AF722/AF700</f>
        <v>0.25333691659948043</v>
      </c>
      <c r="AG729" s="14" t="s">
        <v>273</v>
      </c>
      <c r="AH729" s="14">
        <f t="shared" si="2824"/>
        <v>0.23944979882099748</v>
      </c>
      <c r="AI729" s="14">
        <f>+AI722/AI700</f>
        <v>0.22900195330666914</v>
      </c>
      <c r="AJ729" s="14">
        <f t="shared" ref="AJ729" si="2825">+AJ720/AJ698</f>
        <v>0.32718567121830111</v>
      </c>
      <c r="AK729" s="14">
        <f>+AK720/AK698</f>
        <v>0.2708383090518271</v>
      </c>
      <c r="AL729" s="14">
        <f t="shared" ref="AL729:AN729" si="2826">+AL720/AL698</f>
        <v>0.3077863456836562</v>
      </c>
      <c r="AM729" s="14">
        <f t="shared" si="2826"/>
        <v>0.25707569346497416</v>
      </c>
      <c r="AN729" s="14">
        <f t="shared" si="2826"/>
        <v>0.34589935573741948</v>
      </c>
      <c r="AO729" s="851">
        <f>+AK729</f>
        <v>0.2708383090518271</v>
      </c>
      <c r="AP729" s="851">
        <f t="shared" ref="AP729" si="2827">+AL729</f>
        <v>0.3077863456836562</v>
      </c>
      <c r="AQ729" s="851">
        <v>0.26200000000000001</v>
      </c>
      <c r="BA729" s="14"/>
      <c r="BB729" s="14"/>
      <c r="BC729" s="14"/>
      <c r="BD729" s="14"/>
      <c r="BE729" s="14"/>
      <c r="BG729" s="14"/>
      <c r="BH729" s="14"/>
      <c r="BI729" s="14"/>
      <c r="BJ729" s="14"/>
      <c r="BK729" s="14"/>
      <c r="BL729" s="14"/>
      <c r="BM729" s="14"/>
      <c r="BN729" s="14" t="s">
        <v>273</v>
      </c>
      <c r="BO729" s="14">
        <f>+BO720/BO698</f>
        <v>0.29039194821317726</v>
      </c>
      <c r="BP729" s="14">
        <f>+BP720/BP698</f>
        <v>0.29655070244186338</v>
      </c>
      <c r="BT729" s="953"/>
      <c r="BU729" s="953"/>
      <c r="BV729" s="953"/>
      <c r="BW729" s="953"/>
      <c r="BX729" s="953"/>
      <c r="BY729" s="953"/>
      <c r="BZ729" s="953"/>
      <c r="CA729" s="953"/>
      <c r="CB729" s="953"/>
      <c r="CC729" s="953"/>
    </row>
    <row r="730" spans="2:81">
      <c r="B730" s="15" t="s">
        <v>454</v>
      </c>
      <c r="AJ730" s="14"/>
      <c r="AK730" s="14">
        <f>+AK721/AK699</f>
        <v>0.33173076923076922</v>
      </c>
      <c r="AL730" s="14">
        <f>+AL721/AL699</f>
        <v>0.29949238578680204</v>
      </c>
      <c r="AM730" s="14">
        <f>+AM721/AM699</f>
        <v>0.35119047619047616</v>
      </c>
      <c r="AN730" s="14">
        <f>+AN721/AN699</f>
        <v>0.27810650887573962</v>
      </c>
      <c r="AO730" s="14">
        <f t="shared" ref="AO730:AQ730" si="2828">+AO721/AO699</f>
        <v>0.36205966930265993</v>
      </c>
      <c r="AP730" s="14">
        <f t="shared" si="2828"/>
        <v>0.3364485981308411</v>
      </c>
      <c r="AQ730" s="14">
        <f t="shared" si="2828"/>
        <v>0.35597463284379177</v>
      </c>
      <c r="BO730" s="14">
        <f>+BO721/BO699</f>
        <v>0.32635253054101221</v>
      </c>
      <c r="BP730" s="14">
        <f>+BP721/BP699</f>
        <v>0.33561775197862193</v>
      </c>
    </row>
    <row r="731" spans="2:81" s="100" customFormat="1">
      <c r="H731" s="880"/>
      <c r="I731" s="880"/>
      <c r="J731" s="880"/>
      <c r="K731" s="880"/>
      <c r="L731" s="880"/>
      <c r="M731" s="880"/>
      <c r="N731" s="880"/>
      <c r="O731" s="880"/>
      <c r="P731" s="880"/>
      <c r="Q731" s="880"/>
      <c r="R731" s="880"/>
      <c r="S731" s="880"/>
      <c r="T731" s="880"/>
      <c r="U731" s="880"/>
      <c r="V731" s="880"/>
      <c r="W731" s="880"/>
      <c r="X731" s="880"/>
      <c r="Y731" s="880"/>
      <c r="Z731" s="880"/>
      <c r="AA731" s="880"/>
      <c r="AB731" s="880"/>
      <c r="AC731" s="880"/>
      <c r="AD731" s="880"/>
      <c r="AE731" s="880"/>
      <c r="AF731" s="880"/>
      <c r="AG731" s="880"/>
      <c r="AH731" s="880"/>
      <c r="AI731" s="880"/>
      <c r="BQ731" s="1162"/>
      <c r="BR731" s="11"/>
    </row>
    <row r="732" spans="2:81">
      <c r="B732" s="852" t="s">
        <v>376</v>
      </c>
      <c r="D732" s="876" t="s">
        <v>404</v>
      </c>
      <c r="E732" s="876"/>
      <c r="F732" s="876"/>
      <c r="G732" s="876"/>
      <c r="BT732" s="100"/>
      <c r="BU732" s="100"/>
      <c r="BV732" s="100"/>
      <c r="BW732" s="100"/>
      <c r="BX732" s="100"/>
      <c r="BY732" s="100"/>
      <c r="BZ732" s="100"/>
      <c r="CA732" s="100"/>
      <c r="CB732" s="100"/>
      <c r="CC732" s="100"/>
    </row>
    <row r="733" spans="2:81">
      <c r="B733" t="s">
        <v>455</v>
      </c>
      <c r="D733" s="911"/>
      <c r="E733" s="911"/>
      <c r="F733" s="911"/>
      <c r="G733" s="911"/>
      <c r="H733" s="911"/>
      <c r="I733" s="911"/>
      <c r="J733" s="911"/>
      <c r="K733" s="911"/>
      <c r="L733" s="911"/>
      <c r="M733" s="911"/>
      <c r="N733" s="911"/>
      <c r="O733" s="911"/>
      <c r="P733" s="911"/>
      <c r="Q733" s="911"/>
      <c r="R733" s="911"/>
      <c r="S733" s="911"/>
      <c r="T733" s="911"/>
      <c r="U733" s="911"/>
      <c r="V733" s="911"/>
      <c r="W733" s="911"/>
      <c r="X733" s="911"/>
      <c r="Y733" s="911"/>
      <c r="Z733" s="911"/>
      <c r="AA733" s="911"/>
      <c r="AB733" s="911"/>
      <c r="AC733" s="911"/>
      <c r="AD733" s="911"/>
      <c r="AE733" s="911"/>
      <c r="AF733" s="911"/>
      <c r="AG733" s="911"/>
      <c r="AH733" s="911"/>
      <c r="AI733" s="911"/>
      <c r="AJ733" s="911">
        <v>0.08</v>
      </c>
      <c r="AK733" s="911">
        <v>0.06</v>
      </c>
      <c r="AL733" s="911">
        <v>0.08</v>
      </c>
      <c r="AM733" s="911">
        <v>0.15</v>
      </c>
      <c r="AN733" s="911">
        <v>0.18</v>
      </c>
      <c r="AO733" s="911"/>
      <c r="AP733" s="911"/>
      <c r="AQ733" s="911"/>
      <c r="BH733" s="912"/>
      <c r="BI733" s="912"/>
      <c r="BJ733" s="912"/>
      <c r="BK733" s="912"/>
      <c r="BL733" s="912"/>
      <c r="BM733" s="912"/>
      <c r="BN733" s="912"/>
      <c r="BO733" s="912">
        <f t="shared" ref="BO733" si="2829">AVERAGE(AJ733:AM733)</f>
        <v>9.2499999999999999E-2</v>
      </c>
      <c r="BP733" s="912"/>
      <c r="BS733" s="912"/>
    </row>
    <row r="734" spans="2:81">
      <c r="B734" t="s">
        <v>456</v>
      </c>
      <c r="D734" s="911"/>
      <c r="E734" s="911"/>
      <c r="F734" s="911"/>
      <c r="G734" s="911"/>
      <c r="H734" s="911"/>
      <c r="I734" s="911"/>
      <c r="J734" s="911"/>
      <c r="K734" s="911"/>
      <c r="L734" s="911"/>
      <c r="M734" s="911"/>
      <c r="N734" s="911"/>
      <c r="O734" s="911"/>
      <c r="P734" s="911"/>
      <c r="Q734" s="911"/>
      <c r="R734" s="911"/>
      <c r="S734" s="911"/>
      <c r="T734" s="911"/>
      <c r="U734" s="911"/>
      <c r="V734" s="911"/>
      <c r="W734" s="911"/>
      <c r="X734" s="911"/>
      <c r="Y734" s="911"/>
      <c r="Z734" s="911"/>
      <c r="AA734" s="911"/>
      <c r="AB734" s="911"/>
      <c r="AC734" s="911"/>
      <c r="AD734" s="911"/>
      <c r="AE734" s="911"/>
      <c r="AF734" s="911"/>
      <c r="AG734" s="911"/>
      <c r="AH734" s="911"/>
      <c r="AI734" s="911"/>
      <c r="AJ734" s="911"/>
      <c r="AK734" s="911"/>
      <c r="AL734" s="911"/>
      <c r="AM734" s="911"/>
      <c r="AN734" s="911">
        <v>0.02</v>
      </c>
      <c r="AO734" s="911"/>
      <c r="AP734" s="911"/>
      <c r="AQ734" s="911"/>
      <c r="BH734" s="912"/>
      <c r="BI734" s="912"/>
      <c r="BJ734" s="912"/>
      <c r="BK734" s="912"/>
      <c r="BL734" s="912"/>
      <c r="BM734" s="912"/>
      <c r="BN734" s="912"/>
      <c r="BO734" s="912"/>
      <c r="BP734" s="912"/>
      <c r="BS734" s="912"/>
    </row>
    <row r="735" spans="2:81">
      <c r="B735" t="s">
        <v>457</v>
      </c>
      <c r="D735" s="911"/>
      <c r="E735" s="911"/>
      <c r="F735" s="911"/>
      <c r="G735" s="911"/>
      <c r="H735" s="911"/>
      <c r="I735" s="911"/>
      <c r="J735" s="911"/>
      <c r="K735" s="911"/>
      <c r="L735" s="911"/>
      <c r="M735" s="911"/>
      <c r="N735" s="911"/>
      <c r="O735" s="911"/>
      <c r="P735" s="911"/>
      <c r="Q735" s="911"/>
      <c r="R735" s="911"/>
      <c r="S735" s="911"/>
      <c r="T735" s="911"/>
      <c r="U735" s="911"/>
      <c r="V735" s="911"/>
      <c r="W735" s="911"/>
      <c r="X735" s="911"/>
      <c r="Y735" s="911"/>
      <c r="Z735" s="911"/>
      <c r="AA735" s="911"/>
      <c r="AB735" s="911"/>
      <c r="AC735" s="911"/>
      <c r="AD735" s="911"/>
      <c r="AE735" s="911"/>
      <c r="AF735" s="911"/>
      <c r="AG735" s="911"/>
      <c r="AH735" s="911"/>
      <c r="AI735" s="911"/>
      <c r="AJ735" s="911"/>
      <c r="AK735" s="911"/>
      <c r="AL735" s="911"/>
      <c r="AM735" s="911"/>
      <c r="AN735" s="911">
        <v>0.61</v>
      </c>
      <c r="AO735" s="911"/>
      <c r="AP735" s="911"/>
      <c r="AQ735" s="911"/>
      <c r="BH735" s="912"/>
      <c r="BI735" s="912"/>
      <c r="BJ735" s="912"/>
      <c r="BK735" s="912"/>
      <c r="BL735" s="912"/>
      <c r="BM735" s="912"/>
      <c r="BN735" s="912"/>
      <c r="BO735" s="912"/>
      <c r="BP735" s="912"/>
      <c r="BS735" s="912"/>
    </row>
    <row r="736" spans="2:81">
      <c r="D736" s="911"/>
      <c r="E736" s="911"/>
      <c r="F736" s="911"/>
      <c r="G736" s="911"/>
      <c r="H736" s="911"/>
      <c r="I736" s="911"/>
      <c r="J736" s="911"/>
      <c r="K736" s="911"/>
      <c r="L736" s="911"/>
      <c r="M736" s="911"/>
      <c r="N736" s="911"/>
      <c r="O736" s="911"/>
      <c r="P736" s="911"/>
      <c r="Q736" s="911"/>
      <c r="R736" s="911"/>
      <c r="S736" s="911"/>
      <c r="T736" s="911"/>
      <c r="U736" s="911"/>
      <c r="V736" s="911"/>
      <c r="W736" s="911"/>
      <c r="X736" s="911"/>
      <c r="Y736" s="911"/>
      <c r="Z736" s="911"/>
      <c r="AA736" s="911"/>
      <c r="AB736" s="911"/>
      <c r="AC736" s="911"/>
      <c r="AD736" s="911"/>
      <c r="AE736" s="911"/>
      <c r="AF736" s="911"/>
      <c r="AG736" s="911"/>
      <c r="AH736" s="911"/>
      <c r="AI736" s="911"/>
      <c r="AJ736" s="911"/>
      <c r="AK736" s="911"/>
      <c r="AL736" s="911"/>
      <c r="AM736" s="911"/>
      <c r="AN736" s="911"/>
      <c r="AO736" s="911"/>
      <c r="AP736" s="911"/>
      <c r="AQ736" s="911"/>
      <c r="BH736" s="912"/>
      <c r="BI736" s="912"/>
      <c r="BJ736" s="912"/>
      <c r="BK736" s="912"/>
      <c r="BL736" s="912"/>
      <c r="BM736" s="912"/>
      <c r="BN736" s="912"/>
      <c r="BO736" s="912"/>
      <c r="BP736" s="912"/>
      <c r="BS736" s="912"/>
    </row>
    <row r="737" spans="2:81">
      <c r="B737" s="852" t="s">
        <v>384</v>
      </c>
      <c r="D737" s="911"/>
      <c r="E737" s="911"/>
      <c r="F737" s="911"/>
      <c r="G737" s="911"/>
      <c r="H737" s="911"/>
      <c r="I737" s="911"/>
      <c r="J737" s="911"/>
      <c r="K737" s="911"/>
      <c r="L737" s="911"/>
      <c r="M737" s="911"/>
      <c r="N737" s="911"/>
      <c r="O737" s="911"/>
      <c r="P737" s="911"/>
      <c r="Q737" s="911"/>
      <c r="R737" s="911"/>
      <c r="S737" s="911"/>
      <c r="T737" s="911"/>
      <c r="U737" s="911"/>
      <c r="V737" s="911"/>
      <c r="W737" s="911"/>
      <c r="X737" s="911"/>
      <c r="Y737" s="911"/>
      <c r="Z737" s="911"/>
      <c r="AA737" s="911"/>
      <c r="AB737" s="911"/>
      <c r="AC737" s="911"/>
      <c r="AD737" s="911"/>
      <c r="AE737" s="911"/>
      <c r="AF737" s="911"/>
      <c r="AG737" s="911"/>
      <c r="AH737" s="911"/>
      <c r="AI737" s="911"/>
      <c r="AJ737" s="911"/>
      <c r="AK737" s="911"/>
      <c r="AL737" s="911"/>
      <c r="AM737" s="911"/>
      <c r="AN737" s="911"/>
      <c r="AO737" s="911"/>
      <c r="AP737" s="911"/>
      <c r="AQ737" s="911"/>
      <c r="BH737" s="912"/>
      <c r="BI737" s="912"/>
      <c r="BJ737" s="912"/>
      <c r="BK737" s="912"/>
      <c r="BL737" s="912"/>
      <c r="BM737" s="912"/>
      <c r="BN737" s="912"/>
      <c r="BO737" s="912"/>
      <c r="BP737" s="912"/>
    </row>
    <row r="738" spans="2:81">
      <c r="B738" t="s">
        <v>455</v>
      </c>
      <c r="D738" s="911"/>
      <c r="E738" s="911"/>
      <c r="F738" s="911"/>
      <c r="G738" s="911"/>
      <c r="H738" s="911"/>
      <c r="I738" s="911"/>
      <c r="J738" s="911"/>
      <c r="K738" s="911"/>
      <c r="L738" s="911"/>
      <c r="M738" s="911"/>
      <c r="N738" s="911"/>
      <c r="O738" s="911"/>
      <c r="P738" s="911"/>
      <c r="Q738" s="911"/>
      <c r="R738" s="911"/>
      <c r="S738" s="911"/>
      <c r="T738" s="911"/>
      <c r="U738" s="911"/>
      <c r="V738" s="911"/>
      <c r="W738" s="911"/>
      <c r="X738" s="911"/>
      <c r="Y738" s="911"/>
      <c r="Z738" s="911"/>
      <c r="AA738" s="911"/>
      <c r="AB738" s="911"/>
      <c r="AC738" s="911"/>
      <c r="AD738" s="911"/>
      <c r="AE738" s="911"/>
      <c r="AF738" s="911"/>
      <c r="AG738" s="911"/>
      <c r="AH738" s="911"/>
      <c r="AI738" s="911"/>
      <c r="AJ738" s="911">
        <v>7.0000000000000007E-2</v>
      </c>
      <c r="AK738" s="911">
        <v>0.04</v>
      </c>
      <c r="AL738" s="911">
        <v>0.08</v>
      </c>
      <c r="AM738" s="911">
        <v>0.16</v>
      </c>
      <c r="AN738" s="911">
        <v>0.19</v>
      </c>
      <c r="AO738" s="911"/>
      <c r="AP738" s="911"/>
      <c r="AQ738" s="911"/>
      <c r="BH738" s="912"/>
      <c r="BI738" s="912"/>
      <c r="BJ738" s="912"/>
      <c r="BK738" s="912"/>
      <c r="BL738" s="912"/>
      <c r="BM738" s="912"/>
      <c r="BN738" s="912"/>
      <c r="BO738" s="912">
        <f t="shared" ref="BO738" si="2830">AVERAGE(AJ738:AM738)</f>
        <v>8.7499999999999994E-2</v>
      </c>
      <c r="BP738" s="912"/>
      <c r="BS738" s="912"/>
      <c r="BT738" s="100"/>
      <c r="BU738" s="100"/>
      <c r="BV738" s="100"/>
      <c r="BW738" s="100"/>
      <c r="BX738" s="100"/>
      <c r="BY738" s="100"/>
      <c r="BZ738" s="100"/>
      <c r="CA738" s="100"/>
      <c r="CB738" s="100"/>
      <c r="CC738" s="100"/>
    </row>
    <row r="739" spans="2:81">
      <c r="B739" t="s">
        <v>456</v>
      </c>
      <c r="D739" s="911"/>
      <c r="E739" s="911"/>
      <c r="F739" s="911"/>
      <c r="G739" s="911"/>
      <c r="H739" s="911"/>
      <c r="I739" s="911"/>
      <c r="J739" s="911"/>
      <c r="K739" s="911"/>
      <c r="L739" s="911"/>
      <c r="M739" s="911"/>
      <c r="N739" s="911"/>
      <c r="O739" s="911"/>
      <c r="P739" s="911"/>
      <c r="Q739" s="911"/>
      <c r="R739" s="911"/>
      <c r="S739" s="911"/>
      <c r="T739" s="911"/>
      <c r="U739" s="911"/>
      <c r="V739" s="911"/>
      <c r="W739" s="911"/>
      <c r="X739" s="911"/>
      <c r="Y739" s="911"/>
      <c r="Z739" s="911"/>
      <c r="AA739" s="911"/>
      <c r="AB739" s="911"/>
      <c r="AC739" s="911"/>
      <c r="AD739" s="911"/>
      <c r="AE739" s="911"/>
      <c r="AF739" s="911"/>
      <c r="AG739" s="911"/>
      <c r="AH739" s="911"/>
      <c r="AI739" s="911"/>
      <c r="AJ739" s="911"/>
      <c r="AK739" s="911"/>
      <c r="AL739" s="911"/>
      <c r="AM739" s="911"/>
      <c r="AN739" s="911">
        <v>0.02</v>
      </c>
      <c r="AO739" s="911"/>
      <c r="AP739" s="911"/>
      <c r="AQ739" s="911"/>
      <c r="BH739" s="912"/>
      <c r="BI739" s="912"/>
      <c r="BJ739" s="912"/>
      <c r="BK739" s="912"/>
      <c r="BL739" s="912"/>
      <c r="BM739" s="912"/>
      <c r="BN739" s="912"/>
      <c r="BO739" s="912"/>
      <c r="BP739" s="912"/>
      <c r="BS739" s="912"/>
      <c r="BT739" s="100"/>
      <c r="BU739" s="100"/>
      <c r="BV739" s="100"/>
      <c r="BW739" s="100"/>
      <c r="BX739" s="100"/>
      <c r="BY739" s="100"/>
      <c r="BZ739" s="100"/>
      <c r="CA739" s="100"/>
      <c r="CB739" s="100"/>
      <c r="CC739" s="100"/>
    </row>
    <row r="740" spans="2:81">
      <c r="B740" t="s">
        <v>457</v>
      </c>
      <c r="D740" s="911"/>
      <c r="E740" s="911"/>
      <c r="F740" s="911"/>
      <c r="G740" s="911"/>
      <c r="H740" s="911"/>
      <c r="I740" s="911"/>
      <c r="J740" s="911"/>
      <c r="K740" s="911"/>
      <c r="L740" s="911"/>
      <c r="M740" s="911"/>
      <c r="N740" s="911"/>
      <c r="O740" s="911"/>
      <c r="P740" s="911"/>
      <c r="Q740" s="911"/>
      <c r="R740" s="911"/>
      <c r="S740" s="911"/>
      <c r="T740" s="911"/>
      <c r="U740" s="911"/>
      <c r="V740" s="911"/>
      <c r="W740" s="911"/>
      <c r="X740" s="911"/>
      <c r="Y740" s="911"/>
      <c r="Z740" s="911"/>
      <c r="AA740" s="911"/>
      <c r="AB740" s="911"/>
      <c r="AC740" s="911"/>
      <c r="AD740" s="911"/>
      <c r="AE740" s="911"/>
      <c r="AF740" s="911"/>
      <c r="AG740" s="911"/>
      <c r="AH740" s="911"/>
      <c r="AI740" s="911"/>
      <c r="AJ740" s="911"/>
      <c r="AK740" s="911"/>
      <c r="AL740" s="911"/>
      <c r="AM740" s="911"/>
      <c r="AN740" s="911">
        <v>0.61</v>
      </c>
      <c r="AO740" s="911"/>
      <c r="AP740" s="911"/>
      <c r="AQ740" s="911"/>
      <c r="BH740" s="912"/>
      <c r="BI740" s="912"/>
      <c r="BJ740" s="912"/>
      <c r="BK740" s="912"/>
      <c r="BL740" s="912"/>
      <c r="BM740" s="912"/>
      <c r="BN740" s="912"/>
      <c r="BO740" s="912"/>
      <c r="BP740" s="912"/>
      <c r="BS740" s="912"/>
      <c r="BT740" s="100"/>
      <c r="BU740" s="100"/>
      <c r="BV740" s="100"/>
      <c r="BW740" s="100"/>
      <c r="BX740" s="100"/>
      <c r="BY740" s="100"/>
      <c r="BZ740" s="100"/>
      <c r="CA740" s="100"/>
      <c r="CB740" s="100"/>
      <c r="CC740" s="100"/>
    </row>
    <row r="741" spans="2:81">
      <c r="B741" s="13"/>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BH741" s="21"/>
      <c r="BI741" s="21"/>
      <c r="BJ741" s="21"/>
      <c r="BK741" s="21"/>
      <c r="BL741" s="21"/>
      <c r="BM741" s="21"/>
      <c r="BN741" s="21"/>
      <c r="BO741" s="21"/>
      <c r="BP741" s="21"/>
    </row>
    <row r="742" spans="2:81">
      <c r="B742" s="852" t="s">
        <v>385</v>
      </c>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BH742" s="21"/>
      <c r="BI742" s="21"/>
      <c r="BJ742" s="21"/>
      <c r="BK742" s="21"/>
      <c r="BL742" s="21"/>
      <c r="BM742" s="21"/>
      <c r="BN742" s="21"/>
      <c r="BO742" s="21"/>
      <c r="BP742" s="21"/>
    </row>
    <row r="743" spans="2:81">
      <c r="B743" t="s">
        <v>458</v>
      </c>
      <c r="D743">
        <f t="shared" ref="D743:AN743" si="2831">+D955</f>
        <v>0</v>
      </c>
      <c r="E743">
        <f t="shared" si="2831"/>
        <v>0</v>
      </c>
      <c r="F743">
        <f t="shared" si="2831"/>
        <v>0</v>
      </c>
      <c r="G743">
        <f t="shared" si="2831"/>
        <v>0</v>
      </c>
      <c r="H743" s="879">
        <f t="shared" si="2831"/>
        <v>1885</v>
      </c>
      <c r="I743" s="879">
        <f t="shared" si="2831"/>
        <v>3617</v>
      </c>
      <c r="J743" s="879">
        <f t="shared" si="2831"/>
        <v>1906</v>
      </c>
      <c r="K743" s="879">
        <f t="shared" si="2831"/>
        <v>1643</v>
      </c>
      <c r="L743" s="879">
        <f t="shared" si="2831"/>
        <v>1896</v>
      </c>
      <c r="M743" s="879">
        <f t="shared" si="2831"/>
        <v>3920</v>
      </c>
      <c r="N743" s="879">
        <f t="shared" si="2831"/>
        <v>2251</v>
      </c>
      <c r="O743" s="879">
        <f t="shared" si="2831"/>
        <v>2286</v>
      </c>
      <c r="P743" s="880">
        <f t="shared" si="2831"/>
        <v>2738</v>
      </c>
      <c r="Q743" s="880">
        <f t="shared" si="2831"/>
        <v>4232</v>
      </c>
      <c r="R743" s="880">
        <f t="shared" si="2831"/>
        <v>2363</v>
      </c>
      <c r="S743" s="880">
        <f t="shared" si="2831"/>
        <v>2053</v>
      </c>
      <c r="T743" s="880">
        <f t="shared" si="2831"/>
        <v>2542</v>
      </c>
      <c r="U743" s="880">
        <f t="shared" si="2831"/>
        <v>3327</v>
      </c>
      <c r="V743" s="880">
        <f t="shared" si="2831"/>
        <v>2349</v>
      </c>
      <c r="W743" s="880">
        <f t="shared" si="2831"/>
        <v>3357</v>
      </c>
      <c r="X743" s="880">
        <f t="shared" si="2831"/>
        <v>3092</v>
      </c>
      <c r="Y743" s="880">
        <f t="shared" si="2831"/>
        <v>5031</v>
      </c>
      <c r="Z743" s="880">
        <f t="shared" si="2831"/>
        <v>3533</v>
      </c>
      <c r="AA743" s="880">
        <f t="shared" si="2831"/>
        <v>3714</v>
      </c>
      <c r="AB743" s="880">
        <f t="shared" si="2831"/>
        <v>3593</v>
      </c>
      <c r="AC743" s="880">
        <f t="shared" si="2831"/>
        <v>5442</v>
      </c>
      <c r="AD743" s="880">
        <f t="shared" si="2831"/>
        <v>3740</v>
      </c>
      <c r="AE743" s="880">
        <f t="shared" si="2831"/>
        <v>3455</v>
      </c>
      <c r="AF743" s="880">
        <f t="shared" si="2831"/>
        <v>3610</v>
      </c>
      <c r="AG743" s="880">
        <f t="shared" si="2831"/>
        <v>4758</v>
      </c>
      <c r="AH743" s="880">
        <f t="shared" si="2831"/>
        <v>3607</v>
      </c>
      <c r="AI743" s="880">
        <f t="shared" si="2831"/>
        <v>3491</v>
      </c>
      <c r="AJ743" s="880">
        <f t="shared" si="2831"/>
        <v>3919</v>
      </c>
      <c r="AK743" s="880">
        <f t="shared" si="2831"/>
        <v>7111</v>
      </c>
      <c r="AL743" s="880">
        <f t="shared" si="2831"/>
        <v>5451</v>
      </c>
      <c r="AM743" s="880">
        <f t="shared" si="2831"/>
        <v>5022</v>
      </c>
      <c r="AN743" s="880">
        <f t="shared" si="2831"/>
        <v>5621</v>
      </c>
      <c r="AO743" s="880">
        <f>+AO748+AO750</f>
        <v>6446.6090000000004</v>
      </c>
      <c r="AP743" s="880">
        <f t="shared" ref="AP743:AQ743" si="2832">+AP748+AP750</f>
        <v>5066.75</v>
      </c>
      <c r="AQ743" s="880">
        <f t="shared" si="2832"/>
        <v>4905.66</v>
      </c>
      <c r="BH743" s="8">
        <f>+SUM(H743:K743)</f>
        <v>9051</v>
      </c>
      <c r="BI743" s="8">
        <f>+SUM(L743:O743)</f>
        <v>10353</v>
      </c>
      <c r="BJ743" s="8">
        <f>SUM(P743:S743)</f>
        <v>11386</v>
      </c>
      <c r="BK743" s="8">
        <f>SUM(T743:W743)</f>
        <v>11575</v>
      </c>
      <c r="BL743" s="8">
        <f>SUM(X743:AA743)</f>
        <v>15370</v>
      </c>
      <c r="BM743" s="8">
        <f>SUM(AB743:AE743)</f>
        <v>16230</v>
      </c>
      <c r="BN743" s="8">
        <f>SUM(AF743:AI743)</f>
        <v>15466</v>
      </c>
      <c r="BO743" s="8">
        <f>SUM(AJ743:AM743)</f>
        <v>21503</v>
      </c>
      <c r="BP743" s="8">
        <f t="shared" ref="BP743" si="2833">+SUM(AN743:AQ743)</f>
        <v>22040.019</v>
      </c>
    </row>
    <row r="744" spans="2:81">
      <c r="B744" s="13" t="s">
        <v>113</v>
      </c>
      <c r="G744" s="22"/>
      <c r="H744" s="22">
        <v>-0.05</v>
      </c>
      <c r="I744" s="22">
        <v>-0.03</v>
      </c>
      <c r="J744" s="22">
        <v>0.04</v>
      </c>
      <c r="K744" s="22">
        <v>0.03</v>
      </c>
      <c r="L744" s="23">
        <f>+L743/H743-1</f>
        <v>5.8355437665782439E-3</v>
      </c>
      <c r="M744" s="23">
        <f t="shared" ref="M744" si="2834">+M743/I743-1</f>
        <v>8.3771081006358772E-2</v>
      </c>
      <c r="N744" s="23">
        <f t="shared" ref="N744" si="2835">+N743/J743-1</f>
        <v>0.18100734522560336</v>
      </c>
      <c r="O744" s="23">
        <f t="shared" ref="O744" si="2836">+O743/K743-1</f>
        <v>0.39135727328058434</v>
      </c>
      <c r="P744" s="22">
        <v>0.44</v>
      </c>
      <c r="Q744" s="22">
        <v>0.08</v>
      </c>
      <c r="R744" s="22">
        <v>0.05</v>
      </c>
      <c r="S744" s="22">
        <v>-0.1</v>
      </c>
      <c r="T744" s="14">
        <f t="shared" ref="T744" si="2837">+T743/P743-1</f>
        <v>-7.1585098612125586E-2</v>
      </c>
      <c r="U744" s="14">
        <f t="shared" ref="U744" si="2838">+U743/Q743-1</f>
        <v>-0.21384688090737236</v>
      </c>
      <c r="V744" s="14">
        <f t="shared" ref="V744" si="2839">+V743/R743-1</f>
        <v>-5.9246720270842435E-3</v>
      </c>
      <c r="W744" s="14">
        <f t="shared" ref="W744" si="2840">+W743/S743-1</f>
        <v>0.63516804676083782</v>
      </c>
      <c r="X744" s="14">
        <f t="shared" ref="X744" si="2841">+X743/T743-1</f>
        <v>0.21636506687647517</v>
      </c>
      <c r="Y744" s="14">
        <f t="shared" ref="Y744" si="2842">+Y743/U743-1</f>
        <v>0.51217312894499556</v>
      </c>
      <c r="Z744" s="14">
        <f t="shared" ref="Z744" si="2843">+Z743/V743-1</f>
        <v>0.5040442741592166</v>
      </c>
      <c r="AA744" s="14">
        <f t="shared" ref="AA744" si="2844">+AA743/W743-1</f>
        <v>0.10634495084897222</v>
      </c>
      <c r="AB744" s="14">
        <f t="shared" ref="AB744" si="2845">+AB743/X743-1</f>
        <v>0.16203104786545919</v>
      </c>
      <c r="AC744" s="14">
        <f t="shared" ref="AC744" si="2846">+AC743/Y743-1</f>
        <v>8.1693500298151367E-2</v>
      </c>
      <c r="AD744" s="14">
        <f t="shared" ref="AD744" si="2847">+AD743/Z743-1</f>
        <v>5.8590433059722669E-2</v>
      </c>
      <c r="AE744" s="14">
        <f t="shared" ref="AE744" si="2848">+AE743/AA743-1</f>
        <v>-6.9736133548734536E-2</v>
      </c>
      <c r="AF744" s="14">
        <f t="shared" ref="AF744" si="2849">+AF743/AB743-1</f>
        <v>4.7314222098524539E-3</v>
      </c>
      <c r="AG744" s="14">
        <f t="shared" ref="AG744" si="2850">+AG743/AC743-1</f>
        <v>-0.1256890848952591</v>
      </c>
      <c r="AH744" s="14">
        <f t="shared" ref="AH744" si="2851">+AH743/AD743-1</f>
        <v>-3.5561497326203173E-2</v>
      </c>
      <c r="AI744" s="14">
        <f t="shared" ref="AI744" si="2852">+AI743/AE743-1</f>
        <v>1.0419681620839283E-2</v>
      </c>
      <c r="AJ744" s="14">
        <f t="shared" ref="AJ744" si="2853">+AJ743/AF743-1</f>
        <v>8.5595567867035927E-2</v>
      </c>
      <c r="AK744" s="14">
        <f t="shared" ref="AK744" si="2854">+AK743/AG743-1</f>
        <v>0.49453551912568305</v>
      </c>
      <c r="AL744" s="14">
        <f t="shared" ref="AL744" si="2855">+AL743/AH743-1</f>
        <v>0.51122816745217636</v>
      </c>
      <c r="AM744" s="14">
        <f t="shared" ref="AM744" si="2856">+AM743/AI743-1</f>
        <v>0.43855628759667709</v>
      </c>
      <c r="AN744" s="14">
        <f t="shared" ref="AN744:AO744" si="2857">+AN743/AJ743-1</f>
        <v>0.43429446287318196</v>
      </c>
      <c r="AO744" s="14">
        <f t="shared" si="2857"/>
        <v>-9.3431444241316219E-2</v>
      </c>
      <c r="AP744" s="14">
        <f t="shared" ref="AP744" si="2858">+AP743/AL743-1</f>
        <v>-7.0491652907723301E-2</v>
      </c>
      <c r="AQ744" s="14">
        <f t="shared" ref="AQ744" si="2859">+AQ743/AM743-1</f>
        <v>-2.3166069295101566E-2</v>
      </c>
      <c r="BH744" s="8"/>
      <c r="BI744" s="23">
        <f>+BI743/BH743-1</f>
        <v>0.14385150812064973</v>
      </c>
      <c r="BJ744" s="23">
        <f>+BJ743/BI743-1</f>
        <v>9.9777842171351327E-2</v>
      </c>
      <c r="BK744" s="23">
        <f>+BK743/BJ743-1</f>
        <v>1.6599332513613119E-2</v>
      </c>
      <c r="BL744" s="23">
        <f>+BL743/BK743-1</f>
        <v>0.32786177105831538</v>
      </c>
      <c r="BM744" s="23">
        <f t="shared" ref="BM744" si="2860">+BM743/BL743-1</f>
        <v>5.595315549772284E-2</v>
      </c>
      <c r="BN744" s="23">
        <f t="shared" ref="BN744" si="2861">+BN743/BM743-1</f>
        <v>-4.7073321010474456E-2</v>
      </c>
      <c r="BO744" s="23">
        <f t="shared" ref="BO744:BP744" si="2862">+BO743/BN743-1</f>
        <v>0.39034010086641668</v>
      </c>
      <c r="BP744" s="23">
        <f t="shared" si="2862"/>
        <v>2.4974143142817207E-2</v>
      </c>
    </row>
    <row r="745" spans="2:81" s="100" customFormat="1">
      <c r="H745" s="880"/>
      <c r="I745" s="880"/>
      <c r="J745" s="880"/>
      <c r="K745" s="880"/>
      <c r="L745" s="880"/>
      <c r="M745" s="880"/>
      <c r="N745" s="880"/>
      <c r="O745" s="880"/>
      <c r="P745" s="880"/>
      <c r="Q745" s="880"/>
      <c r="R745" s="880"/>
      <c r="S745" s="880"/>
      <c r="T745" s="880"/>
      <c r="U745" s="880"/>
      <c r="V745" s="880"/>
      <c r="W745" s="880"/>
      <c r="X745" s="880"/>
      <c r="Y745" s="880"/>
      <c r="Z745" s="880"/>
      <c r="AA745" s="880"/>
      <c r="AB745" s="880"/>
      <c r="AC745" s="880"/>
      <c r="AD745" s="880"/>
      <c r="AE745" s="880"/>
      <c r="AF745" s="880"/>
      <c r="AG745" s="880"/>
      <c r="AH745" s="880"/>
      <c r="AI745" s="880"/>
      <c r="BQ745" s="1162"/>
      <c r="BR745" s="11"/>
    </row>
    <row r="746" spans="2:81" ht="10.5">
      <c r="B746" s="45" t="s">
        <v>459</v>
      </c>
      <c r="AA746" s="9"/>
      <c r="AC746" s="9"/>
      <c r="AG746" s="8"/>
      <c r="AK746" s="9"/>
      <c r="BK746" s="9"/>
      <c r="BL746" s="9"/>
      <c r="BM746" s="9"/>
      <c r="BN746" s="9"/>
    </row>
    <row r="747" spans="2:81" s="100" customFormat="1">
      <c r="B747" s="100" t="s">
        <v>460</v>
      </c>
      <c r="C747" s="1224"/>
      <c r="D747" s="1224">
        <f t="shared" ref="D747:AD747" si="2863">+D751-D750-D748-D749</f>
        <v>0</v>
      </c>
      <c r="E747" s="1224">
        <f t="shared" si="2863"/>
        <v>0</v>
      </c>
      <c r="F747" s="1224">
        <f t="shared" si="2863"/>
        <v>0</v>
      </c>
      <c r="G747" s="1224">
        <f t="shared" si="2863"/>
        <v>0</v>
      </c>
      <c r="H747" s="61">
        <f t="shared" si="2863"/>
        <v>4393.4280972923152</v>
      </c>
      <c r="I747" s="61">
        <f t="shared" si="2863"/>
        <v>4864.8494671961707</v>
      </c>
      <c r="J747" s="61">
        <f t="shared" si="2863"/>
        <v>3721.583035157154</v>
      </c>
      <c r="K747" s="61">
        <f t="shared" si="2863"/>
        <v>4047.9740834197792</v>
      </c>
      <c r="L747" s="61">
        <f t="shared" si="2863"/>
        <v>4240.9078141014161</v>
      </c>
      <c r="M747" s="61">
        <f t="shared" si="2863"/>
        <v>4701.1077652850854</v>
      </c>
      <c r="N747" s="61">
        <f t="shared" si="2863"/>
        <v>4086.1564813988643</v>
      </c>
      <c r="O747" s="61">
        <f t="shared" si="2863"/>
        <v>4480.2438291158142</v>
      </c>
      <c r="P747" s="61">
        <f t="shared" si="2863"/>
        <v>4443.9619680638589</v>
      </c>
      <c r="Q747" s="61">
        <f t="shared" si="2863"/>
        <v>4964.405824168467</v>
      </c>
      <c r="R747" s="61">
        <f t="shared" si="2863"/>
        <v>4523.552381130281</v>
      </c>
      <c r="S747" s="61">
        <f t="shared" si="2863"/>
        <v>4913.103087089512</v>
      </c>
      <c r="T747" s="61">
        <f t="shared" si="2863"/>
        <v>4653.8555019030555</v>
      </c>
      <c r="U747" s="61">
        <f t="shared" si="2863"/>
        <v>5607.3762392136177</v>
      </c>
      <c r="V747" s="61">
        <f t="shared" si="2863"/>
        <v>4493.2126537303793</v>
      </c>
      <c r="W747" s="61">
        <f t="shared" si="2863"/>
        <v>5404.1874370088099</v>
      </c>
      <c r="X747" s="61">
        <f t="shared" si="2863"/>
        <v>4898.3037798967343</v>
      </c>
      <c r="Y747" s="61">
        <f t="shared" si="2863"/>
        <v>5715.5584549231007</v>
      </c>
      <c r="Z747" s="61">
        <f t="shared" si="2863"/>
        <v>4999.8575466128368</v>
      </c>
      <c r="AA747" s="61">
        <f t="shared" si="2863"/>
        <v>5057.5364685406821</v>
      </c>
      <c r="AB747" s="61">
        <f t="shared" si="2863"/>
        <v>4941.7514418169503</v>
      </c>
      <c r="AC747" s="61">
        <f t="shared" si="2863"/>
        <v>6747.7906903824678</v>
      </c>
      <c r="AD747" s="61">
        <f t="shared" si="2863"/>
        <v>5479.5642183242271</v>
      </c>
      <c r="AE747" s="61">
        <f>+AE751-AE750-AE748-AE749</f>
        <v>5063.3913551873484</v>
      </c>
      <c r="AF747" s="11">
        <f t="shared" ref="AF747" si="2864">+AF751-AF748-AF749-AF750</f>
        <v>4625</v>
      </c>
      <c r="AG747" s="11">
        <f t="shared" ref="AG747" si="2865">+AG751-AG748-AG749-AG750</f>
        <v>4238</v>
      </c>
      <c r="AH747" s="11">
        <f t="shared" ref="AH747" si="2866">+AH751-AH748-AH749-AH750</f>
        <v>3840.4999999999995</v>
      </c>
      <c r="AI747" s="11">
        <f t="shared" ref="AI747" si="2867">+AI751-AI748-AI749-AI750</f>
        <v>4099.92</v>
      </c>
      <c r="AJ747" s="11">
        <f t="shared" ref="AJ747:AM747" si="2868">+AJ751-AJ748-AJ749-AJ750</f>
        <v>4138.2</v>
      </c>
      <c r="AK747" s="11">
        <f t="shared" si="2868"/>
        <v>4049.16</v>
      </c>
      <c r="AL747" s="11">
        <f t="shared" si="2868"/>
        <v>3524.7599999999993</v>
      </c>
      <c r="AM747" s="11">
        <f t="shared" si="2868"/>
        <v>3532.5047999999997</v>
      </c>
      <c r="AN747" s="11">
        <f>+AN751-AN748-AN749-AN750</f>
        <v>3754.4560000000001</v>
      </c>
      <c r="AO747" s="11">
        <f t="shared" ref="AO747:AO749" si="2869">+AK747*(1+AO754)</f>
        <v>3765.7187999999996</v>
      </c>
      <c r="AP747" s="11">
        <f t="shared" ref="AP747:AP749" si="2870">+AL747*(1+AP754)</f>
        <v>3338.6526719999997</v>
      </c>
      <c r="AQ747" s="11">
        <f t="shared" ref="AQ747:AQ749" si="2871">+AM747*(1+AQ754)</f>
        <v>3532.5047999999997</v>
      </c>
      <c r="AV747" s="11"/>
      <c r="AW747" s="11"/>
      <c r="AX747" s="11"/>
      <c r="AY747" s="11"/>
      <c r="AZ747" s="11"/>
      <c r="BA747" s="11"/>
      <c r="BB747" s="11"/>
      <c r="BC747" s="11"/>
      <c r="BD747" s="11"/>
      <c r="BH747" s="8"/>
      <c r="BI747" s="8"/>
      <c r="BJ747" s="8"/>
      <c r="BK747" s="8"/>
      <c r="BL747" s="8"/>
      <c r="BM747" s="8"/>
      <c r="BN747" s="8">
        <f>SUM(AF747:AI747)</f>
        <v>16803.419999999998</v>
      </c>
      <c r="BO747" s="8">
        <f>SUM(AJ747:AM747)</f>
        <v>15244.624799999998</v>
      </c>
      <c r="BP747" s="11">
        <f t="shared" ref="BP747:BP751" si="2872">+SUM(AN747:AQ747)</f>
        <v>14391.332272</v>
      </c>
      <c r="BT747"/>
      <c r="BU747"/>
      <c r="BV747"/>
      <c r="BW747"/>
      <c r="BX747"/>
      <c r="BY747"/>
      <c r="BZ747"/>
      <c r="CA747"/>
      <c r="CB747"/>
      <c r="CC747"/>
    </row>
    <row r="748" spans="2:81" s="100" customFormat="1">
      <c r="B748" s="100" t="s">
        <v>461</v>
      </c>
      <c r="C748" s="11"/>
      <c r="D748" s="11">
        <f t="shared" ref="D748:S748" si="2873">+D743-D750</f>
        <v>0</v>
      </c>
      <c r="E748" s="11">
        <f t="shared" si="2873"/>
        <v>0</v>
      </c>
      <c r="F748" s="11">
        <f t="shared" si="2873"/>
        <v>0</v>
      </c>
      <c r="G748" s="11">
        <f t="shared" si="2873"/>
        <v>0</v>
      </c>
      <c r="H748" s="11">
        <f t="shared" si="2873"/>
        <v>1885</v>
      </c>
      <c r="I748" s="11">
        <f t="shared" si="2873"/>
        <v>3617</v>
      </c>
      <c r="J748" s="11">
        <f t="shared" si="2873"/>
        <v>1906</v>
      </c>
      <c r="K748" s="11">
        <f t="shared" si="2873"/>
        <v>1643</v>
      </c>
      <c r="L748" s="11">
        <f t="shared" si="2873"/>
        <v>1896</v>
      </c>
      <c r="M748" s="11">
        <f t="shared" si="2873"/>
        <v>3920</v>
      </c>
      <c r="N748" s="11">
        <f t="shared" si="2873"/>
        <v>2251</v>
      </c>
      <c r="O748" s="11">
        <f t="shared" si="2873"/>
        <v>2286</v>
      </c>
      <c r="P748" s="11">
        <f t="shared" si="2873"/>
        <v>2738</v>
      </c>
      <c r="Q748" s="11">
        <f t="shared" si="2873"/>
        <v>4232</v>
      </c>
      <c r="R748" s="11">
        <f t="shared" si="2873"/>
        <v>2363</v>
      </c>
      <c r="S748" s="11">
        <f t="shared" si="2873"/>
        <v>2053</v>
      </c>
      <c r="T748" s="11">
        <f t="shared" ref="T748:AI748" si="2874">+T743-T750</f>
        <v>2542</v>
      </c>
      <c r="U748" s="11">
        <f t="shared" si="2874"/>
        <v>3327</v>
      </c>
      <c r="V748" s="11">
        <f t="shared" si="2874"/>
        <v>2349</v>
      </c>
      <c r="W748" s="11">
        <f t="shared" si="2874"/>
        <v>3357</v>
      </c>
      <c r="X748" s="11">
        <f t="shared" si="2874"/>
        <v>3092</v>
      </c>
      <c r="Y748" s="11">
        <f t="shared" si="2874"/>
        <v>5031</v>
      </c>
      <c r="Z748" s="11">
        <f t="shared" si="2874"/>
        <v>3533</v>
      </c>
      <c r="AA748" s="11">
        <f t="shared" si="2874"/>
        <v>3714</v>
      </c>
      <c r="AB748" s="11">
        <f t="shared" si="2874"/>
        <v>3593</v>
      </c>
      <c r="AC748" s="11">
        <f t="shared" si="2874"/>
        <v>5442</v>
      </c>
      <c r="AD748" s="11">
        <f t="shared" si="2874"/>
        <v>3740</v>
      </c>
      <c r="AE748" s="11">
        <f t="shared" si="2874"/>
        <v>3455</v>
      </c>
      <c r="AF748" s="11">
        <f t="shared" si="2874"/>
        <v>3610</v>
      </c>
      <c r="AG748" s="11">
        <f t="shared" si="2874"/>
        <v>4758</v>
      </c>
      <c r="AH748" s="11">
        <f t="shared" si="2874"/>
        <v>3607</v>
      </c>
      <c r="AI748" s="11">
        <f t="shared" si="2874"/>
        <v>3491</v>
      </c>
      <c r="AJ748" s="11">
        <f>+AJ743-AJ750</f>
        <v>3919</v>
      </c>
      <c r="AK748" s="11">
        <f>+AK743-AK750</f>
        <v>5031</v>
      </c>
      <c r="AL748" s="11">
        <f t="shared" ref="AL748:AN748" si="2875">+AL743-AL750</f>
        <v>3481</v>
      </c>
      <c r="AM748" s="11">
        <f t="shared" si="2875"/>
        <v>3342</v>
      </c>
      <c r="AN748" s="11">
        <f t="shared" si="2875"/>
        <v>3931</v>
      </c>
      <c r="AO748" s="11">
        <f t="shared" si="2869"/>
        <v>4221.009</v>
      </c>
      <c r="AP748" s="11">
        <f t="shared" si="2870"/>
        <v>2958.85</v>
      </c>
      <c r="AQ748" s="11">
        <f t="shared" si="2871"/>
        <v>3108.06</v>
      </c>
      <c r="AV748" s="880"/>
      <c r="AW748" s="880"/>
      <c r="AX748" s="880"/>
      <c r="AY748" s="880"/>
      <c r="AZ748" s="880"/>
      <c r="BA748" s="880"/>
      <c r="BB748" s="880"/>
      <c r="BC748" s="880"/>
      <c r="BD748" s="880"/>
      <c r="BH748" s="880">
        <f t="shared" ref="BH748:BH749" si="2876">+SUM(H748:K748)</f>
        <v>9051</v>
      </c>
      <c r="BI748" s="880">
        <f t="shared" ref="BI748:BI749" si="2877">+SUM(L748:O748)</f>
        <v>10353</v>
      </c>
      <c r="BJ748" s="880">
        <f t="shared" ref="BJ748:BJ749" si="2878">SUM(P748:S748)</f>
        <v>11386</v>
      </c>
      <c r="BK748" s="880">
        <f t="shared" ref="BK748:BK749" si="2879">SUM(T748:W748)</f>
        <v>11575</v>
      </c>
      <c r="BL748" s="880">
        <f t="shared" ref="BL748:BL749" si="2880">SUM(X748:AA748)</f>
        <v>15370</v>
      </c>
      <c r="BM748" s="880">
        <f t="shared" ref="BM748:BM749" si="2881">SUM(AB748:AE748)</f>
        <v>16230</v>
      </c>
      <c r="BN748" s="880">
        <f t="shared" ref="BN748:BN751" si="2882">SUM(AF748:AI748)</f>
        <v>15466</v>
      </c>
      <c r="BO748" s="880">
        <f t="shared" ref="BO748:BO751" si="2883">SUM(AJ748:AM748)</f>
        <v>15773</v>
      </c>
      <c r="BP748" s="880">
        <f t="shared" si="2872"/>
        <v>14218.919</v>
      </c>
      <c r="BT748"/>
      <c r="BU748"/>
      <c r="BV748"/>
      <c r="BW748"/>
      <c r="BX748"/>
      <c r="BY748"/>
      <c r="BZ748"/>
      <c r="CA748"/>
      <c r="CB748"/>
      <c r="CC748"/>
    </row>
    <row r="749" spans="2:81" s="100" customFormat="1">
      <c r="B749" s="100" t="s">
        <v>462</v>
      </c>
      <c r="C749" s="11"/>
      <c r="D749" s="11">
        <f t="shared" ref="D749:S749" si="2884">+D865</f>
        <v>0</v>
      </c>
      <c r="E749" s="11">
        <f t="shared" si="2884"/>
        <v>0</v>
      </c>
      <c r="F749" s="11">
        <f t="shared" si="2884"/>
        <v>0</v>
      </c>
      <c r="G749" s="11">
        <f t="shared" si="2884"/>
        <v>0</v>
      </c>
      <c r="H749" s="11">
        <f t="shared" si="2884"/>
        <v>1429</v>
      </c>
      <c r="I749" s="11">
        <f t="shared" si="2884"/>
        <v>1605</v>
      </c>
      <c r="J749" s="11">
        <f t="shared" si="2884"/>
        <v>1599</v>
      </c>
      <c r="K749" s="11">
        <f t="shared" si="2884"/>
        <v>1586</v>
      </c>
      <c r="L749" s="11">
        <f t="shared" si="2884"/>
        <v>1639</v>
      </c>
      <c r="M749" s="11">
        <f t="shared" si="2884"/>
        <v>1820</v>
      </c>
      <c r="N749" s="11">
        <f t="shared" si="2884"/>
        <v>1784</v>
      </c>
      <c r="O749" s="11">
        <f t="shared" si="2884"/>
        <v>1769</v>
      </c>
      <c r="P749" s="11">
        <f t="shared" si="2884"/>
        <v>1788</v>
      </c>
      <c r="Q749" s="11">
        <f t="shared" si="2884"/>
        <v>1976</v>
      </c>
      <c r="R749" s="11">
        <f t="shared" si="2884"/>
        <v>1911</v>
      </c>
      <c r="S749" s="11">
        <f t="shared" si="2884"/>
        <v>1953</v>
      </c>
      <c r="T749" s="11">
        <f t="shared" ref="T749:AI749" si="2885">+T865</f>
        <v>1991</v>
      </c>
      <c r="U749" s="11">
        <f t="shared" si="2885"/>
        <v>2163</v>
      </c>
      <c r="V749" s="11">
        <f t="shared" si="2885"/>
        <v>1986</v>
      </c>
      <c r="W749" s="11">
        <f t="shared" si="2885"/>
        <v>1600</v>
      </c>
      <c r="X749" s="11">
        <f t="shared" si="2885"/>
        <v>1943</v>
      </c>
      <c r="Y749" s="11">
        <f t="shared" si="2885"/>
        <v>2386</v>
      </c>
      <c r="Z749" s="11">
        <f t="shared" si="2885"/>
        <v>2401</v>
      </c>
      <c r="AA749" s="11">
        <f t="shared" si="2885"/>
        <v>2537</v>
      </c>
      <c r="AB749" s="11">
        <f t="shared" si="2885"/>
        <v>2656</v>
      </c>
      <c r="AC749" s="11">
        <f t="shared" si="2885"/>
        <v>3064</v>
      </c>
      <c r="AD749" s="11">
        <f t="shared" si="2885"/>
        <v>2945</v>
      </c>
      <c r="AE749" s="11">
        <f t="shared" si="2885"/>
        <v>2926</v>
      </c>
      <c r="AF749" s="11">
        <f t="shared" si="2885"/>
        <v>2928</v>
      </c>
      <c r="AG749" s="11">
        <f t="shared" si="2885"/>
        <v>3223</v>
      </c>
      <c r="AH749" s="11">
        <f t="shared" si="2885"/>
        <v>3239.5000000000005</v>
      </c>
      <c r="AI749" s="11">
        <f t="shared" si="2885"/>
        <v>3160.0800000000004</v>
      </c>
      <c r="AJ749" s="11">
        <f t="shared" ref="AJ749:AL749" si="2886">+AJ865</f>
        <v>3220.8</v>
      </c>
      <c r="AK749" s="11">
        <f t="shared" si="2886"/>
        <v>3480.84</v>
      </c>
      <c r="AL749" s="11">
        <f t="shared" si="2886"/>
        <v>3628.2400000000007</v>
      </c>
      <c r="AM749" s="11">
        <f>+AM865</f>
        <v>3760.4952000000003</v>
      </c>
      <c r="AN749" s="11">
        <f>+AJ749*(1+AN733)</f>
        <v>3800.5439999999999</v>
      </c>
      <c r="AO749" s="11">
        <f t="shared" si="2869"/>
        <v>4037.7743999999998</v>
      </c>
      <c r="AP749" s="11">
        <f t="shared" si="2870"/>
        <v>4099.9112000000005</v>
      </c>
      <c r="AQ749" s="11">
        <f t="shared" si="2871"/>
        <v>4197.4647422400003</v>
      </c>
      <c r="AV749" s="880"/>
      <c r="AW749" s="880"/>
      <c r="AX749" s="880"/>
      <c r="AY749" s="880"/>
      <c r="AZ749" s="880"/>
      <c r="BA749" s="880"/>
      <c r="BB749" s="880"/>
      <c r="BC749" s="880"/>
      <c r="BD749" s="880"/>
      <c r="BH749" s="880">
        <f t="shared" si="2876"/>
        <v>6219</v>
      </c>
      <c r="BI749" s="880">
        <f t="shared" si="2877"/>
        <v>7012</v>
      </c>
      <c r="BJ749" s="880">
        <f t="shared" si="2878"/>
        <v>7628</v>
      </c>
      <c r="BK749" s="880">
        <f t="shared" si="2879"/>
        <v>7740</v>
      </c>
      <c r="BL749" s="880">
        <f t="shared" si="2880"/>
        <v>9267</v>
      </c>
      <c r="BM749" s="880">
        <f t="shared" si="2881"/>
        <v>11591</v>
      </c>
      <c r="BN749" s="880">
        <f t="shared" si="2882"/>
        <v>12550.58</v>
      </c>
      <c r="BO749" s="880">
        <f t="shared" si="2883"/>
        <v>14090.375200000002</v>
      </c>
      <c r="BP749" s="880">
        <f t="shared" si="2872"/>
        <v>16135.69434224</v>
      </c>
      <c r="BT749" s="3"/>
      <c r="BU749" s="3"/>
      <c r="BV749" s="3"/>
      <c r="BW749" s="3"/>
      <c r="BX749" s="3"/>
      <c r="BY749" s="3"/>
      <c r="BZ749" s="3"/>
      <c r="CA749" s="3"/>
      <c r="CB749" s="3"/>
      <c r="CC749" s="3"/>
    </row>
    <row r="750" spans="2:81" s="100" customFormat="1" ht="11.45">
      <c r="B750" s="100" t="s">
        <v>448</v>
      </c>
      <c r="C750" s="34"/>
      <c r="D750" s="34">
        <f t="shared" ref="D750:AE750" si="2887">+D699</f>
        <v>0</v>
      </c>
      <c r="E750" s="34">
        <f t="shared" si="2887"/>
        <v>0</v>
      </c>
      <c r="F750" s="34">
        <f t="shared" si="2887"/>
        <v>0</v>
      </c>
      <c r="G750" s="34">
        <f t="shared" si="2887"/>
        <v>0</v>
      </c>
      <c r="H750" s="34">
        <f t="shared" si="2887"/>
        <v>0</v>
      </c>
      <c r="I750" s="34">
        <f t="shared" si="2887"/>
        <v>0</v>
      </c>
      <c r="J750" s="34">
        <f t="shared" si="2887"/>
        <v>0</v>
      </c>
      <c r="K750" s="34">
        <f t="shared" si="2887"/>
        <v>0</v>
      </c>
      <c r="L750" s="34">
        <f t="shared" si="2887"/>
        <v>0</v>
      </c>
      <c r="M750" s="34">
        <f t="shared" si="2887"/>
        <v>0</v>
      </c>
      <c r="N750" s="34">
        <f t="shared" si="2887"/>
        <v>0</v>
      </c>
      <c r="O750" s="34">
        <f t="shared" si="2887"/>
        <v>0</v>
      </c>
      <c r="P750" s="34">
        <f t="shared" si="2887"/>
        <v>0</v>
      </c>
      <c r="Q750" s="34">
        <f t="shared" si="2887"/>
        <v>0</v>
      </c>
      <c r="R750" s="34">
        <f t="shared" si="2887"/>
        <v>0</v>
      </c>
      <c r="S750" s="34">
        <f t="shared" si="2887"/>
        <v>0</v>
      </c>
      <c r="T750" s="34">
        <f t="shared" si="2887"/>
        <v>0</v>
      </c>
      <c r="U750" s="34">
        <f t="shared" si="2887"/>
        <v>0</v>
      </c>
      <c r="V750" s="34">
        <f t="shared" si="2887"/>
        <v>0</v>
      </c>
      <c r="W750" s="34">
        <f t="shared" si="2887"/>
        <v>0</v>
      </c>
      <c r="X750" s="34">
        <f t="shared" si="2887"/>
        <v>0</v>
      </c>
      <c r="Y750" s="34">
        <f t="shared" si="2887"/>
        <v>0</v>
      </c>
      <c r="Z750" s="34">
        <f t="shared" si="2887"/>
        <v>0</v>
      </c>
      <c r="AA750" s="34">
        <f t="shared" si="2887"/>
        <v>0</v>
      </c>
      <c r="AB750" s="34">
        <f t="shared" si="2887"/>
        <v>0</v>
      </c>
      <c r="AC750" s="34">
        <f t="shared" si="2887"/>
        <v>0</v>
      </c>
      <c r="AD750" s="34">
        <f t="shared" si="2887"/>
        <v>0</v>
      </c>
      <c r="AE750" s="34">
        <f t="shared" si="2887"/>
        <v>0</v>
      </c>
      <c r="AF750" s="34">
        <f t="shared" ref="AF750:AI750" si="2888">+AF699</f>
        <v>0</v>
      </c>
      <c r="AG750" s="34">
        <f t="shared" si="2888"/>
        <v>0</v>
      </c>
      <c r="AH750" s="34">
        <f t="shared" si="2888"/>
        <v>0</v>
      </c>
      <c r="AI750" s="34">
        <f t="shared" si="2888"/>
        <v>0</v>
      </c>
      <c r="AJ750" s="34">
        <f>+AJ699</f>
        <v>0</v>
      </c>
      <c r="AK750" s="30">
        <f>+AK699</f>
        <v>2080</v>
      </c>
      <c r="AL750" s="30">
        <f>+AL699</f>
        <v>1970</v>
      </c>
      <c r="AM750" s="30">
        <f>+AM699</f>
        <v>1680</v>
      </c>
      <c r="AN750" s="30">
        <f>+AN699</f>
        <v>1690</v>
      </c>
      <c r="AO750" s="34">
        <f>+AK750*(1+AO757)</f>
        <v>2225.6</v>
      </c>
      <c r="AP750" s="34">
        <f t="shared" ref="AP750:AQ750" si="2889">+AL750*(1+AP757)</f>
        <v>2107.9</v>
      </c>
      <c r="AQ750" s="34">
        <f t="shared" si="2889"/>
        <v>1797.6000000000001</v>
      </c>
      <c r="AR750" s="34"/>
      <c r="AS750" s="34"/>
      <c r="AT750" s="34"/>
      <c r="AU750" s="34"/>
      <c r="AV750" s="34"/>
      <c r="AW750" s="34"/>
      <c r="AX750" s="34"/>
      <c r="AY750" s="34"/>
      <c r="AZ750" s="34"/>
      <c r="BA750" s="34"/>
      <c r="BB750" s="34"/>
      <c r="BC750" s="34"/>
      <c r="BD750" s="34"/>
      <c r="BE750" s="34"/>
      <c r="BF750" s="34"/>
      <c r="BG750" s="34"/>
      <c r="BH750" s="34"/>
      <c r="BI750" s="34"/>
      <c r="BJ750" s="34"/>
      <c r="BK750" s="34"/>
      <c r="BL750" s="34"/>
      <c r="BM750" s="34"/>
      <c r="BN750" s="34">
        <f t="shared" si="2882"/>
        <v>0</v>
      </c>
      <c r="BO750" s="906">
        <f t="shared" si="2883"/>
        <v>5730</v>
      </c>
      <c r="BP750" s="906">
        <f t="shared" si="2872"/>
        <v>7821.1</v>
      </c>
      <c r="BT750" s="839"/>
      <c r="BU750" s="839"/>
      <c r="BV750" s="839"/>
      <c r="BW750" s="839"/>
      <c r="BX750" s="839"/>
      <c r="BY750" s="839"/>
      <c r="BZ750" s="839"/>
      <c r="CA750" s="839"/>
      <c r="CB750" s="839"/>
      <c r="CC750" s="839"/>
    </row>
    <row r="751" spans="2:81" s="102" customFormat="1" ht="10.5">
      <c r="B751" s="873" t="s">
        <v>463</v>
      </c>
      <c r="C751" s="1603"/>
      <c r="D751" s="1603">
        <f t="shared" ref="D751:AD751" si="2890">+D700</f>
        <v>0</v>
      </c>
      <c r="E751" s="1603">
        <f t="shared" si="2890"/>
        <v>0</v>
      </c>
      <c r="F751" s="1603">
        <f t="shared" si="2890"/>
        <v>0</v>
      </c>
      <c r="G751" s="1603">
        <f t="shared" si="2890"/>
        <v>0</v>
      </c>
      <c r="H751" s="1215">
        <f t="shared" si="2890"/>
        <v>7707.4280972923152</v>
      </c>
      <c r="I751" s="1215">
        <f t="shared" si="2890"/>
        <v>10086.849467196171</v>
      </c>
      <c r="J751" s="1215">
        <f t="shared" si="2890"/>
        <v>7226.583035157154</v>
      </c>
      <c r="K751" s="1215">
        <f t="shared" si="2890"/>
        <v>7276.9740834197792</v>
      </c>
      <c r="L751" s="1215">
        <f t="shared" si="2890"/>
        <v>7775.9078141014161</v>
      </c>
      <c r="M751" s="1215">
        <f t="shared" si="2890"/>
        <v>10441.107765285085</v>
      </c>
      <c r="N751" s="1215">
        <f t="shared" si="2890"/>
        <v>8121.1564813988643</v>
      </c>
      <c r="O751" s="1215">
        <f t="shared" si="2890"/>
        <v>8535.2438291158142</v>
      </c>
      <c r="P751" s="1215">
        <f t="shared" si="2890"/>
        <v>8969.9619680638589</v>
      </c>
      <c r="Q751" s="1215">
        <f t="shared" si="2890"/>
        <v>11172.405824168467</v>
      </c>
      <c r="R751" s="1215">
        <f t="shared" si="2890"/>
        <v>8797.552381130281</v>
      </c>
      <c r="S751" s="1215">
        <f t="shared" si="2890"/>
        <v>8919.103087089512</v>
      </c>
      <c r="T751" s="1215">
        <f t="shared" si="2890"/>
        <v>9186.8555019030555</v>
      </c>
      <c r="U751" s="1215">
        <f t="shared" si="2890"/>
        <v>11097.376239213618</v>
      </c>
      <c r="V751" s="1215">
        <f t="shared" si="2890"/>
        <v>8828.2126537303793</v>
      </c>
      <c r="W751" s="1215">
        <f t="shared" si="2890"/>
        <v>10361.18743700881</v>
      </c>
      <c r="X751" s="1215">
        <f t="shared" si="2890"/>
        <v>9933.3037798967343</v>
      </c>
      <c r="Y751" s="1215">
        <f t="shared" si="2890"/>
        <v>13132.558454923101</v>
      </c>
      <c r="Z751" s="1215">
        <f t="shared" si="2890"/>
        <v>10933.857546612837</v>
      </c>
      <c r="AA751" s="1215">
        <f t="shared" si="2890"/>
        <v>11308.536468540682</v>
      </c>
      <c r="AB751" s="1215">
        <f t="shared" si="2890"/>
        <v>11190.75144181695</v>
      </c>
      <c r="AC751" s="1215">
        <f t="shared" si="2890"/>
        <v>15253.790690382468</v>
      </c>
      <c r="AD751" s="1215">
        <f t="shared" si="2890"/>
        <v>12164.564218324227</v>
      </c>
      <c r="AE751" s="1215">
        <f>+AE700</f>
        <v>11444.391355187348</v>
      </c>
      <c r="AF751" s="849">
        <f t="shared" ref="AF751:AN751" si="2891">+AF154</f>
        <v>11163</v>
      </c>
      <c r="AG751" s="849">
        <f t="shared" si="2891"/>
        <v>12219</v>
      </c>
      <c r="AH751" s="849">
        <f t="shared" si="2891"/>
        <v>10687</v>
      </c>
      <c r="AI751" s="849">
        <f t="shared" si="2891"/>
        <v>10751</v>
      </c>
      <c r="AJ751" s="849">
        <f t="shared" si="2891"/>
        <v>11278</v>
      </c>
      <c r="AK751" s="849">
        <f t="shared" si="2891"/>
        <v>14641</v>
      </c>
      <c r="AL751" s="849">
        <f t="shared" si="2891"/>
        <v>12604</v>
      </c>
      <c r="AM751" s="849">
        <f t="shared" si="2891"/>
        <v>12315</v>
      </c>
      <c r="AN751" s="849">
        <f t="shared" si="2891"/>
        <v>13176</v>
      </c>
      <c r="AO751" s="849">
        <f>+SUM(AO747:AO750)</f>
        <v>14250.102199999999</v>
      </c>
      <c r="AP751" s="849">
        <f t="shared" ref="AP751:AQ751" si="2892">+SUM(AP747:AP750)</f>
        <v>12505.313872000001</v>
      </c>
      <c r="AQ751" s="849">
        <f t="shared" si="2892"/>
        <v>12635.629542240002</v>
      </c>
      <c r="AV751" s="849"/>
      <c r="AW751" s="849"/>
      <c r="AX751" s="849"/>
      <c r="AY751" s="849"/>
      <c r="AZ751" s="849"/>
      <c r="BA751" s="849"/>
      <c r="BB751" s="849"/>
      <c r="BC751" s="849"/>
      <c r="BD751" s="849"/>
      <c r="BH751" s="849"/>
      <c r="BI751" s="849"/>
      <c r="BJ751" s="849"/>
      <c r="BK751" s="849"/>
      <c r="BL751" s="849"/>
      <c r="BM751" s="849"/>
      <c r="BN751" s="849">
        <f t="shared" si="2882"/>
        <v>44820</v>
      </c>
      <c r="BO751" s="849">
        <f t="shared" si="2883"/>
        <v>50838</v>
      </c>
      <c r="BP751" s="849">
        <f t="shared" si="2872"/>
        <v>52567.04561424</v>
      </c>
      <c r="BT751" s="7"/>
      <c r="BU751" s="7"/>
      <c r="BV751" s="7"/>
      <c r="BW751" s="7"/>
      <c r="BX751" s="7"/>
      <c r="BY751" s="7"/>
      <c r="BZ751" s="7"/>
      <c r="CA751" s="7"/>
      <c r="CB751" s="7"/>
      <c r="CC751" s="7"/>
    </row>
    <row r="752" spans="2:81">
      <c r="AG752" s="8"/>
      <c r="AH752" s="8"/>
      <c r="AI752" s="8"/>
      <c r="AJ752" s="8"/>
      <c r="AK752" s="8"/>
      <c r="AL752" s="8"/>
      <c r="AM752" s="8"/>
      <c r="AN752" s="8"/>
      <c r="AO752" s="8"/>
      <c r="AP752" s="8"/>
      <c r="AQ752" s="8"/>
    </row>
    <row r="753" spans="2:81">
      <c r="B753" s="24" t="s">
        <v>113</v>
      </c>
      <c r="AH753" s="9"/>
      <c r="AI753" s="9"/>
      <c r="AJ753" s="9"/>
      <c r="AK753" s="9"/>
      <c r="AL753" s="9"/>
      <c r="AM753" s="9"/>
      <c r="AN753" s="9"/>
      <c r="AO753" s="9"/>
      <c r="AP753" s="9"/>
      <c r="AQ753" s="9"/>
    </row>
    <row r="754" spans="2:81" s="3" customFormat="1">
      <c r="B754" s="13" t="str">
        <f>+B747</f>
        <v>Windows</v>
      </c>
      <c r="D754" s="228"/>
      <c r="E754" s="228"/>
      <c r="F754" s="228"/>
      <c r="G754" s="228"/>
      <c r="H754" s="228"/>
      <c r="I754" s="228"/>
      <c r="J754" s="228"/>
      <c r="K754" s="228"/>
      <c r="L754" s="228"/>
      <c r="M754" s="228"/>
      <c r="N754" s="228"/>
      <c r="O754" s="228"/>
      <c r="P754" s="228"/>
      <c r="Q754" s="228"/>
      <c r="R754" s="228"/>
      <c r="S754" s="228"/>
      <c r="T754" s="829">
        <f t="shared" ref="T754" si="2893">+T747/P747-1</f>
        <v>4.7231172396968724E-2</v>
      </c>
      <c r="U754" s="829">
        <f t="shared" ref="U754" si="2894">+U747/Q747-1</f>
        <v>0.12951608668150083</v>
      </c>
      <c r="V754" s="829">
        <f t="shared" ref="V754" si="2895">+V747/R747-1</f>
        <v>-6.7070578261593239E-3</v>
      </c>
      <c r="W754" s="829">
        <f t="shared" ref="W754" si="2896">+W747/S747-1</f>
        <v>9.9954008945945638E-2</v>
      </c>
      <c r="X754" s="829">
        <f t="shared" ref="X754" si="2897">+X747/T747-1</f>
        <v>5.2525970755585183E-2</v>
      </c>
      <c r="Y754" s="829">
        <f t="shared" ref="Y754" si="2898">+Y747/U747-1</f>
        <v>1.9292840554008261E-2</v>
      </c>
      <c r="Z754" s="829">
        <f t="shared" ref="Z754" si="2899">+Z747/V747-1</f>
        <v>0.11275782651013144</v>
      </c>
      <c r="AA754" s="829">
        <f t="shared" ref="AA754" si="2900">+AA747/W747-1</f>
        <v>-6.4144882557959026E-2</v>
      </c>
      <c r="AB754" s="829">
        <f t="shared" ref="AB754" si="2901">+AB747/X747-1</f>
        <v>8.8699402635112889E-3</v>
      </c>
      <c r="AC754" s="829">
        <f t="shared" ref="AC754" si="2902">+AC747/Y747-1</f>
        <v>0.18060041614485689</v>
      </c>
      <c r="AD754" s="829">
        <f t="shared" ref="AD754" si="2903">+AD747/Z747-1</f>
        <v>9.5944067853766857E-2</v>
      </c>
      <c r="AE754" s="829">
        <f t="shared" ref="AE754" si="2904">+AE747/AA747-1</f>
        <v>1.1576558435288931E-3</v>
      </c>
      <c r="AF754" s="829">
        <f t="shared" ref="AF754" si="2905">+AF747/AB747-1</f>
        <v>-6.4096999929338705E-2</v>
      </c>
      <c r="AG754" s="829">
        <f t="shared" ref="AG754" si="2906">+AG747/AC747-1</f>
        <v>-0.37194258173414263</v>
      </c>
      <c r="AH754" s="829">
        <f t="shared" ref="AH754" si="2907">+AH747/AD747-1</f>
        <v>-0.29912309684099114</v>
      </c>
      <c r="AI754" s="829">
        <f t="shared" ref="AI754" si="2908">+AI747/AE747-1</f>
        <v>-0.19028182646800351</v>
      </c>
      <c r="AJ754" s="228">
        <f t="shared" ref="AJ754:AM754" si="2909">+AJ747/AF747-1</f>
        <v>-0.10525405405405408</v>
      </c>
      <c r="AK754" s="228">
        <f t="shared" si="2909"/>
        <v>-4.4558754129306322E-2</v>
      </c>
      <c r="AL754" s="228">
        <f t="shared" si="2909"/>
        <v>-8.2213253482619542E-2</v>
      </c>
      <c r="AM754" s="228">
        <f t="shared" si="2909"/>
        <v>-0.13839665164198334</v>
      </c>
      <c r="AN754" s="228">
        <f>+AN747/AJ747-1</f>
        <v>-9.2732105746459736E-2</v>
      </c>
      <c r="AO754" s="829">
        <v>-7.0000000000000007E-2</v>
      </c>
      <c r="AP754" s="829">
        <v>-5.28E-2</v>
      </c>
      <c r="AQ754" s="829">
        <v>0</v>
      </c>
      <c r="AR754" s="228"/>
      <c r="AS754" s="228"/>
      <c r="AT754" s="228"/>
      <c r="AU754" s="228"/>
      <c r="AV754" s="228"/>
      <c r="AW754" s="228"/>
      <c r="AX754" s="228"/>
      <c r="AY754" s="228"/>
      <c r="AZ754" s="228"/>
      <c r="BA754" s="228"/>
      <c r="BB754" s="228"/>
      <c r="BC754" s="228"/>
      <c r="BD754" s="228"/>
      <c r="BE754" s="228"/>
      <c r="BF754" s="228"/>
      <c r="BG754" s="228"/>
      <c r="BH754" s="228"/>
      <c r="BI754" s="228"/>
      <c r="BJ754" s="228"/>
      <c r="BK754" s="228"/>
      <c r="BL754" s="228"/>
      <c r="BM754" s="228"/>
      <c r="BN754" s="228"/>
      <c r="BO754" s="228">
        <f>+BO747/BN747-1</f>
        <v>-9.2766543953552327E-2</v>
      </c>
      <c r="BP754" s="228">
        <f>+BP747/BO747-1</f>
        <v>-5.5973337434975678E-2</v>
      </c>
      <c r="BT754"/>
      <c r="BU754"/>
      <c r="BV754"/>
      <c r="BW754"/>
      <c r="BX754"/>
      <c r="BY754"/>
      <c r="BZ754"/>
      <c r="CA754"/>
      <c r="CB754"/>
      <c r="CC754"/>
    </row>
    <row r="755" spans="2:81" s="3" customFormat="1">
      <c r="B755" s="13" t="str">
        <f>+B748</f>
        <v>Gaming ex-ATVI</v>
      </c>
      <c r="D755" s="228"/>
      <c r="E755" s="228"/>
      <c r="F755" s="228"/>
      <c r="G755" s="228"/>
      <c r="H755" s="228"/>
      <c r="I755" s="228"/>
      <c r="J755" s="228"/>
      <c r="K755" s="228"/>
      <c r="L755" s="228"/>
      <c r="M755" s="228"/>
      <c r="N755" s="228"/>
      <c r="O755" s="228"/>
      <c r="P755" s="228">
        <f t="shared" ref="P755:P756" si="2910">+P748/L748-1</f>
        <v>0.44409282700421948</v>
      </c>
      <c r="Q755" s="228">
        <f t="shared" ref="Q755:Q756" si="2911">+Q748/M748-1</f>
        <v>7.9591836734693944E-2</v>
      </c>
      <c r="R755" s="228">
        <f t="shared" ref="R755:R756" si="2912">+R748/N748-1</f>
        <v>4.9755664149266909E-2</v>
      </c>
      <c r="S755" s="228">
        <f t="shared" ref="S755:S756" si="2913">+S748/O748-1</f>
        <v>-0.10192475940507439</v>
      </c>
      <c r="T755" s="228">
        <f t="shared" ref="T755:T756" si="2914">+T748/P748-1</f>
        <v>-7.1585098612125586E-2</v>
      </c>
      <c r="U755" s="228">
        <f t="shared" ref="U755" si="2915">+U748/Q748-1</f>
        <v>-0.21384688090737236</v>
      </c>
      <c r="V755" s="228">
        <f t="shared" ref="V755" si="2916">+V748/R748-1</f>
        <v>-5.9246720270842435E-3</v>
      </c>
      <c r="W755" s="228">
        <f t="shared" ref="W755" si="2917">+W748/S748-1</f>
        <v>0.63516804676083782</v>
      </c>
      <c r="X755" s="228">
        <f t="shared" ref="X755" si="2918">+X748/T748-1</f>
        <v>0.21636506687647517</v>
      </c>
      <c r="Y755" s="228">
        <f t="shared" ref="Y755" si="2919">+Y748/U748-1</f>
        <v>0.51217312894499556</v>
      </c>
      <c r="Z755" s="228">
        <f t="shared" ref="Z755" si="2920">+Z748/V748-1</f>
        <v>0.5040442741592166</v>
      </c>
      <c r="AA755" s="228">
        <f t="shared" ref="AA755" si="2921">+AA748/W748-1</f>
        <v>0.10634495084897222</v>
      </c>
      <c r="AB755" s="228">
        <f t="shared" ref="AB755" si="2922">+AB748/X748-1</f>
        <v>0.16203104786545919</v>
      </c>
      <c r="AC755" s="228">
        <f t="shared" ref="AC755" si="2923">+AC748/Y748-1</f>
        <v>8.1693500298151367E-2</v>
      </c>
      <c r="AD755" s="228">
        <f t="shared" ref="AD755" si="2924">+AD748/Z748-1</f>
        <v>5.8590433059722669E-2</v>
      </c>
      <c r="AE755" s="228">
        <f t="shared" ref="AE755" si="2925">+AE748/AA748-1</f>
        <v>-6.9736133548734536E-2</v>
      </c>
      <c r="AF755" s="228">
        <f t="shared" ref="AF755" si="2926">+AF748/AB748-1</f>
        <v>4.7314222098524539E-3</v>
      </c>
      <c r="AG755" s="228">
        <f t="shared" ref="AG755" si="2927">+AG748/AC748-1</f>
        <v>-0.1256890848952591</v>
      </c>
      <c r="AH755" s="228">
        <f t="shared" ref="AH755" si="2928">+AH748/AD748-1</f>
        <v>-3.5561497326203173E-2</v>
      </c>
      <c r="AI755" s="228">
        <f t="shared" ref="AI755" si="2929">+AI748/AE748-1</f>
        <v>1.0419681620839283E-2</v>
      </c>
      <c r="AJ755" s="228">
        <f t="shared" ref="AJ755" si="2930">+AJ748/AF748-1</f>
        <v>8.5595567867035927E-2</v>
      </c>
      <c r="AK755" s="228">
        <f t="shared" ref="AK755" si="2931">+AK748/AG748-1</f>
        <v>5.7377049180327822E-2</v>
      </c>
      <c r="AL755" s="228">
        <f t="shared" ref="AL755" si="2932">+AL748/AH748-1</f>
        <v>-3.4932076517881883E-2</v>
      </c>
      <c r="AM755" s="228">
        <f t="shared" ref="AM755" si="2933">+AM748/AI748-1</f>
        <v>-4.2681180177599587E-2</v>
      </c>
      <c r="AN755" s="228">
        <f t="shared" ref="AN755:AN758" si="2934">+AN748/AJ748-1</f>
        <v>3.0620056136769769E-3</v>
      </c>
      <c r="AO755" s="829">
        <v>-0.161</v>
      </c>
      <c r="AP755" s="829">
        <v>-0.15</v>
      </c>
      <c r="AQ755" s="829">
        <v>-7.0000000000000007E-2</v>
      </c>
      <c r="AR755" s="228"/>
      <c r="AS755" s="228"/>
      <c r="AT755" s="228"/>
      <c r="AU755" s="228"/>
      <c r="AV755" s="228"/>
      <c r="AW755" s="228"/>
      <c r="AX755" s="228"/>
      <c r="AY755" s="228"/>
      <c r="AZ755" s="228"/>
      <c r="BA755" s="228"/>
      <c r="BB755" s="228"/>
      <c r="BC755" s="228"/>
      <c r="BD755" s="228"/>
      <c r="BE755" s="228"/>
      <c r="BF755" s="228"/>
      <c r="BG755" s="228"/>
      <c r="BH755" s="228"/>
      <c r="BI755" s="228">
        <f t="shared" ref="BI755:BN756" si="2935">+BI748/BH748-1</f>
        <v>0.14385150812064973</v>
      </c>
      <c r="BJ755" s="228">
        <f t="shared" si="2935"/>
        <v>9.9777842171351327E-2</v>
      </c>
      <c r="BK755" s="228">
        <f t="shared" si="2935"/>
        <v>1.6599332513613119E-2</v>
      </c>
      <c r="BL755" s="228">
        <f t="shared" si="2935"/>
        <v>0.32786177105831538</v>
      </c>
      <c r="BM755" s="228">
        <f t="shared" si="2935"/>
        <v>5.595315549772284E-2</v>
      </c>
      <c r="BN755" s="228">
        <f t="shared" si="2935"/>
        <v>-4.7073321010474456E-2</v>
      </c>
      <c r="BO755" s="228">
        <f t="shared" ref="BO755:BP758" si="2936">+BO748/BN748-1</f>
        <v>1.9849993534204025E-2</v>
      </c>
      <c r="BP755" s="228">
        <f t="shared" si="2936"/>
        <v>-9.8527927470994703E-2</v>
      </c>
      <c r="BT755"/>
      <c r="BU755"/>
      <c r="BV755"/>
      <c r="BW755"/>
      <c r="BX755"/>
      <c r="BY755"/>
      <c r="BZ755"/>
      <c r="CA755"/>
      <c r="CB755"/>
      <c r="CC755"/>
    </row>
    <row r="756" spans="2:81" s="3" customFormat="1">
      <c r="B756" s="13" t="str">
        <f>+B749</f>
        <v>Search and Advertising</v>
      </c>
      <c r="D756" s="228"/>
      <c r="E756" s="228"/>
      <c r="F756" s="228"/>
      <c r="G756" s="228"/>
      <c r="H756" s="228"/>
      <c r="I756" s="228"/>
      <c r="J756" s="228"/>
      <c r="K756" s="228"/>
      <c r="L756" s="228"/>
      <c r="M756" s="228"/>
      <c r="N756" s="228"/>
      <c r="O756" s="228"/>
      <c r="P756" s="228">
        <f t="shared" si="2910"/>
        <v>9.0909090909090828E-2</v>
      </c>
      <c r="Q756" s="228">
        <f t="shared" si="2911"/>
        <v>8.5714285714285632E-2</v>
      </c>
      <c r="R756" s="228">
        <f t="shared" si="2912"/>
        <v>7.1188340807174955E-2</v>
      </c>
      <c r="S756" s="228">
        <f t="shared" si="2913"/>
        <v>0.10401356698699837</v>
      </c>
      <c r="T756" s="228">
        <f t="shared" si="2914"/>
        <v>0.11353467561521247</v>
      </c>
      <c r="U756" s="228">
        <f t="shared" ref="U756" si="2937">+U749/Q749-1</f>
        <v>9.4635627530364363E-2</v>
      </c>
      <c r="V756" s="228">
        <f t="shared" ref="V756" si="2938">+V749/R749-1</f>
        <v>3.9246467817896313E-2</v>
      </c>
      <c r="W756" s="228">
        <f t="shared" ref="W756" si="2939">+W749/S749-1</f>
        <v>-0.18074756784434198</v>
      </c>
      <c r="X756" s="228">
        <f t="shared" ref="X756" si="2940">+X749/T749-1</f>
        <v>-2.4108488196885935E-2</v>
      </c>
      <c r="Y756" s="228">
        <f t="shared" ref="Y756" si="2941">+Y749/U749-1</f>
        <v>0.10309754969949148</v>
      </c>
      <c r="Z756" s="228">
        <f t="shared" ref="Z756" si="2942">+Z749/V749-1</f>
        <v>0.20896273917421948</v>
      </c>
      <c r="AA756" s="228">
        <f t="shared" ref="AA756" si="2943">+AA749/W749-1</f>
        <v>0.58562500000000006</v>
      </c>
      <c r="AB756" s="228">
        <f t="shared" ref="AB756" si="2944">+AB749/X749-1</f>
        <v>0.36695831188883177</v>
      </c>
      <c r="AC756" s="228">
        <f t="shared" ref="AC756" si="2945">+AC749/Y749-1</f>
        <v>0.28415758591785423</v>
      </c>
      <c r="AD756" s="228">
        <f t="shared" ref="AD756" si="2946">+AD749/Z749-1</f>
        <v>0.2265722615576844</v>
      </c>
      <c r="AE756" s="228">
        <f t="shared" ref="AE756" si="2947">+AE749/AA749-1</f>
        <v>0.15333070555774531</v>
      </c>
      <c r="AF756" s="228">
        <f t="shared" ref="AF756" si="2948">+AF749/AB749-1</f>
        <v>0.10240963855421681</v>
      </c>
      <c r="AG756" s="228">
        <f t="shared" ref="AG756" si="2949">+AG749/AC749-1</f>
        <v>5.1892950391644987E-2</v>
      </c>
      <c r="AH756" s="228">
        <f t="shared" ref="AH756" si="2950">+AH749/AD749-1</f>
        <v>0.10000000000000009</v>
      </c>
      <c r="AI756" s="228">
        <f t="shared" ref="AI756" si="2951">+AI749/AE749-1</f>
        <v>8.0000000000000071E-2</v>
      </c>
      <c r="AJ756" s="228">
        <f t="shared" ref="AJ756" si="2952">+AJ749/AF749-1</f>
        <v>0.10000000000000009</v>
      </c>
      <c r="AK756" s="228">
        <f t="shared" ref="AK756" si="2953">+AK749/AG749-1</f>
        <v>8.0000000000000071E-2</v>
      </c>
      <c r="AL756" s="228">
        <f t="shared" ref="AL756" si="2954">+AL749/AH749-1</f>
        <v>0.12000000000000011</v>
      </c>
      <c r="AM756" s="228">
        <f t="shared" ref="AM756" si="2955">+AM749/AI749-1</f>
        <v>0.18999999999999995</v>
      </c>
      <c r="AN756" s="228">
        <f t="shared" ref="AN756" si="2956">+AN749/AJ749-1</f>
        <v>0.17999999999999994</v>
      </c>
      <c r="AO756" s="829">
        <v>0.16</v>
      </c>
      <c r="AP756" s="829">
        <v>0.13</v>
      </c>
      <c r="AQ756" s="829">
        <v>0.1162</v>
      </c>
      <c r="AR756" s="228"/>
      <c r="AS756" s="228"/>
      <c r="AT756" s="228"/>
      <c r="AU756" s="228"/>
      <c r="AV756" s="228"/>
      <c r="AW756" s="228"/>
      <c r="AX756" s="228"/>
      <c r="AY756" s="228"/>
      <c r="AZ756" s="228"/>
      <c r="BA756" s="228"/>
      <c r="BB756" s="228"/>
      <c r="BC756" s="228"/>
      <c r="BD756" s="228"/>
      <c r="BE756" s="228"/>
      <c r="BF756" s="228"/>
      <c r="BG756" s="228"/>
      <c r="BH756" s="228"/>
      <c r="BI756" s="228">
        <f t="shared" si="2935"/>
        <v>0.12751246181058051</v>
      </c>
      <c r="BJ756" s="228">
        <f t="shared" si="2935"/>
        <v>8.7849401026811158E-2</v>
      </c>
      <c r="BK756" s="228">
        <f t="shared" si="2935"/>
        <v>1.4682747771368687E-2</v>
      </c>
      <c r="BL756" s="228">
        <f t="shared" si="2935"/>
        <v>0.19728682170542644</v>
      </c>
      <c r="BM756" s="228">
        <f t="shared" si="2935"/>
        <v>0.25078234595877835</v>
      </c>
      <c r="BN756" s="228">
        <f t="shared" si="2935"/>
        <v>8.2786644810628918E-2</v>
      </c>
      <c r="BO756" s="228">
        <f t="shared" si="2936"/>
        <v>0.12268717461663137</v>
      </c>
      <c r="BP756" s="228">
        <f t="shared" si="2936"/>
        <v>0.14515718092730401</v>
      </c>
      <c r="BT756" s="852"/>
      <c r="BU756" s="852"/>
      <c r="BV756" s="852"/>
      <c r="BW756" s="852"/>
      <c r="BX756" s="852"/>
      <c r="BY756" s="852"/>
      <c r="BZ756" s="852"/>
      <c r="CA756" s="852"/>
      <c r="CB756" s="852"/>
      <c r="CC756" s="852"/>
    </row>
    <row r="757" spans="2:81" s="839" customFormat="1" ht="11.45">
      <c r="B757" s="13" t="str">
        <f>+B750</f>
        <v>ATVI</v>
      </c>
      <c r="D757" s="840"/>
      <c r="E757" s="840"/>
      <c r="F757" s="840"/>
      <c r="G757" s="840"/>
      <c r="H757" s="840"/>
      <c r="I757" s="840"/>
      <c r="J757" s="840"/>
      <c r="K757" s="840"/>
      <c r="L757" s="840"/>
      <c r="M757" s="840"/>
      <c r="N757" s="840"/>
      <c r="O757" s="840"/>
      <c r="P757" s="840"/>
      <c r="Q757" s="840"/>
      <c r="R757" s="840"/>
      <c r="S757" s="840"/>
      <c r="T757" s="840" t="s">
        <v>273</v>
      </c>
      <c r="U757" s="840" t="s">
        <v>273</v>
      </c>
      <c r="V757" s="840" t="s">
        <v>273</v>
      </c>
      <c r="W757" s="840" t="s">
        <v>273</v>
      </c>
      <c r="X757" s="840" t="s">
        <v>273</v>
      </c>
      <c r="Y757" s="840" t="s">
        <v>273</v>
      </c>
      <c r="Z757" s="840" t="s">
        <v>273</v>
      </c>
      <c r="AA757" s="840" t="s">
        <v>273</v>
      </c>
      <c r="AB757" s="840" t="s">
        <v>273</v>
      </c>
      <c r="AC757" s="840" t="s">
        <v>273</v>
      </c>
      <c r="AD757" s="840" t="s">
        <v>273</v>
      </c>
      <c r="AE757" s="840" t="s">
        <v>273</v>
      </c>
      <c r="AF757" s="840" t="s">
        <v>273</v>
      </c>
      <c r="AG757" s="840" t="s">
        <v>273</v>
      </c>
      <c r="AH757" s="840" t="s">
        <v>273</v>
      </c>
      <c r="AI757" s="840" t="s">
        <v>273</v>
      </c>
      <c r="AJ757" s="840" t="s">
        <v>273</v>
      </c>
      <c r="AK757" s="840" t="s">
        <v>273</v>
      </c>
      <c r="AL757" s="840" t="s">
        <v>273</v>
      </c>
      <c r="AM757" s="840" t="s">
        <v>273</v>
      </c>
      <c r="AN757" s="840" t="s">
        <v>273</v>
      </c>
      <c r="AO757" s="908">
        <v>7.0000000000000007E-2</v>
      </c>
      <c r="AP757" s="908">
        <v>7.0000000000000007E-2</v>
      </c>
      <c r="AQ757" s="908">
        <v>7.0000000000000007E-2</v>
      </c>
      <c r="AR757" s="840"/>
      <c r="AS757" s="840"/>
      <c r="AT757" s="840"/>
      <c r="AU757" s="840"/>
      <c r="AV757" s="840"/>
      <c r="AW757" s="840"/>
      <c r="AX757" s="840"/>
      <c r="AY757" s="840"/>
      <c r="AZ757" s="840"/>
      <c r="BA757" s="840"/>
      <c r="BB757" s="840"/>
      <c r="BC757" s="840"/>
      <c r="BD757" s="840"/>
      <c r="BE757" s="840"/>
      <c r="BF757" s="840"/>
      <c r="BG757" s="840"/>
      <c r="BH757" s="840"/>
      <c r="BI757" s="840"/>
      <c r="BJ757" s="840"/>
      <c r="BK757" s="840"/>
      <c r="BL757" s="840"/>
      <c r="BM757" s="840"/>
      <c r="BN757" s="840"/>
      <c r="BO757" s="840" t="s">
        <v>273</v>
      </c>
      <c r="BP757" s="840">
        <f t="shared" si="2936"/>
        <v>0.36493891797556732</v>
      </c>
      <c r="BT757"/>
      <c r="BU757"/>
      <c r="BV757"/>
      <c r="BW757"/>
      <c r="BX757"/>
      <c r="BY757"/>
      <c r="BZ757"/>
      <c r="CA757"/>
      <c r="CB757"/>
      <c r="CC757"/>
    </row>
    <row r="758" spans="2:81" s="7" customFormat="1">
      <c r="B758" s="841" t="s">
        <v>463</v>
      </c>
      <c r="D758" s="842"/>
      <c r="E758" s="842"/>
      <c r="F758" s="842"/>
      <c r="G758" s="842"/>
      <c r="H758" s="842"/>
      <c r="I758" s="842"/>
      <c r="J758" s="842"/>
      <c r="K758" s="842"/>
      <c r="L758" s="842"/>
      <c r="M758" s="842"/>
      <c r="N758" s="842"/>
      <c r="O758" s="842"/>
      <c r="P758" s="842"/>
      <c r="Q758" s="842"/>
      <c r="R758" s="842"/>
      <c r="S758" s="842"/>
      <c r="T758" s="1177">
        <f t="shared" ref="T758" si="2957">+T751/P751-1</f>
        <v>2.4179983662295568E-2</v>
      </c>
      <c r="U758" s="1177">
        <f t="shared" ref="U758" si="2958">+U751/Q751-1</f>
        <v>-6.7156157890848611E-3</v>
      </c>
      <c r="V758" s="1177">
        <f t="shared" ref="V758" si="2959">+V751/R751-1</f>
        <v>3.4850912244479559E-3</v>
      </c>
      <c r="W758" s="1177">
        <f t="shared" ref="W758" si="2960">+W751/S751-1</f>
        <v>0.16168490663671431</v>
      </c>
      <c r="X758" s="1177">
        <f t="shared" ref="X758" si="2961">+X751/T751-1</f>
        <v>8.1251770841399784E-2</v>
      </c>
      <c r="Y758" s="1177">
        <f t="shared" ref="Y758" si="2962">+Y751/U751-1</f>
        <v>0.18339309867840448</v>
      </c>
      <c r="Z758" s="1177">
        <f t="shared" ref="Z758" si="2963">+Z751/V751-1</f>
        <v>0.23851315951170626</v>
      </c>
      <c r="AA758" s="1177">
        <f t="shared" ref="AA758" si="2964">+AA751/W751-1</f>
        <v>9.1432476952213459E-2</v>
      </c>
      <c r="AB758" s="1177">
        <f t="shared" ref="AB758" si="2965">+AB751/X751-1</f>
        <v>0.12658906742236864</v>
      </c>
      <c r="AC758" s="1177">
        <f t="shared" ref="AC758" si="2966">+AC751/Y751-1</f>
        <v>0.16152467493218459</v>
      </c>
      <c r="AD758" s="1177">
        <f t="shared" ref="AD758" si="2967">+AD751/Z751-1</f>
        <v>0.11255923780465271</v>
      </c>
      <c r="AE758" s="1177">
        <f t="shared" ref="AE758" si="2968">+AE751/AA751-1</f>
        <v>1.2013480880094685E-2</v>
      </c>
      <c r="AF758" s="1177">
        <f t="shared" ref="AF758" si="2969">+AF751/AB751-1</f>
        <v>-2.4798550804416841E-3</v>
      </c>
      <c r="AG758" s="1177">
        <f t="shared" ref="AG758" si="2970">+AG751/AC751-1</f>
        <v>-0.19895321444891112</v>
      </c>
      <c r="AH758" s="1177">
        <f t="shared" ref="AH758" si="2971">+AH751/AD751-1</f>
        <v>-0.12146462395245383</v>
      </c>
      <c r="AI758" s="1177">
        <f t="shared" ref="AI758" si="2972">+AI751/AE751-1</f>
        <v>-6.0587875201686292E-2</v>
      </c>
      <c r="AJ758" s="842">
        <f t="shared" ref="AJ758" si="2973">+AJ751/AF751-1</f>
        <v>1.0301890172892625E-2</v>
      </c>
      <c r="AK758" s="842">
        <f t="shared" ref="AK758" si="2974">+AK751/AG751-1</f>
        <v>0.1982158932809559</v>
      </c>
      <c r="AL758" s="842">
        <f t="shared" ref="AL758" si="2975">+AL751/AH751-1</f>
        <v>0.17937681295031349</v>
      </c>
      <c r="AM758" s="842">
        <f t="shared" ref="AM758" si="2976">+AM751/AI751-1</f>
        <v>0.14547483954980933</v>
      </c>
      <c r="AN758" s="842">
        <f t="shared" si="2934"/>
        <v>0.16829225039900697</v>
      </c>
      <c r="AO758" s="842">
        <f t="shared" ref="AO758" si="2977">+AO751/AK751-1</f>
        <v>-2.6698845707260443E-2</v>
      </c>
      <c r="AP758" s="842">
        <f t="shared" ref="AP758" si="2978">+AP751/AL751-1</f>
        <v>-7.8297467470643811E-3</v>
      </c>
      <c r="AQ758" s="842">
        <f t="shared" ref="AQ758" si="2979">+AQ751/AM751-1</f>
        <v>2.6035691615103662E-2</v>
      </c>
      <c r="AR758" s="842"/>
      <c r="AS758" s="842"/>
      <c r="AT758" s="842"/>
      <c r="AU758" s="842"/>
      <c r="AV758" s="842"/>
      <c r="AW758" s="842"/>
      <c r="AX758" s="842"/>
      <c r="AY758" s="842"/>
      <c r="AZ758" s="842"/>
      <c r="BA758" s="842"/>
      <c r="BB758" s="842"/>
      <c r="BC758" s="842"/>
      <c r="BD758" s="842"/>
      <c r="BE758" s="842"/>
      <c r="BF758" s="842"/>
      <c r="BG758" s="842"/>
      <c r="BH758" s="842"/>
      <c r="BI758" s="842"/>
      <c r="BJ758" s="842"/>
      <c r="BK758" s="842"/>
      <c r="BL758" s="842"/>
      <c r="BM758" s="842"/>
      <c r="BN758" s="842"/>
      <c r="BO758" s="842">
        <f t="shared" si="2936"/>
        <v>0.1342704149933065</v>
      </c>
      <c r="BP758" s="842">
        <f t="shared" si="2936"/>
        <v>3.4010889772217556E-2</v>
      </c>
    </row>
    <row r="759" spans="2:81" s="7" customFormat="1">
      <c r="B759" s="841" t="s">
        <v>464</v>
      </c>
      <c r="C759" s="842"/>
      <c r="D759" s="842"/>
      <c r="E759" s="842"/>
      <c r="F759" s="842"/>
      <c r="G759" s="842"/>
      <c r="H759" s="842"/>
      <c r="I759" s="842"/>
      <c r="J759" s="842"/>
      <c r="K759" s="842"/>
      <c r="L759" s="842"/>
      <c r="M759" s="842"/>
      <c r="N759" s="842"/>
      <c r="O759" s="842"/>
      <c r="P759" s="842"/>
      <c r="Q759" s="842"/>
      <c r="R759" s="842"/>
      <c r="S759" s="842"/>
      <c r="T759" s="1177">
        <f t="shared" ref="T759" si="2980">+SUM(T747:T749)/SUM(P747:P749)-1</f>
        <v>2.4179983662295568E-2</v>
      </c>
      <c r="U759" s="1177">
        <f t="shared" ref="U759" si="2981">+SUM(U747:U749)/SUM(Q747:Q749)-1</f>
        <v>-6.7156157890848611E-3</v>
      </c>
      <c r="V759" s="1177">
        <f t="shared" ref="V759" si="2982">+SUM(V747:V749)/SUM(R747:R749)-1</f>
        <v>3.4850912244479559E-3</v>
      </c>
      <c r="W759" s="1177">
        <f t="shared" ref="W759" si="2983">+SUM(W747:W749)/SUM(S747:S749)-1</f>
        <v>0.16168490663671431</v>
      </c>
      <c r="X759" s="1177">
        <f t="shared" ref="X759" si="2984">+SUM(X747:X749)/SUM(T747:T749)-1</f>
        <v>8.1251770841399784E-2</v>
      </c>
      <c r="Y759" s="1177">
        <f t="shared" ref="Y759" si="2985">+SUM(Y747:Y749)/SUM(U747:U749)-1</f>
        <v>0.18339309867840448</v>
      </c>
      <c r="Z759" s="1177">
        <f t="shared" ref="Z759" si="2986">+SUM(Z747:Z749)/SUM(V747:V749)-1</f>
        <v>0.23851315951170626</v>
      </c>
      <c r="AA759" s="1177">
        <f t="shared" ref="AA759" si="2987">+SUM(AA747:AA749)/SUM(W747:W749)-1</f>
        <v>9.1432476952213459E-2</v>
      </c>
      <c r="AB759" s="1177">
        <f t="shared" ref="AB759" si="2988">+SUM(AB747:AB749)/SUM(X747:X749)-1</f>
        <v>0.12658906742236864</v>
      </c>
      <c r="AC759" s="1177">
        <f t="shared" ref="AC759" si="2989">+SUM(AC747:AC749)/SUM(Y747:Y749)-1</f>
        <v>0.16152467493218459</v>
      </c>
      <c r="AD759" s="1177">
        <f t="shared" ref="AD759" si="2990">+SUM(AD747:AD749)/SUM(Z747:Z749)-1</f>
        <v>0.11255923780465271</v>
      </c>
      <c r="AE759" s="1177">
        <f t="shared" ref="AE759" si="2991">+SUM(AE747:AE749)/SUM(AA747:AA749)-1</f>
        <v>1.2013480880094685E-2</v>
      </c>
      <c r="AF759" s="1177">
        <f t="shared" ref="AF759" si="2992">+SUM(AF747:AF749)/SUM(AB747:AB749)-1</f>
        <v>-2.4798550804416841E-3</v>
      </c>
      <c r="AG759" s="1177">
        <f t="shared" ref="AG759" si="2993">+SUM(AG747:AG749)/SUM(AC747:AC749)-1</f>
        <v>-0.19895321444891112</v>
      </c>
      <c r="AH759" s="1177">
        <f t="shared" ref="AH759" si="2994">+SUM(AH747:AH749)/SUM(AD747:AD749)-1</f>
        <v>-0.12146462395245383</v>
      </c>
      <c r="AI759" s="1177">
        <f t="shared" ref="AI759" si="2995">+SUM(AI747:AI749)/SUM(AE747:AE749)-1</f>
        <v>-6.0587875201686292E-2</v>
      </c>
      <c r="AJ759" s="842">
        <f t="shared" ref="AJ759:AP759" si="2996">+SUM(AJ747:AJ749)/SUM(AF747:AF749)-1</f>
        <v>1.0301890172892625E-2</v>
      </c>
      <c r="AK759" s="842">
        <f t="shared" si="2996"/>
        <v>2.7989197151976342E-2</v>
      </c>
      <c r="AL759" s="842">
        <f t="shared" si="2996"/>
        <v>-4.9592963413492841E-3</v>
      </c>
      <c r="AM759" s="842">
        <f t="shared" si="2996"/>
        <v>-1.0789693981955173E-2</v>
      </c>
      <c r="AN759" s="842">
        <f t="shared" si="2996"/>
        <v>1.8442986345096557E-2</v>
      </c>
      <c r="AO759" s="842">
        <f t="shared" si="2996"/>
        <v>-4.2711392405063386E-2</v>
      </c>
      <c r="AP759" s="842">
        <f t="shared" si="2996"/>
        <v>-2.2248084258040146E-2</v>
      </c>
      <c r="AQ759" s="842">
        <f>+SUM(AQ747:AQ749)/SUM(AM747:AM749)-1</f>
        <v>1.909069508603678E-2</v>
      </c>
      <c r="AR759" s="842"/>
      <c r="AS759" s="842"/>
      <c r="AT759" s="842"/>
      <c r="AU759" s="842"/>
      <c r="AV759" s="842"/>
      <c r="AW759" s="842"/>
      <c r="AX759" s="842"/>
      <c r="AY759" s="842"/>
      <c r="AZ759" s="842"/>
      <c r="BA759" s="842"/>
      <c r="BB759" s="842"/>
      <c r="BC759" s="842"/>
      <c r="BD759" s="842"/>
      <c r="BE759" s="842"/>
      <c r="BF759" s="842"/>
      <c r="BG759" s="842"/>
      <c r="BH759" s="842"/>
      <c r="BI759" s="842"/>
      <c r="BJ759" s="842"/>
      <c r="BK759" s="842"/>
      <c r="BL759" s="842"/>
      <c r="BM759" s="842"/>
      <c r="BN759" s="842"/>
      <c r="BO759" s="842">
        <f>+SUM(BO747:BO749)/SUM(BN747:BN749)-1</f>
        <v>6.4257028112448822E-3</v>
      </c>
      <c r="BP759" s="842">
        <f>+SUM(BP747:BP749)/SUM(BO747:BO749)-1</f>
        <v>-8.0263896816529234E-3</v>
      </c>
      <c r="BT759"/>
      <c r="BU759"/>
      <c r="BV759"/>
      <c r="BW759"/>
      <c r="BX759"/>
      <c r="BY759"/>
      <c r="BZ759"/>
      <c r="CA759"/>
      <c r="CB759"/>
      <c r="CC759"/>
    </row>
    <row r="760" spans="2:81" s="7" customFormat="1">
      <c r="B760" s="841"/>
      <c r="C760" s="842"/>
      <c r="D760" s="842"/>
      <c r="E760" s="842"/>
      <c r="F760" s="842"/>
      <c r="G760" s="842"/>
      <c r="H760" s="842"/>
      <c r="I760" s="842"/>
      <c r="J760" s="842"/>
      <c r="K760" s="842"/>
      <c r="L760" s="842"/>
      <c r="M760" s="842"/>
      <c r="N760" s="842"/>
      <c r="O760" s="842"/>
      <c r="P760" s="842"/>
      <c r="Q760" s="842"/>
      <c r="R760" s="842"/>
      <c r="S760" s="842"/>
      <c r="T760" s="842"/>
      <c r="U760" s="842"/>
      <c r="V760" s="842"/>
      <c r="W760" s="842"/>
      <c r="X760" s="842"/>
      <c r="Y760" s="842"/>
      <c r="Z760" s="842"/>
      <c r="AA760" s="842"/>
      <c r="AB760" s="842"/>
      <c r="AC760" s="842"/>
      <c r="AD760" s="842"/>
      <c r="AE760" s="842"/>
      <c r="AF760" s="842"/>
      <c r="AG760" s="842"/>
      <c r="AH760" s="842"/>
      <c r="AI760" s="842"/>
      <c r="AJ760" s="842"/>
      <c r="AK760" s="842"/>
      <c r="AL760" s="842"/>
      <c r="AM760" s="842"/>
      <c r="AN760" s="842"/>
      <c r="AO760" s="842"/>
      <c r="AP760" s="842"/>
      <c r="AQ760" s="842"/>
      <c r="AR760" s="842"/>
      <c r="AS760" s="842"/>
      <c r="AT760" s="842"/>
      <c r="AU760" s="842"/>
      <c r="AV760" s="842"/>
      <c r="AW760" s="842"/>
      <c r="AX760" s="842"/>
      <c r="AY760" s="842"/>
      <c r="AZ760" s="842"/>
      <c r="BA760" s="842"/>
      <c r="BB760" s="842"/>
      <c r="BC760" s="842"/>
      <c r="BD760" s="842"/>
      <c r="BE760" s="842"/>
      <c r="BF760" s="842"/>
      <c r="BG760" s="842"/>
      <c r="BH760" s="842"/>
      <c r="BI760" s="842"/>
      <c r="BJ760" s="842"/>
      <c r="BK760" s="842"/>
      <c r="BL760" s="842"/>
      <c r="BM760" s="842"/>
      <c r="BN760" s="842"/>
      <c r="BO760" s="842"/>
      <c r="BP760" s="842"/>
      <c r="BT760"/>
      <c r="BU760"/>
      <c r="BV760"/>
      <c r="BW760"/>
      <c r="BX760"/>
      <c r="BY760"/>
      <c r="BZ760"/>
      <c r="CA760"/>
      <c r="CB760"/>
      <c r="CC760"/>
    </row>
    <row r="761" spans="2:81" s="100" customFormat="1">
      <c r="B761" s="1158" t="str">
        <f>+B593</f>
        <v>2-yr Stack Growth %</v>
      </c>
      <c r="AH761" s="945"/>
      <c r="AI761" s="945"/>
      <c r="AJ761" s="945"/>
      <c r="AK761" s="945"/>
      <c r="AL761" s="945"/>
      <c r="AM761" s="945"/>
      <c r="AN761" s="945"/>
      <c r="AO761" s="945"/>
      <c r="AP761" s="945"/>
      <c r="AQ761" s="945"/>
      <c r="BT761"/>
      <c r="BU761"/>
      <c r="BV761"/>
      <c r="BW761"/>
      <c r="BX761"/>
      <c r="BY761"/>
      <c r="BZ761"/>
      <c r="CA761"/>
      <c r="CB761"/>
      <c r="CC761"/>
    </row>
    <row r="762" spans="2:81" s="872" customFormat="1">
      <c r="B762" s="875" t="str">
        <f>+B754</f>
        <v>Windows</v>
      </c>
      <c r="D762" s="228"/>
      <c r="E762" s="228"/>
      <c r="F762" s="228"/>
      <c r="G762" s="228"/>
      <c r="H762" s="228"/>
      <c r="I762" s="228"/>
      <c r="J762" s="228"/>
      <c r="K762" s="228"/>
      <c r="L762" s="228"/>
      <c r="M762" s="228"/>
      <c r="N762" s="228"/>
      <c r="O762" s="228"/>
      <c r="P762" s="228"/>
      <c r="Q762" s="228"/>
      <c r="R762" s="228"/>
      <c r="S762" s="228"/>
      <c r="T762" s="829">
        <f t="shared" ref="T762" si="2997">+T754+P754</f>
        <v>4.7231172396968724E-2</v>
      </c>
      <c r="U762" s="829">
        <f t="shared" ref="U762" si="2998">+U754+Q754</f>
        <v>0.12951608668150083</v>
      </c>
      <c r="V762" s="829">
        <f t="shared" ref="V762" si="2999">+V754+R754</f>
        <v>-6.7070578261593239E-3</v>
      </c>
      <c r="W762" s="829">
        <f t="shared" ref="W762" si="3000">+W754+S754</f>
        <v>9.9954008945945638E-2</v>
      </c>
      <c r="X762" s="829">
        <f t="shared" ref="X762" si="3001">+X754+T754</f>
        <v>9.9757143152553907E-2</v>
      </c>
      <c r="Y762" s="829">
        <f t="shared" ref="Y762" si="3002">+Y754+U754</f>
        <v>0.14880892723550909</v>
      </c>
      <c r="Z762" s="829">
        <f t="shared" ref="Z762" si="3003">+Z754+V754</f>
        <v>0.10605076868397212</v>
      </c>
      <c r="AA762" s="829">
        <f t="shared" ref="AA762" si="3004">+AA754+W754</f>
        <v>3.5809126387986612E-2</v>
      </c>
      <c r="AB762" s="829">
        <f t="shared" ref="AB762" si="3005">+AB754+X754</f>
        <v>6.1395911019096472E-2</v>
      </c>
      <c r="AC762" s="829">
        <f t="shared" ref="AC762" si="3006">+AC754+Y754</f>
        <v>0.19989325669886515</v>
      </c>
      <c r="AD762" s="829">
        <f t="shared" ref="AD762" si="3007">+AD754+Z754</f>
        <v>0.2087018943638983</v>
      </c>
      <c r="AE762" s="829">
        <f t="shared" ref="AE762" si="3008">+AE754+AA754</f>
        <v>-6.2987226714430133E-2</v>
      </c>
      <c r="AF762" s="829">
        <f t="shared" ref="AF762" si="3009">+AF754+AB754</f>
        <v>-5.5227059665827416E-2</v>
      </c>
      <c r="AG762" s="829">
        <f t="shared" ref="AG762" si="3010">+AG754+AC754</f>
        <v>-0.19134216558928574</v>
      </c>
      <c r="AH762" s="829">
        <f t="shared" ref="AH762" si="3011">+AH754+AD754</f>
        <v>-0.20317902898722429</v>
      </c>
      <c r="AI762" s="829">
        <f t="shared" ref="AI762" si="3012">+AI754+AE754</f>
        <v>-0.18912417062447462</v>
      </c>
      <c r="AJ762" s="829">
        <f t="shared" ref="AJ762" si="3013">+AJ754+AF754</f>
        <v>-0.16935105398339279</v>
      </c>
      <c r="AK762" s="829">
        <f t="shared" ref="AK762" si="3014">+AK754+AG754</f>
        <v>-0.41650133586344895</v>
      </c>
      <c r="AL762" s="829">
        <f t="shared" ref="AL762" si="3015">+AL754+AH754</f>
        <v>-0.38133635032361068</v>
      </c>
      <c r="AM762" s="829">
        <f t="shared" ref="AM762" si="3016">+AM754+AI754</f>
        <v>-0.32867847810998685</v>
      </c>
      <c r="AN762" s="228">
        <f t="shared" ref="AN762" si="3017">+AN754+AJ754</f>
        <v>-0.19798615980051382</v>
      </c>
      <c r="AO762" s="228">
        <f t="shared" ref="AO762" si="3018">+AO754+AK754</f>
        <v>-0.11455875412930633</v>
      </c>
      <c r="AP762" s="228">
        <f t="shared" ref="AP762:AQ762" si="3019">+AP754+AL754</f>
        <v>-0.13501325348261956</v>
      </c>
      <c r="AQ762" s="228">
        <f t="shared" si="3019"/>
        <v>-0.13839665164198334</v>
      </c>
      <c r="AR762" s="228"/>
      <c r="AS762" s="228"/>
      <c r="AT762" s="228"/>
      <c r="AU762" s="228"/>
      <c r="AV762" s="228"/>
      <c r="AW762" s="228"/>
      <c r="AX762" s="228"/>
      <c r="AY762" s="228"/>
      <c r="AZ762" s="228"/>
      <c r="BA762" s="228"/>
      <c r="BB762" s="228"/>
      <c r="BC762" s="228"/>
      <c r="BD762" s="228"/>
      <c r="BE762" s="228"/>
      <c r="BF762" s="228"/>
      <c r="BG762" s="228"/>
      <c r="BH762" s="228"/>
      <c r="BI762" s="228"/>
      <c r="BJ762" s="228"/>
      <c r="BK762" s="228"/>
      <c r="BL762" s="228"/>
      <c r="BM762" s="228"/>
      <c r="BN762" s="228"/>
      <c r="BO762" s="228" t="s">
        <v>273</v>
      </c>
      <c r="BP762" s="228">
        <f t="shared" ref="BP762:BP767" si="3020">+BP754+BO754</f>
        <v>-0.14873988138852801</v>
      </c>
      <c r="BT762" s="852"/>
      <c r="BU762" s="852"/>
      <c r="BV762" s="852"/>
      <c r="BW762" s="852"/>
      <c r="BX762" s="852"/>
      <c r="BY762" s="852"/>
      <c r="BZ762" s="852"/>
      <c r="CA762" s="852"/>
      <c r="CB762" s="852"/>
      <c r="CC762" s="852"/>
    </row>
    <row r="763" spans="2:81" s="872" customFormat="1" ht="10.5">
      <c r="B763" s="875" t="str">
        <f>+B755</f>
        <v>Gaming ex-ATVI</v>
      </c>
      <c r="D763" s="228"/>
      <c r="E763" s="228"/>
      <c r="F763" s="228"/>
      <c r="G763" s="228"/>
      <c r="H763" s="228"/>
      <c r="I763" s="228"/>
      <c r="J763" s="228"/>
      <c r="K763" s="228"/>
      <c r="L763" s="228"/>
      <c r="M763" s="228"/>
      <c r="N763" s="228"/>
      <c r="O763" s="228"/>
      <c r="P763" s="228"/>
      <c r="Q763" s="228"/>
      <c r="R763" s="228"/>
      <c r="S763" s="228"/>
      <c r="T763" s="228">
        <f t="shared" ref="T763:AP763" si="3021">+T755+P755</f>
        <v>0.3725077283920939</v>
      </c>
      <c r="U763" s="228">
        <f t="shared" si="3021"/>
        <v>-0.13425504417267842</v>
      </c>
      <c r="V763" s="228">
        <f t="shared" si="3021"/>
        <v>4.3830992122182666E-2</v>
      </c>
      <c r="W763" s="228">
        <f t="shared" si="3021"/>
        <v>0.53324328735576343</v>
      </c>
      <c r="X763" s="228">
        <f t="shared" si="3021"/>
        <v>0.14477996826434958</v>
      </c>
      <c r="Y763" s="228">
        <f t="shared" si="3021"/>
        <v>0.2983262480376232</v>
      </c>
      <c r="Z763" s="228">
        <f t="shared" si="3021"/>
        <v>0.49811960213213236</v>
      </c>
      <c r="AA763" s="228">
        <f t="shared" si="3021"/>
        <v>0.74151299760981004</v>
      </c>
      <c r="AB763" s="228">
        <f t="shared" si="3021"/>
        <v>0.37839611474193435</v>
      </c>
      <c r="AC763" s="228">
        <f t="shared" si="3021"/>
        <v>0.59386662924314693</v>
      </c>
      <c r="AD763" s="228">
        <f t="shared" si="3021"/>
        <v>0.56263470721893927</v>
      </c>
      <c r="AE763" s="228">
        <f t="shared" si="3021"/>
        <v>3.6608817300237684E-2</v>
      </c>
      <c r="AF763" s="228">
        <f t="shared" si="3021"/>
        <v>0.16676247007531164</v>
      </c>
      <c r="AG763" s="228">
        <f t="shared" si="3021"/>
        <v>-4.3995584597107729E-2</v>
      </c>
      <c r="AH763" s="228">
        <f t="shared" si="3021"/>
        <v>2.3028935733519496E-2</v>
      </c>
      <c r="AI763" s="228">
        <f t="shared" si="3021"/>
        <v>-5.9316451927895253E-2</v>
      </c>
      <c r="AJ763" s="228">
        <f t="shared" si="3021"/>
        <v>9.032699007688838E-2</v>
      </c>
      <c r="AK763" s="228">
        <f t="shared" si="3021"/>
        <v>-6.8312035714931274E-2</v>
      </c>
      <c r="AL763" s="228">
        <f t="shared" si="3021"/>
        <v>-7.0493573844085056E-2</v>
      </c>
      <c r="AM763" s="228">
        <f t="shared" si="3021"/>
        <v>-3.2261498556760304E-2</v>
      </c>
      <c r="AN763" s="228">
        <f t="shared" si="3021"/>
        <v>8.8657573480712903E-2</v>
      </c>
      <c r="AO763" s="228">
        <f t="shared" si="3021"/>
        <v>-0.10362295081967218</v>
      </c>
      <c r="AP763" s="228">
        <f t="shared" si="3021"/>
        <v>-0.18493207651788188</v>
      </c>
      <c r="AQ763" s="228">
        <f>+AQ755+AM755</f>
        <v>-0.11268118017759959</v>
      </c>
      <c r="AR763" s="228"/>
      <c r="AS763" s="228"/>
      <c r="AT763" s="228"/>
      <c r="AU763" s="228"/>
      <c r="AV763" s="228"/>
      <c r="AW763" s="228"/>
      <c r="AX763" s="228"/>
      <c r="AY763" s="228"/>
      <c r="AZ763" s="228"/>
      <c r="BA763" s="228"/>
      <c r="BB763" s="228"/>
      <c r="BC763" s="228"/>
      <c r="BD763" s="228"/>
      <c r="BE763" s="228"/>
      <c r="BF763" s="228"/>
      <c r="BG763" s="228"/>
      <c r="BH763" s="228"/>
      <c r="BI763" s="228"/>
      <c r="BJ763" s="228">
        <f t="shared" ref="BJ763:BN763" si="3022">+BJ755+BI755</f>
        <v>0.24362935029200106</v>
      </c>
      <c r="BK763" s="228">
        <f t="shared" si="3022"/>
        <v>0.11637717468496445</v>
      </c>
      <c r="BL763" s="228">
        <f t="shared" si="3022"/>
        <v>0.3444611035719285</v>
      </c>
      <c r="BM763" s="228">
        <f t="shared" si="3022"/>
        <v>0.38381492655603822</v>
      </c>
      <c r="BN763" s="228">
        <f t="shared" si="3022"/>
        <v>8.8798344872483836E-3</v>
      </c>
      <c r="BO763" s="228">
        <f>+BO755+BN755</f>
        <v>-2.7223327476270431E-2</v>
      </c>
      <c r="BP763" s="228">
        <f t="shared" si="3020"/>
        <v>-7.8677933936790678E-2</v>
      </c>
      <c r="BT763" s="1"/>
      <c r="BU763" s="1"/>
      <c r="BV763" s="1"/>
      <c r="BW763" s="1"/>
      <c r="BX763" s="1"/>
      <c r="BY763" s="1"/>
      <c r="BZ763" s="1"/>
      <c r="CA763" s="1"/>
      <c r="CB763" s="1"/>
      <c r="CC763" s="1"/>
    </row>
    <row r="764" spans="2:81" s="872" customFormat="1">
      <c r="B764" s="875" t="str">
        <f>+B756</f>
        <v>Search and Advertising</v>
      </c>
      <c r="D764" s="228"/>
      <c r="E764" s="228"/>
      <c r="F764" s="228"/>
      <c r="G764" s="228"/>
      <c r="H764" s="228"/>
      <c r="I764" s="228"/>
      <c r="J764" s="228"/>
      <c r="K764" s="228"/>
      <c r="L764" s="228"/>
      <c r="M764" s="228"/>
      <c r="N764" s="228"/>
      <c r="O764" s="228"/>
      <c r="P764" s="228"/>
      <c r="Q764" s="228"/>
      <c r="R764" s="228"/>
      <c r="S764" s="228"/>
      <c r="T764" s="228">
        <f t="shared" ref="T764:AQ764" si="3023">+T756+P756</f>
        <v>0.20444376652430329</v>
      </c>
      <c r="U764" s="228">
        <f t="shared" si="3023"/>
        <v>0.18034991324465</v>
      </c>
      <c r="V764" s="228">
        <f t="shared" si="3023"/>
        <v>0.11043480862507127</v>
      </c>
      <c r="W764" s="228">
        <f t="shared" si="3023"/>
        <v>-7.6734000857343609E-2</v>
      </c>
      <c r="X764" s="228">
        <f t="shared" si="3023"/>
        <v>8.942618741832653E-2</v>
      </c>
      <c r="Y764" s="228">
        <f t="shared" si="3023"/>
        <v>0.19773317722985584</v>
      </c>
      <c r="Z764" s="228">
        <f t="shared" si="3023"/>
        <v>0.24820920699211579</v>
      </c>
      <c r="AA764" s="228">
        <f t="shared" si="3023"/>
        <v>0.40487743215565808</v>
      </c>
      <c r="AB764" s="228">
        <f t="shared" si="3023"/>
        <v>0.34284982369194583</v>
      </c>
      <c r="AC764" s="228">
        <f t="shared" si="3023"/>
        <v>0.3872551356173457</v>
      </c>
      <c r="AD764" s="228">
        <f t="shared" si="3023"/>
        <v>0.43553500073190388</v>
      </c>
      <c r="AE764" s="228">
        <f t="shared" si="3023"/>
        <v>0.73895570555774537</v>
      </c>
      <c r="AF764" s="228">
        <f t="shared" si="3023"/>
        <v>0.46936795044304858</v>
      </c>
      <c r="AG764" s="228">
        <f t="shared" si="3023"/>
        <v>0.33605053630949921</v>
      </c>
      <c r="AH764" s="228">
        <f t="shared" si="3023"/>
        <v>0.32657226155768448</v>
      </c>
      <c r="AI764" s="228">
        <f t="shared" si="3023"/>
        <v>0.23333070555774538</v>
      </c>
      <c r="AJ764" s="228">
        <f t="shared" si="3023"/>
        <v>0.2024096385542169</v>
      </c>
      <c r="AK764" s="228">
        <f t="shared" si="3023"/>
        <v>0.13189295039164506</v>
      </c>
      <c r="AL764" s="228">
        <f t="shared" si="3023"/>
        <v>0.2200000000000002</v>
      </c>
      <c r="AM764" s="228">
        <f t="shared" si="3023"/>
        <v>0.27</v>
      </c>
      <c r="AN764" s="228">
        <f t="shared" si="3023"/>
        <v>0.28000000000000003</v>
      </c>
      <c r="AO764" s="228">
        <f t="shared" si="3023"/>
        <v>0.24000000000000007</v>
      </c>
      <c r="AP764" s="228">
        <f t="shared" si="3023"/>
        <v>0.25000000000000011</v>
      </c>
      <c r="AQ764" s="228">
        <f t="shared" si="3023"/>
        <v>0.30619999999999992</v>
      </c>
      <c r="AR764" s="228"/>
      <c r="AS764" s="228"/>
      <c r="AT764" s="228"/>
      <c r="AU764" s="228"/>
      <c r="AV764" s="228"/>
      <c r="AW764" s="228"/>
      <c r="AX764" s="228"/>
      <c r="AY764" s="228"/>
      <c r="AZ764" s="228"/>
      <c r="BA764" s="228"/>
      <c r="BB764" s="228"/>
      <c r="BC764" s="228"/>
      <c r="BD764" s="228"/>
      <c r="BE764" s="228"/>
      <c r="BF764" s="228"/>
      <c r="BG764" s="228"/>
      <c r="BH764" s="228"/>
      <c r="BI764" s="228"/>
      <c r="BJ764" s="228">
        <f t="shared" ref="BJ764:BO764" si="3024">+BJ756+BI756</f>
        <v>0.21536186283739167</v>
      </c>
      <c r="BK764" s="228">
        <f t="shared" si="3024"/>
        <v>0.10253214879817985</v>
      </c>
      <c r="BL764" s="228">
        <f t="shared" si="3024"/>
        <v>0.21196956947679513</v>
      </c>
      <c r="BM764" s="228">
        <f t="shared" si="3024"/>
        <v>0.44806916766420479</v>
      </c>
      <c r="BN764" s="228">
        <f t="shared" si="3024"/>
        <v>0.33356899076940727</v>
      </c>
      <c r="BO764" s="228">
        <f t="shared" si="3024"/>
        <v>0.20547381942726028</v>
      </c>
      <c r="BP764" s="228">
        <f t="shared" si="3020"/>
        <v>0.26784435554393538</v>
      </c>
      <c r="BT764"/>
      <c r="BU764"/>
      <c r="BV764"/>
      <c r="BW764"/>
      <c r="BX764"/>
      <c r="BY764"/>
      <c r="BZ764"/>
      <c r="CA764"/>
      <c r="CB764"/>
      <c r="CC764"/>
    </row>
    <row r="765" spans="2:81" s="1159" customFormat="1" ht="11.45">
      <c r="B765" s="875" t="str">
        <f>+B757</f>
        <v>ATVI</v>
      </c>
      <c r="D765" s="840"/>
      <c r="E765" s="840"/>
      <c r="F765" s="840"/>
      <c r="G765" s="840"/>
      <c r="H765" s="840"/>
      <c r="I765" s="840"/>
      <c r="J765" s="840"/>
      <c r="K765" s="840"/>
      <c r="L765" s="840"/>
      <c r="M765" s="840"/>
      <c r="N765" s="840"/>
      <c r="O765" s="840"/>
      <c r="P765" s="840"/>
      <c r="Q765" s="840"/>
      <c r="R765" s="840"/>
      <c r="S765" s="840"/>
      <c r="T765" s="840" t="s">
        <v>273</v>
      </c>
      <c r="U765" s="840" t="s">
        <v>273</v>
      </c>
      <c r="V765" s="840" t="s">
        <v>273</v>
      </c>
      <c r="W765" s="840" t="s">
        <v>273</v>
      </c>
      <c r="X765" s="840" t="s">
        <v>273</v>
      </c>
      <c r="Y765" s="840" t="s">
        <v>273</v>
      </c>
      <c r="Z765" s="840" t="s">
        <v>273</v>
      </c>
      <c r="AA765" s="840" t="s">
        <v>273</v>
      </c>
      <c r="AB765" s="840" t="s">
        <v>273</v>
      </c>
      <c r="AC765" s="840" t="s">
        <v>273</v>
      </c>
      <c r="AD765" s="840" t="s">
        <v>273</v>
      </c>
      <c r="AE765" s="840" t="s">
        <v>273</v>
      </c>
      <c r="AF765" s="840" t="s">
        <v>273</v>
      </c>
      <c r="AG765" s="840" t="s">
        <v>273</v>
      </c>
      <c r="AH765" s="840" t="s">
        <v>273</v>
      </c>
      <c r="AI765" s="840" t="s">
        <v>273</v>
      </c>
      <c r="AJ765" s="840" t="s">
        <v>273</v>
      </c>
      <c r="AK765" s="840" t="s">
        <v>273</v>
      </c>
      <c r="AL765" s="840" t="s">
        <v>273</v>
      </c>
      <c r="AM765" s="840" t="s">
        <v>273</v>
      </c>
      <c r="AN765" s="840" t="s">
        <v>273</v>
      </c>
      <c r="AO765" s="840" t="s">
        <v>273</v>
      </c>
      <c r="AP765" s="840" t="s">
        <v>273</v>
      </c>
      <c r="AQ765" s="840" t="s">
        <v>273</v>
      </c>
      <c r="AR765" s="840"/>
      <c r="AS765" s="840"/>
      <c r="AT765" s="840"/>
      <c r="AU765" s="840"/>
      <c r="AV765" s="840"/>
      <c r="AW765" s="840"/>
      <c r="AX765" s="840"/>
      <c r="AY765" s="840"/>
      <c r="AZ765" s="840"/>
      <c r="BA765" s="840"/>
      <c r="BB765" s="840"/>
      <c r="BC765" s="840"/>
      <c r="BD765" s="840"/>
      <c r="BE765" s="840"/>
      <c r="BF765" s="840"/>
      <c r="BG765" s="840"/>
      <c r="BH765" s="840"/>
      <c r="BI765" s="840"/>
      <c r="BJ765" s="840"/>
      <c r="BK765" s="840"/>
      <c r="BL765" s="840"/>
      <c r="BM765" s="840"/>
      <c r="BN765" s="840"/>
      <c r="BO765" s="840" t="s">
        <v>273</v>
      </c>
      <c r="BP765" s="840" t="s">
        <v>273</v>
      </c>
      <c r="BT765" s="3"/>
      <c r="BU765" s="3"/>
      <c r="BV765" s="3"/>
      <c r="BW765" s="3"/>
      <c r="BX765" s="3"/>
      <c r="BY765" s="3"/>
      <c r="BZ765" s="3"/>
      <c r="CA765" s="3"/>
      <c r="CB765" s="3"/>
      <c r="CC765" s="3"/>
    </row>
    <row r="766" spans="2:81" s="1162" customFormat="1">
      <c r="B766" s="1163" t="str">
        <f>+B758</f>
        <v xml:space="preserve">Total MPC Revenue </v>
      </c>
      <c r="D766" s="842"/>
      <c r="E766" s="842"/>
      <c r="F766" s="842"/>
      <c r="G766" s="842"/>
      <c r="H766" s="842"/>
      <c r="I766" s="842"/>
      <c r="J766" s="842"/>
      <c r="K766" s="842"/>
      <c r="L766" s="842"/>
      <c r="M766" s="842"/>
      <c r="N766" s="842"/>
      <c r="O766" s="842"/>
      <c r="P766" s="842"/>
      <c r="Q766" s="842"/>
      <c r="R766" s="842"/>
      <c r="S766" s="842"/>
      <c r="T766" s="1177">
        <f t="shared" ref="T766:T767" si="3025">+T758+P758</f>
        <v>2.4179983662295568E-2</v>
      </c>
      <c r="U766" s="1177">
        <f t="shared" ref="U766:U767" si="3026">+U758+Q758</f>
        <v>-6.7156157890848611E-3</v>
      </c>
      <c r="V766" s="1177">
        <f t="shared" ref="V766:V767" si="3027">+V758+R758</f>
        <v>3.4850912244479559E-3</v>
      </c>
      <c r="W766" s="1177">
        <f t="shared" ref="W766:W767" si="3028">+W758+S758</f>
        <v>0.16168490663671431</v>
      </c>
      <c r="X766" s="1177">
        <f t="shared" ref="X766:X767" si="3029">+X758+T758</f>
        <v>0.10543175450369535</v>
      </c>
      <c r="Y766" s="1177">
        <f t="shared" ref="Y766:Y767" si="3030">+Y758+U758</f>
        <v>0.17667748288931961</v>
      </c>
      <c r="Z766" s="1177">
        <f t="shared" ref="Z766:Z767" si="3031">+Z758+V758</f>
        <v>0.24199825073615422</v>
      </c>
      <c r="AA766" s="1177">
        <f t="shared" ref="AA766:AA767" si="3032">+AA758+W758</f>
        <v>0.25311738358892777</v>
      </c>
      <c r="AB766" s="1177">
        <f t="shared" ref="AB766:AB767" si="3033">+AB758+X758</f>
        <v>0.20784083826376842</v>
      </c>
      <c r="AC766" s="1177">
        <f t="shared" ref="AC766:AC767" si="3034">+AC758+Y758</f>
        <v>0.34491777361058906</v>
      </c>
      <c r="AD766" s="1177">
        <f t="shared" ref="AD766:AD767" si="3035">+AD758+Z758</f>
        <v>0.35107239731635898</v>
      </c>
      <c r="AE766" s="1177">
        <f t="shared" ref="AE766:AE767" si="3036">+AE758+AA758</f>
        <v>0.10344595783230814</v>
      </c>
      <c r="AF766" s="1177">
        <f t="shared" ref="AF766:AF767" si="3037">+AF758+AB758</f>
        <v>0.12410921234192696</v>
      </c>
      <c r="AG766" s="1177">
        <f t="shared" ref="AG766:AG767" si="3038">+AG758+AC758</f>
        <v>-3.7428539516726533E-2</v>
      </c>
      <c r="AH766" s="1177">
        <f t="shared" ref="AH766:AH767" si="3039">+AH758+AD758</f>
        <v>-8.9053861478011198E-3</v>
      </c>
      <c r="AI766" s="1177">
        <f t="shared" ref="AI766:AI767" si="3040">+AI758+AE758</f>
        <v>-4.8574394321591607E-2</v>
      </c>
      <c r="AJ766" s="1177">
        <f t="shared" ref="AJ766:AJ767" si="3041">+AJ758+AF758</f>
        <v>7.8220350924509408E-3</v>
      </c>
      <c r="AK766" s="1177">
        <f t="shared" ref="AK766:AK767" si="3042">+AK758+AG758</f>
        <v>-7.3732116795521829E-4</v>
      </c>
      <c r="AL766" s="1177">
        <f t="shared" ref="AL766:AL767" si="3043">+AL758+AH758</f>
        <v>5.7912188997859659E-2</v>
      </c>
      <c r="AM766" s="1177">
        <f t="shared" ref="AM766:AM767" si="3044">+AM758+AI758</f>
        <v>8.488696434812304E-2</v>
      </c>
      <c r="AN766" s="842">
        <f t="shared" ref="AN766" si="3045">+AN758+AJ758</f>
        <v>0.1785941405718996</v>
      </c>
      <c r="AO766" s="842">
        <f t="shared" ref="AO766" si="3046">+AO758+AK758</f>
        <v>0.17151704757369546</v>
      </c>
      <c r="AP766" s="842">
        <f t="shared" ref="AP766" si="3047">+AP758+AL758</f>
        <v>0.17154706620324911</v>
      </c>
      <c r="AQ766" s="842">
        <f t="shared" ref="AQ766" si="3048">+AQ758+AM758</f>
        <v>0.17151053116491299</v>
      </c>
      <c r="AR766" s="842"/>
      <c r="AS766" s="842"/>
      <c r="AT766" s="842"/>
      <c r="AU766" s="842"/>
      <c r="AV766" s="842"/>
      <c r="AW766" s="842"/>
      <c r="AX766" s="842"/>
      <c r="AY766" s="842"/>
      <c r="AZ766" s="842"/>
      <c r="BA766" s="842"/>
      <c r="BB766" s="842"/>
      <c r="BC766" s="842"/>
      <c r="BD766" s="842"/>
      <c r="BE766" s="842"/>
      <c r="BF766" s="842"/>
      <c r="BG766" s="842"/>
      <c r="BH766" s="842"/>
      <c r="BI766" s="842"/>
      <c r="BJ766" s="842"/>
      <c r="BK766" s="842"/>
      <c r="BL766" s="842"/>
      <c r="BM766" s="842"/>
      <c r="BN766" s="842"/>
      <c r="BO766" s="842" t="s">
        <v>273</v>
      </c>
      <c r="BP766" s="842">
        <f t="shared" si="3020"/>
        <v>0.16828130476552405</v>
      </c>
      <c r="BT766" s="3"/>
      <c r="BU766" s="3"/>
      <c r="BV766" s="3"/>
      <c r="BW766" s="3"/>
      <c r="BX766" s="3"/>
      <c r="BY766" s="3"/>
      <c r="BZ766" s="3"/>
      <c r="CA766" s="3"/>
      <c r="CB766" s="3"/>
      <c r="CC766" s="3"/>
    </row>
    <row r="767" spans="2:81" s="1162" customFormat="1">
      <c r="B767" s="841" t="s">
        <v>465</v>
      </c>
      <c r="D767" s="842"/>
      <c r="E767" s="842"/>
      <c r="F767" s="842"/>
      <c r="G767" s="842"/>
      <c r="H767" s="842"/>
      <c r="I767" s="842"/>
      <c r="J767" s="842"/>
      <c r="K767" s="842"/>
      <c r="L767" s="842"/>
      <c r="M767" s="842"/>
      <c r="N767" s="842"/>
      <c r="O767" s="842"/>
      <c r="P767" s="842"/>
      <c r="Q767" s="842"/>
      <c r="R767" s="842"/>
      <c r="S767" s="842"/>
      <c r="T767" s="1177">
        <f t="shared" si="3025"/>
        <v>2.4179983662295568E-2</v>
      </c>
      <c r="U767" s="1177">
        <f t="shared" si="3026"/>
        <v>-6.7156157890848611E-3</v>
      </c>
      <c r="V767" s="1177">
        <f t="shared" si="3027"/>
        <v>3.4850912244479559E-3</v>
      </c>
      <c r="W767" s="1177">
        <f t="shared" si="3028"/>
        <v>0.16168490663671431</v>
      </c>
      <c r="X767" s="1177">
        <f t="shared" si="3029"/>
        <v>0.10543175450369535</v>
      </c>
      <c r="Y767" s="1177">
        <f t="shared" si="3030"/>
        <v>0.17667748288931961</v>
      </c>
      <c r="Z767" s="1177">
        <f t="shared" si="3031"/>
        <v>0.24199825073615422</v>
      </c>
      <c r="AA767" s="1177">
        <f t="shared" si="3032"/>
        <v>0.25311738358892777</v>
      </c>
      <c r="AB767" s="1177">
        <f t="shared" si="3033"/>
        <v>0.20784083826376842</v>
      </c>
      <c r="AC767" s="1177">
        <f t="shared" si="3034"/>
        <v>0.34491777361058906</v>
      </c>
      <c r="AD767" s="1177">
        <f t="shared" si="3035"/>
        <v>0.35107239731635898</v>
      </c>
      <c r="AE767" s="1177">
        <f t="shared" si="3036"/>
        <v>0.10344595783230814</v>
      </c>
      <c r="AF767" s="1177">
        <f t="shared" si="3037"/>
        <v>0.12410921234192696</v>
      </c>
      <c r="AG767" s="1177">
        <f t="shared" si="3038"/>
        <v>-3.7428539516726533E-2</v>
      </c>
      <c r="AH767" s="1177">
        <f t="shared" si="3039"/>
        <v>-8.9053861478011198E-3</v>
      </c>
      <c r="AI767" s="1177">
        <f t="shared" si="3040"/>
        <v>-4.8574394321591607E-2</v>
      </c>
      <c r="AJ767" s="1177">
        <f t="shared" si="3041"/>
        <v>7.8220350924509408E-3</v>
      </c>
      <c r="AK767" s="1177">
        <f t="shared" si="3042"/>
        <v>-0.17096401729693478</v>
      </c>
      <c r="AL767" s="1177">
        <f t="shared" si="3043"/>
        <v>-0.12642392029380312</v>
      </c>
      <c r="AM767" s="1177">
        <f t="shared" si="3044"/>
        <v>-7.1377569183641465E-2</v>
      </c>
      <c r="AN767" s="842">
        <f t="shared" ref="AN767" si="3049">+AN759+AJ759</f>
        <v>2.8744876517989182E-2</v>
      </c>
      <c r="AO767" s="842">
        <f t="shared" ref="AO767" si="3050">+AO759+AK759</f>
        <v>-1.4722195253087045E-2</v>
      </c>
      <c r="AP767" s="842">
        <f t="shared" ref="AP767" si="3051">+AP759+AL759</f>
        <v>-2.720738059938943E-2</v>
      </c>
      <c r="AQ767" s="842">
        <f t="shared" ref="AQ767" si="3052">+AQ759+AM759</f>
        <v>8.3010011040816067E-3</v>
      </c>
      <c r="AR767" s="842"/>
      <c r="AS767" s="842"/>
      <c r="AT767" s="842"/>
      <c r="AU767" s="842"/>
      <c r="AV767" s="842"/>
      <c r="AW767" s="842"/>
      <c r="AX767" s="842"/>
      <c r="AY767" s="842"/>
      <c r="AZ767" s="842"/>
      <c r="BA767" s="842"/>
      <c r="BB767" s="842"/>
      <c r="BC767" s="842"/>
      <c r="BD767" s="842"/>
      <c r="BE767" s="842"/>
      <c r="BF767" s="842"/>
      <c r="BG767" s="842"/>
      <c r="BH767" s="842"/>
      <c r="BI767" s="842"/>
      <c r="BJ767" s="842"/>
      <c r="BK767" s="842"/>
      <c r="BL767" s="842"/>
      <c r="BM767" s="842"/>
      <c r="BN767" s="842"/>
      <c r="BO767" s="842" t="s">
        <v>273</v>
      </c>
      <c r="BP767" s="842">
        <f t="shared" si="3020"/>
        <v>-1.6006868704080413E-3</v>
      </c>
      <c r="BT767" s="7"/>
      <c r="BU767" s="7"/>
      <c r="BV767" s="7"/>
      <c r="BW767" s="7"/>
      <c r="BX767" s="7"/>
      <c r="BY767" s="7"/>
      <c r="BZ767" s="7"/>
      <c r="CA767" s="7"/>
      <c r="CB767" s="7"/>
      <c r="CC767" s="7"/>
    </row>
    <row r="768" spans="2:81" s="100" customFormat="1">
      <c r="H768" s="880"/>
      <c r="I768" s="880"/>
      <c r="J768" s="880"/>
      <c r="K768" s="880"/>
      <c r="L768" s="880"/>
      <c r="M768" s="880"/>
      <c r="N768" s="880"/>
      <c r="O768" s="880"/>
      <c r="P768" s="880"/>
      <c r="Q768" s="880"/>
      <c r="R768" s="880"/>
      <c r="S768" s="880"/>
      <c r="T768" s="880"/>
      <c r="U768" s="880"/>
      <c r="V768" s="880"/>
      <c r="W768" s="880"/>
      <c r="X768" s="880"/>
      <c r="Y768" s="880"/>
      <c r="Z768" s="880"/>
      <c r="AA768" s="880"/>
      <c r="AB768" s="880"/>
      <c r="AC768" s="880"/>
      <c r="AD768" s="880"/>
      <c r="AE768" s="880"/>
      <c r="AF768" s="880"/>
      <c r="AG768" s="880"/>
      <c r="AH768" s="880"/>
      <c r="AI768" s="880"/>
      <c r="BQ768" s="1162"/>
      <c r="BR768" s="11"/>
    </row>
    <row r="769" spans="2:81" ht="10.5">
      <c r="B769" s="45" t="s">
        <v>466</v>
      </c>
    </row>
    <row r="770" spans="2:81" s="100" customFormat="1">
      <c r="B770" s="100" t="s">
        <v>86</v>
      </c>
      <c r="H770" s="880"/>
      <c r="I770" s="880"/>
      <c r="J770" s="880"/>
      <c r="K770" s="11"/>
      <c r="L770" s="880"/>
      <c r="M770" s="880"/>
      <c r="N770" s="880"/>
      <c r="O770" s="11"/>
      <c r="P770" s="880">
        <v>1512</v>
      </c>
      <c r="Q770" s="880">
        <v>2381</v>
      </c>
      <c r="R770" s="880">
        <v>1825</v>
      </c>
      <c r="S770" s="11">
        <v>1396</v>
      </c>
      <c r="T770" s="880">
        <v>1282</v>
      </c>
      <c r="U770" s="880">
        <v>1986</v>
      </c>
      <c r="V770" s="880">
        <v>1788</v>
      </c>
      <c r="W770" s="880">
        <v>1932</v>
      </c>
      <c r="X770" s="880">
        <v>1954</v>
      </c>
      <c r="Y770" s="880">
        <v>2413</v>
      </c>
      <c r="Z770" s="880">
        <v>2275</v>
      </c>
      <c r="AA770" s="880">
        <v>2296</v>
      </c>
      <c r="AB770" s="880">
        <v>2070</v>
      </c>
      <c r="AC770" s="880">
        <v>2163</v>
      </c>
      <c r="AD770" s="880">
        <v>1768</v>
      </c>
      <c r="AE770" s="880">
        <v>1644</v>
      </c>
      <c r="AF770" s="880">
        <v>1782</v>
      </c>
      <c r="AG770" s="880">
        <v>2334</v>
      </c>
      <c r="AH770" s="11">
        <v>2383</v>
      </c>
      <c r="AI770" s="11">
        <v>2207</v>
      </c>
      <c r="AJ770" s="11">
        <v>2299.1692499999999</v>
      </c>
      <c r="AK770" s="11">
        <v>2668.5320000000002</v>
      </c>
      <c r="AL770" s="11">
        <v>2737.2384097035037</v>
      </c>
      <c r="AM770" s="11">
        <v>2021.4615000000001</v>
      </c>
      <c r="AN770" s="11"/>
      <c r="AO770" s="11"/>
      <c r="AP770" s="11"/>
      <c r="AQ770" s="11"/>
      <c r="AV770" s="880"/>
      <c r="AW770" s="880"/>
      <c r="AX770" s="880"/>
      <c r="AY770" s="880"/>
      <c r="AZ770" s="880"/>
      <c r="BA770" s="880"/>
      <c r="BB770" s="880"/>
      <c r="BC770" s="880"/>
      <c r="BD770" s="880"/>
      <c r="BH770" s="880"/>
      <c r="BI770" s="880"/>
      <c r="BJ770" s="880">
        <f>SUM(P770:S770)</f>
        <v>7114</v>
      </c>
      <c r="BK770" s="880">
        <f>SUM(T770:W770)</f>
        <v>6988</v>
      </c>
      <c r="BL770" s="880">
        <f>SUM(X770:AA770)</f>
        <v>8938</v>
      </c>
      <c r="BM770" s="880">
        <f>SUM(AB770:AE770)</f>
        <v>7645</v>
      </c>
      <c r="BN770" s="880">
        <f>SUM(AF770:AI770)</f>
        <v>8706</v>
      </c>
      <c r="BO770" s="880">
        <f>SUM(AJ770:AM770)</f>
        <v>9726.4011597035042</v>
      </c>
      <c r="BP770" s="880"/>
      <c r="BT770"/>
      <c r="BU770"/>
      <c r="BV770"/>
      <c r="BW770"/>
      <c r="BX770"/>
      <c r="BY770"/>
      <c r="BZ770"/>
      <c r="CA770"/>
      <c r="CB770"/>
      <c r="CC770"/>
    </row>
    <row r="771" spans="2:81">
      <c r="B771" s="13" t="s">
        <v>113</v>
      </c>
      <c r="L771" s="14"/>
      <c r="M771" s="14"/>
      <c r="N771" s="14"/>
      <c r="O771" s="14"/>
      <c r="P771" s="14"/>
      <c r="Q771" s="14"/>
      <c r="R771" s="14"/>
      <c r="S771" s="14"/>
      <c r="T771" s="14">
        <f t="shared" ref="T771" si="3053">+T770/P770-1</f>
        <v>-0.15211640211640209</v>
      </c>
      <c r="U771" s="14">
        <f t="shared" ref="U771" si="3054">+U770/Q770-1</f>
        <v>-0.16589668206635866</v>
      </c>
      <c r="V771" s="14">
        <f t="shared" ref="V771" si="3055">+V770/R770-1</f>
        <v>-2.0273972602739776E-2</v>
      </c>
      <c r="W771" s="14">
        <f t="shared" ref="W771" si="3056">+W770/S770-1</f>
        <v>0.3839541547277936</v>
      </c>
      <c r="X771" s="14">
        <f t="shared" ref="X771" si="3057">+X770/T770-1</f>
        <v>0.52418096723868945</v>
      </c>
      <c r="Y771" s="14">
        <f t="shared" ref="Y771" si="3058">+Y770/U770-1</f>
        <v>0.21500503524672698</v>
      </c>
      <c r="Z771" s="14">
        <f t="shared" ref="Z771" si="3059">+Z770/V770-1</f>
        <v>0.27237136465324374</v>
      </c>
      <c r="AA771" s="14">
        <f t="shared" ref="AA771" si="3060">+AA770/W770-1</f>
        <v>0.18840579710144922</v>
      </c>
      <c r="AB771" s="14">
        <f t="shared" ref="AB771" si="3061">+AB770/X770-1</f>
        <v>5.9365404298874047E-2</v>
      </c>
      <c r="AC771" s="14">
        <f t="shared" ref="AC771" si="3062">+AC770/Y770-1</f>
        <v>-0.10360547036883549</v>
      </c>
      <c r="AD771" s="14">
        <f t="shared" ref="AD771" si="3063">+AD770/Z770-1</f>
        <v>-0.22285714285714286</v>
      </c>
      <c r="AE771" s="14">
        <f t="shared" ref="AE771" si="3064">+AE770/AA770-1</f>
        <v>-0.28397212543554007</v>
      </c>
      <c r="AF771" s="14">
        <f t="shared" ref="AF771" si="3065">+AF770/AB770-1</f>
        <v>-0.13913043478260867</v>
      </c>
      <c r="AG771" s="14">
        <f t="shared" ref="AG771" si="3066">+AG770/AC770-1</f>
        <v>7.905686546463242E-2</v>
      </c>
      <c r="AH771" s="14">
        <f t="shared" ref="AH771" si="3067">+AH770/AD770-1</f>
        <v>0.34785067873303177</v>
      </c>
      <c r="AI771" s="14">
        <f t="shared" ref="AI771" si="3068">+AI770/AE770-1</f>
        <v>0.34245742092457432</v>
      </c>
      <c r="AJ771" s="14">
        <f t="shared" ref="AJ771" si="3069">+AJ770/AF770-1</f>
        <v>0.2902184343434342</v>
      </c>
      <c r="AK771" s="14">
        <f t="shared" ref="AK771" si="3070">+AK770/AG770-1</f>
        <v>0.14332990574121696</v>
      </c>
      <c r="AL771" s="14">
        <f t="shared" ref="AL771" si="3071">+AL770/AH770-1</f>
        <v>0.14865229110512113</v>
      </c>
      <c r="AM771" s="14">
        <f t="shared" ref="AM771" si="3072">+AM770/AI770-1</f>
        <v>-8.4068192115994478E-2</v>
      </c>
      <c r="AN771" s="14"/>
      <c r="AO771" s="14"/>
      <c r="AP771" s="14"/>
      <c r="AQ771" s="14"/>
      <c r="BC771" s="14"/>
      <c r="BD771" s="14"/>
      <c r="BE771" s="14"/>
      <c r="BI771" s="14"/>
      <c r="BJ771" s="14"/>
      <c r="BK771" s="14">
        <f t="shared" ref="BK771:BN771" si="3073">+BK770/BJ770-1</f>
        <v>-1.7711554680910901E-2</v>
      </c>
      <c r="BL771" s="14">
        <f t="shared" si="3073"/>
        <v>0.27904979965655419</v>
      </c>
      <c r="BM771" s="14">
        <f t="shared" si="3073"/>
        <v>-0.14466323562318195</v>
      </c>
      <c r="BN771" s="14">
        <f t="shared" si="3073"/>
        <v>0.13878351863963378</v>
      </c>
      <c r="BO771" s="14">
        <f>+BO770/BN770-1</f>
        <v>0.11720665744354508</v>
      </c>
      <c r="BP771" s="14"/>
    </row>
    <row r="772" spans="2:81" s="1077" customFormat="1" hidden="1" outlineLevel="1">
      <c r="B772" s="1246" t="s">
        <v>467</v>
      </c>
      <c r="L772" s="1247"/>
      <c r="M772" s="1247"/>
      <c r="N772" s="1247"/>
      <c r="O772" s="1247"/>
      <c r="P772" s="1247"/>
      <c r="Q772" s="1247"/>
      <c r="R772" s="1247"/>
      <c r="S772" s="1247"/>
      <c r="T772" s="1247"/>
      <c r="U772" s="1247"/>
      <c r="V772" s="1247"/>
      <c r="W772" s="1247"/>
      <c r="X772" s="1247"/>
      <c r="Y772" s="1247"/>
      <c r="Z772" s="1247"/>
      <c r="AA772" s="1247"/>
      <c r="AB772" s="1247"/>
      <c r="AC772" s="1247"/>
      <c r="AD772" s="1247"/>
      <c r="AE772" s="1247"/>
      <c r="AF772" s="1247"/>
      <c r="AG772" s="1247"/>
      <c r="AH772" s="1247"/>
      <c r="AI772" s="1247"/>
      <c r="AJ772" s="1247"/>
      <c r="AK772" s="1247"/>
      <c r="AL772" s="1247"/>
      <c r="AM772" s="1247"/>
      <c r="AN772" s="1247"/>
      <c r="AO772" s="1247"/>
      <c r="AP772" s="1247"/>
      <c r="AQ772" s="1247"/>
      <c r="BC772" s="1247"/>
      <c r="BD772" s="1247"/>
      <c r="BE772" s="1247"/>
      <c r="BI772" s="1247"/>
      <c r="BJ772" s="1247"/>
      <c r="BK772" s="1247"/>
      <c r="BL772" s="1247"/>
      <c r="BM772" s="1247"/>
      <c r="BN772" s="1247"/>
      <c r="BO772" s="1247"/>
      <c r="BP772" s="1247"/>
      <c r="BT772"/>
      <c r="BU772"/>
      <c r="BV772"/>
      <c r="BW772"/>
      <c r="BX772"/>
      <c r="BY772"/>
      <c r="BZ772"/>
      <c r="CA772"/>
      <c r="CB772"/>
      <c r="CC772"/>
    </row>
    <row r="773" spans="2:81" collapsed="1"/>
    <row r="774" spans="2:81" s="953" customFormat="1" ht="11.45">
      <c r="B774" t="s">
        <v>468</v>
      </c>
      <c r="P774" s="1205">
        <v>-485</v>
      </c>
      <c r="Q774" s="1205">
        <v>-822</v>
      </c>
      <c r="R774" s="1205">
        <v>-374</v>
      </c>
      <c r="S774" s="1205">
        <v>-329</v>
      </c>
      <c r="T774" s="1205">
        <v>-374</v>
      </c>
      <c r="U774" s="1205">
        <v>-742</v>
      </c>
      <c r="V774" s="1205">
        <v>-374</v>
      </c>
      <c r="W774" s="1205">
        <v>-450</v>
      </c>
      <c r="X774" s="1205">
        <v>-418</v>
      </c>
      <c r="Y774" s="1205">
        <v>-1030</v>
      </c>
      <c r="Z774" s="1205">
        <v>-492</v>
      </c>
      <c r="AA774" s="1205">
        <v>-450</v>
      </c>
      <c r="AB774" s="1205">
        <v>-487</v>
      </c>
      <c r="AC774" s="1205">
        <v>-758</v>
      </c>
      <c r="AD774" s="1205">
        <v>-421</v>
      </c>
      <c r="AE774" s="1205">
        <v>-476</v>
      </c>
      <c r="AF774" s="1205">
        <v>-520</v>
      </c>
      <c r="AG774" s="1205">
        <v>-907</v>
      </c>
      <c r="AH774" s="1205">
        <v>-581</v>
      </c>
      <c r="AI774" s="1205">
        <v>-724</v>
      </c>
      <c r="AJ774" s="1205">
        <v>-606.12312521186459</v>
      </c>
      <c r="AK774" s="1205">
        <v>-823.39758681295552</v>
      </c>
      <c r="AL774" s="1205">
        <v>-635.40573113207552</v>
      </c>
      <c r="AM774" s="1205">
        <v>-687.74722960178792</v>
      </c>
      <c r="AN774" s="1205"/>
      <c r="AO774" s="1205"/>
      <c r="AP774" s="1205"/>
      <c r="AQ774" s="1205"/>
      <c r="AR774" s="1205"/>
      <c r="AS774" s="1205"/>
      <c r="AT774" s="1205"/>
      <c r="AU774" s="1205"/>
      <c r="AV774" s="1205"/>
      <c r="AW774" s="1205"/>
      <c r="AX774" s="1205"/>
      <c r="AY774" s="1205"/>
      <c r="AZ774" s="1205"/>
      <c r="BA774" s="1205"/>
      <c r="BB774" s="1205"/>
      <c r="BC774" s="1205"/>
      <c r="BD774" s="1205"/>
      <c r="BE774" s="1205"/>
      <c r="BF774" s="1205"/>
      <c r="BG774" s="1205"/>
      <c r="BH774" s="1205"/>
      <c r="BI774" s="1205"/>
      <c r="BJ774" s="1205">
        <f t="shared" ref="BJ774" si="3074">SUM(P774:S774)</f>
        <v>-2010</v>
      </c>
      <c r="BK774" s="1205">
        <f t="shared" ref="BK774" si="3075">SUM(T774:W774)</f>
        <v>-1940</v>
      </c>
      <c r="BL774" s="1205">
        <f t="shared" ref="BL774" si="3076">SUM(X774:AA774)</f>
        <v>-2390</v>
      </c>
      <c r="BM774" s="1205">
        <f t="shared" ref="BM774" si="3077">SUM(AB774:AE774)</f>
        <v>-2142</v>
      </c>
      <c r="BN774" s="1205">
        <f t="shared" ref="BN774" si="3078">SUM(AF774:AI774)</f>
        <v>-2732</v>
      </c>
      <c r="BO774" s="1205">
        <f t="shared" ref="BO774" si="3079">SUM(AJ774:AM774)</f>
        <v>-2752.6736727586831</v>
      </c>
      <c r="BP774" s="1205"/>
      <c r="BT774"/>
      <c r="BU774"/>
      <c r="BV774"/>
      <c r="BW774"/>
      <c r="BX774"/>
      <c r="BY774"/>
      <c r="BZ774"/>
      <c r="CA774"/>
      <c r="CB774"/>
      <c r="CC774"/>
    </row>
    <row r="775" spans="2:81">
      <c r="B775" s="12" t="s">
        <v>469</v>
      </c>
      <c r="P775" s="227">
        <f>+P774+P770</f>
        <v>1027</v>
      </c>
      <c r="Q775" s="227">
        <f t="shared" ref="Q775:AM775" si="3080">+Q774+Q770</f>
        <v>1559</v>
      </c>
      <c r="R775" s="227">
        <f t="shared" si="3080"/>
        <v>1451</v>
      </c>
      <c r="S775" s="227">
        <f t="shared" si="3080"/>
        <v>1067</v>
      </c>
      <c r="T775" s="227">
        <f t="shared" si="3080"/>
        <v>908</v>
      </c>
      <c r="U775" s="227">
        <f t="shared" si="3080"/>
        <v>1244</v>
      </c>
      <c r="V775" s="227">
        <f t="shared" si="3080"/>
        <v>1414</v>
      </c>
      <c r="W775" s="227">
        <f t="shared" si="3080"/>
        <v>1482</v>
      </c>
      <c r="X775" s="227">
        <f t="shared" si="3080"/>
        <v>1536</v>
      </c>
      <c r="Y775" s="227">
        <f t="shared" si="3080"/>
        <v>1383</v>
      </c>
      <c r="Z775" s="227">
        <f t="shared" si="3080"/>
        <v>1783</v>
      </c>
      <c r="AA775" s="227">
        <f t="shared" si="3080"/>
        <v>1846</v>
      </c>
      <c r="AB775" s="227">
        <f t="shared" si="3080"/>
        <v>1583</v>
      </c>
      <c r="AC775" s="227">
        <f t="shared" si="3080"/>
        <v>1405</v>
      </c>
      <c r="AD775" s="227">
        <f t="shared" si="3080"/>
        <v>1347</v>
      </c>
      <c r="AE775" s="227">
        <f t="shared" si="3080"/>
        <v>1168</v>
      </c>
      <c r="AF775" s="227">
        <f t="shared" si="3080"/>
        <v>1262</v>
      </c>
      <c r="AG775" s="227">
        <f t="shared" si="3080"/>
        <v>1427</v>
      </c>
      <c r="AH775" s="227">
        <f t="shared" si="3080"/>
        <v>1802</v>
      </c>
      <c r="AI775" s="227">
        <f t="shared" si="3080"/>
        <v>1483</v>
      </c>
      <c r="AJ775" s="227">
        <f t="shared" si="3080"/>
        <v>1693.0461247881353</v>
      </c>
      <c r="AK775" s="227">
        <f t="shared" si="3080"/>
        <v>1845.1344131870446</v>
      </c>
      <c r="AL775" s="227">
        <f t="shared" si="3080"/>
        <v>2101.832678571428</v>
      </c>
      <c r="AM775" s="227">
        <f t="shared" si="3080"/>
        <v>1333.7142703982122</v>
      </c>
      <c r="AN775" s="227"/>
      <c r="AO775" s="227"/>
      <c r="AP775" s="227"/>
      <c r="AQ775" s="227"/>
      <c r="AR775" s="227"/>
      <c r="AS775" s="227"/>
      <c r="AT775" s="227"/>
      <c r="AU775" s="227"/>
      <c r="AV775" s="227"/>
      <c r="AW775" s="227"/>
      <c r="AX775" s="227"/>
      <c r="AY775" s="227"/>
      <c r="AZ775" s="227"/>
      <c r="BA775" s="227"/>
      <c r="BB775" s="227"/>
      <c r="BC775" s="227"/>
      <c r="BD775" s="227"/>
      <c r="BE775" s="227"/>
      <c r="BF775" s="227"/>
      <c r="BG775" s="227"/>
      <c r="BH775" s="227"/>
      <c r="BI775" s="227"/>
      <c r="BJ775" s="227">
        <f t="shared" ref="BJ775:BJ776" si="3081">SUM(P775:S775)</f>
        <v>5104</v>
      </c>
      <c r="BK775" s="227">
        <f t="shared" ref="BK775:BK776" si="3082">SUM(T775:W775)</f>
        <v>5048</v>
      </c>
      <c r="BL775" s="227">
        <f t="shared" ref="BL775:BL776" si="3083">SUM(X775:AA775)</f>
        <v>6548</v>
      </c>
      <c r="BM775" s="227">
        <f t="shared" ref="BM775:BM776" si="3084">SUM(AB775:AE775)</f>
        <v>5503</v>
      </c>
      <c r="BN775" s="227">
        <f t="shared" ref="BN775:BN776" si="3085">SUM(AF775:AI775)</f>
        <v>5974</v>
      </c>
      <c r="BO775" s="227">
        <f t="shared" ref="BO775:BO776" si="3086">SUM(AJ775:AM775)</f>
        <v>6973.7274869448192</v>
      </c>
      <c r="BP775" s="227"/>
    </row>
    <row r="776" spans="2:81" s="953" customFormat="1" ht="11.45">
      <c r="B776" t="s">
        <v>144</v>
      </c>
      <c r="P776" s="1205">
        <v>-4</v>
      </c>
      <c r="Q776" s="1205">
        <v>-8</v>
      </c>
      <c r="R776" s="1205">
        <v>-10</v>
      </c>
      <c r="S776" s="1205">
        <v>-4</v>
      </c>
      <c r="T776" s="1205">
        <v>-1</v>
      </c>
      <c r="U776" s="1205">
        <v>-4</v>
      </c>
      <c r="V776" s="1205">
        <v>-5</v>
      </c>
      <c r="W776" s="1205">
        <v>-1</v>
      </c>
      <c r="X776" s="1205">
        <v>-2</v>
      </c>
      <c r="Y776" s="1205">
        <v>-6</v>
      </c>
      <c r="Z776" s="1205">
        <v>-6</v>
      </c>
      <c r="AA776" s="1205">
        <v>-6</v>
      </c>
      <c r="AB776" s="1205">
        <v>-4</v>
      </c>
      <c r="AC776" s="1205">
        <v>-8</v>
      </c>
      <c r="AD776" s="1205">
        <v>-6</v>
      </c>
      <c r="AE776" s="1205">
        <v>-3</v>
      </c>
      <c r="AF776" s="1205">
        <v>-1</v>
      </c>
      <c r="AG776" s="1205">
        <v>-19</v>
      </c>
      <c r="AH776" s="1205">
        <v>-24</v>
      </c>
      <c r="AI776" s="1205">
        <v>-24</v>
      </c>
      <c r="AJ776" s="1205">
        <v>-1.1972033898305083</v>
      </c>
      <c r="AK776" s="1205">
        <v>-17.772752383623107</v>
      </c>
      <c r="AL776" s="1205">
        <v>-27.567654986522914</v>
      </c>
      <c r="AM776" s="1205">
        <v>-23.192425843153188</v>
      </c>
      <c r="AN776" s="1205"/>
      <c r="AO776" s="1205"/>
      <c r="AP776" s="1205"/>
      <c r="AQ776" s="1205"/>
      <c r="AR776" s="1205"/>
      <c r="AS776" s="1205"/>
      <c r="AT776" s="1205"/>
      <c r="AU776" s="1205"/>
      <c r="AV776" s="1205"/>
      <c r="AW776" s="1205"/>
      <c r="AX776" s="1205"/>
      <c r="AY776" s="1205"/>
      <c r="AZ776" s="1205"/>
      <c r="BA776" s="1205"/>
      <c r="BB776" s="1205"/>
      <c r="BC776" s="1205"/>
      <c r="BD776" s="1205"/>
      <c r="BE776" s="1205"/>
      <c r="BF776" s="1205"/>
      <c r="BG776" s="1205"/>
      <c r="BH776" s="1205"/>
      <c r="BI776" s="1205"/>
      <c r="BJ776" s="1205">
        <f t="shared" si="3081"/>
        <v>-26</v>
      </c>
      <c r="BK776" s="1205">
        <f t="shared" si="3082"/>
        <v>-11</v>
      </c>
      <c r="BL776" s="1205">
        <f t="shared" si="3083"/>
        <v>-20</v>
      </c>
      <c r="BM776" s="1205">
        <f t="shared" si="3084"/>
        <v>-21</v>
      </c>
      <c r="BN776" s="1205">
        <f t="shared" si="3085"/>
        <v>-68</v>
      </c>
      <c r="BO776" s="1205">
        <f t="shared" si="3086"/>
        <v>-69.730036603129719</v>
      </c>
      <c r="BP776" s="1205"/>
      <c r="BT776"/>
      <c r="BU776"/>
      <c r="BV776"/>
      <c r="BW776"/>
      <c r="BX776"/>
      <c r="BY776"/>
      <c r="BZ776"/>
      <c r="CA776"/>
      <c r="CB776"/>
      <c r="CC776"/>
    </row>
    <row r="777" spans="2:81" s="100" customFormat="1">
      <c r="B777" s="1096" t="s">
        <v>470</v>
      </c>
      <c r="H777" s="880"/>
      <c r="I777" s="880"/>
      <c r="J777" s="880"/>
      <c r="K777" s="11"/>
      <c r="L777" s="880"/>
      <c r="M777" s="880"/>
      <c r="N777" s="880"/>
      <c r="O777" s="11"/>
      <c r="P777" s="880">
        <f>+P776+P775</f>
        <v>1023</v>
      </c>
      <c r="Q777" s="880">
        <f t="shared" ref="Q777:AM777" si="3087">+Q776+Q775</f>
        <v>1551</v>
      </c>
      <c r="R777" s="880">
        <f t="shared" si="3087"/>
        <v>1441</v>
      </c>
      <c r="S777" s="880">
        <f t="shared" si="3087"/>
        <v>1063</v>
      </c>
      <c r="T777" s="880">
        <f t="shared" si="3087"/>
        <v>907</v>
      </c>
      <c r="U777" s="880">
        <f t="shared" si="3087"/>
        <v>1240</v>
      </c>
      <c r="V777" s="880">
        <f t="shared" si="3087"/>
        <v>1409</v>
      </c>
      <c r="W777" s="880">
        <f t="shared" si="3087"/>
        <v>1481</v>
      </c>
      <c r="X777" s="880">
        <f t="shared" si="3087"/>
        <v>1534</v>
      </c>
      <c r="Y777" s="880">
        <f t="shared" si="3087"/>
        <v>1377</v>
      </c>
      <c r="Z777" s="880">
        <f t="shared" si="3087"/>
        <v>1777</v>
      </c>
      <c r="AA777" s="880">
        <f t="shared" si="3087"/>
        <v>1840</v>
      </c>
      <c r="AB777" s="880">
        <f t="shared" si="3087"/>
        <v>1579</v>
      </c>
      <c r="AC777" s="880">
        <f t="shared" si="3087"/>
        <v>1397</v>
      </c>
      <c r="AD777" s="880">
        <f t="shared" si="3087"/>
        <v>1341</v>
      </c>
      <c r="AE777" s="880">
        <f t="shared" si="3087"/>
        <v>1165</v>
      </c>
      <c r="AF777" s="880">
        <f t="shared" si="3087"/>
        <v>1261</v>
      </c>
      <c r="AG777" s="880">
        <f t="shared" si="3087"/>
        <v>1408</v>
      </c>
      <c r="AH777" s="880">
        <f t="shared" si="3087"/>
        <v>1778</v>
      </c>
      <c r="AI777" s="880">
        <f t="shared" si="3087"/>
        <v>1459</v>
      </c>
      <c r="AJ777" s="880">
        <f t="shared" si="3087"/>
        <v>1691.8489213983048</v>
      </c>
      <c r="AK777" s="880">
        <f t="shared" si="3087"/>
        <v>1827.3616608034215</v>
      </c>
      <c r="AL777" s="880">
        <f t="shared" si="3087"/>
        <v>2074.2650235849051</v>
      </c>
      <c r="AM777" s="880">
        <f t="shared" si="3087"/>
        <v>1310.521844555059</v>
      </c>
      <c r="AN777" s="880"/>
      <c r="AO777" s="880"/>
      <c r="AP777" s="880"/>
      <c r="AQ777" s="880"/>
      <c r="AR777" s="880"/>
      <c r="AS777" s="880"/>
      <c r="AT777" s="880"/>
      <c r="AU777" s="880"/>
      <c r="AV777" s="880"/>
      <c r="AW777" s="880"/>
      <c r="AX777" s="880"/>
      <c r="AY777" s="880"/>
      <c r="AZ777" s="880"/>
      <c r="BA777" s="880"/>
      <c r="BB777" s="880"/>
      <c r="BC777" s="880"/>
      <c r="BD777" s="880"/>
      <c r="BE777" s="880"/>
      <c r="BF777" s="880"/>
      <c r="BG777" s="880"/>
      <c r="BH777" s="880"/>
      <c r="BI777" s="880"/>
      <c r="BJ777" s="880">
        <f>SUM(P777:S777)</f>
        <v>5078</v>
      </c>
      <c r="BK777" s="880">
        <f>SUM(T777:W777)</f>
        <v>5037</v>
      </c>
      <c r="BL777" s="880">
        <f>SUM(X777:AA777)</f>
        <v>6528</v>
      </c>
      <c r="BM777" s="880">
        <f>SUM(AB777:AE777)</f>
        <v>5482</v>
      </c>
      <c r="BN777" s="880">
        <f>SUM(AF777:AI777)</f>
        <v>5906</v>
      </c>
      <c r="BO777" s="880">
        <f>SUM(AJ777:AM777)</f>
        <v>6903.9974503416906</v>
      </c>
      <c r="BP777" s="880"/>
      <c r="BT777"/>
      <c r="BU777"/>
      <c r="BV777"/>
      <c r="BW777"/>
      <c r="BX777"/>
      <c r="BY777"/>
      <c r="BZ777"/>
      <c r="CA777"/>
      <c r="CB777"/>
      <c r="CC777"/>
    </row>
    <row r="778" spans="2:81">
      <c r="B778" s="15" t="s">
        <v>123</v>
      </c>
      <c r="L778" s="14"/>
      <c r="M778" s="14"/>
      <c r="N778" s="14"/>
      <c r="O778" s="14"/>
      <c r="P778" s="14">
        <f t="shared" ref="P778" si="3088">+P777/P770</f>
        <v>0.67658730158730163</v>
      </c>
      <c r="Q778" s="14">
        <f t="shared" ref="Q778" si="3089">+Q777/Q770</f>
        <v>0.65140697186056273</v>
      </c>
      <c r="R778" s="14">
        <f t="shared" ref="R778" si="3090">+R777/R770</f>
        <v>0.78958904109589045</v>
      </c>
      <c r="S778" s="14">
        <f t="shared" ref="S778" si="3091">+S777/S770</f>
        <v>0.76146131805157591</v>
      </c>
      <c r="T778" s="14">
        <f t="shared" ref="T778:W778" si="3092">+T777/T770</f>
        <v>0.70748829953198122</v>
      </c>
      <c r="U778" s="14">
        <f t="shared" si="3092"/>
        <v>0.62437059415911378</v>
      </c>
      <c r="V778" s="14">
        <f t="shared" si="3092"/>
        <v>0.78803131991051456</v>
      </c>
      <c r="W778" s="14">
        <f t="shared" si="3092"/>
        <v>0.7665631469979296</v>
      </c>
      <c r="X778" s="14">
        <f>+X777/X770</f>
        <v>0.78505629477993855</v>
      </c>
      <c r="Y778" s="14">
        <f t="shared" ref="Y778:AM778" si="3093">+Y777/Y770</f>
        <v>0.57065893079154584</v>
      </c>
      <c r="Z778" s="14">
        <f t="shared" si="3093"/>
        <v>0.78109890109890112</v>
      </c>
      <c r="AA778" s="14">
        <f t="shared" si="3093"/>
        <v>0.80139372822299648</v>
      </c>
      <c r="AB778" s="14">
        <f t="shared" si="3093"/>
        <v>0.76280193236714977</v>
      </c>
      <c r="AC778" s="14">
        <f t="shared" si="3093"/>
        <v>0.6458622283865002</v>
      </c>
      <c r="AD778" s="14">
        <f t="shared" si="3093"/>
        <v>0.75848416289592757</v>
      </c>
      <c r="AE778" s="14">
        <f t="shared" si="3093"/>
        <v>0.70863746958637475</v>
      </c>
      <c r="AF778" s="14">
        <f t="shared" si="3093"/>
        <v>0.70763187429854102</v>
      </c>
      <c r="AG778" s="14">
        <f t="shared" si="3093"/>
        <v>0.60325621251071126</v>
      </c>
      <c r="AH778" s="14">
        <f t="shared" si="3093"/>
        <v>0.74611833822912299</v>
      </c>
      <c r="AI778" s="14">
        <f t="shared" si="3093"/>
        <v>0.66107838695061172</v>
      </c>
      <c r="AJ778" s="14">
        <f t="shared" si="3093"/>
        <v>0.73585227420656607</v>
      </c>
      <c r="AK778" s="14">
        <f t="shared" si="3093"/>
        <v>0.68478161805945048</v>
      </c>
      <c r="AL778" s="14">
        <f t="shared" si="3093"/>
        <v>0.75779479647503134</v>
      </c>
      <c r="AM778" s="14">
        <f t="shared" si="3093"/>
        <v>0.64830413270549991</v>
      </c>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f t="shared" ref="BJ778:BO778" si="3094">+BJ777/BJ$770</f>
        <v>0.71380376721956706</v>
      </c>
      <c r="BK778" s="14">
        <f t="shared" si="3094"/>
        <v>0.72080709788208353</v>
      </c>
      <c r="BL778" s="14">
        <f t="shared" si="3094"/>
        <v>0.73036473484000897</v>
      </c>
      <c r="BM778" s="14">
        <f t="shared" si="3094"/>
        <v>0.71706998037933289</v>
      </c>
      <c r="BN778" s="14">
        <f t="shared" si="3094"/>
        <v>0.67838272455777626</v>
      </c>
      <c r="BO778" s="14">
        <f t="shared" si="3094"/>
        <v>0.70982034742150713</v>
      </c>
      <c r="BP778" s="14"/>
    </row>
    <row r="780" spans="2:81" s="100" customFormat="1">
      <c r="B780" s="100" t="s">
        <v>471</v>
      </c>
      <c r="H780" s="880"/>
      <c r="I780" s="880"/>
      <c r="J780" s="880"/>
      <c r="K780" s="11"/>
      <c r="L780" s="880"/>
      <c r="M780" s="880"/>
      <c r="N780" s="880"/>
      <c r="O780" s="11"/>
      <c r="P780" s="880">
        <f t="shared" ref="P780:W780" si="3095">+P777-P788</f>
        <v>758</v>
      </c>
      <c r="Q780" s="880">
        <f t="shared" si="3095"/>
        <v>857</v>
      </c>
      <c r="R780" s="880">
        <f t="shared" si="3095"/>
        <v>871</v>
      </c>
      <c r="S780" s="880">
        <f t="shared" si="3095"/>
        <v>727</v>
      </c>
      <c r="T780" s="880">
        <f t="shared" si="3095"/>
        <v>660</v>
      </c>
      <c r="U780" s="880">
        <f t="shared" si="3095"/>
        <v>786</v>
      </c>
      <c r="V780" s="880">
        <f t="shared" si="3095"/>
        <v>797</v>
      </c>
      <c r="W780" s="880">
        <f t="shared" si="3095"/>
        <v>732</v>
      </c>
      <c r="X780" s="880">
        <f t="shared" ref="X780:AL780" si="3096">+X777-X788</f>
        <v>756</v>
      </c>
      <c r="Y780" s="880">
        <f t="shared" si="3096"/>
        <v>783</v>
      </c>
      <c r="Z780" s="880">
        <f t="shared" si="3096"/>
        <v>982</v>
      </c>
      <c r="AA780" s="880">
        <f t="shared" si="3096"/>
        <v>881</v>
      </c>
      <c r="AB780" s="880">
        <f t="shared" si="3096"/>
        <v>755</v>
      </c>
      <c r="AC780" s="880">
        <f t="shared" si="3096"/>
        <v>715</v>
      </c>
      <c r="AD780" s="880">
        <f t="shared" si="3096"/>
        <v>862</v>
      </c>
      <c r="AE780" s="880">
        <f t="shared" si="3096"/>
        <v>827</v>
      </c>
      <c r="AF780" s="880">
        <f t="shared" si="3096"/>
        <v>776</v>
      </c>
      <c r="AG780" s="880">
        <f t="shared" si="3096"/>
        <v>1040</v>
      </c>
      <c r="AH780" s="880">
        <f t="shared" si="3096"/>
        <v>978</v>
      </c>
      <c r="AI780" s="880">
        <f t="shared" si="3096"/>
        <v>876</v>
      </c>
      <c r="AJ780" s="880">
        <f t="shared" si="3096"/>
        <v>990.30358681732582</v>
      </c>
      <c r="AK780" s="880">
        <f t="shared" si="3096"/>
        <v>947.40619267384727</v>
      </c>
      <c r="AL780" s="880">
        <f t="shared" si="3096"/>
        <v>1095.2113596003098</v>
      </c>
      <c r="AM780" s="880">
        <f>+AM777-AM788</f>
        <v>856.69601370905514</v>
      </c>
      <c r="AN780" s="880"/>
      <c r="AO780" s="880"/>
      <c r="AP780" s="880"/>
      <c r="AQ780" s="880"/>
      <c r="AR780" s="880"/>
      <c r="AS780" s="880"/>
      <c r="AT780" s="880"/>
      <c r="AU780" s="880"/>
      <c r="AV780" s="880"/>
      <c r="AW780" s="880"/>
      <c r="AX780" s="880"/>
      <c r="AY780" s="880"/>
      <c r="AZ780" s="880"/>
      <c r="BA780" s="880"/>
      <c r="BB780" s="880"/>
      <c r="BC780" s="880"/>
      <c r="BD780" s="880"/>
      <c r="BE780" s="880"/>
      <c r="BF780" s="880"/>
      <c r="BG780" s="880"/>
      <c r="BH780" s="880"/>
      <c r="BI780" s="880"/>
      <c r="BJ780" s="880">
        <f>SUM(P780:S780)</f>
        <v>3213</v>
      </c>
      <c r="BK780" s="880">
        <f>SUM(T780:W780)</f>
        <v>2975</v>
      </c>
      <c r="BL780" s="880">
        <f>SUM(X780:AA780)</f>
        <v>3402</v>
      </c>
      <c r="BM780" s="880">
        <f>SUM(AB780:AE780)</f>
        <v>3159</v>
      </c>
      <c r="BN780" s="880">
        <f>SUM(AF780:AI780)</f>
        <v>3670</v>
      </c>
      <c r="BO780" s="880">
        <f>SUM(AJ780:AM780)</f>
        <v>3889.617152800538</v>
      </c>
      <c r="BP780" s="880"/>
      <c r="BT780"/>
      <c r="BU780"/>
      <c r="BV780"/>
      <c r="BW780"/>
      <c r="BX780"/>
      <c r="BY780"/>
      <c r="BZ780"/>
      <c r="CA780"/>
      <c r="CB780"/>
      <c r="CC780"/>
    </row>
    <row r="781" spans="2:81">
      <c r="B781" s="13" t="s">
        <v>113</v>
      </c>
      <c r="L781" s="14"/>
      <c r="M781" s="14"/>
      <c r="N781" s="14"/>
      <c r="O781" s="14"/>
      <c r="P781" s="14"/>
      <c r="Q781" s="14"/>
      <c r="R781" s="14"/>
      <c r="S781" s="14"/>
      <c r="T781" s="14">
        <f t="shared" ref="T781" si="3097">+T780/P780-1</f>
        <v>-0.12928759894459108</v>
      </c>
      <c r="U781" s="14">
        <f t="shared" ref="U781" si="3098">+U780/Q780-1</f>
        <v>-8.2847141190198315E-2</v>
      </c>
      <c r="V781" s="14">
        <f t="shared" ref="V781" si="3099">+V780/R780-1</f>
        <v>-8.49598163030999E-2</v>
      </c>
      <c r="W781" s="14">
        <f t="shared" ref="W781" si="3100">+W780/S780-1</f>
        <v>6.8775790921595803E-3</v>
      </c>
      <c r="X781" s="14">
        <f t="shared" ref="X781" si="3101">+X780/T780-1</f>
        <v>0.1454545454545455</v>
      </c>
      <c r="Y781" s="14">
        <f t="shared" ref="Y781" si="3102">+Y780/U780-1</f>
        <v>-3.8167938931297218E-3</v>
      </c>
      <c r="Z781" s="14">
        <f t="shared" ref="Z781" si="3103">+Z780/V780-1</f>
        <v>0.23212045169385198</v>
      </c>
      <c r="AA781" s="14">
        <f t="shared" ref="AA781" si="3104">+AA780/W780-1</f>
        <v>0.20355191256830607</v>
      </c>
      <c r="AB781" s="14">
        <f t="shared" ref="AB781" si="3105">+AB780/X780-1</f>
        <v>-1.322751322751281E-3</v>
      </c>
      <c r="AC781" s="14">
        <f t="shared" ref="AC781" si="3106">+AC780/Y780-1</f>
        <v>-8.6845466155811013E-2</v>
      </c>
      <c r="AD781" s="14">
        <f t="shared" ref="AD781" si="3107">+AD780/Z780-1</f>
        <v>-0.12219959266802449</v>
      </c>
      <c r="AE781" s="14">
        <f t="shared" ref="AE781" si="3108">+AE780/AA780-1</f>
        <v>-6.1293984108967137E-2</v>
      </c>
      <c r="AF781" s="14">
        <f t="shared" ref="AF781" si="3109">+AF780/AB780-1</f>
        <v>2.7814569536423805E-2</v>
      </c>
      <c r="AG781" s="14">
        <f t="shared" ref="AG781" si="3110">+AG780/AC780-1</f>
        <v>0.45454545454545459</v>
      </c>
      <c r="AH781" s="14">
        <f t="shared" ref="AH781" si="3111">+AH780/AD780-1</f>
        <v>0.13457076566125292</v>
      </c>
      <c r="AI781" s="14">
        <f t="shared" ref="AI781" si="3112">+AI780/AE780-1</f>
        <v>5.9250302297460644E-2</v>
      </c>
      <c r="AJ781" s="14">
        <f t="shared" ref="AJ781" si="3113">+AJ780/AF780-1</f>
        <v>0.27616441600170849</v>
      </c>
      <c r="AK781" s="14">
        <f t="shared" ref="AK781" si="3114">+AK780/AG780-1</f>
        <v>-8.9032507044377596E-2</v>
      </c>
      <c r="AL781" s="14">
        <f t="shared" ref="AL781" si="3115">+AL780/AH780-1</f>
        <v>0.11984801595123695</v>
      </c>
      <c r="AM781" s="14">
        <f t="shared" ref="AM781" si="3116">+AM780/AI780-1</f>
        <v>-2.2036514030759013E-2</v>
      </c>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c r="BK781" s="14">
        <f t="shared" ref="BK781" si="3117">+BK780/BJ780-1</f>
        <v>-7.407407407407407E-2</v>
      </c>
      <c r="BL781" s="14">
        <f t="shared" ref="BL781" si="3118">+BL780/BK780-1</f>
        <v>0.14352941176470591</v>
      </c>
      <c r="BM781" s="14">
        <f t="shared" ref="BM781" si="3119">+BM780/BL780-1</f>
        <v>-7.1428571428571397E-2</v>
      </c>
      <c r="BN781" s="14">
        <f t="shared" ref="BN781" si="3120">+BN780/BM780-1</f>
        <v>0.16176005064893961</v>
      </c>
      <c r="BO781" s="14">
        <f>+BO780/BN780-1</f>
        <v>5.9841186049192974E-2</v>
      </c>
      <c r="BP781" s="14"/>
    </row>
    <row r="782" spans="2:81">
      <c r="B782" s="13" t="s">
        <v>123</v>
      </c>
      <c r="L782" s="14"/>
      <c r="M782" s="14"/>
      <c r="N782" s="14"/>
      <c r="O782" s="14"/>
      <c r="P782" s="14">
        <f t="shared" ref="P782:W782" si="3121">+P780/P770</f>
        <v>0.50132275132275128</v>
      </c>
      <c r="Q782" s="14">
        <f t="shared" si="3121"/>
        <v>0.3599328013439731</v>
      </c>
      <c r="R782" s="14">
        <f t="shared" si="3121"/>
        <v>0.47726027397260273</v>
      </c>
      <c r="S782" s="14">
        <f t="shared" si="3121"/>
        <v>0.52077363896848139</v>
      </c>
      <c r="T782" s="14">
        <f t="shared" si="3121"/>
        <v>0.51482059282371295</v>
      </c>
      <c r="U782" s="14">
        <f t="shared" si="3121"/>
        <v>0.39577039274924469</v>
      </c>
      <c r="V782" s="14">
        <f t="shared" si="3121"/>
        <v>0.44574944071588368</v>
      </c>
      <c r="W782" s="14">
        <f t="shared" si="3121"/>
        <v>0.37888198757763975</v>
      </c>
      <c r="X782" s="14">
        <f t="shared" ref="X782:AM782" si="3122">+X780/X770</f>
        <v>0.38689866939611056</v>
      </c>
      <c r="Y782" s="14">
        <f t="shared" si="3122"/>
        <v>0.32449233319519272</v>
      </c>
      <c r="Z782" s="14">
        <f t="shared" si="3122"/>
        <v>0.43164835164835164</v>
      </c>
      <c r="AA782" s="14">
        <f t="shared" si="3122"/>
        <v>0.38371080139372821</v>
      </c>
      <c r="AB782" s="14">
        <f t="shared" si="3122"/>
        <v>0.36473429951690822</v>
      </c>
      <c r="AC782" s="14">
        <f t="shared" si="3122"/>
        <v>0.33055940822931112</v>
      </c>
      <c r="AD782" s="14">
        <f t="shared" si="3122"/>
        <v>0.48755656108597284</v>
      </c>
      <c r="AE782" s="14">
        <f t="shared" si="3122"/>
        <v>0.50304136253041365</v>
      </c>
      <c r="AF782" s="14">
        <f t="shared" si="3122"/>
        <v>0.43546576879910215</v>
      </c>
      <c r="AG782" s="14">
        <f t="shared" si="3122"/>
        <v>0.44558697514995715</v>
      </c>
      <c r="AH782" s="14">
        <f t="shared" si="3122"/>
        <v>0.41040704993705412</v>
      </c>
      <c r="AI782" s="14">
        <f t="shared" si="3122"/>
        <v>0.39691889442682377</v>
      </c>
      <c r="AJ782" s="14">
        <f t="shared" si="3122"/>
        <v>0.43072235191790509</v>
      </c>
      <c r="AK782" s="14">
        <f t="shared" si="3122"/>
        <v>0.35502897948154538</v>
      </c>
      <c r="AL782" s="14">
        <f t="shared" si="3122"/>
        <v>0.40011544325762349</v>
      </c>
      <c r="AM782" s="14">
        <f t="shared" si="3122"/>
        <v>0.42380031166018006</v>
      </c>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f t="shared" ref="BJ782:BO782" si="3123">+BJ780/BJ$770</f>
        <v>0.45164464436322743</v>
      </c>
      <c r="BK782" s="14">
        <f t="shared" si="3123"/>
        <v>0.42572982255294789</v>
      </c>
      <c r="BL782" s="14">
        <f t="shared" si="3123"/>
        <v>0.38062206310136498</v>
      </c>
      <c r="BM782" s="14">
        <f t="shared" si="3123"/>
        <v>0.41321124918247221</v>
      </c>
      <c r="BN782" s="14">
        <f t="shared" si="3123"/>
        <v>0.42154835745462899</v>
      </c>
      <c r="BO782" s="14">
        <f t="shared" si="3123"/>
        <v>0.39990301540463169</v>
      </c>
      <c r="BP782" s="14"/>
    </row>
    <row r="784" spans="2:81" s="953" customFormat="1" ht="11.45">
      <c r="B784" t="s">
        <v>472</v>
      </c>
      <c r="P784" s="1205">
        <v>-681</v>
      </c>
      <c r="Q784" s="1205">
        <v>-807</v>
      </c>
      <c r="R784" s="1205">
        <v>-581</v>
      </c>
      <c r="S784" s="1205">
        <v>-569.90817901234573</v>
      </c>
      <c r="T784" s="1205">
        <v>-541</v>
      </c>
      <c r="U784" s="1205">
        <v>-798</v>
      </c>
      <c r="V784" s="1205">
        <v>-608</v>
      </c>
      <c r="W784" s="1205">
        <v>-665</v>
      </c>
      <c r="X784" s="1205">
        <v>-643</v>
      </c>
      <c r="Y784" s="1205">
        <v>-867</v>
      </c>
      <c r="Z784" s="1205">
        <v>-725</v>
      </c>
      <c r="AA784" s="1205">
        <v>-730</v>
      </c>
      <c r="AB784" s="1205">
        <v>-654</v>
      </c>
      <c r="AC784" s="1205">
        <v>-551</v>
      </c>
      <c r="AD784" s="1205">
        <v>-686</v>
      </c>
      <c r="AE784" s="1205">
        <v>-709</v>
      </c>
      <c r="AF784" s="1205">
        <v>-679</v>
      </c>
      <c r="AG784" s="1205">
        <v>-1031</v>
      </c>
      <c r="AH784" s="1205">
        <v>-792</v>
      </c>
      <c r="AI784" s="1205">
        <v>-871</v>
      </c>
      <c r="AJ784" s="1205">
        <v>-897.77085</v>
      </c>
      <c r="AK784" s="1205">
        <v>-959.00368749999996</v>
      </c>
      <c r="AL784" s="1205">
        <v>-914.87294989680606</v>
      </c>
      <c r="AM784" s="1205">
        <v>-865.58635604413587</v>
      </c>
      <c r="AN784" s="1205"/>
      <c r="AO784" s="1205"/>
      <c r="AP784" s="1205"/>
      <c r="AQ784" s="1205"/>
      <c r="AR784" s="1205"/>
      <c r="AS784" s="1205"/>
      <c r="AT784" s="1205"/>
      <c r="AU784" s="1205"/>
      <c r="AV784" s="1205"/>
      <c r="AW784" s="1205"/>
      <c r="AX784" s="1205"/>
      <c r="AY784" s="1205"/>
      <c r="AZ784" s="1205"/>
      <c r="BA784" s="1205"/>
      <c r="BB784" s="1205"/>
      <c r="BC784" s="1205"/>
      <c r="BD784" s="1205"/>
      <c r="BE784" s="1205"/>
      <c r="BF784" s="1205"/>
      <c r="BG784" s="1205"/>
      <c r="BH784" s="1205"/>
      <c r="BI784" s="1205"/>
      <c r="BJ784" s="1205">
        <f t="shared" ref="BJ784" si="3124">SUM(P784:S784)</f>
        <v>-2638.9081790123455</v>
      </c>
      <c r="BK784" s="1205">
        <f t="shared" ref="BK784" si="3125">SUM(T784:W784)</f>
        <v>-2612</v>
      </c>
      <c r="BL784" s="1205">
        <f t="shared" ref="BL784" si="3126">SUM(X784:AA784)</f>
        <v>-2965</v>
      </c>
      <c r="BM784" s="1205">
        <f t="shared" ref="BM784" si="3127">SUM(AB784:AE784)</f>
        <v>-2600</v>
      </c>
      <c r="BN784" s="1205">
        <f t="shared" ref="BN784" si="3128">SUM(AF784:AI784)</f>
        <v>-3373</v>
      </c>
      <c r="BO784" s="1205">
        <f t="shared" ref="BO784" si="3129">SUM(AJ784:AM784)</f>
        <v>-3637.2338434409417</v>
      </c>
      <c r="BP784" s="1205"/>
      <c r="BT784"/>
      <c r="BU784" s="1"/>
      <c r="BV784" s="1"/>
      <c r="BW784" s="1"/>
      <c r="BX784" s="1"/>
      <c r="BY784" s="1"/>
      <c r="BZ784" s="1"/>
      <c r="CA784" s="1"/>
      <c r="CB784" s="1"/>
      <c r="CC784" s="1"/>
    </row>
    <row r="785" spans="2:81">
      <c r="B785" s="1096" t="s">
        <v>473</v>
      </c>
      <c r="P785" s="227">
        <f>+P784+P775</f>
        <v>346</v>
      </c>
      <c r="Q785" s="227">
        <f t="shared" ref="Q785:AM785" si="3130">+Q784+Q775</f>
        <v>752</v>
      </c>
      <c r="R785" s="227">
        <f t="shared" si="3130"/>
        <v>870</v>
      </c>
      <c r="S785" s="227">
        <f t="shared" si="3130"/>
        <v>497.09182098765427</v>
      </c>
      <c r="T785" s="227">
        <f t="shared" si="3130"/>
        <v>367</v>
      </c>
      <c r="U785" s="227">
        <f t="shared" si="3130"/>
        <v>446</v>
      </c>
      <c r="V785" s="227">
        <f t="shared" si="3130"/>
        <v>806</v>
      </c>
      <c r="W785" s="227">
        <f t="shared" si="3130"/>
        <v>817</v>
      </c>
      <c r="X785" s="227">
        <f t="shared" si="3130"/>
        <v>893</v>
      </c>
      <c r="Y785" s="227">
        <f t="shared" si="3130"/>
        <v>516</v>
      </c>
      <c r="Z785" s="227">
        <f t="shared" si="3130"/>
        <v>1058</v>
      </c>
      <c r="AA785" s="227">
        <f t="shared" si="3130"/>
        <v>1116</v>
      </c>
      <c r="AB785" s="227">
        <f t="shared" si="3130"/>
        <v>929</v>
      </c>
      <c r="AC785" s="227">
        <f t="shared" si="3130"/>
        <v>854</v>
      </c>
      <c r="AD785" s="227">
        <f t="shared" si="3130"/>
        <v>661</v>
      </c>
      <c r="AE785" s="227">
        <f t="shared" si="3130"/>
        <v>459</v>
      </c>
      <c r="AF785" s="227">
        <f t="shared" si="3130"/>
        <v>583</v>
      </c>
      <c r="AG785" s="227">
        <f t="shared" si="3130"/>
        <v>396</v>
      </c>
      <c r="AH785" s="227">
        <f t="shared" si="3130"/>
        <v>1010</v>
      </c>
      <c r="AI785" s="227">
        <f t="shared" si="3130"/>
        <v>612</v>
      </c>
      <c r="AJ785" s="227">
        <f t="shared" si="3130"/>
        <v>795.27527478813533</v>
      </c>
      <c r="AK785" s="227">
        <f t="shared" si="3130"/>
        <v>886.13072568704467</v>
      </c>
      <c r="AL785" s="227">
        <f t="shared" si="3130"/>
        <v>1186.9597286746221</v>
      </c>
      <c r="AM785" s="227">
        <f t="shared" si="3130"/>
        <v>468.12791435407632</v>
      </c>
      <c r="AN785" s="227"/>
      <c r="AO785" s="227"/>
      <c r="AP785" s="227"/>
      <c r="AQ785" s="227"/>
      <c r="AR785" s="227"/>
      <c r="AS785" s="227"/>
      <c r="AT785" s="227"/>
      <c r="AU785" s="227"/>
      <c r="AV785" s="227"/>
      <c r="AW785" s="227"/>
      <c r="AX785" s="227"/>
      <c r="AY785" s="227"/>
      <c r="AZ785" s="227"/>
      <c r="BA785" s="227"/>
      <c r="BB785" s="227"/>
      <c r="BC785" s="227"/>
      <c r="BD785" s="227"/>
      <c r="BE785" s="227"/>
      <c r="BF785" s="227"/>
      <c r="BG785" s="227"/>
      <c r="BH785" s="227"/>
      <c r="BI785" s="227"/>
      <c r="BJ785" s="227">
        <f t="shared" ref="BJ785:BJ787" si="3131">SUM(P785:S785)</f>
        <v>2465.0918209876545</v>
      </c>
      <c r="BK785" s="227">
        <f t="shared" ref="BK785:BK787" si="3132">SUM(T785:W785)</f>
        <v>2436</v>
      </c>
      <c r="BL785" s="227">
        <f t="shared" ref="BL785:BL787" si="3133">SUM(X785:AA785)</f>
        <v>3583</v>
      </c>
      <c r="BM785" s="227">
        <f t="shared" ref="BM785:BM787" si="3134">SUM(AB785:AE785)</f>
        <v>2903</v>
      </c>
      <c r="BN785" s="227">
        <f t="shared" ref="BN785:BN787" si="3135">SUM(AF785:AI785)</f>
        <v>2601</v>
      </c>
      <c r="BO785" s="227">
        <f t="shared" ref="BO785:BO787" si="3136">SUM(AJ785:AM785)</f>
        <v>3336.4936435038785</v>
      </c>
      <c r="BP785" s="227"/>
    </row>
    <row r="786" spans="2:81">
      <c r="B786" t="s">
        <v>474</v>
      </c>
      <c r="P786" s="227">
        <f t="shared" ref="P786:AL786" si="3137">+P788-P787-P785</f>
        <v>-30</v>
      </c>
      <c r="Q786" s="227">
        <f t="shared" si="3137"/>
        <v>-23</v>
      </c>
      <c r="R786" s="227">
        <f t="shared" si="3137"/>
        <v>-247</v>
      </c>
      <c r="S786" s="227">
        <f t="shared" si="3137"/>
        <v>-127.09182098765427</v>
      </c>
      <c r="T786" s="227">
        <f t="shared" si="3137"/>
        <v>-94</v>
      </c>
      <c r="U786" s="227">
        <f t="shared" si="3137"/>
        <v>43</v>
      </c>
      <c r="V786" s="227">
        <f t="shared" si="3137"/>
        <v>-156</v>
      </c>
      <c r="W786" s="227">
        <f t="shared" si="3137"/>
        <v>-27</v>
      </c>
      <c r="X786" s="227">
        <f t="shared" si="3137"/>
        <v>-64</v>
      </c>
      <c r="Y786" s="227">
        <f t="shared" si="3137"/>
        <v>152</v>
      </c>
      <c r="Z786" s="227">
        <f t="shared" si="3137"/>
        <v>-118</v>
      </c>
      <c r="AA786" s="227">
        <f t="shared" si="3137"/>
        <v>-120</v>
      </c>
      <c r="AB786" s="227">
        <f t="shared" si="3137"/>
        <v>-45</v>
      </c>
      <c r="AC786" s="227">
        <f t="shared" si="3137"/>
        <v>69</v>
      </c>
      <c r="AD786" s="227">
        <f t="shared" si="3137"/>
        <v>-90</v>
      </c>
      <c r="AE786" s="227">
        <f t="shared" si="3137"/>
        <v>-24</v>
      </c>
      <c r="AF786" s="227">
        <f t="shared" si="3137"/>
        <v>3</v>
      </c>
      <c r="AG786" s="227">
        <f t="shared" si="3137"/>
        <v>114</v>
      </c>
      <c r="AH786" s="227">
        <f t="shared" si="3137"/>
        <v>-110</v>
      </c>
      <c r="AI786" s="227">
        <f t="shared" si="3137"/>
        <v>49</v>
      </c>
      <c r="AJ786" s="227">
        <f t="shared" si="3137"/>
        <v>27.187602165725025</v>
      </c>
      <c r="AK786" s="227">
        <f t="shared" si="3137"/>
        <v>126.65268130960749</v>
      </c>
      <c r="AL786" s="227">
        <f t="shared" si="3137"/>
        <v>-93.040835579514805</v>
      </c>
      <c r="AM786" s="227">
        <f>+AM788-AM787-AM785</f>
        <v>61.073300482175455</v>
      </c>
      <c r="AN786" s="227"/>
      <c r="AO786" s="227"/>
      <c r="AP786" s="227"/>
      <c r="AQ786" s="227"/>
      <c r="AR786" s="227"/>
      <c r="AS786" s="227"/>
      <c r="AT786" s="227"/>
      <c r="AU786" s="227"/>
      <c r="AV786" s="227"/>
      <c r="AW786" s="227"/>
      <c r="AX786" s="227"/>
      <c r="AY786" s="227"/>
      <c r="AZ786" s="227"/>
      <c r="BA786" s="227"/>
      <c r="BB786" s="227"/>
      <c r="BC786" s="227"/>
      <c r="BD786" s="227"/>
      <c r="BE786" s="227"/>
      <c r="BF786" s="227"/>
      <c r="BG786" s="227"/>
      <c r="BH786" s="227"/>
      <c r="BI786" s="227"/>
      <c r="BJ786" s="227">
        <f t="shared" ref="BJ786" si="3138">SUM(P786:S786)</f>
        <v>-427.09182098765427</v>
      </c>
      <c r="BK786" s="227">
        <f t="shared" ref="BK786" si="3139">SUM(T786:W786)</f>
        <v>-234</v>
      </c>
      <c r="BL786" s="227">
        <f t="shared" ref="BL786" si="3140">SUM(X786:AA786)</f>
        <v>-150</v>
      </c>
      <c r="BM786" s="227">
        <f t="shared" ref="BM786" si="3141">SUM(AB786:AE786)</f>
        <v>-90</v>
      </c>
      <c r="BN786" s="227">
        <f t="shared" ref="BN786" si="3142">SUM(AF786:AI786)</f>
        <v>56</v>
      </c>
      <c r="BO786" s="227">
        <f t="shared" ref="BO786" si="3143">SUM(AJ786:AM786)</f>
        <v>121.87274837799316</v>
      </c>
      <c r="BP786" s="227"/>
      <c r="BU786" s="3"/>
      <c r="BV786" s="3"/>
      <c r="BW786" s="3"/>
      <c r="BX786" s="3"/>
      <c r="BY786" s="3"/>
      <c r="BZ786" s="3"/>
      <c r="CA786" s="3"/>
      <c r="CB786" s="3"/>
      <c r="CC786" s="3"/>
    </row>
    <row r="787" spans="2:81" s="953" customFormat="1" ht="11.45">
      <c r="B787" t="s">
        <v>144</v>
      </c>
      <c r="P787" s="1205">
        <v>-51</v>
      </c>
      <c r="Q787" s="1205">
        <v>-35</v>
      </c>
      <c r="R787" s="1205">
        <v>-53</v>
      </c>
      <c r="S787" s="1205">
        <v>-34</v>
      </c>
      <c r="T787" s="1205">
        <v>-26</v>
      </c>
      <c r="U787" s="1205">
        <v>-35</v>
      </c>
      <c r="V787" s="1205">
        <v>-38</v>
      </c>
      <c r="W787" s="1205">
        <v>-41</v>
      </c>
      <c r="X787" s="1205">
        <v>-51</v>
      </c>
      <c r="Y787" s="1205">
        <v>-74</v>
      </c>
      <c r="Z787" s="1205">
        <v>-145</v>
      </c>
      <c r="AA787" s="1205">
        <v>-37</v>
      </c>
      <c r="AB787" s="1205">
        <v>-60</v>
      </c>
      <c r="AC787" s="1205">
        <v>-241</v>
      </c>
      <c r="AD787" s="1205">
        <v>-92</v>
      </c>
      <c r="AE787" s="1205">
        <v>-97</v>
      </c>
      <c r="AF787" s="1205">
        <v>-101</v>
      </c>
      <c r="AG787" s="1205">
        <v>-142</v>
      </c>
      <c r="AH787" s="1205">
        <v>-100</v>
      </c>
      <c r="AI787" s="1205">
        <v>-78</v>
      </c>
      <c r="AJ787" s="1205">
        <v>-120.91754237288134</v>
      </c>
      <c r="AK787" s="1205">
        <v>-132.82793886707796</v>
      </c>
      <c r="AL787" s="1205">
        <v>-114.86522911051213</v>
      </c>
      <c r="AM787" s="1205">
        <v>-75.375383990247855</v>
      </c>
      <c r="AN787" s="1205"/>
      <c r="AO787" s="1205"/>
      <c r="AP787" s="1205"/>
      <c r="AQ787" s="1205"/>
      <c r="AR787" s="1205"/>
      <c r="AS787" s="1205"/>
      <c r="AT787" s="1205"/>
      <c r="AU787" s="1205"/>
      <c r="AV787" s="1205"/>
      <c r="AW787" s="1205"/>
      <c r="AX787" s="1205"/>
      <c r="AY787" s="1205"/>
      <c r="AZ787" s="1205"/>
      <c r="BA787" s="1205"/>
      <c r="BB787" s="1205"/>
      <c r="BC787" s="1205"/>
      <c r="BD787" s="1205"/>
      <c r="BE787" s="1205"/>
      <c r="BF787" s="1205"/>
      <c r="BG787" s="1205"/>
      <c r="BH787" s="1205"/>
      <c r="BI787" s="1205"/>
      <c r="BJ787" s="1205">
        <f t="shared" si="3131"/>
        <v>-173</v>
      </c>
      <c r="BK787" s="1205">
        <f t="shared" si="3132"/>
        <v>-140</v>
      </c>
      <c r="BL787" s="1205">
        <f t="shared" si="3133"/>
        <v>-307</v>
      </c>
      <c r="BM787" s="1205">
        <f t="shared" si="3134"/>
        <v>-490</v>
      </c>
      <c r="BN787" s="1205">
        <f t="shared" si="3135"/>
        <v>-421</v>
      </c>
      <c r="BO787" s="1205">
        <f t="shared" si="3136"/>
        <v>-443.98609434071932</v>
      </c>
      <c r="BP787" s="1205"/>
      <c r="BT787"/>
      <c r="BU787" s="3"/>
      <c r="BV787" s="3"/>
      <c r="BW787" s="3"/>
      <c r="BX787" s="3"/>
      <c r="BY787" s="3"/>
      <c r="BZ787" s="3"/>
      <c r="CA787" s="3"/>
      <c r="CB787" s="3"/>
      <c r="CC787" s="3"/>
    </row>
    <row r="788" spans="2:81" s="100" customFormat="1">
      <c r="B788" s="1096" t="s">
        <v>475</v>
      </c>
      <c r="H788" s="880"/>
      <c r="I788" s="880"/>
      <c r="J788" s="880"/>
      <c r="K788" s="11"/>
      <c r="L788" s="880"/>
      <c r="M788" s="880"/>
      <c r="N788" s="880"/>
      <c r="O788" s="11"/>
      <c r="P788" s="880">
        <v>265</v>
      </c>
      <c r="Q788" s="880">
        <v>694</v>
      </c>
      <c r="R788" s="880">
        <v>570</v>
      </c>
      <c r="S788" s="880">
        <v>336</v>
      </c>
      <c r="T788" s="880">
        <v>247</v>
      </c>
      <c r="U788" s="880">
        <v>454</v>
      </c>
      <c r="V788" s="880">
        <v>612</v>
      </c>
      <c r="W788" s="880">
        <v>749</v>
      </c>
      <c r="X788" s="880">
        <v>778</v>
      </c>
      <c r="Y788" s="880">
        <v>594</v>
      </c>
      <c r="Z788" s="880">
        <v>795</v>
      </c>
      <c r="AA788" s="880">
        <v>959</v>
      </c>
      <c r="AB788" s="880">
        <v>824</v>
      </c>
      <c r="AC788" s="880">
        <v>682</v>
      </c>
      <c r="AD788" s="880">
        <v>479</v>
      </c>
      <c r="AE788" s="880">
        <v>338</v>
      </c>
      <c r="AF788" s="880">
        <v>485</v>
      </c>
      <c r="AG788" s="880">
        <v>368</v>
      </c>
      <c r="AH788" s="880">
        <v>800</v>
      </c>
      <c r="AI788" s="880">
        <v>583</v>
      </c>
      <c r="AJ788" s="880">
        <v>701.54533458097899</v>
      </c>
      <c r="AK788" s="880">
        <v>879.95546812957423</v>
      </c>
      <c r="AL788" s="880">
        <v>979.05366398459523</v>
      </c>
      <c r="AM788" s="880">
        <v>453.8258308460039</v>
      </c>
      <c r="AN788" s="880"/>
      <c r="AO788" s="880"/>
      <c r="AP788" s="880"/>
      <c r="AQ788" s="880"/>
      <c r="AR788" s="880"/>
      <c r="AS788" s="880"/>
      <c r="AT788" s="880"/>
      <c r="AU788" s="880"/>
      <c r="AV788" s="880"/>
      <c r="AW788" s="880"/>
      <c r="AX788" s="880"/>
      <c r="AY788" s="880"/>
      <c r="AZ788" s="880"/>
      <c r="BA788" s="880"/>
      <c r="BB788" s="880"/>
      <c r="BC788" s="880"/>
      <c r="BD788" s="880"/>
      <c r="BE788" s="880"/>
      <c r="BF788" s="880"/>
      <c r="BG788" s="880"/>
      <c r="BH788" s="880"/>
      <c r="BI788" s="880"/>
      <c r="BJ788" s="880">
        <f>SUM(P788:S788)</f>
        <v>1865</v>
      </c>
      <c r="BK788" s="880">
        <f>SUM(T788:W788)</f>
        <v>2062</v>
      </c>
      <c r="BL788" s="880">
        <f>SUM(X788:AA788)</f>
        <v>3126</v>
      </c>
      <c r="BM788" s="880">
        <f>SUM(AB788:AE788)</f>
        <v>2323</v>
      </c>
      <c r="BN788" s="880">
        <f>SUM(AF788:AI788)</f>
        <v>2236</v>
      </c>
      <c r="BO788" s="880">
        <f>SUM(AJ788:AM788)</f>
        <v>3014.3802975411522</v>
      </c>
      <c r="BP788" s="880"/>
      <c r="BT788" s="3"/>
      <c r="BU788" s="3"/>
      <c r="BV788" s="3"/>
      <c r="BW788" s="3"/>
      <c r="BX788" s="3"/>
      <c r="BY788" s="3"/>
      <c r="BZ788" s="3"/>
      <c r="CA788" s="3"/>
      <c r="CB788" s="3"/>
      <c r="CC788" s="3"/>
    </row>
    <row r="789" spans="2:81">
      <c r="B789" s="15" t="s">
        <v>113</v>
      </c>
      <c r="L789" s="14"/>
      <c r="M789" s="14"/>
      <c r="N789" s="14"/>
      <c r="O789" s="14"/>
      <c r="P789" s="14"/>
      <c r="Q789" s="14"/>
      <c r="R789" s="14"/>
      <c r="S789" s="14"/>
      <c r="T789" s="14">
        <f t="shared" ref="T789" si="3144">+T788/P788-1</f>
        <v>-6.7924528301886777E-2</v>
      </c>
      <c r="U789" s="14">
        <f t="shared" ref="U789" si="3145">+U788/Q788-1</f>
        <v>-0.34582132564841495</v>
      </c>
      <c r="V789" s="14">
        <f t="shared" ref="V789" si="3146">+V788/R788-1</f>
        <v>7.3684210526315796E-2</v>
      </c>
      <c r="W789" s="14">
        <f t="shared" ref="W789" si="3147">+W788/S788-1</f>
        <v>1.2291666666666665</v>
      </c>
      <c r="X789" s="14">
        <f t="shared" ref="X789" si="3148">+X788/T788-1</f>
        <v>2.1497975708502026</v>
      </c>
      <c r="Y789" s="14">
        <f t="shared" ref="Y789" si="3149">+Y788/U788-1</f>
        <v>0.30837004405286339</v>
      </c>
      <c r="Z789" s="14">
        <f t="shared" ref="Z789" si="3150">+Z788/V788-1</f>
        <v>0.2990196078431373</v>
      </c>
      <c r="AA789" s="14">
        <f t="shared" ref="AA789" si="3151">+AA788/W788-1</f>
        <v>0.28037383177570097</v>
      </c>
      <c r="AB789" s="14">
        <f t="shared" ref="AB789" si="3152">+AB788/X788-1</f>
        <v>5.9125964010282805E-2</v>
      </c>
      <c r="AC789" s="14">
        <f t="shared" ref="AC789" si="3153">+AC788/Y788-1</f>
        <v>0.14814814814814814</v>
      </c>
      <c r="AD789" s="14">
        <f t="shared" ref="AD789" si="3154">+AD788/Z788-1</f>
        <v>-0.39748427672955977</v>
      </c>
      <c r="AE789" s="14">
        <f t="shared" ref="AE789" si="3155">+AE788/AA788-1</f>
        <v>-0.64754953076120958</v>
      </c>
      <c r="AF789" s="14">
        <f t="shared" ref="AF789" si="3156">+AF788/AB788-1</f>
        <v>-0.41140776699029125</v>
      </c>
      <c r="AG789" s="14">
        <f t="shared" ref="AG789" si="3157">+AG788/AC788-1</f>
        <v>-0.46041055718475077</v>
      </c>
      <c r="AH789" s="14">
        <f t="shared" ref="AH789" si="3158">+AH788/AD788-1</f>
        <v>0.67014613778705634</v>
      </c>
      <c r="AI789" s="14">
        <f t="shared" ref="AI789" si="3159">+AI788/AE788-1</f>
        <v>0.7248520710059172</v>
      </c>
      <c r="AJ789" s="14">
        <f t="shared" ref="AJ789" si="3160">+AJ788/AF788-1</f>
        <v>0.44648522594016282</v>
      </c>
      <c r="AK789" s="14">
        <f t="shared" ref="AK789" si="3161">+AK788/AG788-1</f>
        <v>1.3911833373086258</v>
      </c>
      <c r="AL789" s="14">
        <f t="shared" ref="AL789" si="3162">+AL788/AH788-1</f>
        <v>0.22381707998074396</v>
      </c>
      <c r="AM789" s="14">
        <f t="shared" ref="AM789" si="3163">+AM788/AI788-1</f>
        <v>-0.22156804314579093</v>
      </c>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f t="shared" ref="BK789" si="3164">+BK788/BJ788-1</f>
        <v>0.1056300268096515</v>
      </c>
      <c r="BL789" s="14">
        <f t="shared" ref="BL789" si="3165">+BL788/BK788-1</f>
        <v>0.51600387972841899</v>
      </c>
      <c r="BM789" s="14">
        <f t="shared" ref="BM789" si="3166">+BM788/BL788-1</f>
        <v>-0.25687779910428665</v>
      </c>
      <c r="BN789" s="14">
        <f t="shared" ref="BN789" si="3167">+BN788/BM788-1</f>
        <v>-3.7451571244080939E-2</v>
      </c>
      <c r="BO789" s="14">
        <f>+BO788/BN788-1</f>
        <v>0.34811283432073004</v>
      </c>
      <c r="BP789" s="14"/>
      <c r="BT789" s="3"/>
      <c r="BU789" s="3"/>
      <c r="BV789" s="3"/>
      <c r="BW789" s="3"/>
      <c r="BX789" s="3"/>
      <c r="BY789" s="3"/>
      <c r="BZ789" s="3"/>
      <c r="CA789" s="3"/>
      <c r="CB789" s="3"/>
      <c r="CC789" s="3"/>
    </row>
    <row r="790" spans="2:81">
      <c r="B790" s="15" t="s">
        <v>123</v>
      </c>
      <c r="L790" s="14"/>
      <c r="M790" s="14"/>
      <c r="N790" s="14"/>
      <c r="O790" s="14"/>
      <c r="P790" s="14">
        <f t="shared" ref="P790:S790" si="3168">+P788/P770</f>
        <v>0.17526455026455026</v>
      </c>
      <c r="Q790" s="14">
        <f t="shared" si="3168"/>
        <v>0.29147417051658969</v>
      </c>
      <c r="R790" s="14">
        <f t="shared" si="3168"/>
        <v>0.31232876712328766</v>
      </c>
      <c r="S790" s="14">
        <f t="shared" si="3168"/>
        <v>0.24068767908309455</v>
      </c>
      <c r="T790" s="14">
        <f t="shared" ref="T790:W790" si="3169">+T788/T770</f>
        <v>0.19266770670826833</v>
      </c>
      <c r="U790" s="14">
        <f t="shared" si="3169"/>
        <v>0.22860020140986909</v>
      </c>
      <c r="V790" s="14">
        <f t="shared" si="3169"/>
        <v>0.34228187919463088</v>
      </c>
      <c r="W790" s="14">
        <f t="shared" si="3169"/>
        <v>0.38768115942028986</v>
      </c>
      <c r="X790" s="14">
        <f>+X788/X770</f>
        <v>0.39815762538382804</v>
      </c>
      <c r="Y790" s="14">
        <f t="shared" ref="Y790:AM790" si="3170">+Y788/Y770</f>
        <v>0.24616659759635309</v>
      </c>
      <c r="Z790" s="14">
        <f t="shared" si="3170"/>
        <v>0.34945054945054943</v>
      </c>
      <c r="AA790" s="14">
        <f t="shared" si="3170"/>
        <v>0.41768292682926828</v>
      </c>
      <c r="AB790" s="14">
        <f t="shared" si="3170"/>
        <v>0.39806763285024155</v>
      </c>
      <c r="AC790" s="14">
        <f t="shared" si="3170"/>
        <v>0.31530282015718908</v>
      </c>
      <c r="AD790" s="14">
        <f t="shared" si="3170"/>
        <v>0.27092760180995473</v>
      </c>
      <c r="AE790" s="14">
        <f t="shared" si="3170"/>
        <v>0.20559610705596107</v>
      </c>
      <c r="AF790" s="14">
        <f t="shared" si="3170"/>
        <v>0.27216610549943882</v>
      </c>
      <c r="AG790" s="14">
        <f t="shared" si="3170"/>
        <v>0.15766923736075408</v>
      </c>
      <c r="AH790" s="14">
        <f t="shared" si="3170"/>
        <v>0.33571128829206881</v>
      </c>
      <c r="AI790" s="14">
        <f t="shared" si="3170"/>
        <v>0.26415949252378795</v>
      </c>
      <c r="AJ790" s="14">
        <f t="shared" si="3170"/>
        <v>0.30512992228866098</v>
      </c>
      <c r="AK790" s="14">
        <f t="shared" si="3170"/>
        <v>0.3297526385779051</v>
      </c>
      <c r="AL790" s="14">
        <f t="shared" si="3170"/>
        <v>0.35767935321740785</v>
      </c>
      <c r="AM790" s="14">
        <f t="shared" si="3170"/>
        <v>0.22450382104531988</v>
      </c>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f t="shared" ref="BJ790:BO790" si="3171">+BJ788/BJ$770</f>
        <v>0.26215912285633963</v>
      </c>
      <c r="BK790" s="14">
        <f t="shared" si="3171"/>
        <v>0.29507727532913564</v>
      </c>
      <c r="BL790" s="14">
        <f t="shared" si="3171"/>
        <v>0.34974267173864398</v>
      </c>
      <c r="BM790" s="14">
        <f t="shared" si="3171"/>
        <v>0.30385873119686069</v>
      </c>
      <c r="BN790" s="14">
        <f t="shared" si="3171"/>
        <v>0.25683436710314728</v>
      </c>
      <c r="BO790" s="14">
        <f t="shared" si="3171"/>
        <v>0.30991733201687532</v>
      </c>
      <c r="BP790" s="14"/>
      <c r="BT790" s="3"/>
      <c r="BU790" s="3"/>
      <c r="BV790" s="3"/>
      <c r="BW790" s="3"/>
      <c r="BX790" s="3"/>
      <c r="BY790" s="3"/>
      <c r="BZ790" s="3"/>
      <c r="CA790" s="3"/>
      <c r="CB790" s="3"/>
      <c r="CC790" s="3"/>
    </row>
    <row r="791" spans="2:81">
      <c r="B791" s="15" t="s">
        <v>476</v>
      </c>
      <c r="L791" s="14"/>
      <c r="M791" s="14"/>
      <c r="N791" s="14"/>
      <c r="O791" s="14"/>
      <c r="P791" s="14">
        <f>+P788/P777</f>
        <v>0.25904203323558161</v>
      </c>
      <c r="Q791" s="14">
        <f t="shared" ref="Q791:AM791" si="3172">+Q788/Q777</f>
        <v>0.44745325596389424</v>
      </c>
      <c r="R791" s="14">
        <f t="shared" si="3172"/>
        <v>0.39555863983344897</v>
      </c>
      <c r="S791" s="14">
        <f t="shared" si="3172"/>
        <v>0.3160865475070555</v>
      </c>
      <c r="T791" s="14">
        <f t="shared" si="3172"/>
        <v>0.27232635060639471</v>
      </c>
      <c r="U791" s="14">
        <f t="shared" si="3172"/>
        <v>0.36612903225806454</v>
      </c>
      <c r="V791" s="14">
        <f t="shared" si="3172"/>
        <v>0.43435060326472674</v>
      </c>
      <c r="W791" s="14">
        <f t="shared" si="3172"/>
        <v>0.50573936529372043</v>
      </c>
      <c r="X791" s="14">
        <f t="shared" si="3172"/>
        <v>0.50717079530638853</v>
      </c>
      <c r="Y791" s="14">
        <f t="shared" si="3172"/>
        <v>0.43137254901960786</v>
      </c>
      <c r="Z791" s="14">
        <f t="shared" si="3172"/>
        <v>0.44738323016319642</v>
      </c>
      <c r="AA791" s="14">
        <f t="shared" si="3172"/>
        <v>0.52119565217391306</v>
      </c>
      <c r="AB791" s="14">
        <f t="shared" si="3172"/>
        <v>0.52184927169094364</v>
      </c>
      <c r="AC791" s="14">
        <f t="shared" si="3172"/>
        <v>0.48818897637795278</v>
      </c>
      <c r="AD791" s="14">
        <f t="shared" si="3172"/>
        <v>0.35719612229679343</v>
      </c>
      <c r="AE791" s="14">
        <f t="shared" si="3172"/>
        <v>0.29012875536480687</v>
      </c>
      <c r="AF791" s="14">
        <f t="shared" si="3172"/>
        <v>0.38461538461538464</v>
      </c>
      <c r="AG791" s="14">
        <f t="shared" si="3172"/>
        <v>0.26136363636363635</v>
      </c>
      <c r="AH791" s="14">
        <f t="shared" si="3172"/>
        <v>0.44994375703037121</v>
      </c>
      <c r="AI791" s="14">
        <f t="shared" si="3172"/>
        <v>0.3995887594242632</v>
      </c>
      <c r="AJ791" s="14">
        <f t="shared" si="3172"/>
        <v>0.41466192737892649</v>
      </c>
      <c r="AK791" s="14">
        <f t="shared" si="3172"/>
        <v>0.48154423232382537</v>
      </c>
      <c r="AL791" s="14">
        <f t="shared" si="3172"/>
        <v>0.47200027617132506</v>
      </c>
      <c r="AM791" s="14">
        <f t="shared" si="3172"/>
        <v>0.34629398413430057</v>
      </c>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f t="shared" ref="BJ791:BO791" si="3173">+BJ788/BJ777</f>
        <v>0.36727057896809767</v>
      </c>
      <c r="BK791" s="14">
        <f t="shared" si="3173"/>
        <v>0.40937065713718485</v>
      </c>
      <c r="BL791" s="14">
        <f t="shared" si="3173"/>
        <v>0.47886029411764708</v>
      </c>
      <c r="BM791" s="14">
        <f t="shared" si="3173"/>
        <v>0.42375045603794237</v>
      </c>
      <c r="BN791" s="14">
        <f t="shared" si="3173"/>
        <v>0.37859803589569929</v>
      </c>
      <c r="BO791" s="14">
        <f t="shared" si="3173"/>
        <v>0.43661376169714045</v>
      </c>
      <c r="BP791" s="14"/>
      <c r="BT791" s="3"/>
      <c r="BU791" s="3"/>
      <c r="BV791" s="3"/>
      <c r="BW791" s="3"/>
      <c r="BX791" s="3"/>
      <c r="BY791" s="3"/>
      <c r="BZ791" s="3"/>
      <c r="CA791" s="3"/>
      <c r="CB791" s="3"/>
      <c r="CC791" s="3"/>
    </row>
    <row r="792" spans="2:81" s="100" customFormat="1">
      <c r="H792" s="880"/>
      <c r="I792" s="880"/>
      <c r="J792" s="880"/>
      <c r="K792" s="880"/>
      <c r="L792" s="880"/>
      <c r="M792" s="880"/>
      <c r="N792" s="880"/>
      <c r="O792" s="880"/>
      <c r="P792" s="880"/>
      <c r="Q792" s="880"/>
      <c r="R792" s="880"/>
      <c r="S792" s="880"/>
      <c r="T792" s="880"/>
      <c r="U792" s="880"/>
      <c r="V792" s="880"/>
      <c r="W792" s="880"/>
      <c r="X792" s="880"/>
      <c r="Y792" s="880"/>
      <c r="Z792" s="880"/>
      <c r="AA792" s="880"/>
      <c r="AB792" s="880"/>
      <c r="AC792" s="880"/>
      <c r="AD792" s="880"/>
      <c r="AE792" s="880"/>
      <c r="AF792" s="880"/>
      <c r="AG792" s="880"/>
      <c r="AH792" s="880"/>
      <c r="AI792" s="880"/>
      <c r="BQ792" s="1162"/>
      <c r="BR792" s="11"/>
    </row>
    <row r="793" spans="2:81" s="100" customFormat="1">
      <c r="H793" s="880"/>
      <c r="I793" s="880"/>
      <c r="J793" s="880"/>
      <c r="K793" s="880"/>
      <c r="L793" s="880"/>
      <c r="M793" s="880"/>
      <c r="N793" s="880"/>
      <c r="O793" s="880"/>
      <c r="P793" s="880"/>
      <c r="Q793" s="880"/>
      <c r="R793" s="880"/>
      <c r="S793" s="880"/>
      <c r="T793" s="880"/>
      <c r="U793" s="880"/>
      <c r="V793" s="880"/>
      <c r="W793" s="880"/>
      <c r="X793" s="880"/>
      <c r="Y793" s="880"/>
      <c r="Z793" s="880"/>
      <c r="AA793" s="880"/>
      <c r="AB793" s="880"/>
      <c r="AC793" s="880"/>
      <c r="AD793" s="880"/>
      <c r="AE793" s="880"/>
      <c r="AF793" s="880"/>
      <c r="AG793" s="880"/>
      <c r="AH793" s="880"/>
      <c r="AI793" s="880"/>
      <c r="BQ793" s="1162"/>
      <c r="BR793" s="11"/>
    </row>
    <row r="794" spans="2:81" s="1518" customFormat="1" ht="10.5" outlineLevel="1">
      <c r="B794" s="1516" t="s">
        <v>477</v>
      </c>
      <c r="C794" s="1517"/>
      <c r="BT794" s="1519"/>
      <c r="BU794" s="1519"/>
      <c r="BV794" s="1519"/>
      <c r="BW794" s="1519"/>
      <c r="BX794" s="1519"/>
      <c r="BY794" s="1519"/>
      <c r="BZ794" s="1519"/>
      <c r="CA794" s="1519"/>
      <c r="CB794" s="1519"/>
      <c r="CC794" s="1519"/>
    </row>
    <row r="795" spans="2:81" s="1518" customFormat="1" ht="10.5" outlineLevel="1">
      <c r="BT795" s="1519"/>
      <c r="BU795" s="1520"/>
      <c r="BV795" s="1520"/>
      <c r="BW795" s="1520"/>
      <c r="BX795" s="1520"/>
      <c r="BY795" s="1520"/>
      <c r="BZ795" s="1520"/>
      <c r="CA795" s="1520"/>
      <c r="CB795" s="1520"/>
      <c r="CC795" s="1520"/>
    </row>
    <row r="796" spans="2:81" s="1518" customFormat="1" ht="10.5" outlineLevel="1">
      <c r="B796" s="1518" t="s">
        <v>447</v>
      </c>
      <c r="H796" s="1521"/>
      <c r="I796" s="1521"/>
      <c r="J796" s="1521"/>
      <c r="K796" s="1521"/>
      <c r="L796" s="1521"/>
      <c r="M796" s="1521"/>
      <c r="N796" s="1521"/>
      <c r="O796" s="1521"/>
      <c r="P796" s="1521"/>
      <c r="Q796" s="1521"/>
      <c r="R796" s="1521"/>
      <c r="S796" s="1521"/>
      <c r="T796" s="1521">
        <f>+T798-T797</f>
        <v>11133</v>
      </c>
      <c r="U796" s="1521">
        <f t="shared" ref="U796" si="3174">+U798-U797</f>
        <v>13211</v>
      </c>
      <c r="V796" s="1521">
        <f t="shared" ref="V796" si="3175">+V798-V797</f>
        <v>10997</v>
      </c>
      <c r="W796" s="1521">
        <f t="shared" ref="W796" si="3176">+W798-W797</f>
        <v>12910</v>
      </c>
      <c r="X796" s="1521">
        <f t="shared" ref="X796" si="3177">+X798-X797</f>
        <v>11849</v>
      </c>
      <c r="Y796" s="1521">
        <f t="shared" ref="Y796" si="3178">+Y798-Y797</f>
        <v>15122</v>
      </c>
      <c r="Z796" s="1521">
        <f t="shared" ref="Z796" si="3179">+Z798-Z797</f>
        <v>13036</v>
      </c>
      <c r="AA796" s="1521">
        <f t="shared" ref="AA796" si="3180">+AA798-AA797</f>
        <v>14086</v>
      </c>
      <c r="AB796" s="1521">
        <f t="shared" ref="AB796" si="3181">+AB798-AB797</f>
        <v>13314</v>
      </c>
      <c r="AC796" s="1521">
        <f t="shared" ref="AC796" si="3182">+AC798-AC797</f>
        <v>17465</v>
      </c>
      <c r="AD796" s="1521">
        <f t="shared" ref="AD796" si="3183">+AD798-AD797</f>
        <v>14520</v>
      </c>
      <c r="AE796" s="1521">
        <f t="shared" ref="AE796" si="3184">+AE798-AE797</f>
        <v>14356</v>
      </c>
      <c r="AF796" s="1521">
        <f t="shared" ref="AF796" si="3185">+AF798-AF797</f>
        <v>13332</v>
      </c>
      <c r="AG796" s="1521">
        <f t="shared" ref="AG796" si="3186">+AG798-AG797</f>
        <v>14237</v>
      </c>
      <c r="AH796" s="1521">
        <f t="shared" ref="AH796" si="3187">+AH798-AH797</f>
        <v>13260</v>
      </c>
      <c r="AI796" s="1521">
        <f t="shared" ref="AI796" si="3188">+AI798-AI797</f>
        <v>13905</v>
      </c>
      <c r="AJ796" s="1521">
        <f t="shared" ref="AJ796" si="3189">+AJ798-AJ797</f>
        <v>13666</v>
      </c>
      <c r="AK796" s="1521">
        <f t="shared" ref="AK796:AL796" si="3190">+AK798-AK797</f>
        <v>14811</v>
      </c>
      <c r="AL796" s="1521">
        <f t="shared" si="3190"/>
        <v>13610</v>
      </c>
      <c r="AM796" s="1521">
        <f t="shared" ref="AM796" si="3191">+AM798-AM797</f>
        <v>14215</v>
      </c>
      <c r="AN796" s="1521">
        <f t="shared" ref="AN796:AQ796" si="3192">+AN798-AN797</f>
        <v>13746.571565258873</v>
      </c>
      <c r="AO796" s="1521">
        <f t="shared" si="3192"/>
        <v>14825.403895385125</v>
      </c>
      <c r="AP796" s="1521">
        <f t="shared" si="3192"/>
        <v>14637.435449723946</v>
      </c>
      <c r="AQ796" s="1521">
        <f t="shared" si="3192"/>
        <v>15250.640313796221</v>
      </c>
      <c r="AS796" s="1518">
        <f t="shared" ref="AS796" si="3193">+AS798-AS797</f>
        <v>0</v>
      </c>
      <c r="AT796" s="1518">
        <f t="shared" ref="AT796" si="3194">+AT798-AT797</f>
        <v>0</v>
      </c>
      <c r="AU796" s="1518">
        <f t="shared" ref="AU796" si="3195">+AU798-AU797</f>
        <v>0</v>
      </c>
      <c r="AV796" s="1518">
        <f t="shared" ref="AV796" si="3196">+AV798-AV797</f>
        <v>0</v>
      </c>
      <c r="AW796" s="1518">
        <f t="shared" ref="AW796" si="3197">+AW798-AW797</f>
        <v>0</v>
      </c>
      <c r="BB796" s="1521">
        <f t="shared" ref="BB796" si="3198">+BB798-BB797</f>
        <v>38460</v>
      </c>
      <c r="BC796" s="1521">
        <f t="shared" ref="BC796" si="3199">+BC798-BC797</f>
        <v>43435</v>
      </c>
      <c r="BD796" s="1521">
        <f t="shared" ref="BD796" si="3200">+BD798-BD797</f>
        <v>40434</v>
      </c>
      <c r="BE796" s="1521">
        <f t="shared" ref="BE796" si="3201">+BE798-BE797</f>
        <v>38773</v>
      </c>
      <c r="BG796" s="1521">
        <f t="shared" ref="BG796" si="3202">+BG798-BG797</f>
        <v>40410</v>
      </c>
      <c r="BH796" s="1521">
        <f t="shared" ref="BH796" si="3203">+BH798-BH797</f>
        <v>39294</v>
      </c>
      <c r="BI796" s="1521">
        <f t="shared" ref="BI796" si="3204">+BI798-BI797</f>
        <v>42276</v>
      </c>
      <c r="BJ796" s="1521">
        <f t="shared" ref="BJ796" si="3205">+BJ798-BJ797</f>
        <v>45698</v>
      </c>
      <c r="BK796" s="1521">
        <f t="shared" ref="BK796" si="3206">+BK798-BK797</f>
        <v>48251</v>
      </c>
      <c r="BL796" s="1521">
        <f t="shared" ref="BL796" si="3207">+BL798-BL797</f>
        <v>54093</v>
      </c>
      <c r="BM796" s="1521">
        <f t="shared" ref="BM796" si="3208">+BM798-BM797</f>
        <v>59655</v>
      </c>
      <c r="BN796" s="1521">
        <f t="shared" ref="BN796" si="3209">+BN798-BN797</f>
        <v>54734</v>
      </c>
      <c r="BO796" s="1521">
        <f t="shared" ref="BO796:BO797" si="3210">SUM(AJ796:AM796)</f>
        <v>56302</v>
      </c>
      <c r="BP796" s="1521">
        <f>+SUM(AN796:AQ796)</f>
        <v>58460.051224164163</v>
      </c>
      <c r="BT796" s="1519"/>
      <c r="BU796" s="1520"/>
      <c r="BV796" s="1520"/>
      <c r="BW796" s="1520"/>
      <c r="BX796" s="1520"/>
      <c r="BY796" s="1520"/>
      <c r="BZ796" s="1520"/>
      <c r="CA796" s="1520"/>
      <c r="CB796" s="1520"/>
      <c r="CC796" s="1520"/>
    </row>
    <row r="797" spans="2:81" s="1300" customFormat="1" outlineLevel="1">
      <c r="B797" s="1518" t="s">
        <v>448</v>
      </c>
      <c r="C797" s="1522"/>
      <c r="D797" s="1522">
        <v>0</v>
      </c>
      <c r="E797" s="1522">
        <v>0</v>
      </c>
      <c r="F797" s="1522">
        <v>0</v>
      </c>
      <c r="G797" s="1522">
        <v>0</v>
      </c>
      <c r="H797" s="1522">
        <v>0</v>
      </c>
      <c r="I797" s="1522">
        <v>0</v>
      </c>
      <c r="J797" s="1522">
        <v>0</v>
      </c>
      <c r="K797" s="1522">
        <v>0</v>
      </c>
      <c r="L797" s="1522">
        <v>0</v>
      </c>
      <c r="M797" s="1522">
        <v>0</v>
      </c>
      <c r="N797" s="1522">
        <v>0</v>
      </c>
      <c r="O797" s="1522">
        <v>0</v>
      </c>
      <c r="P797" s="1522">
        <v>0</v>
      </c>
      <c r="Q797" s="1522">
        <v>0</v>
      </c>
      <c r="R797" s="1522">
        <v>0</v>
      </c>
      <c r="S797" s="1522">
        <v>0</v>
      </c>
      <c r="T797" s="1522">
        <v>0</v>
      </c>
      <c r="U797" s="1522">
        <v>0</v>
      </c>
      <c r="V797" s="1522">
        <v>0</v>
      </c>
      <c r="W797" s="1522">
        <v>0</v>
      </c>
      <c r="X797" s="1522">
        <v>0</v>
      </c>
      <c r="Y797" s="1522">
        <v>0</v>
      </c>
      <c r="Z797" s="1522">
        <v>0</v>
      </c>
      <c r="AA797" s="1522">
        <v>0</v>
      </c>
      <c r="AB797" s="1522">
        <v>0</v>
      </c>
      <c r="AC797" s="1522">
        <v>0</v>
      </c>
      <c r="AD797" s="1522">
        <v>0</v>
      </c>
      <c r="AE797" s="1522">
        <v>0</v>
      </c>
      <c r="AF797" s="1522">
        <v>0</v>
      </c>
      <c r="AG797" s="1522">
        <v>0</v>
      </c>
      <c r="AH797" s="1522">
        <v>0</v>
      </c>
      <c r="AI797" s="1522">
        <v>0</v>
      </c>
      <c r="AJ797" s="1522">
        <v>0</v>
      </c>
      <c r="AK797" s="1522">
        <f>+AK867</f>
        <v>2080</v>
      </c>
      <c r="AL797" s="1522">
        <f t="shared" ref="AL797:AM797" si="3211">+AL867</f>
        <v>1970</v>
      </c>
      <c r="AM797" s="1522">
        <f t="shared" si="3211"/>
        <v>1680</v>
      </c>
      <c r="AN797" s="1522">
        <f t="shared" ref="AN797:AP797" si="3212">+AN867</f>
        <v>1690</v>
      </c>
      <c r="AO797" s="1522">
        <f>+AO867</f>
        <v>2246.4</v>
      </c>
      <c r="AP797" s="1522">
        <f t="shared" si="3212"/>
        <v>2127.6000000000004</v>
      </c>
      <c r="AQ797" s="1522">
        <f>+AQ867</f>
        <v>1814.4</v>
      </c>
      <c r="AR797" s="1522"/>
      <c r="AS797" s="1522">
        <v>0</v>
      </c>
      <c r="AT797" s="1522">
        <v>0</v>
      </c>
      <c r="AU797" s="1522">
        <v>0</v>
      </c>
      <c r="AV797" s="1522">
        <v>0</v>
      </c>
      <c r="AW797" s="1522">
        <v>0</v>
      </c>
      <c r="AX797" s="1522"/>
      <c r="AY797" s="1522"/>
      <c r="AZ797" s="1522"/>
      <c r="BA797" s="1522"/>
      <c r="BB797" s="1522">
        <v>0</v>
      </c>
      <c r="BC797" s="1522">
        <v>0</v>
      </c>
      <c r="BD797" s="1522">
        <v>0</v>
      </c>
      <c r="BE797" s="1522">
        <v>0</v>
      </c>
      <c r="BF797" s="1522"/>
      <c r="BG797" s="1522">
        <v>0</v>
      </c>
      <c r="BH797" s="1522">
        <v>0</v>
      </c>
      <c r="BI797" s="1522">
        <v>0</v>
      </c>
      <c r="BJ797" s="1522">
        <v>0</v>
      </c>
      <c r="BK797" s="1522">
        <v>0</v>
      </c>
      <c r="BL797" s="1522">
        <v>0</v>
      </c>
      <c r="BM797" s="1522">
        <v>0</v>
      </c>
      <c r="BN797" s="1522">
        <v>0</v>
      </c>
      <c r="BO797" s="1522">
        <f t="shared" si="3210"/>
        <v>5730</v>
      </c>
      <c r="BP797" s="1522">
        <f t="shared" ref="BP797:BP798" si="3213">+SUM(AN797:AQ797)</f>
        <v>7878.4</v>
      </c>
      <c r="BT797" s="1518"/>
      <c r="BU797" s="1518"/>
      <c r="BV797" s="1518"/>
      <c r="BW797" s="1518"/>
      <c r="BX797" s="1518"/>
      <c r="BY797" s="1518"/>
      <c r="BZ797" s="1518"/>
      <c r="CA797" s="1518"/>
      <c r="CB797" s="1518"/>
      <c r="CC797" s="1518"/>
    </row>
    <row r="798" spans="2:81" s="1518" customFormat="1" outlineLevel="1">
      <c r="B798" s="1523" t="s">
        <v>86</v>
      </c>
      <c r="H798" s="1521">
        <f t="shared" ref="H798:AM798" si="3214">+H225</f>
        <v>9395</v>
      </c>
      <c r="I798" s="1521">
        <f t="shared" si="3214"/>
        <v>11889</v>
      </c>
      <c r="J798" s="1521">
        <f t="shared" si="3214"/>
        <v>8775</v>
      </c>
      <c r="K798" s="1521">
        <f t="shared" si="3214"/>
        <v>9235</v>
      </c>
      <c r="L798" s="1521">
        <f t="shared" si="3214"/>
        <v>9378</v>
      </c>
      <c r="M798" s="1521">
        <f t="shared" si="3214"/>
        <v>12170</v>
      </c>
      <c r="N798" s="1521">
        <f t="shared" si="3214"/>
        <v>9917</v>
      </c>
      <c r="O798" s="1521">
        <f t="shared" si="3214"/>
        <v>10811</v>
      </c>
      <c r="P798" s="1521">
        <f t="shared" si="3214"/>
        <v>10746</v>
      </c>
      <c r="Q798" s="1521">
        <f t="shared" si="3214"/>
        <v>12993</v>
      </c>
      <c r="R798" s="1521">
        <f t="shared" si="3214"/>
        <v>10680</v>
      </c>
      <c r="S798" s="1521">
        <f t="shared" si="3214"/>
        <v>11279</v>
      </c>
      <c r="T798" s="1521">
        <f t="shared" si="3214"/>
        <v>11133</v>
      </c>
      <c r="U798" s="1521">
        <f t="shared" si="3214"/>
        <v>13211</v>
      </c>
      <c r="V798" s="1521">
        <f t="shared" si="3214"/>
        <v>10997</v>
      </c>
      <c r="W798" s="1521">
        <f t="shared" si="3214"/>
        <v>12910</v>
      </c>
      <c r="X798" s="1521">
        <f t="shared" si="3214"/>
        <v>11849</v>
      </c>
      <c r="Y798" s="1521">
        <f t="shared" si="3214"/>
        <v>15122</v>
      </c>
      <c r="Z798" s="1521">
        <f t="shared" si="3214"/>
        <v>13036</v>
      </c>
      <c r="AA798" s="1521">
        <f t="shared" si="3214"/>
        <v>14086</v>
      </c>
      <c r="AB798" s="1521">
        <f t="shared" si="3214"/>
        <v>13314</v>
      </c>
      <c r="AC798" s="1521">
        <f t="shared" si="3214"/>
        <v>17465</v>
      </c>
      <c r="AD798" s="1521">
        <f t="shared" si="3214"/>
        <v>14520</v>
      </c>
      <c r="AE798" s="1521">
        <f t="shared" si="3214"/>
        <v>14356</v>
      </c>
      <c r="AF798" s="1521">
        <f t="shared" si="3214"/>
        <v>13332</v>
      </c>
      <c r="AG798" s="1521">
        <f t="shared" si="3214"/>
        <v>14237</v>
      </c>
      <c r="AH798" s="1521">
        <f t="shared" si="3214"/>
        <v>13260</v>
      </c>
      <c r="AI798" s="1521">
        <f t="shared" si="3214"/>
        <v>13905</v>
      </c>
      <c r="AJ798" s="1521">
        <f t="shared" si="3214"/>
        <v>13666</v>
      </c>
      <c r="AK798" s="1521">
        <f t="shared" si="3214"/>
        <v>16891</v>
      </c>
      <c r="AL798" s="1521">
        <f t="shared" si="3214"/>
        <v>15580</v>
      </c>
      <c r="AM798" s="1521">
        <f t="shared" si="3214"/>
        <v>15895</v>
      </c>
      <c r="AN798" s="1521">
        <f t="shared" ref="AN798:AQ798" si="3215">+AN868</f>
        <v>15436.571565258873</v>
      </c>
      <c r="AO798" s="1521">
        <f t="shared" si="3215"/>
        <v>17071.803895385125</v>
      </c>
      <c r="AP798" s="1521">
        <f t="shared" si="3215"/>
        <v>16765.035449723946</v>
      </c>
      <c r="AQ798" s="1521">
        <f t="shared" si="3215"/>
        <v>17065.04031379622</v>
      </c>
      <c r="BB798" s="1521">
        <f>+BB225</f>
        <v>38460</v>
      </c>
      <c r="BC798" s="1521">
        <f>+BC225</f>
        <v>43435</v>
      </c>
      <c r="BD798" s="1521">
        <f>+BD225</f>
        <v>40434</v>
      </c>
      <c r="BE798" s="1521">
        <f>+BE225</f>
        <v>38773</v>
      </c>
      <c r="BG798" s="1521">
        <f t="shared" ref="BG798:BM798" si="3216">+BG225</f>
        <v>40410</v>
      </c>
      <c r="BH798" s="1521">
        <f t="shared" si="3216"/>
        <v>39294</v>
      </c>
      <c r="BI798" s="1521">
        <f t="shared" si="3216"/>
        <v>42276</v>
      </c>
      <c r="BJ798" s="1521">
        <f t="shared" si="3216"/>
        <v>45698</v>
      </c>
      <c r="BK798" s="1521">
        <f t="shared" si="3216"/>
        <v>48251</v>
      </c>
      <c r="BL798" s="1521">
        <f t="shared" si="3216"/>
        <v>54093</v>
      </c>
      <c r="BM798" s="1521">
        <f t="shared" si="3216"/>
        <v>59655</v>
      </c>
      <c r="BN798" s="1521">
        <f>SUM(AF798:AI798)</f>
        <v>54734</v>
      </c>
      <c r="BO798" s="1521">
        <f>SUM(AJ798:AM798)</f>
        <v>62032</v>
      </c>
      <c r="BP798" s="1521">
        <f t="shared" si="3213"/>
        <v>66338.451224164164</v>
      </c>
    </row>
    <row r="799" spans="2:81" s="1518" customFormat="1" outlineLevel="1">
      <c r="B799" s="1524" t="s">
        <v>113</v>
      </c>
      <c r="L799" s="1525">
        <f t="shared" ref="L799" si="3217">+L798/H798-1</f>
        <v>-1.8094731240021478E-3</v>
      </c>
      <c r="M799" s="1525">
        <f t="shared" ref="M799" si="3218">+M798/I798-1</f>
        <v>2.3635293128101642E-2</v>
      </c>
      <c r="N799" s="1525">
        <f>+N798/J798-1</f>
        <v>0.13014245014245018</v>
      </c>
      <c r="O799" s="1525">
        <f>+O798/K798-1</f>
        <v>0.17065511640498099</v>
      </c>
      <c r="P799" s="1525">
        <f t="shared" ref="P799:V799" si="3219">+P798/L798-1</f>
        <v>0.14587332053742808</v>
      </c>
      <c r="Q799" s="1525">
        <f t="shared" si="3219"/>
        <v>6.7625308134757534E-2</v>
      </c>
      <c r="R799" s="1525">
        <f t="shared" si="3219"/>
        <v>7.6938590299485687E-2</v>
      </c>
      <c r="S799" s="1525">
        <f t="shared" si="3219"/>
        <v>4.328924243825738E-2</v>
      </c>
      <c r="T799" s="1525">
        <f t="shared" si="3219"/>
        <v>3.6013400335008328E-2</v>
      </c>
      <c r="U799" s="1525">
        <f t="shared" si="3219"/>
        <v>1.677826521973369E-2</v>
      </c>
      <c r="V799" s="1525">
        <f t="shared" si="3219"/>
        <v>2.9681647940074996E-2</v>
      </c>
      <c r="W799" s="1525">
        <f t="shared" ref="W799:X799" si="3220">+W798/S798-1</f>
        <v>0.14460501817537019</v>
      </c>
      <c r="X799" s="1525">
        <f t="shared" si="3220"/>
        <v>6.4313302793496785E-2</v>
      </c>
      <c r="Y799" s="1525">
        <f t="shared" ref="Y799" si="3221">+Y798/U798-1</f>
        <v>0.14465218378623868</v>
      </c>
      <c r="Z799" s="1525">
        <f t="shared" ref="Z799" si="3222">+Z798/V798-1</f>
        <v>0.18541420387378382</v>
      </c>
      <c r="AA799" s="1525">
        <f t="shared" ref="AA799" si="3223">+AA798/W798-1</f>
        <v>9.1092176607281194E-2</v>
      </c>
      <c r="AB799" s="1525">
        <f t="shared" ref="AB799" si="3224">+AB798/X798-1</f>
        <v>0.12363912566461299</v>
      </c>
      <c r="AC799" s="1525">
        <f t="shared" ref="AC799:AD799" si="3225">+AC798/Y798-1</f>
        <v>0.15493982277476515</v>
      </c>
      <c r="AD799" s="1525">
        <f t="shared" si="3225"/>
        <v>0.11383860079779073</v>
      </c>
      <c r="AE799" s="1525">
        <f t="shared" ref="AE799" si="3226">+AE798/AA798-1</f>
        <v>1.9167968195371365E-2</v>
      </c>
      <c r="AF799" s="1525">
        <f t="shared" ref="AF799" si="3227">+AF798/AB798-1</f>
        <v>1.3519603424965165E-3</v>
      </c>
      <c r="AG799" s="1525">
        <f t="shared" ref="AG799" si="3228">+AG798/AC798-1</f>
        <v>-0.18482679645004296</v>
      </c>
      <c r="AH799" s="1525">
        <f t="shared" ref="AH799" si="3229">+AH798/AD798-1</f>
        <v>-8.6776859504132275E-2</v>
      </c>
      <c r="AI799" s="1525">
        <f t="shared" ref="AI799" si="3230">+AI798/AE798-1</f>
        <v>-3.1415436054611279E-2</v>
      </c>
      <c r="AJ799" s="1525">
        <f t="shared" ref="AJ799:AK799" si="3231">+AJ798/AF798-1</f>
        <v>2.5052505250525048E-2</v>
      </c>
      <c r="AK799" s="1525">
        <f t="shared" si="3231"/>
        <v>0.1864156774601391</v>
      </c>
      <c r="AL799" s="1525">
        <f t="shared" ref="AL799" si="3232">+AL798/AH798-1</f>
        <v>0.17496229260935148</v>
      </c>
      <c r="AM799" s="1525">
        <f t="shared" ref="AM799" si="3233">+AM798/AI798-1</f>
        <v>0.14311398777418205</v>
      </c>
      <c r="AN799" s="1525">
        <f t="shared" ref="AN799" si="3234">+AN798/AJ798-1</f>
        <v>0.12956033698659986</v>
      </c>
      <c r="AO799" s="1525">
        <f t="shared" ref="AO799" si="3235">+AO798/AK798-1</f>
        <v>1.0704155786224856E-2</v>
      </c>
      <c r="AP799" s="1525">
        <f t="shared" ref="AP799" si="3236">+AP798/AL798-1</f>
        <v>7.6061325399483071E-2</v>
      </c>
      <c r="AQ799" s="1525">
        <f t="shared" ref="AQ799" si="3237">+AQ798/AM798-1</f>
        <v>7.3610589103253909E-2</v>
      </c>
      <c r="BC799" s="1525">
        <f t="shared" ref="BC799:BE799" si="3238">+BC798/BB798-1</f>
        <v>0.12935517420696829</v>
      </c>
      <c r="BD799" s="1525">
        <f t="shared" si="3238"/>
        <v>-6.9091746287556099E-2</v>
      </c>
      <c r="BE799" s="1525">
        <f t="shared" si="3238"/>
        <v>-4.1079289706682509E-2</v>
      </c>
      <c r="BG799" s="1526">
        <f>+BD799</f>
        <v>-6.9091746287556099E-2</v>
      </c>
      <c r="BH799" s="1526">
        <f>+BE799</f>
        <v>-4.1079289706682509E-2</v>
      </c>
      <c r="BI799" s="1525">
        <f>+BI798/BH798-1</f>
        <v>7.5889448770804613E-2</v>
      </c>
      <c r="BJ799" s="1525">
        <f t="shared" ref="BJ799" si="3239">+BJ798/BI798-1</f>
        <v>8.0944270981171407E-2</v>
      </c>
      <c r="BK799" s="1525">
        <f t="shared" ref="BK799" si="3240">+BK798/BJ798-1</f>
        <v>5.5866777539498536E-2</v>
      </c>
      <c r="BL799" s="1525">
        <f t="shared" ref="BL799" si="3241">+BL798/BK798-1</f>
        <v>0.12107521087645856</v>
      </c>
      <c r="BM799" s="1525">
        <f t="shared" ref="BM799" si="3242">+BM798/BL798-1</f>
        <v>0.10282291608895799</v>
      </c>
      <c r="BN799" s="1525">
        <f t="shared" ref="BN799" si="3243">+BN798/BM798-1</f>
        <v>-8.2490989858352237E-2</v>
      </c>
      <c r="BO799" s="1525">
        <f t="shared" ref="BO799" si="3244">+BO798/BN798-1</f>
        <v>0.133335769357255</v>
      </c>
      <c r="BP799" s="1525">
        <f t="shared" ref="BP799" si="3245">+BP798/BO798-1</f>
        <v>6.9423059455831826E-2</v>
      </c>
      <c r="BT799" s="1527"/>
      <c r="BU799" s="1527"/>
      <c r="BV799" s="1527"/>
      <c r="BW799" s="1527"/>
      <c r="BX799" s="1527"/>
      <c r="BY799" s="1527"/>
      <c r="BZ799" s="1527"/>
      <c r="CA799" s="1527"/>
      <c r="CB799" s="1527"/>
      <c r="CC799" s="1527"/>
    </row>
    <row r="800" spans="2:81" s="1518" customFormat="1" outlineLevel="1">
      <c r="B800" s="1524" t="s">
        <v>272</v>
      </c>
      <c r="L800" s="1528">
        <v>-0.01</v>
      </c>
      <c r="M800" s="1528">
        <v>0.02</v>
      </c>
      <c r="N800" s="1528">
        <v>0.11</v>
      </c>
      <c r="O800" s="1528">
        <v>0.16</v>
      </c>
      <c r="P800" s="1528">
        <v>0.15</v>
      </c>
      <c r="Q800" s="1528">
        <v>7.0000000000000007E-2</v>
      </c>
      <c r="R800" s="1528">
        <v>0.09</v>
      </c>
      <c r="S800" s="1528">
        <v>0.06</v>
      </c>
      <c r="T800" s="1528">
        <v>0.05</v>
      </c>
      <c r="U800" s="1528">
        <v>0.03</v>
      </c>
      <c r="V800" s="1528">
        <v>0.04</v>
      </c>
      <c r="W800" s="1528">
        <v>0.16</v>
      </c>
      <c r="X800" s="1528">
        <v>0.06</v>
      </c>
      <c r="Y800" s="1528">
        <v>0.13</v>
      </c>
      <c r="Z800" s="1528">
        <v>0.16</v>
      </c>
      <c r="AA800" s="1528">
        <v>0.06</v>
      </c>
      <c r="AB800" s="1528">
        <v>0.11</v>
      </c>
      <c r="AC800" s="1528">
        <v>0.15</v>
      </c>
      <c r="AD800" s="1528">
        <v>0.13</v>
      </c>
      <c r="AE800" s="1528">
        <v>0.05</v>
      </c>
      <c r="AF800" s="1528">
        <v>0.03</v>
      </c>
      <c r="AG800" s="1528">
        <v>-0.16</v>
      </c>
      <c r="AH800" s="1528">
        <v>-7.0000000000000007E-2</v>
      </c>
      <c r="AI800" s="1528">
        <v>-0.03</v>
      </c>
      <c r="AJ800" s="1528">
        <v>0.02</v>
      </c>
      <c r="AK800" s="1528">
        <v>0.18</v>
      </c>
      <c r="AL800" s="1528">
        <v>0.17</v>
      </c>
      <c r="AM800" s="1528">
        <v>0.15</v>
      </c>
      <c r="AN800" s="1529">
        <f t="shared" ref="AN800:AQ800" si="3246">+AN$14-AN$13+AN799</f>
        <v>0.13342352859266529</v>
      </c>
      <c r="AO800" s="1529">
        <f t="shared" si="3246"/>
        <v>1.2133902708087785E-2</v>
      </c>
      <c r="AP800" s="1529">
        <f t="shared" si="3246"/>
        <v>9.2117756546099105E-2</v>
      </c>
      <c r="AQ800" s="1529">
        <f t="shared" si="3246"/>
        <v>8.3877933139067551E-2</v>
      </c>
      <c r="BC800" s="1529" t="s">
        <v>273</v>
      </c>
      <c r="BG800" s="1529" t="s">
        <v>273</v>
      </c>
      <c r="BH800" s="1529" t="s">
        <v>273</v>
      </c>
      <c r="BI800" s="1529">
        <f>+SUMPRODUCT(L800:O800,H798:K798)/BH798</f>
        <v>6.5828879727184819E-2</v>
      </c>
      <c r="BJ800" s="1529">
        <f>+SUMPRODUCT(P800:S800,L798:O798)/BI798</f>
        <v>8.9880546882391901E-2</v>
      </c>
      <c r="BK800" s="1529">
        <f>+SUMPRODUCT(T800:W800,P798:S798)/BJ798</f>
        <v>6.9126219965862851E-2</v>
      </c>
      <c r="BL800" s="1529">
        <f>+SUMPRODUCT(X800:AA800,T798:W798)/BK798</f>
        <v>0.10195705788481069</v>
      </c>
      <c r="BM800" s="1529">
        <f>+SUMPRODUCT(AB800:AE800,X798:AA798)/BL798</f>
        <v>0.1103778677462888</v>
      </c>
      <c r="BN800" s="1529">
        <f>+SUMPRODUCT(AF800:AI800,AB798:AE798)/BM798</f>
        <v>-6.4404660129075517E-2</v>
      </c>
      <c r="BO800" s="1529">
        <f>+SUMPRODUCT(AJ800:AM800,AF798:AI798)/BN798</f>
        <v>0.13098348375781049</v>
      </c>
      <c r="BP800" s="1529">
        <f>+SUMPRODUCT(AN800:AQ800,AJ798:AM798)/BO798</f>
        <v>7.7327090640691543E-2</v>
      </c>
      <c r="BT800" s="1530"/>
      <c r="BU800" s="1530"/>
      <c r="BV800" s="1530"/>
      <c r="BW800" s="1530"/>
      <c r="BX800" s="1530"/>
      <c r="BY800" s="1530"/>
      <c r="BZ800" s="1530"/>
      <c r="CA800" s="1530"/>
      <c r="CB800" s="1530"/>
      <c r="CC800" s="1530"/>
    </row>
    <row r="801" spans="2:81" s="1518" customFormat="1" outlineLevel="1">
      <c r="B801" s="1524" t="s">
        <v>450</v>
      </c>
      <c r="L801" s="1528"/>
      <c r="M801" s="1528"/>
      <c r="N801" s="1528"/>
      <c r="O801" s="1528"/>
      <c r="P801" s="1528"/>
      <c r="Q801" s="1528"/>
      <c r="R801" s="1528"/>
      <c r="S801" s="1528"/>
      <c r="T801" s="1528"/>
      <c r="U801" s="1528"/>
      <c r="V801" s="1528"/>
      <c r="W801" s="1528"/>
      <c r="X801" s="1528"/>
      <c r="Y801" s="1528"/>
      <c r="Z801" s="1528"/>
      <c r="AA801" s="1528"/>
      <c r="AB801" s="1529">
        <f t="shared" ref="AB801:AK801" si="3247">+AB800-AB797/X798</f>
        <v>0.11</v>
      </c>
      <c r="AC801" s="1529">
        <f t="shared" si="3247"/>
        <v>0.15</v>
      </c>
      <c r="AD801" s="1529">
        <f t="shared" si="3247"/>
        <v>0.13</v>
      </c>
      <c r="AE801" s="1529">
        <f t="shared" si="3247"/>
        <v>0.05</v>
      </c>
      <c r="AF801" s="1529">
        <f t="shared" si="3247"/>
        <v>0.03</v>
      </c>
      <c r="AG801" s="1529">
        <f t="shared" si="3247"/>
        <v>-0.16</v>
      </c>
      <c r="AH801" s="1529">
        <f t="shared" si="3247"/>
        <v>-7.0000000000000007E-2</v>
      </c>
      <c r="AI801" s="1529">
        <f t="shared" si="3247"/>
        <v>-0.03</v>
      </c>
      <c r="AJ801" s="1529">
        <f t="shared" si="3247"/>
        <v>0.02</v>
      </c>
      <c r="AK801" s="1529">
        <f t="shared" si="3247"/>
        <v>3.3901805155580528E-2</v>
      </c>
      <c r="AL801" s="1529">
        <f t="shared" ref="AL801" si="3248">+AL800-AL797/AH798</f>
        <v>2.1432880844645563E-2</v>
      </c>
      <c r="AM801" s="1529">
        <f t="shared" ref="AM801" si="3249">+AM800-AM797/AI798</f>
        <v>2.918015102481121E-2</v>
      </c>
      <c r="AN801" s="1529">
        <f>+AN796/AJ796-1</f>
        <v>5.8957679832338794E-3</v>
      </c>
      <c r="AO801" s="1529">
        <f>+AO796/AK796-1</f>
        <v>9.7251336068637784E-4</v>
      </c>
      <c r="AP801" s="1529">
        <f t="shared" ref="AP801:AQ801" si="3250">+AP796/AL796-1</f>
        <v>7.5491215997350869E-2</v>
      </c>
      <c r="AQ801" s="1529">
        <f t="shared" si="3250"/>
        <v>7.2855456475288127E-2</v>
      </c>
      <c r="AR801" s="1531"/>
      <c r="BC801" s="1529" t="s">
        <v>273</v>
      </c>
      <c r="BG801" s="1529" t="s">
        <v>273</v>
      </c>
      <c r="BH801" s="1529" t="s">
        <v>273</v>
      </c>
      <c r="BI801" s="1529">
        <f t="shared" ref="BI801:BN801" si="3251">+BI800-BI797/BH798</f>
        <v>6.5828879727184819E-2</v>
      </c>
      <c r="BJ801" s="1529">
        <f t="shared" si="3251"/>
        <v>8.9880546882391901E-2</v>
      </c>
      <c r="BK801" s="1529">
        <f t="shared" si="3251"/>
        <v>6.9126219965862851E-2</v>
      </c>
      <c r="BL801" s="1529">
        <f t="shared" si="3251"/>
        <v>0.10195705788481069</v>
      </c>
      <c r="BM801" s="1529">
        <f t="shared" si="3251"/>
        <v>0.1103778677462888</v>
      </c>
      <c r="BN801" s="1529">
        <f t="shared" si="3251"/>
        <v>-6.4404660129075517E-2</v>
      </c>
      <c r="BO801" s="1529">
        <f>+BO796/BN796-1+BO800-BO799</f>
        <v>2.6295355720393265E-2</v>
      </c>
      <c r="BP801" s="1529">
        <f>+BP796/BO796-1+BP800-BP799</f>
        <v>4.6233952398389677E-2</v>
      </c>
      <c r="BT801" s="1527"/>
      <c r="BU801" s="1527"/>
      <c r="BV801" s="1527"/>
      <c r="BW801" s="1527"/>
      <c r="BX801" s="1527"/>
      <c r="BY801" s="1527"/>
      <c r="BZ801" s="1527"/>
      <c r="CA801" s="1527"/>
      <c r="CB801" s="1527"/>
      <c r="CC801" s="1527"/>
    </row>
    <row r="802" spans="2:81" s="1518" customFormat="1" outlineLevel="1">
      <c r="L802" s="1531"/>
      <c r="AK802" s="1521"/>
      <c r="AL802" s="1521"/>
      <c r="AM802" s="1529"/>
      <c r="AN802" s="1521"/>
      <c r="AO802" s="1521"/>
      <c r="AP802" s="1521"/>
      <c r="AQ802" s="1521"/>
      <c r="BT802" s="1527"/>
      <c r="BU802" s="1527"/>
      <c r="BV802" s="1527"/>
      <c r="BW802" s="1527"/>
      <c r="BX802" s="1527"/>
      <c r="BY802" s="1527"/>
      <c r="BZ802" s="1527"/>
      <c r="CA802" s="1527"/>
      <c r="CB802" s="1527"/>
      <c r="CC802" s="1527"/>
    </row>
    <row r="803" spans="2:81" s="1518" customFormat="1" outlineLevel="1">
      <c r="B803" s="1518" t="s">
        <v>447</v>
      </c>
      <c r="H803" s="1521"/>
      <c r="I803" s="1521"/>
      <c r="J803" s="1521"/>
      <c r="K803" s="1521"/>
      <c r="L803" s="1521"/>
      <c r="M803" s="1521"/>
      <c r="N803" s="1521"/>
      <c r="O803" s="1521"/>
      <c r="P803" s="1521"/>
      <c r="Q803" s="1521"/>
      <c r="R803" s="1521"/>
      <c r="S803" s="1521"/>
      <c r="T803" s="1521">
        <f>+T806-T805</f>
        <v>6586.1400397401176</v>
      </c>
      <c r="U803" s="1521">
        <f t="shared" ref="U803" si="3252">+U806-U805</f>
        <v>7048.9471647284226</v>
      </c>
      <c r="V803" s="1521">
        <f t="shared" ref="V803" si="3253">+V806-V805</f>
        <v>6379.8605819087879</v>
      </c>
      <c r="W803" s="1521">
        <f t="shared" ref="W803" si="3254">+W806-W805</f>
        <v>7700.8313617698532</v>
      </c>
      <c r="X803" s="1521">
        <f t="shared" ref="X803" si="3255">+X806-X805</f>
        <v>7086.113291519574</v>
      </c>
      <c r="Y803" s="1521">
        <f t="shared" ref="Y803" si="3256">+Y806-Y805</f>
        <v>7809.1945109784101</v>
      </c>
      <c r="Z803" s="1521">
        <f t="shared" ref="Z803" si="3257">+Z806-Z805</f>
        <v>7304.7998377201729</v>
      </c>
      <c r="AA803" s="1521">
        <f t="shared" ref="AA803" si="3258">+AA806-AA805</f>
        <v>8375.8429153959369</v>
      </c>
      <c r="AB803" s="1521">
        <f t="shared" ref="AB803" si="3259">+AB806-AB805</f>
        <v>7800.6245935288571</v>
      </c>
      <c r="AC803" s="1521">
        <f t="shared" ref="AC803" si="3260">+AC806-AC805</f>
        <v>9393.6678030710373</v>
      </c>
      <c r="AD803" s="1521">
        <f t="shared" ref="AD803" si="3261">+AD806-AD805</f>
        <v>8086.0509320436158</v>
      </c>
      <c r="AE803" s="1521">
        <f t="shared" ref="AE803" si="3262">+AE806-AE805</f>
        <v>8094.4121401966113</v>
      </c>
      <c r="AF803" s="1521">
        <f t="shared" ref="AF803" si="3263">+AF806-AF805</f>
        <v>7086.2560038751762</v>
      </c>
      <c r="AG803" s="1521">
        <f t="shared" ref="AG803" si="3264">+AG806-AG805</f>
        <v>6699.6630375937366</v>
      </c>
      <c r="AH803" s="1521">
        <f t="shared" ref="AH803" si="3265">+AH806-AH805</f>
        <v>7344.303212924593</v>
      </c>
      <c r="AI803" s="1521">
        <f t="shared" ref="AI803" si="3266">+AI806-AI805</f>
        <v>7935.5000219429676</v>
      </c>
      <c r="AJ803" s="1521">
        <f t="shared" ref="AJ803:AK803" si="3267">+AJ806-AJ805</f>
        <v>8030.2504757665556</v>
      </c>
      <c r="AK803" s="1521">
        <f t="shared" si="3267"/>
        <v>7778.4104748729333</v>
      </c>
      <c r="AL803" s="1521">
        <f t="shared" ref="AL803:AM803" si="3268">+AL806-AL805</f>
        <v>8364.3148729331951</v>
      </c>
      <c r="AM803" s="1521">
        <f t="shared" si="3268"/>
        <v>8799.5303633202966</v>
      </c>
      <c r="AN803" s="1532">
        <f>+AN796*AJ810</f>
        <v>8077.5949694189285</v>
      </c>
      <c r="AO803" s="1532">
        <f t="shared" ref="AO803:AQ803" si="3269">+AO796*AK810</f>
        <v>8354.4064727994646</v>
      </c>
      <c r="AP803" s="1532">
        <f t="shared" si="3269"/>
        <v>9417.8601977065046</v>
      </c>
      <c r="AQ803" s="1532">
        <f t="shared" si="3269"/>
        <v>9853.2188589246216</v>
      </c>
      <c r="AS803" s="1518">
        <f t="shared" ref="AS803" si="3270">+AS806-AS805</f>
        <v>0</v>
      </c>
      <c r="AT803" s="1518">
        <f t="shared" ref="AT803" si="3271">+AT806-AT805</f>
        <v>0</v>
      </c>
      <c r="AU803" s="1518">
        <f t="shared" ref="AU803" si="3272">+AU806-AU805</f>
        <v>0</v>
      </c>
      <c r="AV803" s="1518">
        <f t="shared" ref="AV803" si="3273">+AV806-AV805</f>
        <v>0</v>
      </c>
      <c r="AW803" s="1518">
        <f t="shared" ref="AW803" si="3274">+AW806-AW805</f>
        <v>0</v>
      </c>
      <c r="AX803" s="1521"/>
      <c r="AY803" s="1521"/>
      <c r="AZ803" s="1521"/>
      <c r="BA803" s="1521"/>
      <c r="BB803" s="1521"/>
      <c r="BC803" s="1521"/>
      <c r="BD803" s="1521"/>
      <c r="BE803" s="1521"/>
      <c r="BG803" s="1521">
        <f t="shared" ref="BG803" si="3275">+BG806-BG805</f>
        <v>19102.371535075905</v>
      </c>
      <c r="BH803" s="1521">
        <f t="shared" ref="BH803" si="3276">+BH806-BH805</f>
        <v>20537.880590806108</v>
      </c>
      <c r="BI803" s="1521">
        <f t="shared" ref="BI803" si="3277">+BI806-BI805</f>
        <v>22659.946961608122</v>
      </c>
      <c r="BJ803" s="1521">
        <f t="shared" ref="BJ803" si="3278">+BJ806-BJ805</f>
        <v>24711.566893478725</v>
      </c>
      <c r="BK803" s="1521">
        <f t="shared" ref="BK803" si="3279">+BK806-BK805</f>
        <v>27715.779148147187</v>
      </c>
      <c r="BL803" s="1521">
        <f t="shared" ref="BL803" si="3280">+BL806-BL805</f>
        <v>30575.950555614094</v>
      </c>
      <c r="BM803" s="1521">
        <f t="shared" ref="BM803" si="3281">+BM806-BM805</f>
        <v>33374.755468840114</v>
      </c>
      <c r="BN803" s="1521">
        <f t="shared" ref="BN803" si="3282">+BN806-BN805</f>
        <v>29065.722276336484</v>
      </c>
      <c r="BO803" s="1521">
        <f t="shared" ref="BO803:BO805" si="3283">SUM(AJ803:AM803)</f>
        <v>32972.506186892977</v>
      </c>
      <c r="BP803" s="1521">
        <f t="shared" ref="BP803:BP806" si="3284">+SUM(AN803:AQ803)</f>
        <v>35703.080498849522</v>
      </c>
      <c r="BR803" s="1518" t="s">
        <v>451</v>
      </c>
      <c r="BT803" s="1527"/>
      <c r="BU803" s="1527"/>
      <c r="BV803" s="1527"/>
      <c r="BW803" s="1527"/>
      <c r="BX803" s="1527"/>
      <c r="BY803" s="1527"/>
      <c r="BZ803" s="1527"/>
      <c r="CA803" s="1527"/>
      <c r="CB803" s="1527"/>
      <c r="CC803" s="1527"/>
    </row>
    <row r="804" spans="2:81" s="1518" customFormat="1" hidden="1" outlineLevel="2">
      <c r="B804" s="1518" t="s">
        <v>478</v>
      </c>
      <c r="C804" s="1521"/>
      <c r="D804" s="1521">
        <v>0</v>
      </c>
      <c r="E804" s="1521">
        <v>0</v>
      </c>
      <c r="F804" s="1521">
        <v>0</v>
      </c>
      <c r="G804" s="1521">
        <v>0</v>
      </c>
      <c r="H804" s="1521">
        <v>0</v>
      </c>
      <c r="I804" s="1521">
        <v>0</v>
      </c>
      <c r="J804" s="1521">
        <v>0</v>
      </c>
      <c r="K804" s="1521">
        <v>0</v>
      </c>
      <c r="L804" s="1521">
        <v>0</v>
      </c>
      <c r="M804" s="1521">
        <v>0</v>
      </c>
      <c r="N804" s="1521">
        <v>0</v>
      </c>
      <c r="O804" s="1521">
        <v>0</v>
      </c>
      <c r="P804" s="1521">
        <v>0</v>
      </c>
      <c r="Q804" s="1521">
        <v>0</v>
      </c>
      <c r="R804" s="1521">
        <v>0</v>
      </c>
      <c r="S804" s="1521">
        <v>0</v>
      </c>
      <c r="T804" s="1521">
        <v>0</v>
      </c>
      <c r="U804" s="1521">
        <v>0</v>
      </c>
      <c r="V804" s="1521">
        <v>0</v>
      </c>
      <c r="W804" s="1521">
        <v>0</v>
      </c>
      <c r="X804" s="1521">
        <v>0</v>
      </c>
      <c r="Y804" s="1521">
        <v>0</v>
      </c>
      <c r="Z804" s="1521">
        <v>0</v>
      </c>
      <c r="AA804" s="1521">
        <v>0</v>
      </c>
      <c r="AB804" s="1521">
        <v>0</v>
      </c>
      <c r="AC804" s="1521">
        <v>0</v>
      </c>
      <c r="AD804" s="1521">
        <v>0</v>
      </c>
      <c r="AE804" s="1521">
        <v>0</v>
      </c>
      <c r="AF804" s="1521">
        <v>0</v>
      </c>
      <c r="AG804" s="1521">
        <v>0</v>
      </c>
      <c r="AH804" s="1521">
        <v>0</v>
      </c>
      <c r="AI804" s="1521">
        <v>0</v>
      </c>
      <c r="AJ804" s="1521">
        <v>0</v>
      </c>
      <c r="AK804" s="1532">
        <v>0</v>
      </c>
      <c r="AL804" s="1532">
        <v>0</v>
      </c>
      <c r="AM804" s="1532">
        <v>0</v>
      </c>
      <c r="AN804" s="1532">
        <v>0</v>
      </c>
      <c r="AO804" s="1532">
        <v>0</v>
      </c>
      <c r="AP804" s="1532">
        <v>0</v>
      </c>
      <c r="AQ804" s="1532">
        <v>0</v>
      </c>
      <c r="AX804" s="1521"/>
      <c r="AY804" s="1521"/>
      <c r="AZ804" s="1521"/>
      <c r="BA804" s="1521"/>
      <c r="BB804" s="1521"/>
      <c r="BC804" s="1521"/>
      <c r="BD804" s="1521"/>
      <c r="BE804" s="1521"/>
      <c r="BG804" s="1521"/>
      <c r="BH804" s="1521">
        <v>0</v>
      </c>
      <c r="BI804" s="1521">
        <v>0</v>
      </c>
      <c r="BJ804" s="1521">
        <v>0</v>
      </c>
      <c r="BK804" s="1521">
        <v>0</v>
      </c>
      <c r="BL804" s="1521">
        <v>0</v>
      </c>
      <c r="BM804" s="1521">
        <v>0</v>
      </c>
      <c r="BN804" s="1521">
        <v>0</v>
      </c>
      <c r="BO804" s="1521">
        <f t="shared" si="3283"/>
        <v>0</v>
      </c>
      <c r="BP804" s="1521">
        <f t="shared" si="3284"/>
        <v>0</v>
      </c>
      <c r="BR804" s="1532">
        <v>-500</v>
      </c>
      <c r="BS804" s="1532">
        <v>-500</v>
      </c>
      <c r="BT804" s="1527"/>
      <c r="BU804" s="1527"/>
      <c r="BV804" s="1527"/>
      <c r="BW804" s="1527"/>
      <c r="BX804" s="1527"/>
      <c r="BY804" s="1527"/>
      <c r="BZ804" s="1527"/>
      <c r="CA804" s="1527"/>
      <c r="CB804" s="1527"/>
      <c r="CC804" s="1527"/>
    </row>
    <row r="805" spans="2:81" s="1300" customFormat="1" outlineLevel="1" collapsed="1">
      <c r="B805" s="1518" t="s">
        <v>448</v>
      </c>
      <c r="C805" s="1522"/>
      <c r="D805" s="1522">
        <v>0</v>
      </c>
      <c r="E805" s="1522">
        <v>0</v>
      </c>
      <c r="F805" s="1522">
        <v>0</v>
      </c>
      <c r="G805" s="1522">
        <v>0</v>
      </c>
      <c r="H805" s="1522">
        <v>0</v>
      </c>
      <c r="I805" s="1522">
        <v>0</v>
      </c>
      <c r="J805" s="1522">
        <v>0</v>
      </c>
      <c r="K805" s="1522">
        <v>0</v>
      </c>
      <c r="L805" s="1522">
        <v>0</v>
      </c>
      <c r="M805" s="1522">
        <v>0</v>
      </c>
      <c r="N805" s="1522">
        <v>0</v>
      </c>
      <c r="O805" s="1522">
        <v>0</v>
      </c>
      <c r="P805" s="1522">
        <v>0</v>
      </c>
      <c r="Q805" s="1522">
        <v>0</v>
      </c>
      <c r="R805" s="1522">
        <v>0</v>
      </c>
      <c r="S805" s="1522">
        <v>0</v>
      </c>
      <c r="T805" s="1522">
        <v>0</v>
      </c>
      <c r="U805" s="1522">
        <v>0</v>
      </c>
      <c r="V805" s="1522">
        <v>0</v>
      </c>
      <c r="W805" s="1522">
        <v>0</v>
      </c>
      <c r="X805" s="1522">
        <v>0</v>
      </c>
      <c r="Y805" s="1522">
        <v>0</v>
      </c>
      <c r="Z805" s="1522">
        <v>0</v>
      </c>
      <c r="AA805" s="1522">
        <v>0</v>
      </c>
      <c r="AB805" s="1522">
        <v>0</v>
      </c>
      <c r="AC805" s="1522">
        <v>0</v>
      </c>
      <c r="AD805" s="1522">
        <v>0</v>
      </c>
      <c r="AE805" s="1522">
        <v>0</v>
      </c>
      <c r="AF805" s="1522">
        <v>0</v>
      </c>
      <c r="AG805" s="1522">
        <v>0</v>
      </c>
      <c r="AH805" s="1522">
        <v>0</v>
      </c>
      <c r="AI805" s="1522">
        <v>0</v>
      </c>
      <c r="AJ805" s="1522">
        <v>0</v>
      </c>
      <c r="AK805" s="1533">
        <f>1160+580</f>
        <v>1740</v>
      </c>
      <c r="AL805" s="1533">
        <f>990+670</f>
        <v>1660</v>
      </c>
      <c r="AM805" s="1533">
        <f>780+690</f>
        <v>1470</v>
      </c>
      <c r="AN805" s="1533">
        <f>730+680</f>
        <v>1410</v>
      </c>
      <c r="AO805" s="1534">
        <f>+AK805/AK797*AO797</f>
        <v>1879.2</v>
      </c>
      <c r="AP805" s="1534">
        <f t="shared" ref="AP805:AQ805" si="3285">+AL805/AL797*AP797</f>
        <v>1792.8000000000002</v>
      </c>
      <c r="AQ805" s="1534">
        <f t="shared" si="3285"/>
        <v>1587.6000000000001</v>
      </c>
      <c r="AR805" s="1522"/>
      <c r="AS805" s="1522">
        <v>0</v>
      </c>
      <c r="AT805" s="1522">
        <v>0</v>
      </c>
      <c r="AU805" s="1522">
        <v>0</v>
      </c>
      <c r="AV805" s="1522">
        <v>0</v>
      </c>
      <c r="AW805" s="1522">
        <v>0</v>
      </c>
      <c r="AX805" s="1522"/>
      <c r="AY805" s="1522"/>
      <c r="AZ805" s="1522"/>
      <c r="BA805" s="1522"/>
      <c r="BB805" s="1522"/>
      <c r="BC805" s="1522"/>
      <c r="BD805" s="1522"/>
      <c r="BE805" s="1522"/>
      <c r="BF805" s="1522"/>
      <c r="BG805" s="1522">
        <v>0</v>
      </c>
      <c r="BH805" s="1522">
        <v>0</v>
      </c>
      <c r="BI805" s="1522">
        <v>0</v>
      </c>
      <c r="BJ805" s="1522">
        <v>0</v>
      </c>
      <c r="BK805" s="1522">
        <v>0</v>
      </c>
      <c r="BL805" s="1522">
        <v>0</v>
      </c>
      <c r="BM805" s="1522">
        <v>0</v>
      </c>
      <c r="BN805" s="1522">
        <v>0</v>
      </c>
      <c r="BO805" s="1522">
        <f t="shared" si="3283"/>
        <v>4870</v>
      </c>
      <c r="BP805" s="1522">
        <f t="shared" si="3284"/>
        <v>6669.6</v>
      </c>
      <c r="BT805" s="1530"/>
      <c r="BU805" s="1530"/>
      <c r="BV805" s="1530"/>
      <c r="BW805" s="1530"/>
      <c r="BX805" s="1530"/>
      <c r="BY805" s="1530"/>
      <c r="BZ805" s="1530"/>
      <c r="CA805" s="1530"/>
      <c r="CB805" s="1530"/>
      <c r="CC805" s="1530"/>
    </row>
    <row r="806" spans="2:81" s="1518" customFormat="1" outlineLevel="1">
      <c r="B806" s="1523" t="s">
        <v>373</v>
      </c>
      <c r="H806" s="1521">
        <f t="shared" ref="H806:AM806" si="3286">+H22-H427-H607</f>
        <v>4916.9675943888942</v>
      </c>
      <c r="I806" s="1521">
        <f t="shared" si="3286"/>
        <v>5672.8616559341644</v>
      </c>
      <c r="J806" s="1521">
        <f t="shared" si="3286"/>
        <v>4703.306622022641</v>
      </c>
      <c r="K806" s="1521">
        <f t="shared" si="3286"/>
        <v>5244.7447184604034</v>
      </c>
      <c r="L806" s="1521">
        <f t="shared" si="3286"/>
        <v>5368.1013712096874</v>
      </c>
      <c r="M806" s="1521">
        <f t="shared" si="3286"/>
        <v>5635.6695648777395</v>
      </c>
      <c r="N806" s="1521">
        <f t="shared" si="3286"/>
        <v>5303.9660643260022</v>
      </c>
      <c r="O806" s="1521">
        <f t="shared" si="3286"/>
        <v>6352.2099611946951</v>
      </c>
      <c r="P806" s="1521">
        <f t="shared" si="3286"/>
        <v>5900.0161288474255</v>
      </c>
      <c r="Q806" s="1521">
        <f t="shared" si="3286"/>
        <v>5944.4625548556496</v>
      </c>
      <c r="R806" s="1521">
        <f t="shared" si="3286"/>
        <v>5980.9288814852043</v>
      </c>
      <c r="S806" s="1521">
        <f t="shared" si="3286"/>
        <v>6886.1593282904441</v>
      </c>
      <c r="T806" s="1521">
        <f t="shared" si="3286"/>
        <v>6586.1400397401176</v>
      </c>
      <c r="U806" s="1521">
        <f t="shared" si="3286"/>
        <v>7048.9471647284226</v>
      </c>
      <c r="V806" s="1521">
        <f t="shared" si="3286"/>
        <v>6379.8605819087879</v>
      </c>
      <c r="W806" s="1521">
        <f t="shared" si="3286"/>
        <v>7700.8313617698532</v>
      </c>
      <c r="X806" s="1521">
        <f t="shared" si="3286"/>
        <v>7086.113291519574</v>
      </c>
      <c r="Y806" s="1521">
        <f t="shared" si="3286"/>
        <v>7809.1945109784101</v>
      </c>
      <c r="Z806" s="1521">
        <f t="shared" si="3286"/>
        <v>7304.7998377201729</v>
      </c>
      <c r="AA806" s="1521">
        <f t="shared" si="3286"/>
        <v>8375.8429153959369</v>
      </c>
      <c r="AB806" s="1521">
        <f t="shared" si="3286"/>
        <v>7800.6245935288571</v>
      </c>
      <c r="AC806" s="1521">
        <f t="shared" si="3286"/>
        <v>9393.6678030710373</v>
      </c>
      <c r="AD806" s="1521">
        <f t="shared" si="3286"/>
        <v>8086.0509320436158</v>
      </c>
      <c r="AE806" s="1521">
        <f t="shared" si="3286"/>
        <v>8094.4121401966113</v>
      </c>
      <c r="AF806" s="1521">
        <f t="shared" si="3286"/>
        <v>7086.2560038751762</v>
      </c>
      <c r="AG806" s="1521">
        <f t="shared" si="3286"/>
        <v>6699.6630375937366</v>
      </c>
      <c r="AH806" s="1521">
        <f t="shared" si="3286"/>
        <v>7344.303212924593</v>
      </c>
      <c r="AI806" s="1521">
        <f t="shared" si="3286"/>
        <v>7935.5000219429676</v>
      </c>
      <c r="AJ806" s="1521">
        <f t="shared" si="3286"/>
        <v>8030.2504757665556</v>
      </c>
      <c r="AK806" s="1521">
        <f t="shared" si="3286"/>
        <v>9518.4104748729333</v>
      </c>
      <c r="AL806" s="1521">
        <f t="shared" si="3286"/>
        <v>10024.314872933195</v>
      </c>
      <c r="AM806" s="1521">
        <f t="shared" si="3286"/>
        <v>10269.530363320297</v>
      </c>
      <c r="AN806" s="1521">
        <f t="shared" ref="AN806:AQ806" si="3287">+SUM(AN803:AN805)</f>
        <v>9487.5949694189294</v>
      </c>
      <c r="AO806" s="1521">
        <f t="shared" si="3287"/>
        <v>10233.606472799465</v>
      </c>
      <c r="AP806" s="1521">
        <f t="shared" si="3287"/>
        <v>11210.660197706504</v>
      </c>
      <c r="AQ806" s="1521">
        <f t="shared" si="3287"/>
        <v>11440.818858924622</v>
      </c>
      <c r="AX806" s="1521"/>
      <c r="AY806" s="1521"/>
      <c r="AZ806" s="1521"/>
      <c r="BA806" s="1521"/>
      <c r="BB806" s="1521"/>
      <c r="BC806" s="1521"/>
      <c r="BD806" s="1521"/>
      <c r="BE806" s="1521"/>
      <c r="BG806" s="1521">
        <f t="shared" ref="BG806:BN806" si="3288">+BG22-BG427-BG607</f>
        <v>19102.371535075905</v>
      </c>
      <c r="BH806" s="1521">
        <f t="shared" si="3288"/>
        <v>20537.880590806108</v>
      </c>
      <c r="BI806" s="1521">
        <f t="shared" si="3288"/>
        <v>22659.946961608122</v>
      </c>
      <c r="BJ806" s="1521">
        <f t="shared" si="3288"/>
        <v>24711.566893478725</v>
      </c>
      <c r="BK806" s="1521">
        <f t="shared" si="3288"/>
        <v>27715.779148147187</v>
      </c>
      <c r="BL806" s="1521">
        <f t="shared" si="3288"/>
        <v>30575.950555614094</v>
      </c>
      <c r="BM806" s="1521">
        <f t="shared" si="3288"/>
        <v>33374.755468840114</v>
      </c>
      <c r="BN806" s="1521">
        <f t="shared" si="3288"/>
        <v>29065.722276336484</v>
      </c>
      <c r="BO806" s="1521">
        <f>SUM(AJ806:AM806)</f>
        <v>37842.506186892977</v>
      </c>
      <c r="BP806" s="1521">
        <f t="shared" si="3284"/>
        <v>42372.680498849521</v>
      </c>
      <c r="BT806" s="1535"/>
      <c r="BU806" s="1535"/>
      <c r="BV806" s="1535"/>
      <c r="BW806" s="1535"/>
      <c r="BX806" s="1535"/>
      <c r="BY806" s="1535"/>
      <c r="BZ806" s="1535"/>
      <c r="CA806" s="1535"/>
      <c r="CB806" s="1535"/>
      <c r="CC806" s="1535"/>
    </row>
    <row r="807" spans="2:81" s="1527" customFormat="1" outlineLevel="1">
      <c r="B807" s="1524" t="s">
        <v>113</v>
      </c>
      <c r="L807" s="1528">
        <v>0.1</v>
      </c>
      <c r="M807" s="1528">
        <v>0.13</v>
      </c>
      <c r="N807" s="1528">
        <v>0.16</v>
      </c>
      <c r="O807" s="1528">
        <v>0.23</v>
      </c>
      <c r="P807" s="1528">
        <v>0.1</v>
      </c>
      <c r="Q807" s="1528">
        <v>0.06</v>
      </c>
      <c r="R807" s="1528">
        <v>0.13</v>
      </c>
      <c r="S807" s="1528">
        <v>0.08</v>
      </c>
      <c r="T807" s="1528">
        <v>0.12</v>
      </c>
      <c r="U807" s="1528">
        <v>0.18</v>
      </c>
      <c r="V807" s="1528">
        <v>0.06</v>
      </c>
      <c r="W807" s="1528">
        <v>0.12</v>
      </c>
      <c r="X807" s="1528">
        <v>0.08</v>
      </c>
      <c r="Y807" s="1528">
        <v>0.11</v>
      </c>
      <c r="Z807" s="1528">
        <v>0.14000000000000001</v>
      </c>
      <c r="AA807" s="1528">
        <v>0.08</v>
      </c>
      <c r="AB807" s="1528">
        <v>0.1</v>
      </c>
      <c r="AC807" s="1528">
        <v>0.2</v>
      </c>
      <c r="AD807" s="1528">
        <v>0.13</v>
      </c>
      <c r="AE807" s="1528">
        <v>0</v>
      </c>
      <c r="AF807" s="1528">
        <v>-0.09</v>
      </c>
      <c r="AG807" s="1528">
        <v>-0.28999999999999998</v>
      </c>
      <c r="AH807" s="1528">
        <v>-0.09</v>
      </c>
      <c r="AI807" s="1528">
        <v>-0.02</v>
      </c>
      <c r="AJ807" s="1528">
        <v>0.13</v>
      </c>
      <c r="AK807" s="1536">
        <f>+AK806/AG806-1</f>
        <v>0.4207297324451087</v>
      </c>
      <c r="AL807" s="1536">
        <f t="shared" ref="AL807" si="3289">+AL806/AH806-1</f>
        <v>0.36491026885876465</v>
      </c>
      <c r="AM807" s="1536">
        <f t="shared" ref="AM807" si="3290">+AM806/AI806-1</f>
        <v>0.29412517609770639</v>
      </c>
      <c r="AN807" s="1536">
        <f t="shared" ref="AN807" si="3291">+AN806/AJ806-1</f>
        <v>0.18148182277131997</v>
      </c>
      <c r="AO807" s="1536">
        <f t="shared" ref="AO807" si="3292">+AO806/AK806-1</f>
        <v>7.5138175624442027E-2</v>
      </c>
      <c r="AP807" s="1536">
        <f t="shared" ref="AP807" si="3293">+AP806/AL806-1</f>
        <v>0.11834677380062919</v>
      </c>
      <c r="AQ807" s="1536">
        <f t="shared" ref="AQ807" si="3294">+AQ806/AM806-1</f>
        <v>0.11405472832407404</v>
      </c>
      <c r="BH807" s="1537">
        <f>+BH806/BG806-1</f>
        <v>7.5148211471769866E-2</v>
      </c>
      <c r="BI807" s="1537">
        <f>+BI806/BH806-1</f>
        <v>0.10332450621764599</v>
      </c>
      <c r="BJ807" s="1537">
        <f t="shared" ref="BJ807" si="3295">+BJ806/BI806-1</f>
        <v>9.0539485169430556E-2</v>
      </c>
      <c r="BK807" s="1537">
        <f t="shared" ref="BK807" si="3296">+BK806/BJ806-1</f>
        <v>0.12157109533435784</v>
      </c>
      <c r="BL807" s="1537">
        <f t="shared" ref="BL807" si="3297">+BL806/BK806-1</f>
        <v>0.10319650016615567</v>
      </c>
      <c r="BM807" s="1537">
        <f t="shared" ref="BM807" si="3298">+BM806/BL806-1</f>
        <v>9.1536153819169686E-2</v>
      </c>
      <c r="BN807" s="1537">
        <f t="shared" ref="BN807:BP807" si="3299">+BN806/BM806-1</f>
        <v>-0.12911055472830957</v>
      </c>
      <c r="BO807" s="1537">
        <f t="shared" si="3299"/>
        <v>0.30196338584374383</v>
      </c>
      <c r="BP807" s="1537">
        <f t="shared" si="3299"/>
        <v>0.11971126567525281</v>
      </c>
      <c r="BT807" s="1535"/>
      <c r="BU807" s="1535"/>
      <c r="BV807" s="1535"/>
      <c r="BW807" s="1535"/>
      <c r="BX807" s="1535"/>
      <c r="BY807" s="1535"/>
      <c r="BZ807" s="1535"/>
      <c r="CA807" s="1535"/>
      <c r="CB807" s="1535"/>
      <c r="CC807" s="1535"/>
    </row>
    <row r="808" spans="2:81" s="1518" customFormat="1" hidden="1" outlineLevel="2">
      <c r="B808" s="1524" t="s">
        <v>272</v>
      </c>
      <c r="L808" s="1528">
        <v>0.1</v>
      </c>
      <c r="M808" s="1528">
        <v>0.13</v>
      </c>
      <c r="N808" s="1528">
        <v>0.14000000000000001</v>
      </c>
      <c r="O808" s="1528">
        <v>0.2</v>
      </c>
      <c r="P808" s="1528">
        <v>0.1</v>
      </c>
      <c r="Q808" s="1528">
        <v>7.0000000000000007E-2</v>
      </c>
      <c r="R808" s="1528">
        <v>0.15</v>
      </c>
      <c r="S808" s="1528">
        <v>0.12</v>
      </c>
      <c r="T808" s="1528">
        <v>0.13</v>
      </c>
      <c r="U808" s="1528">
        <v>0.2</v>
      </c>
      <c r="V808" s="1528">
        <v>0.08</v>
      </c>
      <c r="W808" s="1528">
        <v>0.15</v>
      </c>
      <c r="X808" s="1528">
        <v>0.08</v>
      </c>
      <c r="Y808" s="1528">
        <v>0.09</v>
      </c>
      <c r="Z808" s="1528">
        <v>0.11</v>
      </c>
      <c r="AA808" s="1528">
        <v>0.04</v>
      </c>
      <c r="AB808" s="1528">
        <v>0.08</v>
      </c>
      <c r="AC808" s="1528">
        <v>0.2</v>
      </c>
      <c r="AD808" s="1528">
        <v>0.13</v>
      </c>
      <c r="AE808" s="1528">
        <v>0.04</v>
      </c>
      <c r="AF808" s="1528">
        <v>-0.04</v>
      </c>
      <c r="AG808" s="1528">
        <v>-0.24</v>
      </c>
      <c r="AH808" s="1528">
        <v>-0.05</v>
      </c>
      <c r="AI808" s="1528">
        <v>0</v>
      </c>
      <c r="AJ808" s="1528">
        <v>0.12</v>
      </c>
      <c r="AK808" s="1538">
        <f>+AK807-2%</f>
        <v>0.40072973244510868</v>
      </c>
      <c r="AL808" s="1538">
        <f>+AL807-1%</f>
        <v>0.35491026885876464</v>
      </c>
      <c r="AM808" s="1538">
        <f t="shared" ref="AM808" si="3300">+AM807-1%</f>
        <v>0.28412517609770638</v>
      </c>
      <c r="AN808" s="1528"/>
      <c r="AO808" s="1528"/>
      <c r="AP808" s="1528"/>
      <c r="AQ808" s="1528"/>
      <c r="BH808" s="1529" t="s">
        <v>273</v>
      </c>
      <c r="BI808" s="1537">
        <f>+SUMPRODUCT(L808:O808,H798:K798)/BH798</f>
        <v>0.14151193566447806</v>
      </c>
      <c r="BJ808" s="1529">
        <f>+SUMPRODUCT(P808:S808,L798:O798)/BI798</f>
        <v>0.10820725707257071</v>
      </c>
      <c r="BK808" s="1529">
        <f>+SUMPRODUCT(T808:W808,P798:S798)/BJ798</f>
        <v>0.14315352969495382</v>
      </c>
      <c r="BL808" s="1529">
        <f>+SUMPRODUCT(X808:AA808,T798:W798)/BK798</f>
        <v>7.8872976725870972E-2</v>
      </c>
      <c r="BM808" s="1529">
        <f>+SUMPRODUCT(AB808:AE808,X798:AA798)/BL798</f>
        <v>0.11518015269997968</v>
      </c>
      <c r="BN808" s="1529">
        <f>+SUMPRODUCT(AF808:AI808,AB798:AE798)/BM798</f>
        <v>-9.1361327633894887E-2</v>
      </c>
      <c r="BO808" s="1529"/>
      <c r="BP808" s="1529"/>
      <c r="BT808" s="1535"/>
      <c r="BU808" s="1535"/>
      <c r="BV808" s="1535"/>
      <c r="BW808" s="1535"/>
      <c r="BX808" s="1535"/>
      <c r="BY808" s="1535"/>
      <c r="BZ808" s="1535"/>
      <c r="CA808" s="1535"/>
      <c r="CB808" s="1535"/>
      <c r="CC808" s="1535"/>
    </row>
    <row r="809" spans="2:81" s="1518" customFormat="1" hidden="1" outlineLevel="2">
      <c r="B809" s="1524" t="s">
        <v>450</v>
      </c>
      <c r="L809" s="1528"/>
      <c r="M809" s="1528"/>
      <c r="N809" s="1528"/>
      <c r="O809" s="1528"/>
      <c r="P809" s="1528"/>
      <c r="Q809" s="1528"/>
      <c r="R809" s="1528"/>
      <c r="S809" s="1528"/>
      <c r="T809" s="1528"/>
      <c r="U809" s="1528"/>
      <c r="V809" s="1528"/>
      <c r="W809" s="1528"/>
      <c r="X809" s="1528"/>
      <c r="Y809" s="1528"/>
      <c r="Z809" s="1528"/>
      <c r="AA809" s="1528"/>
      <c r="AB809" s="1529">
        <f t="shared" ref="AB809" si="3301">+AB808-AB805/X806</f>
        <v>0.08</v>
      </c>
      <c r="AC809" s="1529">
        <f t="shared" ref="AC809" si="3302">+AC808-AC805/Y806</f>
        <v>0.2</v>
      </c>
      <c r="AD809" s="1529">
        <f t="shared" ref="AD809" si="3303">+AD808-AD805/Z806</f>
        <v>0.13</v>
      </c>
      <c r="AE809" s="1529">
        <f t="shared" ref="AE809" si="3304">+AE808-AE805/AA806</f>
        <v>0.04</v>
      </c>
      <c r="AF809" s="1529">
        <f t="shared" ref="AF809" si="3305">+AF808-AF805/AB806</f>
        <v>-0.04</v>
      </c>
      <c r="AG809" s="1529">
        <f t="shared" ref="AG809" si="3306">+AG808-AG805/AC806</f>
        <v>-0.24</v>
      </c>
      <c r="AH809" s="1529">
        <f t="shared" ref="AH809" si="3307">+AH808-AH805/AD806</f>
        <v>-0.05</v>
      </c>
      <c r="AI809" s="1529">
        <f t="shared" ref="AI809" si="3308">+AI808-AI805/AE806</f>
        <v>0</v>
      </c>
      <c r="AJ809" s="1529">
        <f t="shared" ref="AJ809" si="3309">+AJ808-AJ805/AF806</f>
        <v>0.12</v>
      </c>
      <c r="AK809" s="1529">
        <f t="shared" ref="AK809" si="3310">+AK808-AK805/AG806</f>
        <v>0.14101517811060565</v>
      </c>
      <c r="AL809" s="1529">
        <f t="shared" ref="AL809" si="3311">+AL808-AL805/AH806</f>
        <v>0.12888474242370243</v>
      </c>
      <c r="AM809" s="1529">
        <f t="shared" ref="AM809" si="3312">+AM808-AM805/AI806</f>
        <v>9.8881650682142469E-2</v>
      </c>
      <c r="AN809" s="1528"/>
      <c r="AO809" s="1528"/>
      <c r="AP809" s="1528"/>
      <c r="AQ809" s="1528"/>
      <c r="BH809" s="1529" t="s">
        <v>273</v>
      </c>
      <c r="BI809" s="1529">
        <f t="shared" ref="BI809" si="3313">+BI808-BI805/BH806</f>
        <v>0.14151193566447806</v>
      </c>
      <c r="BJ809" s="1529">
        <f t="shared" ref="BJ809" si="3314">+BJ808-BJ805/BI806</f>
        <v>0.10820725707257071</v>
      </c>
      <c r="BK809" s="1529">
        <f t="shared" ref="BK809" si="3315">+BK808-BK805/BJ806</f>
        <v>0.14315352969495382</v>
      </c>
      <c r="BL809" s="1529">
        <f t="shared" ref="BL809" si="3316">+BL808-BL805/BK806</f>
        <v>7.8872976725870972E-2</v>
      </c>
      <c r="BM809" s="1529">
        <f t="shared" ref="BM809" si="3317">+BM808-BM805/BL806</f>
        <v>0.11518015269997968</v>
      </c>
      <c r="BN809" s="1529">
        <f t="shared" ref="BN809" si="3318">+BN808-BN805/BM806</f>
        <v>-9.1361327633894887E-2</v>
      </c>
      <c r="BO809" s="1529"/>
      <c r="BP809" s="1529"/>
      <c r="BT809" s="1535"/>
      <c r="BU809" s="1535"/>
      <c r="BV809" s="1535"/>
      <c r="BW809" s="1535"/>
      <c r="BX809" s="1535"/>
      <c r="BY809" s="1535"/>
      <c r="BZ809" s="1535"/>
      <c r="CA809" s="1535"/>
      <c r="CB809" s="1535"/>
      <c r="CC809" s="1535"/>
    </row>
    <row r="810" spans="2:81" s="1518" customFormat="1" outlineLevel="1" collapsed="1">
      <c r="B810" s="1524" t="s">
        <v>123</v>
      </c>
      <c r="H810" s="1525">
        <f t="shared" ref="H810:AJ810" si="3319">+H806/H798</f>
        <v>0.52336004197859443</v>
      </c>
      <c r="I810" s="1525">
        <f t="shared" si="3319"/>
        <v>0.47715212851662581</v>
      </c>
      <c r="J810" s="1525">
        <f t="shared" si="3319"/>
        <v>0.53598935863505881</v>
      </c>
      <c r="K810" s="1525">
        <f t="shared" si="3319"/>
        <v>0.56792038099192244</v>
      </c>
      <c r="L810" s="1525">
        <f t="shared" si="3319"/>
        <v>0.57241430701745444</v>
      </c>
      <c r="M810" s="1525">
        <f t="shared" si="3319"/>
        <v>0.46307884674426786</v>
      </c>
      <c r="N810" s="1525">
        <f t="shared" si="3319"/>
        <v>0.53483574310033299</v>
      </c>
      <c r="O810" s="1525">
        <f t="shared" si="3319"/>
        <v>0.58756913895057761</v>
      </c>
      <c r="P810" s="1525">
        <f t="shared" si="3319"/>
        <v>0.54904300473175371</v>
      </c>
      <c r="Q810" s="1525">
        <f t="shared" si="3319"/>
        <v>0.45751270336763256</v>
      </c>
      <c r="R810" s="1525">
        <f t="shared" si="3319"/>
        <v>0.56001206755479438</v>
      </c>
      <c r="S810" s="1525">
        <f t="shared" si="3319"/>
        <v>0.61052924268910758</v>
      </c>
      <c r="T810" s="1525">
        <f t="shared" si="3319"/>
        <v>0.59158717683823925</v>
      </c>
      <c r="U810" s="1525">
        <f t="shared" si="3319"/>
        <v>0.53356651008465839</v>
      </c>
      <c r="V810" s="1525">
        <f t="shared" si="3319"/>
        <v>0.58014554714092825</v>
      </c>
      <c r="W810" s="1525">
        <f t="shared" si="3319"/>
        <v>0.59650126737179343</v>
      </c>
      <c r="X810" s="1525">
        <f t="shared" si="3319"/>
        <v>0.59803471107431627</v>
      </c>
      <c r="Y810" s="1525">
        <f t="shared" si="3319"/>
        <v>0.5164128098782178</v>
      </c>
      <c r="Z810" s="1525">
        <f t="shared" si="3319"/>
        <v>0.56035592495552111</v>
      </c>
      <c r="AA810" s="1525">
        <f t="shared" si="3319"/>
        <v>0.59462181708050099</v>
      </c>
      <c r="AB810" s="1525">
        <f t="shared" si="3319"/>
        <v>0.58589639428637952</v>
      </c>
      <c r="AC810" s="1525">
        <f t="shared" si="3319"/>
        <v>0.53785673077990481</v>
      </c>
      <c r="AD810" s="1525">
        <f t="shared" si="3319"/>
        <v>0.55689056005810023</v>
      </c>
      <c r="AE810" s="1525">
        <f t="shared" si="3319"/>
        <v>0.56383478268296261</v>
      </c>
      <c r="AF810" s="1525">
        <f t="shared" si="3319"/>
        <v>0.53152235252589086</v>
      </c>
      <c r="AG810" s="1525">
        <f t="shared" si="3319"/>
        <v>0.4705810941626562</v>
      </c>
      <c r="AH810" s="1525">
        <f t="shared" si="3319"/>
        <v>0.5538690205825485</v>
      </c>
      <c r="AI810" s="1525">
        <f t="shared" si="3319"/>
        <v>0.57069399654390274</v>
      </c>
      <c r="AJ810" s="1525">
        <f t="shared" si="3319"/>
        <v>0.58760796690813377</v>
      </c>
      <c r="AK810" s="1525">
        <f t="shared" ref="AK810" si="3320">+AK806/AK798</f>
        <v>0.5635196539502062</v>
      </c>
      <c r="AL810" s="1525">
        <f t="shared" ref="AL810:AM810" si="3321">+AL806/AL798</f>
        <v>0.6434091702781255</v>
      </c>
      <c r="AM810" s="1525">
        <f t="shared" si="3321"/>
        <v>0.6460855843548472</v>
      </c>
      <c r="AN810" s="1525">
        <f t="shared" ref="AN810:AQ810" si="3322">+AN806/AN798</f>
        <v>0.61461801471328337</v>
      </c>
      <c r="AO810" s="1525">
        <f t="shared" si="3322"/>
        <v>0.59944494064659615</v>
      </c>
      <c r="AP810" s="1525">
        <f t="shared" si="3322"/>
        <v>0.66869290144513827</v>
      </c>
      <c r="AQ810" s="1525">
        <f t="shared" si="3322"/>
        <v>0.67042436751088719</v>
      </c>
      <c r="BA810" s="1525"/>
      <c r="BB810" s="1525"/>
      <c r="BC810" s="1525"/>
      <c r="BD810" s="1525"/>
      <c r="BE810" s="1525"/>
      <c r="BG810" s="1525">
        <f t="shared" ref="BG810:BP810" si="3323">+BG806/BG798</f>
        <v>0.4727139701825267</v>
      </c>
      <c r="BH810" s="1525">
        <f t="shared" si="3323"/>
        <v>0.52267217872464267</v>
      </c>
      <c r="BI810" s="1525">
        <f t="shared" si="3323"/>
        <v>0.53600025928678496</v>
      </c>
      <c r="BJ810" s="1525">
        <f t="shared" si="3323"/>
        <v>0.54075817089322786</v>
      </c>
      <c r="BK810" s="1525">
        <f t="shared" si="3323"/>
        <v>0.57440838838878339</v>
      </c>
      <c r="BL810" s="1525">
        <f t="shared" si="3323"/>
        <v>0.5652478242215091</v>
      </c>
      <c r="BM810" s="1525">
        <f t="shared" si="3323"/>
        <v>0.55946283578644063</v>
      </c>
      <c r="BN810" s="1525">
        <f t="shared" si="3323"/>
        <v>0.53103596076180226</v>
      </c>
      <c r="BO810" s="1525">
        <f t="shared" si="3323"/>
        <v>0.6100481394585533</v>
      </c>
      <c r="BP810" s="1525">
        <f t="shared" si="3323"/>
        <v>0.63873484708993367</v>
      </c>
      <c r="BT810" s="1535"/>
      <c r="BU810" s="1535"/>
      <c r="BV810" s="1535"/>
      <c r="BW810" s="1535"/>
      <c r="BX810" s="1535"/>
      <c r="BY810" s="1535"/>
      <c r="BZ810" s="1535"/>
      <c r="CA810" s="1535"/>
      <c r="CB810" s="1535"/>
      <c r="CC810" s="1535"/>
    </row>
    <row r="811" spans="2:81" s="1518" customFormat="1" outlineLevel="1">
      <c r="B811" s="1539"/>
      <c r="AG811" s="1521"/>
      <c r="AI811" s="1531"/>
      <c r="AJ811" s="1531"/>
      <c r="AK811" s="1531"/>
      <c r="BT811" s="1535"/>
      <c r="BU811" s="1535"/>
      <c r="BV811" s="1535"/>
      <c r="BW811" s="1535"/>
      <c r="BX811" s="1535"/>
      <c r="BY811" s="1535"/>
      <c r="BZ811" s="1535"/>
      <c r="CA811" s="1535"/>
      <c r="CB811" s="1535"/>
      <c r="CC811" s="1535"/>
    </row>
    <row r="812" spans="2:81" s="1518" customFormat="1" outlineLevel="1">
      <c r="B812" s="1518" t="s">
        <v>447</v>
      </c>
      <c r="H812" s="1521"/>
      <c r="I812" s="1521"/>
      <c r="J812" s="1521"/>
      <c r="K812" s="1521"/>
      <c r="L812" s="1521"/>
      <c r="M812" s="1521"/>
      <c r="N812" s="1521"/>
      <c r="O812" s="1521"/>
      <c r="P812" s="1521"/>
      <c r="Q812" s="1521"/>
      <c r="R812" s="1521"/>
      <c r="S812" s="1521"/>
      <c r="T812" s="1521">
        <f>+T815-T814</f>
        <v>2571.1400397401176</v>
      </c>
      <c r="U812" s="1521">
        <f t="shared" ref="U812" si="3324">+U815-U814</f>
        <v>2870.9471647284226</v>
      </c>
      <c r="V812" s="1521">
        <f t="shared" ref="V812" si="3325">+V815-V814</f>
        <v>2752.8605819087879</v>
      </c>
      <c r="W812" s="1521">
        <f t="shared" ref="W812" si="3326">+W815-W814</f>
        <v>3609.8313617698532</v>
      </c>
      <c r="X812" s="1521">
        <f t="shared" ref="X812" si="3327">+X815-X814</f>
        <v>2338.113291519574</v>
      </c>
      <c r="Y812" s="1521">
        <f t="shared" ref="Y812" si="3328">+Y815-Y814</f>
        <v>2585.1945109784101</v>
      </c>
      <c r="Z812" s="1521">
        <f t="shared" ref="Z812" si="3329">+Z815-Z814</f>
        <v>2710.7998377201729</v>
      </c>
      <c r="AA812" s="1521">
        <f t="shared" ref="AA812" si="3330">+AA815-AA814</f>
        <v>3502.8429153959369</v>
      </c>
      <c r="AB812" s="1521">
        <f t="shared" ref="AB812" si="3331">+AB815-AB814</f>
        <v>2705.6245935288571</v>
      </c>
      <c r="AC812" s="1521">
        <f t="shared" ref="AC812" si="3332">+AC815-AC814</f>
        <v>3031.6678030710373</v>
      </c>
      <c r="AD812" s="1521">
        <f t="shared" ref="AD812" si="3333">+AD815-AD814</f>
        <v>3187.0509320436158</v>
      </c>
      <c r="AE812" s="1521">
        <f t="shared" ref="AE812" si="3334">+AE815-AE814</f>
        <v>3475.4121401966113</v>
      </c>
      <c r="AF812" s="1521">
        <f t="shared" ref="AF812" si="3335">+AF815-AF814</f>
        <v>2869.2560038751762</v>
      </c>
      <c r="AG812" s="1521">
        <f t="shared" ref="AG812" si="3336">+AG815-AG814</f>
        <v>2997.9430375937368</v>
      </c>
      <c r="AH812" s="1521">
        <f t="shared" ref="AH812" si="3337">+AH815-AH814</f>
        <v>3107.303212924593</v>
      </c>
      <c r="AI812" s="1521">
        <f t="shared" ref="AI812" si="3338">+AI815-AI814</f>
        <v>3259.5000219429676</v>
      </c>
      <c r="AJ812" s="1521">
        <f t="shared" ref="AJ812" si="3339">+AJ815-AJ814</f>
        <v>2856.2504757665556</v>
      </c>
      <c r="AK812" s="1521">
        <f>+AK815-AK814-AK813</f>
        <v>3061.4104748729333</v>
      </c>
      <c r="AL812" s="1521">
        <f t="shared" ref="AL812" si="3340">+AL815-AL814-AL813</f>
        <v>3089.3148729331951</v>
      </c>
      <c r="AM812" s="1521">
        <f t="shared" ref="AM812" si="3341">+AM815-AM814-AM813</f>
        <v>3306.5303633202966</v>
      </c>
      <c r="AN812" s="1521">
        <f t="shared" ref="AN812:AQ812" si="3342">+AN815-AN814-AN813</f>
        <v>2873.0902658736777</v>
      </c>
      <c r="AO812" s="1521">
        <f t="shared" si="3342"/>
        <v>3622.8094021435008</v>
      </c>
      <c r="AP812" s="1521">
        <f t="shared" si="3342"/>
        <v>3744.6440333204773</v>
      </c>
      <c r="AQ812" s="1521">
        <f t="shared" si="3342"/>
        <v>4196.0520369304268</v>
      </c>
      <c r="AR812" s="1521"/>
      <c r="AS812" s="1518">
        <f t="shared" ref="AS812" si="3343">+AS815-AS814</f>
        <v>0</v>
      </c>
      <c r="AT812" s="1518">
        <f t="shared" ref="AT812" si="3344">+AT815-AT814</f>
        <v>0</v>
      </c>
      <c r="AU812" s="1518">
        <f t="shared" ref="AU812" si="3345">+AU815-AU814</f>
        <v>0</v>
      </c>
      <c r="AV812" s="1518">
        <f t="shared" ref="AV812" si="3346">+AV815-AV814</f>
        <v>0</v>
      </c>
      <c r="AW812" s="1518">
        <f t="shared" ref="AW812" si="3347">+AW815-AW814</f>
        <v>0</v>
      </c>
      <c r="BB812" s="1521"/>
      <c r="BC812" s="1521"/>
      <c r="BD812" s="1521"/>
      <c r="BE812" s="1521"/>
      <c r="BG812" s="1521">
        <f t="shared" ref="BG812" si="3348">+BG815-BG814</f>
        <v>12919.371535075905</v>
      </c>
      <c r="BH812" s="1521">
        <f t="shared" ref="BH812" si="3349">+BH815-BH814</f>
        <v>11722.880590806108</v>
      </c>
      <c r="BI812" s="1521">
        <f t="shared" ref="BI812" si="3350">+BI815-BI814</f>
        <v>12049.946961608122</v>
      </c>
      <c r="BJ812" s="1521">
        <f t="shared" ref="BJ812" si="3351">+BJ815-BJ814</f>
        <v>11891.566893478725</v>
      </c>
      <c r="BK812" s="1521">
        <f t="shared" ref="BK812" si="3352">+BK815-BK814</f>
        <v>11804.779148147187</v>
      </c>
      <c r="BL812" s="1521">
        <f t="shared" ref="BL812" si="3353">+BL815-BL814</f>
        <v>11136.950555614094</v>
      </c>
      <c r="BM812" s="1521">
        <f t="shared" ref="BM812" si="3354">+BM815-BM814</f>
        <v>12399.755468840114</v>
      </c>
      <c r="BN812" s="1521">
        <f t="shared" ref="BN812" si="3355">+BN815-BN814</f>
        <v>12234.002276336483</v>
      </c>
      <c r="BO812" s="1521">
        <f t="shared" ref="BO812:BO814" si="3356">SUM(AJ812:AM812)</f>
        <v>12313.506186892981</v>
      </c>
      <c r="BP812" s="1521">
        <f t="shared" ref="BP812:BP815" si="3357">+SUM(AN812:AQ812)</f>
        <v>14436.595738268083</v>
      </c>
      <c r="BR812" s="1518" t="s">
        <v>452</v>
      </c>
      <c r="BT812" s="1519"/>
      <c r="BU812" s="1519"/>
      <c r="BV812" s="1519"/>
      <c r="BW812" s="1519"/>
      <c r="BX812" s="1519"/>
      <c r="BY812" s="1519"/>
      <c r="BZ812" s="1519"/>
      <c r="CA812" s="1519"/>
      <c r="CB812" s="1519"/>
      <c r="CC812" s="1519"/>
    </row>
    <row r="813" spans="2:81" s="1518" customFormat="1" hidden="1" outlineLevel="2">
      <c r="B813" s="1518" t="s">
        <v>479</v>
      </c>
      <c r="H813" s="1521"/>
      <c r="I813" s="1521"/>
      <c r="J813" s="1521"/>
      <c r="K813" s="1521"/>
      <c r="L813" s="1521"/>
      <c r="M813" s="1521"/>
      <c r="N813" s="1521"/>
      <c r="O813" s="1521"/>
      <c r="P813" s="1521"/>
      <c r="Q813" s="1521"/>
      <c r="R813" s="1521"/>
      <c r="S813" s="1521"/>
      <c r="T813" s="1521">
        <v>0</v>
      </c>
      <c r="U813" s="1521">
        <v>0</v>
      </c>
      <c r="V813" s="1521">
        <v>0</v>
      </c>
      <c r="W813" s="1521">
        <v>0</v>
      </c>
      <c r="X813" s="1521">
        <v>0</v>
      </c>
      <c r="Y813" s="1521">
        <v>0</v>
      </c>
      <c r="Z813" s="1521">
        <v>0</v>
      </c>
      <c r="AA813" s="1521">
        <v>0</v>
      </c>
      <c r="AB813" s="1521">
        <v>0</v>
      </c>
      <c r="AC813" s="1521">
        <v>0</v>
      </c>
      <c r="AD813" s="1521">
        <v>0</v>
      </c>
      <c r="AE813" s="1521">
        <v>0</v>
      </c>
      <c r="AF813" s="1521">
        <v>0</v>
      </c>
      <c r="AG813" s="1521">
        <v>0</v>
      </c>
      <c r="AH813" s="1521">
        <v>0</v>
      </c>
      <c r="AI813" s="1521">
        <v>0</v>
      </c>
      <c r="AJ813" s="1521">
        <v>0</v>
      </c>
      <c r="AK813" s="1532">
        <v>0</v>
      </c>
      <c r="AL813" s="1521">
        <v>0</v>
      </c>
      <c r="AM813" s="1521">
        <v>0</v>
      </c>
      <c r="AN813" s="1521">
        <v>0</v>
      </c>
      <c r="AO813" s="1521">
        <v>0</v>
      </c>
      <c r="AP813" s="1521">
        <v>0</v>
      </c>
      <c r="AQ813" s="1521">
        <v>0</v>
      </c>
      <c r="AR813" s="1521"/>
      <c r="BB813" s="1521"/>
      <c r="BC813" s="1521"/>
      <c r="BD813" s="1521"/>
      <c r="BE813" s="1521"/>
      <c r="BG813" s="1521"/>
      <c r="BH813" s="1521">
        <v>0</v>
      </c>
      <c r="BI813" s="1521">
        <v>0</v>
      </c>
      <c r="BJ813" s="1521">
        <v>0</v>
      </c>
      <c r="BK813" s="1521">
        <v>0</v>
      </c>
      <c r="BL813" s="1521">
        <v>0</v>
      </c>
      <c r="BM813" s="1521">
        <v>0</v>
      </c>
      <c r="BN813" s="1521">
        <v>0</v>
      </c>
      <c r="BO813" s="1521">
        <f t="shared" si="3356"/>
        <v>0</v>
      </c>
      <c r="BP813" s="1521">
        <f t="shared" si="3357"/>
        <v>0</v>
      </c>
      <c r="BR813" s="1532">
        <v>400</v>
      </c>
      <c r="BS813" s="1521">
        <v>0</v>
      </c>
      <c r="BT813" s="1540"/>
      <c r="BU813" s="1540"/>
      <c r="BV813" s="1540"/>
      <c r="BW813" s="1540"/>
      <c r="BX813" s="1540"/>
      <c r="BY813" s="1540"/>
      <c r="BZ813" s="1540"/>
      <c r="CA813" s="1540"/>
      <c r="CB813" s="1540"/>
      <c r="CC813" s="1540"/>
    </row>
    <row r="814" spans="2:81" s="1300" customFormat="1" outlineLevel="1" collapsed="1">
      <c r="B814" s="1518" t="s">
        <v>448</v>
      </c>
      <c r="C814" s="1522"/>
      <c r="D814" s="1522">
        <v>0</v>
      </c>
      <c r="E814" s="1522">
        <v>0</v>
      </c>
      <c r="F814" s="1522">
        <v>0</v>
      </c>
      <c r="G814" s="1522">
        <v>0</v>
      </c>
      <c r="H814" s="1522">
        <v>0</v>
      </c>
      <c r="I814" s="1522">
        <v>0</v>
      </c>
      <c r="J814" s="1522">
        <v>0</v>
      </c>
      <c r="K814" s="1522">
        <v>0</v>
      </c>
      <c r="L814" s="1522">
        <v>0</v>
      </c>
      <c r="M814" s="1522">
        <v>0</v>
      </c>
      <c r="N814" s="1522">
        <v>0</v>
      </c>
      <c r="O814" s="1522">
        <v>0</v>
      </c>
      <c r="P814" s="1522">
        <v>0</v>
      </c>
      <c r="Q814" s="1522">
        <v>0</v>
      </c>
      <c r="R814" s="1522">
        <v>0</v>
      </c>
      <c r="S814" s="1522">
        <v>0</v>
      </c>
      <c r="T814" s="1522">
        <v>0</v>
      </c>
      <c r="U814" s="1522">
        <v>0</v>
      </c>
      <c r="V814" s="1522">
        <v>0</v>
      </c>
      <c r="W814" s="1522">
        <v>0</v>
      </c>
      <c r="X814" s="1522">
        <v>0</v>
      </c>
      <c r="Y814" s="1522">
        <v>0</v>
      </c>
      <c r="Z814" s="1522">
        <v>0</v>
      </c>
      <c r="AA814" s="1522">
        <v>0</v>
      </c>
      <c r="AB814" s="1522">
        <v>0</v>
      </c>
      <c r="AC814" s="1522">
        <v>0</v>
      </c>
      <c r="AD814" s="1522">
        <v>0</v>
      </c>
      <c r="AE814" s="1522">
        <v>0</v>
      </c>
      <c r="AF814" s="1522">
        <v>0</v>
      </c>
      <c r="AG814" s="1522">
        <v>0</v>
      </c>
      <c r="AH814" s="1522">
        <v>0</v>
      </c>
      <c r="AI814" s="1522">
        <v>0</v>
      </c>
      <c r="AJ814" s="1522">
        <v>0</v>
      </c>
      <c r="AK814" s="1533">
        <v>1040</v>
      </c>
      <c r="AL814" s="1533">
        <v>1070</v>
      </c>
      <c r="AM814" s="1533">
        <f>1350-250</f>
        <v>1100</v>
      </c>
      <c r="AN814" s="1533">
        <f>1170-230</f>
        <v>940</v>
      </c>
      <c r="AO814" s="1534">
        <v>950</v>
      </c>
      <c r="AP814" s="1534">
        <v>1000</v>
      </c>
      <c r="AQ814" s="1534">
        <v>835</v>
      </c>
      <c r="AR814" s="1521"/>
      <c r="AS814" s="1522">
        <v>0</v>
      </c>
      <c r="AT814" s="1522">
        <v>0</v>
      </c>
      <c r="AU814" s="1522">
        <v>0</v>
      </c>
      <c r="AV814" s="1522">
        <v>0</v>
      </c>
      <c r="AW814" s="1522">
        <v>0</v>
      </c>
      <c r="AX814" s="1518"/>
      <c r="AY814" s="1522"/>
      <c r="AZ814" s="1522"/>
      <c r="BA814" s="1522"/>
      <c r="BB814" s="1522"/>
      <c r="BC814" s="1522"/>
      <c r="BD814" s="1522"/>
      <c r="BE814" s="1522"/>
      <c r="BF814" s="1522"/>
      <c r="BG814" s="1522">
        <v>0</v>
      </c>
      <c r="BH814" s="1522">
        <v>0</v>
      </c>
      <c r="BI814" s="1522">
        <v>0</v>
      </c>
      <c r="BJ814" s="1522">
        <v>0</v>
      </c>
      <c r="BK814" s="1522">
        <v>0</v>
      </c>
      <c r="BL814" s="1522">
        <v>0</v>
      </c>
      <c r="BM814" s="1522">
        <v>0</v>
      </c>
      <c r="BN814" s="1522">
        <v>0</v>
      </c>
      <c r="BO814" s="1522">
        <f t="shared" si="3356"/>
        <v>3210</v>
      </c>
      <c r="BP814" s="1522">
        <f t="shared" si="3357"/>
        <v>3725</v>
      </c>
      <c r="BT814" s="1541"/>
      <c r="BU814" s="1541"/>
      <c r="BV814" s="1541"/>
      <c r="BW814" s="1541"/>
      <c r="BX814" s="1541"/>
      <c r="BY814" s="1541"/>
      <c r="BZ814" s="1541"/>
      <c r="CA814" s="1541"/>
      <c r="CB814" s="1541"/>
      <c r="CC814" s="1541"/>
    </row>
    <row r="815" spans="2:81" s="1518" customFormat="1" outlineLevel="1">
      <c r="B815" s="1523" t="str">
        <f>+B612</f>
        <v>Operating Expense</v>
      </c>
      <c r="H815" s="1521">
        <f t="shared" ref="H815:AJ815" si="3358">+H806-H825</f>
        <v>2883.9675943888942</v>
      </c>
      <c r="I815" s="1521">
        <f t="shared" si="3358"/>
        <v>3111.8616559341644</v>
      </c>
      <c r="J815" s="1521">
        <f t="shared" si="3358"/>
        <v>2668.306622022641</v>
      </c>
      <c r="K815" s="1521">
        <f t="shared" si="3358"/>
        <v>3058.7447184604034</v>
      </c>
      <c r="L815" s="1521">
        <f t="shared" si="3358"/>
        <v>2803.1013712096874</v>
      </c>
      <c r="M815" s="1521">
        <f t="shared" si="3358"/>
        <v>3125.6695648777395</v>
      </c>
      <c r="N815" s="1521">
        <f t="shared" si="3358"/>
        <v>2780.9660643260022</v>
      </c>
      <c r="O815" s="1521">
        <f t="shared" si="3358"/>
        <v>3340.2099611946951</v>
      </c>
      <c r="P815" s="1521">
        <f t="shared" si="3358"/>
        <v>2757.0161288474255</v>
      </c>
      <c r="Q815" s="1521">
        <f t="shared" si="3358"/>
        <v>2980.4625548556496</v>
      </c>
      <c r="R815" s="1521">
        <f t="shared" si="3358"/>
        <v>2826.9288814852043</v>
      </c>
      <c r="S815" s="1521">
        <f t="shared" si="3358"/>
        <v>3327.1593282904441</v>
      </c>
      <c r="T815" s="1521">
        <f t="shared" si="3358"/>
        <v>2571.1400397401176</v>
      </c>
      <c r="U815" s="1521">
        <f t="shared" si="3358"/>
        <v>2870.9471647284226</v>
      </c>
      <c r="V815" s="1521">
        <f t="shared" si="3358"/>
        <v>2752.8605819087879</v>
      </c>
      <c r="W815" s="1521">
        <f t="shared" si="3358"/>
        <v>3609.8313617698532</v>
      </c>
      <c r="X815" s="1521">
        <f t="shared" si="3358"/>
        <v>2338.113291519574</v>
      </c>
      <c r="Y815" s="1521">
        <f t="shared" si="3358"/>
        <v>2585.1945109784101</v>
      </c>
      <c r="Z815" s="1521">
        <f t="shared" si="3358"/>
        <v>2710.7998377201729</v>
      </c>
      <c r="AA815" s="1521">
        <f t="shared" si="3358"/>
        <v>3502.8429153959369</v>
      </c>
      <c r="AB815" s="1521">
        <f t="shared" si="3358"/>
        <v>2705.6245935288571</v>
      </c>
      <c r="AC815" s="1521">
        <f t="shared" si="3358"/>
        <v>3031.6678030710373</v>
      </c>
      <c r="AD815" s="1521">
        <f t="shared" si="3358"/>
        <v>3187.0509320436158</v>
      </c>
      <c r="AE815" s="1521">
        <f t="shared" si="3358"/>
        <v>3475.4121401966113</v>
      </c>
      <c r="AF815" s="1521">
        <f t="shared" si="3358"/>
        <v>2869.2560038751762</v>
      </c>
      <c r="AG815" s="1521">
        <f t="shared" si="3358"/>
        <v>2997.9430375937368</v>
      </c>
      <c r="AH815" s="1521">
        <f t="shared" si="3358"/>
        <v>3107.303212924593</v>
      </c>
      <c r="AI815" s="1521">
        <f t="shared" si="3358"/>
        <v>3259.5000219429676</v>
      </c>
      <c r="AJ815" s="1521">
        <f t="shared" si="3358"/>
        <v>2856.2504757665556</v>
      </c>
      <c r="AK815" s="1521">
        <f>+AK806-AK825</f>
        <v>4101.4104748729333</v>
      </c>
      <c r="AL815" s="1521">
        <f t="shared" ref="AL815" si="3359">+AL806-AL825</f>
        <v>4159.3148729331951</v>
      </c>
      <c r="AM815" s="1521">
        <f t="shared" ref="AM815" si="3360">+AM806-AM825</f>
        <v>4406.5303633202966</v>
      </c>
      <c r="AN815" s="1521">
        <f t="shared" ref="AN815:AQ815" si="3361">+AN806-AN825</f>
        <v>3813.0902658736777</v>
      </c>
      <c r="AO815" s="1521">
        <f t="shared" si="3361"/>
        <v>4572.8094021435008</v>
      </c>
      <c r="AP815" s="1521">
        <f t="shared" si="3361"/>
        <v>4744.6440333204773</v>
      </c>
      <c r="AQ815" s="1521">
        <f t="shared" si="3361"/>
        <v>5031.0520369304268</v>
      </c>
      <c r="AR815" s="1521"/>
      <c r="BB815" s="1521"/>
      <c r="BC815" s="1521"/>
      <c r="BD815" s="1521"/>
      <c r="BE815" s="1521"/>
      <c r="BG815" s="1521">
        <f t="shared" ref="BG815:BN815" si="3362">+BG806-BG825</f>
        <v>12919.371535075905</v>
      </c>
      <c r="BH815" s="1521">
        <f t="shared" si="3362"/>
        <v>11722.880590806108</v>
      </c>
      <c r="BI815" s="1521">
        <f t="shared" si="3362"/>
        <v>12049.946961608122</v>
      </c>
      <c r="BJ815" s="1521">
        <f t="shared" si="3362"/>
        <v>11891.566893478725</v>
      </c>
      <c r="BK815" s="1521">
        <f t="shared" si="3362"/>
        <v>11804.779148147187</v>
      </c>
      <c r="BL815" s="1521">
        <f t="shared" si="3362"/>
        <v>11136.950555614094</v>
      </c>
      <c r="BM815" s="1521">
        <f t="shared" si="3362"/>
        <v>12399.755468840114</v>
      </c>
      <c r="BN815" s="1521">
        <f t="shared" si="3362"/>
        <v>12234.002276336483</v>
      </c>
      <c r="BO815" s="1521">
        <f>SUM(AJ815:AM815)</f>
        <v>15523.506186892981</v>
      </c>
      <c r="BP815" s="1521">
        <f t="shared" si="3357"/>
        <v>18161.595738268083</v>
      </c>
      <c r="BT815" s="1540"/>
      <c r="BU815" s="1540"/>
      <c r="BV815" s="1540"/>
      <c r="BW815" s="1540"/>
      <c r="BX815" s="1540"/>
      <c r="BY815" s="1540"/>
      <c r="BZ815" s="1540"/>
      <c r="CA815" s="1540"/>
      <c r="CB815" s="1540"/>
      <c r="CC815" s="1540"/>
    </row>
    <row r="816" spans="2:81" s="1518" customFormat="1" outlineLevel="1">
      <c r="B816" s="1524" t="s">
        <v>113</v>
      </c>
      <c r="L816" s="1525">
        <f t="shared" ref="L816" si="3363">+L815/H815-1</f>
        <v>-2.8039920884181169E-2</v>
      </c>
      <c r="M816" s="1525">
        <f t="shared" ref="M816" si="3364">+M815/I815-1</f>
        <v>4.4371859903360455E-3</v>
      </c>
      <c r="N816" s="1525">
        <f>+N815/J815-1</f>
        <v>4.2221325455453984E-2</v>
      </c>
      <c r="O816" s="1525">
        <f>+O815/K815-1</f>
        <v>9.2019854104060439E-2</v>
      </c>
      <c r="P816" s="1525">
        <f t="shared" ref="P816" si="3365">+P815/L815-1</f>
        <v>-1.6440804758471317E-2</v>
      </c>
      <c r="Q816" s="1525">
        <f t="shared" ref="Q816" si="3366">+Q815/M815-1</f>
        <v>-4.6456289447144306E-2</v>
      </c>
      <c r="R816" s="1525">
        <f t="shared" ref="R816" si="3367">+R815/N815-1</f>
        <v>1.6527644025869037E-2</v>
      </c>
      <c r="S816" s="1525">
        <f t="shared" ref="S816" si="3368">+S815/O815-1</f>
        <v>-3.907129508584295E-3</v>
      </c>
      <c r="T816" s="1525">
        <f t="shared" ref="T816" si="3369">+T815/P815-1</f>
        <v>-6.7419296957473285E-2</v>
      </c>
      <c r="U816" s="1525">
        <f t="shared" ref="U816" si="3370">+U815/Q815-1</f>
        <v>-3.674442745432549E-2</v>
      </c>
      <c r="V816" s="1525">
        <f t="shared" ref="V816" si="3371">+V815/R815-1</f>
        <v>-2.6200977343831422E-2</v>
      </c>
      <c r="W816" s="1525">
        <f t="shared" ref="W816" si="3372">+W815/S815-1</f>
        <v>8.4958971178771714E-2</v>
      </c>
      <c r="X816" s="1525">
        <f t="shared" ref="X816" si="3373">+X815/T815-1</f>
        <v>-9.0631682685046289E-2</v>
      </c>
      <c r="Y816" s="1525">
        <f t="shared" ref="Y816" si="3374">+Y815/U815-1</f>
        <v>-9.953253660000505E-2</v>
      </c>
      <c r="Z816" s="1525">
        <f t="shared" ref="Z816" si="3375">+Z815/V815-1</f>
        <v>-1.5278922755852298E-2</v>
      </c>
      <c r="AA816" s="1525">
        <f t="shared" ref="AA816" si="3376">+AA815/W815-1</f>
        <v>-2.9638073264857789E-2</v>
      </c>
      <c r="AB816" s="1525">
        <f t="shared" ref="AB816" si="3377">+AB815/X815-1</f>
        <v>0.15718284624712608</v>
      </c>
      <c r="AC816" s="1525">
        <f t="shared" ref="AC816" si="3378">+AC815/Y815-1</f>
        <v>0.17270394556255342</v>
      </c>
      <c r="AD816" s="1525">
        <f t="shared" ref="AD816" si="3379">+AD815/Z815-1</f>
        <v>0.17568655851919246</v>
      </c>
      <c r="AE816" s="1525">
        <f t="shared" ref="AE816" si="3380">+AE815/AA815-1</f>
        <v>-7.8310035196725858E-3</v>
      </c>
      <c r="AF816" s="1525">
        <f t="shared" ref="AF816" si="3381">+AF815/AB815-1</f>
        <v>6.0478238827989195E-2</v>
      </c>
      <c r="AG816" s="1525">
        <f t="shared" ref="AG816" si="3382">+AG815/AC815-1</f>
        <v>-1.1124162562645479E-2</v>
      </c>
      <c r="AH816" s="1525">
        <f t="shared" ref="AH816" si="3383">+AH815/AD815-1</f>
        <v>-2.5022417532526431E-2</v>
      </c>
      <c r="AI816" s="1525">
        <f t="shared" ref="AI816" si="3384">+AI815/AE815-1</f>
        <v>-6.2125615479213137E-2</v>
      </c>
      <c r="AJ816" s="1525">
        <f t="shared" ref="AJ816" si="3385">+AJ815/AF815-1</f>
        <v>-4.5327179209716517E-3</v>
      </c>
      <c r="AK816" s="1525">
        <f t="shared" ref="AK816" si="3386">+AK815/AG815-1</f>
        <v>0.36807485113689209</v>
      </c>
      <c r="AL816" s="1525">
        <f t="shared" ref="AL816" si="3387">+AL815/AH815-1</f>
        <v>0.33856099257801398</v>
      </c>
      <c r="AM816" s="1525">
        <f t="shared" ref="AM816" si="3388">+AM815/AI815-1</f>
        <v>0.3519037685704911</v>
      </c>
      <c r="AN816" s="1525">
        <f t="shared" ref="AN816" si="3389">+AN815/AJ815-1</f>
        <v>0.33499855780341781</v>
      </c>
      <c r="AO816" s="1525">
        <f t="shared" ref="AO816" si="3390">+AO815/AK815-1</f>
        <v>0.11493580809786463</v>
      </c>
      <c r="AP816" s="1525">
        <f t="shared" ref="AP816" si="3391">+AP815/AL815-1</f>
        <v>0.14072730203628492</v>
      </c>
      <c r="AQ816" s="1525">
        <f t="shared" ref="AQ816" si="3392">+AQ815/AM815-1</f>
        <v>0.14172639744153637</v>
      </c>
      <c r="BC816" s="1525"/>
      <c r="BD816" s="1525"/>
      <c r="BE816" s="1525"/>
      <c r="BH816" s="1525">
        <f>+BH815/BG815-1</f>
        <v>-9.2612163139773607E-2</v>
      </c>
      <c r="BI816" s="1525">
        <f>+BI815/BH815-1</f>
        <v>2.7899829591245817E-2</v>
      </c>
      <c r="BJ816" s="1525">
        <f>+BJ815/BI815-1</f>
        <v>-1.3143631970664038E-2</v>
      </c>
      <c r="BK816" s="1525">
        <f t="shared" ref="BK816" si="3393">+BK815/BJ815-1</f>
        <v>-7.2982598600300763E-3</v>
      </c>
      <c r="BL816" s="1525">
        <f t="shared" ref="BL816" si="3394">+BL815/BK815-1</f>
        <v>-5.6572730768784552E-2</v>
      </c>
      <c r="BM816" s="1525">
        <f t="shared" ref="BM816" si="3395">+BM815/BL815-1</f>
        <v>0.1133887509799032</v>
      </c>
      <c r="BN816" s="1525">
        <f t="shared" ref="BN816:BP816" si="3396">+BN815/BM815-1</f>
        <v>-1.336745655349092E-2</v>
      </c>
      <c r="BO816" s="1525">
        <f t="shared" si="3396"/>
        <v>0.26888207442295431</v>
      </c>
      <c r="BP816" s="1525">
        <f t="shared" si="3396"/>
        <v>0.16994160466161512</v>
      </c>
      <c r="BT816" s="1540"/>
      <c r="BU816" s="1540"/>
      <c r="BV816" s="1540"/>
      <c r="BW816" s="1540"/>
      <c r="BX816" s="1540"/>
      <c r="BY816" s="1540"/>
      <c r="BZ816" s="1540"/>
      <c r="CA816" s="1540"/>
      <c r="CB816" s="1540"/>
      <c r="CC816" s="1540"/>
    </row>
    <row r="817" spans="2:81" s="1518" customFormat="1" hidden="1" outlineLevel="2">
      <c r="B817" s="1524" t="s">
        <v>272</v>
      </c>
      <c r="L817" s="1525">
        <f t="shared" ref="L817:AK817" si="3397">(H806*(1+L808)-H825*(1+L827))/H815-1</f>
        <v>2.9506836208720078E-2</v>
      </c>
      <c r="M817" s="1525">
        <f t="shared" si="3397"/>
        <v>3.94721966631153E-2</v>
      </c>
      <c r="N817" s="1525">
        <f t="shared" si="3397"/>
        <v>8.6614081446150015E-2</v>
      </c>
      <c r="O817" s="1525">
        <f t="shared" si="3397"/>
        <v>0.12853277402305374</v>
      </c>
      <c r="P817" s="1525">
        <f t="shared" si="3397"/>
        <v>-1.8957524485137545E-2</v>
      </c>
      <c r="Q817" s="1525">
        <f t="shared" si="3397"/>
        <v>-2.6363353114640997E-2</v>
      </c>
      <c r="R817" s="1525">
        <f t="shared" si="3397"/>
        <v>3.20589707269614E-2</v>
      </c>
      <c r="S817" s="1525">
        <f t="shared" si="3397"/>
        <v>2.982602785476729E-2</v>
      </c>
      <c r="T817" s="1525">
        <f t="shared" si="3397"/>
        <v>-7.5200105316942323E-2</v>
      </c>
      <c r="U817" s="1525">
        <f t="shared" si="3397"/>
        <v>-4.8619127521932093E-2</v>
      </c>
      <c r="V817" s="1525">
        <f t="shared" si="3397"/>
        <v>-2.0412855045318756E-2</v>
      </c>
      <c r="W817" s="1525">
        <f t="shared" si="3397"/>
        <v>0.10721274938968794</v>
      </c>
      <c r="X817" s="1525">
        <f t="shared" si="3397"/>
        <v>-7.6156410694993459E-2</v>
      </c>
      <c r="Y817" s="1525">
        <f t="shared" si="3397"/>
        <v>-9.9184951458825443E-2</v>
      </c>
      <c r="Z817" s="1525">
        <f t="shared" si="3397"/>
        <v>-3.4929242919872094E-2</v>
      </c>
      <c r="AA817" s="1525">
        <f t="shared" si="3397"/>
        <v>-6.1996454432564074E-2</v>
      </c>
      <c r="AB817" s="1525">
        <f t="shared" si="3397"/>
        <v>0.14092091453251432</v>
      </c>
      <c r="AC817" s="1525">
        <f t="shared" si="3397"/>
        <v>0.17979262303932786</v>
      </c>
      <c r="AD817" s="1525">
        <f t="shared" si="3397"/>
        <v>0.1808410831675078</v>
      </c>
      <c r="AE817" s="1525">
        <f t="shared" si="3397"/>
        <v>9.5646229279444217E-2</v>
      </c>
      <c r="AF817" s="1525">
        <f t="shared" si="3397"/>
        <v>5.4155708300883454E-2</v>
      </c>
      <c r="AG817" s="1525">
        <f t="shared" si="3397"/>
        <v>-1.3042416024933723E-2</v>
      </c>
      <c r="AH817" s="1525">
        <f t="shared" si="3397"/>
        <v>-1.9256845249983834E-2</v>
      </c>
      <c r="AI817" s="1525">
        <f t="shared" si="3397"/>
        <v>-7.9743060339405369E-2</v>
      </c>
      <c r="AJ817" s="1525">
        <f t="shared" si="3397"/>
        <v>-2.6971897742988693E-2</v>
      </c>
      <c r="AK817" s="1525">
        <f t="shared" si="3397"/>
        <v>0.36042238394048765</v>
      </c>
      <c r="AL817" s="1525">
        <f t="shared" ref="AL817" si="3398">(AH806*(1+AL808)-AH825*(1+AL827))/AH815-1</f>
        <v>0.32856099257801397</v>
      </c>
      <c r="AM817" s="1525">
        <f t="shared" ref="AM817" si="3399">(AI806*(1+AM808)-AI825*(1+AM827))/AI815-1</f>
        <v>0.31321225165979216</v>
      </c>
      <c r="AN817" s="1525"/>
      <c r="AO817" s="1525"/>
      <c r="AP817" s="1525"/>
      <c r="AQ817" s="1525"/>
      <c r="BC817" s="1525"/>
      <c r="BD817" s="1525"/>
      <c r="BE817" s="1525"/>
      <c r="BH817" s="1525" t="s">
        <v>273</v>
      </c>
      <c r="BI817" s="1525">
        <f>+SUMPRODUCT(L817:O817,H815:K815)/BH815</f>
        <v>7.0988579900595636E-2</v>
      </c>
      <c r="BJ817" s="1525">
        <f>+SUMPRODUCT(P817:S817,L815:O815)/BI815</f>
        <v>4.4180370108094945E-3</v>
      </c>
      <c r="BK817" s="1525">
        <f>+SUMPRODUCT(T817:W817,P815:S815)/BJ815</f>
        <v>-4.476044493809438E-3</v>
      </c>
      <c r="BL817" s="1525">
        <f>+SUMPRODUCT(X817:AA817,T815:W815)/BK815</f>
        <v>-6.7812842872211954E-2</v>
      </c>
      <c r="BM817" s="1525">
        <f>+SUMPRODUCT(AB817:AE817,X815:AA815)/BL815</f>
        <v>0.14542092585840716</v>
      </c>
      <c r="BN817" s="1525">
        <f>+SUMPRODUCT(AF817:AI817,AB815:AE815)/BM815</f>
        <v>-1.8671965238524376E-2</v>
      </c>
      <c r="BO817" s="1525"/>
      <c r="BP817" s="1525"/>
      <c r="BT817" s="1540"/>
      <c r="BU817" s="1540"/>
      <c r="BV817" s="1540"/>
      <c r="BW817" s="1540"/>
      <c r="BX817" s="1540"/>
      <c r="BY817" s="1540"/>
      <c r="BZ817" s="1540"/>
      <c r="CA817" s="1540"/>
      <c r="CB817" s="1540"/>
      <c r="CC817" s="1540"/>
    </row>
    <row r="818" spans="2:81" s="1518" customFormat="1" hidden="1" outlineLevel="2">
      <c r="B818" s="1524" t="s">
        <v>450</v>
      </c>
      <c r="L818" s="1528"/>
      <c r="M818" s="1528"/>
      <c r="N818" s="1528"/>
      <c r="O818" s="1528"/>
      <c r="P818" s="1528"/>
      <c r="Q818" s="1528"/>
      <c r="R818" s="1528"/>
      <c r="S818" s="1528"/>
      <c r="T818" s="1528"/>
      <c r="U818" s="1528"/>
      <c r="V818" s="1528"/>
      <c r="W818" s="1528"/>
      <c r="X818" s="1528"/>
      <c r="Y818" s="1528"/>
      <c r="Z818" s="1528"/>
      <c r="AA818" s="1528"/>
      <c r="AB818" s="1529">
        <f t="shared" ref="AB818" si="3400">+AB817-AB814/X815</f>
        <v>0.14092091453251432</v>
      </c>
      <c r="AC818" s="1529">
        <f t="shared" ref="AC818" si="3401">+AC817-AC814/Y815</f>
        <v>0.17979262303932786</v>
      </c>
      <c r="AD818" s="1529">
        <f t="shared" ref="AD818" si="3402">+AD817-AD814/Z815</f>
        <v>0.1808410831675078</v>
      </c>
      <c r="AE818" s="1529">
        <f t="shared" ref="AE818" si="3403">+AE817-AE814/AA815</f>
        <v>9.5646229279444217E-2</v>
      </c>
      <c r="AF818" s="1529">
        <f t="shared" ref="AF818" si="3404">+AF817-AF814/AB815</f>
        <v>5.4155708300883454E-2</v>
      </c>
      <c r="AG818" s="1529">
        <f t="shared" ref="AG818" si="3405">+AG817-AG814/AC815</f>
        <v>-1.3042416024933723E-2</v>
      </c>
      <c r="AH818" s="1529">
        <f t="shared" ref="AH818" si="3406">+AH817-AH814/AD815</f>
        <v>-1.9256845249983834E-2</v>
      </c>
      <c r="AI818" s="1529">
        <f t="shared" ref="AI818" si="3407">+AI817-AI814/AE815</f>
        <v>-7.9743060339405369E-2</v>
      </c>
      <c r="AJ818" s="1529">
        <f t="shared" ref="AJ818" si="3408">+AJ817-AJ814/AF815</f>
        <v>-2.6971897742988693E-2</v>
      </c>
      <c r="AK818" s="1529">
        <f t="shared" ref="AK818" si="3409">+AK817-AK814/AG815</f>
        <v>1.3517860752901123E-2</v>
      </c>
      <c r="AL818" s="1529">
        <f t="shared" ref="AL818" si="3410">+AL817-AL814/AH815</f>
        <v>-1.5789052036047468E-2</v>
      </c>
      <c r="AM818" s="1529">
        <f t="shared" ref="AM818" si="3411">+AM817-AM814/AI815</f>
        <v>-2.4262818932260455E-2</v>
      </c>
      <c r="AN818" s="1528"/>
      <c r="AO818" s="1528"/>
      <c r="AP818" s="1528"/>
      <c r="AQ818" s="1528"/>
      <c r="BH818" s="1529" t="s">
        <v>273</v>
      </c>
      <c r="BI818" s="1529">
        <f t="shared" ref="BI818" si="3412">+BI817-BI814/BH815</f>
        <v>7.0988579900595636E-2</v>
      </c>
      <c r="BJ818" s="1529">
        <f t="shared" ref="BJ818" si="3413">+BJ817-BJ814/BI815</f>
        <v>4.4180370108094945E-3</v>
      </c>
      <c r="BK818" s="1529">
        <f t="shared" ref="BK818" si="3414">+BK817-BK814/BJ815</f>
        <v>-4.476044493809438E-3</v>
      </c>
      <c r="BL818" s="1529">
        <f t="shared" ref="BL818" si="3415">+BL817-BL814/BK815</f>
        <v>-6.7812842872211954E-2</v>
      </c>
      <c r="BM818" s="1529">
        <f t="shared" ref="BM818" si="3416">+BM817-BM814/BL815</f>
        <v>0.14542092585840716</v>
      </c>
      <c r="BN818" s="1529">
        <f t="shared" ref="BN818" si="3417">+BN817-BN814/BM815</f>
        <v>-1.8671965238524376E-2</v>
      </c>
      <c r="BO818" s="1529"/>
      <c r="BP818" s="1529"/>
      <c r="BT818" s="1540"/>
      <c r="BU818" s="1540"/>
      <c r="BV818" s="1540"/>
      <c r="BW818" s="1540"/>
      <c r="BX818" s="1540"/>
      <c r="BY818" s="1540"/>
      <c r="BZ818" s="1540"/>
      <c r="CA818" s="1540"/>
      <c r="CB818" s="1540"/>
      <c r="CC818" s="1540"/>
    </row>
    <row r="819" spans="2:81" s="1518" customFormat="1" ht="11.45" outlineLevel="1" collapsed="1">
      <c r="B819" s="1524" t="s">
        <v>123</v>
      </c>
      <c r="H819" s="1525">
        <f t="shared" ref="H819:AJ819" si="3418">+H815/H798</f>
        <v>0.30696834426704567</v>
      </c>
      <c r="I819" s="1525">
        <f t="shared" si="3418"/>
        <v>0.26174292673346494</v>
      </c>
      <c r="J819" s="1525">
        <f t="shared" si="3418"/>
        <v>0.30408052672622687</v>
      </c>
      <c r="K819" s="1525">
        <f t="shared" si="3418"/>
        <v>0.33121220557232306</v>
      </c>
      <c r="L819" s="1525">
        <f t="shared" si="3418"/>
        <v>0.29890183100977685</v>
      </c>
      <c r="M819" s="1525">
        <f t="shared" si="3418"/>
        <v>0.25683398232356119</v>
      </c>
      <c r="N819" s="1525">
        <f t="shared" si="3418"/>
        <v>0.28042412668407807</v>
      </c>
      <c r="O819" s="1525">
        <f t="shared" si="3418"/>
        <v>0.30896401454025485</v>
      </c>
      <c r="P819" s="1525">
        <f t="shared" si="3418"/>
        <v>0.25656208159756427</v>
      </c>
      <c r="Q819" s="1525">
        <f t="shared" si="3418"/>
        <v>0.22938986799473945</v>
      </c>
      <c r="R819" s="1525">
        <f t="shared" si="3418"/>
        <v>0.26469371549486931</v>
      </c>
      <c r="S819" s="1525">
        <f t="shared" si="3418"/>
        <v>0.29498708469637769</v>
      </c>
      <c r="T819" s="1525">
        <f t="shared" si="3418"/>
        <v>0.23094763673224805</v>
      </c>
      <c r="U819" s="1525">
        <f t="shared" si="3418"/>
        <v>0.21731490157659697</v>
      </c>
      <c r="V819" s="1525">
        <f t="shared" si="3418"/>
        <v>0.25032832426196128</v>
      </c>
      <c r="W819" s="1525">
        <f t="shared" si="3418"/>
        <v>0.27961513259255255</v>
      </c>
      <c r="X819" s="1525">
        <f t="shared" si="3418"/>
        <v>0.19732579049030077</v>
      </c>
      <c r="Y819" s="1525">
        <f t="shared" si="3418"/>
        <v>0.17095585973934732</v>
      </c>
      <c r="Z819" s="1525">
        <f t="shared" si="3418"/>
        <v>0.20794721062597216</v>
      </c>
      <c r="AA819" s="1525">
        <f t="shared" si="3418"/>
        <v>0.24867548739144801</v>
      </c>
      <c r="AB819" s="1525">
        <f t="shared" si="3418"/>
        <v>0.20321650845191958</v>
      </c>
      <c r="AC819" s="1525">
        <f t="shared" si="3418"/>
        <v>0.17358533083716216</v>
      </c>
      <c r="AD819" s="1525">
        <f t="shared" si="3418"/>
        <v>0.21949386584322422</v>
      </c>
      <c r="AE819" s="1525">
        <f t="shared" si="3418"/>
        <v>0.24208777794626715</v>
      </c>
      <c r="AF819" s="1525">
        <f t="shared" si="3418"/>
        <v>0.21521572186282451</v>
      </c>
      <c r="AG819" s="1525">
        <f t="shared" si="3418"/>
        <v>0.21057407021098101</v>
      </c>
      <c r="AH819" s="1525">
        <f t="shared" si="3418"/>
        <v>0.23433659222659073</v>
      </c>
      <c r="AI819" s="1525">
        <f t="shared" si="3418"/>
        <v>0.23441208356296064</v>
      </c>
      <c r="AJ819" s="1525">
        <f t="shared" si="3418"/>
        <v>0.20900413257475162</v>
      </c>
      <c r="AK819" s="1525">
        <f t="shared" ref="AK819" si="3419">+AK815/AK798</f>
        <v>0.24281632081421664</v>
      </c>
      <c r="AL819" s="1525">
        <f t="shared" ref="AL819:AM819" si="3420">+AL815/AL798</f>
        <v>0.26696501109969162</v>
      </c>
      <c r="AM819" s="1525">
        <f t="shared" si="3420"/>
        <v>0.27722745286695794</v>
      </c>
      <c r="AN819" s="1525">
        <f t="shared" ref="AN819:AQ819" si="3421">+AN815/AN798</f>
        <v>0.24701665455659302</v>
      </c>
      <c r="AO819" s="1525">
        <f t="shared" si="3421"/>
        <v>0.26785742327907303</v>
      </c>
      <c r="AP819" s="1525">
        <f t="shared" si="3421"/>
        <v>0.28300829112762793</v>
      </c>
      <c r="AQ819" s="1525">
        <f t="shared" si="3421"/>
        <v>0.29481629954680366</v>
      </c>
      <c r="BA819" s="1525"/>
      <c r="BB819" s="1525"/>
      <c r="BC819" s="1525"/>
      <c r="BD819" s="1525"/>
      <c r="BE819" s="1525"/>
      <c r="BG819" s="1525">
        <f t="shared" ref="BG819:BP819" si="3422">+BG815/BG798</f>
        <v>0.31970728866805009</v>
      </c>
      <c r="BH819" s="1525">
        <f t="shared" si="3422"/>
        <v>0.2983376747291217</v>
      </c>
      <c r="BI819" s="1525">
        <f t="shared" si="3422"/>
        <v>0.28503044189630339</v>
      </c>
      <c r="BJ819" s="1525">
        <f t="shared" si="3422"/>
        <v>0.26022072942970642</v>
      </c>
      <c r="BK819" s="1525">
        <f t="shared" si="3422"/>
        <v>0.24465356465456026</v>
      </c>
      <c r="BL819" s="1525">
        <f t="shared" si="3422"/>
        <v>0.20588524495986715</v>
      </c>
      <c r="BM819" s="1525">
        <f t="shared" si="3422"/>
        <v>0.20785777334406361</v>
      </c>
      <c r="BN819" s="1525">
        <f t="shared" si="3422"/>
        <v>0.22351741652969787</v>
      </c>
      <c r="BO819" s="1525">
        <f t="shared" si="3422"/>
        <v>0.25024997077142414</v>
      </c>
      <c r="BP819" s="1525">
        <f t="shared" si="3422"/>
        <v>0.27377177795270291</v>
      </c>
      <c r="BT819" s="1542"/>
      <c r="BU819" s="1542"/>
      <c r="BV819" s="1542"/>
      <c r="BW819" s="1542"/>
      <c r="BX819" s="1542"/>
      <c r="BY819" s="1542"/>
      <c r="BZ819" s="1542"/>
      <c r="CA819" s="1542"/>
      <c r="CB819" s="1542"/>
      <c r="CC819" s="1542"/>
    </row>
    <row r="820" spans="2:81" s="1518" customFormat="1" outlineLevel="1">
      <c r="B820" s="1539"/>
      <c r="AG820" s="1521"/>
      <c r="BT820" s="1543"/>
      <c r="BU820" s="1543"/>
      <c r="BV820" s="1543"/>
      <c r="BW820" s="1543"/>
      <c r="BX820" s="1543"/>
      <c r="BY820" s="1543"/>
      <c r="BZ820" s="1543"/>
      <c r="CA820" s="1543"/>
      <c r="CB820" s="1543"/>
      <c r="CC820" s="1543"/>
    </row>
    <row r="821" spans="2:81" s="1518" customFormat="1" outlineLevel="1">
      <c r="B821" s="1518" t="s">
        <v>447</v>
      </c>
      <c r="H821" s="1521"/>
      <c r="I821" s="1521"/>
      <c r="J821" s="1521"/>
      <c r="K821" s="1521"/>
      <c r="L821" s="1521"/>
      <c r="M821" s="1521"/>
      <c r="N821" s="1521"/>
      <c r="O821" s="1521"/>
      <c r="P821" s="1521"/>
      <c r="Q821" s="1521"/>
      <c r="R821" s="1521"/>
      <c r="S821" s="1521"/>
      <c r="T821" s="1521">
        <f>+T825-T824</f>
        <v>4015</v>
      </c>
      <c r="U821" s="1521">
        <f t="shared" ref="U821:AK821" si="3423">+U825-U824</f>
        <v>4178</v>
      </c>
      <c r="V821" s="1521">
        <f t="shared" si="3423"/>
        <v>3627</v>
      </c>
      <c r="W821" s="1521">
        <f t="shared" si="3423"/>
        <v>4091</v>
      </c>
      <c r="X821" s="1521">
        <f t="shared" si="3423"/>
        <v>4748</v>
      </c>
      <c r="Y821" s="1521">
        <f t="shared" si="3423"/>
        <v>5224</v>
      </c>
      <c r="Z821" s="1521">
        <f t="shared" si="3423"/>
        <v>4594</v>
      </c>
      <c r="AA821" s="1521">
        <f t="shared" si="3423"/>
        <v>4873</v>
      </c>
      <c r="AB821" s="1521">
        <f t="shared" si="3423"/>
        <v>5095</v>
      </c>
      <c r="AC821" s="1521">
        <f t="shared" si="3423"/>
        <v>6362</v>
      </c>
      <c r="AD821" s="1521">
        <f t="shared" si="3423"/>
        <v>4899</v>
      </c>
      <c r="AE821" s="1521">
        <f t="shared" si="3423"/>
        <v>4619</v>
      </c>
      <c r="AF821" s="1521">
        <f t="shared" si="3423"/>
        <v>4217</v>
      </c>
      <c r="AG821" s="1521">
        <f t="shared" si="3423"/>
        <v>3701.72</v>
      </c>
      <c r="AH821" s="1521">
        <f t="shared" si="3423"/>
        <v>4237</v>
      </c>
      <c r="AI821" s="1521">
        <f t="shared" si="3423"/>
        <v>4676</v>
      </c>
      <c r="AJ821" s="1521">
        <f t="shared" si="3423"/>
        <v>5174</v>
      </c>
      <c r="AK821" s="1521">
        <f t="shared" si="3423"/>
        <v>4727</v>
      </c>
      <c r="AL821" s="1521">
        <f t="shared" ref="AL821:AM821" si="3424">+AL825-AL824</f>
        <v>5275</v>
      </c>
      <c r="AM821" s="1521">
        <f t="shared" si="3424"/>
        <v>5273</v>
      </c>
      <c r="AN821" s="1521">
        <f>+AN796*(AJ831)</f>
        <v>5204.5047035452517</v>
      </c>
      <c r="AO821" s="1521">
        <f t="shared" ref="AO821:AQ821" si="3425">+AO796*(AK831)</f>
        <v>4731.5970706559647</v>
      </c>
      <c r="AP821" s="1521">
        <f t="shared" si="3425"/>
        <v>5673.2161643860263</v>
      </c>
      <c r="AQ821" s="1521">
        <f t="shared" si="3425"/>
        <v>5657.1668219941948</v>
      </c>
      <c r="AR821" s="1521"/>
      <c r="BB821" s="1521">
        <f t="shared" ref="BB821" si="3426">+BB825-BB824</f>
        <v>5605</v>
      </c>
      <c r="BC821" s="1521">
        <f t="shared" ref="BC821" si="3427">+BC825-BC824</f>
        <v>5095</v>
      </c>
      <c r="BD821" s="1521">
        <f t="shared" ref="BD821" si="3428">+BD825-BD824</f>
        <v>6202</v>
      </c>
      <c r="BE821" s="1521">
        <f t="shared" ref="BE821" si="3429">+BE825-BE824</f>
        <v>8288</v>
      </c>
      <c r="BG821" s="1521">
        <f t="shared" ref="BG821" si="3430">+BG825-BG824</f>
        <v>6183</v>
      </c>
      <c r="BH821" s="1521">
        <f t="shared" ref="BH821" si="3431">+BH825-BH824</f>
        <v>8815</v>
      </c>
      <c r="BI821" s="1521">
        <f t="shared" ref="BI821" si="3432">+BI825-BI824</f>
        <v>10610</v>
      </c>
      <c r="BJ821" s="1521">
        <f t="shared" ref="BJ821" si="3433">+BJ825-BJ824</f>
        <v>12820</v>
      </c>
      <c r="BK821" s="1521">
        <f t="shared" ref="BK821" si="3434">+BK825-BK824</f>
        <v>15911</v>
      </c>
      <c r="BL821" s="1521">
        <f t="shared" ref="BL821" si="3435">+BL825-BL824</f>
        <v>19439</v>
      </c>
      <c r="BM821" s="1521">
        <f t="shared" ref="BM821" si="3436">+BM825-BM824</f>
        <v>20975</v>
      </c>
      <c r="BN821" s="1521">
        <f t="shared" ref="BN821" si="3437">+BN825-BN824</f>
        <v>16831.72</v>
      </c>
      <c r="BO821" s="1521">
        <f t="shared" ref="BO821:BO824" si="3438">SUM(AJ821:AM821)</f>
        <v>20449</v>
      </c>
      <c r="BP821" s="1521">
        <f t="shared" ref="BP821:BP825" si="3439">+SUM(AN821:AQ821)</f>
        <v>21266.484760581436</v>
      </c>
      <c r="BT821" s="1543"/>
      <c r="BU821" s="1543"/>
      <c r="BV821" s="1543"/>
      <c r="BW821" s="1543"/>
      <c r="BX821" s="1543"/>
      <c r="BY821" s="1543"/>
      <c r="BZ821" s="1543"/>
      <c r="CA821" s="1543"/>
      <c r="CB821" s="1543"/>
      <c r="CC821" s="1543"/>
    </row>
    <row r="822" spans="2:81" s="1518" customFormat="1" hidden="1" outlineLevel="2">
      <c r="B822" s="1518" t="s">
        <v>478</v>
      </c>
      <c r="C822" s="1521"/>
      <c r="D822" s="1521">
        <v>0</v>
      </c>
      <c r="E822" s="1521">
        <v>0</v>
      </c>
      <c r="F822" s="1521">
        <v>0</v>
      </c>
      <c r="G822" s="1521">
        <v>0</v>
      </c>
      <c r="H822" s="1521">
        <v>0</v>
      </c>
      <c r="I822" s="1521">
        <v>0</v>
      </c>
      <c r="J822" s="1521">
        <v>0</v>
      </c>
      <c r="K822" s="1521">
        <v>0</v>
      </c>
      <c r="L822" s="1521">
        <v>0</v>
      </c>
      <c r="M822" s="1521">
        <v>0</v>
      </c>
      <c r="N822" s="1521">
        <v>0</v>
      </c>
      <c r="O822" s="1521">
        <v>0</v>
      </c>
      <c r="P822" s="1521">
        <v>0</v>
      </c>
      <c r="Q822" s="1521">
        <v>0</v>
      </c>
      <c r="R822" s="1521">
        <v>0</v>
      </c>
      <c r="S822" s="1521">
        <v>0</v>
      </c>
      <c r="T822" s="1521">
        <v>0</v>
      </c>
      <c r="U822" s="1521">
        <v>0</v>
      </c>
      <c r="V822" s="1521">
        <v>0</v>
      </c>
      <c r="W822" s="1521">
        <v>0</v>
      </c>
      <c r="X822" s="1521">
        <v>0</v>
      </c>
      <c r="Y822" s="1521">
        <v>0</v>
      </c>
      <c r="Z822" s="1521">
        <v>0</v>
      </c>
      <c r="AA822" s="1521">
        <v>0</v>
      </c>
      <c r="AB822" s="1521">
        <v>0</v>
      </c>
      <c r="AC822" s="1521">
        <v>0</v>
      </c>
      <c r="AD822" s="1521">
        <v>0</v>
      </c>
      <c r="AE822" s="1521">
        <v>0</v>
      </c>
      <c r="AF822" s="1521">
        <v>0</v>
      </c>
      <c r="AG822" s="1521">
        <v>0</v>
      </c>
      <c r="AH822" s="1521">
        <v>0</v>
      </c>
      <c r="AI822" s="1521">
        <v>0</v>
      </c>
      <c r="AJ822" s="1521">
        <v>0</v>
      </c>
      <c r="AK822" s="1532">
        <f>AK804</f>
        <v>0</v>
      </c>
      <c r="AL822" s="1532">
        <f t="shared" ref="AL822:AM822" si="3440">AL804</f>
        <v>0</v>
      </c>
      <c r="AM822" s="1532">
        <f t="shared" si="3440"/>
        <v>0</v>
      </c>
      <c r="AN822" s="1532">
        <f t="shared" ref="AN822:AQ822" si="3441">AN804</f>
        <v>0</v>
      </c>
      <c r="AO822" s="1532">
        <f t="shared" si="3441"/>
        <v>0</v>
      </c>
      <c r="AP822" s="1532">
        <f t="shared" si="3441"/>
        <v>0</v>
      </c>
      <c r="AQ822" s="1532">
        <f t="shared" si="3441"/>
        <v>0</v>
      </c>
      <c r="AR822" s="1521"/>
      <c r="BB822" s="1521"/>
      <c r="BC822" s="1521"/>
      <c r="BD822" s="1521"/>
      <c r="BE822" s="1521"/>
      <c r="BG822" s="1521"/>
      <c r="BH822" s="1521">
        <v>0</v>
      </c>
      <c r="BI822" s="1521">
        <v>0</v>
      </c>
      <c r="BJ822" s="1521">
        <v>0</v>
      </c>
      <c r="BK822" s="1521">
        <v>0</v>
      </c>
      <c r="BL822" s="1521">
        <v>0</v>
      </c>
      <c r="BM822" s="1521">
        <v>0</v>
      </c>
      <c r="BN822" s="1521">
        <v>0</v>
      </c>
      <c r="BO822" s="1521">
        <f t="shared" si="3438"/>
        <v>0</v>
      </c>
      <c r="BP822" s="1521">
        <f t="shared" si="3439"/>
        <v>0</v>
      </c>
      <c r="BT822" s="1543"/>
      <c r="BU822" s="1543"/>
      <c r="BV822" s="1543"/>
      <c r="BW822" s="1543"/>
      <c r="BX822" s="1543"/>
      <c r="BY822" s="1543"/>
      <c r="BZ822" s="1543"/>
      <c r="CA822" s="1543"/>
      <c r="CB822" s="1543"/>
      <c r="CC822" s="1543"/>
    </row>
    <row r="823" spans="2:81" s="1518" customFormat="1" hidden="1" outlineLevel="2">
      <c r="B823" s="1518" t="s">
        <v>480</v>
      </c>
      <c r="H823" s="1521"/>
      <c r="I823" s="1521"/>
      <c r="J823" s="1521"/>
      <c r="K823" s="1521"/>
      <c r="L823" s="1521"/>
      <c r="M823" s="1521"/>
      <c r="N823" s="1521"/>
      <c r="O823" s="1521"/>
      <c r="P823" s="1521"/>
      <c r="Q823" s="1521"/>
      <c r="R823" s="1521"/>
      <c r="S823" s="1521"/>
      <c r="T823" s="1521">
        <v>0</v>
      </c>
      <c r="U823" s="1521">
        <v>0</v>
      </c>
      <c r="V823" s="1521">
        <v>0</v>
      </c>
      <c r="W823" s="1521">
        <v>0</v>
      </c>
      <c r="X823" s="1521">
        <v>0</v>
      </c>
      <c r="Y823" s="1521">
        <v>0</v>
      </c>
      <c r="Z823" s="1521">
        <v>0</v>
      </c>
      <c r="AA823" s="1521">
        <v>0</v>
      </c>
      <c r="AB823" s="1521">
        <v>0</v>
      </c>
      <c r="AC823" s="1521">
        <v>0</v>
      </c>
      <c r="AD823" s="1521">
        <v>0</v>
      </c>
      <c r="AE823" s="1521">
        <v>0</v>
      </c>
      <c r="AF823" s="1521">
        <v>0</v>
      </c>
      <c r="AG823" s="1521">
        <v>0</v>
      </c>
      <c r="AH823" s="1521">
        <v>0</v>
      </c>
      <c r="AI823" s="1521">
        <v>0</v>
      </c>
      <c r="AJ823" s="1521">
        <v>0</v>
      </c>
      <c r="AK823" s="1532">
        <f>-AK813</f>
        <v>0</v>
      </c>
      <c r="AL823" s="1532">
        <f t="shared" ref="AL823:AM823" si="3442">-AL813</f>
        <v>0</v>
      </c>
      <c r="AM823" s="1532">
        <f t="shared" si="3442"/>
        <v>0</v>
      </c>
      <c r="AN823" s="1521">
        <v>0</v>
      </c>
      <c r="AO823" s="1521">
        <v>0</v>
      </c>
      <c r="AP823" s="1521">
        <v>0</v>
      </c>
      <c r="AQ823" s="1521">
        <v>0</v>
      </c>
      <c r="AR823" s="1521"/>
      <c r="BB823" s="1521"/>
      <c r="BC823" s="1521"/>
      <c r="BD823" s="1521"/>
      <c r="BE823" s="1521"/>
      <c r="BG823" s="1521"/>
      <c r="BH823" s="1521">
        <v>0</v>
      </c>
      <c r="BI823" s="1521">
        <v>0</v>
      </c>
      <c r="BJ823" s="1521">
        <v>0</v>
      </c>
      <c r="BK823" s="1521">
        <v>0</v>
      </c>
      <c r="BL823" s="1521">
        <v>0</v>
      </c>
      <c r="BM823" s="1521">
        <v>0</v>
      </c>
      <c r="BN823" s="1521">
        <v>0</v>
      </c>
      <c r="BO823" s="1521">
        <f t="shared" si="3438"/>
        <v>0</v>
      </c>
      <c r="BP823" s="1521">
        <f t="shared" si="3439"/>
        <v>0</v>
      </c>
      <c r="BT823" s="1543"/>
      <c r="BU823" s="1543"/>
      <c r="BV823" s="1543"/>
      <c r="BW823" s="1543"/>
      <c r="BX823" s="1543"/>
      <c r="BY823" s="1543"/>
      <c r="BZ823" s="1543"/>
      <c r="CA823" s="1543"/>
      <c r="CB823" s="1543"/>
      <c r="CC823" s="1543"/>
    </row>
    <row r="824" spans="2:81" s="1300" customFormat="1" outlineLevel="1" collapsed="1">
      <c r="B824" s="1518" t="s">
        <v>448</v>
      </c>
      <c r="C824" s="1522"/>
      <c r="D824" s="1522">
        <v>0</v>
      </c>
      <c r="E824" s="1522">
        <v>0</v>
      </c>
      <c r="F824" s="1522">
        <v>0</v>
      </c>
      <c r="G824" s="1522">
        <v>0</v>
      </c>
      <c r="H824" s="1522">
        <v>0</v>
      </c>
      <c r="I824" s="1522">
        <v>0</v>
      </c>
      <c r="J824" s="1522">
        <v>0</v>
      </c>
      <c r="K824" s="1522">
        <v>0</v>
      </c>
      <c r="L824" s="1522">
        <v>0</v>
      </c>
      <c r="M824" s="1522">
        <v>0</v>
      </c>
      <c r="N824" s="1522">
        <v>0</v>
      </c>
      <c r="O824" s="1522">
        <v>0</v>
      </c>
      <c r="P824" s="1522">
        <v>0</v>
      </c>
      <c r="Q824" s="1522">
        <v>0</v>
      </c>
      <c r="R824" s="1522">
        <v>0</v>
      </c>
      <c r="S824" s="1522">
        <v>0</v>
      </c>
      <c r="T824" s="1522">
        <v>0</v>
      </c>
      <c r="U824" s="1522">
        <v>0</v>
      </c>
      <c r="V824" s="1522">
        <v>0</v>
      </c>
      <c r="W824" s="1522">
        <v>0</v>
      </c>
      <c r="X824" s="1522">
        <v>0</v>
      </c>
      <c r="Y824" s="1522">
        <v>0</v>
      </c>
      <c r="Z824" s="1522">
        <v>0</v>
      </c>
      <c r="AA824" s="1522">
        <v>0</v>
      </c>
      <c r="AB824" s="1522">
        <v>0</v>
      </c>
      <c r="AC824" s="1522">
        <v>0</v>
      </c>
      <c r="AD824" s="1522">
        <v>0</v>
      </c>
      <c r="AE824" s="1522">
        <v>0</v>
      </c>
      <c r="AF824" s="1522">
        <v>0</v>
      </c>
      <c r="AG824" s="1522">
        <v>0</v>
      </c>
      <c r="AH824" s="1522">
        <v>0</v>
      </c>
      <c r="AI824" s="1522">
        <v>0</v>
      </c>
      <c r="AJ824" s="1522">
        <v>0</v>
      </c>
      <c r="AK824" s="1522">
        <f>-440+550+580</f>
        <v>690</v>
      </c>
      <c r="AL824" s="1522">
        <f>-350+270+670</f>
        <v>590</v>
      </c>
      <c r="AM824" s="1522">
        <f t="shared" ref="AM824" si="3443">-350+270+670</f>
        <v>590</v>
      </c>
      <c r="AN824" s="1522">
        <f t="shared" ref="AN824:AQ824" si="3444">+AN805-AN814</f>
        <v>470</v>
      </c>
      <c r="AO824" s="1522">
        <f t="shared" si="3444"/>
        <v>929.2</v>
      </c>
      <c r="AP824" s="1522">
        <f t="shared" si="3444"/>
        <v>792.80000000000018</v>
      </c>
      <c r="AQ824" s="1522">
        <f t="shared" si="3444"/>
        <v>752.60000000000014</v>
      </c>
      <c r="AR824" s="1521"/>
      <c r="AS824" s="1522"/>
      <c r="AT824" s="1522"/>
      <c r="AU824" s="1522"/>
      <c r="AV824" s="1522"/>
      <c r="AW824" s="1522"/>
      <c r="AX824" s="1522"/>
      <c r="AY824" s="1522"/>
      <c r="AZ824" s="1522"/>
      <c r="BA824" s="1522"/>
      <c r="BB824" s="1522">
        <v>0</v>
      </c>
      <c r="BC824" s="1522">
        <v>0</v>
      </c>
      <c r="BD824" s="1522">
        <v>0</v>
      </c>
      <c r="BE824" s="1522">
        <v>0</v>
      </c>
      <c r="BF824" s="1522"/>
      <c r="BG824" s="1522">
        <v>0</v>
      </c>
      <c r="BH824" s="1522">
        <v>0</v>
      </c>
      <c r="BI824" s="1522">
        <v>0</v>
      </c>
      <c r="BJ824" s="1522">
        <v>0</v>
      </c>
      <c r="BK824" s="1522">
        <v>0</v>
      </c>
      <c r="BL824" s="1522">
        <v>0</v>
      </c>
      <c r="BM824" s="1522">
        <v>0</v>
      </c>
      <c r="BN824" s="1522">
        <v>0</v>
      </c>
      <c r="BO824" s="1522">
        <f t="shared" si="3438"/>
        <v>1870</v>
      </c>
      <c r="BP824" s="1522">
        <f t="shared" si="3439"/>
        <v>2944.6000000000004</v>
      </c>
      <c r="BT824" s="1543"/>
      <c r="BU824" s="1543"/>
      <c r="BV824" s="1543"/>
      <c r="BW824" s="1543"/>
      <c r="BX824" s="1543"/>
      <c r="BY824" s="1543"/>
      <c r="BZ824" s="1543"/>
      <c r="CA824" s="1543"/>
      <c r="CB824" s="1543"/>
      <c r="CC824" s="1543"/>
    </row>
    <row r="825" spans="2:81" s="1518" customFormat="1" outlineLevel="1">
      <c r="B825" s="1523" t="s">
        <v>352</v>
      </c>
      <c r="H825" s="1521">
        <f t="shared" ref="H825:AM825" si="3445">+H257</f>
        <v>2033</v>
      </c>
      <c r="I825" s="1521">
        <f t="shared" si="3445"/>
        <v>2561</v>
      </c>
      <c r="J825" s="1521">
        <f t="shared" si="3445"/>
        <v>2035</v>
      </c>
      <c r="K825" s="1521">
        <f t="shared" si="3445"/>
        <v>2186</v>
      </c>
      <c r="L825" s="1521">
        <f t="shared" si="3445"/>
        <v>2565</v>
      </c>
      <c r="M825" s="1521">
        <f t="shared" si="3445"/>
        <v>2510</v>
      </c>
      <c r="N825" s="1521">
        <f t="shared" si="3445"/>
        <v>2523</v>
      </c>
      <c r="O825" s="1521">
        <f t="shared" si="3445"/>
        <v>3012</v>
      </c>
      <c r="P825" s="1521">
        <f t="shared" si="3445"/>
        <v>3143</v>
      </c>
      <c r="Q825" s="1521">
        <f t="shared" si="3445"/>
        <v>2964</v>
      </c>
      <c r="R825" s="1521">
        <f t="shared" si="3445"/>
        <v>3154</v>
      </c>
      <c r="S825" s="1521">
        <f t="shared" si="3445"/>
        <v>3559</v>
      </c>
      <c r="T825" s="1521">
        <f t="shared" si="3445"/>
        <v>4015</v>
      </c>
      <c r="U825" s="1521">
        <f t="shared" si="3445"/>
        <v>4178</v>
      </c>
      <c r="V825" s="1521">
        <f t="shared" si="3445"/>
        <v>3627</v>
      </c>
      <c r="W825" s="1521">
        <f t="shared" si="3445"/>
        <v>4091</v>
      </c>
      <c r="X825" s="1521">
        <f t="shared" si="3445"/>
        <v>4748</v>
      </c>
      <c r="Y825" s="1521">
        <f t="shared" si="3445"/>
        <v>5224</v>
      </c>
      <c r="Z825" s="1521">
        <f t="shared" si="3445"/>
        <v>4594</v>
      </c>
      <c r="AA825" s="1521">
        <f t="shared" si="3445"/>
        <v>4873</v>
      </c>
      <c r="AB825" s="1521">
        <f t="shared" si="3445"/>
        <v>5095</v>
      </c>
      <c r="AC825" s="1521">
        <f t="shared" si="3445"/>
        <v>6362</v>
      </c>
      <c r="AD825" s="1521">
        <f t="shared" si="3445"/>
        <v>4899</v>
      </c>
      <c r="AE825" s="1521">
        <f t="shared" si="3445"/>
        <v>4619</v>
      </c>
      <c r="AF825" s="1521">
        <f t="shared" si="3445"/>
        <v>4217</v>
      </c>
      <c r="AG825" s="1521">
        <f t="shared" si="3445"/>
        <v>3701.72</v>
      </c>
      <c r="AH825" s="1521">
        <f t="shared" si="3445"/>
        <v>4237</v>
      </c>
      <c r="AI825" s="1521">
        <f t="shared" si="3445"/>
        <v>4676</v>
      </c>
      <c r="AJ825" s="1521">
        <f t="shared" si="3445"/>
        <v>5174</v>
      </c>
      <c r="AK825" s="1521">
        <f t="shared" si="3445"/>
        <v>5417</v>
      </c>
      <c r="AL825" s="1521">
        <f t="shared" si="3445"/>
        <v>5865</v>
      </c>
      <c r="AM825" s="1521">
        <f t="shared" si="3445"/>
        <v>5863</v>
      </c>
      <c r="AN825" s="1521">
        <f t="shared" ref="AN825:AQ825" si="3446">+SUM(AN821:AN824)</f>
        <v>5674.5047035452517</v>
      </c>
      <c r="AO825" s="1521">
        <f t="shared" si="3446"/>
        <v>5660.7970706559645</v>
      </c>
      <c r="AP825" s="1521">
        <f t="shared" si="3446"/>
        <v>6466.0161643860265</v>
      </c>
      <c r="AQ825" s="1521">
        <f t="shared" si="3446"/>
        <v>6409.7668219941952</v>
      </c>
      <c r="AR825" s="1521"/>
      <c r="BB825" s="1521">
        <f>+BB257</f>
        <v>5605</v>
      </c>
      <c r="BC825" s="1521">
        <f>+BC257</f>
        <v>5095</v>
      </c>
      <c r="BD825" s="1521">
        <f>+BD257</f>
        <v>6202</v>
      </c>
      <c r="BE825" s="1521">
        <f>+BE257</f>
        <v>8288</v>
      </c>
      <c r="BG825" s="1521">
        <f t="shared" ref="BG825:BM825" si="3447">+BG257</f>
        <v>6183</v>
      </c>
      <c r="BH825" s="1521">
        <f t="shared" si="3447"/>
        <v>8815</v>
      </c>
      <c r="BI825" s="1521">
        <f t="shared" si="3447"/>
        <v>10610</v>
      </c>
      <c r="BJ825" s="1521">
        <f t="shared" si="3447"/>
        <v>12820</v>
      </c>
      <c r="BK825" s="1521">
        <f t="shared" si="3447"/>
        <v>15911</v>
      </c>
      <c r="BL825" s="1521">
        <f t="shared" si="3447"/>
        <v>19439</v>
      </c>
      <c r="BM825" s="1521">
        <f t="shared" si="3447"/>
        <v>20975</v>
      </c>
      <c r="BN825" s="1521">
        <f>SUM(AF825:AI825)</f>
        <v>16831.72</v>
      </c>
      <c r="BO825" s="1521">
        <f>SUM(AJ825:AM825)</f>
        <v>22319</v>
      </c>
      <c r="BP825" s="1521">
        <f t="shared" si="3439"/>
        <v>24211.084760581438</v>
      </c>
      <c r="BT825" s="1543"/>
      <c r="BU825" s="1543"/>
      <c r="BV825" s="1543"/>
      <c r="BW825" s="1543"/>
      <c r="BX825" s="1543"/>
      <c r="BY825" s="1543"/>
      <c r="BZ825" s="1543"/>
      <c r="CA825" s="1543"/>
      <c r="CB825" s="1543"/>
      <c r="CC825" s="1543"/>
    </row>
    <row r="826" spans="2:81" s="1518" customFormat="1" outlineLevel="1">
      <c r="B826" s="1524" t="s">
        <v>113</v>
      </c>
      <c r="L826" s="1525">
        <f t="shared" ref="L826" si="3448">+L825/H825-1</f>
        <v>0.26168224299065423</v>
      </c>
      <c r="M826" s="1525">
        <f t="shared" ref="M826" si="3449">+M825/I825-1</f>
        <v>-1.991409605622807E-2</v>
      </c>
      <c r="N826" s="1525">
        <f>+N825/J825-1</f>
        <v>0.23980343980343988</v>
      </c>
      <c r="O826" s="1525">
        <f>+O825/K825-1</f>
        <v>0.37785910338517836</v>
      </c>
      <c r="P826" s="1525">
        <f t="shared" ref="P826:V826" si="3450">+P825/L825-1</f>
        <v>0.22534113060428851</v>
      </c>
      <c r="Q826" s="1525">
        <f t="shared" si="3450"/>
        <v>0.18087649402390449</v>
      </c>
      <c r="R826" s="1525">
        <f t="shared" si="3450"/>
        <v>0.25009908838684103</v>
      </c>
      <c r="S826" s="1525">
        <f t="shared" si="3450"/>
        <v>0.18160690571049143</v>
      </c>
      <c r="T826" s="1525">
        <f t="shared" si="3450"/>
        <v>0.27744193445752474</v>
      </c>
      <c r="U826" s="1525">
        <f t="shared" si="3450"/>
        <v>0.40958164642375161</v>
      </c>
      <c r="V826" s="1525">
        <f t="shared" si="3450"/>
        <v>0.14996829422954971</v>
      </c>
      <c r="W826" s="1525">
        <f t="shared" ref="W826:X826" si="3451">+W825/S825-1</f>
        <v>0.14948019106490595</v>
      </c>
      <c r="X826" s="1525">
        <f t="shared" si="3451"/>
        <v>0.18256537982565391</v>
      </c>
      <c r="Y826" s="1525">
        <f t="shared" ref="Y826" si="3452">+Y825/U825-1</f>
        <v>0.2503590234561992</v>
      </c>
      <c r="Z826" s="1525">
        <f t="shared" ref="Z826" si="3453">+Z825/V825-1</f>
        <v>0.26661152467604077</v>
      </c>
      <c r="AA826" s="1525">
        <f t="shared" ref="AA826" si="3454">+AA825/W825-1</f>
        <v>0.1911513077487168</v>
      </c>
      <c r="AB826" s="1525">
        <f t="shared" ref="AB826" si="3455">+AB825/X825-1</f>
        <v>7.308340353833187E-2</v>
      </c>
      <c r="AC826" s="1525">
        <f t="shared" ref="AC826:AD826" si="3456">+AC825/Y825-1</f>
        <v>0.21784073506891266</v>
      </c>
      <c r="AD826" s="1525">
        <f t="shared" si="3456"/>
        <v>6.6390944710492006E-2</v>
      </c>
      <c r="AE826" s="1525">
        <f t="shared" ref="AE826" si="3457">+AE825/AA825-1</f>
        <v>-5.2123948286476485E-2</v>
      </c>
      <c r="AF826" s="1525">
        <f t="shared" ref="AF826" si="3458">+AF825/AB825-1</f>
        <v>-0.17232580961727184</v>
      </c>
      <c r="AG826" s="1525">
        <f t="shared" ref="AG826" si="3459">+AG825/AC825-1</f>
        <v>-0.41815152467777428</v>
      </c>
      <c r="AH826" s="1525">
        <f t="shared" ref="AH826" si="3460">+AH825/AD825-1</f>
        <v>-0.13512961828944681</v>
      </c>
      <c r="AI826" s="1525">
        <f t="shared" ref="AI826" si="3461">+AI825/AE825-1</f>
        <v>1.2340333405499004E-2</v>
      </c>
      <c r="AJ826" s="1525">
        <f t="shared" ref="AJ826" si="3462">+AJ825/AF825-1</f>
        <v>0.22693858193028227</v>
      </c>
      <c r="AK826" s="1525">
        <f t="shared" ref="AK826" si="3463">+AK825/AG825-1</f>
        <v>0.46337378299817389</v>
      </c>
      <c r="AL826" s="1525">
        <f t="shared" ref="AL826" si="3464">+AL825/AH825-1</f>
        <v>0.38423412792069866</v>
      </c>
      <c r="AM826" s="1525">
        <f t="shared" ref="AM826" si="3465">+AM825/AI825-1</f>
        <v>0.2538494439692045</v>
      </c>
      <c r="AN826" s="1525">
        <f t="shared" ref="AN826" si="3466">+AN825/AJ825-1</f>
        <v>9.6734577415008127E-2</v>
      </c>
      <c r="AO826" s="1525">
        <f t="shared" ref="AO826" si="3467">+AO825/AK825-1</f>
        <v>4.5005920372155117E-2</v>
      </c>
      <c r="AP826" s="1525">
        <f t="shared" ref="AP826" si="3468">+AP825/AL825-1</f>
        <v>0.10247504934118101</v>
      </c>
      <c r="AQ826" s="1525">
        <f t="shared" ref="AQ826" si="3469">+AQ825/AM825-1</f>
        <v>9.3257175847551554E-2</v>
      </c>
      <c r="BC826" s="1525">
        <f t="shared" ref="BC826" si="3470">+BC825/BB825-1</f>
        <v>-9.099018733273867E-2</v>
      </c>
      <c r="BD826" s="1525">
        <f t="shared" ref="BD826" si="3471">+BD825/BC825-1</f>
        <v>0.21727183513248272</v>
      </c>
      <c r="BE826" s="1525">
        <f t="shared" ref="BE826" si="3472">+BE825/BD825-1</f>
        <v>0.3363431151241536</v>
      </c>
      <c r="BG826" s="1526">
        <f>+BD826</f>
        <v>0.21727183513248272</v>
      </c>
      <c r="BH826" s="1526">
        <f>+BE826</f>
        <v>0.3363431151241536</v>
      </c>
      <c r="BI826" s="1525">
        <f>+BI825/BH825-1</f>
        <v>0.20363017583664211</v>
      </c>
      <c r="BJ826" s="1525">
        <f>+BJ825/BI825-1</f>
        <v>0.20829406220546653</v>
      </c>
      <c r="BK826" s="1525">
        <f t="shared" ref="BK826" si="3473">+BK825/BJ825-1</f>
        <v>0.24110764430577225</v>
      </c>
      <c r="BL826" s="1525">
        <f t="shared" ref="BL826" si="3474">+BL825/BK825-1</f>
        <v>0.22173339199296094</v>
      </c>
      <c r="BM826" s="1525">
        <f t="shared" ref="BM826" si="3475">+BM825/BL825-1</f>
        <v>7.9016410309172391E-2</v>
      </c>
      <c r="BN826" s="1525">
        <f t="shared" ref="BN826" si="3476">+BN825/BM825-1</f>
        <v>-0.19753420738974969</v>
      </c>
      <c r="BO826" s="1525">
        <f t="shared" ref="BO826:BP826" si="3477">+BO825/BN825-1</f>
        <v>0.32600827485248085</v>
      </c>
      <c r="BP826" s="1525">
        <f t="shared" si="3477"/>
        <v>8.4774620752786412E-2</v>
      </c>
    </row>
    <row r="827" spans="2:81" s="1518" customFormat="1" outlineLevel="1">
      <c r="B827" s="1524" t="s">
        <v>272</v>
      </c>
      <c r="L827" s="1528">
        <v>0.2</v>
      </c>
      <c r="M827" s="1528">
        <v>0.24</v>
      </c>
      <c r="N827" s="1528">
        <v>0.21</v>
      </c>
      <c r="O827" s="1528">
        <v>0.3</v>
      </c>
      <c r="P827" s="1528">
        <v>0.23</v>
      </c>
      <c r="Q827" s="1528">
        <v>0.19</v>
      </c>
      <c r="R827" s="1528">
        <v>0.28000000000000003</v>
      </c>
      <c r="S827" s="1528">
        <v>0.22</v>
      </c>
      <c r="T827" s="1528">
        <v>0.31</v>
      </c>
      <c r="U827" s="1528">
        <v>0.45</v>
      </c>
      <c r="V827" s="1528">
        <v>0.17</v>
      </c>
      <c r="W827" s="1528">
        <v>0.19</v>
      </c>
      <c r="X827" s="1528">
        <v>0.18</v>
      </c>
      <c r="Y827" s="1528">
        <v>0.22</v>
      </c>
      <c r="Z827" s="1528">
        <v>0.22</v>
      </c>
      <c r="AA827" s="1528">
        <v>0.13</v>
      </c>
      <c r="AB827" s="1528">
        <v>0.05</v>
      </c>
      <c r="AC827" s="1528">
        <v>0.21</v>
      </c>
      <c r="AD827" s="1528">
        <v>0.1</v>
      </c>
      <c r="AE827" s="1528">
        <v>0</v>
      </c>
      <c r="AF827" s="1528">
        <v>-0.09</v>
      </c>
      <c r="AG827" s="1538">
        <f>+AG826+7%</f>
        <v>-0.34815152467777427</v>
      </c>
      <c r="AH827" s="1528">
        <v>-7.0000000000000007E-2</v>
      </c>
      <c r="AI827" s="1528">
        <v>0.06</v>
      </c>
      <c r="AJ827" s="1528">
        <v>0.22</v>
      </c>
      <c r="AK827" s="1538">
        <f>+AK826-3%</f>
        <v>0.43337378299817386</v>
      </c>
      <c r="AL827" s="1538">
        <f>+AL826-1%</f>
        <v>0.37423412792069866</v>
      </c>
      <c r="AM827" s="1538">
        <f>+AM826+1%</f>
        <v>0.26384944396920451</v>
      </c>
      <c r="AN827" s="1525">
        <f>+AN826+AN14-AN13</f>
        <v>0.10059776902107354</v>
      </c>
      <c r="AO827" s="1525">
        <f>+AO826+AO14-AO13</f>
        <v>4.6435667294018046E-2</v>
      </c>
      <c r="AP827" s="1525">
        <f>+AP826+AP14-AP13</f>
        <v>0.11853148048779705</v>
      </c>
      <c r="AQ827" s="1525">
        <f>+AQ826+AQ14-AQ13</f>
        <v>0.1035245198833652</v>
      </c>
      <c r="BC827" s="1529" t="s">
        <v>273</v>
      </c>
      <c r="BG827" s="1529" t="s">
        <v>273</v>
      </c>
      <c r="BH827" s="1529" t="s">
        <v>273</v>
      </c>
      <c r="BI827" s="1529">
        <f>+SUMPRODUCT(L827:O827,H825:K825)/BH825</f>
        <v>0.23872830402722631</v>
      </c>
      <c r="BJ827" s="1529">
        <f>+SUMPRODUCT(P827:S827,L825:O825)/BI825</f>
        <v>0.22958812441093307</v>
      </c>
      <c r="BK827" s="1529">
        <f>+SUMPRODUCT(T827:W827,P825:S825)/BJ825</f>
        <v>0.27461154446177849</v>
      </c>
      <c r="BL827" s="1529">
        <f>+SUMPRODUCT(X827:AA827,T825:W825)/BK825</f>
        <v>0.18676575953742694</v>
      </c>
      <c r="BM827" s="1529">
        <f>+SUMPRODUCT(AB827:AE827,X825:AA825)/BL825</f>
        <v>9.2280467102217198E-2</v>
      </c>
      <c r="BN827" s="1529">
        <f>+SUMPRODUCT(AF827:AI827,AB825:AE825)/BM825</f>
        <v>-0.1305973778307509</v>
      </c>
      <c r="BO827" s="1529">
        <f>+SUMPRODUCT(AJ827:AM827,AF825:AI825)/BN825</f>
        <v>0.31793295040554381</v>
      </c>
      <c r="BP827" s="1529">
        <f>+SUMPRODUCT(AN827:AQ827,AJ825:AM825)/BO825</f>
        <v>9.2933655620047045E-2</v>
      </c>
      <c r="BT827" s="1519"/>
      <c r="BU827" s="1519"/>
      <c r="BV827" s="1519"/>
      <c r="BW827" s="1519"/>
      <c r="BX827" s="1519"/>
      <c r="BY827" s="1519"/>
      <c r="BZ827" s="1519"/>
      <c r="CA827" s="1519"/>
      <c r="CB827" s="1519"/>
      <c r="CC827" s="1519"/>
    </row>
    <row r="828" spans="2:81" s="1518" customFormat="1" outlineLevel="1">
      <c r="B828" s="1524" t="s">
        <v>450</v>
      </c>
      <c r="L828" s="1528"/>
      <c r="M828" s="1528"/>
      <c r="N828" s="1528"/>
      <c r="O828" s="1528"/>
      <c r="P828" s="1528"/>
      <c r="Q828" s="1528"/>
      <c r="R828" s="1528"/>
      <c r="S828" s="1528"/>
      <c r="T828" s="1528"/>
      <c r="U828" s="1528"/>
      <c r="V828" s="1528"/>
      <c r="W828" s="1528"/>
      <c r="X828" s="1528"/>
      <c r="Y828" s="1528"/>
      <c r="Z828" s="1528"/>
      <c r="AA828" s="1528"/>
      <c r="AB828" s="1529">
        <f t="shared" ref="AB828" si="3478">+AB827-AB824/X825</f>
        <v>0.05</v>
      </c>
      <c r="AC828" s="1529">
        <f t="shared" ref="AC828" si="3479">+AC827-AC824/Y825</f>
        <v>0.21</v>
      </c>
      <c r="AD828" s="1529">
        <f t="shared" ref="AD828" si="3480">+AD827-AD824/Z825</f>
        <v>0.1</v>
      </c>
      <c r="AE828" s="1529">
        <f t="shared" ref="AE828" si="3481">+AE827-AE824/AA825</f>
        <v>0</v>
      </c>
      <c r="AF828" s="1529">
        <f t="shared" ref="AF828" si="3482">+AF827-AF824/AB825</f>
        <v>-0.09</v>
      </c>
      <c r="AG828" s="1529">
        <f t="shared" ref="AG828" si="3483">+AG827-AG824/AC825</f>
        <v>-0.34815152467777427</v>
      </c>
      <c r="AH828" s="1529">
        <f t="shared" ref="AH828" si="3484">+AH827-AH824/AD825</f>
        <v>-7.0000000000000007E-2</v>
      </c>
      <c r="AI828" s="1529">
        <f t="shared" ref="AI828" si="3485">+AI827-AI824/AE825</f>
        <v>0.06</v>
      </c>
      <c r="AJ828" s="1529">
        <f t="shared" ref="AJ828" si="3486">+AJ827-AJ824/AF825</f>
        <v>0.22</v>
      </c>
      <c r="AK828" s="1529">
        <f t="shared" ref="AK828" si="3487">+AK827-AK824/AG825</f>
        <v>0.24697394724614508</v>
      </c>
      <c r="AL828" s="1529">
        <f t="shared" ref="AL828" si="3488">+AL827-AL824/AH825</f>
        <v>0.23498465895680912</v>
      </c>
      <c r="AM828" s="1529">
        <f t="shared" ref="AM828" si="3489">+AM827-AM824/AI825</f>
        <v>0.13767322497861426</v>
      </c>
      <c r="AN828" s="1525">
        <f t="shared" ref="AN828" si="3490">+AN827-AN824/AJ825</f>
        <v>9.7589595892992737E-3</v>
      </c>
      <c r="AO828" s="1525">
        <f>+AO821/AK821-1+AO827-AO826</f>
        <v>2.4022602825493067E-3</v>
      </c>
      <c r="AP828" s="1525">
        <f t="shared" ref="AP828:AQ828" si="3491">+AP821/AL821-1+AP827-AP826</f>
        <v>9.1547647143966904E-2</v>
      </c>
      <c r="AQ828" s="1525">
        <f t="shared" si="3491"/>
        <v>8.3122800511101769E-2</v>
      </c>
      <c r="BC828" s="1529" t="s">
        <v>273</v>
      </c>
      <c r="BG828" s="1529" t="s">
        <v>273</v>
      </c>
      <c r="BH828" s="1529" t="s">
        <v>273</v>
      </c>
      <c r="BI828" s="1529">
        <f t="shared" ref="BI828" si="3492">+BI827-BI824/BH825</f>
        <v>0.23872830402722631</v>
      </c>
      <c r="BJ828" s="1529">
        <f t="shared" ref="BJ828" si="3493">+BJ827-BJ824/BI825</f>
        <v>0.22958812441093307</v>
      </c>
      <c r="BK828" s="1529">
        <f t="shared" ref="BK828" si="3494">+BK827-BK824/BJ825</f>
        <v>0.27461154446177849</v>
      </c>
      <c r="BL828" s="1529">
        <f t="shared" ref="BL828" si="3495">+BL827-BL824/BK825</f>
        <v>0.18676575953742694</v>
      </c>
      <c r="BM828" s="1529">
        <f t="shared" ref="BM828" si="3496">+BM827-BM824/BL825</f>
        <v>9.2280467102217198E-2</v>
      </c>
      <c r="BN828" s="1529">
        <f t="shared" ref="BN828" si="3497">+BN827-BN824/BM825</f>
        <v>-0.1305973778307509</v>
      </c>
      <c r="BO828" s="1529">
        <f t="shared" ref="BO828" si="3498">+BO827-BO824/BN825</f>
        <v>0.20683319351795301</v>
      </c>
      <c r="BP828" s="1529">
        <f>+BP821/BO821-1+BP827-BP826</f>
        <v>4.8135794639446922E-2</v>
      </c>
    </row>
    <row r="829" spans="2:81" s="1518" customFormat="1" outlineLevel="1">
      <c r="B829" s="1524" t="s">
        <v>123</v>
      </c>
      <c r="H829" s="1525">
        <f t="shared" ref="H829:AK829" si="3499">+IFERROR(H825/H798,"n/a ")</f>
        <v>0.2163916977115487</v>
      </c>
      <c r="I829" s="1525">
        <f t="shared" si="3499"/>
        <v>0.21540920178316089</v>
      </c>
      <c r="J829" s="1525">
        <f t="shared" si="3499"/>
        <v>0.23190883190883191</v>
      </c>
      <c r="K829" s="1525">
        <f t="shared" si="3499"/>
        <v>0.23670817541959935</v>
      </c>
      <c r="L829" s="1525">
        <f t="shared" si="3499"/>
        <v>0.27351247600767753</v>
      </c>
      <c r="M829" s="1525">
        <f t="shared" si="3499"/>
        <v>0.20624486442070666</v>
      </c>
      <c r="N829" s="1525">
        <f t="shared" si="3499"/>
        <v>0.25441161641625493</v>
      </c>
      <c r="O829" s="1525">
        <f t="shared" si="3499"/>
        <v>0.27860512441032281</v>
      </c>
      <c r="P829" s="1525">
        <f t="shared" si="3499"/>
        <v>0.29248092313418944</v>
      </c>
      <c r="Q829" s="1525">
        <f t="shared" si="3499"/>
        <v>0.2281228353728931</v>
      </c>
      <c r="R829" s="1525">
        <f t="shared" si="3499"/>
        <v>0.29531835205992507</v>
      </c>
      <c r="S829" s="1525">
        <f t="shared" si="3499"/>
        <v>0.31554215799272983</v>
      </c>
      <c r="T829" s="1525">
        <f t="shared" si="3499"/>
        <v>0.3606395401059912</v>
      </c>
      <c r="U829" s="1525">
        <f t="shared" si="3499"/>
        <v>0.31625160850806144</v>
      </c>
      <c r="V829" s="1525">
        <f t="shared" si="3499"/>
        <v>0.32981722287896698</v>
      </c>
      <c r="W829" s="1525">
        <f t="shared" si="3499"/>
        <v>0.31688613477924088</v>
      </c>
      <c r="X829" s="1525">
        <f t="shared" si="3499"/>
        <v>0.40070892058401553</v>
      </c>
      <c r="Y829" s="1525">
        <f t="shared" si="3499"/>
        <v>0.34545695013887051</v>
      </c>
      <c r="Z829" s="1525">
        <f t="shared" si="3499"/>
        <v>0.35240871432954896</v>
      </c>
      <c r="AA829" s="1525">
        <f t="shared" si="3499"/>
        <v>0.34594632968905298</v>
      </c>
      <c r="AB829" s="1525">
        <f t="shared" si="3499"/>
        <v>0.38267988583445994</v>
      </c>
      <c r="AC829" s="1525">
        <f t="shared" si="3499"/>
        <v>0.3642713999427426</v>
      </c>
      <c r="AD829" s="1525">
        <f t="shared" si="3499"/>
        <v>0.33739669421487606</v>
      </c>
      <c r="AE829" s="1525">
        <f t="shared" si="3499"/>
        <v>0.32174700473669549</v>
      </c>
      <c r="AF829" s="1525">
        <f t="shared" si="3499"/>
        <v>0.3163066306630663</v>
      </c>
      <c r="AG829" s="1525">
        <f t="shared" si="3499"/>
        <v>0.26000702395167519</v>
      </c>
      <c r="AH829" s="1525">
        <f t="shared" si="3499"/>
        <v>0.31953242835595774</v>
      </c>
      <c r="AI829" s="1525">
        <f t="shared" si="3499"/>
        <v>0.33628191298094212</v>
      </c>
      <c r="AJ829" s="1525">
        <f t="shared" si="3499"/>
        <v>0.37860383433338213</v>
      </c>
      <c r="AK829" s="1525">
        <f t="shared" si="3499"/>
        <v>0.32070333313598959</v>
      </c>
      <c r="AL829" s="1525">
        <f t="shared" ref="AL829:AM829" si="3500">+IFERROR(AL825/AL798,"n/a ")</f>
        <v>0.37644415917843388</v>
      </c>
      <c r="AM829" s="1525">
        <f t="shared" si="3500"/>
        <v>0.36885813148788926</v>
      </c>
      <c r="AN829" s="1525">
        <f t="shared" ref="AN829:AQ829" si="3501">+IFERROR(AN825/AN798,"n/a ")</f>
        <v>0.36760136015669032</v>
      </c>
      <c r="AO829" s="1525">
        <f t="shared" si="3501"/>
        <v>0.33158751736752318</v>
      </c>
      <c r="AP829" s="1525">
        <f t="shared" si="3501"/>
        <v>0.38568461031751033</v>
      </c>
      <c r="AQ829" s="1525">
        <f t="shared" si="3501"/>
        <v>0.37560806796408347</v>
      </c>
      <c r="BA829" s="1525"/>
      <c r="BB829" s="1525">
        <f>+IFERROR(BB825/BB798,"n/a ")</f>
        <v>0.14573582943317734</v>
      </c>
      <c r="BC829" s="1525">
        <f>+IFERROR(BC825/BC798,"n/a ")</f>
        <v>0.1173017152066306</v>
      </c>
      <c r="BD829" s="1525">
        <f>+IFERROR(BD825/BD798,"n/a ")</f>
        <v>0.15338576445565613</v>
      </c>
      <c r="BE829" s="1525">
        <f>+IFERROR(BE825/BE798,"n/a ")</f>
        <v>0.21375699584762592</v>
      </c>
      <c r="BG829" s="1525">
        <f t="shared" ref="BG829:BP829" si="3502">+IFERROR(BG825/BG798,"n/a ")</f>
        <v>0.15300668151447661</v>
      </c>
      <c r="BH829" s="1525">
        <f t="shared" si="3502"/>
        <v>0.22433450399552093</v>
      </c>
      <c r="BI829" s="1525">
        <f t="shared" si="3502"/>
        <v>0.25096981739048158</v>
      </c>
      <c r="BJ829" s="1525">
        <f t="shared" si="3502"/>
        <v>0.28053744146352139</v>
      </c>
      <c r="BK829" s="1525">
        <f t="shared" si="3502"/>
        <v>0.3297548237342231</v>
      </c>
      <c r="BL829" s="1525">
        <f t="shared" si="3502"/>
        <v>0.359362579261642</v>
      </c>
      <c r="BM829" s="1525">
        <f t="shared" si="3502"/>
        <v>0.35160506244237699</v>
      </c>
      <c r="BN829" s="1525">
        <f t="shared" si="3502"/>
        <v>0.3075185442321044</v>
      </c>
      <c r="BO829" s="1525">
        <f t="shared" si="3502"/>
        <v>0.35979816868712922</v>
      </c>
      <c r="BP829" s="1525">
        <f t="shared" si="3502"/>
        <v>0.36496306913723076</v>
      </c>
    </row>
    <row r="830" spans="2:81" s="1518" customFormat="1" outlineLevel="1"/>
    <row r="831" spans="2:81" s="1518" customFormat="1" ht="11.45" outlineLevel="1">
      <c r="B831" s="1524" t="s">
        <v>453</v>
      </c>
      <c r="T831" s="1525">
        <f t="shared" ref="T831:AM831" si="3503">+T821/T796</f>
        <v>0.3606395401059912</v>
      </c>
      <c r="U831" s="1525">
        <f t="shared" si="3503"/>
        <v>0.31625160850806144</v>
      </c>
      <c r="V831" s="1525">
        <f t="shared" si="3503"/>
        <v>0.32981722287896698</v>
      </c>
      <c r="W831" s="1525">
        <f t="shared" si="3503"/>
        <v>0.31688613477924088</v>
      </c>
      <c r="X831" s="1525">
        <f t="shared" si="3503"/>
        <v>0.40070892058401553</v>
      </c>
      <c r="Y831" s="1525">
        <f t="shared" si="3503"/>
        <v>0.34545695013887051</v>
      </c>
      <c r="Z831" s="1525">
        <f t="shared" si="3503"/>
        <v>0.35240871432954896</v>
      </c>
      <c r="AA831" s="1525">
        <f t="shared" si="3503"/>
        <v>0.34594632968905298</v>
      </c>
      <c r="AB831" s="1525">
        <f t="shared" si="3503"/>
        <v>0.38267988583445994</v>
      </c>
      <c r="AC831" s="1525">
        <f t="shared" si="3503"/>
        <v>0.3642713999427426</v>
      </c>
      <c r="AD831" s="1525">
        <f t="shared" si="3503"/>
        <v>0.33739669421487606</v>
      </c>
      <c r="AE831" s="1525">
        <f t="shared" si="3503"/>
        <v>0.32174700473669549</v>
      </c>
      <c r="AF831" s="1525">
        <f t="shared" si="3503"/>
        <v>0.3163066306630663</v>
      </c>
      <c r="AG831" s="1525">
        <f t="shared" si="3503"/>
        <v>0.26000702395167519</v>
      </c>
      <c r="AH831" s="1525">
        <f t="shared" si="3503"/>
        <v>0.31953242835595774</v>
      </c>
      <c r="AI831" s="1525">
        <f t="shared" si="3503"/>
        <v>0.33628191298094212</v>
      </c>
      <c r="AJ831" s="1525">
        <f t="shared" si="3503"/>
        <v>0.37860383433338213</v>
      </c>
      <c r="AK831" s="1525">
        <f t="shared" si="3503"/>
        <v>0.31915468233070016</v>
      </c>
      <c r="AL831" s="1525">
        <f t="shared" ref="AL831" si="3504">+AL821/AL796</f>
        <v>0.387582659808964</v>
      </c>
      <c r="AM831" s="1525">
        <f t="shared" si="3503"/>
        <v>0.37094618360886389</v>
      </c>
      <c r="AN831" s="1525">
        <f t="shared" ref="AN831:AQ831" si="3505">+AN821/AN796</f>
        <v>0.37860383433338213</v>
      </c>
      <c r="AO831" s="1525">
        <f t="shared" si="3505"/>
        <v>0.31915468233070021</v>
      </c>
      <c r="AP831" s="1525">
        <f t="shared" si="3505"/>
        <v>0.387582659808964</v>
      </c>
      <c r="AQ831" s="1525">
        <f t="shared" si="3505"/>
        <v>0.37094618360886389</v>
      </c>
      <c r="AS831" s="1518" t="e">
        <f t="shared" ref="AS831:BO831" si="3506">+AS821/AS796</f>
        <v>#DIV/0!</v>
      </c>
      <c r="AT831" s="1518" t="e">
        <f t="shared" si="3506"/>
        <v>#DIV/0!</v>
      </c>
      <c r="AU831" s="1518" t="e">
        <f t="shared" si="3506"/>
        <v>#DIV/0!</v>
      </c>
      <c r="AV831" s="1518" t="e">
        <f t="shared" si="3506"/>
        <v>#DIV/0!</v>
      </c>
      <c r="AW831" s="1518" t="e">
        <f t="shared" si="3506"/>
        <v>#DIV/0!</v>
      </c>
      <c r="BA831" s="1525"/>
      <c r="BB831" s="1525">
        <f t="shared" si="3506"/>
        <v>0.14573582943317734</v>
      </c>
      <c r="BC831" s="1525">
        <f t="shared" si="3506"/>
        <v>0.1173017152066306</v>
      </c>
      <c r="BD831" s="1525">
        <f t="shared" si="3506"/>
        <v>0.15338576445565613</v>
      </c>
      <c r="BE831" s="1525">
        <f t="shared" si="3506"/>
        <v>0.21375699584762592</v>
      </c>
      <c r="BG831" s="1525">
        <f t="shared" si="3506"/>
        <v>0.15300668151447661</v>
      </c>
      <c r="BH831" s="1525">
        <f t="shared" si="3506"/>
        <v>0.22433450399552093</v>
      </c>
      <c r="BI831" s="1525">
        <f t="shared" si="3506"/>
        <v>0.25096981739048158</v>
      </c>
      <c r="BJ831" s="1525">
        <f t="shared" si="3506"/>
        <v>0.28053744146352139</v>
      </c>
      <c r="BK831" s="1525">
        <f t="shared" si="3506"/>
        <v>0.3297548237342231</v>
      </c>
      <c r="BL831" s="1525">
        <f t="shared" si="3506"/>
        <v>0.359362579261642</v>
      </c>
      <c r="BM831" s="1525">
        <f t="shared" si="3506"/>
        <v>0.35160506244237699</v>
      </c>
      <c r="BN831" s="1525">
        <f t="shared" si="3506"/>
        <v>0.3075185442321044</v>
      </c>
      <c r="BO831" s="1525">
        <f t="shared" si="3506"/>
        <v>0.36320201769031296</v>
      </c>
      <c r="BP831" s="1525">
        <f t="shared" ref="BP831" si="3507">+BP821/BP796</f>
        <v>0.36377807263690942</v>
      </c>
      <c r="BT831" s="1544"/>
      <c r="BU831" s="1544"/>
      <c r="BV831" s="1544"/>
      <c r="BW831" s="1544"/>
      <c r="BX831" s="1544"/>
      <c r="BY831" s="1544"/>
      <c r="BZ831" s="1544"/>
      <c r="CA831" s="1544"/>
      <c r="CB831" s="1544"/>
      <c r="CC831" s="1544"/>
    </row>
    <row r="832" spans="2:81" s="1518" customFormat="1" outlineLevel="1">
      <c r="B832" s="1524" t="s">
        <v>454</v>
      </c>
      <c r="AJ832" s="1525"/>
      <c r="AK832" s="1525">
        <f>+AK824/AK797</f>
        <v>0.33173076923076922</v>
      </c>
      <c r="AL832" s="1525">
        <f t="shared" ref="AL832" si="3508">+AL824/AL797</f>
        <v>0.29949238578680204</v>
      </c>
      <c r="AM832" s="1525">
        <f t="shared" ref="AM832" si="3509">+AM824/AM797</f>
        <v>0.35119047619047616</v>
      </c>
      <c r="AN832" s="1525">
        <f t="shared" ref="AN832:AP832" si="3510">+AN824/AN797</f>
        <v>0.27810650887573962</v>
      </c>
      <c r="AO832" s="1525">
        <f>+AO824/AO797</f>
        <v>0.41363960113960113</v>
      </c>
      <c r="AP832" s="1525">
        <f t="shared" si="3510"/>
        <v>0.37262643354013913</v>
      </c>
      <c r="AQ832" s="1525">
        <f>+AQ824/AQ797</f>
        <v>0.41479276895943568</v>
      </c>
      <c r="BO832" s="1525">
        <f t="shared" ref="BO832:BP832" si="3511">+BO824/BO797</f>
        <v>0.32635253054101221</v>
      </c>
      <c r="BP832" s="1525">
        <f t="shared" si="3511"/>
        <v>0.37375609260763615</v>
      </c>
    </row>
    <row r="833" spans="2:81" s="1518" customFormat="1" ht="11.45" outlineLevel="1">
      <c r="BT833" s="1544"/>
      <c r="BU833" s="1544"/>
      <c r="BV833" s="1544"/>
      <c r="BW833" s="1544"/>
      <c r="BX833" s="1544"/>
      <c r="BY833" s="1544"/>
      <c r="BZ833" s="1544"/>
      <c r="CA833" s="1544"/>
      <c r="CB833" s="1544"/>
      <c r="CC833" s="1544"/>
    </row>
    <row r="834" spans="2:81" s="1518" customFormat="1" outlineLevel="1">
      <c r="B834" s="1300" t="s">
        <v>376</v>
      </c>
      <c r="D834" s="1545" t="s">
        <v>404</v>
      </c>
      <c r="E834" s="1545"/>
      <c r="F834" s="1545"/>
      <c r="G834" s="1545"/>
      <c r="BT834" s="1519"/>
      <c r="BU834" s="1519"/>
      <c r="BV834" s="1519"/>
      <c r="BW834" s="1519"/>
      <c r="BX834" s="1519"/>
      <c r="BY834" s="1519"/>
      <c r="BZ834" s="1519"/>
      <c r="CA834" s="1519"/>
      <c r="CB834" s="1519"/>
      <c r="CC834" s="1519"/>
    </row>
    <row r="835" spans="2:81" s="1518" customFormat="1" outlineLevel="1">
      <c r="B835" s="1518" t="s">
        <v>481</v>
      </c>
      <c r="D835" s="1546">
        <v>-7.0000000000000007E-2</v>
      </c>
      <c r="E835" s="1546">
        <v>-0.06</v>
      </c>
      <c r="F835" s="1546">
        <v>-0.11</v>
      </c>
      <c r="G835" s="1546">
        <v>0.02</v>
      </c>
      <c r="H835" s="1546">
        <v>-0.02</v>
      </c>
      <c r="I835" s="1546">
        <v>0.04</v>
      </c>
      <c r="J835" s="1546">
        <v>0.09</v>
      </c>
      <c r="K835" s="1546">
        <v>0.04</v>
      </c>
      <c r="L835" s="1546">
        <v>7.0000000000000007E-2</v>
      </c>
      <c r="M835" s="1546">
        <v>0.11</v>
      </c>
      <c r="N835" s="1546">
        <v>0.11</v>
      </c>
      <c r="O835" s="1546">
        <v>0.14000000000000001</v>
      </c>
      <c r="P835" s="1546">
        <v>0.08</v>
      </c>
      <c r="Q835" s="1546">
        <v>-0.02</v>
      </c>
      <c r="R835" s="1546">
        <v>0.15</v>
      </c>
      <c r="S835" s="1546">
        <v>0.18</v>
      </c>
      <c r="T835" s="1546">
        <v>0.19</v>
      </c>
      <c r="U835" s="1546">
        <v>0.26</v>
      </c>
      <c r="V835" s="1546">
        <v>0.05</v>
      </c>
      <c r="W835" s="1546">
        <v>-0.04</v>
      </c>
      <c r="X835" s="1546">
        <v>-0.22</v>
      </c>
      <c r="Y835" s="1546">
        <v>-0.09</v>
      </c>
      <c r="Z835" s="1546">
        <v>-0.02</v>
      </c>
      <c r="AA835" s="1546">
        <v>-0.02</v>
      </c>
      <c r="AB835" s="1546"/>
      <c r="AC835" s="1546"/>
      <c r="AD835" s="1546"/>
      <c r="AE835" s="1546"/>
      <c r="AF835" s="1546"/>
      <c r="AG835" s="1546"/>
      <c r="AH835" s="1546"/>
      <c r="AI835" s="1546"/>
      <c r="AJ835" s="1546"/>
      <c r="AK835" s="1546"/>
      <c r="AL835" s="1546"/>
      <c r="AM835" s="1546"/>
      <c r="AN835" s="1546"/>
      <c r="AO835" s="1546"/>
      <c r="AP835" s="1546"/>
      <c r="AQ835" s="1546"/>
      <c r="BH835" s="1547">
        <f>+AVERAGE(H835:K835)</f>
        <v>3.7499999999999999E-2</v>
      </c>
      <c r="BI835" s="1547">
        <f>+AVERAGE(L835:O835)</f>
        <v>0.1075</v>
      </c>
      <c r="BJ835" s="1547">
        <f>+AVERAGE(P835:S835)</f>
        <v>9.7500000000000003E-2</v>
      </c>
      <c r="BK835" s="1547">
        <f>AVERAGE(T835:W835)</f>
        <v>0.115</v>
      </c>
      <c r="BL835" s="1547">
        <f>AVERAGE(X835:AA835)</f>
        <v>-8.7500000000000008E-2</v>
      </c>
      <c r="BM835" s="1547"/>
      <c r="BN835" s="1547"/>
      <c r="BO835" s="1547"/>
      <c r="BP835" s="1547"/>
    </row>
    <row r="836" spans="2:81" s="1518" customFormat="1" outlineLevel="1">
      <c r="B836" s="1518" t="s">
        <v>482</v>
      </c>
      <c r="D836" s="1546">
        <v>-0.04</v>
      </c>
      <c r="E836" s="1546">
        <v>-0.03</v>
      </c>
      <c r="F836" s="1546">
        <v>0.15</v>
      </c>
      <c r="G836" s="1546">
        <v>0.27</v>
      </c>
      <c r="H836" s="1546">
        <v>0</v>
      </c>
      <c r="I836" s="1546">
        <v>0.08</v>
      </c>
      <c r="J836" s="1546">
        <v>0.01</v>
      </c>
      <c r="K836" s="1546">
        <v>0.02</v>
      </c>
      <c r="L836" s="1546">
        <v>-0.01</v>
      </c>
      <c r="M836" s="1546">
        <v>-0.05</v>
      </c>
      <c r="N836" s="1546">
        <v>-0.08</v>
      </c>
      <c r="O836" s="1546">
        <v>-0.03</v>
      </c>
      <c r="P836" s="1546">
        <v>-0.05</v>
      </c>
      <c r="Q836" s="1546">
        <v>-0.11</v>
      </c>
      <c r="R836" s="1546">
        <v>-0.01</v>
      </c>
      <c r="S836" s="1546">
        <v>-0.08</v>
      </c>
      <c r="T836" s="1546">
        <v>-7.0000000000000007E-2</v>
      </c>
      <c r="U836" s="1546">
        <v>0.04</v>
      </c>
      <c r="V836" s="1546">
        <v>-0.1</v>
      </c>
      <c r="W836" s="1546">
        <v>0.34</v>
      </c>
      <c r="X836" s="1546">
        <v>0.31</v>
      </c>
      <c r="Y836" s="1546">
        <v>0.24</v>
      </c>
      <c r="Z836" s="1546">
        <v>0.44</v>
      </c>
      <c r="AA836" s="1546">
        <v>-0.04</v>
      </c>
      <c r="AB836" s="1546"/>
      <c r="AC836" s="1546"/>
      <c r="AD836" s="1546"/>
      <c r="AE836" s="1546"/>
      <c r="AF836" s="1546"/>
      <c r="AG836" s="1546"/>
      <c r="AH836" s="1546"/>
      <c r="AI836" s="1546"/>
      <c r="AJ836" s="1546"/>
      <c r="AK836" s="1546"/>
      <c r="AL836" s="1546"/>
      <c r="AM836" s="1546"/>
      <c r="AN836" s="1546"/>
      <c r="AO836" s="1546"/>
      <c r="AP836" s="1546"/>
      <c r="AQ836" s="1546"/>
      <c r="BH836" s="1547">
        <f>+AVERAGE(H836:K836)</f>
        <v>2.75E-2</v>
      </c>
      <c r="BI836" s="1547">
        <f>+AVERAGE(L836:O836)</f>
        <v>-4.2500000000000003E-2</v>
      </c>
      <c r="BJ836" s="1547">
        <f>+AVERAGE(P836:S836)</f>
        <v>-6.25E-2</v>
      </c>
      <c r="BK836" s="1547">
        <f>AVERAGE(T836:W836)</f>
        <v>5.2500000000000005E-2</v>
      </c>
      <c r="BL836" s="1547">
        <f>AVERAGE(X836:AA836)</f>
        <v>0.23749999999999999</v>
      </c>
      <c r="BM836" s="1547"/>
      <c r="BN836" s="1547"/>
      <c r="BO836" s="1547"/>
      <c r="BP836" s="1547"/>
    </row>
    <row r="837" spans="2:81" s="1518" customFormat="1" outlineLevel="1">
      <c r="B837" s="1518" t="s">
        <v>483</v>
      </c>
      <c r="D837" s="1546"/>
      <c r="E837" s="1546"/>
      <c r="F837" s="1546"/>
      <c r="G837" s="1546"/>
      <c r="H837" s="1546"/>
      <c r="I837" s="1546"/>
      <c r="J837" s="1546"/>
      <c r="K837" s="1546"/>
      <c r="L837" s="1546"/>
      <c r="M837" s="1546"/>
      <c r="N837" s="1546"/>
      <c r="O837" s="1546"/>
      <c r="P837" s="1546"/>
      <c r="Q837" s="1546"/>
      <c r="R837" s="1546"/>
      <c r="S837" s="1546"/>
      <c r="T837" s="1546"/>
      <c r="U837" s="1546"/>
      <c r="V837" s="1546"/>
      <c r="W837" s="1546"/>
      <c r="X837" s="1546">
        <v>-0.05</v>
      </c>
      <c r="Y837" s="1546">
        <v>0.01</v>
      </c>
      <c r="Z837" s="1546">
        <v>0.1</v>
      </c>
      <c r="AA837" s="1546">
        <v>-0.03</v>
      </c>
      <c r="AB837" s="1546">
        <v>0.1</v>
      </c>
      <c r="AC837" s="1546">
        <v>0.25</v>
      </c>
      <c r="AD837" s="1546">
        <v>0.11</v>
      </c>
      <c r="AE837" s="1546">
        <v>-0.02</v>
      </c>
      <c r="AF837" s="1546">
        <v>-0.15</v>
      </c>
      <c r="AG837" s="1546">
        <v>-0.39</v>
      </c>
      <c r="AH837" s="1546">
        <v>-0.28000000000000003</v>
      </c>
      <c r="AI837" s="1546">
        <v>-0.12</v>
      </c>
      <c r="AJ837" s="1546">
        <v>0.04</v>
      </c>
      <c r="AK837" s="1546">
        <v>0.11</v>
      </c>
      <c r="AL837" s="1546">
        <v>0.11</v>
      </c>
      <c r="AM837" s="1546">
        <v>0.04</v>
      </c>
      <c r="AN837" s="1546"/>
      <c r="AO837" s="1546"/>
      <c r="AP837" s="1546"/>
      <c r="AQ837" s="1546"/>
      <c r="BH837" s="1547"/>
      <c r="BI837" s="1547"/>
      <c r="BJ837" s="1547"/>
      <c r="BK837" s="1547"/>
      <c r="BL837" s="1547">
        <f>AVERAGE(X837:AA837)</f>
        <v>7.5000000000000015E-3</v>
      </c>
      <c r="BM837" s="1547">
        <f>AVERAGE(AB837:AE837)</f>
        <v>0.10999999999999999</v>
      </c>
      <c r="BN837" s="1547">
        <f>AVERAGE(AF837:AI837)</f>
        <v>-0.23500000000000001</v>
      </c>
      <c r="BO837" s="1547">
        <f>AVERAGE(AJ837:AM837)</f>
        <v>7.4999999999999997E-2</v>
      </c>
      <c r="BP837" s="1547"/>
      <c r="BT837" s="1519"/>
      <c r="BU837" s="1519"/>
      <c r="BV837" s="1519"/>
      <c r="BW837" s="1519"/>
      <c r="BX837" s="1519"/>
      <c r="BY837" s="1519"/>
      <c r="BZ837" s="1519"/>
      <c r="CA837" s="1519"/>
      <c r="CB837" s="1519"/>
      <c r="CC837" s="1519"/>
    </row>
    <row r="838" spans="2:81" s="1518" customFormat="1" outlineLevel="1">
      <c r="B838" s="1518" t="s">
        <v>484</v>
      </c>
      <c r="D838" s="1546">
        <v>-0.03</v>
      </c>
      <c r="E838" s="1546">
        <v>-0.04</v>
      </c>
      <c r="F838" s="1546">
        <v>-0.02</v>
      </c>
      <c r="G838" s="1546">
        <v>0.03</v>
      </c>
      <c r="H838" s="1546">
        <v>0.11</v>
      </c>
      <c r="I838" s="1546">
        <v>0.2</v>
      </c>
      <c r="J838" s="1546">
        <v>0.08</v>
      </c>
      <c r="K838" s="1546">
        <v>0.16</v>
      </c>
      <c r="L838" s="1546">
        <v>7.0000000000000007E-2</v>
      </c>
      <c r="M838" s="1546">
        <v>-0.04</v>
      </c>
      <c r="N838" s="1546">
        <v>0.21</v>
      </c>
      <c r="O838" s="1546">
        <v>0.23</v>
      </c>
      <c r="P838" s="1546">
        <v>0.12</v>
      </c>
      <c r="Q838" s="1546">
        <v>0.13</v>
      </c>
      <c r="R838" s="1546">
        <v>0.18</v>
      </c>
      <c r="S838" s="1546">
        <v>0.13</v>
      </c>
      <c r="T838" s="1546">
        <v>0.26</v>
      </c>
      <c r="U838" s="1546">
        <v>0.25</v>
      </c>
      <c r="V838" s="1546">
        <v>0.17</v>
      </c>
      <c r="W838" s="1546">
        <v>0.09</v>
      </c>
      <c r="X838" s="1546">
        <v>0.13</v>
      </c>
      <c r="Y838" s="1546">
        <v>0.1</v>
      </c>
      <c r="Z838" s="1546">
        <v>0.1</v>
      </c>
      <c r="AA838" s="1546">
        <v>0.2</v>
      </c>
      <c r="AB838" s="1546">
        <v>0.12</v>
      </c>
      <c r="AC838" s="1546">
        <v>0.13</v>
      </c>
      <c r="AD838" s="1546">
        <v>0.14000000000000001</v>
      </c>
      <c r="AE838" s="1546">
        <v>0.06</v>
      </c>
      <c r="AF838" s="1546">
        <v>0.08</v>
      </c>
      <c r="AG838" s="1546">
        <v>-0.03</v>
      </c>
      <c r="AH838" s="1546">
        <v>0.14000000000000001</v>
      </c>
      <c r="AI838" s="1546">
        <v>0.02</v>
      </c>
      <c r="AJ838" s="1546">
        <v>0.08</v>
      </c>
      <c r="AK838" s="1546">
        <v>0.09</v>
      </c>
      <c r="AL838" s="1546">
        <v>0.13</v>
      </c>
      <c r="AM838" s="1546">
        <v>0.11</v>
      </c>
      <c r="AN838" s="1546"/>
      <c r="AO838" s="1546"/>
      <c r="AP838" s="1546"/>
      <c r="AQ838" s="1546"/>
      <c r="BH838" s="1547">
        <f>+AVERAGE(H838:K838)</f>
        <v>0.13750000000000001</v>
      </c>
      <c r="BI838" s="1547">
        <f>+AVERAGE(L838:O838)</f>
        <v>0.11749999999999999</v>
      </c>
      <c r="BJ838" s="1547">
        <f>+AVERAGE(P838:S838)</f>
        <v>0.14000000000000001</v>
      </c>
      <c r="BK838" s="1547">
        <f>AVERAGE(T838:W838)</f>
        <v>0.1925</v>
      </c>
      <c r="BL838" s="1547">
        <f>AVERAGE(X838:AA838)</f>
        <v>0.13250000000000001</v>
      </c>
      <c r="BM838" s="1547">
        <f>+AVERAGE(AB838:AE838)</f>
        <v>0.1125</v>
      </c>
      <c r="BN838" s="1547">
        <f t="shared" ref="BN838:BN839" si="3512">AVERAGE(AF838:AI838)</f>
        <v>5.2499999999999998E-2</v>
      </c>
      <c r="BO838" s="1547">
        <f t="shared" ref="BO838:BO848" si="3513">AVERAGE(AJ838:AM838)</f>
        <v>0.10249999999999999</v>
      </c>
      <c r="BP838" s="1547"/>
    </row>
    <row r="839" spans="2:81" s="1518" customFormat="1" outlineLevel="1">
      <c r="B839" s="1518" t="s">
        <v>485</v>
      </c>
      <c r="D839" s="1546">
        <v>0.23</v>
      </c>
      <c r="E839" s="1546">
        <v>0.17</v>
      </c>
      <c r="F839" s="1546">
        <v>0.14000000000000001</v>
      </c>
      <c r="G839" s="1546">
        <v>0.16</v>
      </c>
      <c r="H839" s="1546">
        <v>0.09</v>
      </c>
      <c r="I839" s="1546">
        <v>0.1</v>
      </c>
      <c r="J839" s="1546">
        <v>0.08</v>
      </c>
      <c r="K839" s="1546">
        <v>0.1</v>
      </c>
      <c r="L839" s="1546">
        <v>0.15</v>
      </c>
      <c r="M839" s="1546">
        <v>0.15</v>
      </c>
      <c r="N839" s="1546">
        <v>0.16</v>
      </c>
      <c r="O839" s="1546">
        <v>0.17</v>
      </c>
      <c r="P839" s="1546">
        <v>0.17</v>
      </c>
      <c r="Q839" s="1546">
        <v>0.14000000000000001</v>
      </c>
      <c r="R839" s="1546">
        <v>0.12</v>
      </c>
      <c r="S839" s="1546">
        <v>0.09</v>
      </c>
      <c r="T839" s="1546">
        <v>0.11</v>
      </c>
      <c r="U839" s="1546">
        <v>0.06</v>
      </c>
      <c r="V839" s="1546">
        <v>0.01</v>
      </c>
      <c r="W839" s="1546">
        <v>-0.18</v>
      </c>
      <c r="X839" s="1546">
        <v>-0.12</v>
      </c>
      <c r="Y839" s="1546">
        <v>0</v>
      </c>
      <c r="Z839" s="1546">
        <v>0.13</v>
      </c>
      <c r="AA839" s="1546">
        <v>0.48</v>
      </c>
      <c r="AB839" s="1546">
        <v>0.4</v>
      </c>
      <c r="AC839" s="1546">
        <v>0.32</v>
      </c>
      <c r="AD839" s="1546">
        <v>0.23</v>
      </c>
      <c r="AE839" s="1546">
        <v>0.18</v>
      </c>
      <c r="AF839" s="1546">
        <v>0.16</v>
      </c>
      <c r="AG839" s="1546">
        <v>0.1</v>
      </c>
      <c r="AH839" s="1546">
        <v>0.1</v>
      </c>
      <c r="AI839" s="1546">
        <v>0.08</v>
      </c>
      <c r="AJ839" s="1546">
        <v>0.1</v>
      </c>
      <c r="AK839" s="1546">
        <v>0.08</v>
      </c>
      <c r="AL839" s="1546">
        <v>0.12</v>
      </c>
      <c r="AM839" s="1546">
        <v>0.19</v>
      </c>
      <c r="AN839" s="1546"/>
      <c r="AO839" s="1546"/>
      <c r="AP839" s="1546"/>
      <c r="AQ839" s="1546"/>
      <c r="BH839" s="1547">
        <f>+AVERAGE(H839:K839)</f>
        <v>9.2499999999999999E-2</v>
      </c>
      <c r="BI839" s="1547">
        <f>+AVERAGE(L839:O839)</f>
        <v>0.1575</v>
      </c>
      <c r="BJ839" s="1547">
        <f>+AVERAGE(P839:S839)</f>
        <v>0.13</v>
      </c>
      <c r="BK839" s="1547">
        <f>+AVERAGE(T839:W839)</f>
        <v>0</v>
      </c>
      <c r="BL839" s="1547">
        <v>0.1</v>
      </c>
      <c r="BM839" s="1547">
        <f>+AVERAGE(AB839:AE839)</f>
        <v>0.28249999999999997</v>
      </c>
      <c r="BN839" s="1547">
        <f t="shared" si="3512"/>
        <v>0.11</v>
      </c>
      <c r="BO839" s="1547">
        <f t="shared" si="3513"/>
        <v>0.1225</v>
      </c>
      <c r="BP839" s="1547"/>
      <c r="BS839" s="1547"/>
    </row>
    <row r="840" spans="2:81" s="1518" customFormat="1" outlineLevel="1">
      <c r="B840" s="1518" t="s">
        <v>486</v>
      </c>
      <c r="D840" s="1546"/>
      <c r="E840" s="1546"/>
      <c r="F840" s="1546"/>
      <c r="G840" s="1546"/>
      <c r="H840" s="1546"/>
      <c r="I840" s="1546"/>
      <c r="J840" s="1546"/>
      <c r="K840" s="1546"/>
      <c r="L840" s="1546"/>
      <c r="M840" s="1546"/>
      <c r="N840" s="1546"/>
      <c r="O840" s="1546"/>
      <c r="P840" s="1546"/>
      <c r="Q840" s="1546"/>
      <c r="R840" s="1546"/>
      <c r="S840" s="1546"/>
      <c r="T840" s="1546"/>
      <c r="U840" s="1546"/>
      <c r="V840" s="1546"/>
      <c r="W840" s="1546"/>
      <c r="X840" s="1546"/>
      <c r="Y840" s="1546"/>
      <c r="Z840" s="1546"/>
      <c r="AA840" s="1546"/>
      <c r="AB840" s="1546"/>
      <c r="AC840" s="1546"/>
      <c r="AD840" s="1546"/>
      <c r="AE840" s="1546"/>
      <c r="AF840" s="1546"/>
      <c r="AG840" s="1546"/>
      <c r="AH840" s="1546"/>
      <c r="AI840" s="1546"/>
      <c r="AJ840" s="1546">
        <v>0.08</v>
      </c>
      <c r="AK840" s="1546">
        <v>0.06</v>
      </c>
      <c r="AL840" s="1546">
        <v>0.08</v>
      </c>
      <c r="AM840" s="1546">
        <v>0.15</v>
      </c>
      <c r="AN840" s="1546">
        <v>0.18</v>
      </c>
      <c r="AO840" s="1546"/>
      <c r="AP840" s="1546"/>
      <c r="AQ840" s="1546"/>
      <c r="BH840" s="1547"/>
      <c r="BI840" s="1547"/>
      <c r="BJ840" s="1547"/>
      <c r="BK840" s="1547"/>
      <c r="BL840" s="1547"/>
      <c r="BM840" s="1547"/>
      <c r="BN840" s="1547"/>
      <c r="BO840" s="1547">
        <f t="shared" si="3513"/>
        <v>9.2499999999999999E-2</v>
      </c>
      <c r="BP840" s="1547"/>
      <c r="BS840" s="1547"/>
    </row>
    <row r="841" spans="2:81" s="1518" customFormat="1" outlineLevel="1">
      <c r="B841" s="1518" t="s">
        <v>487</v>
      </c>
      <c r="D841" s="1546"/>
      <c r="E841" s="1546"/>
      <c r="F841" s="1546"/>
      <c r="G841" s="1546"/>
      <c r="H841" s="1546"/>
      <c r="I841" s="1546"/>
      <c r="J841" s="1546"/>
      <c r="K841" s="1546"/>
      <c r="L841" s="1546"/>
      <c r="M841" s="1546"/>
      <c r="N841" s="1546"/>
      <c r="O841" s="1546"/>
      <c r="P841" s="1546"/>
      <c r="Q841" s="1546"/>
      <c r="R841" s="1546"/>
      <c r="S841" s="1546"/>
      <c r="T841" s="1546"/>
      <c r="U841" s="1546"/>
      <c r="V841" s="1546"/>
      <c r="W841" s="1546"/>
      <c r="X841" s="1546"/>
      <c r="Y841" s="1546"/>
      <c r="Z841" s="1546"/>
      <c r="AA841" s="1546"/>
      <c r="AB841" s="1546"/>
      <c r="AC841" s="1546"/>
      <c r="AD841" s="1546"/>
      <c r="AE841" s="1546"/>
      <c r="AF841" s="1546"/>
      <c r="AG841" s="1546"/>
      <c r="AH841" s="1546"/>
      <c r="AI841" s="1546"/>
      <c r="AJ841" s="1546"/>
      <c r="AK841" s="1546"/>
      <c r="AL841" s="1546"/>
      <c r="AM841" s="1546"/>
      <c r="AN841" s="1546">
        <v>0.02</v>
      </c>
      <c r="AO841" s="1546"/>
      <c r="AP841" s="1546"/>
      <c r="AQ841" s="1546"/>
      <c r="BH841" s="1547"/>
      <c r="BI841" s="1547"/>
      <c r="BJ841" s="1547"/>
      <c r="BK841" s="1547"/>
      <c r="BL841" s="1547"/>
      <c r="BM841" s="1547"/>
      <c r="BN841" s="1547"/>
      <c r="BO841" s="1547"/>
      <c r="BP841" s="1547"/>
      <c r="BS841" s="1547"/>
    </row>
    <row r="842" spans="2:81" s="1518" customFormat="1" outlineLevel="1">
      <c r="B842" s="1518" t="s">
        <v>488</v>
      </c>
      <c r="D842" s="1546"/>
      <c r="E842" s="1546"/>
      <c r="F842" s="1546"/>
      <c r="G842" s="1546"/>
      <c r="H842" s="1546"/>
      <c r="I842" s="1546"/>
      <c r="J842" s="1546"/>
      <c r="K842" s="1546"/>
      <c r="L842" s="1546"/>
      <c r="M842" s="1546"/>
      <c r="N842" s="1546"/>
      <c r="O842" s="1546"/>
      <c r="P842" s="1546"/>
      <c r="Q842" s="1546"/>
      <c r="R842" s="1546"/>
      <c r="S842" s="1546"/>
      <c r="T842" s="1546"/>
      <c r="U842" s="1546"/>
      <c r="V842" s="1546"/>
      <c r="W842" s="1546"/>
      <c r="X842" s="1546"/>
      <c r="Y842" s="1546"/>
      <c r="Z842" s="1546"/>
      <c r="AA842" s="1546"/>
      <c r="AB842" s="1546"/>
      <c r="AC842" s="1546"/>
      <c r="AD842" s="1546"/>
      <c r="AE842" s="1546"/>
      <c r="AF842" s="1546"/>
      <c r="AG842" s="1546"/>
      <c r="AH842" s="1546"/>
      <c r="AI842" s="1546"/>
      <c r="AJ842" s="1546"/>
      <c r="AK842" s="1546"/>
      <c r="AL842" s="1546"/>
      <c r="AM842" s="1546"/>
      <c r="AN842" s="1546">
        <v>0.61</v>
      </c>
      <c r="AO842" s="1546"/>
      <c r="AP842" s="1546"/>
      <c r="AQ842" s="1546"/>
      <c r="BH842" s="1547"/>
      <c r="BI842" s="1547"/>
      <c r="BJ842" s="1547"/>
      <c r="BK842" s="1547"/>
      <c r="BL842" s="1547"/>
      <c r="BM842" s="1547"/>
      <c r="BN842" s="1547"/>
      <c r="BO842" s="1547"/>
      <c r="BP842" s="1547"/>
      <c r="BS842" s="1547"/>
    </row>
    <row r="843" spans="2:81" s="1518" customFormat="1" outlineLevel="1">
      <c r="D843" s="1546"/>
      <c r="E843" s="1546"/>
      <c r="F843" s="1546"/>
      <c r="G843" s="1546"/>
      <c r="H843" s="1546"/>
      <c r="I843" s="1546"/>
      <c r="J843" s="1546"/>
      <c r="K843" s="1546"/>
      <c r="L843" s="1546"/>
      <c r="M843" s="1546"/>
      <c r="N843" s="1546"/>
      <c r="O843" s="1546"/>
      <c r="P843" s="1546"/>
      <c r="Q843" s="1546"/>
      <c r="R843" s="1546"/>
      <c r="S843" s="1546"/>
      <c r="T843" s="1546"/>
      <c r="U843" s="1546"/>
      <c r="V843" s="1546"/>
      <c r="W843" s="1546"/>
      <c r="X843" s="1546"/>
      <c r="Y843" s="1546"/>
      <c r="Z843" s="1546"/>
      <c r="AA843" s="1546"/>
      <c r="AB843" s="1546"/>
      <c r="AC843" s="1546"/>
      <c r="AD843" s="1546"/>
      <c r="AE843" s="1546"/>
      <c r="AF843" s="1546"/>
      <c r="AG843" s="1546"/>
      <c r="AH843" s="1546"/>
      <c r="AI843" s="1546"/>
      <c r="AJ843" s="1546"/>
      <c r="AK843" s="1546"/>
      <c r="AL843" s="1546"/>
      <c r="AM843" s="1546"/>
      <c r="AN843" s="1546"/>
      <c r="AO843" s="1546"/>
      <c r="AP843" s="1546"/>
      <c r="AQ843" s="1546"/>
      <c r="BH843" s="1547"/>
      <c r="BI843" s="1547"/>
      <c r="BJ843" s="1547"/>
      <c r="BK843" s="1547"/>
      <c r="BL843" s="1547"/>
      <c r="BM843" s="1547"/>
      <c r="BN843" s="1547"/>
      <c r="BO843" s="1547"/>
      <c r="BP843" s="1547"/>
      <c r="BS843" s="1547"/>
    </row>
    <row r="844" spans="2:81" s="1518" customFormat="1" ht="11.45" outlineLevel="1">
      <c r="D844" s="1546"/>
      <c r="E844" s="1546"/>
      <c r="F844" s="1546"/>
      <c r="G844" s="1546"/>
      <c r="H844" s="1546"/>
      <c r="I844" s="1546"/>
      <c r="J844" s="1546"/>
      <c r="K844" s="1546"/>
      <c r="L844" s="1546"/>
      <c r="M844" s="1546"/>
      <c r="N844" s="1546"/>
      <c r="O844" s="1546"/>
      <c r="P844" s="1546"/>
      <c r="Q844" s="1546"/>
      <c r="R844" s="1546"/>
      <c r="S844" s="1546"/>
      <c r="T844" s="1546"/>
      <c r="U844" s="1546"/>
      <c r="V844" s="1546"/>
      <c r="W844" s="1546"/>
      <c r="X844" s="1546"/>
      <c r="Y844" s="1546"/>
      <c r="Z844" s="1546"/>
      <c r="AA844" s="1546"/>
      <c r="AB844" s="1546"/>
      <c r="AC844" s="1546"/>
      <c r="AD844" s="1546"/>
      <c r="AE844" s="1546"/>
      <c r="AF844" s="1546"/>
      <c r="AG844" s="1546"/>
      <c r="AH844" s="1546"/>
      <c r="AI844" s="1546"/>
      <c r="AJ844" s="1546"/>
      <c r="AK844" s="1546"/>
      <c r="AL844" s="1546"/>
      <c r="AM844" s="1546"/>
      <c r="AN844" s="1546"/>
      <c r="AO844" s="1546"/>
      <c r="AP844" s="1546"/>
      <c r="AQ844" s="1546"/>
      <c r="BH844" s="1547"/>
      <c r="BI844" s="1547"/>
      <c r="BJ844" s="1547"/>
      <c r="BK844" s="1547"/>
      <c r="BL844" s="1547"/>
      <c r="BM844" s="1547"/>
      <c r="BN844" s="1547"/>
      <c r="BO844" s="1547"/>
      <c r="BP844" s="1547"/>
      <c r="BT844" s="1544"/>
      <c r="BU844" s="1544"/>
      <c r="BV844" s="1544"/>
      <c r="BW844" s="1544"/>
      <c r="BX844" s="1544"/>
      <c r="BY844" s="1544"/>
      <c r="BZ844" s="1544"/>
      <c r="CA844" s="1544"/>
      <c r="CB844" s="1544"/>
      <c r="CC844" s="1544"/>
    </row>
    <row r="845" spans="2:81" s="1518" customFormat="1" outlineLevel="1">
      <c r="B845" s="1300" t="s">
        <v>384</v>
      </c>
      <c r="D845" s="1546"/>
      <c r="E845" s="1546"/>
      <c r="F845" s="1546"/>
      <c r="G845" s="1546"/>
      <c r="H845" s="1546"/>
      <c r="I845" s="1546"/>
      <c r="J845" s="1546"/>
      <c r="K845" s="1546"/>
      <c r="L845" s="1546"/>
      <c r="M845" s="1546"/>
      <c r="N845" s="1546"/>
      <c r="O845" s="1546"/>
      <c r="P845" s="1546"/>
      <c r="Q845" s="1546"/>
      <c r="R845" s="1546"/>
      <c r="S845" s="1546"/>
      <c r="T845" s="1546"/>
      <c r="U845" s="1546"/>
      <c r="V845" s="1546"/>
      <c r="W845" s="1546"/>
      <c r="X845" s="1546"/>
      <c r="Y845" s="1546"/>
      <c r="Z845" s="1546"/>
      <c r="AA845" s="1546"/>
      <c r="AB845" s="1546"/>
      <c r="AC845" s="1546"/>
      <c r="AD845" s="1546"/>
      <c r="AE845" s="1546"/>
      <c r="AF845" s="1546"/>
      <c r="AG845" s="1546"/>
      <c r="AH845" s="1546"/>
      <c r="AI845" s="1546"/>
      <c r="AJ845" s="1546"/>
      <c r="AK845" s="1546"/>
      <c r="AL845" s="1546"/>
      <c r="AM845" s="1546"/>
      <c r="AN845" s="1546"/>
      <c r="AO845" s="1546"/>
      <c r="AP845" s="1546"/>
      <c r="AQ845" s="1546"/>
      <c r="BH845" s="1547"/>
      <c r="BI845" s="1547"/>
      <c r="BJ845" s="1547"/>
      <c r="BK845" s="1547"/>
      <c r="BL845" s="1547"/>
      <c r="BM845" s="1547"/>
      <c r="BN845" s="1547"/>
      <c r="BO845" s="1547"/>
      <c r="BP845" s="1547"/>
    </row>
    <row r="846" spans="2:81" s="1518" customFormat="1" outlineLevel="1">
      <c r="B846" s="1518" t="s">
        <v>484</v>
      </c>
      <c r="D846" s="1546">
        <v>0.04</v>
      </c>
      <c r="E846" s="1546">
        <v>0.03</v>
      </c>
      <c r="F846" s="1546">
        <v>0.06</v>
      </c>
      <c r="G846" s="1546">
        <v>0.09</v>
      </c>
      <c r="H846" s="1546">
        <v>0.13</v>
      </c>
      <c r="I846" s="1546">
        <v>0.22</v>
      </c>
      <c r="J846" s="1546">
        <v>0.08</v>
      </c>
      <c r="K846" s="1546">
        <v>0.16</v>
      </c>
      <c r="L846" s="1546">
        <v>0.06</v>
      </c>
      <c r="M846" s="1546">
        <v>-0.05</v>
      </c>
      <c r="N846" s="1546">
        <v>0.17</v>
      </c>
      <c r="O846" s="1546">
        <v>0.19</v>
      </c>
      <c r="P846" s="1546">
        <v>0.12</v>
      </c>
      <c r="Q846" s="1546">
        <v>0.14000000000000001</v>
      </c>
      <c r="R846" s="1546">
        <v>0.2</v>
      </c>
      <c r="S846" s="1546">
        <v>0.16</v>
      </c>
      <c r="T846" s="1546">
        <v>0.28999999999999998</v>
      </c>
      <c r="U846" s="1546">
        <v>0.27</v>
      </c>
      <c r="V846" s="1546">
        <v>0.18</v>
      </c>
      <c r="W846" s="1546">
        <v>0.11</v>
      </c>
      <c r="X846" s="1546">
        <v>0.12</v>
      </c>
      <c r="Y846" s="1546">
        <v>0.08</v>
      </c>
      <c r="Z846" s="1546">
        <v>7.0000000000000007E-2</v>
      </c>
      <c r="AA846" s="1546">
        <v>0.14000000000000001</v>
      </c>
      <c r="AB846" s="1546">
        <v>0.1</v>
      </c>
      <c r="AC846" s="1546">
        <v>0.14000000000000001</v>
      </c>
      <c r="AD846" s="1546">
        <v>0.19</v>
      </c>
      <c r="AE846" s="1546">
        <v>0.12</v>
      </c>
      <c r="AF846" s="1546">
        <v>0.15</v>
      </c>
      <c r="AG846" s="1546">
        <v>0.03</v>
      </c>
      <c r="AH846" s="1546">
        <v>0.18</v>
      </c>
      <c r="AI846" s="1546">
        <v>0.03</v>
      </c>
      <c r="AJ846" s="1546">
        <v>0.08</v>
      </c>
      <c r="AK846" s="1546">
        <v>7.0000000000000007E-2</v>
      </c>
      <c r="AL846" s="1546">
        <v>0.12</v>
      </c>
      <c r="AM846" s="1546">
        <v>0.12</v>
      </c>
      <c r="AN846" s="1546"/>
      <c r="AO846" s="1546"/>
      <c r="AP846" s="1546"/>
      <c r="AQ846" s="1546"/>
      <c r="BH846" s="1547">
        <f>+AVERAGE(H846:K846)</f>
        <v>0.14749999999999999</v>
      </c>
      <c r="BI846" s="1547">
        <f>+AVERAGE(L846:O846)</f>
        <v>9.2499999999999999E-2</v>
      </c>
      <c r="BJ846" s="1547">
        <f>+AVERAGE(P846:S846)</f>
        <v>0.155</v>
      </c>
      <c r="BK846" s="1547">
        <f>AVERAGE(T846:W846)</f>
        <v>0.21249999999999999</v>
      </c>
      <c r="BL846" s="1547">
        <f>AVERAGE(X846:AA846)</f>
        <v>0.10250000000000001</v>
      </c>
      <c r="BM846" s="1547">
        <f>+AVERAGE(AB846:AE846)</f>
        <v>0.13750000000000001</v>
      </c>
      <c r="BN846" s="1547">
        <f t="shared" ref="BN846:BN847" si="3514">AVERAGE(AF846:AI846)</f>
        <v>9.7500000000000003E-2</v>
      </c>
      <c r="BO846" s="1547">
        <f t="shared" si="3513"/>
        <v>9.7500000000000003E-2</v>
      </c>
      <c r="BP846" s="1547"/>
    </row>
    <row r="847" spans="2:81" s="1518" customFormat="1" ht="11.45" outlineLevel="1">
      <c r="B847" s="1518" t="str">
        <f>+B839</f>
        <v>Search and news advertising revenue (ex TAC) growth (old segment)</v>
      </c>
      <c r="D847" s="1546">
        <v>0.28999999999999998</v>
      </c>
      <c r="E847" s="1546">
        <v>0.21</v>
      </c>
      <c r="F847" s="1546">
        <v>0.18</v>
      </c>
      <c r="G847" s="1546">
        <v>0.17</v>
      </c>
      <c r="H847" s="1546">
        <v>0.1</v>
      </c>
      <c r="I847" s="1546">
        <v>0.11</v>
      </c>
      <c r="J847" s="1546">
        <v>0.09</v>
      </c>
      <c r="K847" s="1546">
        <v>0.11</v>
      </c>
      <c r="L847" s="1546">
        <v>0.15</v>
      </c>
      <c r="M847" s="1546">
        <v>0.15</v>
      </c>
      <c r="N847" s="1546">
        <v>0.14000000000000001</v>
      </c>
      <c r="O847" s="1546">
        <v>0.16</v>
      </c>
      <c r="P847" s="1546">
        <v>0.17</v>
      </c>
      <c r="Q847" s="1546">
        <v>0.14000000000000001</v>
      </c>
      <c r="R847" s="1546">
        <v>0.14000000000000001</v>
      </c>
      <c r="S847" s="1546">
        <v>0.1</v>
      </c>
      <c r="T847" s="1546">
        <v>0.13</v>
      </c>
      <c r="U847" s="1546">
        <v>7.0000000000000007E-2</v>
      </c>
      <c r="V847" s="1546">
        <v>0.01</v>
      </c>
      <c r="W847" s="1546">
        <v>-0.17</v>
      </c>
      <c r="X847" s="1546">
        <v>-0.13</v>
      </c>
      <c r="Y847" s="1546">
        <v>-0.01</v>
      </c>
      <c r="Z847" s="1546">
        <v>0.11</v>
      </c>
      <c r="AA847" s="1546">
        <v>0.45</v>
      </c>
      <c r="AB847" s="1546">
        <v>0.39</v>
      </c>
      <c r="AC847" s="1546">
        <v>0.32</v>
      </c>
      <c r="AD847" s="1546">
        <v>0.25</v>
      </c>
      <c r="AE847" s="1546">
        <v>0.21</v>
      </c>
      <c r="AF847" s="1546">
        <v>0.21</v>
      </c>
      <c r="AG847" s="1546">
        <v>0.15</v>
      </c>
      <c r="AH847" s="1546">
        <v>0.13</v>
      </c>
      <c r="AI847" s="1546">
        <v>0.09</v>
      </c>
      <c r="AJ847" s="1546">
        <v>0.09</v>
      </c>
      <c r="AK847" s="1546">
        <v>7.0000000000000007E-2</v>
      </c>
      <c r="AL847" s="1546">
        <v>0.12</v>
      </c>
      <c r="AM847" s="1546">
        <v>0.19</v>
      </c>
      <c r="AN847" s="1546"/>
      <c r="AO847" s="1546"/>
      <c r="AP847" s="1546"/>
      <c r="AQ847" s="1546"/>
      <c r="BH847" s="1547">
        <f>+AVERAGE(H847:K847)</f>
        <v>0.10250000000000001</v>
      </c>
      <c r="BI847" s="1547">
        <f>+AVERAGE(L847:O847)</f>
        <v>0.15</v>
      </c>
      <c r="BJ847" s="1547">
        <f>+AVERAGE(P847:S847)</f>
        <v>0.13750000000000001</v>
      </c>
      <c r="BK847" s="1547">
        <f>+AVERAGE(T847:W847)</f>
        <v>1.0000000000000002E-2</v>
      </c>
      <c r="BL847" s="1547">
        <v>0.1</v>
      </c>
      <c r="BM847" s="1547">
        <f>+AVERAGE(AB847:AE847)</f>
        <v>0.29249999999999998</v>
      </c>
      <c r="BN847" s="1547">
        <f t="shared" si="3514"/>
        <v>0.14499999999999999</v>
      </c>
      <c r="BO847" s="1547">
        <f t="shared" si="3513"/>
        <v>0.11750000000000001</v>
      </c>
      <c r="BP847" s="1547"/>
      <c r="BS847" s="1547"/>
      <c r="BT847" s="1544"/>
      <c r="BU847" s="1544"/>
      <c r="BV847" s="1544"/>
      <c r="BW847" s="1544"/>
      <c r="BX847" s="1544"/>
      <c r="BY847" s="1544"/>
      <c r="BZ847" s="1544"/>
      <c r="CA847" s="1544"/>
      <c r="CB847" s="1544"/>
      <c r="CC847" s="1544"/>
    </row>
    <row r="848" spans="2:81" s="1518" customFormat="1" outlineLevel="1">
      <c r="B848" s="1518" t="str">
        <f>+B840</f>
        <v>Search and news advertising revenue (ex TAC) growth (new segment)</v>
      </c>
      <c r="D848" s="1546"/>
      <c r="E848" s="1546"/>
      <c r="F848" s="1546"/>
      <c r="G848" s="1546"/>
      <c r="H848" s="1546"/>
      <c r="I848" s="1546"/>
      <c r="J848" s="1546"/>
      <c r="K848" s="1546"/>
      <c r="L848" s="1546"/>
      <c r="M848" s="1546"/>
      <c r="N848" s="1546"/>
      <c r="O848" s="1546"/>
      <c r="P848" s="1546"/>
      <c r="Q848" s="1546"/>
      <c r="R848" s="1546"/>
      <c r="S848" s="1546"/>
      <c r="T848" s="1546"/>
      <c r="U848" s="1546"/>
      <c r="V848" s="1546"/>
      <c r="W848" s="1546"/>
      <c r="X848" s="1546"/>
      <c r="Y848" s="1546"/>
      <c r="Z848" s="1546"/>
      <c r="AA848" s="1546"/>
      <c r="AB848" s="1546"/>
      <c r="AC848" s="1546"/>
      <c r="AD848" s="1546"/>
      <c r="AE848" s="1546"/>
      <c r="AF848" s="1546"/>
      <c r="AG848" s="1546"/>
      <c r="AH848" s="1546"/>
      <c r="AI848" s="1546"/>
      <c r="AJ848" s="1546">
        <v>7.0000000000000007E-2</v>
      </c>
      <c r="AK848" s="1546">
        <v>0.04</v>
      </c>
      <c r="AL848" s="1546">
        <v>0.08</v>
      </c>
      <c r="AM848" s="1546">
        <v>0.16</v>
      </c>
      <c r="AN848" s="1546">
        <v>0.19</v>
      </c>
      <c r="AO848" s="1546"/>
      <c r="AP848" s="1546"/>
      <c r="AQ848" s="1546"/>
      <c r="BH848" s="1547"/>
      <c r="BI848" s="1547"/>
      <c r="BJ848" s="1547"/>
      <c r="BK848" s="1547"/>
      <c r="BL848" s="1547"/>
      <c r="BM848" s="1547"/>
      <c r="BN848" s="1547"/>
      <c r="BO848" s="1547">
        <f t="shared" si="3513"/>
        <v>8.7499999999999994E-2</v>
      </c>
      <c r="BP848" s="1547"/>
      <c r="BS848" s="1547"/>
      <c r="BT848" s="1519"/>
      <c r="BU848" s="1519"/>
      <c r="BV848" s="1519"/>
      <c r="BW848" s="1519"/>
      <c r="BX848" s="1519"/>
      <c r="BY848" s="1519"/>
      <c r="BZ848" s="1519"/>
      <c r="CA848" s="1519"/>
      <c r="CB848" s="1519"/>
      <c r="CC848" s="1519"/>
    </row>
    <row r="849" spans="2:81" s="1518" customFormat="1" outlineLevel="1">
      <c r="B849" s="1518" t="s">
        <v>487</v>
      </c>
      <c r="D849" s="1546"/>
      <c r="E849" s="1546"/>
      <c r="F849" s="1546"/>
      <c r="G849" s="1546"/>
      <c r="H849" s="1546"/>
      <c r="I849" s="1546"/>
      <c r="J849" s="1546"/>
      <c r="K849" s="1546"/>
      <c r="L849" s="1546"/>
      <c r="M849" s="1546"/>
      <c r="N849" s="1546"/>
      <c r="O849" s="1546"/>
      <c r="P849" s="1546"/>
      <c r="Q849" s="1546"/>
      <c r="R849" s="1546"/>
      <c r="S849" s="1546"/>
      <c r="T849" s="1546"/>
      <c r="U849" s="1546"/>
      <c r="V849" s="1546"/>
      <c r="W849" s="1546"/>
      <c r="X849" s="1546"/>
      <c r="Y849" s="1546"/>
      <c r="Z849" s="1546"/>
      <c r="AA849" s="1546"/>
      <c r="AB849" s="1546"/>
      <c r="AC849" s="1546"/>
      <c r="AD849" s="1546"/>
      <c r="AE849" s="1546"/>
      <c r="AF849" s="1546"/>
      <c r="AG849" s="1546"/>
      <c r="AH849" s="1546"/>
      <c r="AI849" s="1546"/>
      <c r="AJ849" s="1546"/>
      <c r="AK849" s="1546"/>
      <c r="AL849" s="1546"/>
      <c r="AM849" s="1546"/>
      <c r="AN849" s="1546">
        <v>0.02</v>
      </c>
      <c r="AO849" s="1546"/>
      <c r="AP849" s="1546"/>
      <c r="AQ849" s="1546"/>
      <c r="BH849" s="1547"/>
      <c r="BI849" s="1547"/>
      <c r="BJ849" s="1547"/>
      <c r="BK849" s="1547"/>
      <c r="BL849" s="1547"/>
      <c r="BM849" s="1547"/>
      <c r="BN849" s="1547"/>
      <c r="BO849" s="1547"/>
      <c r="BP849" s="1547"/>
      <c r="BS849" s="1547"/>
      <c r="BT849" s="1519"/>
      <c r="BU849" s="1519"/>
      <c r="BV849" s="1519"/>
      <c r="BW849" s="1519"/>
      <c r="BX849" s="1519"/>
      <c r="BY849" s="1519"/>
      <c r="BZ849" s="1519"/>
      <c r="CA849" s="1519"/>
      <c r="CB849" s="1519"/>
      <c r="CC849" s="1519"/>
    </row>
    <row r="850" spans="2:81" s="1518" customFormat="1" outlineLevel="1">
      <c r="B850" s="1518" t="s">
        <v>488</v>
      </c>
      <c r="D850" s="1546"/>
      <c r="E850" s="1546"/>
      <c r="F850" s="1546"/>
      <c r="G850" s="1546"/>
      <c r="H850" s="1546"/>
      <c r="I850" s="1546"/>
      <c r="J850" s="1546"/>
      <c r="K850" s="1546"/>
      <c r="L850" s="1546"/>
      <c r="M850" s="1546"/>
      <c r="N850" s="1546"/>
      <c r="O850" s="1546"/>
      <c r="P850" s="1546"/>
      <c r="Q850" s="1546"/>
      <c r="R850" s="1546"/>
      <c r="S850" s="1546"/>
      <c r="T850" s="1546"/>
      <c r="U850" s="1546"/>
      <c r="V850" s="1546"/>
      <c r="W850" s="1546"/>
      <c r="X850" s="1546"/>
      <c r="Y850" s="1546"/>
      <c r="Z850" s="1546"/>
      <c r="AA850" s="1546"/>
      <c r="AB850" s="1546"/>
      <c r="AC850" s="1546"/>
      <c r="AD850" s="1546"/>
      <c r="AE850" s="1546"/>
      <c r="AF850" s="1546"/>
      <c r="AG850" s="1546"/>
      <c r="AH850" s="1546"/>
      <c r="AI850" s="1546"/>
      <c r="AJ850" s="1546"/>
      <c r="AK850" s="1546"/>
      <c r="AL850" s="1546"/>
      <c r="AM850" s="1546"/>
      <c r="AN850" s="1546">
        <v>0.61</v>
      </c>
      <c r="AO850" s="1546"/>
      <c r="AP850" s="1546"/>
      <c r="AQ850" s="1546"/>
      <c r="BH850" s="1547"/>
      <c r="BI850" s="1547"/>
      <c r="BJ850" s="1547"/>
      <c r="BK850" s="1547"/>
      <c r="BL850" s="1547"/>
      <c r="BM850" s="1547"/>
      <c r="BN850" s="1547"/>
      <c r="BO850" s="1547"/>
      <c r="BP850" s="1547"/>
      <c r="BS850" s="1547"/>
      <c r="BT850" s="1519"/>
      <c r="BU850" s="1519"/>
      <c r="BV850" s="1519"/>
      <c r="BW850" s="1519"/>
      <c r="BX850" s="1519"/>
      <c r="BY850" s="1519"/>
      <c r="BZ850" s="1519"/>
      <c r="CA850" s="1519"/>
      <c r="CB850" s="1519"/>
      <c r="CC850" s="1519"/>
    </row>
    <row r="851" spans="2:81" s="1518" customFormat="1" outlineLevel="1">
      <c r="D851" s="1546"/>
      <c r="E851" s="1546"/>
      <c r="F851" s="1546"/>
      <c r="G851" s="1546"/>
      <c r="H851" s="1546"/>
      <c r="I851" s="1546"/>
      <c r="J851" s="1546"/>
      <c r="K851" s="1546"/>
      <c r="L851" s="1546"/>
      <c r="M851" s="1546"/>
      <c r="N851" s="1546"/>
      <c r="O851" s="1546"/>
      <c r="P851" s="1546"/>
      <c r="Q851" s="1546"/>
      <c r="R851" s="1546"/>
      <c r="S851" s="1546"/>
      <c r="T851" s="1546"/>
      <c r="U851" s="1546"/>
      <c r="V851" s="1546"/>
      <c r="W851" s="1546"/>
      <c r="X851" s="1546"/>
      <c r="Y851" s="1546"/>
      <c r="Z851" s="1546"/>
      <c r="AA851" s="1546"/>
      <c r="AB851" s="1546"/>
      <c r="AC851" s="1546"/>
      <c r="AD851" s="1546"/>
      <c r="AE851" s="1546"/>
      <c r="AF851" s="1546"/>
      <c r="AG851" s="1546"/>
      <c r="AH851" s="1546"/>
      <c r="AI851" s="1546"/>
      <c r="AJ851" s="1546"/>
      <c r="AK851" s="1546"/>
      <c r="AL851" s="1546"/>
      <c r="AM851" s="1546"/>
      <c r="AN851" s="1546"/>
      <c r="AO851" s="1546"/>
      <c r="AP851" s="1546"/>
      <c r="AQ851" s="1546"/>
      <c r="BH851" s="1547"/>
      <c r="BI851" s="1547"/>
      <c r="BJ851" s="1547"/>
      <c r="BK851" s="1547"/>
      <c r="BL851" s="1547"/>
      <c r="BM851" s="1547"/>
      <c r="BN851" s="1547"/>
      <c r="BO851" s="1547"/>
      <c r="BP851" s="1547"/>
      <c r="BS851" s="1547"/>
      <c r="BT851" s="1519"/>
      <c r="BU851" s="1519"/>
      <c r="BV851" s="1519"/>
      <c r="BW851" s="1519"/>
      <c r="BX851" s="1519"/>
      <c r="BY851" s="1519"/>
      <c r="BZ851" s="1519"/>
      <c r="CA851" s="1519"/>
      <c r="CB851" s="1519"/>
      <c r="CC851" s="1519"/>
    </row>
    <row r="852" spans="2:81" s="1518" customFormat="1" outlineLevel="1">
      <c r="B852" s="1539"/>
      <c r="D852" s="1528"/>
      <c r="E852" s="1528"/>
      <c r="F852" s="1528"/>
      <c r="G852" s="1528"/>
      <c r="H852" s="1528"/>
      <c r="I852" s="1528"/>
      <c r="J852" s="1528"/>
      <c r="K852" s="1528"/>
      <c r="L852" s="1528"/>
      <c r="M852" s="1528"/>
      <c r="N852" s="1528"/>
      <c r="O852" s="1528"/>
      <c r="P852" s="1528"/>
      <c r="Q852" s="1528"/>
      <c r="R852" s="1528"/>
      <c r="S852" s="1528"/>
      <c r="T852" s="1528"/>
      <c r="U852" s="1528"/>
      <c r="V852" s="1528"/>
      <c r="W852" s="1528"/>
      <c r="X852" s="1528"/>
      <c r="Y852" s="1528"/>
      <c r="Z852" s="1528"/>
      <c r="AA852" s="1528"/>
      <c r="AB852" s="1528"/>
      <c r="AC852" s="1528"/>
      <c r="AD852" s="1528"/>
      <c r="AE852" s="1528"/>
      <c r="AF852" s="1528"/>
      <c r="AG852" s="1528"/>
      <c r="AH852" s="1528"/>
      <c r="AI852" s="1528"/>
      <c r="AJ852" s="1528"/>
      <c r="AK852" s="1528"/>
      <c r="AL852" s="1528"/>
      <c r="AM852" s="1528"/>
      <c r="AN852" s="1528"/>
      <c r="AO852" s="1528"/>
      <c r="AP852" s="1528"/>
      <c r="AQ852" s="1528"/>
      <c r="BH852" s="1537"/>
      <c r="BI852" s="1537"/>
      <c r="BJ852" s="1537"/>
      <c r="BK852" s="1537"/>
      <c r="BL852" s="1537"/>
      <c r="BM852" s="1537"/>
      <c r="BN852" s="1537"/>
      <c r="BO852" s="1537"/>
      <c r="BP852" s="1537"/>
    </row>
    <row r="853" spans="2:81" s="1518" customFormat="1" outlineLevel="1">
      <c r="B853" s="1300" t="s">
        <v>385</v>
      </c>
      <c r="D853" s="1528"/>
      <c r="E853" s="1528"/>
      <c r="F853" s="1528"/>
      <c r="G853" s="1528"/>
      <c r="H853" s="1528"/>
      <c r="I853" s="1528"/>
      <c r="J853" s="1528"/>
      <c r="K853" s="1528"/>
      <c r="L853" s="1528"/>
      <c r="M853" s="1528"/>
      <c r="N853" s="1528"/>
      <c r="O853" s="1528"/>
      <c r="P853" s="1528"/>
      <c r="Q853" s="1528"/>
      <c r="R853" s="1528"/>
      <c r="S853" s="1528"/>
      <c r="T853" s="1528"/>
      <c r="U853" s="1528"/>
      <c r="V853" s="1528"/>
      <c r="W853" s="1528"/>
      <c r="X853" s="1528"/>
      <c r="Y853" s="1528"/>
      <c r="Z853" s="1528"/>
      <c r="AA853" s="1528"/>
      <c r="AB853" s="1528"/>
      <c r="AC853" s="1528"/>
      <c r="AD853" s="1528"/>
      <c r="AE853" s="1528"/>
      <c r="AF853" s="1528"/>
      <c r="AG853" s="1528"/>
      <c r="AH853" s="1528"/>
      <c r="AI853" s="1528"/>
      <c r="AJ853" s="1528"/>
      <c r="AK853" s="1528"/>
      <c r="AL853" s="1528"/>
      <c r="AM853" s="1528"/>
      <c r="AN853" s="1528"/>
      <c r="AO853" s="1528"/>
      <c r="AP853" s="1528"/>
      <c r="AQ853" s="1528"/>
      <c r="BH853" s="1537"/>
      <c r="BI853" s="1537"/>
      <c r="BJ853" s="1537"/>
      <c r="BK853" s="1537"/>
      <c r="BL853" s="1537"/>
      <c r="BM853" s="1537"/>
      <c r="BN853" s="1537"/>
      <c r="BO853" s="1537"/>
      <c r="BP853" s="1537"/>
    </row>
    <row r="854" spans="2:81" s="1518" customFormat="1" outlineLevel="1">
      <c r="B854" s="1518" t="s">
        <v>489</v>
      </c>
      <c r="D854" s="1548">
        <v>672</v>
      </c>
      <c r="E854" s="1548">
        <v>1352</v>
      </c>
      <c r="F854" s="1548">
        <v>1111</v>
      </c>
      <c r="G854" s="1548">
        <v>965</v>
      </c>
      <c r="H854" s="1548">
        <v>926</v>
      </c>
      <c r="I854" s="1548">
        <v>1321</v>
      </c>
      <c r="J854" s="1548">
        <v>831</v>
      </c>
      <c r="K854" s="1548">
        <v>948</v>
      </c>
      <c r="L854" s="1548">
        <v>1037</v>
      </c>
      <c r="M854" s="1548">
        <v>1335</v>
      </c>
      <c r="N854" s="1548">
        <v>1094</v>
      </c>
      <c r="O854" s="1548">
        <v>1185</v>
      </c>
      <c r="P854" s="1548">
        <v>1180</v>
      </c>
      <c r="Q854" s="1548">
        <v>1860</v>
      </c>
      <c r="R854" s="1548">
        <v>1329</v>
      </c>
      <c r="S854" s="1548">
        <v>1350</v>
      </c>
      <c r="T854" s="1548">
        <v>1136</v>
      </c>
      <c r="U854" s="1548">
        <v>1976</v>
      </c>
      <c r="V854" s="1548">
        <v>1340</v>
      </c>
      <c r="W854" s="1548">
        <v>1724</v>
      </c>
      <c r="X854" s="1548">
        <v>1553</v>
      </c>
      <c r="Y854" s="1548">
        <v>2045</v>
      </c>
      <c r="Z854" s="1548">
        <v>1504</v>
      </c>
      <c r="AA854" s="1548">
        <f>+W854*0.8</f>
        <v>1379.2</v>
      </c>
      <c r="AB854" s="1548">
        <f>+X854*(1+AB855)</f>
        <v>1273.46</v>
      </c>
      <c r="AC854" s="1548">
        <f>+Y854*(1+AC855)</f>
        <v>2147.25</v>
      </c>
      <c r="AD854" s="1548">
        <f>+Z854*(1+AD855)</f>
        <v>1654.4</v>
      </c>
      <c r="AE854" s="1548">
        <f t="shared" ref="AE854" si="3515">+AA854*(1+AE855)</f>
        <v>1544.7040000000002</v>
      </c>
      <c r="AF854" s="1548">
        <f t="shared" ref="AF854" si="3516">+AB854*(1+AF855)</f>
        <v>1298.9292</v>
      </c>
      <c r="AG854" s="1548">
        <f>+AC854*(1-0.39)</f>
        <v>1309.8225</v>
      </c>
      <c r="AH854" s="1548">
        <f>+AD854*(1-0.3)</f>
        <v>1158.08</v>
      </c>
      <c r="AI854" s="1548">
        <f>+AE854*(1-0.2)</f>
        <v>1235.7632000000003</v>
      </c>
      <c r="AJ854" s="1548">
        <f>+AF854*(1-0.22)</f>
        <v>1013.1647760000001</v>
      </c>
      <c r="AK854" s="1548">
        <f>+AG854*(1-0.09)</f>
        <v>1191.9384749999999</v>
      </c>
      <c r="AL854" s="1548">
        <f>+AH854*(1-0.17)</f>
        <v>961.20639999999992</v>
      </c>
      <c r="AM854" s="1548">
        <f>+AI854*(1-0.11)</f>
        <v>1099.8292480000002</v>
      </c>
      <c r="AN854" s="1548"/>
      <c r="AO854" s="1548"/>
      <c r="AP854" s="1548"/>
      <c r="AQ854" s="1548"/>
      <c r="BH854" s="1521">
        <f>+SUM(H854:K854)</f>
        <v>4026</v>
      </c>
      <c r="BI854" s="1521">
        <f>+SUM(L854:O854)</f>
        <v>4651</v>
      </c>
      <c r="BJ854" s="1521">
        <f>SUM(P854:S854)</f>
        <v>5719</v>
      </c>
      <c r="BK854" s="1521">
        <f>SUM(T854:W854)</f>
        <v>6176</v>
      </c>
      <c r="BL854" s="1521">
        <f>SUM(X854:AA854)</f>
        <v>6481.2</v>
      </c>
      <c r="BM854" s="1521">
        <f>SUM(AB854:AE854)</f>
        <v>6619.8140000000003</v>
      </c>
      <c r="BN854" s="1521">
        <f>SUM(AF854:AI854)</f>
        <v>5002.5949000000001</v>
      </c>
      <c r="BO854" s="1521">
        <f>SUM(AJ854:AM854)</f>
        <v>4266.1388990000005</v>
      </c>
      <c r="BP854" s="1521"/>
    </row>
    <row r="855" spans="2:81" s="1527" customFormat="1" outlineLevel="1">
      <c r="B855" s="1539" t="s">
        <v>113</v>
      </c>
      <c r="D855" s="1549"/>
      <c r="E855" s="1549"/>
      <c r="F855" s="1549"/>
      <c r="G855" s="1549"/>
      <c r="H855" s="1529">
        <f>+H854/D854-1</f>
        <v>0.37797619047619047</v>
      </c>
      <c r="I855" s="1529">
        <f t="shared" ref="I855:K855" si="3517">+I854/E854-1</f>
        <v>-2.2928994082840215E-2</v>
      </c>
      <c r="J855" s="1529">
        <f t="shared" si="3517"/>
        <v>-0.25202520252025207</v>
      </c>
      <c r="K855" s="1529">
        <f t="shared" si="3517"/>
        <v>-1.7616580310880869E-2</v>
      </c>
      <c r="L855" s="1529">
        <f>+L854/H854-1</f>
        <v>0.11987041036717061</v>
      </c>
      <c r="M855" s="1529">
        <f t="shared" ref="M855:O855" si="3518">+M854/I854-1</f>
        <v>1.0598031794095464E-2</v>
      </c>
      <c r="N855" s="1529">
        <f t="shared" si="3518"/>
        <v>0.31648616125150419</v>
      </c>
      <c r="O855" s="1529">
        <f t="shared" si="3518"/>
        <v>0.25</v>
      </c>
      <c r="P855" s="1529">
        <f t="shared" ref="P855" si="3519">+P854/L854-1</f>
        <v>0.13789778206364511</v>
      </c>
      <c r="Q855" s="1529">
        <f t="shared" ref="Q855" si="3520">+Q854/M854-1</f>
        <v>0.39325842696629221</v>
      </c>
      <c r="R855" s="1529">
        <f t="shared" ref="R855" si="3521">+R854/N854-1</f>
        <v>0.21480804387568564</v>
      </c>
      <c r="S855" s="1529">
        <f t="shared" ref="S855" si="3522">+S854/O854-1</f>
        <v>0.139240506329114</v>
      </c>
      <c r="T855" s="1529">
        <f t="shared" ref="T855" si="3523">+T854/P854-1</f>
        <v>-3.7288135593220306E-2</v>
      </c>
      <c r="U855" s="1529">
        <f t="shared" ref="U855" si="3524">+U854/Q854-1</f>
        <v>6.2365591397849363E-2</v>
      </c>
      <c r="V855" s="1529">
        <f t="shared" ref="V855" si="3525">+V854/R854-1</f>
        <v>8.2768999247555541E-3</v>
      </c>
      <c r="W855" s="1529">
        <f t="shared" ref="W855" si="3526">+W854/S854-1</f>
        <v>0.27703703703703697</v>
      </c>
      <c r="X855" s="1529">
        <f t="shared" ref="X855:Y855" si="3527">+X854/T854-1</f>
        <v>0.36707746478873249</v>
      </c>
      <c r="Y855" s="1529">
        <f t="shared" si="3527"/>
        <v>3.4919028340080871E-2</v>
      </c>
      <c r="Z855" s="1529">
        <f>+Z854/V854-1</f>
        <v>0.12238805970149258</v>
      </c>
      <c r="AA855" s="1529">
        <f t="shared" ref="AA855" si="3528">+AA854/W854-1</f>
        <v>-0.19999999999999996</v>
      </c>
      <c r="AB855" s="1529">
        <v>-0.18</v>
      </c>
      <c r="AC855" s="1529">
        <v>0.05</v>
      </c>
      <c r="AD855" s="1529">
        <v>0.1</v>
      </c>
      <c r="AE855" s="1529">
        <v>0.12</v>
      </c>
      <c r="AF855" s="1529">
        <v>0.02</v>
      </c>
      <c r="AG855" s="1529">
        <f>+AG854/AC854-1</f>
        <v>-0.39</v>
      </c>
      <c r="AH855" s="1529">
        <f>+AH854/AD854-1</f>
        <v>-0.30000000000000004</v>
      </c>
      <c r="AI855" s="1529">
        <f t="shared" ref="AI855:AK855" si="3529">+AI854/AE854-1</f>
        <v>-0.19999999999999984</v>
      </c>
      <c r="AJ855" s="1529">
        <f t="shared" si="3529"/>
        <v>-0.21999999999999997</v>
      </c>
      <c r="AK855" s="1529">
        <f t="shared" si="3529"/>
        <v>-9.000000000000008E-2</v>
      </c>
      <c r="AL855" s="1529">
        <f t="shared" ref="AL855" si="3530">+AL854/AH854-1</f>
        <v>-0.17000000000000004</v>
      </c>
      <c r="AM855" s="1529">
        <f t="shared" ref="AM855" si="3531">+AM854/AI854-1</f>
        <v>-0.1100000000000001</v>
      </c>
      <c r="AN855" s="1529"/>
      <c r="AO855" s="1529"/>
      <c r="AP855" s="1529"/>
      <c r="AQ855" s="1529"/>
      <c r="BI855" s="1529">
        <f t="shared" ref="BI855:BO855" si="3532">+BI854/BH854-1</f>
        <v>0.15524093392945848</v>
      </c>
      <c r="BJ855" s="1529">
        <f t="shared" si="3532"/>
        <v>0.22962803698129441</v>
      </c>
      <c r="BK855" s="1529">
        <f t="shared" si="3532"/>
        <v>7.9909075013114172E-2</v>
      </c>
      <c r="BL855" s="1529">
        <f t="shared" si="3532"/>
        <v>4.941709844559572E-2</v>
      </c>
      <c r="BM855" s="1529">
        <f t="shared" si="3532"/>
        <v>2.1387088810714161E-2</v>
      </c>
      <c r="BN855" s="1529">
        <f t="shared" si="3532"/>
        <v>-0.24429977941978431</v>
      </c>
      <c r="BO855" s="1529">
        <f t="shared" si="3532"/>
        <v>-0.14721479866378939</v>
      </c>
      <c r="BP855" s="1529"/>
      <c r="BT855" s="1518"/>
      <c r="BU855" s="1518"/>
      <c r="BV855" s="1518"/>
      <c r="BW855" s="1518"/>
      <c r="BX855" s="1518"/>
      <c r="BY855" s="1518"/>
      <c r="BZ855" s="1518"/>
      <c r="CA855" s="1518"/>
      <c r="CB855" s="1518"/>
      <c r="CC855" s="1518"/>
    </row>
    <row r="856" spans="2:81" s="1527" customFormat="1" outlineLevel="1">
      <c r="B856" s="1539"/>
      <c r="D856" s="1549"/>
      <c r="E856" s="1549"/>
      <c r="F856" s="1549"/>
      <c r="G856" s="1549"/>
      <c r="H856" s="1529"/>
      <c r="I856" s="1529"/>
      <c r="J856" s="1529"/>
      <c r="K856" s="1529"/>
      <c r="L856" s="1529"/>
      <c r="M856" s="1529"/>
      <c r="N856" s="1529"/>
      <c r="O856" s="1529"/>
      <c r="P856" s="1529"/>
      <c r="Q856" s="1529"/>
      <c r="R856" s="1529"/>
      <c r="S856" s="1529"/>
      <c r="T856" s="1529"/>
      <c r="U856" s="1529"/>
      <c r="V856" s="1529"/>
      <c r="W856" s="1529"/>
      <c r="X856" s="1529"/>
      <c r="Y856" s="1529"/>
      <c r="Z856" s="1529"/>
      <c r="AA856" s="1529"/>
      <c r="AB856" s="1529"/>
      <c r="AC856" s="1529"/>
      <c r="AD856" s="1529"/>
      <c r="AE856" s="1529"/>
      <c r="AF856" s="1529"/>
      <c r="AG856" s="1529"/>
      <c r="AH856" s="1529"/>
      <c r="AI856" s="1529"/>
      <c r="AJ856" s="1529"/>
      <c r="AK856" s="1529"/>
      <c r="AL856" s="1529"/>
      <c r="AM856" s="1529"/>
      <c r="AN856" s="1529"/>
      <c r="AO856" s="1529"/>
      <c r="AP856" s="1529"/>
      <c r="AQ856" s="1529"/>
      <c r="BI856" s="1529"/>
      <c r="BJ856" s="1529"/>
      <c r="BK856" s="1529"/>
      <c r="BL856" s="1529"/>
      <c r="BM856" s="1529"/>
      <c r="BN856" s="1529"/>
      <c r="BO856" s="1529"/>
      <c r="BP856" s="1529"/>
      <c r="BT856" s="1518"/>
      <c r="BU856" s="1518"/>
      <c r="BV856" s="1518"/>
      <c r="BW856" s="1518"/>
      <c r="BX856" s="1518"/>
      <c r="BY856" s="1518"/>
      <c r="BZ856" s="1518"/>
      <c r="CA856" s="1518"/>
      <c r="CB856" s="1518"/>
      <c r="CC856" s="1518"/>
    </row>
    <row r="857" spans="2:81" s="1518" customFormat="1" outlineLevel="1">
      <c r="B857" s="1518" t="s">
        <v>458</v>
      </c>
      <c r="H857" s="1548">
        <v>1885</v>
      </c>
      <c r="I857" s="1548">
        <v>3617</v>
      </c>
      <c r="J857" s="1548">
        <v>1906</v>
      </c>
      <c r="K857" s="1548">
        <v>1643</v>
      </c>
      <c r="L857" s="1548">
        <v>1896</v>
      </c>
      <c r="M857" s="1548">
        <v>3920</v>
      </c>
      <c r="N857" s="1548">
        <v>2251</v>
      </c>
      <c r="O857" s="1548">
        <v>2286</v>
      </c>
      <c r="P857" s="1550">
        <f>+L857*(1+P858)</f>
        <v>2730.24</v>
      </c>
      <c r="Q857" s="1550">
        <f t="shared" ref="Q857:V857" si="3533">+M857*(1+Q858)</f>
        <v>4233.6000000000004</v>
      </c>
      <c r="R857" s="1550">
        <f t="shared" si="3533"/>
        <v>2363.5500000000002</v>
      </c>
      <c r="S857" s="1550">
        <f t="shared" si="3533"/>
        <v>2057.4</v>
      </c>
      <c r="T857" s="1550">
        <f t="shared" si="3533"/>
        <v>2539.1231999999995</v>
      </c>
      <c r="U857" s="1550">
        <f t="shared" si="3533"/>
        <v>3344.5440000000003</v>
      </c>
      <c r="V857" s="1550">
        <f t="shared" si="3533"/>
        <v>2339.9145000000003</v>
      </c>
      <c r="W857" s="1550">
        <f t="shared" ref="W857:X857" si="3534">+S857*(1+W858)</f>
        <v>3374.1360000000004</v>
      </c>
      <c r="X857" s="1550">
        <f t="shared" si="3534"/>
        <v>3097.7303039999993</v>
      </c>
      <c r="Y857" s="1550">
        <f t="shared" ref="Y857" si="3535">+U857*(1+Y858)</f>
        <v>5050.2614400000002</v>
      </c>
      <c r="Z857" s="1550">
        <f t="shared" ref="Z857" si="3536">+V857*(1+Z858)</f>
        <v>3509.8717500000002</v>
      </c>
      <c r="AA857" s="1550">
        <f t="shared" ref="AA857:AB857" si="3537">+W857*(1+AA858)</f>
        <v>3745.2909600000007</v>
      </c>
      <c r="AB857" s="1550">
        <f t="shared" si="3537"/>
        <v>3593.3671526399989</v>
      </c>
      <c r="AC857" s="1550">
        <f t="shared" ref="AC857:AD857" si="3538">+Y857*(1+AC858)</f>
        <v>5454.2823552000009</v>
      </c>
      <c r="AD857" s="1550">
        <f t="shared" si="3538"/>
        <v>3720.4640550000004</v>
      </c>
      <c r="AE857" s="1550">
        <f t="shared" ref="AE857" si="3539">+AA857*(1+AE858)</f>
        <v>3483.1205928000004</v>
      </c>
      <c r="AF857" s="1550">
        <f t="shared" ref="AF857" si="3540">+AB857*(1+AF858)</f>
        <v>3737.1018387455993</v>
      </c>
      <c r="AG857" s="1550">
        <f t="shared" ref="AG857" si="3541">+AC857*(1+AG858)</f>
        <v>4745.2256490240006</v>
      </c>
      <c r="AH857" s="1550">
        <f t="shared" ref="AH857" si="3542">+AD857*(1+AH858)</f>
        <v>3571.6454928000003</v>
      </c>
      <c r="AI857" s="1550">
        <f t="shared" ref="AI857:AK857" si="3543">+AE857*(1+AI858)</f>
        <v>3517.9517987280005</v>
      </c>
      <c r="AJ857" s="1550">
        <f t="shared" si="3543"/>
        <v>4073.4410042327036</v>
      </c>
      <c r="AK857" s="1550">
        <f t="shared" si="3543"/>
        <v>7070.3862170457605</v>
      </c>
      <c r="AL857" s="1550">
        <f t="shared" ref="AL857" si="3544">+AH857*(1+AL858)</f>
        <v>5393.184694128</v>
      </c>
      <c r="AM857" s="1550">
        <f t="shared" ref="AM857" si="3545">+AI857*(1+AM858)</f>
        <v>5065.8505901683202</v>
      </c>
      <c r="AN857" s="1550">
        <f t="shared" ref="AN857" si="3546">+AJ857*(1+AN858)</f>
        <v>5825.0206360527654</v>
      </c>
      <c r="AO857" s="1548"/>
      <c r="AP857" s="1548"/>
      <c r="AQ857" s="1548"/>
      <c r="BH857" s="1521">
        <f>+SUM(H857:K857)</f>
        <v>9051</v>
      </c>
      <c r="BI857" s="1521">
        <f>+SUM(L857:O857)</f>
        <v>10353</v>
      </c>
      <c r="BJ857" s="1521">
        <f>SUM(P857:S857)</f>
        <v>11384.789999999999</v>
      </c>
      <c r="BK857" s="1521">
        <f>SUM(T857:W857)</f>
        <v>11597.717700000001</v>
      </c>
      <c r="BL857" s="1521">
        <f>SUM(X857:AA857)</f>
        <v>15403.154454</v>
      </c>
      <c r="BM857" s="1521">
        <f>SUM(AB857:AE857)</f>
        <v>16251.234155640001</v>
      </c>
      <c r="BN857" s="1521">
        <f>SUM(AF857:AI857)</f>
        <v>15571.924779297602</v>
      </c>
      <c r="BO857" s="1521">
        <f>SUM(AJ857:AM857)</f>
        <v>21602.862505574787</v>
      </c>
      <c r="BP857" s="1521"/>
    </row>
    <row r="858" spans="2:81" s="1518" customFormat="1" outlineLevel="1">
      <c r="B858" s="1539" t="s">
        <v>113</v>
      </c>
      <c r="G858" s="1528"/>
      <c r="H858" s="1528">
        <v>-0.05</v>
      </c>
      <c r="I858" s="1528">
        <v>-0.03</v>
      </c>
      <c r="J858" s="1528">
        <v>0.04</v>
      </c>
      <c r="K858" s="1528">
        <v>0.03</v>
      </c>
      <c r="L858" s="1529">
        <f>+L857/H857-1</f>
        <v>5.8355437665782439E-3</v>
      </c>
      <c r="M858" s="1529">
        <f t="shared" ref="M858" si="3547">+M857/I857-1</f>
        <v>8.3771081006358772E-2</v>
      </c>
      <c r="N858" s="1529">
        <f t="shared" ref="N858" si="3548">+N857/J857-1</f>
        <v>0.18100734522560336</v>
      </c>
      <c r="O858" s="1529">
        <f t="shared" ref="O858" si="3549">+O857/K857-1</f>
        <v>0.39135727328058434</v>
      </c>
      <c r="P858" s="1528">
        <v>0.44</v>
      </c>
      <c r="Q858" s="1528">
        <v>0.08</v>
      </c>
      <c r="R858" s="1528">
        <v>0.05</v>
      </c>
      <c r="S858" s="1528">
        <v>-0.1</v>
      </c>
      <c r="T858" s="1528">
        <v>-7.0000000000000007E-2</v>
      </c>
      <c r="U858" s="1528">
        <v>-0.21</v>
      </c>
      <c r="V858" s="1528">
        <v>-0.01</v>
      </c>
      <c r="W858" s="1528">
        <v>0.64</v>
      </c>
      <c r="X858" s="1528">
        <v>0.22</v>
      </c>
      <c r="Y858" s="1528">
        <v>0.51</v>
      </c>
      <c r="Z858" s="1528">
        <v>0.5</v>
      </c>
      <c r="AA858" s="1528">
        <v>0.11</v>
      </c>
      <c r="AB858" s="1528">
        <v>0.16</v>
      </c>
      <c r="AC858" s="1528">
        <v>0.08</v>
      </c>
      <c r="AD858" s="1528">
        <v>0.06</v>
      </c>
      <c r="AE858" s="1528">
        <v>-7.0000000000000007E-2</v>
      </c>
      <c r="AF858" s="1528">
        <v>0.04</v>
      </c>
      <c r="AG858" s="1528">
        <v>-0.13</v>
      </c>
      <c r="AH858" s="1528">
        <v>-0.04</v>
      </c>
      <c r="AI858" s="1528">
        <v>0.01</v>
      </c>
      <c r="AJ858" s="1528">
        <v>0.09</v>
      </c>
      <c r="AK858" s="1528">
        <v>0.49</v>
      </c>
      <c r="AL858" s="1528">
        <v>0.51</v>
      </c>
      <c r="AM858" s="1528">
        <v>0.44</v>
      </c>
      <c r="AN858" s="1528">
        <v>0.43</v>
      </c>
      <c r="AO858" s="1529"/>
      <c r="AP858" s="1529"/>
      <c r="AQ858" s="1529"/>
      <c r="BH858" s="1521"/>
      <c r="BI858" s="1529">
        <f>+BI857/BH857-1</f>
        <v>0.14385150812064973</v>
      </c>
      <c r="BJ858" s="1529">
        <f>+BJ857/BI857-1</f>
        <v>9.9660967835409897E-2</v>
      </c>
      <c r="BK858" s="1529">
        <f>+BK857/BJ857-1</f>
        <v>1.8702821922934154E-2</v>
      </c>
      <c r="BL858" s="1529">
        <f>+BL857/BK857-1</f>
        <v>0.32811945008801158</v>
      </c>
      <c r="BM858" s="1529">
        <f t="shared" ref="BM858:BO858" si="3550">+BM857/BL857-1</f>
        <v>5.5058832538017244E-2</v>
      </c>
      <c r="BN858" s="1529">
        <f t="shared" si="3550"/>
        <v>-4.1800479264317514E-2</v>
      </c>
      <c r="BO858" s="1529">
        <f t="shared" si="3550"/>
        <v>0.38729558559742938</v>
      </c>
      <c r="BP858" s="1529"/>
    </row>
    <row r="859" spans="2:81" s="1518" customFormat="1" outlineLevel="1">
      <c r="AK859" s="1531"/>
    </row>
    <row r="860" spans="2:81" s="1518" customFormat="1" ht="10.5" outlineLevel="1">
      <c r="B860" s="1299" t="s">
        <v>490</v>
      </c>
      <c r="AA860" s="1531"/>
      <c r="AC860" s="1531"/>
      <c r="AG860" s="1521"/>
      <c r="AK860" s="1531"/>
      <c r="BK860" s="1531"/>
      <c r="BL860" s="1531"/>
      <c r="BM860" s="1531"/>
      <c r="BN860" s="1531"/>
    </row>
    <row r="861" spans="2:81" s="1519" customFormat="1" outlineLevel="1">
      <c r="B861" s="1519" t="s">
        <v>491</v>
      </c>
      <c r="H861" s="1550">
        <f t="shared" ref="H861:AG861" si="3551">+H863-H862</f>
        <v>1687.5719027076852</v>
      </c>
      <c r="I861" s="1550">
        <f t="shared" si="3551"/>
        <v>1802.1505328038302</v>
      </c>
      <c r="J861" s="1550">
        <f t="shared" si="3551"/>
        <v>1548.416964842846</v>
      </c>
      <c r="K861" s="1551">
        <f t="shared" si="3551"/>
        <v>1958.0259165802208</v>
      </c>
      <c r="L861" s="1550">
        <f t="shared" si="3551"/>
        <v>1602.0921858985844</v>
      </c>
      <c r="M861" s="1550">
        <f t="shared" si="3551"/>
        <v>1728.8922347149146</v>
      </c>
      <c r="N861" s="1550">
        <f t="shared" si="3551"/>
        <v>1795.8435186011357</v>
      </c>
      <c r="O861" s="1551">
        <f t="shared" si="3551"/>
        <v>2275.7561708841868</v>
      </c>
      <c r="P861" s="1550">
        <f t="shared" si="3551"/>
        <v>1776.0380319361411</v>
      </c>
      <c r="Q861" s="1550">
        <f t="shared" si="3551"/>
        <v>1820.594175831533</v>
      </c>
      <c r="R861" s="1550">
        <f t="shared" si="3551"/>
        <v>1882.4476188697199</v>
      </c>
      <c r="S861" s="1551">
        <f t="shared" si="3551"/>
        <v>2359.896912910488</v>
      </c>
      <c r="T861" s="1550">
        <f t="shared" si="3551"/>
        <v>1946.1444980969441</v>
      </c>
      <c r="U861" s="1550">
        <f t="shared" si="3551"/>
        <v>2113.6237607863827</v>
      </c>
      <c r="V861" s="1550">
        <f t="shared" si="3551"/>
        <v>2168.7873462696207</v>
      </c>
      <c r="W861" s="1550">
        <f t="shared" si="3551"/>
        <v>2548.8125629911906</v>
      </c>
      <c r="X861" s="1550">
        <f t="shared" si="3551"/>
        <v>1915.6962201032647</v>
      </c>
      <c r="Y861" s="1550">
        <f t="shared" si="3551"/>
        <v>1989.4415450768993</v>
      </c>
      <c r="Z861" s="1550">
        <f t="shared" si="3551"/>
        <v>2102.1424533871627</v>
      </c>
      <c r="AA861" s="1550">
        <f t="shared" si="3551"/>
        <v>2777.463531459317</v>
      </c>
      <c r="AB861" s="1550">
        <f t="shared" si="3551"/>
        <v>2123.2485581830492</v>
      </c>
      <c r="AC861" s="1550">
        <f t="shared" si="3551"/>
        <v>2211.2093096175322</v>
      </c>
      <c r="AD861" s="1550">
        <f t="shared" si="3551"/>
        <v>2355.4357816757729</v>
      </c>
      <c r="AE861" s="1550">
        <f t="shared" si="3551"/>
        <v>2911.6086448126507</v>
      </c>
      <c r="AF861" s="1550">
        <f t="shared" si="3551"/>
        <v>2285.1134904122687</v>
      </c>
      <c r="AG861" s="1550">
        <f t="shared" si="3551"/>
        <v>2129.6267089716025</v>
      </c>
      <c r="AH861" s="1551">
        <v>2685.1967911103816</v>
      </c>
      <c r="AI861" s="1551">
        <v>2969.8408177089036</v>
      </c>
      <c r="AJ861" s="1551">
        <v>2467.9225696452504</v>
      </c>
      <c r="AK861" s="1551">
        <v>2321.2931127790471</v>
      </c>
      <c r="AL861" s="1551">
        <v>3034.2723739547309</v>
      </c>
      <c r="AM861" s="1551">
        <v>3296.5233076568834</v>
      </c>
      <c r="AN861" s="1552">
        <f>14900-12250</f>
        <v>2650</v>
      </c>
      <c r="AO861" s="1552">
        <f>+AK861*(1+AO872)</f>
        <v>2437.3577684179995</v>
      </c>
      <c r="AP861" s="1552">
        <f>+AL861*(1+AP872)</f>
        <v>3185.9859926524678</v>
      </c>
      <c r="AQ861" s="1552">
        <f>+AM861*(1+AQ872)</f>
        <v>3461.3494730397279</v>
      </c>
      <c r="AV861" s="1550"/>
      <c r="AW861" s="1550"/>
      <c r="AX861" s="1550"/>
      <c r="AY861" s="1550"/>
      <c r="AZ861" s="1550"/>
      <c r="BA861" s="1550"/>
      <c r="BB861" s="1550"/>
      <c r="BC861" s="1550"/>
      <c r="BD861" s="1550"/>
      <c r="BH861" s="1550">
        <f>SUM(H861:K861)</f>
        <v>6996.1653169345818</v>
      </c>
      <c r="BI861" s="1550">
        <f>SUM(L861:O861)</f>
        <v>7402.5841100988209</v>
      </c>
      <c r="BJ861" s="1550">
        <f>SUM(P861:S861)</f>
        <v>7838.9767395478821</v>
      </c>
      <c r="BK861" s="1550">
        <f>SUM(T861:W861)</f>
        <v>8777.3681681441376</v>
      </c>
      <c r="BL861" s="1550">
        <f>SUM(X861:AA861)</f>
        <v>8784.7437500266424</v>
      </c>
      <c r="BM861" s="1550">
        <f>SUM(AB861:AE861)</f>
        <v>9601.5022942890064</v>
      </c>
      <c r="BN861" s="1550">
        <f>SUM(AF861:AI861)</f>
        <v>10069.777808203156</v>
      </c>
      <c r="BO861" s="1550">
        <f>SUM(AJ861:AM861)</f>
        <v>11120.011364035912</v>
      </c>
      <c r="BP861" s="1553">
        <f>+SUM(AN861:AQ861)</f>
        <v>11734.693234110196</v>
      </c>
      <c r="BT861" s="1518"/>
      <c r="BU861" s="1518"/>
      <c r="BV861" s="1518"/>
      <c r="BW861" s="1518"/>
      <c r="BX861" s="1518"/>
      <c r="BY861" s="1518"/>
      <c r="BZ861" s="1518"/>
      <c r="CA861" s="1518"/>
      <c r="CB861" s="1518"/>
      <c r="CC861" s="1518"/>
    </row>
    <row r="862" spans="2:81" s="1554" customFormat="1" ht="11.45" outlineLevel="1">
      <c r="B862" s="1519" t="s">
        <v>492</v>
      </c>
      <c r="H862" s="1555">
        <v>2955.4280972923148</v>
      </c>
      <c r="I862" s="1555">
        <v>3002.8494671961698</v>
      </c>
      <c r="J862" s="1555">
        <v>2704.583035157154</v>
      </c>
      <c r="K862" s="1556">
        <v>2933.9740834197792</v>
      </c>
      <c r="L862" s="1555">
        <v>3040.9078141014156</v>
      </c>
      <c r="M862" s="1555">
        <v>3110.1077652850854</v>
      </c>
      <c r="N862" s="1555">
        <v>2816.1564813988643</v>
      </c>
      <c r="O862" s="1556">
        <v>3148.2438291158132</v>
      </c>
      <c r="P862" s="1555">
        <v>3124.9619680638589</v>
      </c>
      <c r="Q862" s="1555">
        <v>2937.405824168467</v>
      </c>
      <c r="R862" s="1555">
        <v>3061.5523811302801</v>
      </c>
      <c r="S862" s="1556">
        <v>3432.103087089512</v>
      </c>
      <c r="T862" s="1555">
        <v>3406.8555019030559</v>
      </c>
      <c r="U862" s="1555">
        <v>3479.3762392136173</v>
      </c>
      <c r="V862" s="1555">
        <v>3051.2126537303793</v>
      </c>
      <c r="W862" s="1555">
        <v>3579.1874370088094</v>
      </c>
      <c r="X862" s="1555">
        <v>3235.3037798967353</v>
      </c>
      <c r="Y862" s="1555">
        <v>3524.5584549231007</v>
      </c>
      <c r="Z862" s="1555">
        <v>3360.8575466128373</v>
      </c>
      <c r="AA862" s="1555">
        <v>3582.536468540683</v>
      </c>
      <c r="AB862" s="1555">
        <v>3552.7514418169508</v>
      </c>
      <c r="AC862" s="1555">
        <v>4382.7906903824678</v>
      </c>
      <c r="AD862" s="1555">
        <v>3721.5642183242271</v>
      </c>
      <c r="AE862" s="1555">
        <v>3502.3913551873493</v>
      </c>
      <c r="AF862" s="1555">
        <v>3027.8865095877313</v>
      </c>
      <c r="AG862" s="1555">
        <v>2678.3732910283975</v>
      </c>
      <c r="AH862" s="1555">
        <f t="shared" ref="AH862:AM862" si="3552">+AD862*(1+AH873)</f>
        <v>2679.5262371934436</v>
      </c>
      <c r="AI862" s="1556">
        <f t="shared" si="3552"/>
        <v>3082.1043925648673</v>
      </c>
      <c r="AJ862" s="1556">
        <f t="shared" si="3552"/>
        <v>3149.0019699712407</v>
      </c>
      <c r="AK862" s="1556">
        <f t="shared" si="3552"/>
        <v>2972.9943530415217</v>
      </c>
      <c r="AL862" s="1556">
        <f t="shared" si="3552"/>
        <v>2974.2741232847229</v>
      </c>
      <c r="AM862" s="1556">
        <f t="shared" si="3552"/>
        <v>3205.3885682674622</v>
      </c>
      <c r="AN862" s="1557">
        <f>+'Windows OEM'!AO36</f>
        <v>3149.0019699712407</v>
      </c>
      <c r="AO862" s="1557">
        <f>+'Windows OEM'!AP36</f>
        <v>2972.9943530415217</v>
      </c>
      <c r="AP862" s="1557">
        <f>+'Windows OEM'!AQ36</f>
        <v>3122.987829448959</v>
      </c>
      <c r="AQ862" s="1557">
        <f>+'Windows OEM'!AR36</f>
        <v>3365.6579966808354</v>
      </c>
      <c r="AV862" s="1555"/>
      <c r="AW862" s="1555"/>
      <c r="AX862" s="1555"/>
      <c r="AY862" s="1555"/>
      <c r="AZ862" s="1555"/>
      <c r="BA862" s="1555"/>
      <c r="BB862" s="1555"/>
      <c r="BC862" s="1555"/>
      <c r="BD862" s="1555"/>
      <c r="BH862" s="1555">
        <f t="shared" ref="BH862:BH868" si="3553">SUM(H862:K862)</f>
        <v>11596.834683065419</v>
      </c>
      <c r="BI862" s="1555">
        <f t="shared" ref="BI862:BI868" si="3554">SUM(L862:O862)</f>
        <v>12115.415889901178</v>
      </c>
      <c r="BJ862" s="1555">
        <f t="shared" ref="BJ862:BJ868" si="3555">SUM(P862:S862)</f>
        <v>12556.023260452119</v>
      </c>
      <c r="BK862" s="1555">
        <f>SUM(T862:W862)</f>
        <v>13516.631831855862</v>
      </c>
      <c r="BL862" s="1555">
        <f>SUM(X862:AA862)</f>
        <v>13703.256249973358</v>
      </c>
      <c r="BM862" s="1555">
        <f>SUM(AB862:AE862)</f>
        <v>15159.497705710994</v>
      </c>
      <c r="BN862" s="1555">
        <f>SUM(AF862:AI862)</f>
        <v>11467.890430374438</v>
      </c>
      <c r="BO862" s="1555">
        <f>SUM(AJ862:AM862)</f>
        <v>12301.659014564948</v>
      </c>
      <c r="BP862" s="1555">
        <f>+SUM(AN862:AQ862)</f>
        <v>12610.642149142557</v>
      </c>
      <c r="BT862" s="1558"/>
      <c r="BU862" s="1558"/>
      <c r="BV862" s="1558"/>
      <c r="BW862" s="1558"/>
      <c r="BX862" s="1558"/>
      <c r="BY862" s="1558"/>
      <c r="BZ862" s="1558"/>
      <c r="CA862" s="1558"/>
      <c r="CB862" s="1558"/>
      <c r="CC862" s="1558"/>
    </row>
    <row r="863" spans="2:81" s="1519" customFormat="1" outlineLevel="1">
      <c r="B863" s="1559" t="s">
        <v>493</v>
      </c>
      <c r="H863" s="1551">
        <v>4643</v>
      </c>
      <c r="I863" s="1551">
        <v>4805</v>
      </c>
      <c r="J863" s="1551">
        <v>4253</v>
      </c>
      <c r="K863" s="1551">
        <v>4892</v>
      </c>
      <c r="L863" s="1551">
        <v>4643</v>
      </c>
      <c r="M863" s="1551">
        <v>4839</v>
      </c>
      <c r="N863" s="1551">
        <v>4612</v>
      </c>
      <c r="O863" s="1551">
        <v>5424</v>
      </c>
      <c r="P863" s="1551">
        <v>4901</v>
      </c>
      <c r="Q863" s="1551">
        <v>4758</v>
      </c>
      <c r="R863" s="1551">
        <v>4944</v>
      </c>
      <c r="S863" s="1551">
        <v>5792</v>
      </c>
      <c r="T863" s="1551">
        <v>5353</v>
      </c>
      <c r="U863" s="1551">
        <v>5593</v>
      </c>
      <c r="V863" s="1551">
        <v>5220</v>
      </c>
      <c r="W863" s="1551">
        <v>6128</v>
      </c>
      <c r="X863" s="1551">
        <v>5151</v>
      </c>
      <c r="Y863" s="1551">
        <v>5514</v>
      </c>
      <c r="Z863" s="1551">
        <v>5463</v>
      </c>
      <c r="AA863" s="1551">
        <v>6360</v>
      </c>
      <c r="AB863" s="1551">
        <v>5676</v>
      </c>
      <c r="AC863" s="1551">
        <v>6594</v>
      </c>
      <c r="AD863" s="1551">
        <v>6077</v>
      </c>
      <c r="AE863" s="1551">
        <v>6414</v>
      </c>
      <c r="AF863" s="1551">
        <v>5313</v>
      </c>
      <c r="AG863" s="1551">
        <v>4808</v>
      </c>
      <c r="AH863" s="1551">
        <f>+SUM(AH861:AH862)</f>
        <v>5364.7230283038252</v>
      </c>
      <c r="AI863" s="1551">
        <f t="shared" ref="AI863:AQ863" si="3556">+SUM(AI861:AI862)</f>
        <v>6051.9452102737705</v>
      </c>
      <c r="AJ863" s="1551">
        <f t="shared" si="3556"/>
        <v>5616.9245396164915</v>
      </c>
      <c r="AK863" s="1551">
        <f t="shared" si="3556"/>
        <v>5294.2874658205692</v>
      </c>
      <c r="AL863" s="1551">
        <f t="shared" si="3556"/>
        <v>6008.5464972394539</v>
      </c>
      <c r="AM863" s="1551">
        <f t="shared" si="3556"/>
        <v>6501.9118759243456</v>
      </c>
      <c r="AN863" s="1551">
        <f t="shared" si="3556"/>
        <v>5799.0019699712411</v>
      </c>
      <c r="AO863" s="1551">
        <f t="shared" si="3556"/>
        <v>5410.3521214595212</v>
      </c>
      <c r="AP863" s="1551">
        <f t="shared" si="3556"/>
        <v>6308.9738221014268</v>
      </c>
      <c r="AQ863" s="1551">
        <f t="shared" si="3556"/>
        <v>6827.0074697205637</v>
      </c>
      <c r="AV863" s="1551"/>
      <c r="AW863" s="1551"/>
      <c r="AX863" s="1551"/>
      <c r="AY863" s="1551"/>
      <c r="AZ863" s="1551"/>
      <c r="BA863" s="1551"/>
      <c r="BB863" s="1551"/>
      <c r="BC863" s="1551"/>
      <c r="BD863" s="1551"/>
      <c r="BH863" s="1551">
        <f t="shared" si="3553"/>
        <v>18593</v>
      </c>
      <c r="BI863" s="1551">
        <f t="shared" si="3554"/>
        <v>19518</v>
      </c>
      <c r="BJ863" s="1551">
        <f t="shared" si="3555"/>
        <v>20395</v>
      </c>
      <c r="BK863" s="1551">
        <f t="shared" ref="BK863:BK868" si="3557">SUM(T863:W863)</f>
        <v>22294</v>
      </c>
      <c r="BL863" s="1551">
        <f t="shared" ref="BL863:BL868" si="3558">SUM(X863:AA863)</f>
        <v>22488</v>
      </c>
      <c r="BM863" s="1551">
        <f t="shared" ref="BM863:BM868" si="3559">SUM(AB863:AE863)</f>
        <v>24761</v>
      </c>
      <c r="BN863" s="1551">
        <f t="shared" ref="BN863:BN868" si="3560">SUM(AF863:AI863)</f>
        <v>21537.668238577597</v>
      </c>
      <c r="BO863" s="1551">
        <f t="shared" ref="BO863:BO868" si="3561">SUM(AJ863:AM863)</f>
        <v>23421.670378600862</v>
      </c>
      <c r="BP863" s="1551">
        <f t="shared" ref="BP863:BP868" si="3562">+SUM(AN863:AQ863)</f>
        <v>24345.335383252754</v>
      </c>
      <c r="BT863" s="1518"/>
      <c r="BU863" s="1518"/>
      <c r="BV863" s="1518"/>
      <c r="BW863" s="1518"/>
      <c r="BX863" s="1518"/>
      <c r="BY863" s="1518"/>
      <c r="BZ863" s="1518"/>
      <c r="CA863" s="1518"/>
      <c r="CB863" s="1518"/>
      <c r="CC863" s="1518"/>
    </row>
    <row r="864" spans="2:81" s="1519" customFormat="1" outlineLevel="1">
      <c r="B864" s="1519" t="s">
        <v>494</v>
      </c>
      <c r="H864" s="1550">
        <v>1885</v>
      </c>
      <c r="I864" s="1550">
        <v>3617</v>
      </c>
      <c r="J864" s="1550">
        <v>1906</v>
      </c>
      <c r="K864" s="1551">
        <v>1643</v>
      </c>
      <c r="L864" s="1550">
        <v>1896</v>
      </c>
      <c r="M864" s="1550">
        <v>3920</v>
      </c>
      <c r="N864" s="1550">
        <v>2251</v>
      </c>
      <c r="O864" s="1551">
        <v>2286</v>
      </c>
      <c r="P864" s="1550">
        <v>2738</v>
      </c>
      <c r="Q864" s="1550">
        <v>4232</v>
      </c>
      <c r="R864" s="1550">
        <v>2363</v>
      </c>
      <c r="S864" s="1551">
        <v>2053</v>
      </c>
      <c r="T864" s="1550">
        <v>2542</v>
      </c>
      <c r="U864" s="1550">
        <v>3327</v>
      </c>
      <c r="V864" s="1550">
        <v>2349</v>
      </c>
      <c r="W864" s="1550">
        <v>3357</v>
      </c>
      <c r="X864" s="1550">
        <v>3092</v>
      </c>
      <c r="Y864" s="1550">
        <v>5031</v>
      </c>
      <c r="Z864" s="1550">
        <v>3533</v>
      </c>
      <c r="AA864" s="1550">
        <v>3714</v>
      </c>
      <c r="AB864" s="1550">
        <v>3593</v>
      </c>
      <c r="AC864" s="1550">
        <v>5442</v>
      </c>
      <c r="AD864" s="1550">
        <v>3740</v>
      </c>
      <c r="AE864" s="1550">
        <v>3455</v>
      </c>
      <c r="AF864" s="1550">
        <v>3610</v>
      </c>
      <c r="AG864" s="1550">
        <v>4758</v>
      </c>
      <c r="AH864" s="1551">
        <f t="shared" ref="AH864:AJ865" si="3563">+AD864*(1+AH875)</f>
        <v>3590.4</v>
      </c>
      <c r="AI864" s="1551">
        <f t="shared" si="3563"/>
        <v>3489.55</v>
      </c>
      <c r="AJ864" s="1551">
        <f t="shared" si="3563"/>
        <v>3934.9</v>
      </c>
      <c r="AK864" s="1551">
        <f>+AG864*(1+AK858)-AK867</f>
        <v>5009.42</v>
      </c>
      <c r="AL864" s="1551">
        <f>+AH864*(1+AL858)-AL867</f>
        <v>3451.5039999999999</v>
      </c>
      <c r="AM864" s="1551">
        <f>+AI864*(1+AM858)-AM867</f>
        <v>3344.9520000000002</v>
      </c>
      <c r="AN864" s="1551">
        <f t="shared" ref="AN864:AQ866" si="3564">+AJ864*(1+AN875)</f>
        <v>3541.4100000000003</v>
      </c>
      <c r="AO864" s="1551">
        <f t="shared" si="3564"/>
        <v>4658.7605999999996</v>
      </c>
      <c r="AP864" s="1551">
        <f t="shared" si="3564"/>
        <v>3624.0792000000001</v>
      </c>
      <c r="AQ864" s="1551">
        <f t="shared" si="3564"/>
        <v>3679.4472000000005</v>
      </c>
      <c r="AV864" s="1550"/>
      <c r="AW864" s="1550"/>
      <c r="AX864" s="1550"/>
      <c r="AY864" s="1550"/>
      <c r="AZ864" s="1550"/>
      <c r="BA864" s="1550"/>
      <c r="BB864" s="1550"/>
      <c r="BC864" s="1550"/>
      <c r="BD864" s="1550"/>
      <c r="BH864" s="1550">
        <f t="shared" si="3553"/>
        <v>9051</v>
      </c>
      <c r="BI864" s="1550">
        <f t="shared" si="3554"/>
        <v>10353</v>
      </c>
      <c r="BJ864" s="1550">
        <f t="shared" si="3555"/>
        <v>11386</v>
      </c>
      <c r="BK864" s="1550">
        <f t="shared" si="3557"/>
        <v>11575</v>
      </c>
      <c r="BL864" s="1550">
        <f t="shared" si="3558"/>
        <v>15370</v>
      </c>
      <c r="BM864" s="1550">
        <f t="shared" si="3559"/>
        <v>16230</v>
      </c>
      <c r="BN864" s="1550">
        <f t="shared" si="3560"/>
        <v>15447.95</v>
      </c>
      <c r="BO864" s="1550">
        <f t="shared" si="3561"/>
        <v>15740.776000000002</v>
      </c>
      <c r="BP864" s="1550">
        <f t="shared" si="3562"/>
        <v>15503.697</v>
      </c>
      <c r="BT864" s="1518"/>
      <c r="BU864" s="1518"/>
      <c r="BV864" s="1518"/>
      <c r="BW864" s="1518"/>
      <c r="BX864" s="1518"/>
      <c r="BY864" s="1518"/>
      <c r="BZ864" s="1518"/>
      <c r="CA864" s="1518"/>
      <c r="CB864" s="1518"/>
      <c r="CC864" s="1518"/>
    </row>
    <row r="865" spans="2:81" s="1519" customFormat="1" outlineLevel="1">
      <c r="B865" s="1519" t="s">
        <v>462</v>
      </c>
      <c r="H865" s="1550">
        <v>1429</v>
      </c>
      <c r="I865" s="1550">
        <v>1605</v>
      </c>
      <c r="J865" s="1550">
        <v>1599</v>
      </c>
      <c r="K865" s="1551">
        <v>1586</v>
      </c>
      <c r="L865" s="1550">
        <v>1639</v>
      </c>
      <c r="M865" s="1550">
        <v>1820</v>
      </c>
      <c r="N865" s="1550">
        <v>1784</v>
      </c>
      <c r="O865" s="1551">
        <v>1769</v>
      </c>
      <c r="P865" s="1550">
        <v>1788</v>
      </c>
      <c r="Q865" s="1550">
        <v>1976</v>
      </c>
      <c r="R865" s="1550">
        <v>1911</v>
      </c>
      <c r="S865" s="1551">
        <v>1953</v>
      </c>
      <c r="T865" s="1550">
        <v>1991</v>
      </c>
      <c r="U865" s="1550">
        <v>2163</v>
      </c>
      <c r="V865" s="1550">
        <v>1986</v>
      </c>
      <c r="W865" s="1550">
        <v>1600</v>
      </c>
      <c r="X865" s="1550">
        <v>1943</v>
      </c>
      <c r="Y865" s="1550">
        <v>2386</v>
      </c>
      <c r="Z865" s="1550">
        <v>2401</v>
      </c>
      <c r="AA865" s="1550">
        <v>2537</v>
      </c>
      <c r="AB865" s="1550">
        <v>2656</v>
      </c>
      <c r="AC865" s="1550">
        <v>3064</v>
      </c>
      <c r="AD865" s="1550">
        <v>2945</v>
      </c>
      <c r="AE865" s="1550">
        <v>2926</v>
      </c>
      <c r="AF865" s="1550">
        <v>2928</v>
      </c>
      <c r="AG865" s="1550">
        <v>3223</v>
      </c>
      <c r="AH865" s="1551">
        <f t="shared" si="3563"/>
        <v>3239.5000000000005</v>
      </c>
      <c r="AI865" s="1551">
        <f t="shared" si="3563"/>
        <v>3160.0800000000004</v>
      </c>
      <c r="AJ865" s="1551">
        <f t="shared" si="3563"/>
        <v>3220.8</v>
      </c>
      <c r="AK865" s="1551">
        <f>+AG865*(1+AK876)</f>
        <v>3480.84</v>
      </c>
      <c r="AL865" s="1551">
        <f>+AH865*(1+AL876)</f>
        <v>3628.2400000000007</v>
      </c>
      <c r="AM865" s="1551">
        <f>+AI865*(1+AM876)</f>
        <v>3760.4952000000003</v>
      </c>
      <c r="AN865" s="1551">
        <f t="shared" si="3564"/>
        <v>3736.1280000000002</v>
      </c>
      <c r="AO865" s="1551">
        <f t="shared" si="3564"/>
        <v>4037.7743999999998</v>
      </c>
      <c r="AP865" s="1551">
        <f t="shared" si="3564"/>
        <v>4208.7584000000006</v>
      </c>
      <c r="AQ865" s="1551">
        <f t="shared" si="3564"/>
        <v>4136.5447200000008</v>
      </c>
      <c r="AV865" s="1550"/>
      <c r="AW865" s="1550"/>
      <c r="AX865" s="1550"/>
      <c r="AY865" s="1550"/>
      <c r="AZ865" s="1550"/>
      <c r="BA865" s="1550"/>
      <c r="BB865" s="1550"/>
      <c r="BC865" s="1550"/>
      <c r="BD865" s="1550"/>
      <c r="BH865" s="1550">
        <f t="shared" si="3553"/>
        <v>6219</v>
      </c>
      <c r="BI865" s="1550">
        <f t="shared" si="3554"/>
        <v>7012</v>
      </c>
      <c r="BJ865" s="1550">
        <f t="shared" si="3555"/>
        <v>7628</v>
      </c>
      <c r="BK865" s="1550">
        <f t="shared" si="3557"/>
        <v>7740</v>
      </c>
      <c r="BL865" s="1550">
        <f t="shared" si="3558"/>
        <v>9267</v>
      </c>
      <c r="BM865" s="1550">
        <f t="shared" si="3559"/>
        <v>11591</v>
      </c>
      <c r="BN865" s="1550">
        <f t="shared" si="3560"/>
        <v>12550.58</v>
      </c>
      <c r="BO865" s="1550">
        <f t="shared" si="3561"/>
        <v>14090.375200000002</v>
      </c>
      <c r="BP865" s="1550">
        <f t="shared" si="3562"/>
        <v>16119.205520000003</v>
      </c>
      <c r="BT865" s="1527"/>
      <c r="BU865" s="1527"/>
      <c r="BV865" s="1527"/>
      <c r="BW865" s="1527"/>
      <c r="BX865" s="1527"/>
      <c r="BY865" s="1527"/>
      <c r="BZ865" s="1527"/>
      <c r="CA865" s="1527"/>
      <c r="CB865" s="1527"/>
      <c r="CC865" s="1527"/>
    </row>
    <row r="866" spans="2:81" s="1519" customFormat="1" outlineLevel="1">
      <c r="B866" s="1519" t="s">
        <v>495</v>
      </c>
      <c r="H866" s="1550">
        <f t="shared" ref="H866" si="3565">+H868-SUM(H863:H865)</f>
        <v>1438</v>
      </c>
      <c r="I866" s="1550">
        <f t="shared" ref="I866" si="3566">+I868-SUM(I863:I865)</f>
        <v>1862</v>
      </c>
      <c r="J866" s="1550">
        <f t="shared" ref="J866" si="3567">+J868-SUM(J863:J865)</f>
        <v>1017</v>
      </c>
      <c r="K866" s="1551">
        <f t="shared" ref="K866" si="3568">+K868-SUM(K863:K865)</f>
        <v>1114</v>
      </c>
      <c r="L866" s="1550">
        <f t="shared" ref="L866" si="3569">+L868-SUM(L863:L865)</f>
        <v>1200</v>
      </c>
      <c r="M866" s="1550">
        <f t="shared" ref="M866" si="3570">+M868-SUM(M863:M865)</f>
        <v>1591</v>
      </c>
      <c r="N866" s="1550">
        <f t="shared" ref="N866" si="3571">+N868-SUM(N863:N865)</f>
        <v>1270</v>
      </c>
      <c r="O866" s="1551">
        <f t="shared" ref="O866" si="3572">+O868-SUM(O863:O865)</f>
        <v>1332</v>
      </c>
      <c r="P866" s="1550">
        <f t="shared" ref="P866" si="3573">+P868-SUM(P863:P865)</f>
        <v>1319</v>
      </c>
      <c r="Q866" s="1550">
        <f t="shared" ref="Q866" si="3574">+Q868-SUM(Q863:Q865)</f>
        <v>2027</v>
      </c>
      <c r="R866" s="1550">
        <f t="shared" ref="R866" si="3575">+R868-SUM(R863:R865)</f>
        <v>1462</v>
      </c>
      <c r="S866" s="1551">
        <f t="shared" ref="S866" si="3576">+S868-SUM(S863:S865)</f>
        <v>1481</v>
      </c>
      <c r="T866" s="1550">
        <f t="shared" ref="T866:AF866" si="3577">+T868-SUM(T863:T865)</f>
        <v>1247</v>
      </c>
      <c r="U866" s="1550">
        <f t="shared" si="3577"/>
        <v>2128</v>
      </c>
      <c r="V866" s="1550">
        <f t="shared" si="3577"/>
        <v>1442</v>
      </c>
      <c r="W866" s="1550">
        <f t="shared" si="3577"/>
        <v>1825</v>
      </c>
      <c r="X866" s="1550">
        <f t="shared" si="3577"/>
        <v>1663</v>
      </c>
      <c r="Y866" s="1550">
        <f t="shared" si="3577"/>
        <v>2191</v>
      </c>
      <c r="Z866" s="1550">
        <f t="shared" si="3577"/>
        <v>1639</v>
      </c>
      <c r="AA866" s="1550">
        <f t="shared" si="3577"/>
        <v>1475</v>
      </c>
      <c r="AB866" s="1550">
        <f t="shared" si="3577"/>
        <v>1389</v>
      </c>
      <c r="AC866" s="1550">
        <f t="shared" si="3577"/>
        <v>2365</v>
      </c>
      <c r="AD866" s="1550">
        <f t="shared" si="3577"/>
        <v>1758</v>
      </c>
      <c r="AE866" s="1550">
        <f t="shared" si="3577"/>
        <v>1561</v>
      </c>
      <c r="AF866" s="1550">
        <f t="shared" si="3577"/>
        <v>1481</v>
      </c>
      <c r="AG866" s="1550">
        <f>+AG868-SUM(AG863:AG865)</f>
        <v>1448</v>
      </c>
      <c r="AH866" s="1551">
        <f>+AH868-SUM(AH863:AH865)</f>
        <v>1065.3769716961742</v>
      </c>
      <c r="AI866" s="1551">
        <f t="shared" ref="AI866" si="3578">+AI868-SUM(AI863:AI865)</f>
        <v>1203.4247897262303</v>
      </c>
      <c r="AJ866" s="1551">
        <f>+AJ868-SUM(AJ863:AJ865)-AJ867</f>
        <v>893.37546038350774</v>
      </c>
      <c r="AK866" s="1551">
        <f>+AK868-SUM(AK863:AK865)-AK867</f>
        <v>1026.4525341794306</v>
      </c>
      <c r="AL866" s="1551">
        <f t="shared" ref="AL866:AM866" si="3579">+AL868-SUM(AL863:AL865)-AL867</f>
        <v>521.70950276054646</v>
      </c>
      <c r="AM866" s="1551">
        <f t="shared" si="3579"/>
        <v>607.64092407565477</v>
      </c>
      <c r="AN866" s="1551">
        <f t="shared" si="3564"/>
        <v>670.03159528763081</v>
      </c>
      <c r="AO866" s="1551">
        <f t="shared" si="3564"/>
        <v>718.51677392560134</v>
      </c>
      <c r="AP866" s="1551">
        <f t="shared" si="3564"/>
        <v>495.62402762251912</v>
      </c>
      <c r="AQ866" s="1551">
        <f t="shared" si="3564"/>
        <v>607.64092407565477</v>
      </c>
      <c r="AV866" s="1550"/>
      <c r="AW866" s="1550"/>
      <c r="AX866" s="1550"/>
      <c r="AY866" s="1550"/>
      <c r="AZ866" s="1550"/>
      <c r="BA866" s="1550"/>
      <c r="BB866" s="1550"/>
      <c r="BC866" s="1550"/>
      <c r="BD866" s="1550"/>
      <c r="BH866" s="1550">
        <f t="shared" si="3553"/>
        <v>5431</v>
      </c>
      <c r="BI866" s="1550">
        <f t="shared" si="3554"/>
        <v>5393</v>
      </c>
      <c r="BJ866" s="1550">
        <f t="shared" si="3555"/>
        <v>6289</v>
      </c>
      <c r="BK866" s="1550">
        <f t="shared" si="3557"/>
        <v>6642</v>
      </c>
      <c r="BL866" s="1550">
        <f t="shared" si="3558"/>
        <v>6968</v>
      </c>
      <c r="BM866" s="1550">
        <f t="shared" si="3559"/>
        <v>7073</v>
      </c>
      <c r="BN866" s="1550">
        <f t="shared" si="3560"/>
        <v>5197.8017614224045</v>
      </c>
      <c r="BO866" s="1550">
        <f t="shared" si="3561"/>
        <v>3049.1784213991396</v>
      </c>
      <c r="BP866" s="1550">
        <f t="shared" si="3562"/>
        <v>2491.8133209114058</v>
      </c>
      <c r="BT866" s="1527"/>
      <c r="BU866" s="1527"/>
      <c r="BV866" s="1527"/>
      <c r="BW866" s="1527"/>
      <c r="BX866" s="1527"/>
      <c r="BY866" s="1527"/>
      <c r="BZ866" s="1527"/>
      <c r="CA866" s="1527"/>
      <c r="CB866" s="1527"/>
      <c r="CC866" s="1527"/>
    </row>
    <row r="867" spans="2:81" s="1519" customFormat="1" ht="11.45" outlineLevel="1">
      <c r="B867" s="1519" t="s">
        <v>448</v>
      </c>
      <c r="C867" s="1556"/>
      <c r="D867" s="1556">
        <v>0</v>
      </c>
      <c r="E867" s="1556">
        <v>0</v>
      </c>
      <c r="F867" s="1556">
        <v>0</v>
      </c>
      <c r="G867" s="1556">
        <v>0</v>
      </c>
      <c r="H867" s="1556">
        <v>0</v>
      </c>
      <c r="I867" s="1556">
        <v>0</v>
      </c>
      <c r="J867" s="1556">
        <v>0</v>
      </c>
      <c r="K867" s="1556">
        <v>0</v>
      </c>
      <c r="L867" s="1556">
        <v>0</v>
      </c>
      <c r="M867" s="1556">
        <v>0</v>
      </c>
      <c r="N867" s="1556">
        <v>0</v>
      </c>
      <c r="O867" s="1556">
        <v>0</v>
      </c>
      <c r="P867" s="1556">
        <v>0</v>
      </c>
      <c r="Q867" s="1556">
        <v>0</v>
      </c>
      <c r="R867" s="1556">
        <v>0</v>
      </c>
      <c r="S867" s="1556">
        <v>0</v>
      </c>
      <c r="T867" s="1556">
        <v>0</v>
      </c>
      <c r="U867" s="1556">
        <v>0</v>
      </c>
      <c r="V867" s="1556">
        <v>0</v>
      </c>
      <c r="W867" s="1556">
        <v>0</v>
      </c>
      <c r="X867" s="1556">
        <v>0</v>
      </c>
      <c r="Y867" s="1556">
        <v>0</v>
      </c>
      <c r="Z867" s="1556">
        <v>0</v>
      </c>
      <c r="AA867" s="1556">
        <v>0</v>
      </c>
      <c r="AB867" s="1556">
        <v>0</v>
      </c>
      <c r="AC867" s="1556">
        <v>0</v>
      </c>
      <c r="AD867" s="1556">
        <v>0</v>
      </c>
      <c r="AE867" s="1556">
        <v>0</v>
      </c>
      <c r="AF867" s="1556">
        <v>0</v>
      </c>
      <c r="AG867" s="1556">
        <v>0</v>
      </c>
      <c r="AH867" s="1556">
        <v>0</v>
      </c>
      <c r="AI867" s="1556">
        <v>0</v>
      </c>
      <c r="AJ867" s="1556">
        <v>0</v>
      </c>
      <c r="AK867" s="1560">
        <v>2080</v>
      </c>
      <c r="AL867" s="1560">
        <v>1970</v>
      </c>
      <c r="AM867" s="1560">
        <v>1680</v>
      </c>
      <c r="AN867" s="1560">
        <v>1690</v>
      </c>
      <c r="AO867" s="1561">
        <f>+AK867*1.08</f>
        <v>2246.4</v>
      </c>
      <c r="AP867" s="1556">
        <f>+AL867*(1+AP878)</f>
        <v>2127.6000000000004</v>
      </c>
      <c r="AQ867" s="1556">
        <f>+AM867*(1+AQ878)</f>
        <v>1814.4</v>
      </c>
      <c r="AR867" s="1556"/>
      <c r="AS867" s="1556">
        <v>0</v>
      </c>
      <c r="AT867" s="1556">
        <v>0</v>
      </c>
      <c r="AU867" s="1556">
        <v>0</v>
      </c>
      <c r="AV867" s="1556">
        <v>0</v>
      </c>
      <c r="AW867" s="1556">
        <v>0</v>
      </c>
      <c r="AX867" s="1556"/>
      <c r="AY867" s="1556"/>
      <c r="AZ867" s="1556"/>
      <c r="BA867" s="1556"/>
      <c r="BB867" s="1556"/>
      <c r="BC867" s="1556"/>
      <c r="BD867" s="1556"/>
      <c r="BE867" s="1556"/>
      <c r="BF867" s="1556"/>
      <c r="BG867" s="1556"/>
      <c r="BH867" s="1556">
        <v>0</v>
      </c>
      <c r="BI867" s="1556">
        <v>0</v>
      </c>
      <c r="BJ867" s="1556">
        <v>0</v>
      </c>
      <c r="BK867" s="1556">
        <v>0</v>
      </c>
      <c r="BL867" s="1556">
        <v>0</v>
      </c>
      <c r="BM867" s="1556">
        <v>0</v>
      </c>
      <c r="BN867" s="1556">
        <v>0</v>
      </c>
      <c r="BO867" s="1555">
        <f t="shared" si="3561"/>
        <v>5730</v>
      </c>
      <c r="BP867" s="1555">
        <f t="shared" si="3562"/>
        <v>7878.4</v>
      </c>
      <c r="BT867" s="1530"/>
      <c r="BU867" s="1530"/>
      <c r="BV867" s="1530"/>
      <c r="BW867" s="1530"/>
      <c r="BX867" s="1530"/>
      <c r="BY867" s="1530"/>
      <c r="BZ867" s="1530"/>
      <c r="CA867" s="1530"/>
      <c r="CB867" s="1530"/>
      <c r="CC867" s="1530"/>
    </row>
    <row r="868" spans="2:81" s="1520" customFormat="1" ht="10.5" outlineLevel="1">
      <c r="B868" s="1562" t="s">
        <v>463</v>
      </c>
      <c r="H868" s="1563">
        <f t="shared" ref="H868:AM868" si="3580">+H798</f>
        <v>9395</v>
      </c>
      <c r="I868" s="1563">
        <f t="shared" si="3580"/>
        <v>11889</v>
      </c>
      <c r="J868" s="1563">
        <f t="shared" si="3580"/>
        <v>8775</v>
      </c>
      <c r="K868" s="1563">
        <f t="shared" si="3580"/>
        <v>9235</v>
      </c>
      <c r="L868" s="1563">
        <f t="shared" si="3580"/>
        <v>9378</v>
      </c>
      <c r="M868" s="1563">
        <f t="shared" si="3580"/>
        <v>12170</v>
      </c>
      <c r="N868" s="1563">
        <f t="shared" si="3580"/>
        <v>9917</v>
      </c>
      <c r="O868" s="1563">
        <f t="shared" si="3580"/>
        <v>10811</v>
      </c>
      <c r="P868" s="1563">
        <f t="shared" si="3580"/>
        <v>10746</v>
      </c>
      <c r="Q868" s="1563">
        <f t="shared" si="3580"/>
        <v>12993</v>
      </c>
      <c r="R868" s="1563">
        <f t="shared" si="3580"/>
        <v>10680</v>
      </c>
      <c r="S868" s="1563">
        <f t="shared" si="3580"/>
        <v>11279</v>
      </c>
      <c r="T868" s="1563">
        <f t="shared" si="3580"/>
        <v>11133</v>
      </c>
      <c r="U868" s="1563">
        <f t="shared" si="3580"/>
        <v>13211</v>
      </c>
      <c r="V868" s="1563">
        <f t="shared" si="3580"/>
        <v>10997</v>
      </c>
      <c r="W868" s="1563">
        <f t="shared" si="3580"/>
        <v>12910</v>
      </c>
      <c r="X868" s="1563">
        <f t="shared" si="3580"/>
        <v>11849</v>
      </c>
      <c r="Y868" s="1563">
        <f t="shared" si="3580"/>
        <v>15122</v>
      </c>
      <c r="Z868" s="1563">
        <f t="shared" si="3580"/>
        <v>13036</v>
      </c>
      <c r="AA868" s="1563">
        <f t="shared" si="3580"/>
        <v>14086</v>
      </c>
      <c r="AB868" s="1563">
        <f t="shared" si="3580"/>
        <v>13314</v>
      </c>
      <c r="AC868" s="1563">
        <f t="shared" si="3580"/>
        <v>17465</v>
      </c>
      <c r="AD868" s="1563">
        <f t="shared" si="3580"/>
        <v>14520</v>
      </c>
      <c r="AE868" s="1563">
        <f t="shared" si="3580"/>
        <v>14356</v>
      </c>
      <c r="AF868" s="1563">
        <f t="shared" si="3580"/>
        <v>13332</v>
      </c>
      <c r="AG868" s="1563">
        <f t="shared" si="3580"/>
        <v>14237</v>
      </c>
      <c r="AH868" s="1563">
        <f t="shared" si="3580"/>
        <v>13260</v>
      </c>
      <c r="AI868" s="1563">
        <f t="shared" si="3580"/>
        <v>13905</v>
      </c>
      <c r="AJ868" s="1563">
        <f t="shared" si="3580"/>
        <v>13666</v>
      </c>
      <c r="AK868" s="1563">
        <f t="shared" si="3580"/>
        <v>16891</v>
      </c>
      <c r="AL868" s="1563">
        <f t="shared" si="3580"/>
        <v>15580</v>
      </c>
      <c r="AM868" s="1563">
        <f t="shared" si="3580"/>
        <v>15895</v>
      </c>
      <c r="AN868" s="1563">
        <f t="shared" ref="AN868:AQ868" si="3581">SUM(AN863:AN867)</f>
        <v>15436.571565258873</v>
      </c>
      <c r="AO868" s="1563">
        <f t="shared" si="3581"/>
        <v>17071.803895385125</v>
      </c>
      <c r="AP868" s="1563">
        <f t="shared" si="3581"/>
        <v>16765.035449723946</v>
      </c>
      <c r="AQ868" s="1563">
        <f t="shared" si="3581"/>
        <v>17065.04031379622</v>
      </c>
      <c r="AV868" s="1563"/>
      <c r="AW868" s="1563"/>
      <c r="AX868" s="1563"/>
      <c r="AY868" s="1563"/>
      <c r="AZ868" s="1563"/>
      <c r="BA868" s="1563"/>
      <c r="BB868" s="1563"/>
      <c r="BC868" s="1563"/>
      <c r="BD868" s="1563"/>
      <c r="BH868" s="1563">
        <f t="shared" si="3553"/>
        <v>39294</v>
      </c>
      <c r="BI868" s="1563">
        <f t="shared" si="3554"/>
        <v>42276</v>
      </c>
      <c r="BJ868" s="1563">
        <f t="shared" si="3555"/>
        <v>45698</v>
      </c>
      <c r="BK868" s="1563">
        <f t="shared" si="3557"/>
        <v>48251</v>
      </c>
      <c r="BL868" s="1563">
        <f t="shared" si="3558"/>
        <v>54093</v>
      </c>
      <c r="BM868" s="1563">
        <f t="shared" si="3559"/>
        <v>59655</v>
      </c>
      <c r="BN868" s="1563">
        <f t="shared" si="3560"/>
        <v>54734</v>
      </c>
      <c r="BO868" s="1563">
        <f t="shared" si="3561"/>
        <v>62032</v>
      </c>
      <c r="BP868" s="1563">
        <f t="shared" si="3562"/>
        <v>66338.451224164164</v>
      </c>
      <c r="BT868" s="1535"/>
      <c r="BU868" s="1535"/>
      <c r="BV868" s="1535"/>
      <c r="BW868" s="1535"/>
      <c r="BX868" s="1535"/>
      <c r="BY868" s="1535"/>
      <c r="BZ868" s="1535"/>
      <c r="CA868" s="1535"/>
      <c r="CB868" s="1535"/>
      <c r="CC868" s="1535"/>
    </row>
    <row r="869" spans="2:81" s="1520" customFormat="1" ht="10.5" hidden="1" outlineLevel="2">
      <c r="B869" s="1562" t="s">
        <v>496</v>
      </c>
      <c r="H869" s="1563">
        <f>+H868-H861</f>
        <v>7707.4280972923152</v>
      </c>
      <c r="I869" s="1563">
        <f t="shared" ref="I869:BP869" si="3582">+I868-I861</f>
        <v>10086.849467196171</v>
      </c>
      <c r="J869" s="1563">
        <f t="shared" si="3582"/>
        <v>7226.583035157154</v>
      </c>
      <c r="K869" s="1563">
        <f t="shared" si="3582"/>
        <v>7276.9740834197792</v>
      </c>
      <c r="L869" s="1563">
        <f t="shared" si="3582"/>
        <v>7775.9078141014161</v>
      </c>
      <c r="M869" s="1563">
        <f t="shared" si="3582"/>
        <v>10441.107765285085</v>
      </c>
      <c r="N869" s="1563">
        <f t="shared" si="3582"/>
        <v>8121.1564813988643</v>
      </c>
      <c r="O869" s="1563">
        <f t="shared" si="3582"/>
        <v>8535.2438291158142</v>
      </c>
      <c r="P869" s="1563">
        <f t="shared" si="3582"/>
        <v>8969.9619680638589</v>
      </c>
      <c r="Q869" s="1563">
        <f t="shared" si="3582"/>
        <v>11172.405824168467</v>
      </c>
      <c r="R869" s="1563">
        <f t="shared" si="3582"/>
        <v>8797.552381130281</v>
      </c>
      <c r="S869" s="1563">
        <f t="shared" si="3582"/>
        <v>8919.103087089512</v>
      </c>
      <c r="T869" s="1563">
        <f t="shared" si="3582"/>
        <v>9186.8555019030555</v>
      </c>
      <c r="U869" s="1563">
        <f t="shared" si="3582"/>
        <v>11097.376239213618</v>
      </c>
      <c r="V869" s="1563">
        <f t="shared" si="3582"/>
        <v>8828.2126537303793</v>
      </c>
      <c r="W869" s="1563">
        <f t="shared" si="3582"/>
        <v>10361.18743700881</v>
      </c>
      <c r="X869" s="1563">
        <f t="shared" si="3582"/>
        <v>9933.3037798967343</v>
      </c>
      <c r="Y869" s="1563">
        <f t="shared" si="3582"/>
        <v>13132.558454923101</v>
      </c>
      <c r="Z869" s="1563">
        <f t="shared" si="3582"/>
        <v>10933.857546612837</v>
      </c>
      <c r="AA869" s="1563">
        <f t="shared" si="3582"/>
        <v>11308.536468540682</v>
      </c>
      <c r="AB869" s="1563">
        <f t="shared" si="3582"/>
        <v>11190.75144181695</v>
      </c>
      <c r="AC869" s="1563">
        <f t="shared" si="3582"/>
        <v>15253.790690382468</v>
      </c>
      <c r="AD869" s="1563">
        <f t="shared" si="3582"/>
        <v>12164.564218324227</v>
      </c>
      <c r="AE869" s="1563">
        <f t="shared" si="3582"/>
        <v>11444.391355187348</v>
      </c>
      <c r="AF869" s="1563">
        <f t="shared" si="3582"/>
        <v>11046.886509587732</v>
      </c>
      <c r="AG869" s="1563">
        <f t="shared" si="3582"/>
        <v>12107.373291028398</v>
      </c>
      <c r="AH869" s="1563">
        <f t="shared" si="3582"/>
        <v>10574.803208889618</v>
      </c>
      <c r="AI869" s="1563">
        <f t="shared" si="3582"/>
        <v>10935.159182291096</v>
      </c>
      <c r="AJ869" s="1563">
        <f t="shared" si="3582"/>
        <v>11198.07743035475</v>
      </c>
      <c r="AK869" s="1563">
        <f t="shared" si="3582"/>
        <v>14569.706887220953</v>
      </c>
      <c r="AL869" s="1563">
        <f t="shared" si="3582"/>
        <v>12545.727626045269</v>
      </c>
      <c r="AM869" s="1563">
        <f t="shared" si="3582"/>
        <v>12598.476692343116</v>
      </c>
      <c r="AN869" s="1563">
        <f t="shared" si="3582"/>
        <v>12786.571565258873</v>
      </c>
      <c r="AO869" s="1563">
        <f t="shared" si="3582"/>
        <v>14634.446126967125</v>
      </c>
      <c r="AP869" s="1563">
        <f t="shared" si="3582"/>
        <v>13579.049457071478</v>
      </c>
      <c r="AQ869" s="1563">
        <f t="shared" si="3582"/>
        <v>13603.690840756492</v>
      </c>
      <c r="AS869" s="1520">
        <f t="shared" si="3582"/>
        <v>0</v>
      </c>
      <c r="AT869" s="1520">
        <f t="shared" si="3582"/>
        <v>0</v>
      </c>
      <c r="AU869" s="1520">
        <f t="shared" si="3582"/>
        <v>0</v>
      </c>
      <c r="AV869" s="1563">
        <f t="shared" si="3582"/>
        <v>0</v>
      </c>
      <c r="AW869" s="1563">
        <f t="shared" si="3582"/>
        <v>0</v>
      </c>
      <c r="AX869" s="1563">
        <f t="shared" si="3582"/>
        <v>0</v>
      </c>
      <c r="AY869" s="1563">
        <f t="shared" si="3582"/>
        <v>0</v>
      </c>
      <c r="AZ869" s="1563">
        <f t="shared" si="3582"/>
        <v>0</v>
      </c>
      <c r="BA869" s="1563">
        <f t="shared" si="3582"/>
        <v>0</v>
      </c>
      <c r="BB869" s="1563">
        <f t="shared" si="3582"/>
        <v>0</v>
      </c>
      <c r="BC869" s="1563">
        <f t="shared" si="3582"/>
        <v>0</v>
      </c>
      <c r="BD869" s="1563">
        <f t="shared" si="3582"/>
        <v>0</v>
      </c>
      <c r="BE869" s="1520">
        <f t="shared" si="3582"/>
        <v>0</v>
      </c>
      <c r="BF869" s="1520">
        <f t="shared" si="3582"/>
        <v>0</v>
      </c>
      <c r="BG869" s="1520">
        <f t="shared" si="3582"/>
        <v>0</v>
      </c>
      <c r="BH869" s="1563">
        <f t="shared" si="3582"/>
        <v>32297.834683065419</v>
      </c>
      <c r="BI869" s="1563">
        <f t="shared" si="3582"/>
        <v>34873.415889901182</v>
      </c>
      <c r="BJ869" s="1563">
        <f t="shared" si="3582"/>
        <v>37859.023260452115</v>
      </c>
      <c r="BK869" s="1563">
        <f t="shared" si="3582"/>
        <v>39473.631831855862</v>
      </c>
      <c r="BL869" s="1563">
        <f t="shared" si="3582"/>
        <v>45308.256249973361</v>
      </c>
      <c r="BM869" s="1563">
        <f t="shared" si="3582"/>
        <v>50053.497705710994</v>
      </c>
      <c r="BN869" s="1563">
        <f t="shared" si="3582"/>
        <v>44664.222191796842</v>
      </c>
      <c r="BO869" s="1563">
        <f t="shared" si="3582"/>
        <v>50911.988635964088</v>
      </c>
      <c r="BP869" s="1563">
        <f t="shared" si="3582"/>
        <v>54603.757990053971</v>
      </c>
      <c r="BT869" s="1535"/>
      <c r="BU869" s="1535"/>
      <c r="BV869" s="1535"/>
      <c r="BW869" s="1535"/>
      <c r="BX869" s="1535"/>
      <c r="BY869" s="1535"/>
      <c r="BZ869" s="1535"/>
      <c r="CA869" s="1535"/>
      <c r="CB869" s="1535"/>
      <c r="CC869" s="1535"/>
    </row>
    <row r="870" spans="2:81" s="1518" customFormat="1" outlineLevel="1" collapsed="1">
      <c r="AG870" s="1521"/>
      <c r="AH870" s="1521"/>
      <c r="AI870" s="1521"/>
      <c r="AJ870" s="1521"/>
      <c r="AK870" s="1521"/>
      <c r="AL870" s="1521"/>
      <c r="AM870" s="1521"/>
      <c r="AN870" s="1521"/>
      <c r="AO870" s="1521"/>
      <c r="AP870" s="1521"/>
      <c r="AQ870" s="1521"/>
    </row>
    <row r="871" spans="2:81" s="1518" customFormat="1" outlineLevel="1">
      <c r="B871" s="1564" t="s">
        <v>113</v>
      </c>
      <c r="AH871" s="1531"/>
      <c r="AI871" s="1531"/>
      <c r="AJ871" s="1531"/>
      <c r="AK871" s="1531"/>
      <c r="AL871" s="1531"/>
      <c r="AM871" s="1531"/>
      <c r="AN871" s="1531"/>
      <c r="AO871" s="1531"/>
      <c r="AP871" s="1531"/>
      <c r="AQ871" s="1531"/>
    </row>
    <row r="872" spans="2:81" s="1527" customFormat="1" outlineLevel="1">
      <c r="B872" s="1539" t="str">
        <f t="shared" ref="B872:B879" si="3583">+B861</f>
        <v>Windows Other (old segmentation)</v>
      </c>
      <c r="D872" s="1565"/>
      <c r="E872" s="1565"/>
      <c r="F872" s="1565"/>
      <c r="G872" s="1565"/>
      <c r="H872" s="1565"/>
      <c r="I872" s="1565"/>
      <c r="J872" s="1565"/>
      <c r="K872" s="1565"/>
      <c r="L872" s="1565">
        <f t="shared" ref="L872:AN872" si="3584">+L861/H861-1</f>
        <v>-5.065248874548689E-2</v>
      </c>
      <c r="M872" s="1565">
        <f t="shared" si="3584"/>
        <v>-4.0650487711999528E-2</v>
      </c>
      <c r="N872" s="1565">
        <f t="shared" si="3584"/>
        <v>0.15979323359028275</v>
      </c>
      <c r="O872" s="1565">
        <f t="shared" si="3584"/>
        <v>0.1622707092962774</v>
      </c>
      <c r="P872" s="1565">
        <f t="shared" si="3584"/>
        <v>0.10857418041771028</v>
      </c>
      <c r="Q872" s="1565">
        <f t="shared" si="3584"/>
        <v>5.3040865865037423E-2</v>
      </c>
      <c r="R872" s="1565">
        <f t="shared" si="3584"/>
        <v>4.8224747519229449E-2</v>
      </c>
      <c r="S872" s="1565">
        <f t="shared" si="3584"/>
        <v>3.6972652476038537E-2</v>
      </c>
      <c r="T872" s="1565">
        <f t="shared" si="3584"/>
        <v>9.5778616843785747E-2</v>
      </c>
      <c r="U872" s="1565">
        <f t="shared" si="3584"/>
        <v>0.16095272018598661</v>
      </c>
      <c r="V872" s="1565">
        <f t="shared" si="3584"/>
        <v>0.15211032940817137</v>
      </c>
      <c r="W872" s="1565">
        <f t="shared" si="3584"/>
        <v>8.0052501042391144E-2</v>
      </c>
      <c r="X872" s="1565">
        <f t="shared" si="3584"/>
        <v>-1.5645435384398998E-2</v>
      </c>
      <c r="Y872" s="1565">
        <f t="shared" si="3584"/>
        <v>-5.8753226573910688E-2</v>
      </c>
      <c r="Z872" s="1565">
        <f t="shared" si="3584"/>
        <v>-3.0729104444974342E-2</v>
      </c>
      <c r="AA872" s="1565">
        <f t="shared" si="3584"/>
        <v>8.9708820408429757E-2</v>
      </c>
      <c r="AB872" s="1565">
        <f t="shared" si="3584"/>
        <v>0.1083430326278958</v>
      </c>
      <c r="AC872" s="1565">
        <f t="shared" si="3584"/>
        <v>0.11147237026864287</v>
      </c>
      <c r="AD872" s="1565">
        <f t="shared" si="3584"/>
        <v>0.12049294179872594</v>
      </c>
      <c r="AE872" s="1565">
        <f t="shared" si="3584"/>
        <v>4.8297704662517038E-2</v>
      </c>
      <c r="AF872" s="1565">
        <f t="shared" si="3584"/>
        <v>7.6234565946312838E-2</v>
      </c>
      <c r="AG872" s="1565">
        <f t="shared" si="3584"/>
        <v>-3.6895014999751785E-2</v>
      </c>
      <c r="AH872" s="1565">
        <f t="shared" si="3584"/>
        <v>0.14000000000000012</v>
      </c>
      <c r="AI872" s="1565">
        <f t="shared" si="3584"/>
        <v>2.0000000000000018E-2</v>
      </c>
      <c r="AJ872" s="1565">
        <f t="shared" si="3584"/>
        <v>8.0000000000000071E-2</v>
      </c>
      <c r="AK872" s="1565">
        <f t="shared" si="3584"/>
        <v>9.000000000000008E-2</v>
      </c>
      <c r="AL872" s="1565">
        <f t="shared" si="3584"/>
        <v>0.12999999999999989</v>
      </c>
      <c r="AM872" s="1565">
        <f t="shared" si="3584"/>
        <v>0.1100000000000001</v>
      </c>
      <c r="AN872" s="1565">
        <f t="shared" si="3584"/>
        <v>7.3777610608311006E-2</v>
      </c>
      <c r="AO872" s="1526">
        <v>0.05</v>
      </c>
      <c r="AP872" s="1526">
        <v>0.05</v>
      </c>
      <c r="AQ872" s="1526">
        <v>0.05</v>
      </c>
      <c r="AR872" s="1565"/>
      <c r="AS872" s="1565"/>
      <c r="AT872" s="1565"/>
      <c r="AU872" s="1565"/>
      <c r="AV872" s="1565"/>
      <c r="AW872" s="1565"/>
      <c r="AX872" s="1565"/>
      <c r="AY872" s="1565"/>
      <c r="AZ872" s="1565"/>
      <c r="BA872" s="1565"/>
      <c r="BB872" s="1565"/>
      <c r="BC872" s="1565"/>
      <c r="BD872" s="1565"/>
      <c r="BE872" s="1565"/>
      <c r="BF872" s="1565"/>
      <c r="BG872" s="1565"/>
      <c r="BH872" s="1565"/>
      <c r="BI872" s="1565">
        <f t="shared" ref="BI872:BP877" si="3585">+BI861/BH861-1</f>
        <v>5.8091650890593094E-2</v>
      </c>
      <c r="BJ872" s="1565">
        <f t="shared" si="3585"/>
        <v>5.8951390887098665E-2</v>
      </c>
      <c r="BK872" s="1565">
        <f t="shared" si="3585"/>
        <v>0.11970840835156982</v>
      </c>
      <c r="BL872" s="1565">
        <f t="shared" si="3585"/>
        <v>8.4029537569962898E-4</v>
      </c>
      <c r="BM872" s="1565">
        <f t="shared" si="3585"/>
        <v>9.2974657827655793E-2</v>
      </c>
      <c r="BN872" s="1565">
        <f t="shared" si="3585"/>
        <v>4.8771067231081267E-2</v>
      </c>
      <c r="BO872" s="1565">
        <f t="shared" si="3585"/>
        <v>0.10429560371999491</v>
      </c>
      <c r="BP872" s="1565">
        <f t="shared" si="3585"/>
        <v>5.5277090099230763E-2</v>
      </c>
      <c r="BT872" s="1518"/>
      <c r="BU872" s="1518"/>
      <c r="BV872" s="1518"/>
      <c r="BW872" s="1518"/>
      <c r="BX872" s="1518"/>
      <c r="BY872" s="1518"/>
      <c r="BZ872" s="1518"/>
      <c r="CA872" s="1518"/>
      <c r="CB872" s="1518"/>
      <c r="CC872" s="1518"/>
    </row>
    <row r="873" spans="2:81" s="1530" customFormat="1" outlineLevel="1">
      <c r="B873" s="1539" t="str">
        <f t="shared" si="3583"/>
        <v>Windows OEM</v>
      </c>
      <c r="D873" s="1566"/>
      <c r="E873" s="1566"/>
      <c r="F873" s="1566"/>
      <c r="G873" s="1566"/>
      <c r="H873" s="1566"/>
      <c r="I873" s="1566"/>
      <c r="J873" s="1566"/>
      <c r="K873" s="1566"/>
      <c r="L873" s="1566">
        <f t="shared" ref="L873:U877" si="3586">+L862/H862-1</f>
        <v>2.8922955996599997E-2</v>
      </c>
      <c r="M873" s="1566">
        <f t="shared" si="3586"/>
        <v>3.5718839475847863E-2</v>
      </c>
      <c r="N873" s="1566">
        <f t="shared" si="3586"/>
        <v>4.1253474118322808E-2</v>
      </c>
      <c r="O873" s="1566">
        <f t="shared" si="3586"/>
        <v>7.3030551601289462E-2</v>
      </c>
      <c r="P873" s="1566">
        <f t="shared" si="3586"/>
        <v>2.7641138469461035E-2</v>
      </c>
      <c r="Q873" s="1566">
        <f t="shared" si="3586"/>
        <v>-5.5529246621069395E-2</v>
      </c>
      <c r="R873" s="1566">
        <f t="shared" si="3586"/>
        <v>8.7138588126154382E-2</v>
      </c>
      <c r="S873" s="1566">
        <f t="shared" si="3586"/>
        <v>9.0164318071075389E-2</v>
      </c>
      <c r="T873" s="1566">
        <f t="shared" si="3586"/>
        <v>9.0207028667888212E-2</v>
      </c>
      <c r="U873" s="1566">
        <f t="shared" si="3586"/>
        <v>0.18450648207541209</v>
      </c>
      <c r="V873" s="1566">
        <f t="shared" ref="V873:AE877" si="3587">+V862/R862-1</f>
        <v>-3.3772825392860417E-3</v>
      </c>
      <c r="W873" s="1566">
        <f t="shared" si="3587"/>
        <v>4.2855458063769225E-2</v>
      </c>
      <c r="X873" s="1566">
        <f t="shared" si="3587"/>
        <v>-5.0354857113984575E-2</v>
      </c>
      <c r="Y873" s="1566">
        <f t="shared" si="3587"/>
        <v>1.2985722900635599E-2</v>
      </c>
      <c r="Z873" s="1566">
        <f t="shared" si="3587"/>
        <v>0.10148256710455406</v>
      </c>
      <c r="AA873" s="1566">
        <f t="shared" si="3587"/>
        <v>9.3569604576848597E-4</v>
      </c>
      <c r="AB873" s="1566">
        <f t="shared" si="3587"/>
        <v>9.8119893375313127E-2</v>
      </c>
      <c r="AC873" s="1566">
        <f t="shared" si="3587"/>
        <v>0.24350063885607831</v>
      </c>
      <c r="AD873" s="1566">
        <f t="shared" si="3587"/>
        <v>0.10732578418115923</v>
      </c>
      <c r="AE873" s="1566">
        <f t="shared" si="3587"/>
        <v>-2.2371053039407118E-2</v>
      </c>
      <c r="AF873" s="1566">
        <f t="shared" ref="AF873:AG877" si="3588">+AF862/AB862-1</f>
        <v>-0.14773477425169734</v>
      </c>
      <c r="AG873" s="1566">
        <f t="shared" si="3588"/>
        <v>-0.38888861452914447</v>
      </c>
      <c r="AH873" s="1566">
        <f t="shared" ref="AH873:AM873" si="3589">+AH837</f>
        <v>-0.28000000000000003</v>
      </c>
      <c r="AI873" s="1566">
        <f t="shared" si="3589"/>
        <v>-0.12</v>
      </c>
      <c r="AJ873" s="1566">
        <f t="shared" si="3589"/>
        <v>0.04</v>
      </c>
      <c r="AK873" s="1566">
        <f t="shared" si="3589"/>
        <v>0.11</v>
      </c>
      <c r="AL873" s="1566">
        <f t="shared" si="3589"/>
        <v>0.11</v>
      </c>
      <c r="AM873" s="1566">
        <f t="shared" si="3589"/>
        <v>0.04</v>
      </c>
      <c r="AN873" s="1566">
        <f t="shared" ref="AN873:AQ874" si="3590">+AN862/AJ862-1</f>
        <v>0</v>
      </c>
      <c r="AO873" s="1566">
        <f t="shared" si="3590"/>
        <v>0</v>
      </c>
      <c r="AP873" s="1566">
        <f t="shared" si="3590"/>
        <v>5.0000000000000044E-2</v>
      </c>
      <c r="AQ873" s="1566">
        <f t="shared" si="3590"/>
        <v>5.0000000000000044E-2</v>
      </c>
      <c r="AR873" s="1566"/>
      <c r="AS873" s="1566"/>
      <c r="AT873" s="1566"/>
      <c r="AU873" s="1566"/>
      <c r="AV873" s="1566"/>
      <c r="AW873" s="1566"/>
      <c r="AX873" s="1566"/>
      <c r="AY873" s="1566"/>
      <c r="AZ873" s="1566"/>
      <c r="BA873" s="1566"/>
      <c r="BB873" s="1566"/>
      <c r="BC873" s="1566"/>
      <c r="BD873" s="1566"/>
      <c r="BE873" s="1566"/>
      <c r="BF873" s="1566"/>
      <c r="BG873" s="1566"/>
      <c r="BH873" s="1566"/>
      <c r="BI873" s="1566">
        <f t="shared" si="3585"/>
        <v>4.47174786058675E-2</v>
      </c>
      <c r="BJ873" s="1566">
        <f t="shared" si="3585"/>
        <v>3.6367498611270088E-2</v>
      </c>
      <c r="BK873" s="1566">
        <f t="shared" si="3585"/>
        <v>7.6505797375303164E-2</v>
      </c>
      <c r="BL873" s="1566">
        <f t="shared" si="3585"/>
        <v>1.3807020893893185E-2</v>
      </c>
      <c r="BM873" s="1566">
        <f t="shared" si="3585"/>
        <v>0.10626973831423947</v>
      </c>
      <c r="BN873" s="1566">
        <f t="shared" si="3585"/>
        <v>-0.24351778317469097</v>
      </c>
      <c r="BO873" s="1566">
        <f t="shared" si="3585"/>
        <v>7.2704617231269308E-2</v>
      </c>
      <c r="BP873" s="1566">
        <f t="shared" si="3585"/>
        <v>2.5117192259334953E-2</v>
      </c>
      <c r="BT873" s="1518"/>
      <c r="BU873" s="1518"/>
      <c r="BV873" s="1518"/>
      <c r="BW873" s="1518"/>
      <c r="BX873" s="1518"/>
      <c r="BY873" s="1518"/>
      <c r="BZ873" s="1518"/>
      <c r="CA873" s="1518"/>
      <c r="CB873" s="1518"/>
      <c r="CC873" s="1518"/>
    </row>
    <row r="874" spans="2:81" s="1527" customFormat="1" outlineLevel="1">
      <c r="B874" s="1524" t="str">
        <f t="shared" si="3583"/>
        <v>Total Windows</v>
      </c>
      <c r="D874" s="1565"/>
      <c r="E874" s="1565"/>
      <c r="F874" s="1565"/>
      <c r="G874" s="1565"/>
      <c r="H874" s="1565"/>
      <c r="I874" s="1565"/>
      <c r="J874" s="1565"/>
      <c r="K874" s="1565"/>
      <c r="L874" s="1565">
        <f t="shared" si="3586"/>
        <v>0</v>
      </c>
      <c r="M874" s="1565">
        <f t="shared" si="3586"/>
        <v>7.0759625390217629E-3</v>
      </c>
      <c r="N874" s="1565">
        <f t="shared" si="3586"/>
        <v>8.441100399717838E-2</v>
      </c>
      <c r="O874" s="1565">
        <f t="shared" si="3586"/>
        <v>0.10874897792313987</v>
      </c>
      <c r="P874" s="1565">
        <f t="shared" si="3586"/>
        <v>5.5567520999353803E-2</v>
      </c>
      <c r="Q874" s="1565">
        <f t="shared" si="3586"/>
        <v>-1.6738995660260381E-2</v>
      </c>
      <c r="R874" s="1565">
        <f t="shared" si="3586"/>
        <v>7.1986123156981829E-2</v>
      </c>
      <c r="S874" s="1565">
        <f t="shared" si="3586"/>
        <v>6.7846607669616477E-2</v>
      </c>
      <c r="T874" s="1565">
        <f t="shared" si="3586"/>
        <v>9.2226076310957028E-2</v>
      </c>
      <c r="U874" s="1565">
        <f t="shared" si="3586"/>
        <v>0.17549390500210182</v>
      </c>
      <c r="V874" s="1565">
        <f t="shared" si="3587"/>
        <v>5.5825242718446688E-2</v>
      </c>
      <c r="W874" s="1565">
        <f t="shared" si="3587"/>
        <v>5.8011049723756924E-2</v>
      </c>
      <c r="X874" s="1565">
        <f t="shared" si="3587"/>
        <v>-3.7735849056603765E-2</v>
      </c>
      <c r="Y874" s="1565">
        <f t="shared" si="3587"/>
        <v>-1.4124798855712495E-2</v>
      </c>
      <c r="Z874" s="1565">
        <f t="shared" si="3587"/>
        <v>4.6551724137930961E-2</v>
      </c>
      <c r="AA874" s="1565">
        <f t="shared" si="3587"/>
        <v>3.7859007832898195E-2</v>
      </c>
      <c r="AB874" s="1565">
        <f t="shared" si="3587"/>
        <v>0.10192195690157257</v>
      </c>
      <c r="AC874" s="1565">
        <f t="shared" si="3587"/>
        <v>0.19586507072905324</v>
      </c>
      <c r="AD874" s="1565">
        <f t="shared" si="3587"/>
        <v>0.11239245835621459</v>
      </c>
      <c r="AE874" s="1565">
        <f t="shared" si="3587"/>
        <v>8.4905660377359027E-3</v>
      </c>
      <c r="AF874" s="1565">
        <f t="shared" si="3588"/>
        <v>-6.3953488372093026E-2</v>
      </c>
      <c r="AG874" s="1565">
        <f t="shared" si="3588"/>
        <v>-0.2708522899605702</v>
      </c>
      <c r="AH874" s="1565">
        <f t="shared" ref="AH874:AM874" si="3591">+AH863/AD863-1</f>
        <v>-0.1172086509291056</v>
      </c>
      <c r="AI874" s="1565">
        <f t="shared" si="3591"/>
        <v>-5.6447581809515035E-2</v>
      </c>
      <c r="AJ874" s="1565">
        <f t="shared" si="3591"/>
        <v>5.720394120393224E-2</v>
      </c>
      <c r="AK874" s="1565">
        <f t="shared" si="3591"/>
        <v>0.10114131984620833</v>
      </c>
      <c r="AL874" s="1565">
        <f t="shared" si="3591"/>
        <v>0.12001057007768545</v>
      </c>
      <c r="AM874" s="1565">
        <f t="shared" si="3591"/>
        <v>7.435075005086178E-2</v>
      </c>
      <c r="AN874" s="1565">
        <f t="shared" si="3590"/>
        <v>3.2415858370634432E-2</v>
      </c>
      <c r="AO874" s="1565">
        <f t="shared" si="3590"/>
        <v>2.1922620633702872E-2</v>
      </c>
      <c r="AP874" s="1565">
        <f t="shared" si="3590"/>
        <v>5.0000000000000044E-2</v>
      </c>
      <c r="AQ874" s="1565">
        <f t="shared" si="3590"/>
        <v>5.0000000000000044E-2</v>
      </c>
      <c r="AR874" s="1565"/>
      <c r="AS874" s="1565"/>
      <c r="AT874" s="1565"/>
      <c r="AU874" s="1565"/>
      <c r="AV874" s="1565"/>
      <c r="AW874" s="1565"/>
      <c r="AX874" s="1565"/>
      <c r="AY874" s="1565"/>
      <c r="AZ874" s="1565"/>
      <c r="BA874" s="1565"/>
      <c r="BB874" s="1565"/>
      <c r="BC874" s="1565"/>
      <c r="BD874" s="1565"/>
      <c r="BE874" s="1565"/>
      <c r="BF874" s="1565"/>
      <c r="BG874" s="1565"/>
      <c r="BH874" s="1565"/>
      <c r="BI874" s="1565">
        <f t="shared" si="3585"/>
        <v>4.9749905878556433E-2</v>
      </c>
      <c r="BJ874" s="1565">
        <f t="shared" si="3585"/>
        <v>4.4932882467465962E-2</v>
      </c>
      <c r="BK874" s="1565">
        <f t="shared" si="3585"/>
        <v>9.3111056631527411E-2</v>
      </c>
      <c r="BL874" s="1565">
        <f t="shared" si="3585"/>
        <v>8.7018928859783351E-3</v>
      </c>
      <c r="BM874" s="1565">
        <f t="shared" si="3585"/>
        <v>0.10107612949128431</v>
      </c>
      <c r="BN874" s="1565">
        <f t="shared" si="3585"/>
        <v>-0.13017776993749863</v>
      </c>
      <c r="BO874" s="1565">
        <f t="shared" si="3585"/>
        <v>8.7474749780419581E-2</v>
      </c>
      <c r="BP874" s="1565">
        <f t="shared" si="3585"/>
        <v>3.9436342059351759E-2</v>
      </c>
      <c r="BT874" s="1518"/>
      <c r="BU874" s="1518"/>
      <c r="BV874" s="1518"/>
      <c r="BW874" s="1518"/>
      <c r="BX874" s="1518"/>
      <c r="BY874" s="1518"/>
      <c r="BZ874" s="1518"/>
      <c r="CA874" s="1518"/>
      <c r="CB874" s="1518"/>
      <c r="CC874" s="1518"/>
    </row>
    <row r="875" spans="2:81" s="1527" customFormat="1" outlineLevel="1">
      <c r="B875" s="1539" t="str">
        <f t="shared" si="3583"/>
        <v>Gaming</v>
      </c>
      <c r="D875" s="1565"/>
      <c r="E875" s="1565"/>
      <c r="F875" s="1565"/>
      <c r="G875" s="1565"/>
      <c r="H875" s="1565"/>
      <c r="I875" s="1565"/>
      <c r="J875" s="1565"/>
      <c r="K875" s="1565"/>
      <c r="L875" s="1565">
        <f t="shared" si="3586"/>
        <v>5.8355437665782439E-3</v>
      </c>
      <c r="M875" s="1565">
        <f t="shared" si="3586"/>
        <v>8.3771081006358772E-2</v>
      </c>
      <c r="N875" s="1565">
        <f t="shared" si="3586"/>
        <v>0.18100734522560336</v>
      </c>
      <c r="O875" s="1565">
        <f t="shared" si="3586"/>
        <v>0.39135727328058434</v>
      </c>
      <c r="P875" s="1565">
        <f t="shared" si="3586"/>
        <v>0.44409282700421948</v>
      </c>
      <c r="Q875" s="1565">
        <f t="shared" si="3586"/>
        <v>7.9591836734693944E-2</v>
      </c>
      <c r="R875" s="1565">
        <f t="shared" si="3586"/>
        <v>4.9755664149266909E-2</v>
      </c>
      <c r="S875" s="1565">
        <f t="shared" si="3586"/>
        <v>-0.10192475940507439</v>
      </c>
      <c r="T875" s="1565">
        <f t="shared" si="3586"/>
        <v>-7.1585098612125586E-2</v>
      </c>
      <c r="U875" s="1565">
        <f t="shared" si="3586"/>
        <v>-0.21384688090737236</v>
      </c>
      <c r="V875" s="1565">
        <f t="shared" si="3587"/>
        <v>-5.9246720270842435E-3</v>
      </c>
      <c r="W875" s="1565">
        <f t="shared" si="3587"/>
        <v>0.63516804676083782</v>
      </c>
      <c r="X875" s="1565">
        <f t="shared" si="3587"/>
        <v>0.21636506687647517</v>
      </c>
      <c r="Y875" s="1565">
        <f t="shared" si="3587"/>
        <v>0.51217312894499556</v>
      </c>
      <c r="Z875" s="1565">
        <f t="shared" si="3587"/>
        <v>0.5040442741592166</v>
      </c>
      <c r="AA875" s="1565">
        <f t="shared" si="3587"/>
        <v>0.10634495084897222</v>
      </c>
      <c r="AB875" s="1565">
        <f t="shared" si="3587"/>
        <v>0.16203104786545919</v>
      </c>
      <c r="AC875" s="1565">
        <f t="shared" si="3587"/>
        <v>8.1693500298151367E-2</v>
      </c>
      <c r="AD875" s="1565">
        <f t="shared" si="3587"/>
        <v>5.8590433059722669E-2</v>
      </c>
      <c r="AE875" s="1565">
        <f t="shared" si="3587"/>
        <v>-6.9736133548734536E-2</v>
      </c>
      <c r="AF875" s="1565">
        <f t="shared" si="3588"/>
        <v>4.7314222098524539E-3</v>
      </c>
      <c r="AG875" s="1565">
        <f t="shared" si="3588"/>
        <v>-0.1256890848952591</v>
      </c>
      <c r="AH875" s="1565">
        <f>+AH858</f>
        <v>-0.04</v>
      </c>
      <c r="AI875" s="1565">
        <f>+AI858</f>
        <v>0.01</v>
      </c>
      <c r="AJ875" s="1565">
        <f>+AJ858</f>
        <v>0.09</v>
      </c>
      <c r="AK875" s="1565">
        <f>+AK864/AG864-1</f>
        <v>5.2841530054644759E-2</v>
      </c>
      <c r="AL875" s="1565">
        <f>+AL864/AH864-1</f>
        <v>-3.8685383244206784E-2</v>
      </c>
      <c r="AM875" s="1565">
        <f>+AM864/AI864-1</f>
        <v>-4.1437434626241165E-2</v>
      </c>
      <c r="AN875" s="1526">
        <v>-0.1</v>
      </c>
      <c r="AO875" s="1526">
        <v>-7.0000000000000007E-2</v>
      </c>
      <c r="AP875" s="1526">
        <v>0.05</v>
      </c>
      <c r="AQ875" s="1526">
        <v>0.1</v>
      </c>
      <c r="AR875" s="1565"/>
      <c r="AS875" s="1565"/>
      <c r="AT875" s="1565"/>
      <c r="AU875" s="1565"/>
      <c r="AV875" s="1565"/>
      <c r="AW875" s="1565"/>
      <c r="AX875" s="1565"/>
      <c r="AY875" s="1565"/>
      <c r="AZ875" s="1565"/>
      <c r="BA875" s="1565"/>
      <c r="BB875" s="1565"/>
      <c r="BC875" s="1565"/>
      <c r="BD875" s="1565"/>
      <c r="BE875" s="1565"/>
      <c r="BF875" s="1565"/>
      <c r="BG875" s="1565"/>
      <c r="BH875" s="1565"/>
      <c r="BI875" s="1565">
        <f t="shared" si="3585"/>
        <v>0.14385150812064973</v>
      </c>
      <c r="BJ875" s="1565">
        <f t="shared" si="3585"/>
        <v>9.9777842171351327E-2</v>
      </c>
      <c r="BK875" s="1565">
        <f t="shared" si="3585"/>
        <v>1.6599332513613119E-2</v>
      </c>
      <c r="BL875" s="1565">
        <f t="shared" si="3585"/>
        <v>0.32786177105831538</v>
      </c>
      <c r="BM875" s="1565">
        <f t="shared" si="3585"/>
        <v>5.595315549772284E-2</v>
      </c>
      <c r="BN875" s="1565">
        <f t="shared" si="3585"/>
        <v>-4.8185459026494071E-2</v>
      </c>
      <c r="BO875" s="1565">
        <f t="shared" si="3585"/>
        <v>1.8955654310118808E-2</v>
      </c>
      <c r="BP875" s="1565">
        <f t="shared" si="3585"/>
        <v>-1.5061455674104107E-2</v>
      </c>
      <c r="BT875" s="1518"/>
      <c r="BU875" s="1518"/>
      <c r="BV875" s="1518"/>
      <c r="BW875" s="1518"/>
      <c r="BX875" s="1518"/>
      <c r="BY875" s="1518"/>
      <c r="BZ875" s="1518"/>
      <c r="CA875" s="1518"/>
      <c r="CB875" s="1518"/>
      <c r="CC875" s="1518"/>
    </row>
    <row r="876" spans="2:81" s="1527" customFormat="1" outlineLevel="1">
      <c r="B876" s="1539" t="str">
        <f t="shared" si="3583"/>
        <v>Search and Advertising</v>
      </c>
      <c r="D876" s="1565"/>
      <c r="E876" s="1565"/>
      <c r="F876" s="1565"/>
      <c r="G876" s="1565"/>
      <c r="H876" s="1565"/>
      <c r="I876" s="1565"/>
      <c r="J876" s="1565"/>
      <c r="K876" s="1565"/>
      <c r="L876" s="1565">
        <f t="shared" si="3586"/>
        <v>0.1469559132260323</v>
      </c>
      <c r="M876" s="1565">
        <f t="shared" si="3586"/>
        <v>0.13395638629283479</v>
      </c>
      <c r="N876" s="1565">
        <f t="shared" si="3586"/>
        <v>0.11569731081926204</v>
      </c>
      <c r="O876" s="1565">
        <f t="shared" si="3586"/>
        <v>0.11538461538461542</v>
      </c>
      <c r="P876" s="1565">
        <f t="shared" si="3586"/>
        <v>9.0909090909090828E-2</v>
      </c>
      <c r="Q876" s="1565">
        <f t="shared" si="3586"/>
        <v>8.5714285714285632E-2</v>
      </c>
      <c r="R876" s="1565">
        <f t="shared" si="3586"/>
        <v>7.1188340807174955E-2</v>
      </c>
      <c r="S876" s="1565">
        <f t="shared" si="3586"/>
        <v>0.10401356698699837</v>
      </c>
      <c r="T876" s="1565">
        <f t="shared" si="3586"/>
        <v>0.11353467561521247</v>
      </c>
      <c r="U876" s="1565">
        <f t="shared" si="3586"/>
        <v>9.4635627530364363E-2</v>
      </c>
      <c r="V876" s="1565">
        <f t="shared" si="3587"/>
        <v>3.9246467817896313E-2</v>
      </c>
      <c r="W876" s="1565">
        <f t="shared" si="3587"/>
        <v>-0.18074756784434198</v>
      </c>
      <c r="X876" s="1565">
        <f t="shared" si="3587"/>
        <v>-2.4108488196885935E-2</v>
      </c>
      <c r="Y876" s="1565">
        <f t="shared" si="3587"/>
        <v>0.10309754969949148</v>
      </c>
      <c r="Z876" s="1565">
        <f t="shared" si="3587"/>
        <v>0.20896273917421948</v>
      </c>
      <c r="AA876" s="1565">
        <f t="shared" si="3587"/>
        <v>0.58562500000000006</v>
      </c>
      <c r="AB876" s="1565">
        <f t="shared" si="3587"/>
        <v>0.36695831188883177</v>
      </c>
      <c r="AC876" s="1565">
        <f t="shared" si="3587"/>
        <v>0.28415758591785423</v>
      </c>
      <c r="AD876" s="1565">
        <f t="shared" si="3587"/>
        <v>0.2265722615576844</v>
      </c>
      <c r="AE876" s="1565">
        <f t="shared" si="3587"/>
        <v>0.15333070555774531</v>
      </c>
      <c r="AF876" s="1565">
        <f t="shared" si="3588"/>
        <v>0.10240963855421681</v>
      </c>
      <c r="AG876" s="1565">
        <f t="shared" si="3588"/>
        <v>5.1892950391644987E-2</v>
      </c>
      <c r="AH876" s="1565">
        <f t="shared" ref="AH876:AM876" si="3592">+AH839</f>
        <v>0.1</v>
      </c>
      <c r="AI876" s="1565">
        <f t="shared" si="3592"/>
        <v>0.08</v>
      </c>
      <c r="AJ876" s="1565">
        <f t="shared" si="3592"/>
        <v>0.1</v>
      </c>
      <c r="AK876" s="1565">
        <f t="shared" si="3592"/>
        <v>0.08</v>
      </c>
      <c r="AL876" s="1565">
        <f t="shared" si="3592"/>
        <v>0.12</v>
      </c>
      <c r="AM876" s="1565">
        <f t="shared" si="3592"/>
        <v>0.19</v>
      </c>
      <c r="AN876" s="1526">
        <v>0.16</v>
      </c>
      <c r="AO876" s="1526">
        <v>0.16</v>
      </c>
      <c r="AP876" s="1526">
        <v>0.16</v>
      </c>
      <c r="AQ876" s="1526">
        <v>0.1</v>
      </c>
      <c r="AR876" s="1565"/>
      <c r="AS876" s="1565"/>
      <c r="AT876" s="1565"/>
      <c r="AU876" s="1565"/>
      <c r="AV876" s="1565"/>
      <c r="AW876" s="1565"/>
      <c r="AX876" s="1565"/>
      <c r="AY876" s="1565"/>
      <c r="AZ876" s="1565"/>
      <c r="BA876" s="1565"/>
      <c r="BB876" s="1565"/>
      <c r="BC876" s="1565"/>
      <c r="BD876" s="1565"/>
      <c r="BE876" s="1565"/>
      <c r="BF876" s="1565"/>
      <c r="BG876" s="1565"/>
      <c r="BH876" s="1565"/>
      <c r="BI876" s="1565">
        <f t="shared" si="3585"/>
        <v>0.12751246181058051</v>
      </c>
      <c r="BJ876" s="1565">
        <f t="shared" si="3585"/>
        <v>8.7849401026811158E-2</v>
      </c>
      <c r="BK876" s="1565">
        <f t="shared" si="3585"/>
        <v>1.4682747771368687E-2</v>
      </c>
      <c r="BL876" s="1565">
        <f t="shared" si="3585"/>
        <v>0.19728682170542644</v>
      </c>
      <c r="BM876" s="1565">
        <f t="shared" si="3585"/>
        <v>0.25078234595877835</v>
      </c>
      <c r="BN876" s="1565">
        <f t="shared" si="3585"/>
        <v>8.2786644810628918E-2</v>
      </c>
      <c r="BO876" s="1565">
        <f t="shared" si="3585"/>
        <v>0.12268717461663137</v>
      </c>
      <c r="BP876" s="1565">
        <f t="shared" si="3585"/>
        <v>0.14398696210729733</v>
      </c>
      <c r="BT876" s="1300"/>
      <c r="BU876" s="1300"/>
      <c r="BV876" s="1300"/>
      <c r="BW876" s="1300"/>
      <c r="BX876" s="1300"/>
      <c r="BY876" s="1300"/>
      <c r="BZ876" s="1300"/>
      <c r="CA876" s="1300"/>
      <c r="CB876" s="1300"/>
      <c r="CC876" s="1300"/>
    </row>
    <row r="877" spans="2:81" s="1527" customFormat="1" ht="10.5" outlineLevel="1">
      <c r="B877" s="1539" t="str">
        <f t="shared" si="3583"/>
        <v>Surface and HW</v>
      </c>
      <c r="D877" s="1565"/>
      <c r="E877" s="1565"/>
      <c r="F877" s="1565"/>
      <c r="G877" s="1565"/>
      <c r="H877" s="1565"/>
      <c r="I877" s="1565"/>
      <c r="J877" s="1565"/>
      <c r="K877" s="1565"/>
      <c r="L877" s="1565">
        <f t="shared" si="3586"/>
        <v>-0.16550764951321284</v>
      </c>
      <c r="M877" s="1565">
        <f t="shared" si="3586"/>
        <v>-0.14554242749731472</v>
      </c>
      <c r="N877" s="1565">
        <f t="shared" si="3586"/>
        <v>0.24877089478859382</v>
      </c>
      <c r="O877" s="1565">
        <f t="shared" si="3586"/>
        <v>0.1956912028725315</v>
      </c>
      <c r="P877" s="1565">
        <f t="shared" si="3586"/>
        <v>9.9166666666666625E-2</v>
      </c>
      <c r="Q877" s="1565">
        <f t="shared" si="3586"/>
        <v>0.27404148334380896</v>
      </c>
      <c r="R877" s="1565">
        <f t="shared" si="3586"/>
        <v>0.15118110236220472</v>
      </c>
      <c r="S877" s="1565">
        <f t="shared" si="3586"/>
        <v>0.11186186186186187</v>
      </c>
      <c r="T877" s="1565">
        <f t="shared" si="3586"/>
        <v>-5.4586808188021196E-2</v>
      </c>
      <c r="U877" s="1565">
        <f t="shared" si="3586"/>
        <v>4.9827331031080391E-2</v>
      </c>
      <c r="V877" s="1565">
        <f t="shared" si="3587"/>
        <v>-1.3679890560875485E-2</v>
      </c>
      <c r="W877" s="1565">
        <f t="shared" si="3587"/>
        <v>0.2322754895340986</v>
      </c>
      <c r="X877" s="1565">
        <f t="shared" si="3587"/>
        <v>0.33360064153969526</v>
      </c>
      <c r="Y877" s="1565">
        <f t="shared" si="3587"/>
        <v>2.960526315789469E-2</v>
      </c>
      <c r="Z877" s="1565">
        <f t="shared" si="3587"/>
        <v>0.13661581137309287</v>
      </c>
      <c r="AA877" s="1565">
        <f t="shared" si="3587"/>
        <v>-0.19178082191780821</v>
      </c>
      <c r="AB877" s="1565">
        <f t="shared" si="3587"/>
        <v>-0.16476247745039085</v>
      </c>
      <c r="AC877" s="1565">
        <f t="shared" si="3587"/>
        <v>7.941579187585579E-2</v>
      </c>
      <c r="AD877" s="1565">
        <f t="shared" si="3587"/>
        <v>7.2605247101891424E-2</v>
      </c>
      <c r="AE877" s="1565">
        <f t="shared" si="3587"/>
        <v>5.8305084745762681E-2</v>
      </c>
      <c r="AF877" s="1565">
        <f t="shared" si="3588"/>
        <v>6.6234701223902182E-2</v>
      </c>
      <c r="AG877" s="1565">
        <f t="shared" si="3588"/>
        <v>-0.38773784355179708</v>
      </c>
      <c r="AH877" s="1565">
        <f t="shared" ref="AH877:AM877" si="3593">+AH866/AD866-1</f>
        <v>-0.39398352008181214</v>
      </c>
      <c r="AI877" s="1565">
        <f t="shared" si="3593"/>
        <v>-0.22906803989351032</v>
      </c>
      <c r="AJ877" s="1565">
        <f t="shared" si="3593"/>
        <v>-0.3967755162839246</v>
      </c>
      <c r="AK877" s="1565">
        <f t="shared" si="3593"/>
        <v>-0.29112394048381862</v>
      </c>
      <c r="AL877" s="1565">
        <f t="shared" si="3593"/>
        <v>-0.5103052566173466</v>
      </c>
      <c r="AM877" s="1565">
        <f t="shared" si="3593"/>
        <v>-0.49507361883920609</v>
      </c>
      <c r="AN877" s="1526">
        <v>-0.25</v>
      </c>
      <c r="AO877" s="1526">
        <v>-0.3</v>
      </c>
      <c r="AP877" s="1526">
        <v>-0.05</v>
      </c>
      <c r="AQ877" s="1526">
        <v>0</v>
      </c>
      <c r="AR877" s="1565"/>
      <c r="AS877" s="1565"/>
      <c r="AT877" s="1565"/>
      <c r="AU877" s="1565"/>
      <c r="AV877" s="1565"/>
      <c r="AW877" s="1565"/>
      <c r="AX877" s="1565"/>
      <c r="AY877" s="1565"/>
      <c r="AZ877" s="1565"/>
      <c r="BA877" s="1565"/>
      <c r="BB877" s="1565"/>
      <c r="BC877" s="1565"/>
      <c r="BD877" s="1565"/>
      <c r="BE877" s="1565"/>
      <c r="BF877" s="1565"/>
      <c r="BG877" s="1565"/>
      <c r="BH877" s="1565"/>
      <c r="BI877" s="1565">
        <f t="shared" si="3585"/>
        <v>-6.9968698213956904E-3</v>
      </c>
      <c r="BJ877" s="1565">
        <f t="shared" si="3585"/>
        <v>0.1661412942703504</v>
      </c>
      <c r="BK877" s="1565">
        <f t="shared" si="3585"/>
        <v>5.6129750357767572E-2</v>
      </c>
      <c r="BL877" s="1565">
        <f t="shared" si="3585"/>
        <v>4.9081601927130292E-2</v>
      </c>
      <c r="BM877" s="1565">
        <f t="shared" si="3585"/>
        <v>1.5068886337542997E-2</v>
      </c>
      <c r="BN877" s="1565">
        <f t="shared" si="3585"/>
        <v>-0.26512063319349577</v>
      </c>
      <c r="BO877" s="1565">
        <f t="shared" si="3585"/>
        <v>-0.41337154409584165</v>
      </c>
      <c r="BP877" s="1565">
        <f t="shared" si="3585"/>
        <v>-0.18279189455629896</v>
      </c>
      <c r="BT877" s="1558"/>
      <c r="BU877" s="1558"/>
      <c r="BV877" s="1558"/>
      <c r="BW877" s="1558"/>
      <c r="BX877" s="1558"/>
      <c r="BY877" s="1558"/>
      <c r="BZ877" s="1558"/>
      <c r="CA877" s="1558"/>
      <c r="CB877" s="1558"/>
      <c r="CC877" s="1558"/>
    </row>
    <row r="878" spans="2:81" s="1530" customFormat="1" ht="11.45" outlineLevel="1">
      <c r="B878" s="1539" t="str">
        <f t="shared" si="3583"/>
        <v>ATVI</v>
      </c>
      <c r="D878" s="1567"/>
      <c r="E878" s="1567"/>
      <c r="F878" s="1567"/>
      <c r="G878" s="1567"/>
      <c r="H878" s="1567"/>
      <c r="I878" s="1567"/>
      <c r="J878" s="1567"/>
      <c r="K878" s="1567"/>
      <c r="L878" s="1567"/>
      <c r="M878" s="1567"/>
      <c r="N878" s="1567"/>
      <c r="O878" s="1567"/>
      <c r="P878" s="1567"/>
      <c r="Q878" s="1567"/>
      <c r="R878" s="1567"/>
      <c r="S878" s="1567"/>
      <c r="T878" s="1567">
        <v>0</v>
      </c>
      <c r="U878" s="1567">
        <v>0</v>
      </c>
      <c r="V878" s="1567">
        <v>0</v>
      </c>
      <c r="W878" s="1567">
        <v>0</v>
      </c>
      <c r="X878" s="1567">
        <v>0</v>
      </c>
      <c r="Y878" s="1567">
        <v>0</v>
      </c>
      <c r="Z878" s="1567">
        <v>0</v>
      </c>
      <c r="AA878" s="1567">
        <v>0</v>
      </c>
      <c r="AB878" s="1567">
        <v>0</v>
      </c>
      <c r="AC878" s="1567">
        <v>0</v>
      </c>
      <c r="AD878" s="1567">
        <v>0</v>
      </c>
      <c r="AE878" s="1567">
        <v>0</v>
      </c>
      <c r="AF878" s="1567">
        <v>0</v>
      </c>
      <c r="AG878" s="1567">
        <v>0</v>
      </c>
      <c r="AH878" s="1567">
        <v>0</v>
      </c>
      <c r="AI878" s="1567">
        <v>0</v>
      </c>
      <c r="AJ878" s="1567">
        <v>0</v>
      </c>
      <c r="AK878" s="1567">
        <v>0</v>
      </c>
      <c r="AL878" s="1567">
        <v>0</v>
      </c>
      <c r="AM878" s="1567">
        <v>0</v>
      </c>
      <c r="AN878" s="1567" t="s">
        <v>273</v>
      </c>
      <c r="AO878" s="1567">
        <f>+AO867/AK867-1</f>
        <v>8.0000000000000071E-2</v>
      </c>
      <c r="AP878" s="1568">
        <v>0.08</v>
      </c>
      <c r="AQ878" s="1568">
        <v>0.08</v>
      </c>
      <c r="AR878" s="1567"/>
      <c r="AS878" s="1567"/>
      <c r="AT878" s="1567"/>
      <c r="AU878" s="1567"/>
      <c r="AV878" s="1567"/>
      <c r="AW878" s="1567"/>
      <c r="AX878" s="1567"/>
      <c r="AY878" s="1567"/>
      <c r="AZ878" s="1567"/>
      <c r="BA878" s="1567"/>
      <c r="BB878" s="1567"/>
      <c r="BC878" s="1567"/>
      <c r="BD878" s="1567"/>
      <c r="BE878" s="1567"/>
      <c r="BF878" s="1567"/>
      <c r="BG878" s="1567"/>
      <c r="BH878" s="1567"/>
      <c r="BI878" s="1567">
        <v>0</v>
      </c>
      <c r="BJ878" s="1567">
        <v>0</v>
      </c>
      <c r="BK878" s="1567">
        <v>0</v>
      </c>
      <c r="BL878" s="1567">
        <v>0</v>
      </c>
      <c r="BM878" s="1567">
        <v>0</v>
      </c>
      <c r="BN878" s="1567">
        <v>0</v>
      </c>
      <c r="BO878" s="1567" t="s">
        <v>273</v>
      </c>
      <c r="BP878" s="1567" t="s">
        <v>273</v>
      </c>
      <c r="BT878" s="1518"/>
      <c r="BU878" s="1518"/>
      <c r="BV878" s="1518"/>
      <c r="BW878" s="1518"/>
      <c r="BX878" s="1518"/>
      <c r="BY878" s="1518"/>
      <c r="BZ878" s="1518"/>
      <c r="CA878" s="1518"/>
      <c r="CB878" s="1518"/>
      <c r="CC878" s="1518"/>
    </row>
    <row r="879" spans="2:81" s="1535" customFormat="1" outlineLevel="1">
      <c r="B879" s="1569" t="str">
        <f t="shared" si="3583"/>
        <v xml:space="preserve">Total MPC Revenue </v>
      </c>
      <c r="D879" s="1570"/>
      <c r="E879" s="1570"/>
      <c r="F879" s="1570"/>
      <c r="G879" s="1570"/>
      <c r="H879" s="1570"/>
      <c r="I879" s="1570"/>
      <c r="J879" s="1570"/>
      <c r="K879" s="1570"/>
      <c r="L879" s="1570">
        <f t="shared" ref="L879:AN879" si="3594">+L868/H868-1</f>
        <v>-1.8094731240021478E-3</v>
      </c>
      <c r="M879" s="1570">
        <f t="shared" si="3594"/>
        <v>2.3635293128101642E-2</v>
      </c>
      <c r="N879" s="1570">
        <f t="shared" si="3594"/>
        <v>0.13014245014245018</v>
      </c>
      <c r="O879" s="1570">
        <f t="shared" si="3594"/>
        <v>0.17065511640498099</v>
      </c>
      <c r="P879" s="1570">
        <f t="shared" si="3594"/>
        <v>0.14587332053742808</v>
      </c>
      <c r="Q879" s="1570">
        <f t="shared" si="3594"/>
        <v>6.7625308134757534E-2</v>
      </c>
      <c r="R879" s="1570">
        <f t="shared" si="3594"/>
        <v>7.6938590299485687E-2</v>
      </c>
      <c r="S879" s="1570">
        <f t="shared" si="3594"/>
        <v>4.328924243825738E-2</v>
      </c>
      <c r="T879" s="1570">
        <f t="shared" si="3594"/>
        <v>3.6013400335008328E-2</v>
      </c>
      <c r="U879" s="1570">
        <f t="shared" si="3594"/>
        <v>1.677826521973369E-2</v>
      </c>
      <c r="V879" s="1570">
        <f t="shared" si="3594"/>
        <v>2.9681647940074996E-2</v>
      </c>
      <c r="W879" s="1570">
        <f t="shared" si="3594"/>
        <v>0.14460501817537019</v>
      </c>
      <c r="X879" s="1570">
        <f t="shared" si="3594"/>
        <v>6.4313302793496785E-2</v>
      </c>
      <c r="Y879" s="1570">
        <f t="shared" si="3594"/>
        <v>0.14465218378623868</v>
      </c>
      <c r="Z879" s="1570">
        <f t="shared" si="3594"/>
        <v>0.18541420387378382</v>
      </c>
      <c r="AA879" s="1570">
        <f t="shared" si="3594"/>
        <v>9.1092176607281194E-2</v>
      </c>
      <c r="AB879" s="1570">
        <f t="shared" si="3594"/>
        <v>0.12363912566461299</v>
      </c>
      <c r="AC879" s="1570">
        <f t="shared" si="3594"/>
        <v>0.15493982277476515</v>
      </c>
      <c r="AD879" s="1570">
        <f t="shared" si="3594"/>
        <v>0.11383860079779073</v>
      </c>
      <c r="AE879" s="1570">
        <f t="shared" si="3594"/>
        <v>1.9167968195371365E-2</v>
      </c>
      <c r="AF879" s="1570">
        <f t="shared" si="3594"/>
        <v>1.3519603424965165E-3</v>
      </c>
      <c r="AG879" s="1570">
        <f t="shared" si="3594"/>
        <v>-0.18482679645004296</v>
      </c>
      <c r="AH879" s="1570">
        <f t="shared" si="3594"/>
        <v>-8.6776859504132275E-2</v>
      </c>
      <c r="AI879" s="1570">
        <f t="shared" si="3594"/>
        <v>-3.1415436054611279E-2</v>
      </c>
      <c r="AJ879" s="1570">
        <f t="shared" si="3594"/>
        <v>2.5052505250525048E-2</v>
      </c>
      <c r="AK879" s="1570">
        <f t="shared" si="3594"/>
        <v>0.1864156774601391</v>
      </c>
      <c r="AL879" s="1570">
        <f t="shared" si="3594"/>
        <v>0.17496229260935148</v>
      </c>
      <c r="AM879" s="1570">
        <f t="shared" si="3594"/>
        <v>0.14311398777418205</v>
      </c>
      <c r="AN879" s="1570">
        <f t="shared" si="3594"/>
        <v>0.12956033698659986</v>
      </c>
      <c r="AO879" s="1570">
        <f>+AO868/AK868-1</f>
        <v>1.0704155786224856E-2</v>
      </c>
      <c r="AP879" s="1570">
        <f>+AP868/AL868-1</f>
        <v>7.6061325399483071E-2</v>
      </c>
      <c r="AQ879" s="1570">
        <f>+AQ868/AM868-1</f>
        <v>7.3610589103253909E-2</v>
      </c>
      <c r="AR879" s="1570"/>
      <c r="AS879" s="1570"/>
      <c r="AT879" s="1570"/>
      <c r="AU879" s="1570"/>
      <c r="AV879" s="1570"/>
      <c r="AW879" s="1570"/>
      <c r="AX879" s="1570"/>
      <c r="AY879" s="1570"/>
      <c r="AZ879" s="1570"/>
      <c r="BA879" s="1570"/>
      <c r="BB879" s="1570"/>
      <c r="BC879" s="1570"/>
      <c r="BD879" s="1570"/>
      <c r="BE879" s="1570"/>
      <c r="BF879" s="1570"/>
      <c r="BG879" s="1570"/>
      <c r="BH879" s="1570"/>
      <c r="BI879" s="1570">
        <f t="shared" ref="BI879:BP879" si="3595">+BI868/BH868-1</f>
        <v>7.5889448770804613E-2</v>
      </c>
      <c r="BJ879" s="1570">
        <f t="shared" si="3595"/>
        <v>8.0944270981171407E-2</v>
      </c>
      <c r="BK879" s="1570">
        <f t="shared" si="3595"/>
        <v>5.5866777539498536E-2</v>
      </c>
      <c r="BL879" s="1570">
        <f t="shared" si="3595"/>
        <v>0.12107521087645856</v>
      </c>
      <c r="BM879" s="1570">
        <f t="shared" si="3595"/>
        <v>0.10282291608895799</v>
      </c>
      <c r="BN879" s="1570">
        <f t="shared" si="3595"/>
        <v>-8.2490989858352237E-2</v>
      </c>
      <c r="BO879" s="1570">
        <f t="shared" si="3595"/>
        <v>0.133335769357255</v>
      </c>
      <c r="BP879" s="1570">
        <f t="shared" si="3595"/>
        <v>6.9423059455831826E-2</v>
      </c>
      <c r="BT879" s="1527"/>
      <c r="BU879" s="1527"/>
      <c r="BV879" s="1527"/>
      <c r="BW879" s="1527"/>
      <c r="BX879" s="1527"/>
      <c r="BY879" s="1527"/>
      <c r="BZ879" s="1527"/>
      <c r="CA879" s="1527"/>
      <c r="CB879" s="1527"/>
      <c r="CC879" s="1527"/>
    </row>
    <row r="880" spans="2:81" s="1535" customFormat="1" hidden="1" outlineLevel="2">
      <c r="B880" s="1569" t="s">
        <v>496</v>
      </c>
      <c r="D880" s="1570"/>
      <c r="E880" s="1570"/>
      <c r="F880" s="1570"/>
      <c r="G880" s="1570"/>
      <c r="H880" s="1570"/>
      <c r="I880" s="1570"/>
      <c r="J880" s="1570"/>
      <c r="K880" s="1570"/>
      <c r="L880" s="1570">
        <f t="shared" ref="L880:AQ880" si="3596">+L869/H869-1</f>
        <v>8.8848985607998809E-3</v>
      </c>
      <c r="M880" s="1570">
        <f t="shared" si="3596"/>
        <v>3.5120807467288184E-2</v>
      </c>
      <c r="N880" s="1570">
        <f t="shared" si="3596"/>
        <v>0.12378927106900073</v>
      </c>
      <c r="O880" s="1570">
        <f t="shared" si="3596"/>
        <v>0.17291112092359096</v>
      </c>
      <c r="P880" s="1570">
        <f t="shared" si="3596"/>
        <v>0.15355816742027928</v>
      </c>
      <c r="Q880" s="1570">
        <f t="shared" si="3596"/>
        <v>7.0040274971092886E-2</v>
      </c>
      <c r="R880" s="1570">
        <f t="shared" si="3596"/>
        <v>8.32881254388671E-2</v>
      </c>
      <c r="S880" s="1570">
        <f t="shared" si="3596"/>
        <v>4.4973437860586829E-2</v>
      </c>
      <c r="T880" s="1570">
        <f t="shared" si="3596"/>
        <v>2.4179983662295568E-2</v>
      </c>
      <c r="U880" s="1570">
        <f t="shared" si="3596"/>
        <v>-6.7156157890848611E-3</v>
      </c>
      <c r="V880" s="1570">
        <f t="shared" si="3596"/>
        <v>3.4850912244479559E-3</v>
      </c>
      <c r="W880" s="1570">
        <f t="shared" si="3596"/>
        <v>0.16168490663671431</v>
      </c>
      <c r="X880" s="1570">
        <f t="shared" si="3596"/>
        <v>8.1251770841399784E-2</v>
      </c>
      <c r="Y880" s="1570">
        <f t="shared" si="3596"/>
        <v>0.18339309867840448</v>
      </c>
      <c r="Z880" s="1570">
        <f t="shared" si="3596"/>
        <v>0.23851315951170626</v>
      </c>
      <c r="AA880" s="1570">
        <f t="shared" si="3596"/>
        <v>9.1432476952213459E-2</v>
      </c>
      <c r="AB880" s="1570">
        <f t="shared" si="3596"/>
        <v>0.12658906742236864</v>
      </c>
      <c r="AC880" s="1570">
        <f t="shared" si="3596"/>
        <v>0.16152467493218459</v>
      </c>
      <c r="AD880" s="1570">
        <f t="shared" si="3596"/>
        <v>0.11255923780465271</v>
      </c>
      <c r="AE880" s="1570">
        <f t="shared" si="3596"/>
        <v>1.2013480880094685E-2</v>
      </c>
      <c r="AF880" s="1570">
        <f t="shared" si="3596"/>
        <v>-1.2855699009776234E-2</v>
      </c>
      <c r="AG880" s="1570">
        <f t="shared" si="3596"/>
        <v>-0.20627117961818431</v>
      </c>
      <c r="AH880" s="1570">
        <f t="shared" si="3596"/>
        <v>-0.13068787183020125</v>
      </c>
      <c r="AI880" s="1570">
        <f t="shared" si="3596"/>
        <v>-4.4496221519498724E-2</v>
      </c>
      <c r="AJ880" s="1570">
        <f t="shared" si="3596"/>
        <v>1.3686292570834091E-2</v>
      </c>
      <c r="AK880" s="1570">
        <f t="shared" si="3596"/>
        <v>0.20337471530816287</v>
      </c>
      <c r="AL880" s="1570">
        <f t="shared" si="3596"/>
        <v>0.18637929975839262</v>
      </c>
      <c r="AM880" s="1570">
        <f t="shared" si="3596"/>
        <v>0.15210729741782569</v>
      </c>
      <c r="AN880" s="1570">
        <f t="shared" si="3596"/>
        <v>0.1418541838796521</v>
      </c>
      <c r="AO880" s="1570">
        <f t="shared" si="3596"/>
        <v>4.4434140128759569E-3</v>
      </c>
      <c r="AP880" s="1570">
        <f t="shared" si="3596"/>
        <v>8.236444005694854E-2</v>
      </c>
      <c r="AQ880" s="1570">
        <f t="shared" si="3596"/>
        <v>7.9788546898237778E-2</v>
      </c>
      <c r="AR880" s="1570"/>
      <c r="AS880" s="1570"/>
      <c r="AT880" s="1570"/>
      <c r="AU880" s="1570"/>
      <c r="AV880" s="1570"/>
      <c r="AW880" s="1570"/>
      <c r="AX880" s="1570"/>
      <c r="AY880" s="1570"/>
      <c r="AZ880" s="1570"/>
      <c r="BA880" s="1570"/>
      <c r="BB880" s="1570"/>
      <c r="BC880" s="1570"/>
      <c r="BD880" s="1570"/>
      <c r="BE880" s="1570"/>
      <c r="BF880" s="1570"/>
      <c r="BG880" s="1570"/>
      <c r="BH880" s="1570"/>
      <c r="BI880" s="1570">
        <f t="shared" ref="BI880:BP880" si="3597">+BI869/BH869-1</f>
        <v>7.9744702148289992E-2</v>
      </c>
      <c r="BJ880" s="1570">
        <f t="shared" si="3597"/>
        <v>8.561270223647699E-2</v>
      </c>
      <c r="BK880" s="1570">
        <f t="shared" si="3597"/>
        <v>4.2647919369076304E-2</v>
      </c>
      <c r="BL880" s="1570">
        <f t="shared" si="3597"/>
        <v>0.14781068139285991</v>
      </c>
      <c r="BM880" s="1570">
        <f t="shared" si="3597"/>
        <v>0.10473237878671227</v>
      </c>
      <c r="BN880" s="1570">
        <f t="shared" si="3597"/>
        <v>-0.10767030798927057</v>
      </c>
      <c r="BO880" s="1570">
        <f t="shared" si="3597"/>
        <v>0.13988302353812676</v>
      </c>
      <c r="BP880" s="1570">
        <f t="shared" si="3597"/>
        <v>7.2512770626327994E-2</v>
      </c>
      <c r="BT880" s="1527"/>
      <c r="BU880" s="1527"/>
      <c r="BV880" s="1527"/>
      <c r="BW880" s="1527"/>
      <c r="BX880" s="1527"/>
      <c r="BY880" s="1527"/>
      <c r="BZ880" s="1527"/>
      <c r="CA880" s="1527"/>
      <c r="CB880" s="1527"/>
      <c r="CC880" s="1527"/>
    </row>
    <row r="881" spans="2:81" s="1535" customFormat="1" hidden="1" outlineLevel="2">
      <c r="B881" s="1569"/>
      <c r="D881" s="1570"/>
      <c r="E881" s="1570"/>
      <c r="F881" s="1570"/>
      <c r="G881" s="1570"/>
      <c r="H881" s="1570"/>
      <c r="I881" s="1570"/>
      <c r="J881" s="1570"/>
      <c r="K881" s="1570"/>
      <c r="L881" s="1570"/>
      <c r="M881" s="1570"/>
      <c r="N881" s="1570"/>
      <c r="O881" s="1570"/>
      <c r="P881" s="1570"/>
      <c r="Q881" s="1570"/>
      <c r="R881" s="1570"/>
      <c r="S881" s="1570"/>
      <c r="T881" s="1570"/>
      <c r="U881" s="1570"/>
      <c r="V881" s="1570"/>
      <c r="W881" s="1570"/>
      <c r="X881" s="1570"/>
      <c r="Y881" s="1570"/>
      <c r="Z881" s="1570"/>
      <c r="AA881" s="1570"/>
      <c r="AB881" s="1570"/>
      <c r="AC881" s="1570"/>
      <c r="AD881" s="1570"/>
      <c r="AE881" s="1570"/>
      <c r="AF881" s="1570"/>
      <c r="AG881" s="1570"/>
      <c r="AH881" s="1570"/>
      <c r="AI881" s="1570"/>
      <c r="AJ881" s="1570"/>
      <c r="AK881" s="1570"/>
      <c r="AL881" s="1570"/>
      <c r="AM881" s="1570"/>
      <c r="AN881" s="1570"/>
      <c r="AO881" s="1570"/>
      <c r="AP881" s="1570"/>
      <c r="AQ881" s="1570"/>
      <c r="AR881" s="1570"/>
      <c r="AS881" s="1570"/>
      <c r="AT881" s="1570"/>
      <c r="AU881" s="1570"/>
      <c r="AV881" s="1570"/>
      <c r="AW881" s="1570"/>
      <c r="AX881" s="1570"/>
      <c r="AY881" s="1570"/>
      <c r="AZ881" s="1570"/>
      <c r="BA881" s="1570"/>
      <c r="BB881" s="1570"/>
      <c r="BC881" s="1570"/>
      <c r="BD881" s="1570"/>
      <c r="BE881" s="1570"/>
      <c r="BF881" s="1570"/>
      <c r="BG881" s="1570"/>
      <c r="BH881" s="1570"/>
      <c r="BI881" s="1570"/>
      <c r="BJ881" s="1570"/>
      <c r="BK881" s="1570"/>
      <c r="BL881" s="1570"/>
      <c r="BM881" s="1570"/>
      <c r="BN881" s="1570"/>
      <c r="BO881" s="1570"/>
      <c r="BP881" s="1570"/>
      <c r="BT881" s="1527"/>
      <c r="BU881" s="1527"/>
      <c r="BV881" s="1527"/>
      <c r="BW881" s="1527"/>
      <c r="BX881" s="1527"/>
      <c r="BY881" s="1527"/>
      <c r="BZ881" s="1527"/>
      <c r="CA881" s="1527"/>
      <c r="CB881" s="1527"/>
      <c r="CC881" s="1527"/>
    </row>
    <row r="882" spans="2:81" s="1535" customFormat="1" outlineLevel="1" collapsed="1">
      <c r="B882" s="1569" t="s">
        <v>465</v>
      </c>
      <c r="C882" s="1570"/>
      <c r="D882" s="1570">
        <f t="shared" ref="D882:S882" si="3598">+D879</f>
        <v>0</v>
      </c>
      <c r="E882" s="1570">
        <f t="shared" si="3598"/>
        <v>0</v>
      </c>
      <c r="F882" s="1570">
        <f t="shared" si="3598"/>
        <v>0</v>
      </c>
      <c r="G882" s="1570">
        <f t="shared" si="3598"/>
        <v>0</v>
      </c>
      <c r="H882" s="1570">
        <f t="shared" si="3598"/>
        <v>0</v>
      </c>
      <c r="I882" s="1570">
        <f t="shared" si="3598"/>
        <v>0</v>
      </c>
      <c r="J882" s="1570">
        <f t="shared" si="3598"/>
        <v>0</v>
      </c>
      <c r="K882" s="1570">
        <f t="shared" si="3598"/>
        <v>0</v>
      </c>
      <c r="L882" s="1570">
        <f t="shared" si="3598"/>
        <v>-1.8094731240021478E-3</v>
      </c>
      <c r="M882" s="1570">
        <f t="shared" si="3598"/>
        <v>2.3635293128101642E-2</v>
      </c>
      <c r="N882" s="1570">
        <f t="shared" si="3598"/>
        <v>0.13014245014245018</v>
      </c>
      <c r="O882" s="1570">
        <f t="shared" si="3598"/>
        <v>0.17065511640498099</v>
      </c>
      <c r="P882" s="1570">
        <f t="shared" si="3598"/>
        <v>0.14587332053742808</v>
      </c>
      <c r="Q882" s="1570">
        <f t="shared" si="3598"/>
        <v>6.7625308134757534E-2</v>
      </c>
      <c r="R882" s="1570">
        <f t="shared" si="3598"/>
        <v>7.6938590299485687E-2</v>
      </c>
      <c r="S882" s="1570">
        <f t="shared" si="3598"/>
        <v>4.328924243825738E-2</v>
      </c>
      <c r="T882" s="1570">
        <f>+T879</f>
        <v>3.6013400335008328E-2</v>
      </c>
      <c r="U882" s="1570">
        <f t="shared" ref="U882:AI882" si="3599">+U879</f>
        <v>1.677826521973369E-2</v>
      </c>
      <c r="V882" s="1570">
        <f t="shared" si="3599"/>
        <v>2.9681647940074996E-2</v>
      </c>
      <c r="W882" s="1570">
        <f t="shared" si="3599"/>
        <v>0.14460501817537019</v>
      </c>
      <c r="X882" s="1570">
        <f t="shared" si="3599"/>
        <v>6.4313302793496785E-2</v>
      </c>
      <c r="Y882" s="1570">
        <f t="shared" si="3599"/>
        <v>0.14465218378623868</v>
      </c>
      <c r="Z882" s="1570">
        <f t="shared" si="3599"/>
        <v>0.18541420387378382</v>
      </c>
      <c r="AA882" s="1570">
        <f t="shared" si="3599"/>
        <v>9.1092176607281194E-2</v>
      </c>
      <c r="AB882" s="1570">
        <f t="shared" si="3599"/>
        <v>0.12363912566461299</v>
      </c>
      <c r="AC882" s="1570">
        <f t="shared" si="3599"/>
        <v>0.15493982277476515</v>
      </c>
      <c r="AD882" s="1570">
        <f t="shared" si="3599"/>
        <v>0.11383860079779073</v>
      </c>
      <c r="AE882" s="1570">
        <f t="shared" si="3599"/>
        <v>1.9167968195371365E-2</v>
      </c>
      <c r="AF882" s="1570">
        <f t="shared" si="3599"/>
        <v>1.3519603424965165E-3</v>
      </c>
      <c r="AG882" s="1570">
        <f t="shared" si="3599"/>
        <v>-0.18482679645004296</v>
      </c>
      <c r="AH882" s="1570">
        <f t="shared" si="3599"/>
        <v>-8.6776859504132275E-2</v>
      </c>
      <c r="AI882" s="1570">
        <f t="shared" si="3599"/>
        <v>-3.1415436054611279E-2</v>
      </c>
      <c r="AJ882" s="1570">
        <f t="shared" ref="AJ882:AN882" si="3600">+(AJ868-AJ867)/(AF868-AF867)-1</f>
        <v>2.5052505250525048E-2</v>
      </c>
      <c r="AK882" s="1570">
        <f t="shared" si="3600"/>
        <v>4.0317482615719547E-2</v>
      </c>
      <c r="AL882" s="1570">
        <f t="shared" si="3600"/>
        <v>2.639517345399689E-2</v>
      </c>
      <c r="AM882" s="1570">
        <f t="shared" si="3600"/>
        <v>2.2294138798993224E-2</v>
      </c>
      <c r="AN882" s="1570">
        <f t="shared" si="3600"/>
        <v>5.8957679832338794E-3</v>
      </c>
      <c r="AO882" s="1570">
        <f>+(AO868-AO867)/(AK868-AK867)-1</f>
        <v>9.7251336068637784E-4</v>
      </c>
      <c r="AP882" s="1570">
        <f>+(AP868-AP867)/(AL868-AL867)-1</f>
        <v>7.5491215997350869E-2</v>
      </c>
      <c r="AQ882" s="1570">
        <f>+(AQ868-AQ867)/(AM868-AM867)-1</f>
        <v>7.2855456475288127E-2</v>
      </c>
      <c r="AR882" s="1570"/>
      <c r="AS882" s="1570"/>
      <c r="AT882" s="1570"/>
      <c r="AU882" s="1570"/>
      <c r="AV882" s="1570"/>
      <c r="AW882" s="1570"/>
      <c r="AX882" s="1570"/>
      <c r="AY882" s="1570"/>
      <c r="AZ882" s="1570"/>
      <c r="BA882" s="1570"/>
      <c r="BB882" s="1570"/>
      <c r="BC882" s="1570"/>
      <c r="BD882" s="1570"/>
      <c r="BE882" s="1570"/>
      <c r="BF882" s="1570"/>
      <c r="BG882" s="1570"/>
      <c r="BH882" s="1570"/>
      <c r="BI882" s="1570">
        <f t="shared" ref="BI882:BM882" si="3601">+BI879</f>
        <v>7.5889448770804613E-2</v>
      </c>
      <c r="BJ882" s="1570">
        <f t="shared" si="3601"/>
        <v>8.0944270981171407E-2</v>
      </c>
      <c r="BK882" s="1570">
        <f t="shared" si="3601"/>
        <v>5.5866777539498536E-2</v>
      </c>
      <c r="BL882" s="1570">
        <f t="shared" si="3601"/>
        <v>0.12107521087645856</v>
      </c>
      <c r="BM882" s="1570">
        <f t="shared" si="3601"/>
        <v>0.10282291608895799</v>
      </c>
      <c r="BN882" s="1570">
        <f>+BN879</f>
        <v>-8.2490989858352237E-2</v>
      </c>
      <c r="BO882" s="1570">
        <f>+(BO868-BO867)/(BN868-BN867)-1</f>
        <v>2.8647641319837769E-2</v>
      </c>
      <c r="BP882" s="1570">
        <f>+(BP868-BP867)/(BO868-BO867)-1</f>
        <v>3.8329921213529961E-2</v>
      </c>
    </row>
    <row r="883" spans="2:81" s="1535" customFormat="1" hidden="1" outlineLevel="2">
      <c r="B883" s="1569" t="s">
        <v>497</v>
      </c>
      <c r="C883" s="1570"/>
      <c r="D883" s="1570"/>
      <c r="E883" s="1570"/>
      <c r="F883" s="1570"/>
      <c r="G883" s="1570"/>
      <c r="H883" s="1570"/>
      <c r="I883" s="1570"/>
      <c r="J883" s="1570"/>
      <c r="K883" s="1570"/>
      <c r="L883" s="1570">
        <f t="shared" ref="L883:AP883" si="3602">+(L868-L867-L861)/(H868-H867-H861)-1</f>
        <v>8.8848985607998809E-3</v>
      </c>
      <c r="M883" s="1570">
        <f t="shared" si="3602"/>
        <v>3.5120807467288184E-2</v>
      </c>
      <c r="N883" s="1570">
        <f t="shared" si="3602"/>
        <v>0.12378927106900073</v>
      </c>
      <c r="O883" s="1570">
        <f t="shared" si="3602"/>
        <v>0.17291112092359096</v>
      </c>
      <c r="P883" s="1570">
        <f t="shared" si="3602"/>
        <v>0.15355816742027928</v>
      </c>
      <c r="Q883" s="1570">
        <f t="shared" si="3602"/>
        <v>7.0040274971092886E-2</v>
      </c>
      <c r="R883" s="1570">
        <f t="shared" si="3602"/>
        <v>8.32881254388671E-2</v>
      </c>
      <c r="S883" s="1570">
        <f t="shared" si="3602"/>
        <v>4.4973437860586829E-2</v>
      </c>
      <c r="T883" s="1570">
        <f t="shared" si="3602"/>
        <v>2.4179983662295568E-2</v>
      </c>
      <c r="U883" s="1570">
        <f t="shared" si="3602"/>
        <v>-6.7156157890848611E-3</v>
      </c>
      <c r="V883" s="1570">
        <f t="shared" si="3602"/>
        <v>3.4850912244479559E-3</v>
      </c>
      <c r="W883" s="1570">
        <f t="shared" si="3602"/>
        <v>0.16168490663671431</v>
      </c>
      <c r="X883" s="1570">
        <f t="shared" si="3602"/>
        <v>8.1251770841399784E-2</v>
      </c>
      <c r="Y883" s="1570">
        <f t="shared" si="3602"/>
        <v>0.18339309867840448</v>
      </c>
      <c r="Z883" s="1570">
        <f t="shared" si="3602"/>
        <v>0.23851315951170626</v>
      </c>
      <c r="AA883" s="1570">
        <f t="shared" si="3602"/>
        <v>9.1432476952213459E-2</v>
      </c>
      <c r="AB883" s="1570">
        <f t="shared" si="3602"/>
        <v>0.12658906742236864</v>
      </c>
      <c r="AC883" s="1570">
        <f t="shared" si="3602"/>
        <v>0.16152467493218459</v>
      </c>
      <c r="AD883" s="1570">
        <f t="shared" si="3602"/>
        <v>0.11255923780465271</v>
      </c>
      <c r="AE883" s="1570">
        <f t="shared" si="3602"/>
        <v>1.2013480880094685E-2</v>
      </c>
      <c r="AF883" s="1570">
        <f t="shared" si="3602"/>
        <v>-1.2855699009776234E-2</v>
      </c>
      <c r="AG883" s="1570">
        <f t="shared" si="3602"/>
        <v>-0.20627117961818431</v>
      </c>
      <c r="AH883" s="1570">
        <f t="shared" si="3602"/>
        <v>-0.13068787183020125</v>
      </c>
      <c r="AI883" s="1570">
        <f t="shared" si="3602"/>
        <v>-4.4496221519498724E-2</v>
      </c>
      <c r="AJ883" s="1570">
        <f t="shared" si="3602"/>
        <v>1.3686292570834091E-2</v>
      </c>
      <c r="AK883" s="1570">
        <f t="shared" si="3602"/>
        <v>3.1578575055240643E-2</v>
      </c>
      <c r="AL883" s="1570">
        <f t="shared" si="3602"/>
        <v>8.7416960617758832E-5</v>
      </c>
      <c r="AM883" s="1570">
        <f t="shared" si="3602"/>
        <v>-1.5255827253979337E-3</v>
      </c>
      <c r="AN883" s="1570">
        <f t="shared" si="3602"/>
        <v>-9.0645796769294185E-3</v>
      </c>
      <c r="AO883" s="1570">
        <f t="shared" si="3602"/>
        <v>-8.1395633357772557E-3</v>
      </c>
      <c r="AP883" s="1570">
        <f t="shared" si="3602"/>
        <v>8.2804877545213484E-2</v>
      </c>
      <c r="AQ883" s="1570">
        <f>+(AQ868-AQ867-AQ861)/(AM868-AM867-AM861)-1</f>
        <v>7.9756011113167435E-2</v>
      </c>
      <c r="AR883" s="1570"/>
      <c r="AS883" s="1570"/>
      <c r="AT883" s="1570"/>
      <c r="AU883" s="1570"/>
      <c r="AV883" s="1570"/>
      <c r="AW883" s="1570"/>
      <c r="AX883" s="1570"/>
      <c r="AY883" s="1570"/>
      <c r="AZ883" s="1570"/>
      <c r="BA883" s="1570"/>
      <c r="BB883" s="1570"/>
      <c r="BC883" s="1570"/>
      <c r="BD883" s="1570"/>
      <c r="BE883" s="1570"/>
      <c r="BF883" s="1570"/>
      <c r="BG883" s="1570"/>
      <c r="BH883" s="1570"/>
      <c r="BI883" s="1570">
        <f t="shared" ref="BI883:BO883" si="3603">+(BI868-BI867-BI861)/(BH868-BH867-BH861)-1</f>
        <v>7.9744702148289992E-2</v>
      </c>
      <c r="BJ883" s="1570">
        <f t="shared" si="3603"/>
        <v>8.561270223647699E-2</v>
      </c>
      <c r="BK883" s="1570">
        <f t="shared" si="3603"/>
        <v>4.2647919369076304E-2</v>
      </c>
      <c r="BL883" s="1570">
        <f t="shared" si="3603"/>
        <v>0.14781068139285991</v>
      </c>
      <c r="BM883" s="1570">
        <f t="shared" si="3603"/>
        <v>0.10473237878671227</v>
      </c>
      <c r="BN883" s="1570">
        <f t="shared" si="3603"/>
        <v>-0.10767030798927057</v>
      </c>
      <c r="BO883" s="1570">
        <f t="shared" si="3603"/>
        <v>1.1592420482413379E-2</v>
      </c>
      <c r="BP883" s="1570">
        <f>+(BP868-BP867-BP861)/(BO868-BO867-BO861)-1</f>
        <v>3.4158951402625481E-2</v>
      </c>
      <c r="BT883" s="1518"/>
      <c r="BU883" s="1518"/>
      <c r="BV883" s="1518"/>
      <c r="BW883" s="1518"/>
      <c r="BX883" s="1518"/>
      <c r="BY883" s="1518"/>
      <c r="BZ883" s="1518"/>
      <c r="CA883" s="1518"/>
      <c r="CB883" s="1518"/>
      <c r="CC883" s="1518"/>
    </row>
    <row r="884" spans="2:81" s="1535" customFormat="1" outlineLevel="1" collapsed="1">
      <c r="B884" s="1569"/>
      <c r="C884" s="1570"/>
      <c r="D884" s="1570"/>
      <c r="E884" s="1570"/>
      <c r="F884" s="1570"/>
      <c r="G884" s="1570"/>
      <c r="H884" s="1570"/>
      <c r="I884" s="1570"/>
      <c r="J884" s="1570"/>
      <c r="K884" s="1570"/>
      <c r="L884" s="1570"/>
      <c r="M884" s="1570"/>
      <c r="N884" s="1570"/>
      <c r="O884" s="1570"/>
      <c r="P884" s="1570"/>
      <c r="Q884" s="1570"/>
      <c r="R884" s="1570"/>
      <c r="S884" s="1570"/>
      <c r="T884" s="1570"/>
      <c r="U884" s="1570"/>
      <c r="V884" s="1570"/>
      <c r="W884" s="1570"/>
      <c r="X884" s="1570"/>
      <c r="Y884" s="1570"/>
      <c r="Z884" s="1570"/>
      <c r="AA884" s="1570"/>
      <c r="AB884" s="1570"/>
      <c r="AC884" s="1570"/>
      <c r="AD884" s="1570"/>
      <c r="AE884" s="1570"/>
      <c r="AF884" s="1570"/>
      <c r="AG884" s="1570"/>
      <c r="AH884" s="1570"/>
      <c r="AI884" s="1570"/>
      <c r="AJ884" s="1570"/>
      <c r="AK884" s="1570"/>
      <c r="AL884" s="1570"/>
      <c r="AM884" s="1570"/>
      <c r="AN884" s="1570"/>
      <c r="AO884" s="1570"/>
      <c r="AP884" s="1570"/>
      <c r="AQ884" s="1570"/>
      <c r="AR884" s="1570"/>
      <c r="AS884" s="1570"/>
      <c r="AT884" s="1570"/>
      <c r="AU884" s="1570"/>
      <c r="AV884" s="1570"/>
      <c r="AW884" s="1570"/>
      <c r="AX884" s="1570"/>
      <c r="AY884" s="1570"/>
      <c r="AZ884" s="1570"/>
      <c r="BA884" s="1570"/>
      <c r="BB884" s="1570"/>
      <c r="BC884" s="1570"/>
      <c r="BD884" s="1570"/>
      <c r="BE884" s="1570"/>
      <c r="BF884" s="1570"/>
      <c r="BG884" s="1570"/>
      <c r="BH884" s="1570"/>
      <c r="BI884" s="1570"/>
      <c r="BJ884" s="1570"/>
      <c r="BK884" s="1570"/>
      <c r="BL884" s="1570"/>
      <c r="BM884" s="1570"/>
      <c r="BN884" s="1570"/>
      <c r="BO884" s="1570"/>
      <c r="BP884" s="1570"/>
      <c r="BT884" s="1518"/>
      <c r="BU884" s="1518"/>
      <c r="BV884" s="1518"/>
      <c r="BW884" s="1518"/>
      <c r="BX884" s="1518"/>
      <c r="BY884" s="1518"/>
      <c r="BZ884" s="1518"/>
      <c r="CA884" s="1518"/>
      <c r="CB884" s="1518"/>
      <c r="CC884" s="1518"/>
    </row>
    <row r="885" spans="2:81" s="1519" customFormat="1" outlineLevel="1">
      <c r="B885" s="1571" t="str">
        <f>+B662</f>
        <v>2-yr Stack Growth %</v>
      </c>
      <c r="AH885" s="1572"/>
      <c r="AI885" s="1572"/>
      <c r="AJ885" s="1572"/>
      <c r="AK885" s="1572"/>
      <c r="AL885" s="1572"/>
      <c r="AM885" s="1572"/>
      <c r="AN885" s="1572"/>
      <c r="AO885" s="1572"/>
      <c r="AP885" s="1572"/>
      <c r="AQ885" s="1572"/>
      <c r="BT885" s="1518"/>
      <c r="BU885" s="1518"/>
      <c r="BV885" s="1518"/>
      <c r="BW885" s="1518"/>
      <c r="BX885" s="1518"/>
      <c r="BY885" s="1518"/>
      <c r="BZ885" s="1518"/>
      <c r="CA885" s="1518"/>
      <c r="CB885" s="1518"/>
      <c r="CC885" s="1518"/>
    </row>
    <row r="886" spans="2:81" s="1540" customFormat="1" outlineLevel="1">
      <c r="B886" s="1573" t="str">
        <f t="shared" ref="B886:B893" si="3604">+B872</f>
        <v>Windows Other (old segmentation)</v>
      </c>
      <c r="D886" s="1565"/>
      <c r="E886" s="1565"/>
      <c r="F886" s="1565"/>
      <c r="G886" s="1565"/>
      <c r="H886" s="1565"/>
      <c r="I886" s="1565"/>
      <c r="J886" s="1565"/>
      <c r="K886" s="1565"/>
      <c r="L886" s="1565"/>
      <c r="M886" s="1565"/>
      <c r="N886" s="1565"/>
      <c r="O886" s="1565"/>
      <c r="P886" s="1565">
        <f t="shared" ref="P886:Y891" si="3605">+P872+L872</f>
        <v>5.7921691672223385E-2</v>
      </c>
      <c r="Q886" s="1565">
        <f t="shared" si="3605"/>
        <v>1.2390378153037895E-2</v>
      </c>
      <c r="R886" s="1565">
        <f t="shared" si="3605"/>
        <v>0.2080179811095122</v>
      </c>
      <c r="S886" s="1565">
        <f t="shared" si="3605"/>
        <v>0.19924336177231594</v>
      </c>
      <c r="T886" s="1565">
        <f t="shared" si="3605"/>
        <v>0.20435279726149602</v>
      </c>
      <c r="U886" s="1565">
        <f t="shared" si="3605"/>
        <v>0.21399358605102403</v>
      </c>
      <c r="V886" s="1565">
        <f t="shared" si="3605"/>
        <v>0.20033507692740082</v>
      </c>
      <c r="W886" s="1565">
        <f t="shared" si="3605"/>
        <v>0.11702515351842968</v>
      </c>
      <c r="X886" s="1565">
        <f t="shared" si="3605"/>
        <v>8.0133181459386749E-2</v>
      </c>
      <c r="Y886" s="1565">
        <f t="shared" si="3605"/>
        <v>0.10219949361207592</v>
      </c>
      <c r="Z886" s="1565">
        <f t="shared" ref="Z886:AI891" si="3606">+Z872+V872</f>
        <v>0.12138122496319703</v>
      </c>
      <c r="AA886" s="1565">
        <f t="shared" si="3606"/>
        <v>0.1697613214508209</v>
      </c>
      <c r="AB886" s="1565">
        <f t="shared" si="3606"/>
        <v>9.2697597243496799E-2</v>
      </c>
      <c r="AC886" s="1565">
        <f t="shared" si="3606"/>
        <v>5.2719143694732185E-2</v>
      </c>
      <c r="AD886" s="1565">
        <f t="shared" si="3606"/>
        <v>8.9763837353751597E-2</v>
      </c>
      <c r="AE886" s="1565">
        <f t="shared" si="3606"/>
        <v>0.13800652507094679</v>
      </c>
      <c r="AF886" s="1565">
        <f t="shared" si="3606"/>
        <v>0.18457759857420863</v>
      </c>
      <c r="AG886" s="1565">
        <f t="shared" si="3606"/>
        <v>7.4577355268891088E-2</v>
      </c>
      <c r="AH886" s="1565">
        <f t="shared" si="3606"/>
        <v>0.26049294179872606</v>
      </c>
      <c r="AI886" s="1565">
        <f t="shared" si="3606"/>
        <v>6.8297704662517056E-2</v>
      </c>
      <c r="AJ886" s="1565">
        <f t="shared" ref="AJ886:AQ891" si="3607">+AJ872+AF872</f>
        <v>0.15623456594631291</v>
      </c>
      <c r="AK886" s="1565">
        <f t="shared" si="3607"/>
        <v>5.3104985000248295E-2</v>
      </c>
      <c r="AL886" s="1565">
        <f t="shared" si="3607"/>
        <v>0.27</v>
      </c>
      <c r="AM886" s="1565">
        <f t="shared" si="3607"/>
        <v>0.13000000000000012</v>
      </c>
      <c r="AN886" s="1565">
        <f t="shared" si="3607"/>
        <v>0.15377761060831108</v>
      </c>
      <c r="AO886" s="1565">
        <f t="shared" si="3607"/>
        <v>0.14000000000000007</v>
      </c>
      <c r="AP886" s="1565">
        <f t="shared" si="3607"/>
        <v>0.17999999999999988</v>
      </c>
      <c r="AQ886" s="1565">
        <f t="shared" si="3607"/>
        <v>0.16000000000000009</v>
      </c>
      <c r="AR886" s="1565"/>
      <c r="AS886" s="1565"/>
      <c r="AT886" s="1565"/>
      <c r="AU886" s="1565"/>
      <c r="AV886" s="1565"/>
      <c r="AW886" s="1565"/>
      <c r="AX886" s="1565"/>
      <c r="AY886" s="1565"/>
      <c r="AZ886" s="1565"/>
      <c r="BA886" s="1565"/>
      <c r="BB886" s="1565"/>
      <c r="BC886" s="1565"/>
      <c r="BD886" s="1565"/>
      <c r="BE886" s="1565"/>
      <c r="BF886" s="1565"/>
      <c r="BG886" s="1565"/>
      <c r="BH886" s="1565"/>
      <c r="BI886" s="1565"/>
      <c r="BJ886" s="1565">
        <f t="shared" ref="BJ886:BP891" si="3608">+BJ872+BI872</f>
        <v>0.11704304177769176</v>
      </c>
      <c r="BK886" s="1565">
        <f t="shared" si="3608"/>
        <v>0.17865979923866848</v>
      </c>
      <c r="BL886" s="1565">
        <f t="shared" si="3608"/>
        <v>0.12054870372726945</v>
      </c>
      <c r="BM886" s="1565">
        <f t="shared" si="3608"/>
        <v>9.3814953203355422E-2</v>
      </c>
      <c r="BN886" s="1565">
        <f t="shared" si="3608"/>
        <v>0.14174572505873706</v>
      </c>
      <c r="BO886" s="1565">
        <f t="shared" si="3608"/>
        <v>0.15306667095107618</v>
      </c>
      <c r="BP886" s="1565">
        <f t="shared" si="3608"/>
        <v>0.15957269381922567</v>
      </c>
      <c r="BT886" s="1518"/>
      <c r="BU886" s="1518"/>
      <c r="BV886" s="1518"/>
      <c r="BW886" s="1518"/>
      <c r="BX886" s="1518"/>
      <c r="BY886" s="1518"/>
      <c r="BZ886" s="1518"/>
      <c r="CA886" s="1518"/>
      <c r="CB886" s="1518"/>
      <c r="CC886" s="1518"/>
    </row>
    <row r="887" spans="2:81" s="1541" customFormat="1" outlineLevel="1">
      <c r="B887" s="1573" t="str">
        <f t="shared" si="3604"/>
        <v>Windows OEM</v>
      </c>
      <c r="D887" s="1566"/>
      <c r="E887" s="1566"/>
      <c r="F887" s="1566"/>
      <c r="G887" s="1566"/>
      <c r="H887" s="1566"/>
      <c r="I887" s="1566"/>
      <c r="J887" s="1566"/>
      <c r="K887" s="1566"/>
      <c r="L887" s="1566"/>
      <c r="M887" s="1566"/>
      <c r="N887" s="1566"/>
      <c r="O887" s="1566"/>
      <c r="P887" s="1566">
        <f t="shared" si="3605"/>
        <v>5.6564094466061032E-2</v>
      </c>
      <c r="Q887" s="1566">
        <f t="shared" si="3605"/>
        <v>-1.9810407145221531E-2</v>
      </c>
      <c r="R887" s="1566">
        <f t="shared" si="3605"/>
        <v>0.12839206224447719</v>
      </c>
      <c r="S887" s="1566">
        <f t="shared" si="3605"/>
        <v>0.16319486967236485</v>
      </c>
      <c r="T887" s="1566">
        <f t="shared" si="3605"/>
        <v>0.11784816713734925</v>
      </c>
      <c r="U887" s="1566">
        <f t="shared" si="3605"/>
        <v>0.1289772354543427</v>
      </c>
      <c r="V887" s="1566">
        <f t="shared" si="3605"/>
        <v>8.376130558686834E-2</v>
      </c>
      <c r="W887" s="1566">
        <f t="shared" si="3605"/>
        <v>0.13301977613484461</v>
      </c>
      <c r="X887" s="1566">
        <f t="shared" si="3605"/>
        <v>3.9852171553903637E-2</v>
      </c>
      <c r="Y887" s="1566">
        <f t="shared" si="3605"/>
        <v>0.19749220497604769</v>
      </c>
      <c r="Z887" s="1566">
        <f t="shared" si="3606"/>
        <v>9.8105284565268014E-2</v>
      </c>
      <c r="AA887" s="1566">
        <f t="shared" si="3606"/>
        <v>4.3791154109537711E-2</v>
      </c>
      <c r="AB887" s="1566">
        <f t="shared" si="3606"/>
        <v>4.7765036261328553E-2</v>
      </c>
      <c r="AC887" s="1566">
        <f t="shared" si="3606"/>
        <v>0.25648636175671391</v>
      </c>
      <c r="AD887" s="1566">
        <f t="shared" si="3606"/>
        <v>0.20880835128571329</v>
      </c>
      <c r="AE887" s="1566">
        <f t="shared" si="3606"/>
        <v>-2.1435356993638632E-2</v>
      </c>
      <c r="AF887" s="1566">
        <f t="shared" si="3606"/>
        <v>-4.9614880876384215E-2</v>
      </c>
      <c r="AG887" s="1566">
        <f t="shared" si="3606"/>
        <v>-0.14538797567306616</v>
      </c>
      <c r="AH887" s="1566">
        <f t="shared" si="3606"/>
        <v>-0.17267421581884079</v>
      </c>
      <c r="AI887" s="1566">
        <f t="shared" si="3606"/>
        <v>-0.14237105303940711</v>
      </c>
      <c r="AJ887" s="1566">
        <f t="shared" si="3607"/>
        <v>-0.10773477425169734</v>
      </c>
      <c r="AK887" s="1566">
        <f t="shared" si="3607"/>
        <v>-0.27888861452914449</v>
      </c>
      <c r="AL887" s="1566">
        <f t="shared" si="3607"/>
        <v>-0.17000000000000004</v>
      </c>
      <c r="AM887" s="1566">
        <f t="shared" si="3607"/>
        <v>-7.9999999999999988E-2</v>
      </c>
      <c r="AN887" s="1566">
        <f t="shared" si="3607"/>
        <v>0.04</v>
      </c>
      <c r="AO887" s="1566">
        <f t="shared" si="3607"/>
        <v>0.11</v>
      </c>
      <c r="AP887" s="1566">
        <f t="shared" si="3607"/>
        <v>0.16000000000000003</v>
      </c>
      <c r="AQ887" s="1566">
        <f t="shared" si="3607"/>
        <v>9.0000000000000052E-2</v>
      </c>
      <c r="AR887" s="1566"/>
      <c r="AS887" s="1566"/>
      <c r="AT887" s="1566"/>
      <c r="AU887" s="1566"/>
      <c r="AV887" s="1566"/>
      <c r="AW887" s="1566"/>
      <c r="AX887" s="1566"/>
      <c r="AY887" s="1566"/>
      <c r="AZ887" s="1566"/>
      <c r="BA887" s="1566"/>
      <c r="BB887" s="1566"/>
      <c r="BC887" s="1566"/>
      <c r="BD887" s="1566"/>
      <c r="BE887" s="1566"/>
      <c r="BF887" s="1566"/>
      <c r="BG887" s="1566"/>
      <c r="BH887" s="1566"/>
      <c r="BI887" s="1566"/>
      <c r="BJ887" s="1566">
        <f t="shared" si="3608"/>
        <v>8.1084977217137588E-2</v>
      </c>
      <c r="BK887" s="1566">
        <f t="shared" si="3608"/>
        <v>0.11287329598657325</v>
      </c>
      <c r="BL887" s="1566">
        <f t="shared" si="3608"/>
        <v>9.0312818269196349E-2</v>
      </c>
      <c r="BM887" s="1566">
        <f t="shared" si="3608"/>
        <v>0.12007675920813266</v>
      </c>
      <c r="BN887" s="1566">
        <f t="shared" si="3608"/>
        <v>-0.1372480448604515</v>
      </c>
      <c r="BO887" s="1566">
        <f t="shared" si="3608"/>
        <v>-0.17081316594342166</v>
      </c>
      <c r="BP887" s="1566">
        <f t="shared" si="3608"/>
        <v>9.7821809490604261E-2</v>
      </c>
      <c r="BT887" s="1518"/>
      <c r="BU887" s="1518"/>
      <c r="BV887" s="1518"/>
      <c r="BW887" s="1518"/>
      <c r="BX887" s="1518"/>
      <c r="BY887" s="1518"/>
      <c r="BZ887" s="1518"/>
      <c r="CA887" s="1518"/>
      <c r="CB887" s="1518"/>
      <c r="CC887" s="1518"/>
    </row>
    <row r="888" spans="2:81" s="1540" customFormat="1" outlineLevel="1">
      <c r="B888" s="1574" t="str">
        <f t="shared" si="3604"/>
        <v>Total Windows</v>
      </c>
      <c r="D888" s="1565"/>
      <c r="E888" s="1565"/>
      <c r="F888" s="1565"/>
      <c r="G888" s="1565"/>
      <c r="H888" s="1565"/>
      <c r="I888" s="1565"/>
      <c r="J888" s="1565"/>
      <c r="K888" s="1565"/>
      <c r="L888" s="1565"/>
      <c r="M888" s="1565"/>
      <c r="N888" s="1565"/>
      <c r="O888" s="1565"/>
      <c r="P888" s="1565">
        <f t="shared" si="3605"/>
        <v>5.5567520999353803E-2</v>
      </c>
      <c r="Q888" s="1565">
        <f t="shared" si="3605"/>
        <v>-9.6630331212386178E-3</v>
      </c>
      <c r="R888" s="1565">
        <f t="shared" si="3605"/>
        <v>0.15639712715416021</v>
      </c>
      <c r="S888" s="1565">
        <f t="shared" si="3605"/>
        <v>0.17659558559275634</v>
      </c>
      <c r="T888" s="1565">
        <f t="shared" si="3605"/>
        <v>0.14779359731031083</v>
      </c>
      <c r="U888" s="1565">
        <f t="shared" si="3605"/>
        <v>0.15875490934184144</v>
      </c>
      <c r="V888" s="1565">
        <f t="shared" si="3605"/>
        <v>0.12781136587542852</v>
      </c>
      <c r="W888" s="1565">
        <f t="shared" si="3605"/>
        <v>0.1258576573933734</v>
      </c>
      <c r="X888" s="1565">
        <f t="shared" si="3605"/>
        <v>5.4490227254353263E-2</v>
      </c>
      <c r="Y888" s="1565">
        <f t="shared" si="3605"/>
        <v>0.16136910614638933</v>
      </c>
      <c r="Z888" s="1565">
        <f t="shared" si="3606"/>
        <v>0.10237696685637765</v>
      </c>
      <c r="AA888" s="1565">
        <f t="shared" si="3606"/>
        <v>9.5870057556655119E-2</v>
      </c>
      <c r="AB888" s="1565">
        <f t="shared" si="3606"/>
        <v>6.4186107844968809E-2</v>
      </c>
      <c r="AC888" s="1565">
        <f t="shared" si="3606"/>
        <v>0.18174027187334074</v>
      </c>
      <c r="AD888" s="1565">
        <f t="shared" si="3606"/>
        <v>0.15894418249414555</v>
      </c>
      <c r="AE888" s="1565">
        <f t="shared" si="3606"/>
        <v>4.6349573870634098E-2</v>
      </c>
      <c r="AF888" s="1565">
        <f t="shared" si="3606"/>
        <v>3.7968468529479549E-2</v>
      </c>
      <c r="AG888" s="1565">
        <f t="shared" si="3606"/>
        <v>-7.4987219231516966E-2</v>
      </c>
      <c r="AH888" s="1565">
        <f t="shared" si="3606"/>
        <v>-4.8161925728910093E-3</v>
      </c>
      <c r="AI888" s="1565">
        <f t="shared" si="3606"/>
        <v>-4.7957015771779132E-2</v>
      </c>
      <c r="AJ888" s="1565">
        <f t="shared" si="3607"/>
        <v>-6.7495471681607855E-3</v>
      </c>
      <c r="AK888" s="1565">
        <f t="shared" si="3607"/>
        <v>-0.16971097011436187</v>
      </c>
      <c r="AL888" s="1565">
        <f t="shared" si="3607"/>
        <v>2.8019191485798567E-3</v>
      </c>
      <c r="AM888" s="1565">
        <f t="shared" si="3607"/>
        <v>1.7903168241346745E-2</v>
      </c>
      <c r="AN888" s="1565">
        <f t="shared" si="3607"/>
        <v>8.9619799574566672E-2</v>
      </c>
      <c r="AO888" s="1565">
        <f t="shared" si="3607"/>
        <v>0.1230639404799112</v>
      </c>
      <c r="AP888" s="1565">
        <f t="shared" si="3607"/>
        <v>0.1700105700776855</v>
      </c>
      <c r="AQ888" s="1565">
        <f t="shared" si="3607"/>
        <v>0.12435075005086182</v>
      </c>
      <c r="AR888" s="1565"/>
      <c r="AS888" s="1565"/>
      <c r="AT888" s="1565"/>
      <c r="AU888" s="1565"/>
      <c r="AV888" s="1565"/>
      <c r="AW888" s="1565"/>
      <c r="AX888" s="1565"/>
      <c r="AY888" s="1565"/>
      <c r="AZ888" s="1565"/>
      <c r="BA888" s="1565"/>
      <c r="BB888" s="1565"/>
      <c r="BC888" s="1565"/>
      <c r="BD888" s="1565"/>
      <c r="BE888" s="1565"/>
      <c r="BF888" s="1565"/>
      <c r="BG888" s="1565"/>
      <c r="BH888" s="1565"/>
      <c r="BI888" s="1565"/>
      <c r="BJ888" s="1565">
        <f t="shared" si="3608"/>
        <v>9.4682788346022395E-2</v>
      </c>
      <c r="BK888" s="1565">
        <f t="shared" si="3608"/>
        <v>0.13804393909899337</v>
      </c>
      <c r="BL888" s="1565">
        <f t="shared" si="3608"/>
        <v>0.10181294951750575</v>
      </c>
      <c r="BM888" s="1565">
        <f t="shared" si="3608"/>
        <v>0.10977802237726264</v>
      </c>
      <c r="BN888" s="1565">
        <f t="shared" si="3608"/>
        <v>-2.9101640446214327E-2</v>
      </c>
      <c r="BO888" s="1565">
        <f t="shared" si="3608"/>
        <v>-4.2703020157079052E-2</v>
      </c>
      <c r="BP888" s="1565">
        <f t="shared" si="3608"/>
        <v>0.12691109183977134</v>
      </c>
      <c r="BT888" s="1300"/>
      <c r="BU888" s="1300"/>
      <c r="BV888" s="1300"/>
      <c r="BW888" s="1300"/>
      <c r="BX888" s="1300"/>
      <c r="BY888" s="1300"/>
      <c r="BZ888" s="1300"/>
      <c r="CA888" s="1300"/>
      <c r="CB888" s="1300"/>
      <c r="CC888" s="1300"/>
    </row>
    <row r="889" spans="2:81" s="1540" customFormat="1" ht="10.5" outlineLevel="1">
      <c r="B889" s="1573" t="str">
        <f t="shared" si="3604"/>
        <v>Gaming</v>
      </c>
      <c r="D889" s="1565"/>
      <c r="E889" s="1565"/>
      <c r="F889" s="1565"/>
      <c r="G889" s="1565"/>
      <c r="H889" s="1565"/>
      <c r="I889" s="1565"/>
      <c r="J889" s="1565"/>
      <c r="K889" s="1565"/>
      <c r="L889" s="1565"/>
      <c r="M889" s="1565"/>
      <c r="N889" s="1565"/>
      <c r="O889" s="1565"/>
      <c r="P889" s="1565">
        <f t="shared" si="3605"/>
        <v>0.44992837077079773</v>
      </c>
      <c r="Q889" s="1565">
        <f t="shared" si="3605"/>
        <v>0.16336291774105272</v>
      </c>
      <c r="R889" s="1565">
        <f t="shared" si="3605"/>
        <v>0.23076300937487026</v>
      </c>
      <c r="S889" s="1565">
        <f t="shared" si="3605"/>
        <v>0.28943251387550994</v>
      </c>
      <c r="T889" s="1565">
        <f t="shared" si="3605"/>
        <v>0.3725077283920939</v>
      </c>
      <c r="U889" s="1565">
        <f t="shared" si="3605"/>
        <v>-0.13425504417267842</v>
      </c>
      <c r="V889" s="1565">
        <f t="shared" si="3605"/>
        <v>4.3830992122182666E-2</v>
      </c>
      <c r="W889" s="1565">
        <f t="shared" si="3605"/>
        <v>0.53324328735576343</v>
      </c>
      <c r="X889" s="1565">
        <f t="shared" si="3605"/>
        <v>0.14477996826434958</v>
      </c>
      <c r="Y889" s="1565">
        <f t="shared" si="3605"/>
        <v>0.2983262480376232</v>
      </c>
      <c r="Z889" s="1565">
        <f t="shared" si="3606"/>
        <v>0.49811960213213236</v>
      </c>
      <c r="AA889" s="1565">
        <f t="shared" si="3606"/>
        <v>0.74151299760981004</v>
      </c>
      <c r="AB889" s="1565">
        <f t="shared" si="3606"/>
        <v>0.37839611474193435</v>
      </c>
      <c r="AC889" s="1565">
        <f t="shared" si="3606"/>
        <v>0.59386662924314693</v>
      </c>
      <c r="AD889" s="1565">
        <f t="shared" si="3606"/>
        <v>0.56263470721893927</v>
      </c>
      <c r="AE889" s="1565">
        <f t="shared" si="3606"/>
        <v>3.6608817300237684E-2</v>
      </c>
      <c r="AF889" s="1565">
        <f t="shared" si="3606"/>
        <v>0.16676247007531164</v>
      </c>
      <c r="AG889" s="1565">
        <f t="shared" si="3606"/>
        <v>-4.3995584597107729E-2</v>
      </c>
      <c r="AH889" s="1565">
        <f t="shared" si="3606"/>
        <v>1.8590433059722668E-2</v>
      </c>
      <c r="AI889" s="1565">
        <f t="shared" si="3606"/>
        <v>-5.9736133548734534E-2</v>
      </c>
      <c r="AJ889" s="1565">
        <f t="shared" si="3607"/>
        <v>9.4731422209852451E-2</v>
      </c>
      <c r="AK889" s="1565">
        <f t="shared" si="3607"/>
        <v>-7.2847554840614337E-2</v>
      </c>
      <c r="AL889" s="1565">
        <f t="shared" si="3607"/>
        <v>-7.8685383244206791E-2</v>
      </c>
      <c r="AM889" s="1565">
        <f t="shared" si="3607"/>
        <v>-3.1437434626241163E-2</v>
      </c>
      <c r="AN889" s="1565">
        <f t="shared" si="3607"/>
        <v>-1.0000000000000009E-2</v>
      </c>
      <c r="AO889" s="1565">
        <f t="shared" si="3607"/>
        <v>-1.7158469945355248E-2</v>
      </c>
      <c r="AP889" s="1565">
        <f t="shared" si="3607"/>
        <v>1.1314616755793219E-2</v>
      </c>
      <c r="AQ889" s="1565">
        <f t="shared" si="3607"/>
        <v>5.856256537375884E-2</v>
      </c>
      <c r="AR889" s="1565"/>
      <c r="AS889" s="1565"/>
      <c r="AT889" s="1565"/>
      <c r="AU889" s="1565"/>
      <c r="AV889" s="1565"/>
      <c r="AW889" s="1565"/>
      <c r="AX889" s="1565"/>
      <c r="AY889" s="1565"/>
      <c r="AZ889" s="1565"/>
      <c r="BA889" s="1565"/>
      <c r="BB889" s="1565"/>
      <c r="BC889" s="1565"/>
      <c r="BD889" s="1565"/>
      <c r="BE889" s="1565"/>
      <c r="BF889" s="1565"/>
      <c r="BG889" s="1565"/>
      <c r="BH889" s="1565"/>
      <c r="BI889" s="1565"/>
      <c r="BJ889" s="1565">
        <f t="shared" si="3608"/>
        <v>0.24362935029200106</v>
      </c>
      <c r="BK889" s="1565">
        <f t="shared" si="3608"/>
        <v>0.11637717468496445</v>
      </c>
      <c r="BL889" s="1565">
        <f t="shared" si="3608"/>
        <v>0.3444611035719285</v>
      </c>
      <c r="BM889" s="1565">
        <f t="shared" si="3608"/>
        <v>0.38381492655603822</v>
      </c>
      <c r="BN889" s="1565">
        <f t="shared" si="3608"/>
        <v>7.7676964712287688E-3</v>
      </c>
      <c r="BO889" s="1565">
        <f t="shared" si="3608"/>
        <v>-2.9229804716375263E-2</v>
      </c>
      <c r="BP889" s="1565">
        <f t="shared" si="3608"/>
        <v>3.8941986360147007E-3</v>
      </c>
      <c r="BT889" s="1558"/>
      <c r="BU889" s="1558"/>
      <c r="BV889" s="1558"/>
      <c r="BW889" s="1558"/>
      <c r="BX889" s="1558"/>
      <c r="BY889" s="1558"/>
      <c r="BZ889" s="1558"/>
      <c r="CA889" s="1558"/>
      <c r="CB889" s="1558"/>
      <c r="CC889" s="1558"/>
    </row>
    <row r="890" spans="2:81" s="1540" customFormat="1" outlineLevel="1">
      <c r="B890" s="1573" t="str">
        <f t="shared" si="3604"/>
        <v>Search and Advertising</v>
      </c>
      <c r="D890" s="1565"/>
      <c r="E890" s="1565"/>
      <c r="F890" s="1565"/>
      <c r="G890" s="1565"/>
      <c r="H890" s="1565"/>
      <c r="I890" s="1565"/>
      <c r="J890" s="1565"/>
      <c r="K890" s="1565"/>
      <c r="L890" s="1565"/>
      <c r="M890" s="1565"/>
      <c r="N890" s="1565"/>
      <c r="O890" s="1565"/>
      <c r="P890" s="1565">
        <f t="shared" si="3605"/>
        <v>0.23786500413512313</v>
      </c>
      <c r="Q890" s="1565">
        <f t="shared" si="3605"/>
        <v>0.21967067200712043</v>
      </c>
      <c r="R890" s="1565">
        <f t="shared" si="3605"/>
        <v>0.186885651626437</v>
      </c>
      <c r="S890" s="1565">
        <f t="shared" si="3605"/>
        <v>0.21939818237161379</v>
      </c>
      <c r="T890" s="1565">
        <f t="shared" si="3605"/>
        <v>0.20444376652430329</v>
      </c>
      <c r="U890" s="1565">
        <f t="shared" si="3605"/>
        <v>0.18034991324465</v>
      </c>
      <c r="V890" s="1565">
        <f t="shared" si="3605"/>
        <v>0.11043480862507127</v>
      </c>
      <c r="W890" s="1565">
        <f t="shared" si="3605"/>
        <v>-7.6734000857343609E-2</v>
      </c>
      <c r="X890" s="1565">
        <f t="shared" si="3605"/>
        <v>8.942618741832653E-2</v>
      </c>
      <c r="Y890" s="1565">
        <f t="shared" si="3605"/>
        <v>0.19773317722985584</v>
      </c>
      <c r="Z890" s="1565">
        <f t="shared" si="3606"/>
        <v>0.24820920699211579</v>
      </c>
      <c r="AA890" s="1565">
        <f t="shared" si="3606"/>
        <v>0.40487743215565808</v>
      </c>
      <c r="AB890" s="1565">
        <f t="shared" si="3606"/>
        <v>0.34284982369194583</v>
      </c>
      <c r="AC890" s="1565">
        <f t="shared" si="3606"/>
        <v>0.3872551356173457</v>
      </c>
      <c r="AD890" s="1565">
        <f t="shared" si="3606"/>
        <v>0.43553500073190388</v>
      </c>
      <c r="AE890" s="1565">
        <f t="shared" si="3606"/>
        <v>0.73895570555774537</v>
      </c>
      <c r="AF890" s="1565">
        <f t="shared" si="3606"/>
        <v>0.46936795044304858</v>
      </c>
      <c r="AG890" s="1565">
        <f t="shared" si="3606"/>
        <v>0.33605053630949921</v>
      </c>
      <c r="AH890" s="1565">
        <f t="shared" si="3606"/>
        <v>0.32657226155768437</v>
      </c>
      <c r="AI890" s="1565">
        <f t="shared" si="3606"/>
        <v>0.23333070555774532</v>
      </c>
      <c r="AJ890" s="1565">
        <f t="shared" si="3607"/>
        <v>0.20240963855421681</v>
      </c>
      <c r="AK890" s="1565">
        <f t="shared" si="3607"/>
        <v>0.131892950391645</v>
      </c>
      <c r="AL890" s="1565">
        <f t="shared" si="3607"/>
        <v>0.22</v>
      </c>
      <c r="AM890" s="1565">
        <f t="shared" si="3607"/>
        <v>0.27</v>
      </c>
      <c r="AN890" s="1565">
        <f t="shared" si="3607"/>
        <v>0.26</v>
      </c>
      <c r="AO890" s="1565">
        <f t="shared" si="3607"/>
        <v>0.24</v>
      </c>
      <c r="AP890" s="1565">
        <f t="shared" si="3607"/>
        <v>0.28000000000000003</v>
      </c>
      <c r="AQ890" s="1565">
        <f t="shared" si="3607"/>
        <v>0.29000000000000004</v>
      </c>
      <c r="AR890" s="1565"/>
      <c r="AS890" s="1565"/>
      <c r="AT890" s="1565"/>
      <c r="AU890" s="1565"/>
      <c r="AV890" s="1565"/>
      <c r="AW890" s="1565"/>
      <c r="AX890" s="1565"/>
      <c r="AY890" s="1565"/>
      <c r="AZ890" s="1565"/>
      <c r="BA890" s="1565"/>
      <c r="BB890" s="1565"/>
      <c r="BC890" s="1565"/>
      <c r="BD890" s="1565"/>
      <c r="BE890" s="1565"/>
      <c r="BF890" s="1565"/>
      <c r="BG890" s="1565"/>
      <c r="BH890" s="1565"/>
      <c r="BI890" s="1565"/>
      <c r="BJ890" s="1565">
        <f t="shared" si="3608"/>
        <v>0.21536186283739167</v>
      </c>
      <c r="BK890" s="1565">
        <f t="shared" si="3608"/>
        <v>0.10253214879817985</v>
      </c>
      <c r="BL890" s="1565">
        <f t="shared" si="3608"/>
        <v>0.21196956947679513</v>
      </c>
      <c r="BM890" s="1565">
        <f t="shared" si="3608"/>
        <v>0.44806916766420479</v>
      </c>
      <c r="BN890" s="1565">
        <f t="shared" si="3608"/>
        <v>0.33356899076940727</v>
      </c>
      <c r="BO890" s="1565">
        <f t="shared" si="3608"/>
        <v>0.20547381942726028</v>
      </c>
      <c r="BP890" s="1565">
        <f t="shared" si="3608"/>
        <v>0.2666741367239287</v>
      </c>
      <c r="BT890" s="1518"/>
      <c r="BU890" s="1518"/>
      <c r="BV890" s="1518"/>
      <c r="BW890" s="1518"/>
      <c r="BX890" s="1518"/>
      <c r="BY890" s="1518"/>
      <c r="BZ890" s="1518"/>
      <c r="CA890" s="1518"/>
      <c r="CB890" s="1518"/>
      <c r="CC890" s="1518"/>
    </row>
    <row r="891" spans="2:81" s="1540" customFormat="1" outlineLevel="1">
      <c r="B891" s="1573" t="str">
        <f t="shared" si="3604"/>
        <v>Surface and HW</v>
      </c>
      <c r="D891" s="1565"/>
      <c r="E891" s="1565"/>
      <c r="F891" s="1565"/>
      <c r="G891" s="1565"/>
      <c r="H891" s="1565"/>
      <c r="I891" s="1565"/>
      <c r="J891" s="1565"/>
      <c r="K891" s="1565"/>
      <c r="L891" s="1565"/>
      <c r="M891" s="1565"/>
      <c r="N891" s="1565"/>
      <c r="O891" s="1565"/>
      <c r="P891" s="1565">
        <f t="shared" si="3605"/>
        <v>-6.6340982846546215E-2</v>
      </c>
      <c r="Q891" s="1565">
        <f t="shared" si="3605"/>
        <v>0.12849905584649424</v>
      </c>
      <c r="R891" s="1565">
        <f t="shared" si="3605"/>
        <v>0.39995199715079854</v>
      </c>
      <c r="S891" s="1565">
        <f t="shared" si="3605"/>
        <v>0.30755306473439337</v>
      </c>
      <c r="T891" s="1565">
        <f t="shared" si="3605"/>
        <v>4.4579858478645429E-2</v>
      </c>
      <c r="U891" s="1565">
        <f t="shared" si="3605"/>
        <v>0.32386881437488935</v>
      </c>
      <c r="V891" s="1565">
        <f t="shared" si="3605"/>
        <v>0.13750121180132924</v>
      </c>
      <c r="W891" s="1565">
        <f t="shared" si="3605"/>
        <v>0.34413735139596047</v>
      </c>
      <c r="X891" s="1565">
        <f t="shared" si="3605"/>
        <v>0.27901383335167407</v>
      </c>
      <c r="Y891" s="1565">
        <f t="shared" si="3605"/>
        <v>7.9432594188975081E-2</v>
      </c>
      <c r="Z891" s="1565">
        <f t="shared" si="3606"/>
        <v>0.12293592081221738</v>
      </c>
      <c r="AA891" s="1565">
        <f t="shared" si="3606"/>
        <v>4.0494667616290392E-2</v>
      </c>
      <c r="AB891" s="1565">
        <f t="shared" si="3606"/>
        <v>0.16883816408930441</v>
      </c>
      <c r="AC891" s="1565">
        <f t="shared" si="3606"/>
        <v>0.10902105503375048</v>
      </c>
      <c r="AD891" s="1565">
        <f t="shared" si="3606"/>
        <v>0.20922105847498429</v>
      </c>
      <c r="AE891" s="1565">
        <f t="shared" si="3606"/>
        <v>-0.13347573717204553</v>
      </c>
      <c r="AF891" s="1565">
        <f t="shared" si="3606"/>
        <v>-9.8527776226488673E-2</v>
      </c>
      <c r="AG891" s="1565">
        <f t="shared" si="3606"/>
        <v>-0.30832205167594129</v>
      </c>
      <c r="AH891" s="1565">
        <f t="shared" si="3606"/>
        <v>-0.32137827297992072</v>
      </c>
      <c r="AI891" s="1565">
        <f t="shared" si="3606"/>
        <v>-0.17076295514774764</v>
      </c>
      <c r="AJ891" s="1565">
        <f t="shared" si="3607"/>
        <v>-0.33054081506002242</v>
      </c>
      <c r="AK891" s="1565">
        <f t="shared" si="3607"/>
        <v>-0.6788617840356157</v>
      </c>
      <c r="AL891" s="1565">
        <f t="shared" si="3607"/>
        <v>-0.90428877669915875</v>
      </c>
      <c r="AM891" s="1565">
        <f t="shared" si="3607"/>
        <v>-0.72414165873271641</v>
      </c>
      <c r="AN891" s="1565">
        <f t="shared" si="3607"/>
        <v>-0.6467755162839246</v>
      </c>
      <c r="AO891" s="1565">
        <f t="shared" si="3607"/>
        <v>-0.59112394048381867</v>
      </c>
      <c r="AP891" s="1565">
        <f t="shared" si="3607"/>
        <v>-0.56030525661734665</v>
      </c>
      <c r="AQ891" s="1565">
        <f t="shared" si="3607"/>
        <v>-0.49507361883920609</v>
      </c>
      <c r="AR891" s="1565"/>
      <c r="AS891" s="1565"/>
      <c r="AT891" s="1565"/>
      <c r="AU891" s="1565"/>
      <c r="AV891" s="1565"/>
      <c r="AW891" s="1565"/>
      <c r="AX891" s="1565"/>
      <c r="AY891" s="1565"/>
      <c r="AZ891" s="1565"/>
      <c r="BA891" s="1565"/>
      <c r="BB891" s="1565"/>
      <c r="BC891" s="1565"/>
      <c r="BD891" s="1565"/>
      <c r="BE891" s="1565"/>
      <c r="BF891" s="1565"/>
      <c r="BG891" s="1565"/>
      <c r="BH891" s="1565"/>
      <c r="BI891" s="1565"/>
      <c r="BJ891" s="1565">
        <f t="shared" si="3608"/>
        <v>0.15914442444895471</v>
      </c>
      <c r="BK891" s="1565">
        <f t="shared" si="3608"/>
        <v>0.22227104462811798</v>
      </c>
      <c r="BL891" s="1565">
        <f t="shared" si="3608"/>
        <v>0.10521135228489786</v>
      </c>
      <c r="BM891" s="1565">
        <f t="shared" si="3608"/>
        <v>6.4150488264673289E-2</v>
      </c>
      <c r="BN891" s="1565">
        <f t="shared" si="3608"/>
        <v>-0.25005174685595277</v>
      </c>
      <c r="BO891" s="1565">
        <f t="shared" si="3608"/>
        <v>-0.67849217728933742</v>
      </c>
      <c r="BP891" s="1565">
        <f t="shared" si="3608"/>
        <v>-0.59616343865214061</v>
      </c>
      <c r="BT891" s="1527"/>
      <c r="BU891" s="1527"/>
      <c r="BV891" s="1527"/>
      <c r="BW891" s="1527"/>
      <c r="BX891" s="1527"/>
      <c r="BY891" s="1527"/>
      <c r="BZ891" s="1527"/>
      <c r="CA891" s="1527"/>
      <c r="CB891" s="1527"/>
      <c r="CC891" s="1527"/>
    </row>
    <row r="892" spans="2:81" s="1542" customFormat="1" ht="11.45" outlineLevel="1">
      <c r="B892" s="1573" t="str">
        <f t="shared" si="3604"/>
        <v>ATVI</v>
      </c>
      <c r="D892" s="1567"/>
      <c r="E892" s="1567"/>
      <c r="F892" s="1567"/>
      <c r="G892" s="1567"/>
      <c r="H892" s="1567"/>
      <c r="I892" s="1567"/>
      <c r="J892" s="1567"/>
      <c r="K892" s="1567"/>
      <c r="L892" s="1567"/>
      <c r="M892" s="1567"/>
      <c r="N892" s="1567"/>
      <c r="O892" s="1567"/>
      <c r="P892" s="1567"/>
      <c r="Q892" s="1567"/>
      <c r="R892" s="1567"/>
      <c r="S892" s="1567"/>
      <c r="T892" s="1567">
        <f t="shared" ref="T892:AC893" si="3609">+T878+P878</f>
        <v>0</v>
      </c>
      <c r="U892" s="1567">
        <f t="shared" si="3609"/>
        <v>0</v>
      </c>
      <c r="V892" s="1567">
        <f t="shared" si="3609"/>
        <v>0</v>
      </c>
      <c r="W892" s="1567">
        <f t="shared" si="3609"/>
        <v>0</v>
      </c>
      <c r="X892" s="1567">
        <f t="shared" si="3609"/>
        <v>0</v>
      </c>
      <c r="Y892" s="1567">
        <f t="shared" si="3609"/>
        <v>0</v>
      </c>
      <c r="Z892" s="1567">
        <f t="shared" si="3609"/>
        <v>0</v>
      </c>
      <c r="AA892" s="1567">
        <f t="shared" si="3609"/>
        <v>0</v>
      </c>
      <c r="AB892" s="1567">
        <f t="shared" si="3609"/>
        <v>0</v>
      </c>
      <c r="AC892" s="1567">
        <f t="shared" si="3609"/>
        <v>0</v>
      </c>
      <c r="AD892" s="1567">
        <f t="shared" ref="AD892:AJ893" si="3610">+AD878+Z878</f>
        <v>0</v>
      </c>
      <c r="AE892" s="1567">
        <f t="shared" si="3610"/>
        <v>0</v>
      </c>
      <c r="AF892" s="1567">
        <f t="shared" si="3610"/>
        <v>0</v>
      </c>
      <c r="AG892" s="1567">
        <f t="shared" si="3610"/>
        <v>0</v>
      </c>
      <c r="AH892" s="1567">
        <f t="shared" si="3610"/>
        <v>0</v>
      </c>
      <c r="AI892" s="1567">
        <f t="shared" si="3610"/>
        <v>0</v>
      </c>
      <c r="AJ892" s="1567">
        <f t="shared" si="3610"/>
        <v>0</v>
      </c>
      <c r="AK892" s="1567" t="s">
        <v>273</v>
      </c>
      <c r="AL892" s="1567" t="s">
        <v>273</v>
      </c>
      <c r="AM892" s="1567" t="s">
        <v>273</v>
      </c>
      <c r="AN892" s="1567" t="s">
        <v>273</v>
      </c>
      <c r="AO892" s="1567" t="s">
        <v>273</v>
      </c>
      <c r="AP892" s="1567" t="s">
        <v>273</v>
      </c>
      <c r="AQ892" s="1567" t="s">
        <v>273</v>
      </c>
      <c r="AR892" s="1567"/>
      <c r="AS892" s="1567"/>
      <c r="AT892" s="1567"/>
      <c r="AU892" s="1567"/>
      <c r="AV892" s="1567"/>
      <c r="AW892" s="1567"/>
      <c r="AX892" s="1567"/>
      <c r="AY892" s="1567"/>
      <c r="AZ892" s="1567"/>
      <c r="BA892" s="1567"/>
      <c r="BB892" s="1567"/>
      <c r="BC892" s="1567"/>
      <c r="BD892" s="1567"/>
      <c r="BE892" s="1567"/>
      <c r="BF892" s="1567"/>
      <c r="BG892" s="1567"/>
      <c r="BH892" s="1567"/>
      <c r="BI892" s="1567"/>
      <c r="BJ892" s="1567">
        <v>0</v>
      </c>
      <c r="BK892" s="1567">
        <v>0</v>
      </c>
      <c r="BL892" s="1567">
        <v>0</v>
      </c>
      <c r="BM892" s="1567">
        <v>0</v>
      </c>
      <c r="BN892" s="1567">
        <v>0</v>
      </c>
      <c r="BO892" s="1567" t="s">
        <v>273</v>
      </c>
      <c r="BP892" s="1567" t="s">
        <v>273</v>
      </c>
      <c r="BT892" s="1527"/>
      <c r="BU892" s="1527"/>
      <c r="BV892" s="1527"/>
      <c r="BW892" s="1527"/>
      <c r="BX892" s="1527"/>
      <c r="BY892" s="1527"/>
      <c r="BZ892" s="1527"/>
      <c r="CA892" s="1527"/>
      <c r="CB892" s="1527"/>
      <c r="CC892" s="1527"/>
    </row>
    <row r="893" spans="2:81" s="1543" customFormat="1" outlineLevel="1">
      <c r="B893" s="1575" t="str">
        <f t="shared" si="3604"/>
        <v xml:space="preserve">Total MPC Revenue </v>
      </c>
      <c r="D893" s="1570"/>
      <c r="E893" s="1570"/>
      <c r="F893" s="1570"/>
      <c r="G893" s="1570"/>
      <c r="H893" s="1570"/>
      <c r="I893" s="1570"/>
      <c r="J893" s="1570"/>
      <c r="K893" s="1570"/>
      <c r="L893" s="1570"/>
      <c r="M893" s="1570"/>
      <c r="N893" s="1570"/>
      <c r="O893" s="1570"/>
      <c r="P893" s="1570">
        <f>+P879+L879</f>
        <v>0.14406384741342593</v>
      </c>
      <c r="Q893" s="1570">
        <f>+Q879+M879</f>
        <v>9.1260601262859176E-2</v>
      </c>
      <c r="R893" s="1570">
        <f>+R879+N879</f>
        <v>0.20708104044193587</v>
      </c>
      <c r="S893" s="1570">
        <f>+S879+O879</f>
        <v>0.21394435884323837</v>
      </c>
      <c r="T893" s="1570">
        <f t="shared" si="3609"/>
        <v>0.1818867208724364</v>
      </c>
      <c r="U893" s="1570">
        <f t="shared" si="3609"/>
        <v>8.4403573354491224E-2</v>
      </c>
      <c r="V893" s="1570">
        <f t="shared" si="3609"/>
        <v>0.10662023823956068</v>
      </c>
      <c r="W893" s="1570">
        <f t="shared" si="3609"/>
        <v>0.18789426061362757</v>
      </c>
      <c r="X893" s="1570">
        <f t="shared" si="3609"/>
        <v>0.10032670312850511</v>
      </c>
      <c r="Y893" s="1570">
        <f t="shared" si="3609"/>
        <v>0.16143044900597237</v>
      </c>
      <c r="Z893" s="1570">
        <f t="shared" si="3609"/>
        <v>0.21509585181385882</v>
      </c>
      <c r="AA893" s="1570">
        <f t="shared" si="3609"/>
        <v>0.23569719478265139</v>
      </c>
      <c r="AB893" s="1570">
        <f t="shared" si="3609"/>
        <v>0.18795242845810978</v>
      </c>
      <c r="AC893" s="1570">
        <f t="shared" si="3609"/>
        <v>0.29959200656100382</v>
      </c>
      <c r="AD893" s="1570">
        <f t="shared" si="3610"/>
        <v>0.29925280467157456</v>
      </c>
      <c r="AE893" s="1570">
        <f t="shared" si="3610"/>
        <v>0.11026014480265256</v>
      </c>
      <c r="AF893" s="1570">
        <f t="shared" si="3610"/>
        <v>0.12499108600710951</v>
      </c>
      <c r="AG893" s="1570">
        <f t="shared" si="3610"/>
        <v>-2.9886973675277817E-2</v>
      </c>
      <c r="AH893" s="1570">
        <f t="shared" si="3610"/>
        <v>2.7061741293658459E-2</v>
      </c>
      <c r="AI893" s="1570">
        <f t="shared" si="3610"/>
        <v>-1.2247467859239913E-2</v>
      </c>
      <c r="AJ893" s="1570">
        <f t="shared" si="3610"/>
        <v>2.6404465593021564E-2</v>
      </c>
      <c r="AK893" s="1570">
        <f t="shared" ref="AK893:AQ893" si="3611">+AK879+AG879</f>
        <v>1.5888810100961326E-3</v>
      </c>
      <c r="AL893" s="1570">
        <f t="shared" si="3611"/>
        <v>8.8185433105219202E-2</v>
      </c>
      <c r="AM893" s="1570">
        <f t="shared" si="3611"/>
        <v>0.11169855171957077</v>
      </c>
      <c r="AN893" s="1570">
        <f t="shared" si="3611"/>
        <v>0.1546128422371249</v>
      </c>
      <c r="AO893" s="1570">
        <f t="shared" si="3611"/>
        <v>0.19711983324636395</v>
      </c>
      <c r="AP893" s="1570">
        <f t="shared" si="3611"/>
        <v>0.25102361800883455</v>
      </c>
      <c r="AQ893" s="1570">
        <f t="shared" si="3611"/>
        <v>0.21672457687743596</v>
      </c>
      <c r="AR893" s="1570"/>
      <c r="AS893" s="1570"/>
      <c r="AT893" s="1570"/>
      <c r="AU893" s="1570"/>
      <c r="AV893" s="1570"/>
      <c r="AW893" s="1570"/>
      <c r="AX893" s="1570"/>
      <c r="AY893" s="1570"/>
      <c r="AZ893" s="1570"/>
      <c r="BA893" s="1570"/>
      <c r="BB893" s="1570"/>
      <c r="BC893" s="1570"/>
      <c r="BD893" s="1570"/>
      <c r="BE893" s="1570"/>
      <c r="BF893" s="1570"/>
      <c r="BG893" s="1570"/>
      <c r="BH893" s="1570"/>
      <c r="BI893" s="1570"/>
      <c r="BJ893" s="1570">
        <f t="shared" ref="BJ893:BP893" si="3612">+BJ879+BI879</f>
        <v>0.15683371975197602</v>
      </c>
      <c r="BK893" s="1570">
        <f t="shared" si="3612"/>
        <v>0.13681104852066994</v>
      </c>
      <c r="BL893" s="1570">
        <f t="shared" si="3612"/>
        <v>0.1769419884159571</v>
      </c>
      <c r="BM893" s="1570">
        <f t="shared" si="3612"/>
        <v>0.22389812696541656</v>
      </c>
      <c r="BN893" s="1570">
        <f t="shared" si="3612"/>
        <v>2.0331926230605757E-2</v>
      </c>
      <c r="BO893" s="1570">
        <f t="shared" si="3612"/>
        <v>5.0844779498902759E-2</v>
      </c>
      <c r="BP893" s="1570">
        <f t="shared" si="3612"/>
        <v>0.20275882881308682</v>
      </c>
      <c r="BT893" s="1527"/>
      <c r="BU893" s="1527"/>
      <c r="BV893" s="1527"/>
      <c r="BW893" s="1527"/>
      <c r="BX893" s="1527"/>
      <c r="BY893" s="1527"/>
      <c r="BZ893" s="1527"/>
      <c r="CA893" s="1527"/>
      <c r="CB893" s="1527"/>
      <c r="CC893" s="1527"/>
    </row>
    <row r="894" spans="2:81" s="1543" customFormat="1" hidden="1" outlineLevel="2">
      <c r="B894" s="1575" t="str">
        <f t="shared" ref="B894" si="3613">+B880</f>
        <v>Total MPC Revenue (new segmentation)</v>
      </c>
      <c r="D894" s="1570"/>
      <c r="E894" s="1570"/>
      <c r="F894" s="1570"/>
      <c r="G894" s="1570"/>
      <c r="H894" s="1570"/>
      <c r="I894" s="1570"/>
      <c r="J894" s="1570"/>
      <c r="K894" s="1570"/>
      <c r="L894" s="1570"/>
      <c r="M894" s="1570"/>
      <c r="N894" s="1570"/>
      <c r="O894" s="1570"/>
      <c r="P894" s="1570">
        <f t="shared" ref="P894:AQ894" si="3614">+P880+L880</f>
        <v>0.16244306598107916</v>
      </c>
      <c r="Q894" s="1570">
        <f t="shared" si="3614"/>
        <v>0.10516108243838107</v>
      </c>
      <c r="R894" s="1570">
        <f t="shared" si="3614"/>
        <v>0.20707739650786783</v>
      </c>
      <c r="S894" s="1570">
        <f t="shared" si="3614"/>
        <v>0.21788455878417778</v>
      </c>
      <c r="T894" s="1570">
        <f t="shared" si="3614"/>
        <v>0.17773815108257485</v>
      </c>
      <c r="U894" s="1570">
        <f t="shared" si="3614"/>
        <v>6.3324659182008025E-2</v>
      </c>
      <c r="V894" s="1570">
        <f t="shared" si="3614"/>
        <v>8.6773216663315056E-2</v>
      </c>
      <c r="W894" s="1570">
        <f t="shared" si="3614"/>
        <v>0.20665834449730114</v>
      </c>
      <c r="X894" s="1570">
        <f t="shared" si="3614"/>
        <v>0.10543175450369535</v>
      </c>
      <c r="Y894" s="1570">
        <f t="shared" si="3614"/>
        <v>0.17667748288931961</v>
      </c>
      <c r="Z894" s="1570">
        <f t="shared" si="3614"/>
        <v>0.24199825073615422</v>
      </c>
      <c r="AA894" s="1570">
        <f t="shared" si="3614"/>
        <v>0.25311738358892777</v>
      </c>
      <c r="AB894" s="1570">
        <f t="shared" si="3614"/>
        <v>0.20784083826376842</v>
      </c>
      <c r="AC894" s="1570">
        <f t="shared" si="3614"/>
        <v>0.34491777361058906</v>
      </c>
      <c r="AD894" s="1570">
        <f t="shared" si="3614"/>
        <v>0.35107239731635898</v>
      </c>
      <c r="AE894" s="1570">
        <f t="shared" si="3614"/>
        <v>0.10344595783230814</v>
      </c>
      <c r="AF894" s="1570">
        <f t="shared" si="3614"/>
        <v>0.11373336841259241</v>
      </c>
      <c r="AG894" s="1570">
        <f t="shared" si="3614"/>
        <v>-4.4746504685999722E-2</v>
      </c>
      <c r="AH894" s="1570">
        <f t="shared" si="3614"/>
        <v>-1.812863402554854E-2</v>
      </c>
      <c r="AI894" s="1570">
        <f t="shared" si="3614"/>
        <v>-3.248274063940404E-2</v>
      </c>
      <c r="AJ894" s="1570">
        <f t="shared" si="3614"/>
        <v>8.3059356105785742E-4</v>
      </c>
      <c r="AK894" s="1570">
        <f t="shared" si="3614"/>
        <v>-2.8964643100214404E-3</v>
      </c>
      <c r="AL894" s="1570">
        <f t="shared" si="3614"/>
        <v>5.5691427928191373E-2</v>
      </c>
      <c r="AM894" s="1570">
        <f t="shared" si="3614"/>
        <v>0.10761107589832697</v>
      </c>
      <c r="AN894" s="1570">
        <f t="shared" si="3614"/>
        <v>0.15554047645048619</v>
      </c>
      <c r="AO894" s="1570">
        <f t="shared" si="3614"/>
        <v>0.20781812932103882</v>
      </c>
      <c r="AP894" s="1570">
        <f t="shared" si="3614"/>
        <v>0.26874373981534116</v>
      </c>
      <c r="AQ894" s="1570">
        <f t="shared" si="3614"/>
        <v>0.23189584431606347</v>
      </c>
      <c r="AR894" s="1570"/>
      <c r="AS894" s="1570"/>
      <c r="AT894" s="1570"/>
      <c r="AU894" s="1570"/>
      <c r="AV894" s="1570"/>
      <c r="AW894" s="1570"/>
      <c r="AX894" s="1570"/>
      <c r="AY894" s="1570"/>
      <c r="AZ894" s="1570"/>
      <c r="BA894" s="1570"/>
      <c r="BB894" s="1570"/>
      <c r="BC894" s="1570"/>
      <c r="BD894" s="1570"/>
      <c r="BE894" s="1570"/>
      <c r="BF894" s="1570"/>
      <c r="BG894" s="1570"/>
      <c r="BH894" s="1570"/>
      <c r="BI894" s="1570"/>
      <c r="BJ894" s="1570">
        <f t="shared" ref="BJ894:BP894" si="3615">+BJ880+BI880</f>
        <v>0.16535740438476698</v>
      </c>
      <c r="BK894" s="1570">
        <f t="shared" si="3615"/>
        <v>0.12826062160555329</v>
      </c>
      <c r="BL894" s="1570">
        <f t="shared" si="3615"/>
        <v>0.19045860076193621</v>
      </c>
      <c r="BM894" s="1570">
        <f t="shared" si="3615"/>
        <v>0.25254306017957218</v>
      </c>
      <c r="BN894" s="1570">
        <f t="shared" si="3615"/>
        <v>-2.9379292025583092E-3</v>
      </c>
      <c r="BO894" s="1570">
        <f t="shared" si="3615"/>
        <v>3.2212715548856186E-2</v>
      </c>
      <c r="BP894" s="1570">
        <f t="shared" si="3615"/>
        <v>0.21239579416445475</v>
      </c>
      <c r="BT894" s="1527"/>
      <c r="BU894" s="1527"/>
      <c r="BV894" s="1527"/>
      <c r="BW894" s="1527"/>
      <c r="BX894" s="1527"/>
      <c r="BY894" s="1527"/>
      <c r="BZ894" s="1527"/>
      <c r="CA894" s="1527"/>
      <c r="CB894" s="1527"/>
      <c r="CC894" s="1527"/>
    </row>
    <row r="895" spans="2:81" s="1543" customFormat="1" hidden="1" outlineLevel="2">
      <c r="B895" s="1575"/>
      <c r="D895" s="1570"/>
      <c r="E895" s="1570"/>
      <c r="F895" s="1570"/>
      <c r="G895" s="1570"/>
      <c r="H895" s="1570"/>
      <c r="I895" s="1570"/>
      <c r="J895" s="1570"/>
      <c r="K895" s="1570"/>
      <c r="L895" s="1570"/>
      <c r="M895" s="1570"/>
      <c r="N895" s="1570"/>
      <c r="O895" s="1570"/>
      <c r="P895" s="1570"/>
      <c r="Q895" s="1570"/>
      <c r="R895" s="1570"/>
      <c r="S895" s="1570"/>
      <c r="T895" s="1570"/>
      <c r="U895" s="1570"/>
      <c r="V895" s="1570"/>
      <c r="W895" s="1570"/>
      <c r="X895" s="1570"/>
      <c r="Y895" s="1570"/>
      <c r="Z895" s="1570"/>
      <c r="AA895" s="1570"/>
      <c r="AB895" s="1570"/>
      <c r="AC895" s="1570"/>
      <c r="AD895" s="1570"/>
      <c r="AE895" s="1570"/>
      <c r="AF895" s="1570"/>
      <c r="AG895" s="1570"/>
      <c r="AH895" s="1570"/>
      <c r="AI895" s="1570"/>
      <c r="AJ895" s="1570"/>
      <c r="AK895" s="1570"/>
      <c r="AL895" s="1570"/>
      <c r="AM895" s="1570"/>
      <c r="AN895" s="1570"/>
      <c r="AO895" s="1570"/>
      <c r="AP895" s="1570"/>
      <c r="AQ895" s="1570"/>
      <c r="AR895" s="1570"/>
      <c r="AS895" s="1570"/>
      <c r="AT895" s="1570"/>
      <c r="AU895" s="1570"/>
      <c r="AV895" s="1570"/>
      <c r="AW895" s="1570"/>
      <c r="AX895" s="1570"/>
      <c r="AY895" s="1570"/>
      <c r="AZ895" s="1570"/>
      <c r="BA895" s="1570"/>
      <c r="BB895" s="1570"/>
      <c r="BC895" s="1570"/>
      <c r="BD895" s="1570"/>
      <c r="BE895" s="1570"/>
      <c r="BF895" s="1570"/>
      <c r="BG895" s="1570"/>
      <c r="BH895" s="1570"/>
      <c r="BI895" s="1570"/>
      <c r="BJ895" s="1570"/>
      <c r="BK895" s="1570"/>
      <c r="BL895" s="1570"/>
      <c r="BM895" s="1570"/>
      <c r="BN895" s="1570"/>
      <c r="BO895" s="1570"/>
      <c r="BP895" s="1570"/>
      <c r="BT895" s="1527"/>
      <c r="BU895" s="1527"/>
      <c r="BV895" s="1527"/>
      <c r="BW895" s="1527"/>
      <c r="BX895" s="1527"/>
      <c r="BY895" s="1527"/>
      <c r="BZ895" s="1527"/>
      <c r="CA895" s="1527"/>
      <c r="CB895" s="1527"/>
      <c r="CC895" s="1527"/>
    </row>
    <row r="896" spans="2:81" s="1543" customFormat="1" outlineLevel="1" collapsed="1">
      <c r="B896" s="1569" t="s">
        <v>465</v>
      </c>
      <c r="D896" s="1570"/>
      <c r="E896" s="1570"/>
      <c r="F896" s="1570"/>
      <c r="G896" s="1570"/>
      <c r="H896" s="1570"/>
      <c r="I896" s="1570"/>
      <c r="J896" s="1570"/>
      <c r="K896" s="1570"/>
      <c r="L896" s="1570"/>
      <c r="M896" s="1570"/>
      <c r="N896" s="1570"/>
      <c r="O896" s="1570"/>
      <c r="P896" s="1570"/>
      <c r="Q896" s="1570"/>
      <c r="R896" s="1570"/>
      <c r="S896" s="1570"/>
      <c r="T896" s="1570">
        <f t="shared" ref="T896:AQ896" si="3616">+T882+P882</f>
        <v>0.1818867208724364</v>
      </c>
      <c r="U896" s="1570">
        <f t="shared" si="3616"/>
        <v>8.4403573354491224E-2</v>
      </c>
      <c r="V896" s="1570">
        <f t="shared" si="3616"/>
        <v>0.10662023823956068</v>
      </c>
      <c r="W896" s="1570">
        <f t="shared" si="3616"/>
        <v>0.18789426061362757</v>
      </c>
      <c r="X896" s="1570">
        <f t="shared" si="3616"/>
        <v>0.10032670312850511</v>
      </c>
      <c r="Y896" s="1570">
        <f t="shared" si="3616"/>
        <v>0.16143044900597237</v>
      </c>
      <c r="Z896" s="1570">
        <f t="shared" si="3616"/>
        <v>0.21509585181385882</v>
      </c>
      <c r="AA896" s="1570">
        <f t="shared" si="3616"/>
        <v>0.23569719478265139</v>
      </c>
      <c r="AB896" s="1570">
        <f t="shared" si="3616"/>
        <v>0.18795242845810978</v>
      </c>
      <c r="AC896" s="1570">
        <f t="shared" si="3616"/>
        <v>0.29959200656100382</v>
      </c>
      <c r="AD896" s="1570">
        <f t="shared" si="3616"/>
        <v>0.29925280467157456</v>
      </c>
      <c r="AE896" s="1570">
        <f t="shared" si="3616"/>
        <v>0.11026014480265256</v>
      </c>
      <c r="AF896" s="1570">
        <f t="shared" si="3616"/>
        <v>0.12499108600710951</v>
      </c>
      <c r="AG896" s="1570">
        <f t="shared" si="3616"/>
        <v>-2.9886973675277817E-2</v>
      </c>
      <c r="AH896" s="1570">
        <f t="shared" si="3616"/>
        <v>2.7061741293658459E-2</v>
      </c>
      <c r="AI896" s="1570">
        <f t="shared" si="3616"/>
        <v>-1.2247467859239913E-2</v>
      </c>
      <c r="AJ896" s="1570">
        <f t="shared" si="3616"/>
        <v>2.6404465593021564E-2</v>
      </c>
      <c r="AK896" s="1570">
        <f t="shared" si="3616"/>
        <v>-0.14450931383432342</v>
      </c>
      <c r="AL896" s="1570">
        <f t="shared" si="3616"/>
        <v>-6.0381686050135386E-2</v>
      </c>
      <c r="AM896" s="1570">
        <f t="shared" si="3616"/>
        <v>-9.1212972556180549E-3</v>
      </c>
      <c r="AN896" s="1570">
        <f t="shared" si="3616"/>
        <v>3.0948273233758927E-2</v>
      </c>
      <c r="AO896" s="1570">
        <f t="shared" si="3616"/>
        <v>4.1289995976405924E-2</v>
      </c>
      <c r="AP896" s="1570">
        <f t="shared" si="3616"/>
        <v>0.10188638945134776</v>
      </c>
      <c r="AQ896" s="1570">
        <f t="shared" si="3616"/>
        <v>9.5149595274281351E-2</v>
      </c>
      <c r="AR896" s="1570"/>
      <c r="AS896" s="1570"/>
      <c r="AT896" s="1570"/>
      <c r="AU896" s="1570"/>
      <c r="AV896" s="1570"/>
      <c r="AW896" s="1570"/>
      <c r="AX896" s="1570"/>
      <c r="AY896" s="1570"/>
      <c r="AZ896" s="1570"/>
      <c r="BA896" s="1570"/>
      <c r="BB896" s="1570"/>
      <c r="BC896" s="1570"/>
      <c r="BD896" s="1570"/>
      <c r="BE896" s="1570"/>
      <c r="BF896" s="1570"/>
      <c r="BG896" s="1570"/>
      <c r="BH896" s="1570"/>
      <c r="BI896" s="1570"/>
      <c r="BJ896" s="1570">
        <f t="shared" ref="BJ896:BP896" si="3617">+BJ882+BI882</f>
        <v>0.15683371975197602</v>
      </c>
      <c r="BK896" s="1570">
        <f t="shared" si="3617"/>
        <v>0.13681104852066994</v>
      </c>
      <c r="BL896" s="1570">
        <f t="shared" si="3617"/>
        <v>0.1769419884159571</v>
      </c>
      <c r="BM896" s="1570">
        <f t="shared" si="3617"/>
        <v>0.22389812696541656</v>
      </c>
      <c r="BN896" s="1570">
        <f t="shared" si="3617"/>
        <v>2.0331926230605757E-2</v>
      </c>
      <c r="BO896" s="1570">
        <f t="shared" si="3617"/>
        <v>-5.3843348538514468E-2</v>
      </c>
      <c r="BP896" s="1570">
        <f t="shared" si="3617"/>
        <v>6.6977562533367729E-2</v>
      </c>
      <c r="BT896" s="1535"/>
      <c r="BU896" s="1535"/>
      <c r="BV896" s="1535"/>
      <c r="BW896" s="1535"/>
      <c r="BX896" s="1535"/>
      <c r="BY896" s="1535"/>
      <c r="BZ896" s="1535"/>
      <c r="CA896" s="1535"/>
      <c r="CB896" s="1535"/>
      <c r="CC896" s="1535"/>
    </row>
    <row r="897" spans="2:81" s="1543" customFormat="1" hidden="1" outlineLevel="2">
      <c r="B897" s="1569" t="str">
        <f>+B883</f>
        <v>Total MPC Revenue ex-ATVI (new segmentation)</v>
      </c>
      <c r="D897" s="1570"/>
      <c r="E897" s="1570"/>
      <c r="F897" s="1570"/>
      <c r="G897" s="1570"/>
      <c r="H897" s="1570"/>
      <c r="I897" s="1570"/>
      <c r="J897" s="1570"/>
      <c r="K897" s="1570"/>
      <c r="L897" s="1570"/>
      <c r="M897" s="1570"/>
      <c r="N897" s="1570"/>
      <c r="O897" s="1570"/>
      <c r="P897" s="1570"/>
      <c r="Q897" s="1570"/>
      <c r="R897" s="1570"/>
      <c r="S897" s="1570"/>
      <c r="T897" s="1570">
        <f t="shared" ref="T897:AQ897" si="3618">+T883+P883</f>
        <v>0.17773815108257485</v>
      </c>
      <c r="U897" s="1570">
        <f t="shared" si="3618"/>
        <v>6.3324659182008025E-2</v>
      </c>
      <c r="V897" s="1570">
        <f t="shared" si="3618"/>
        <v>8.6773216663315056E-2</v>
      </c>
      <c r="W897" s="1570">
        <f t="shared" si="3618"/>
        <v>0.20665834449730114</v>
      </c>
      <c r="X897" s="1570">
        <f t="shared" si="3618"/>
        <v>0.10543175450369535</v>
      </c>
      <c r="Y897" s="1570">
        <f t="shared" si="3618"/>
        <v>0.17667748288931961</v>
      </c>
      <c r="Z897" s="1570">
        <f t="shared" si="3618"/>
        <v>0.24199825073615422</v>
      </c>
      <c r="AA897" s="1570">
        <f t="shared" si="3618"/>
        <v>0.25311738358892777</v>
      </c>
      <c r="AB897" s="1570">
        <f t="shared" si="3618"/>
        <v>0.20784083826376842</v>
      </c>
      <c r="AC897" s="1570">
        <f t="shared" si="3618"/>
        <v>0.34491777361058906</v>
      </c>
      <c r="AD897" s="1570">
        <f t="shared" si="3618"/>
        <v>0.35107239731635898</v>
      </c>
      <c r="AE897" s="1570">
        <f t="shared" si="3618"/>
        <v>0.10344595783230814</v>
      </c>
      <c r="AF897" s="1570">
        <f t="shared" si="3618"/>
        <v>0.11373336841259241</v>
      </c>
      <c r="AG897" s="1570">
        <f t="shared" si="3618"/>
        <v>-4.4746504685999722E-2</v>
      </c>
      <c r="AH897" s="1570">
        <f t="shared" si="3618"/>
        <v>-1.812863402554854E-2</v>
      </c>
      <c r="AI897" s="1570">
        <f t="shared" si="3618"/>
        <v>-3.248274063940404E-2</v>
      </c>
      <c r="AJ897" s="1570">
        <f t="shared" si="3618"/>
        <v>8.3059356105785742E-4</v>
      </c>
      <c r="AK897" s="1570">
        <f t="shared" si="3618"/>
        <v>-0.17469260456294367</v>
      </c>
      <c r="AL897" s="1570">
        <f t="shared" si="3618"/>
        <v>-0.13060045486958349</v>
      </c>
      <c r="AM897" s="1570">
        <f t="shared" si="3618"/>
        <v>-4.6021804244896658E-2</v>
      </c>
      <c r="AN897" s="1570">
        <f t="shared" si="3618"/>
        <v>4.6217128939046725E-3</v>
      </c>
      <c r="AO897" s="1570">
        <f t="shared" si="3618"/>
        <v>2.3439011719463387E-2</v>
      </c>
      <c r="AP897" s="1570">
        <f t="shared" si="3618"/>
        <v>8.2892294505831243E-2</v>
      </c>
      <c r="AQ897" s="1570">
        <f t="shared" si="3618"/>
        <v>7.8230428387769502E-2</v>
      </c>
      <c r="AR897" s="1570"/>
      <c r="AS897" s="1570"/>
      <c r="AT897" s="1570"/>
      <c r="AU897" s="1570"/>
      <c r="AV897" s="1570"/>
      <c r="AW897" s="1570"/>
      <c r="AX897" s="1570"/>
      <c r="AY897" s="1570"/>
      <c r="AZ897" s="1570"/>
      <c r="BA897" s="1570"/>
      <c r="BB897" s="1570"/>
      <c r="BC897" s="1570"/>
      <c r="BD897" s="1570"/>
      <c r="BE897" s="1570"/>
      <c r="BF897" s="1570"/>
      <c r="BG897" s="1570"/>
      <c r="BH897" s="1570"/>
      <c r="BI897" s="1570"/>
      <c r="BJ897" s="1570">
        <f t="shared" ref="BJ897:BP897" si="3619">+BJ883+BI883</f>
        <v>0.16535740438476698</v>
      </c>
      <c r="BK897" s="1570">
        <f t="shared" si="3619"/>
        <v>0.12826062160555329</v>
      </c>
      <c r="BL897" s="1570">
        <f t="shared" si="3619"/>
        <v>0.19045860076193621</v>
      </c>
      <c r="BM897" s="1570">
        <f t="shared" si="3619"/>
        <v>0.25254306017957218</v>
      </c>
      <c r="BN897" s="1570">
        <f t="shared" si="3619"/>
        <v>-2.9379292025583092E-3</v>
      </c>
      <c r="BO897" s="1570">
        <f t="shared" si="3619"/>
        <v>-9.6077887506857196E-2</v>
      </c>
      <c r="BP897" s="1570">
        <f t="shared" si="3619"/>
        <v>4.5751371885038861E-2</v>
      </c>
      <c r="BT897" s="1518"/>
      <c r="BU897" s="1518"/>
      <c r="BV897" s="1518"/>
      <c r="BW897" s="1518"/>
      <c r="BX897" s="1518"/>
      <c r="BY897" s="1518"/>
      <c r="BZ897" s="1518"/>
      <c r="CA897" s="1518"/>
      <c r="CB897" s="1518"/>
      <c r="CC897" s="1518"/>
    </row>
    <row r="898" spans="2:81" s="1543" customFormat="1" outlineLevel="1" collapsed="1">
      <c r="B898" s="1569"/>
      <c r="D898" s="1570"/>
      <c r="E898" s="1570"/>
      <c r="F898" s="1570"/>
      <c r="G898" s="1570"/>
      <c r="H898" s="1570"/>
      <c r="I898" s="1570"/>
      <c r="J898" s="1570"/>
      <c r="K898" s="1570"/>
      <c r="L898" s="1570"/>
      <c r="M898" s="1570"/>
      <c r="N898" s="1570"/>
      <c r="O898" s="1570"/>
      <c r="P898" s="1570"/>
      <c r="Q898" s="1570"/>
      <c r="R898" s="1570"/>
      <c r="S898" s="1570"/>
      <c r="T898" s="1570"/>
      <c r="U898" s="1570"/>
      <c r="V898" s="1570"/>
      <c r="W898" s="1570"/>
      <c r="X898" s="1570"/>
      <c r="Y898" s="1570"/>
      <c r="Z898" s="1570"/>
      <c r="AA898" s="1570"/>
      <c r="AB898" s="1570"/>
      <c r="AC898" s="1570"/>
      <c r="AD898" s="1570"/>
      <c r="AE898" s="1570"/>
      <c r="AF898" s="1570"/>
      <c r="AG898" s="1570"/>
      <c r="AH898" s="1570"/>
      <c r="AI898" s="1570"/>
      <c r="AJ898" s="1570"/>
      <c r="AK898" s="1570"/>
      <c r="AL898" s="1570"/>
      <c r="AM898" s="1570"/>
      <c r="AN898" s="1570"/>
      <c r="AO898" s="1570"/>
      <c r="AP898" s="1570"/>
      <c r="AQ898" s="1570"/>
      <c r="AR898" s="1570"/>
      <c r="AS898" s="1570"/>
      <c r="AT898" s="1570"/>
      <c r="AU898" s="1570"/>
      <c r="AV898" s="1570"/>
      <c r="AW898" s="1570"/>
      <c r="AX898" s="1570"/>
      <c r="AY898" s="1570"/>
      <c r="AZ898" s="1570"/>
      <c r="BA898" s="1570"/>
      <c r="BB898" s="1570"/>
      <c r="BC898" s="1570"/>
      <c r="BD898" s="1570"/>
      <c r="BE898" s="1570"/>
      <c r="BF898" s="1570"/>
      <c r="BG898" s="1570"/>
      <c r="BH898" s="1570"/>
      <c r="BI898" s="1570"/>
      <c r="BJ898" s="1570"/>
      <c r="BK898" s="1570"/>
      <c r="BL898" s="1570"/>
      <c r="BM898" s="1570"/>
      <c r="BN898" s="1570"/>
      <c r="BO898" s="1570"/>
      <c r="BP898" s="1570"/>
      <c r="BT898" s="1518"/>
      <c r="BU898" s="1518"/>
      <c r="BV898" s="1518"/>
      <c r="BW898" s="1518"/>
      <c r="BX898" s="1518"/>
      <c r="BY898" s="1518"/>
      <c r="BZ898" s="1518"/>
      <c r="CA898" s="1518"/>
      <c r="CB898" s="1518"/>
      <c r="CC898" s="1518"/>
    </row>
    <row r="899" spans="2:81" ht="10.5">
      <c r="B899" s="5" t="s">
        <v>498</v>
      </c>
      <c r="C899" s="4"/>
      <c r="H899" s="911"/>
      <c r="I899" s="911"/>
      <c r="J899" s="911"/>
      <c r="K899" s="911"/>
      <c r="L899" s="911"/>
      <c r="M899" s="911"/>
      <c r="N899" s="911"/>
      <c r="O899" s="911"/>
      <c r="P899" s="911"/>
      <c r="Q899" s="911"/>
      <c r="R899" s="911"/>
      <c r="S899" s="911"/>
      <c r="T899" s="911"/>
      <c r="U899" s="911"/>
      <c r="V899" s="911"/>
      <c r="W899" s="911"/>
      <c r="X899" s="911"/>
      <c r="Y899" s="911"/>
      <c r="Z899" s="911"/>
      <c r="AA899" s="911"/>
      <c r="AB899" s="911"/>
      <c r="AC899" s="911"/>
      <c r="AD899" s="911"/>
      <c r="AE899" s="911"/>
      <c r="AF899" s="911"/>
      <c r="AG899" s="911"/>
      <c r="AH899" s="911"/>
      <c r="AI899" s="911"/>
      <c r="AJ899" s="911"/>
      <c r="AK899" s="911"/>
      <c r="AL899" s="911"/>
      <c r="AM899" s="911"/>
      <c r="AN899" s="911"/>
      <c r="AO899" s="911"/>
      <c r="AP899" s="911"/>
      <c r="AQ899" s="911"/>
      <c r="BH899" s="912"/>
      <c r="BI899" s="912"/>
      <c r="BJ899" s="912"/>
      <c r="BK899" s="912"/>
      <c r="BL899" s="912"/>
      <c r="BM899" s="912"/>
      <c r="BN899" s="912"/>
      <c r="BO899" s="912"/>
      <c r="BP899" s="912"/>
      <c r="BT899" s="3"/>
      <c r="BU899" s="3"/>
      <c r="BV899" s="3"/>
      <c r="BW899" s="3"/>
      <c r="BX899" s="3"/>
      <c r="BY899" s="3"/>
      <c r="BZ899" s="3"/>
      <c r="CA899" s="3"/>
      <c r="CB899" s="3"/>
      <c r="CC899" s="3"/>
    </row>
    <row r="900" spans="2:81">
      <c r="H900" s="911"/>
      <c r="I900" s="911"/>
      <c r="J900" s="911"/>
      <c r="K900" s="911"/>
      <c r="L900" s="911"/>
      <c r="M900" s="911"/>
      <c r="N900" s="911"/>
      <c r="O900" s="911"/>
      <c r="P900" s="911"/>
      <c r="Q900" s="911"/>
      <c r="R900" s="911"/>
      <c r="S900" s="911"/>
      <c r="T900" s="911"/>
      <c r="U900" s="911"/>
      <c r="V900" s="911"/>
      <c r="W900" s="911"/>
      <c r="X900" s="911"/>
      <c r="Y900" s="911"/>
      <c r="Z900" s="911"/>
      <c r="AA900" s="911"/>
      <c r="AB900" s="911"/>
      <c r="AC900" s="911"/>
      <c r="AD900" s="911"/>
      <c r="AE900" s="911"/>
      <c r="AF900" s="911"/>
      <c r="AG900" s="911"/>
      <c r="AH900" s="911"/>
      <c r="AI900" s="911"/>
      <c r="AJ900" s="911"/>
      <c r="AK900" s="911"/>
      <c r="AL900" s="911"/>
      <c r="AM900" s="911"/>
      <c r="AN900" s="911"/>
      <c r="AO900" s="911"/>
      <c r="AP900" s="911"/>
      <c r="AQ900" s="911"/>
      <c r="BH900" s="912"/>
      <c r="BI900" s="912"/>
      <c r="BJ900" s="912"/>
      <c r="BK900" s="912"/>
      <c r="BL900" s="912"/>
      <c r="BM900" s="912"/>
      <c r="BN900" s="912"/>
      <c r="BO900" s="912"/>
      <c r="BP900" s="912"/>
      <c r="BT900" s="3"/>
      <c r="BU900" s="3"/>
      <c r="BV900" s="3"/>
      <c r="BW900" s="3"/>
      <c r="BX900" s="3"/>
      <c r="BY900" s="3"/>
      <c r="BZ900" s="3"/>
      <c r="CA900" s="3"/>
      <c r="CB900" s="3"/>
      <c r="CC900" s="3"/>
    </row>
    <row r="901" spans="2:81" ht="10.5">
      <c r="B901" s="45" t="s">
        <v>279</v>
      </c>
      <c r="AF901" s="828"/>
      <c r="AG901" s="992"/>
      <c r="BT901" s="839"/>
      <c r="BU901" s="839"/>
      <c r="BV901" s="839"/>
      <c r="BW901" s="839"/>
      <c r="BX901" s="839"/>
      <c r="BY901" s="839"/>
      <c r="BZ901" s="839"/>
      <c r="CA901" s="839"/>
      <c r="CB901" s="839"/>
      <c r="CC901" s="839"/>
    </row>
    <row r="902" spans="2:81">
      <c r="B902" t="s">
        <v>281</v>
      </c>
      <c r="D902" s="8">
        <f t="shared" ref="D902:AN902" si="3620">+D29</f>
        <v>2962</v>
      </c>
      <c r="E902" s="8">
        <f t="shared" si="3620"/>
        <v>2900</v>
      </c>
      <c r="F902" s="8">
        <f t="shared" si="3620"/>
        <v>2980</v>
      </c>
      <c r="G902" s="8">
        <f t="shared" si="3620"/>
        <v>3146</v>
      </c>
      <c r="H902" s="8">
        <f t="shared" si="3620"/>
        <v>3106</v>
      </c>
      <c r="I902" s="8">
        <f t="shared" si="3620"/>
        <v>3062</v>
      </c>
      <c r="J902" s="8">
        <f t="shared" si="3620"/>
        <v>3355</v>
      </c>
      <c r="K902" s="8">
        <f t="shared" si="3620"/>
        <v>3514</v>
      </c>
      <c r="L902" s="8">
        <f t="shared" si="3620"/>
        <v>3574</v>
      </c>
      <c r="M902" s="8">
        <f t="shared" si="3620"/>
        <v>3504</v>
      </c>
      <c r="N902" s="8">
        <f t="shared" si="3620"/>
        <v>3715</v>
      </c>
      <c r="O902" s="8">
        <f t="shared" si="3620"/>
        <v>3933</v>
      </c>
      <c r="P902" s="8">
        <f t="shared" si="3620"/>
        <v>3977</v>
      </c>
      <c r="Q902" s="8">
        <f t="shared" si="3620"/>
        <v>4070</v>
      </c>
      <c r="R902" s="8">
        <f t="shared" si="3620"/>
        <v>4316</v>
      </c>
      <c r="S902" s="8">
        <f t="shared" si="3620"/>
        <v>4513</v>
      </c>
      <c r="T902" s="8">
        <f t="shared" si="3620"/>
        <v>4565</v>
      </c>
      <c r="U902" s="8">
        <f t="shared" si="3620"/>
        <v>4603</v>
      </c>
      <c r="V902" s="8">
        <f t="shared" si="3620"/>
        <v>4887</v>
      </c>
      <c r="W902" s="8">
        <f t="shared" si="3620"/>
        <v>5214</v>
      </c>
      <c r="X902" s="8">
        <f t="shared" si="3620"/>
        <v>4926</v>
      </c>
      <c r="Y902" s="8">
        <f t="shared" si="3620"/>
        <v>4899</v>
      </c>
      <c r="Z902" s="8">
        <f t="shared" si="3620"/>
        <v>5204</v>
      </c>
      <c r="AA902" s="8">
        <f t="shared" si="3620"/>
        <v>5687</v>
      </c>
      <c r="AB902" s="8">
        <f t="shared" si="3620"/>
        <v>5599</v>
      </c>
      <c r="AC902" s="8">
        <f t="shared" si="3620"/>
        <v>5758</v>
      </c>
      <c r="AD902" s="8">
        <f t="shared" si="3620"/>
        <v>6306</v>
      </c>
      <c r="AE902" s="8">
        <f t="shared" si="3620"/>
        <v>6849</v>
      </c>
      <c r="AF902" s="8">
        <f t="shared" si="3620"/>
        <v>6628</v>
      </c>
      <c r="AG902" s="8">
        <f t="shared" si="3620"/>
        <v>6844</v>
      </c>
      <c r="AH902" s="8">
        <f t="shared" si="3620"/>
        <v>6984</v>
      </c>
      <c r="AI902" s="8">
        <f t="shared" si="3620"/>
        <v>6739</v>
      </c>
      <c r="AJ902" s="8">
        <f t="shared" si="3620"/>
        <v>6659</v>
      </c>
      <c r="AK902" s="8">
        <f t="shared" si="3620"/>
        <v>7142</v>
      </c>
      <c r="AL902" s="8">
        <f t="shared" si="3620"/>
        <v>7653</v>
      </c>
      <c r="AM902" s="8">
        <f t="shared" si="3620"/>
        <v>8056</v>
      </c>
      <c r="AN902" s="8">
        <f t="shared" si="3620"/>
        <v>7544</v>
      </c>
      <c r="AO902" s="8"/>
      <c r="AP902" s="8"/>
      <c r="AQ902" s="8"/>
      <c r="AS902" s="8"/>
      <c r="AT902" s="8"/>
      <c r="AU902" s="8"/>
      <c r="AV902" s="8"/>
      <c r="AW902" s="8"/>
      <c r="AX902" s="8"/>
      <c r="AY902" s="8"/>
      <c r="AZ902" s="8"/>
      <c r="BA902" s="8"/>
      <c r="BB902" s="8"/>
      <c r="BC902" s="8"/>
      <c r="BD902" s="8"/>
      <c r="BE902" s="8"/>
      <c r="BG902" s="8">
        <f t="shared" ref="BG902:BN904" si="3621">+BG29</f>
        <v>11988</v>
      </c>
      <c r="BH902" s="8">
        <f t="shared" si="3621"/>
        <v>13037</v>
      </c>
      <c r="BI902" s="8">
        <f t="shared" si="3621"/>
        <v>14726</v>
      </c>
      <c r="BJ902" s="8">
        <f t="shared" si="3621"/>
        <v>16876</v>
      </c>
      <c r="BK902" s="8">
        <f t="shared" si="3621"/>
        <v>19269</v>
      </c>
      <c r="BL902" s="8">
        <f t="shared" si="3621"/>
        <v>20716</v>
      </c>
      <c r="BM902" s="8">
        <f t="shared" si="3621"/>
        <v>24512</v>
      </c>
      <c r="BN902" s="8">
        <f t="shared" si="3621"/>
        <v>27195</v>
      </c>
      <c r="BO902" s="8">
        <f>+SUM(AJ902:AM902)</f>
        <v>29510</v>
      </c>
      <c r="BP902" s="8"/>
      <c r="BT902" s="7"/>
      <c r="BU902" s="7"/>
      <c r="BV902" s="7"/>
      <c r="BW902" s="7"/>
      <c r="BX902" s="7"/>
      <c r="BY902" s="7"/>
      <c r="BZ902" s="7"/>
      <c r="CA902" s="7"/>
      <c r="CB902" s="7"/>
      <c r="CC902" s="7"/>
    </row>
    <row r="903" spans="2:81">
      <c r="B903" t="s">
        <v>282</v>
      </c>
      <c r="D903" s="8">
        <f t="shared" ref="D903:AN903" si="3622">+D30</f>
        <v>3341</v>
      </c>
      <c r="E903" s="8">
        <f t="shared" si="3622"/>
        <v>3954</v>
      </c>
      <c r="F903" s="8">
        <f t="shared" si="3622"/>
        <v>3398</v>
      </c>
      <c r="G903" s="8">
        <f t="shared" si="3622"/>
        <v>3942</v>
      </c>
      <c r="H903" s="8">
        <f t="shared" si="3622"/>
        <v>3218</v>
      </c>
      <c r="I903" s="8">
        <f t="shared" si="3622"/>
        <v>4079</v>
      </c>
      <c r="J903" s="8">
        <f t="shared" si="3622"/>
        <v>3872</v>
      </c>
      <c r="K903" s="8">
        <f t="shared" si="3622"/>
        <v>4292</v>
      </c>
      <c r="L903" s="8">
        <f t="shared" si="3622"/>
        <v>3812</v>
      </c>
      <c r="M903" s="8">
        <f t="shared" si="3622"/>
        <v>4562</v>
      </c>
      <c r="N903" s="8">
        <f t="shared" si="3622"/>
        <v>4335</v>
      </c>
      <c r="O903" s="8">
        <f t="shared" si="3622"/>
        <v>4760</v>
      </c>
      <c r="P903" s="8">
        <f t="shared" si="3622"/>
        <v>4098</v>
      </c>
      <c r="Q903" s="8">
        <f t="shared" si="3622"/>
        <v>4588</v>
      </c>
      <c r="R903" s="8">
        <f t="shared" si="3622"/>
        <v>4565</v>
      </c>
      <c r="S903" s="8">
        <f t="shared" si="3622"/>
        <v>4962</v>
      </c>
      <c r="T903" s="8">
        <f t="shared" si="3622"/>
        <v>4337</v>
      </c>
      <c r="U903" s="8">
        <f t="shared" si="3622"/>
        <v>4933</v>
      </c>
      <c r="V903" s="8">
        <f t="shared" si="3622"/>
        <v>4911</v>
      </c>
      <c r="W903" s="8">
        <f t="shared" si="3622"/>
        <v>5417</v>
      </c>
      <c r="X903" s="8">
        <f t="shared" si="3622"/>
        <v>4231</v>
      </c>
      <c r="Y903" s="8">
        <f t="shared" si="3622"/>
        <v>4947</v>
      </c>
      <c r="Z903" s="8">
        <f t="shared" si="3622"/>
        <v>5082</v>
      </c>
      <c r="AA903" s="8">
        <f t="shared" si="3622"/>
        <v>5857</v>
      </c>
      <c r="AB903" s="8">
        <f t="shared" si="3622"/>
        <v>4547</v>
      </c>
      <c r="AC903" s="8">
        <f t="shared" si="3622"/>
        <v>5379</v>
      </c>
      <c r="AD903" s="8">
        <f t="shared" si="3622"/>
        <v>5595</v>
      </c>
      <c r="AE903" s="8">
        <f t="shared" si="3622"/>
        <v>6304</v>
      </c>
      <c r="AF903" s="8">
        <f t="shared" si="3622"/>
        <v>5126</v>
      </c>
      <c r="AG903" s="8">
        <f t="shared" si="3622"/>
        <v>5679</v>
      </c>
      <c r="AH903" s="8">
        <f t="shared" si="3622"/>
        <v>5750</v>
      </c>
      <c r="AI903" s="8">
        <f t="shared" si="3622"/>
        <v>6204</v>
      </c>
      <c r="AJ903" s="8">
        <f t="shared" si="3622"/>
        <v>5187</v>
      </c>
      <c r="AK903" s="8">
        <f t="shared" si="3622"/>
        <v>6246</v>
      </c>
      <c r="AL903" s="8">
        <f t="shared" si="3622"/>
        <v>6207</v>
      </c>
      <c r="AM903" s="8">
        <f t="shared" si="3622"/>
        <v>6816</v>
      </c>
      <c r="AN903" s="8">
        <f t="shared" si="3622"/>
        <v>5717</v>
      </c>
      <c r="AO903" s="8"/>
      <c r="AP903" s="8"/>
      <c r="AQ903" s="8"/>
      <c r="AS903" s="8"/>
      <c r="AT903" s="8"/>
      <c r="AU903" s="8"/>
      <c r="AV903" s="8"/>
      <c r="AW903" s="8"/>
      <c r="AX903" s="8"/>
      <c r="AY903" s="8"/>
      <c r="AZ903" s="8"/>
      <c r="BA903" s="8"/>
      <c r="BB903" s="8"/>
      <c r="BC903" s="8"/>
      <c r="BD903" s="8"/>
      <c r="BE903" s="8"/>
      <c r="BG903" s="8">
        <f t="shared" si="3621"/>
        <v>14635</v>
      </c>
      <c r="BH903" s="8">
        <f t="shared" si="3621"/>
        <v>15461</v>
      </c>
      <c r="BI903" s="8">
        <f t="shared" si="3621"/>
        <v>17469</v>
      </c>
      <c r="BJ903" s="8">
        <f t="shared" si="3621"/>
        <v>18213</v>
      </c>
      <c r="BK903" s="8">
        <f t="shared" si="3621"/>
        <v>19598</v>
      </c>
      <c r="BL903" s="8">
        <f t="shared" si="3621"/>
        <v>20117</v>
      </c>
      <c r="BM903" s="8">
        <f t="shared" si="3621"/>
        <v>21825</v>
      </c>
      <c r="BN903" s="8">
        <f t="shared" si="3621"/>
        <v>22759</v>
      </c>
      <c r="BO903" s="8">
        <f t="shared" ref="BO903:BO905" si="3623">+SUM(AJ903:AM903)</f>
        <v>24456</v>
      </c>
      <c r="BP903" s="8"/>
      <c r="BT903" s="3"/>
      <c r="BU903" s="3"/>
      <c r="BV903" s="3"/>
      <c r="BW903" s="3"/>
      <c r="BX903" s="3"/>
      <c r="BY903" s="3"/>
      <c r="BZ903" s="3"/>
      <c r="CA903" s="3"/>
      <c r="CB903" s="3"/>
      <c r="CC903" s="3"/>
    </row>
    <row r="904" spans="2:81" ht="11.45">
      <c r="B904" t="s">
        <v>283</v>
      </c>
      <c r="D904" s="10">
        <f t="shared" ref="D904:AN904" si="3624">+D31</f>
        <v>1084</v>
      </c>
      <c r="E904" s="10">
        <f t="shared" si="3624"/>
        <v>1038</v>
      </c>
      <c r="F904" s="10">
        <f t="shared" si="3624"/>
        <v>1140</v>
      </c>
      <c r="G904" s="10">
        <f t="shared" si="3624"/>
        <v>1301</v>
      </c>
      <c r="H904" s="10">
        <f t="shared" si="3624"/>
        <v>1045</v>
      </c>
      <c r="I904" s="10">
        <f t="shared" si="3624"/>
        <v>879</v>
      </c>
      <c r="J904" s="10">
        <f t="shared" si="3624"/>
        <v>1202</v>
      </c>
      <c r="K904" s="10">
        <f t="shared" si="3624"/>
        <v>1355</v>
      </c>
      <c r="L904" s="10">
        <f t="shared" si="3624"/>
        <v>1166</v>
      </c>
      <c r="M904" s="10">
        <f t="shared" si="3624"/>
        <v>1109</v>
      </c>
      <c r="N904" s="10">
        <f t="shared" si="3624"/>
        <v>1208</v>
      </c>
      <c r="O904" s="10">
        <f t="shared" si="3624"/>
        <v>1271</v>
      </c>
      <c r="P904" s="10">
        <f t="shared" si="3624"/>
        <v>1149</v>
      </c>
      <c r="Q904" s="10">
        <f t="shared" si="3624"/>
        <v>1132</v>
      </c>
      <c r="R904" s="10">
        <f t="shared" si="3624"/>
        <v>1179</v>
      </c>
      <c r="S904" s="10">
        <f t="shared" si="3624"/>
        <v>1425</v>
      </c>
      <c r="T904" s="10">
        <f t="shared" si="3624"/>
        <v>1061</v>
      </c>
      <c r="U904" s="10">
        <f t="shared" si="3624"/>
        <v>1121</v>
      </c>
      <c r="V904" s="10">
        <f t="shared" si="3624"/>
        <v>1273</v>
      </c>
      <c r="W904" s="10">
        <f t="shared" si="3624"/>
        <v>1656</v>
      </c>
      <c r="X904" s="10">
        <f t="shared" si="3624"/>
        <v>1119</v>
      </c>
      <c r="Y904" s="10">
        <f t="shared" si="3624"/>
        <v>1139</v>
      </c>
      <c r="Z904" s="10">
        <f t="shared" si="3624"/>
        <v>1327</v>
      </c>
      <c r="AA904" s="10">
        <f t="shared" si="3624"/>
        <v>1522</v>
      </c>
      <c r="AB904" s="10">
        <f t="shared" si="3624"/>
        <v>1287</v>
      </c>
      <c r="AC904" s="10">
        <f t="shared" si="3624"/>
        <v>1384</v>
      </c>
      <c r="AD904" s="10">
        <f t="shared" si="3624"/>
        <v>1480</v>
      </c>
      <c r="AE904" s="10">
        <f t="shared" si="3624"/>
        <v>1749</v>
      </c>
      <c r="AF904" s="10">
        <f t="shared" si="3624"/>
        <v>1398</v>
      </c>
      <c r="AG904" s="10">
        <f t="shared" si="3624"/>
        <v>1166</v>
      </c>
      <c r="AH904" s="10">
        <f t="shared" si="3624"/>
        <v>1643</v>
      </c>
      <c r="AI904" s="10">
        <f t="shared" si="3624"/>
        <v>2197</v>
      </c>
      <c r="AJ904" s="10">
        <f t="shared" si="3624"/>
        <v>1474</v>
      </c>
      <c r="AK904" s="10">
        <f t="shared" si="3624"/>
        <v>1427</v>
      </c>
      <c r="AL904" s="10">
        <f t="shared" si="3624"/>
        <v>1642</v>
      </c>
      <c r="AM904" s="10">
        <f t="shared" si="3624"/>
        <v>1996</v>
      </c>
      <c r="AN904" s="10">
        <f t="shared" si="3624"/>
        <v>1443</v>
      </c>
      <c r="AO904" s="10"/>
      <c r="AP904" s="10"/>
      <c r="AQ904" s="10"/>
      <c r="AS904" s="10"/>
      <c r="AT904" s="10"/>
      <c r="AU904" s="10"/>
      <c r="AV904" s="10"/>
      <c r="AW904" s="10"/>
      <c r="AX904" s="10"/>
      <c r="AY904" s="10"/>
      <c r="AZ904" s="10"/>
      <c r="BA904" s="838"/>
      <c r="BB904" s="10"/>
      <c r="BC904" s="10"/>
      <c r="BD904" s="10"/>
      <c r="BE904" s="10"/>
      <c r="BG904" s="10">
        <f t="shared" si="3621"/>
        <v>4563</v>
      </c>
      <c r="BH904" s="10">
        <f t="shared" si="3621"/>
        <v>4481</v>
      </c>
      <c r="BI904" s="10">
        <f t="shared" si="3621"/>
        <v>4754</v>
      </c>
      <c r="BJ904" s="10">
        <f t="shared" si="3621"/>
        <v>4885</v>
      </c>
      <c r="BK904" s="10">
        <f t="shared" si="3621"/>
        <v>5111</v>
      </c>
      <c r="BL904" s="10">
        <f t="shared" si="3621"/>
        <v>5107</v>
      </c>
      <c r="BM904" s="10">
        <f t="shared" si="3621"/>
        <v>5900</v>
      </c>
      <c r="BN904" s="10">
        <f t="shared" si="3621"/>
        <v>6404</v>
      </c>
      <c r="BO904" s="10">
        <f t="shared" si="3623"/>
        <v>6539</v>
      </c>
      <c r="BP904" s="10"/>
      <c r="BT904" s="3"/>
      <c r="BU904" s="3"/>
      <c r="BV904" s="3"/>
      <c r="BW904" s="3"/>
      <c r="BX904" s="3"/>
      <c r="BY904" s="3"/>
      <c r="BZ904" s="3"/>
      <c r="CA904" s="3"/>
      <c r="CB904" s="3"/>
      <c r="CC904" s="3"/>
    </row>
    <row r="905" spans="2:81" s="1" customFormat="1" ht="10.5">
      <c r="B905" s="837" t="s">
        <v>499</v>
      </c>
      <c r="D905" s="838">
        <f>SUM(D902:D904)</f>
        <v>7387</v>
      </c>
      <c r="E905" s="838">
        <f t="shared" ref="E905:AF905" si="3625">SUM(E902:E904)</f>
        <v>7892</v>
      </c>
      <c r="F905" s="838">
        <f t="shared" si="3625"/>
        <v>7518</v>
      </c>
      <c r="G905" s="838">
        <f t="shared" si="3625"/>
        <v>8389</v>
      </c>
      <c r="H905" s="838">
        <f t="shared" si="3625"/>
        <v>7369</v>
      </c>
      <c r="I905" s="838">
        <f t="shared" si="3625"/>
        <v>8020</v>
      </c>
      <c r="J905" s="838">
        <f t="shared" si="3625"/>
        <v>8429</v>
      </c>
      <c r="K905" s="838">
        <f t="shared" si="3625"/>
        <v>9161</v>
      </c>
      <c r="L905" s="838">
        <f t="shared" si="3625"/>
        <v>8552</v>
      </c>
      <c r="M905" s="838">
        <f t="shared" si="3625"/>
        <v>9175</v>
      </c>
      <c r="N905" s="838">
        <f t="shared" si="3625"/>
        <v>9258</v>
      </c>
      <c r="O905" s="838">
        <f t="shared" si="3625"/>
        <v>9964</v>
      </c>
      <c r="P905" s="838">
        <f t="shared" si="3625"/>
        <v>9224</v>
      </c>
      <c r="Q905" s="838">
        <f t="shared" si="3625"/>
        <v>9790</v>
      </c>
      <c r="R905" s="838">
        <f t="shared" si="3625"/>
        <v>10060</v>
      </c>
      <c r="S905" s="838">
        <f t="shared" si="3625"/>
        <v>10900</v>
      </c>
      <c r="T905" s="838">
        <f t="shared" si="3625"/>
        <v>9963</v>
      </c>
      <c r="U905" s="838">
        <f t="shared" si="3625"/>
        <v>10657</v>
      </c>
      <c r="V905" s="838">
        <f t="shared" si="3625"/>
        <v>11071</v>
      </c>
      <c r="W905" s="838">
        <f t="shared" si="3625"/>
        <v>12287</v>
      </c>
      <c r="X905" s="838">
        <f t="shared" si="3625"/>
        <v>10276</v>
      </c>
      <c r="Y905" s="838">
        <f t="shared" si="3625"/>
        <v>10985</v>
      </c>
      <c r="Z905" s="838">
        <f t="shared" si="3625"/>
        <v>11613</v>
      </c>
      <c r="AA905" s="838">
        <f t="shared" si="3625"/>
        <v>13066</v>
      </c>
      <c r="AB905" s="838">
        <f t="shared" si="3625"/>
        <v>11433</v>
      </c>
      <c r="AC905" s="838">
        <f t="shared" si="3625"/>
        <v>12521</v>
      </c>
      <c r="AD905" s="838">
        <f t="shared" si="3625"/>
        <v>13381</v>
      </c>
      <c r="AE905" s="838">
        <f t="shared" si="3625"/>
        <v>14902</v>
      </c>
      <c r="AF905" s="838">
        <f t="shared" si="3625"/>
        <v>13152</v>
      </c>
      <c r="AG905" s="838">
        <f t="shared" ref="AG905:AH905" si="3626">SUM(AG902:AG904)</f>
        <v>13689</v>
      </c>
      <c r="AH905" s="838">
        <f t="shared" si="3626"/>
        <v>14377</v>
      </c>
      <c r="AI905" s="838">
        <f t="shared" ref="AI905:AJ905" si="3627">SUM(AI902:AI904)</f>
        <v>15140</v>
      </c>
      <c r="AJ905" s="838">
        <f t="shared" si="3627"/>
        <v>13320</v>
      </c>
      <c r="AK905" s="838">
        <f t="shared" ref="AK905:AL905" si="3628">SUM(AK902:AK904)</f>
        <v>14815</v>
      </c>
      <c r="AL905" s="838">
        <f t="shared" si="3628"/>
        <v>15502</v>
      </c>
      <c r="AM905" s="838">
        <f t="shared" ref="AM905:AN905" si="3629">SUM(AM902:AM904)</f>
        <v>16868</v>
      </c>
      <c r="AN905" s="838">
        <f t="shared" si="3629"/>
        <v>14704</v>
      </c>
      <c r="AO905" s="838">
        <f>+AO32</f>
        <v>15354.258804150031</v>
      </c>
      <c r="AP905" s="838">
        <f>+AP32</f>
        <v>16268.700175027894</v>
      </c>
      <c r="AQ905" s="838">
        <f>+AQ32</f>
        <v>18001.566394501875</v>
      </c>
      <c r="AS905" s="838"/>
      <c r="AT905" s="838"/>
      <c r="AU905" s="838"/>
      <c r="AV905" s="838"/>
      <c r="AW905" s="838"/>
      <c r="AX905" s="838"/>
      <c r="AY905" s="838"/>
      <c r="AZ905" s="838"/>
      <c r="BA905" s="838"/>
      <c r="BB905" s="838"/>
      <c r="BC905" s="838"/>
      <c r="BD905" s="838"/>
      <c r="BE905" s="838"/>
      <c r="BG905" s="838">
        <f t="shared" ref="BG905" si="3630">SUM(BG902:BG904)</f>
        <v>31186</v>
      </c>
      <c r="BH905" s="838">
        <f t="shared" ref="BH905" si="3631">SUM(BH902:BH904)</f>
        <v>32979</v>
      </c>
      <c r="BI905" s="838">
        <f t="shared" ref="BI905:BM905" si="3632">SUM(BI902:BI904)</f>
        <v>36949</v>
      </c>
      <c r="BJ905" s="838">
        <f t="shared" si="3632"/>
        <v>39974</v>
      </c>
      <c r="BK905" s="838">
        <f t="shared" si="3632"/>
        <v>43978</v>
      </c>
      <c r="BL905" s="838">
        <f t="shared" si="3632"/>
        <v>45940</v>
      </c>
      <c r="BM905" s="838">
        <f t="shared" si="3632"/>
        <v>52237</v>
      </c>
      <c r="BN905" s="838">
        <f t="shared" ref="BN905" si="3633">SUM(BN902:BN904)</f>
        <v>56358</v>
      </c>
      <c r="BO905" s="838">
        <f t="shared" si="3623"/>
        <v>60505</v>
      </c>
      <c r="BP905" s="838">
        <f>+BP32</f>
        <v>64328.525373679804</v>
      </c>
      <c r="BT905" s="3"/>
      <c r="BU905" s="3"/>
      <c r="BV905" s="3"/>
      <c r="BW905" s="3"/>
      <c r="BX905" s="3"/>
      <c r="BY905" s="3"/>
      <c r="BZ905" s="3"/>
      <c r="CA905" s="3"/>
      <c r="CB905" s="3"/>
      <c r="CC905" s="3"/>
    </row>
    <row r="906" spans="2:81" s="7" customFormat="1" ht="10.5">
      <c r="B906" s="887" t="s">
        <v>309</v>
      </c>
      <c r="L906" s="842"/>
      <c r="M906" s="842"/>
      <c r="N906" s="842"/>
      <c r="O906" s="842"/>
      <c r="P906" s="842"/>
      <c r="Q906" s="842"/>
      <c r="R906" s="842"/>
      <c r="S906" s="842"/>
      <c r="T906" s="842">
        <f t="shared" ref="T906:U906" si="3634">+T905/S905-1</f>
        <v>-8.596330275229358E-2</v>
      </c>
      <c r="U906" s="842">
        <f t="shared" si="3634"/>
        <v>6.9657733614373107E-2</v>
      </c>
      <c r="V906" s="842">
        <f>+V905/U905-1</f>
        <v>3.8847705733320748E-2</v>
      </c>
      <c r="W906" s="842">
        <f t="shared" ref="W906" si="3635">+W905/V905-1</f>
        <v>0.10983650980037929</v>
      </c>
      <c r="X906" s="842">
        <f t="shared" ref="X906" si="3636">+X905/W905-1</f>
        <v>-0.16366891836900788</v>
      </c>
      <c r="Y906" s="842">
        <f t="shared" ref="Y906" si="3637">+Y905/X905-1</f>
        <v>6.899571817827943E-2</v>
      </c>
      <c r="Z906" s="842">
        <f t="shared" ref="Z906" si="3638">+Z905/Y905-1</f>
        <v>5.7168866636322369E-2</v>
      </c>
      <c r="AA906" s="842">
        <f t="shared" ref="AA906" si="3639">+AA905/Z905-1</f>
        <v>0.12511840179109623</v>
      </c>
      <c r="AB906" s="842">
        <f t="shared" ref="AB906" si="3640">+AB905/AA905-1</f>
        <v>-0.12498086637073325</v>
      </c>
      <c r="AC906" s="842">
        <f t="shared" ref="AC906" si="3641">+AC905/AB905-1</f>
        <v>9.5163124289337819E-2</v>
      </c>
      <c r="AD906" s="842">
        <f t="shared" ref="AD906" si="3642">+AD905/AC905-1</f>
        <v>6.868460985544278E-2</v>
      </c>
      <c r="AE906" s="842">
        <f t="shared" ref="AE906" si="3643">+AE905/AD905-1</f>
        <v>0.11366863463119348</v>
      </c>
      <c r="AF906" s="842">
        <f t="shared" ref="AF906" si="3644">+AF905/AE905-1</f>
        <v>-0.11743390148973287</v>
      </c>
      <c r="AG906" s="842">
        <f t="shared" ref="AG906" si="3645">+AG905/AF905-1</f>
        <v>4.0830291970803012E-2</v>
      </c>
      <c r="AH906" s="842">
        <f t="shared" ref="AH906" si="3646">+AH905/AG905-1</f>
        <v>5.0259332310614413E-2</v>
      </c>
      <c r="AI906" s="842">
        <f t="shared" ref="AI906" si="3647">+AI905/AH905-1</f>
        <v>5.3070877095360736E-2</v>
      </c>
      <c r="AJ906" s="842">
        <f t="shared" ref="AJ906" si="3648">+AJ905/AI905-1</f>
        <v>-0.12021136063408189</v>
      </c>
      <c r="AK906" s="842">
        <f t="shared" ref="AK906" si="3649">+AK905/AJ905-1</f>
        <v>0.11223723723723733</v>
      </c>
      <c r="AL906" s="842">
        <f t="shared" ref="AL906" si="3650">+AL905/AK905-1</f>
        <v>4.6371920350995577E-2</v>
      </c>
      <c r="AM906" s="842">
        <f t="shared" ref="AM906" si="3651">+AM905/AL905-1</f>
        <v>8.8117662237130689E-2</v>
      </c>
      <c r="AN906" s="842">
        <f t="shared" ref="AN906" si="3652">+AN905/AM905-1</f>
        <v>-0.12829025373488256</v>
      </c>
      <c r="AO906" s="842">
        <f t="shared" ref="AO906" si="3653">+AO905/AN905-1</f>
        <v>4.4223259259387415E-2</v>
      </c>
      <c r="AP906" s="842">
        <f t="shared" ref="AP906" si="3654">+AP905/AO905-1</f>
        <v>5.9556204082655162E-2</v>
      </c>
      <c r="AQ906" s="842">
        <f t="shared" ref="AQ906" si="3655">+AQ905/AP905-1</f>
        <v>0.10651534546895713</v>
      </c>
      <c r="AR906" s="842"/>
      <c r="AS906" s="842"/>
      <c r="AT906" s="842"/>
      <c r="AU906" s="842"/>
      <c r="AV906" s="842"/>
      <c r="AW906" s="842"/>
      <c r="AX906" s="842"/>
      <c r="AY906" s="842"/>
      <c r="AZ906" s="842"/>
      <c r="BA906" s="842"/>
      <c r="BB906" s="842"/>
      <c r="BC906" s="842"/>
      <c r="BD906" s="842"/>
      <c r="BE906" s="842"/>
      <c r="BF906" s="842"/>
      <c r="BG906" s="842"/>
      <c r="BH906" s="842"/>
      <c r="BI906" s="842">
        <f t="shared" ref="BI906" si="3656">+BI905/BH905-1</f>
        <v>0.12037963552563746</v>
      </c>
      <c r="BJ906" s="842">
        <f t="shared" ref="BJ906" si="3657">+BJ905/BI905-1</f>
        <v>8.1869604048824041E-2</v>
      </c>
      <c r="BK906" s="842">
        <f t="shared" ref="BK906" si="3658">+BK905/BJ905-1</f>
        <v>0.10016510731975781</v>
      </c>
      <c r="BL906" s="842">
        <f t="shared" ref="BL906" si="3659">+BL905/BK905-1</f>
        <v>4.4613215698758424E-2</v>
      </c>
      <c r="BM906" s="842">
        <f t="shared" ref="BM906" si="3660">+BM905/BL905-1</f>
        <v>0.13707009142359605</v>
      </c>
      <c r="BN906" s="842">
        <f t="shared" ref="BN906" si="3661">+BN905/BM905-1</f>
        <v>7.8890441640982356E-2</v>
      </c>
      <c r="BO906" s="842">
        <f t="shared" ref="BO906" si="3662">+BO905/BN905-1</f>
        <v>7.3583164768089793E-2</v>
      </c>
      <c r="BP906" s="842">
        <f t="shared" ref="BP906" si="3663">+BP905/BO905-1</f>
        <v>6.319354390017029E-2</v>
      </c>
      <c r="BT906" s="1"/>
      <c r="BU906" s="1"/>
      <c r="BV906" s="1"/>
      <c r="BW906" s="1"/>
      <c r="BX906" s="1"/>
      <c r="BY906" s="1"/>
      <c r="BZ906" s="1"/>
      <c r="CA906" s="1"/>
      <c r="CB906" s="1"/>
      <c r="CC906" s="1"/>
    </row>
    <row r="907" spans="2:81" s="7" customFormat="1" ht="10.5">
      <c r="B907" s="887"/>
      <c r="L907" s="842"/>
      <c r="M907" s="842"/>
      <c r="N907" s="842"/>
      <c r="O907" s="842"/>
      <c r="P907" s="842"/>
      <c r="Q907" s="842"/>
      <c r="R907" s="842"/>
      <c r="S907" s="842"/>
      <c r="T907" s="842"/>
      <c r="U907" s="842"/>
      <c r="V907" s="842"/>
      <c r="W907" s="842"/>
      <c r="X907" s="842"/>
      <c r="Y907" s="842"/>
      <c r="Z907" s="842"/>
      <c r="AA907" s="842"/>
      <c r="AB907" s="842"/>
      <c r="AC907" s="842"/>
      <c r="AD907" s="842"/>
      <c r="AE907" s="842"/>
      <c r="AF907" s="842"/>
      <c r="AG907" s="842"/>
      <c r="AH907" s="842"/>
      <c r="AI907" s="842"/>
      <c r="AJ907" s="842"/>
      <c r="AK907" s="842"/>
      <c r="AL907" s="842"/>
      <c r="AM907" s="842"/>
      <c r="AN907" s="842"/>
      <c r="AO907" s="842"/>
      <c r="AP907" s="842"/>
      <c r="AQ907" s="842"/>
      <c r="AR907" s="842"/>
      <c r="AS907" s="842"/>
      <c r="AT907" s="842"/>
      <c r="AU907" s="842"/>
      <c r="AV907" s="842"/>
      <c r="AW907" s="842"/>
      <c r="AX907" s="842"/>
      <c r="AY907" s="842"/>
      <c r="AZ907" s="842"/>
      <c r="BA907" s="842"/>
      <c r="BB907" s="842"/>
      <c r="BC907" s="842"/>
      <c r="BD907" s="842"/>
      <c r="BE907" s="842"/>
      <c r="BF907" s="842"/>
      <c r="BG907" s="842"/>
      <c r="BH907" s="842"/>
      <c r="BI907" s="842"/>
      <c r="BJ907" s="842"/>
      <c r="BK907" s="842"/>
      <c r="BL907" s="842"/>
      <c r="BM907" s="842"/>
      <c r="BN907" s="842"/>
      <c r="BO907" s="842"/>
      <c r="BP907" s="842"/>
      <c r="BT907" s="1"/>
      <c r="BU907" s="1"/>
      <c r="BV907" s="1"/>
      <c r="BW907" s="1"/>
      <c r="BX907" s="1"/>
      <c r="BY907" s="1"/>
      <c r="BZ907" s="1"/>
      <c r="CA907" s="1"/>
      <c r="CB907" s="1"/>
      <c r="CC907" s="1"/>
    </row>
    <row r="908" spans="2:81">
      <c r="B908" s="24" t="s">
        <v>113</v>
      </c>
      <c r="BT908" s="3"/>
      <c r="BU908" s="3"/>
      <c r="BV908" s="3"/>
      <c r="BW908" s="3"/>
      <c r="BX908" s="3"/>
      <c r="BY908" s="3"/>
      <c r="BZ908" s="3"/>
      <c r="CA908" s="3"/>
      <c r="CB908" s="3"/>
      <c r="CC908" s="3"/>
    </row>
    <row r="909" spans="2:81" s="3" customFormat="1">
      <c r="B909" s="13" t="str">
        <f>+B902</f>
        <v>R&amp;D</v>
      </c>
      <c r="D909" s="228"/>
      <c r="E909" s="228"/>
      <c r="F909" s="228"/>
      <c r="G909" s="228"/>
      <c r="H909" s="228">
        <f t="shared" ref="H909:Q912" si="3664">+H902/D902-1</f>
        <v>4.8615800135043852E-2</v>
      </c>
      <c r="I909" s="228">
        <f t="shared" si="3664"/>
        <v>5.5862068965517153E-2</v>
      </c>
      <c r="J909" s="228">
        <f t="shared" si="3664"/>
        <v>0.12583892617449655</v>
      </c>
      <c r="K909" s="228">
        <f t="shared" si="3664"/>
        <v>0.11697393515575327</v>
      </c>
      <c r="L909" s="228">
        <f t="shared" si="3664"/>
        <v>0.1506761107533805</v>
      </c>
      <c r="M909" s="228">
        <f t="shared" si="3664"/>
        <v>0.14435009797517973</v>
      </c>
      <c r="N909" s="228">
        <f t="shared" si="3664"/>
        <v>0.10730253353204167</v>
      </c>
      <c r="O909" s="228">
        <f t="shared" si="3664"/>
        <v>0.1192373363688104</v>
      </c>
      <c r="P909" s="228">
        <f t="shared" si="3664"/>
        <v>0.11275881365416907</v>
      </c>
      <c r="Q909" s="228">
        <f t="shared" si="3664"/>
        <v>0.1615296803652968</v>
      </c>
      <c r="R909" s="228">
        <f t="shared" ref="R909:AA912" si="3665">+R902/N902-1</f>
        <v>0.16177658142664875</v>
      </c>
      <c r="S909" s="228">
        <f t="shared" si="3665"/>
        <v>0.14747012458682929</v>
      </c>
      <c r="T909" s="228">
        <f t="shared" si="3665"/>
        <v>0.14785013829519733</v>
      </c>
      <c r="U909" s="228">
        <f t="shared" si="3665"/>
        <v>0.13095823095823089</v>
      </c>
      <c r="V909" s="228">
        <f t="shared" si="3665"/>
        <v>0.13229842446709927</v>
      </c>
      <c r="W909" s="228">
        <f t="shared" si="3665"/>
        <v>0.15532904941280745</v>
      </c>
      <c r="X909" s="228">
        <f t="shared" si="3665"/>
        <v>7.9079956188389922E-2</v>
      </c>
      <c r="Y909" s="228">
        <f t="shared" si="3665"/>
        <v>6.4305887464696898E-2</v>
      </c>
      <c r="Z909" s="228">
        <f t="shared" si="3665"/>
        <v>6.4865970943319029E-2</v>
      </c>
      <c r="AA909" s="228">
        <f t="shared" si="3665"/>
        <v>9.0717299578058963E-2</v>
      </c>
      <c r="AB909" s="228">
        <f t="shared" ref="AB909:AK912" si="3666">+AB902/X902-1</f>
        <v>0.13662200568412497</v>
      </c>
      <c r="AC909" s="228">
        <f t="shared" si="3666"/>
        <v>0.17534190651153292</v>
      </c>
      <c r="AD909" s="228">
        <f t="shared" si="3666"/>
        <v>0.21176018447348199</v>
      </c>
      <c r="AE909" s="228">
        <f t="shared" si="3666"/>
        <v>0.20432565500263755</v>
      </c>
      <c r="AF909" s="228">
        <f t="shared" si="3666"/>
        <v>0.18378281836042154</v>
      </c>
      <c r="AG909" s="228">
        <f t="shared" si="3666"/>
        <v>0.18860715526224392</v>
      </c>
      <c r="AH909" s="228">
        <f t="shared" si="3666"/>
        <v>0.1075166508087535</v>
      </c>
      <c r="AI909" s="228">
        <f t="shared" si="3666"/>
        <v>-1.6060738793984508E-2</v>
      </c>
      <c r="AJ909" s="228">
        <f t="shared" si="3666"/>
        <v>4.6771273385637357E-3</v>
      </c>
      <c r="AK909" s="228">
        <f t="shared" si="3666"/>
        <v>4.3541788427819972E-2</v>
      </c>
      <c r="AL909" s="228">
        <f t="shared" ref="AL909:AN912" si="3667">+AL902/AH902-1</f>
        <v>9.5790378006872956E-2</v>
      </c>
      <c r="AM909" s="228">
        <f t="shared" si="3667"/>
        <v>0.19542958895978635</v>
      </c>
      <c r="AN909" s="228">
        <f t="shared" si="3667"/>
        <v>0.13290283826400362</v>
      </c>
      <c r="AO909" s="228"/>
      <c r="AP909" s="228"/>
      <c r="AQ909" s="228"/>
      <c r="AR909" s="228"/>
      <c r="AS909" s="228"/>
      <c r="AT909" s="228"/>
      <c r="AU909" s="228"/>
      <c r="AV909" s="228"/>
      <c r="AW909" s="228"/>
      <c r="AX909" s="228"/>
      <c r="AY909" s="228"/>
      <c r="AZ909" s="228"/>
      <c r="BA909" s="228"/>
      <c r="BB909" s="228"/>
      <c r="BC909" s="228"/>
      <c r="BD909" s="228"/>
      <c r="BE909" s="228"/>
      <c r="BF909" s="228"/>
      <c r="BG909" s="228"/>
      <c r="BH909" s="228">
        <f t="shared" ref="BH909:BO912" si="3668">+BH902/BG902-1</f>
        <v>8.7504170837504169E-2</v>
      </c>
      <c r="BI909" s="228">
        <f t="shared" si="3668"/>
        <v>0.12955434532484467</v>
      </c>
      <c r="BJ909" s="228">
        <f t="shared" si="3668"/>
        <v>0.14600027162841234</v>
      </c>
      <c r="BK909" s="228">
        <f t="shared" si="3668"/>
        <v>0.14179900450343674</v>
      </c>
      <c r="BL909" s="228">
        <f t="shared" si="3668"/>
        <v>7.5094711713114437E-2</v>
      </c>
      <c r="BM909" s="228">
        <f t="shared" si="3668"/>
        <v>0.1832400077234988</v>
      </c>
      <c r="BN909" s="228">
        <f t="shared" si="3668"/>
        <v>0.10945659268929497</v>
      </c>
      <c r="BO909" s="228">
        <f t="shared" si="3668"/>
        <v>8.5125942268799326E-2</v>
      </c>
      <c r="BP909" s="228"/>
    </row>
    <row r="910" spans="2:81" s="3" customFormat="1">
      <c r="B910" s="13" t="str">
        <f>+B903</f>
        <v>S&amp;M</v>
      </c>
      <c r="D910" s="228"/>
      <c r="E910" s="228"/>
      <c r="F910" s="228"/>
      <c r="G910" s="228"/>
      <c r="H910" s="228">
        <f t="shared" si="3664"/>
        <v>-3.6815324753067924E-2</v>
      </c>
      <c r="I910" s="228">
        <f t="shared" si="3664"/>
        <v>3.161355589276682E-2</v>
      </c>
      <c r="J910" s="228">
        <f t="shared" si="3664"/>
        <v>0.1394938198940554</v>
      </c>
      <c r="K910" s="228">
        <f t="shared" si="3664"/>
        <v>8.8787417554540893E-2</v>
      </c>
      <c r="L910" s="228">
        <f t="shared" si="3664"/>
        <v>0.1845866998135488</v>
      </c>
      <c r="M910" s="228">
        <f t="shared" si="3664"/>
        <v>0.11841137533709234</v>
      </c>
      <c r="N910" s="228">
        <f t="shared" si="3664"/>
        <v>0.11957644628099184</v>
      </c>
      <c r="O910" s="228">
        <f t="shared" si="3664"/>
        <v>0.1090400745573159</v>
      </c>
      <c r="P910" s="228">
        <f t="shared" si="3664"/>
        <v>7.5026232948583349E-2</v>
      </c>
      <c r="Q910" s="228">
        <f t="shared" si="3664"/>
        <v>5.6992547128451587E-3</v>
      </c>
      <c r="R910" s="228">
        <f t="shared" si="3665"/>
        <v>5.3056516724336866E-2</v>
      </c>
      <c r="S910" s="228">
        <f t="shared" si="3665"/>
        <v>4.2436974789916038E-2</v>
      </c>
      <c r="T910" s="228">
        <f t="shared" si="3665"/>
        <v>5.8321132259638864E-2</v>
      </c>
      <c r="U910" s="228">
        <f t="shared" si="3665"/>
        <v>7.5196163905841384E-2</v>
      </c>
      <c r="V910" s="228">
        <f t="shared" si="3665"/>
        <v>7.5794085432639546E-2</v>
      </c>
      <c r="W910" s="228">
        <f t="shared" si="3665"/>
        <v>9.1696896412736706E-2</v>
      </c>
      <c r="X910" s="228">
        <f t="shared" si="3665"/>
        <v>-2.44408577357621E-2</v>
      </c>
      <c r="Y910" s="228">
        <f t="shared" si="3665"/>
        <v>2.8380295965944047E-3</v>
      </c>
      <c r="Z910" s="228">
        <f t="shared" si="3665"/>
        <v>3.4819792302993369E-2</v>
      </c>
      <c r="AA910" s="228">
        <f t="shared" si="3665"/>
        <v>8.1225770721801815E-2</v>
      </c>
      <c r="AB910" s="228">
        <f t="shared" si="3666"/>
        <v>7.4686835263531037E-2</v>
      </c>
      <c r="AC910" s="228">
        <f t="shared" si="3666"/>
        <v>8.7325651910248547E-2</v>
      </c>
      <c r="AD910" s="228">
        <f t="shared" si="3666"/>
        <v>0.10094451003541915</v>
      </c>
      <c r="AE910" s="228">
        <f t="shared" si="3666"/>
        <v>7.6318934608161193E-2</v>
      </c>
      <c r="AF910" s="228">
        <f t="shared" si="3666"/>
        <v>0.12733670552012311</v>
      </c>
      <c r="AG910" s="228">
        <f t="shared" si="3666"/>
        <v>5.577244841048512E-2</v>
      </c>
      <c r="AH910" s="228">
        <f t="shared" si="3666"/>
        <v>2.7703306523681803E-2</v>
      </c>
      <c r="AI910" s="228">
        <f t="shared" si="3666"/>
        <v>-1.5862944162436499E-2</v>
      </c>
      <c r="AJ910" s="228">
        <f t="shared" si="3666"/>
        <v>1.1900117050331671E-2</v>
      </c>
      <c r="AK910" s="228">
        <f t="shared" si="3666"/>
        <v>9.9841521394611776E-2</v>
      </c>
      <c r="AL910" s="228">
        <f t="shared" si="3667"/>
        <v>7.947826086956522E-2</v>
      </c>
      <c r="AM910" s="228">
        <f t="shared" si="3667"/>
        <v>9.8646034816247674E-2</v>
      </c>
      <c r="AN910" s="228">
        <f t="shared" si="3667"/>
        <v>0.10217852323115473</v>
      </c>
      <c r="AO910" s="228"/>
      <c r="AP910" s="228"/>
      <c r="AQ910" s="228"/>
      <c r="AR910" s="228"/>
      <c r="AS910" s="228"/>
      <c r="AT910" s="228"/>
      <c r="AU910" s="228"/>
      <c r="AV910" s="228"/>
      <c r="AW910" s="228"/>
      <c r="AX910" s="228"/>
      <c r="AY910" s="228"/>
      <c r="AZ910" s="228"/>
      <c r="BA910" s="228"/>
      <c r="BB910" s="228"/>
      <c r="BC910" s="228"/>
      <c r="BD910" s="228"/>
      <c r="BE910" s="228"/>
      <c r="BF910" s="228"/>
      <c r="BG910" s="228"/>
      <c r="BH910" s="228">
        <f t="shared" si="3668"/>
        <v>5.6440040997608465E-2</v>
      </c>
      <c r="BI910" s="228">
        <f t="shared" si="3668"/>
        <v>0.12987516978203217</v>
      </c>
      <c r="BJ910" s="228">
        <f t="shared" si="3668"/>
        <v>4.2589730379529511E-2</v>
      </c>
      <c r="BK910" s="228">
        <f t="shared" si="3668"/>
        <v>7.604458353923027E-2</v>
      </c>
      <c r="BL910" s="228">
        <f t="shared" si="3668"/>
        <v>2.6482294111644045E-2</v>
      </c>
      <c r="BM910" s="228">
        <f t="shared" si="3668"/>
        <v>8.4903315603718221E-2</v>
      </c>
      <c r="BN910" s="228">
        <f t="shared" si="3668"/>
        <v>4.2794959908361907E-2</v>
      </c>
      <c r="BO910" s="228">
        <f t="shared" si="3668"/>
        <v>7.4563908783338517E-2</v>
      </c>
      <c r="BP910" s="228"/>
    </row>
    <row r="911" spans="2:81" s="839" customFormat="1" ht="11.45">
      <c r="B911" s="13" t="str">
        <f>+B904</f>
        <v>G&amp;A</v>
      </c>
      <c r="D911" s="840"/>
      <c r="E911" s="840"/>
      <c r="F911" s="840"/>
      <c r="G911" s="840"/>
      <c r="H911" s="840">
        <f t="shared" si="3664"/>
        <v>-3.5977859778597798E-2</v>
      </c>
      <c r="I911" s="840">
        <f t="shared" si="3664"/>
        <v>-0.15317919075144504</v>
      </c>
      <c r="J911" s="840">
        <f t="shared" si="3664"/>
        <v>5.4385964912280649E-2</v>
      </c>
      <c r="K911" s="840">
        <f t="shared" si="3664"/>
        <v>4.1506533435818671E-2</v>
      </c>
      <c r="L911" s="840">
        <f t="shared" si="3664"/>
        <v>0.11578947368421044</v>
      </c>
      <c r="M911" s="840">
        <f t="shared" si="3664"/>
        <v>0.26166097838452784</v>
      </c>
      <c r="N911" s="840">
        <f t="shared" si="3664"/>
        <v>4.991680532445919E-3</v>
      </c>
      <c r="O911" s="840">
        <f t="shared" si="3664"/>
        <v>-6.199261992619931E-2</v>
      </c>
      <c r="P911" s="840">
        <f t="shared" si="3664"/>
        <v>-1.4579759862778707E-2</v>
      </c>
      <c r="Q911" s="840">
        <f t="shared" si="3664"/>
        <v>2.0739404869251521E-2</v>
      </c>
      <c r="R911" s="840">
        <f t="shared" si="3665"/>
        <v>-2.4006622516556275E-2</v>
      </c>
      <c r="S911" s="840">
        <f t="shared" si="3665"/>
        <v>0.12116443745082606</v>
      </c>
      <c r="T911" s="840">
        <f t="shared" si="3665"/>
        <v>-7.6588337684943442E-2</v>
      </c>
      <c r="U911" s="840">
        <f t="shared" si="3665"/>
        <v>-9.7173144876324669E-3</v>
      </c>
      <c r="V911" s="840">
        <f t="shared" si="3665"/>
        <v>7.9728583545377374E-2</v>
      </c>
      <c r="W911" s="840">
        <f t="shared" si="3665"/>
        <v>0.16210526315789475</v>
      </c>
      <c r="X911" s="840">
        <f t="shared" si="3665"/>
        <v>5.4665409990575009E-2</v>
      </c>
      <c r="Y911" s="840">
        <f t="shared" si="3665"/>
        <v>1.605709188224802E-2</v>
      </c>
      <c r="Z911" s="840">
        <f t="shared" si="3665"/>
        <v>4.2419481539670123E-2</v>
      </c>
      <c r="AA911" s="840">
        <f t="shared" si="3665"/>
        <v>-8.0917874396135292E-2</v>
      </c>
      <c r="AB911" s="840">
        <f t="shared" si="3666"/>
        <v>0.15013404825737275</v>
      </c>
      <c r="AC911" s="840">
        <f t="shared" si="3666"/>
        <v>0.21510096575943805</v>
      </c>
      <c r="AD911" s="840">
        <f t="shared" si="3666"/>
        <v>0.1152976639035419</v>
      </c>
      <c r="AE911" s="840">
        <f t="shared" si="3666"/>
        <v>0.14914586070959257</v>
      </c>
      <c r="AF911" s="840">
        <f t="shared" si="3666"/>
        <v>8.6247086247086324E-2</v>
      </c>
      <c r="AG911" s="840">
        <f t="shared" si="3666"/>
        <v>-0.15751445086705207</v>
      </c>
      <c r="AH911" s="840">
        <f t="shared" si="3666"/>
        <v>0.11013513513513518</v>
      </c>
      <c r="AI911" s="840">
        <f t="shared" si="3666"/>
        <v>0.25614636935391655</v>
      </c>
      <c r="AJ911" s="840">
        <f t="shared" si="3666"/>
        <v>5.4363376251788331E-2</v>
      </c>
      <c r="AK911" s="840">
        <f t="shared" si="3666"/>
        <v>0.22384219554030871</v>
      </c>
      <c r="AL911" s="840">
        <f t="shared" si="3667"/>
        <v>-6.0864272671945496E-4</v>
      </c>
      <c r="AM911" s="840">
        <f t="shared" si="3667"/>
        <v>-9.148839326354119E-2</v>
      </c>
      <c r="AN911" s="840">
        <f t="shared" si="3667"/>
        <v>-2.1031207598371737E-2</v>
      </c>
      <c r="AO911" s="840"/>
      <c r="AP911" s="840"/>
      <c r="AQ911" s="840"/>
      <c r="AR911" s="840"/>
      <c r="AS911" s="840"/>
      <c r="AT911" s="840"/>
      <c r="AU911" s="840"/>
      <c r="AV911" s="840"/>
      <c r="AW911" s="840"/>
      <c r="AX911" s="840"/>
      <c r="AY911" s="840"/>
      <c r="AZ911" s="840"/>
      <c r="BA911" s="840"/>
      <c r="BB911" s="840"/>
      <c r="BC911" s="840"/>
      <c r="BD911" s="840"/>
      <c r="BE911" s="840"/>
      <c r="BF911" s="840"/>
      <c r="BG911" s="840"/>
      <c r="BH911" s="840">
        <f t="shared" si="3668"/>
        <v>-1.7970633355248733E-2</v>
      </c>
      <c r="BI911" s="840">
        <f t="shared" si="3668"/>
        <v>6.0923900914974238E-2</v>
      </c>
      <c r="BJ911" s="840">
        <f t="shared" si="3668"/>
        <v>2.7555742532604066E-2</v>
      </c>
      <c r="BK911" s="840">
        <f t="shared" si="3668"/>
        <v>4.6264073694984642E-2</v>
      </c>
      <c r="BL911" s="840">
        <f t="shared" si="3668"/>
        <v>-7.8262570925458075E-4</v>
      </c>
      <c r="BM911" s="840">
        <f t="shared" si="3668"/>
        <v>0.15527707068729191</v>
      </c>
      <c r="BN911" s="840">
        <f t="shared" si="3668"/>
        <v>8.5423728813559308E-2</v>
      </c>
      <c r="BO911" s="840">
        <f t="shared" si="3668"/>
        <v>2.1080574640849559E-2</v>
      </c>
      <c r="BP911" s="840"/>
      <c r="BT911" s="3"/>
      <c r="BU911" s="3"/>
      <c r="BV911" s="3"/>
      <c r="BW911" s="3"/>
      <c r="BX911" s="3"/>
      <c r="BY911" s="3"/>
      <c r="BZ911" s="3"/>
      <c r="CA911" s="3"/>
      <c r="CB911" s="3"/>
      <c r="CC911" s="3"/>
    </row>
    <row r="912" spans="2:81" s="7" customFormat="1">
      <c r="B912" s="841" t="str">
        <f>+B905</f>
        <v>Total Opex (excl. 1x)</v>
      </c>
      <c r="D912" s="842"/>
      <c r="E912" s="842"/>
      <c r="F912" s="842"/>
      <c r="G912" s="842"/>
      <c r="H912" s="842">
        <f t="shared" si="3664"/>
        <v>-2.4367131447137202E-3</v>
      </c>
      <c r="I912" s="842">
        <f t="shared" si="3664"/>
        <v>1.6218955904713672E-2</v>
      </c>
      <c r="J912" s="842">
        <f t="shared" si="3664"/>
        <v>0.12117584463953168</v>
      </c>
      <c r="K912" s="842">
        <f t="shared" si="3664"/>
        <v>9.2025271188461044E-2</v>
      </c>
      <c r="L912" s="842">
        <f t="shared" si="3664"/>
        <v>0.16053738634821557</v>
      </c>
      <c r="M912" s="842">
        <f t="shared" si="3664"/>
        <v>0.14401496259351632</v>
      </c>
      <c r="N912" s="842">
        <f t="shared" si="3664"/>
        <v>9.8350931308577527E-2</v>
      </c>
      <c r="O912" s="842">
        <f t="shared" si="3664"/>
        <v>8.7654186224211283E-2</v>
      </c>
      <c r="P912" s="842">
        <f t="shared" si="3664"/>
        <v>7.8578110383535904E-2</v>
      </c>
      <c r="Q912" s="842">
        <f t="shared" si="3664"/>
        <v>6.7029972752043587E-2</v>
      </c>
      <c r="R912" s="842">
        <f t="shared" si="3665"/>
        <v>8.6627781378267432E-2</v>
      </c>
      <c r="S912" s="842">
        <f t="shared" si="3665"/>
        <v>9.3938177438779524E-2</v>
      </c>
      <c r="T912" s="842">
        <f t="shared" si="3665"/>
        <v>8.0117085862966064E-2</v>
      </c>
      <c r="U912" s="842">
        <f t="shared" si="3665"/>
        <v>8.8559754851889716E-2</v>
      </c>
      <c r="V912" s="842">
        <f t="shared" si="3665"/>
        <v>0.10049701789264409</v>
      </c>
      <c r="W912" s="842">
        <f t="shared" si="3665"/>
        <v>0.12724770642201833</v>
      </c>
      <c r="X912" s="842">
        <f t="shared" si="3665"/>
        <v>3.1416240088326886E-2</v>
      </c>
      <c r="Y912" s="842">
        <f t="shared" si="3665"/>
        <v>3.0777892465046364E-2</v>
      </c>
      <c r="Z912" s="842">
        <f t="shared" si="3665"/>
        <v>4.8956733809050634E-2</v>
      </c>
      <c r="AA912" s="842">
        <f t="shared" si="3665"/>
        <v>6.3400341824692674E-2</v>
      </c>
      <c r="AB912" s="842">
        <f t="shared" si="3666"/>
        <v>0.11259244842351102</v>
      </c>
      <c r="AC912" s="842">
        <f t="shared" si="3666"/>
        <v>0.13982703686845688</v>
      </c>
      <c r="AD912" s="842">
        <f t="shared" si="3666"/>
        <v>0.15224317575131319</v>
      </c>
      <c r="AE912" s="842">
        <f t="shared" si="3666"/>
        <v>0.14051737333537417</v>
      </c>
      <c r="AF912" s="842">
        <f t="shared" si="3666"/>
        <v>0.15035423773287859</v>
      </c>
      <c r="AG912" s="842">
        <f t="shared" si="3666"/>
        <v>9.3283284082740892E-2</v>
      </c>
      <c r="AH912" s="842">
        <f t="shared" si="3666"/>
        <v>7.4433898811748112E-2</v>
      </c>
      <c r="AI912" s="842">
        <f t="shared" si="3666"/>
        <v>1.5971010602603641E-2</v>
      </c>
      <c r="AJ912" s="842">
        <f t="shared" si="3666"/>
        <v>1.2773722627737127E-2</v>
      </c>
      <c r="AK912" s="842">
        <f t="shared" si="3666"/>
        <v>8.2255825845569452E-2</v>
      </c>
      <c r="AL912" s="842">
        <f t="shared" si="3667"/>
        <v>7.8249982611114932E-2</v>
      </c>
      <c r="AM912" s="842">
        <f t="shared" si="3667"/>
        <v>0.11413474240422716</v>
      </c>
      <c r="AN912" s="842">
        <f t="shared" si="3667"/>
        <v>0.1039039039039038</v>
      </c>
      <c r="AO912" s="842">
        <f t="shared" ref="AO912:AQ912" si="3669">+AO905/AK905-1</f>
        <v>3.6399514286198587E-2</v>
      </c>
      <c r="AP912" s="842">
        <f t="shared" si="3669"/>
        <v>4.9458145724931901E-2</v>
      </c>
      <c r="AQ912" s="842">
        <f t="shared" si="3669"/>
        <v>6.7202181319769627E-2</v>
      </c>
      <c r="AR912" s="842"/>
      <c r="AS912" s="842"/>
      <c r="AT912" s="842"/>
      <c r="AU912" s="842"/>
      <c r="AV912" s="842"/>
      <c r="AW912" s="842"/>
      <c r="AX912" s="842"/>
      <c r="AY912" s="842"/>
      <c r="AZ912" s="842"/>
      <c r="BA912" s="842"/>
      <c r="BB912" s="842"/>
      <c r="BC912" s="842"/>
      <c r="BD912" s="842"/>
      <c r="BE912" s="842"/>
      <c r="BF912" s="842"/>
      <c r="BG912" s="842"/>
      <c r="BH912" s="842">
        <f t="shared" si="3668"/>
        <v>5.7493747194253819E-2</v>
      </c>
      <c r="BI912" s="842">
        <f t="shared" si="3668"/>
        <v>0.12037963552563746</v>
      </c>
      <c r="BJ912" s="842">
        <f t="shared" si="3668"/>
        <v>8.1869604048824041E-2</v>
      </c>
      <c r="BK912" s="842">
        <f t="shared" si="3668"/>
        <v>0.10016510731975781</v>
      </c>
      <c r="BL912" s="842">
        <f t="shared" si="3668"/>
        <v>4.4613215698758424E-2</v>
      </c>
      <c r="BM912" s="842">
        <f t="shared" si="3668"/>
        <v>0.13707009142359605</v>
      </c>
      <c r="BN912" s="842">
        <f t="shared" si="3668"/>
        <v>7.8890441640982356E-2</v>
      </c>
      <c r="BO912" s="842">
        <f t="shared" si="3668"/>
        <v>7.3583164768089793E-2</v>
      </c>
      <c r="BP912" s="842">
        <f>+BP905/BO905-1</f>
        <v>6.319354390017029E-2</v>
      </c>
      <c r="BT912" s="3"/>
      <c r="BU912" s="3"/>
      <c r="BV912" s="3"/>
      <c r="BW912" s="3"/>
      <c r="BX912" s="3"/>
      <c r="BY912" s="3"/>
      <c r="BZ912" s="3"/>
      <c r="CA912" s="3"/>
      <c r="CB912" s="3"/>
      <c r="CC912" s="3"/>
    </row>
    <row r="913" spans="2:81" s="7" customFormat="1">
      <c r="B913" s="841"/>
      <c r="D913" s="842"/>
      <c r="E913" s="842"/>
      <c r="F913" s="842"/>
      <c r="G913" s="842"/>
      <c r="H913" s="842"/>
      <c r="I913" s="842"/>
      <c r="J913" s="842"/>
      <c r="K913" s="842"/>
      <c r="L913" s="842"/>
      <c r="M913" s="842"/>
      <c r="N913" s="842"/>
      <c r="O913" s="842"/>
      <c r="P913" s="842"/>
      <c r="Q913" s="842"/>
      <c r="R913" s="842"/>
      <c r="S913" s="842"/>
      <c r="T913" s="842"/>
      <c r="U913" s="842"/>
      <c r="V913" s="842"/>
      <c r="W913" s="842"/>
      <c r="X913" s="842"/>
      <c r="Y913" s="842"/>
      <c r="Z913" s="842"/>
      <c r="AA913" s="842"/>
      <c r="AB913" s="842"/>
      <c r="AC913" s="842"/>
      <c r="AD913" s="842"/>
      <c r="AE913" s="842"/>
      <c r="AF913" s="842"/>
      <c r="AG913" s="842"/>
      <c r="AH913" s="842"/>
      <c r="AI913" s="842"/>
      <c r="AJ913" s="842"/>
      <c r="AK913" s="842"/>
      <c r="AL913" s="842"/>
      <c r="AM913" s="842"/>
      <c r="AN913" s="842"/>
      <c r="AO913" s="842"/>
      <c r="AP913" s="842"/>
      <c r="AQ913" s="842"/>
      <c r="AR913" s="842"/>
      <c r="AS913" s="842"/>
      <c r="AT913" s="842"/>
      <c r="AU913" s="842"/>
      <c r="AV913" s="842"/>
      <c r="AW913" s="842"/>
      <c r="AX913" s="842"/>
      <c r="AY913" s="842"/>
      <c r="AZ913" s="842"/>
      <c r="BA913" s="842"/>
      <c r="BB913" s="842"/>
      <c r="BC913" s="842"/>
      <c r="BD913" s="842"/>
      <c r="BE913" s="842"/>
      <c r="BF913" s="842"/>
      <c r="BG913" s="842"/>
      <c r="BH913" s="842"/>
      <c r="BI913" s="842"/>
      <c r="BJ913" s="842"/>
      <c r="BK913" s="842"/>
      <c r="BL913" s="842"/>
      <c r="BM913" s="842"/>
      <c r="BN913" s="842"/>
      <c r="BO913" s="842"/>
      <c r="BP913" s="842"/>
      <c r="BT913" s="3"/>
      <c r="BU913" s="3"/>
      <c r="BV913" s="3"/>
      <c r="BW913" s="3"/>
      <c r="BX913" s="3"/>
      <c r="BY913" s="3"/>
      <c r="BZ913" s="3"/>
      <c r="CA913" s="3"/>
      <c r="CB913" s="3"/>
      <c r="CC913" s="3"/>
    </row>
    <row r="914" spans="2:81" s="100" customFormat="1">
      <c r="B914" s="1515" t="s">
        <v>500</v>
      </c>
      <c r="D914" s="11"/>
      <c r="E914" s="11"/>
      <c r="F914" s="11"/>
      <c r="G914" s="11"/>
      <c r="H914" s="11"/>
      <c r="I914" s="11"/>
      <c r="J914" s="11"/>
      <c r="K914" s="11"/>
      <c r="L914" s="11"/>
      <c r="M914" s="11"/>
      <c r="N914" s="11"/>
      <c r="O914" s="11">
        <f t="shared" ref="O914" si="3670">+BI914</f>
        <v>289796.07843137259</v>
      </c>
      <c r="P914" s="11"/>
      <c r="Q914" s="11"/>
      <c r="R914" s="11"/>
      <c r="S914" s="11"/>
      <c r="T914" s="11"/>
      <c r="U914" s="11"/>
      <c r="V914" s="11">
        <f t="shared" ref="V914:AN914" si="3671">+V905/AVERAGE(U924:V924)*1000000</f>
        <v>74702.732830956957</v>
      </c>
      <c r="W914" s="11">
        <f t="shared" si="3671"/>
        <v>78296.713828062857</v>
      </c>
      <c r="X914" s="11">
        <f t="shared" si="3671"/>
        <v>63845.646776281625</v>
      </c>
      <c r="Y914" s="11">
        <f t="shared" si="3671"/>
        <v>68871.500577367216</v>
      </c>
      <c r="Z914" s="11">
        <f t="shared" si="3671"/>
        <v>70583.136941618126</v>
      </c>
      <c r="AA914" s="11">
        <f t="shared" si="3671"/>
        <v>74671.338815243318</v>
      </c>
      <c r="AB914" s="11">
        <f t="shared" si="3671"/>
        <v>63140.011769498888</v>
      </c>
      <c r="AC914" s="11">
        <f t="shared" si="3671"/>
        <v>68260.031918289184</v>
      </c>
      <c r="AD914" s="11">
        <f t="shared" si="3671"/>
        <v>68891.383265856959</v>
      </c>
      <c r="AE914" s="11">
        <f t="shared" si="3671"/>
        <v>70333.542618372332</v>
      </c>
      <c r="AF914" s="11">
        <f t="shared" si="3671"/>
        <v>59511.312217194572</v>
      </c>
      <c r="AG914" s="11">
        <f t="shared" si="3671"/>
        <v>61941.176470588238</v>
      </c>
      <c r="AH914" s="11">
        <f t="shared" si="3671"/>
        <v>65054.29864253394</v>
      </c>
      <c r="AI914" s="11">
        <f t="shared" si="3671"/>
        <v>68506.787330316743</v>
      </c>
      <c r="AJ914" s="11">
        <f t="shared" si="3671"/>
        <v>62457.505919864961</v>
      </c>
      <c r="AK914" s="11">
        <f t="shared" si="3671"/>
        <v>70194.972874369239</v>
      </c>
      <c r="AL914" s="11">
        <f t="shared" si="3671"/>
        <v>71212.991248822844</v>
      </c>
      <c r="AM914" s="11">
        <f t="shared" si="3671"/>
        <v>75507.509120615941</v>
      </c>
      <c r="AN914" s="11">
        <f t="shared" si="3671"/>
        <v>65355.119558444028</v>
      </c>
      <c r="AO914" s="11">
        <f t="shared" ref="AO914:AQ914" si="3672">+AO905/AVERAGE(AN924:AO924)*1000000</f>
        <v>69519.525326427378</v>
      </c>
      <c r="AP914" s="11">
        <f t="shared" si="3672"/>
        <v>72937.796828058825</v>
      </c>
      <c r="AQ914" s="11">
        <f t="shared" si="3672"/>
        <v>77972.009639033204</v>
      </c>
      <c r="AR914" s="11"/>
      <c r="AS914" s="11"/>
      <c r="AT914" s="11"/>
      <c r="AU914" s="11"/>
      <c r="AV914" s="11"/>
      <c r="AW914" s="11"/>
      <c r="AX914" s="11"/>
      <c r="AY914" s="11"/>
      <c r="AZ914" s="11"/>
      <c r="BA914" s="11"/>
      <c r="BB914" s="11"/>
      <c r="BC914" s="11"/>
      <c r="BD914" s="11"/>
      <c r="BE914" s="11"/>
      <c r="BF914" s="11"/>
      <c r="BG914" s="11"/>
      <c r="BH914" s="11">
        <f t="shared" ref="BH914:BP914" si="3673">+BH905/AVERAGE(BG924:BH924)*1000000</f>
        <v>277134.45378151257</v>
      </c>
      <c r="BI914" s="11">
        <f t="shared" si="3673"/>
        <v>289796.07843137259</v>
      </c>
      <c r="BJ914" s="11">
        <f t="shared" si="3673"/>
        <v>290720</v>
      </c>
      <c r="BK914" s="11">
        <f t="shared" si="3673"/>
        <v>286501.62866449513</v>
      </c>
      <c r="BL914" s="11">
        <f t="shared" si="3673"/>
        <v>267093.02325581398</v>
      </c>
      <c r="BM914" s="11">
        <f t="shared" si="3673"/>
        <v>259885.57213930346</v>
      </c>
      <c r="BN914" s="11">
        <f t="shared" si="3673"/>
        <v>255013.57466063346</v>
      </c>
      <c r="BO914" s="11">
        <f t="shared" si="3673"/>
        <v>269510.02227171493</v>
      </c>
      <c r="BP914" s="11">
        <f t="shared" si="3673"/>
        <v>277637.69942488067</v>
      </c>
    </row>
    <row r="915" spans="2:81" s="3" customFormat="1">
      <c r="B915" s="884" t="s">
        <v>309</v>
      </c>
      <c r="L915" s="228"/>
      <c r="M915" s="228"/>
      <c r="N915" s="228"/>
      <c r="O915" s="228"/>
      <c r="P915" s="228"/>
      <c r="Q915" s="228"/>
      <c r="R915" s="228"/>
      <c r="S915" s="228"/>
      <c r="T915" s="228"/>
      <c r="U915" s="228"/>
      <c r="V915" s="228"/>
      <c r="W915" s="228">
        <f t="shared" ref="W915:AQ915" si="3674">+W914/V914-1</f>
        <v>4.8110435333585944E-2</v>
      </c>
      <c r="X915" s="228">
        <f t="shared" si="3674"/>
        <v>-0.18456798944991903</v>
      </c>
      <c r="Y915" s="228">
        <f t="shared" si="3674"/>
        <v>7.8718817254627149E-2</v>
      </c>
      <c r="Z915" s="228">
        <f t="shared" si="3674"/>
        <v>2.4852607390601689E-2</v>
      </c>
      <c r="AA915" s="228">
        <f t="shared" si="3674"/>
        <v>5.7920376605061996E-2</v>
      </c>
      <c r="AB915" s="228">
        <f t="shared" si="3674"/>
        <v>-0.1544277527188308</v>
      </c>
      <c r="AC915" s="228">
        <f t="shared" si="3674"/>
        <v>8.1089946062753659E-2</v>
      </c>
      <c r="AD915" s="228">
        <f t="shared" si="3674"/>
        <v>9.2492096740233176E-3</v>
      </c>
      <c r="AE915" s="228">
        <f t="shared" si="3674"/>
        <v>2.0933813260070266E-2</v>
      </c>
      <c r="AF915" s="228">
        <f t="shared" si="3674"/>
        <v>-0.15387011656584471</v>
      </c>
      <c r="AG915" s="228">
        <f t="shared" si="3674"/>
        <v>4.0830291970803012E-2</v>
      </c>
      <c r="AH915" s="228">
        <f t="shared" si="3674"/>
        <v>5.0259332310614413E-2</v>
      </c>
      <c r="AI915" s="228">
        <f t="shared" si="3674"/>
        <v>5.3070877095360514E-2</v>
      </c>
      <c r="AJ915" s="228">
        <f t="shared" si="3674"/>
        <v>-8.8301928118219575E-2</v>
      </c>
      <c r="AK915" s="228">
        <f t="shared" si="3674"/>
        <v>0.12388370045438091</v>
      </c>
      <c r="AL915" s="228">
        <f t="shared" si="3674"/>
        <v>1.450272480731063E-2</v>
      </c>
      <c r="AM915" s="228">
        <f t="shared" si="3674"/>
        <v>6.0305258864745248E-2</v>
      </c>
      <c r="AN915" s="228">
        <f t="shared" si="3674"/>
        <v>-0.13445536318718254</v>
      </c>
      <c r="AO915" s="228">
        <f t="shared" si="3674"/>
        <v>6.3719656487803089E-2</v>
      </c>
      <c r="AP915" s="228">
        <f t="shared" si="3674"/>
        <v>4.9169948810510844E-2</v>
      </c>
      <c r="AQ915" s="228">
        <f t="shared" si="3674"/>
        <v>6.9020631687598977E-2</v>
      </c>
      <c r="AR915" s="228"/>
      <c r="AS915" s="228"/>
      <c r="AT915" s="228"/>
      <c r="AU915" s="228"/>
      <c r="AV915" s="228"/>
      <c r="AW915" s="228"/>
      <c r="AX915" s="228"/>
      <c r="AY915" s="228"/>
      <c r="AZ915" s="228"/>
      <c r="BA915" s="228"/>
      <c r="BB915" s="228"/>
      <c r="BC915" s="228"/>
      <c r="BD915" s="228"/>
      <c r="BE915" s="228"/>
      <c r="BF915" s="228"/>
      <c r="BG915" s="228"/>
      <c r="BH915" s="228"/>
      <c r="BI915" s="228">
        <f>+BI916</f>
        <v>4.5687659823928639E-2</v>
      </c>
      <c r="BJ915" s="228">
        <f t="shared" ref="BJ915:BP915" si="3675">+BJ916</f>
        <v>3.1881782998184338E-3</v>
      </c>
      <c r="BK915" s="228">
        <f t="shared" si="3675"/>
        <v>-1.4510083019760867E-2</v>
      </c>
      <c r="BL915" s="228">
        <f t="shared" si="3675"/>
        <v>-6.7743438315352122E-2</v>
      </c>
      <c r="BM915" s="228">
        <f t="shared" si="3675"/>
        <v>-2.6984797388763804E-2</v>
      </c>
      <c r="BN915" s="228">
        <f t="shared" si="3675"/>
        <v>-1.8746702398925508E-2</v>
      </c>
      <c r="BO915" s="228">
        <f t="shared" si="3675"/>
        <v>5.6845788034511679E-2</v>
      </c>
      <c r="BP915" s="228">
        <f t="shared" si="3675"/>
        <v>3.0157235284451023E-2</v>
      </c>
      <c r="BT915"/>
      <c r="BU915"/>
      <c r="BV915"/>
      <c r="BW915"/>
      <c r="BX915"/>
      <c r="BY915"/>
      <c r="BZ915"/>
      <c r="CA915"/>
      <c r="CB915"/>
      <c r="CC915"/>
    </row>
    <row r="916" spans="2:81" s="3" customFormat="1">
      <c r="B916" s="884" t="s">
        <v>113</v>
      </c>
      <c r="L916" s="228"/>
      <c r="M916" s="228"/>
      <c r="N916" s="228"/>
      <c r="O916" s="228"/>
      <c r="P916" s="228"/>
      <c r="Q916" s="228"/>
      <c r="R916" s="228"/>
      <c r="S916" s="228"/>
      <c r="T916" s="228"/>
      <c r="U916" s="228"/>
      <c r="V916" s="228"/>
      <c r="W916" s="228"/>
      <c r="X916" s="228"/>
      <c r="Y916" s="228"/>
      <c r="Z916" s="228">
        <f>+Z914/V914-1</f>
        <v>-5.5146521863677522E-2</v>
      </c>
      <c r="AA916" s="228">
        <f t="shared" ref="AA916:AN916" si="3676">+AA914/W914-1</f>
        <v>-4.6303029023424314E-2</v>
      </c>
      <c r="AB916" s="228">
        <f t="shared" si="3676"/>
        <v>-1.1052202341301665E-2</v>
      </c>
      <c r="AC916" s="228">
        <f t="shared" si="3676"/>
        <v>-8.8783989596848967E-3</v>
      </c>
      <c r="AD916" s="228">
        <f t="shared" si="3676"/>
        <v>-2.3968241552659753E-2</v>
      </c>
      <c r="AE916" s="228">
        <f t="shared" si="3676"/>
        <v>-5.8091849773898474E-2</v>
      </c>
      <c r="AF916" s="228">
        <f t="shared" si="3676"/>
        <v>-5.7470682228431769E-2</v>
      </c>
      <c r="AG916" s="228">
        <f t="shared" si="3676"/>
        <v>-9.2570355889445621E-2</v>
      </c>
      <c r="AH916" s="228">
        <f t="shared" si="3676"/>
        <v>-5.569759876232161E-2</v>
      </c>
      <c r="AI916" s="228">
        <f t="shared" si="3676"/>
        <v>-2.5972746715852257E-2</v>
      </c>
      <c r="AJ916" s="228">
        <f t="shared" si="3676"/>
        <v>4.9506448318898721E-2</v>
      </c>
      <c r="AK916" s="228">
        <f t="shared" si="3676"/>
        <v>0.13325217366028208</v>
      </c>
      <c r="AL916" s="228">
        <f t="shared" si="3676"/>
        <v>9.4670033107731033E-2</v>
      </c>
      <c r="AM916" s="228">
        <f t="shared" si="3676"/>
        <v>0.10219019257966466</v>
      </c>
      <c r="AN916" s="228">
        <f t="shared" si="3676"/>
        <v>4.6393361308675996E-2</v>
      </c>
      <c r="AO916" s="228">
        <f t="shared" ref="AO916" si="3677">+AO914/AK914-1</f>
        <v>-9.6224490199710022E-3</v>
      </c>
      <c r="AP916" s="228">
        <f t="shared" ref="AP916" si="3678">+AP914/AL914-1</f>
        <v>2.4220378178040569E-2</v>
      </c>
      <c r="AQ916" s="228">
        <f t="shared" ref="AQ916" si="3679">+AQ914/AM914-1</f>
        <v>3.2639144730366665E-2</v>
      </c>
      <c r="AR916" s="228"/>
      <c r="AS916" s="228"/>
      <c r="AT916" s="228"/>
      <c r="AU916" s="228"/>
      <c r="AV916" s="228"/>
      <c r="AW916" s="228"/>
      <c r="AX916" s="228"/>
      <c r="AY916" s="228"/>
      <c r="AZ916" s="228"/>
      <c r="BA916" s="228"/>
      <c r="BB916" s="228"/>
      <c r="BC916" s="228"/>
      <c r="BD916" s="228"/>
      <c r="BE916" s="228"/>
      <c r="BF916" s="228"/>
      <c r="BG916" s="228"/>
      <c r="BH916" s="228"/>
      <c r="BI916" s="228">
        <f>+BI914/BH914-1</f>
        <v>4.5687659823928639E-2</v>
      </c>
      <c r="BJ916" s="228">
        <f t="shared" ref="BJ916:BO916" si="3680">+BJ914/BI914-1</f>
        <v>3.1881782998184338E-3</v>
      </c>
      <c r="BK916" s="228">
        <f t="shared" si="3680"/>
        <v>-1.4510083019760867E-2</v>
      </c>
      <c r="BL916" s="228">
        <f t="shared" si="3680"/>
        <v>-6.7743438315352122E-2</v>
      </c>
      <c r="BM916" s="228">
        <f t="shared" si="3680"/>
        <v>-2.6984797388763804E-2</v>
      </c>
      <c r="BN916" s="228">
        <f t="shared" si="3680"/>
        <v>-1.8746702398925508E-2</v>
      </c>
      <c r="BO916" s="228">
        <f t="shared" si="3680"/>
        <v>5.6845788034511679E-2</v>
      </c>
      <c r="BP916" s="228">
        <f t="shared" ref="BP916" si="3681">+BP914/BO914-1</f>
        <v>3.0157235284451023E-2</v>
      </c>
      <c r="BT916"/>
      <c r="BU916"/>
      <c r="BV916"/>
      <c r="BW916"/>
      <c r="BX916"/>
      <c r="BY916"/>
      <c r="BZ916"/>
      <c r="CA916"/>
      <c r="CB916"/>
      <c r="CC916"/>
    </row>
    <row r="917" spans="2:81" s="7" customFormat="1">
      <c r="B917" s="841"/>
      <c r="D917" s="842"/>
      <c r="E917" s="842"/>
      <c r="F917" s="842"/>
      <c r="G917" s="842"/>
      <c r="H917" s="842"/>
      <c r="I917" s="842"/>
      <c r="J917" s="842"/>
      <c r="K917" s="842"/>
      <c r="L917" s="842"/>
      <c r="M917" s="842"/>
      <c r="N917" s="842"/>
      <c r="O917" s="842"/>
      <c r="P917" s="842"/>
      <c r="Q917" s="842"/>
      <c r="R917" s="842"/>
      <c r="S917" s="842"/>
      <c r="T917" s="842"/>
      <c r="U917" s="842"/>
      <c r="V917" s="842"/>
      <c r="W917" s="842"/>
      <c r="X917" s="842"/>
      <c r="Y917" s="842"/>
      <c r="Z917" s="842"/>
      <c r="AA917" s="842"/>
      <c r="AB917" s="842"/>
      <c r="AC917" s="842"/>
      <c r="AD917" s="842"/>
      <c r="AE917" s="842"/>
      <c r="AF917" s="842"/>
      <c r="AG917" s="842"/>
      <c r="AH917" s="842"/>
      <c r="AI917" s="842"/>
      <c r="AJ917" s="842"/>
      <c r="AK917" s="842"/>
      <c r="AL917" s="842"/>
      <c r="AM917" s="842"/>
      <c r="AN917" s="842"/>
      <c r="AO917" s="842"/>
      <c r="AP917" s="842"/>
      <c r="AQ917" s="842"/>
      <c r="AR917" s="842"/>
      <c r="AS917" s="842"/>
      <c r="AT917" s="842"/>
      <c r="AU917" s="842"/>
      <c r="AV917" s="842"/>
      <c r="AW917" s="842"/>
      <c r="AX917" s="842"/>
      <c r="AY917" s="842"/>
      <c r="AZ917" s="842"/>
      <c r="BA917" s="842"/>
      <c r="BB917" s="842"/>
      <c r="BC917" s="842"/>
      <c r="BD917" s="842"/>
      <c r="BE917" s="842"/>
      <c r="BF917" s="842"/>
      <c r="BG917" s="842"/>
      <c r="BH917" s="842"/>
      <c r="BI917" s="842"/>
      <c r="BJ917" s="842"/>
      <c r="BK917" s="842"/>
      <c r="BL917" s="842"/>
      <c r="BM917" s="842"/>
      <c r="BN917" s="842"/>
      <c r="BO917" s="842"/>
      <c r="BP917" s="842"/>
      <c r="BT917" s="3"/>
      <c r="BU917" s="3"/>
      <c r="BV917" s="3"/>
      <c r="BW917" s="3"/>
      <c r="BX917" s="3"/>
      <c r="BY917" s="3"/>
      <c r="BZ917" s="3"/>
      <c r="CA917" s="3"/>
      <c r="CB917" s="3"/>
      <c r="CC917" s="3"/>
    </row>
    <row r="918" spans="2:81">
      <c r="B918" t="s">
        <v>501</v>
      </c>
      <c r="H918" s="911"/>
      <c r="I918" s="911"/>
      <c r="J918" s="911"/>
      <c r="K918" s="911"/>
      <c r="L918" s="911"/>
      <c r="M918" s="911"/>
      <c r="N918" s="911"/>
      <c r="O918" s="911"/>
      <c r="P918" s="911"/>
      <c r="Q918" s="911"/>
      <c r="R918" s="911"/>
      <c r="S918" s="911"/>
      <c r="T918" s="911"/>
      <c r="U918" s="911"/>
      <c r="V918" s="911"/>
      <c r="W918" s="911"/>
      <c r="X918" s="911"/>
      <c r="Y918" s="911">
        <v>0.1</v>
      </c>
      <c r="Z918" s="911">
        <v>0.12</v>
      </c>
      <c r="AA918" s="911">
        <v>0.12</v>
      </c>
      <c r="AB918" s="911">
        <v>0.14000000000000001</v>
      </c>
      <c r="AC918" s="911">
        <v>0.16</v>
      </c>
      <c r="AD918" s="911">
        <v>0.2</v>
      </c>
      <c r="AE918" s="911">
        <v>0.22</v>
      </c>
      <c r="AF918" s="911">
        <v>0.22</v>
      </c>
      <c r="AG918" s="911">
        <v>0.19</v>
      </c>
      <c r="AH918" s="911">
        <v>0.09</v>
      </c>
      <c r="AI918" s="911">
        <f>+AI931</f>
        <v>0</v>
      </c>
      <c r="AJ918" s="911">
        <v>-7.0000000000000007E-2</v>
      </c>
      <c r="AK918" s="911">
        <v>-0.02</v>
      </c>
      <c r="AL918" s="911">
        <v>-0.01</v>
      </c>
      <c r="AM918" s="911">
        <f>+AM945</f>
        <v>3.167420814479649E-2</v>
      </c>
      <c r="AN918" s="911">
        <v>0.08</v>
      </c>
      <c r="AO918" s="911"/>
      <c r="AP918" s="911"/>
      <c r="AQ918" s="911"/>
      <c r="BH918" s="912">
        <f>+BH931</f>
        <v>8.7719298245614086E-2</v>
      </c>
      <c r="BI918" s="912">
        <f t="shared" ref="BI918:BP918" si="3682">+BI931</f>
        <v>5.6451612903225756E-2</v>
      </c>
      <c r="BJ918" s="912">
        <f t="shared" si="3682"/>
        <v>9.92366412213741E-2</v>
      </c>
      <c r="BK918" s="912">
        <f t="shared" si="3682"/>
        <v>0.13194444444444442</v>
      </c>
      <c r="BL918" s="912">
        <f t="shared" si="3682"/>
        <v>0.11042944785276076</v>
      </c>
      <c r="BM918" s="912">
        <f t="shared" si="3682"/>
        <v>0.22099447513812165</v>
      </c>
      <c r="BN918" s="912">
        <f t="shared" si="3682"/>
        <v>0</v>
      </c>
      <c r="BO918" s="912">
        <f t="shared" si="3682"/>
        <v>3.167420814479649E-2</v>
      </c>
      <c r="BP918" s="912">
        <f t="shared" si="3682"/>
        <v>3.2452046189473727E-2</v>
      </c>
      <c r="BT918" s="1250"/>
      <c r="BU918" s="1250"/>
      <c r="BV918" s="1250"/>
      <c r="BW918" s="1250"/>
      <c r="BX918" s="1250"/>
      <c r="BY918" s="1250"/>
      <c r="BZ918" s="1250"/>
      <c r="CA918" s="1250"/>
      <c r="CB918" s="1250"/>
      <c r="CC918" s="1250"/>
    </row>
    <row r="919" spans="2:81">
      <c r="B919" t="s">
        <v>502</v>
      </c>
      <c r="H919" s="911"/>
      <c r="I919" s="911"/>
      <c r="J919" s="911"/>
      <c r="K919" s="911"/>
      <c r="L919" s="911"/>
      <c r="M919" s="911"/>
      <c r="N919" s="911"/>
      <c r="O919" s="911"/>
      <c r="P919" s="911"/>
      <c r="Q919" s="911"/>
      <c r="R919" s="911"/>
      <c r="S919" s="911"/>
      <c r="T919" s="911"/>
      <c r="U919" s="911"/>
      <c r="V919" s="911"/>
      <c r="W919" s="911"/>
      <c r="X919" s="911"/>
      <c r="Y919" s="911"/>
      <c r="Z919" s="911"/>
      <c r="AA919" s="911"/>
      <c r="AB919" s="911"/>
      <c r="AC919" s="911"/>
      <c r="AD919" s="911">
        <f>+AD918-4%</f>
        <v>0.16</v>
      </c>
      <c r="AE919" s="911">
        <f>+AE918-6%</f>
        <v>0.16</v>
      </c>
      <c r="AF919" s="911">
        <f>+AF918-6%</f>
        <v>0.16</v>
      </c>
      <c r="AG919" s="911">
        <f t="shared" ref="AG919" si="3683">+AG918-6%</f>
        <v>0.13</v>
      </c>
      <c r="AH919" s="911"/>
      <c r="AI919" s="911"/>
      <c r="AJ919" s="911"/>
      <c r="AK919" s="911"/>
      <c r="AL919" s="911"/>
      <c r="AM919" s="911"/>
      <c r="AN919" s="911">
        <v>0.02</v>
      </c>
      <c r="AO919" s="911"/>
      <c r="AP919" s="911"/>
      <c r="AQ919" s="911"/>
      <c r="BH919" s="912"/>
      <c r="BI919" s="912"/>
      <c r="BJ919" s="912"/>
      <c r="BK919" s="912"/>
      <c r="BL919" s="912"/>
      <c r="BM919" s="912">
        <f>+AE919</f>
        <v>0.16</v>
      </c>
      <c r="BN919" s="912"/>
      <c r="BO919" s="912"/>
      <c r="BP919" s="912"/>
      <c r="BT919" s="1253"/>
      <c r="BU919" s="1253"/>
      <c r="BV919" s="1253"/>
      <c r="BW919" s="1253"/>
      <c r="BX919" s="1253"/>
      <c r="BY919" s="1253"/>
      <c r="BZ919" s="1253"/>
      <c r="CA919" s="1253"/>
      <c r="CB919" s="1253"/>
      <c r="CC919" s="1253"/>
    </row>
    <row r="920" spans="2:81">
      <c r="H920" s="911"/>
      <c r="I920" s="911"/>
      <c r="J920" s="911"/>
      <c r="K920" s="911"/>
      <c r="L920" s="911"/>
      <c r="M920" s="911"/>
      <c r="N920" s="911"/>
      <c r="O920" s="911"/>
      <c r="P920" s="911"/>
      <c r="Q920" s="911"/>
      <c r="R920" s="911"/>
      <c r="S920" s="911"/>
      <c r="T920" s="911"/>
      <c r="U920" s="911"/>
      <c r="V920" s="911"/>
      <c r="W920" s="911"/>
      <c r="X920" s="911"/>
      <c r="Y920" s="911"/>
      <c r="Z920" s="911"/>
      <c r="AA920" s="911"/>
      <c r="AB920" s="911"/>
      <c r="AC920" s="911"/>
      <c r="AD920" s="911"/>
      <c r="AE920" s="911"/>
      <c r="AF920" s="911"/>
      <c r="AG920" s="911"/>
      <c r="AH920" s="911"/>
      <c r="AI920" s="911"/>
      <c r="AJ920" s="911"/>
      <c r="AK920" s="911"/>
      <c r="AL920" s="911"/>
      <c r="AM920" s="911"/>
      <c r="AN920" s="911"/>
      <c r="AO920" s="911"/>
      <c r="AP920" s="911"/>
      <c r="AQ920" s="911"/>
      <c r="BH920" s="912"/>
      <c r="BI920" s="912"/>
      <c r="BJ920" s="912"/>
      <c r="BK920" s="912"/>
      <c r="BL920" s="912"/>
      <c r="BM920" s="912"/>
      <c r="BN920" s="912"/>
      <c r="BO920" s="912"/>
      <c r="BP920" s="912"/>
      <c r="BT920" s="3"/>
      <c r="BU920" s="3"/>
      <c r="BV920" s="3"/>
      <c r="BW920" s="3"/>
      <c r="BX920" s="3"/>
      <c r="BY920" s="3"/>
      <c r="BZ920" s="3"/>
      <c r="CA920" s="3"/>
      <c r="CB920" s="3"/>
      <c r="CC920" s="3"/>
    </row>
    <row r="921" spans="2:81" ht="10.5">
      <c r="B921" s="45" t="s">
        <v>503</v>
      </c>
      <c r="H921" s="911"/>
      <c r="I921" s="911"/>
      <c r="J921" s="911"/>
      <c r="K921" s="911"/>
      <c r="L921" s="911"/>
      <c r="M921" s="911"/>
      <c r="N921" s="911"/>
      <c r="O921" s="911"/>
      <c r="P921" s="911"/>
      <c r="Q921" s="911"/>
      <c r="R921" s="911"/>
      <c r="S921" s="911"/>
      <c r="T921" s="911"/>
      <c r="U921" s="911"/>
      <c r="V921" s="911"/>
      <c r="W921" s="911"/>
      <c r="X921" s="911"/>
      <c r="Y921" s="911"/>
      <c r="Z921" s="911"/>
      <c r="AA921" s="911"/>
      <c r="AB921" s="911"/>
      <c r="AC921" s="911"/>
      <c r="AD921" s="911"/>
      <c r="AE921" s="911"/>
      <c r="AF921" s="911"/>
      <c r="AG921" s="911"/>
      <c r="AH921" s="911"/>
      <c r="AI921" s="911"/>
      <c r="AJ921" s="911"/>
      <c r="AK921" s="911"/>
      <c r="AL921" s="911"/>
      <c r="AM921" s="911"/>
      <c r="AN921" s="911"/>
      <c r="AO921" s="911"/>
      <c r="AP921" s="911"/>
      <c r="AQ921" s="911"/>
      <c r="BH921" s="912"/>
      <c r="BI921" s="912"/>
      <c r="BJ921" s="912"/>
      <c r="BK921" s="912"/>
      <c r="BL921" s="912"/>
      <c r="BM921" s="912"/>
      <c r="BN921" s="912"/>
      <c r="BO921" s="912"/>
      <c r="BP921" s="912"/>
    </row>
    <row r="922" spans="2:81" ht="13.5">
      <c r="B922" t="s">
        <v>504</v>
      </c>
      <c r="H922" s="903"/>
      <c r="I922" s="821"/>
      <c r="J922" s="31"/>
      <c r="K922" s="31"/>
      <c r="L922" s="879"/>
      <c r="M922" s="879"/>
      <c r="N922" s="879"/>
      <c r="O922" s="880">
        <f>+BI922</f>
        <v>78000</v>
      </c>
      <c r="P922" s="880"/>
      <c r="Q922" s="880"/>
      <c r="R922" s="880"/>
      <c r="S922" s="880">
        <f>+BJ922</f>
        <v>85000</v>
      </c>
      <c r="T922" s="880"/>
      <c r="U922" s="880"/>
      <c r="V922" s="880"/>
      <c r="W922" s="880">
        <f>+BK922</f>
        <v>96000</v>
      </c>
      <c r="X922" s="880"/>
      <c r="Y922" s="880"/>
      <c r="Z922" s="880"/>
      <c r="AA922" s="880">
        <f>+BL922</f>
        <v>103000</v>
      </c>
      <c r="AB922" s="880"/>
      <c r="AC922" s="880"/>
      <c r="AD922" s="880"/>
      <c r="AE922" s="880">
        <f>+BM922</f>
        <v>122000</v>
      </c>
      <c r="AF922" s="879"/>
      <c r="AG922" s="879"/>
      <c r="AH922" s="879"/>
      <c r="AI922" s="880">
        <f>+BN922</f>
        <v>120000</v>
      </c>
      <c r="AJ922" s="879"/>
      <c r="AK922" s="879"/>
      <c r="AL922" s="879"/>
      <c r="AM922" s="880">
        <f>+BO922</f>
        <v>126000</v>
      </c>
      <c r="AN922" s="879"/>
      <c r="AO922" s="879"/>
      <c r="AP922" s="879"/>
      <c r="AQ922" s="879"/>
      <c r="BB922" s="879"/>
      <c r="BC922" s="879"/>
      <c r="BD922" s="879"/>
      <c r="BE922" s="879"/>
      <c r="BF922" s="879"/>
      <c r="BG922" s="856">
        <v>63000</v>
      </c>
      <c r="BH922" s="856">
        <v>73000</v>
      </c>
      <c r="BI922" s="880">
        <v>78000</v>
      </c>
      <c r="BJ922" s="880">
        <v>85000</v>
      </c>
      <c r="BK922" s="880">
        <v>96000</v>
      </c>
      <c r="BL922" s="880">
        <v>103000</v>
      </c>
      <c r="BM922" s="880">
        <v>122000</v>
      </c>
      <c r="BN922" s="880">
        <v>120000</v>
      </c>
      <c r="BO922" s="8">
        <v>126000</v>
      </c>
      <c r="BP922" s="8"/>
      <c r="BQ922" s="8"/>
    </row>
    <row r="923" spans="2:81" s="852" customFormat="1">
      <c r="B923" t="s">
        <v>505</v>
      </c>
      <c r="H923" s="853"/>
      <c r="I923" s="853"/>
      <c r="J923" s="853"/>
      <c r="K923" s="853"/>
      <c r="L923" s="853"/>
      <c r="M923" s="853"/>
      <c r="N923" s="853"/>
      <c r="O923" s="940">
        <f t="shared" ref="O923:O924" si="3684">+BI923</f>
        <v>53000</v>
      </c>
      <c r="P923" s="940"/>
      <c r="Q923" s="940"/>
      <c r="R923" s="940"/>
      <c r="S923" s="940">
        <f t="shared" ref="S923:S924" si="3685">+BJ923</f>
        <v>59000</v>
      </c>
      <c r="T923" s="940"/>
      <c r="U923" s="940"/>
      <c r="V923" s="940"/>
      <c r="W923" s="940">
        <f t="shared" ref="W923:W924" si="3686">+BK923</f>
        <v>67000</v>
      </c>
      <c r="X923" s="940"/>
      <c r="Y923" s="940"/>
      <c r="Z923" s="940"/>
      <c r="AA923" s="940">
        <f t="shared" ref="AA923:AA924" si="3687">+BL923</f>
        <v>78000</v>
      </c>
      <c r="AB923" s="940"/>
      <c r="AC923" s="940"/>
      <c r="AD923" s="940"/>
      <c r="AE923" s="940">
        <f t="shared" ref="AE923:AE924" si="3688">+BM923</f>
        <v>99000</v>
      </c>
      <c r="AF923" s="853"/>
      <c r="AG923" s="853"/>
      <c r="AH923" s="853"/>
      <c r="AI923" s="940">
        <f t="shared" ref="AI923:AI924" si="3689">+BN923</f>
        <v>101000</v>
      </c>
      <c r="AJ923" s="853"/>
      <c r="AK923" s="853"/>
      <c r="AL923" s="853"/>
      <c r="AM923" s="853">
        <f t="shared" ref="AM923:AM924" si="3690">+BO923</f>
        <v>102000</v>
      </c>
      <c r="AN923" s="853"/>
      <c r="AO923" s="853"/>
      <c r="AP923" s="853"/>
      <c r="AQ923" s="853"/>
      <c r="AR923" s="1001"/>
      <c r="AS923" s="1001"/>
      <c r="AT923" s="1001"/>
      <c r="AU923" s="1001"/>
      <c r="AV923" s="1001"/>
      <c r="AW923" s="1001"/>
      <c r="AX923" s="1001"/>
      <c r="AY923" s="1001"/>
      <c r="AZ923" s="1001"/>
      <c r="BA923" s="1001"/>
      <c r="BB923" s="1001"/>
      <c r="BC923" s="1001"/>
      <c r="BD923" s="1001"/>
      <c r="BE923" s="1001"/>
      <c r="BF923" s="1001"/>
      <c r="BG923" s="1001">
        <v>51000</v>
      </c>
      <c r="BH923" s="1001">
        <v>51000</v>
      </c>
      <c r="BI923" s="853">
        <v>53000</v>
      </c>
      <c r="BJ923" s="853">
        <v>59000</v>
      </c>
      <c r="BK923" s="1000">
        <v>67000</v>
      </c>
      <c r="BL923" s="1000">
        <v>78000</v>
      </c>
      <c r="BM923" s="1000">
        <v>99000</v>
      </c>
      <c r="BN923" s="1000">
        <v>101000</v>
      </c>
      <c r="BO923" s="853">
        <v>102000</v>
      </c>
      <c r="BP923" s="853"/>
      <c r="BT923"/>
      <c r="BU923"/>
      <c r="BV923"/>
      <c r="BW923"/>
      <c r="BX923"/>
      <c r="BY923"/>
      <c r="BZ923"/>
      <c r="CA923"/>
      <c r="CB923"/>
      <c r="CC923"/>
    </row>
    <row r="924" spans="2:81" s="1" customFormat="1" ht="10.5">
      <c r="B924" s="837" t="s">
        <v>506</v>
      </c>
      <c r="D924" s="838"/>
      <c r="E924" s="838"/>
      <c r="F924" s="838"/>
      <c r="G924" s="838"/>
      <c r="H924" s="838"/>
      <c r="I924" s="838"/>
      <c r="J924" s="838"/>
      <c r="K924" s="838"/>
      <c r="L924" s="838"/>
      <c r="M924" s="838"/>
      <c r="N924" s="838"/>
      <c r="O924" s="849">
        <f t="shared" si="3684"/>
        <v>131000</v>
      </c>
      <c r="P924" s="849"/>
      <c r="Q924" s="849"/>
      <c r="R924" s="849"/>
      <c r="S924" s="849">
        <f t="shared" si="3685"/>
        <v>144000</v>
      </c>
      <c r="T924" s="849"/>
      <c r="U924" s="849">
        <f>+Y924/(1+Y918)</f>
        <v>145544.11106135242</v>
      </c>
      <c r="V924" s="849">
        <f>+Z924/(1+Z918)</f>
        <v>150857.36129314109</v>
      </c>
      <c r="W924" s="849">
        <f t="shared" si="3686"/>
        <v>163000</v>
      </c>
      <c r="X924" s="849">
        <f>+AB924/(1+AB918)</f>
        <v>158901.35174000575</v>
      </c>
      <c r="Y924" s="849">
        <f>+AC924/(1+AC918)</f>
        <v>160098.52216748768</v>
      </c>
      <c r="Z924" s="849">
        <f>+AD924/(1+AD918)</f>
        <v>168960.24464831804</v>
      </c>
      <c r="AA924" s="849">
        <f t="shared" si="3687"/>
        <v>181000</v>
      </c>
      <c r="AB924" s="849">
        <f>+AF924/(1+AF918)</f>
        <v>181147.54098360657</v>
      </c>
      <c r="AC924" s="849">
        <f>+AG924/(1+AG918)</f>
        <v>185714.28571428571</v>
      </c>
      <c r="AD924" s="849">
        <f>+AH924/(1+AH918)</f>
        <v>202752.29357798165</v>
      </c>
      <c r="AE924" s="849">
        <f t="shared" si="3688"/>
        <v>221000</v>
      </c>
      <c r="AF924" s="1215">
        <f>+AE924</f>
        <v>221000</v>
      </c>
      <c r="AG924" s="1215">
        <f t="shared" ref="AG924:AH924" si="3691">+AF924</f>
        <v>221000</v>
      </c>
      <c r="AH924" s="1215">
        <f t="shared" si="3691"/>
        <v>221000</v>
      </c>
      <c r="AI924" s="849">
        <f t="shared" si="3689"/>
        <v>221000</v>
      </c>
      <c r="AJ924" s="838">
        <f>+AF924*(1+AJ918)</f>
        <v>205530</v>
      </c>
      <c r="AK924" s="838">
        <f>+AG924*(1+AK918)</f>
        <v>216580</v>
      </c>
      <c r="AL924" s="838">
        <f>+AH924*(1+AL918)</f>
        <v>218790</v>
      </c>
      <c r="AM924" s="838">
        <f t="shared" si="3690"/>
        <v>228000</v>
      </c>
      <c r="AN924" s="838">
        <f>+AJ924*(1+AN918)</f>
        <v>221972.40000000002</v>
      </c>
      <c r="AO924" s="838">
        <f>+AN924*(1+AO925)</f>
        <v>219752.67600000001</v>
      </c>
      <c r="AP924" s="838">
        <f t="shared" ref="AP924:AQ924" si="3692">+AO924*(1+AP925)</f>
        <v>226345.25628</v>
      </c>
      <c r="AQ924" s="838">
        <f t="shared" si="3692"/>
        <v>235399.06653120002</v>
      </c>
      <c r="AR924" s="838"/>
      <c r="AS924" s="838"/>
      <c r="AT924" s="838"/>
      <c r="AU924" s="838"/>
      <c r="AV924" s="838"/>
      <c r="AW924" s="838"/>
      <c r="AX924" s="838"/>
      <c r="AY924" s="838"/>
      <c r="AZ924" s="838"/>
      <c r="BA924" s="838"/>
      <c r="BB924" s="838"/>
      <c r="BC924" s="838"/>
      <c r="BD924" s="838"/>
      <c r="BE924" s="838"/>
      <c r="BF924" s="838"/>
      <c r="BG924" s="838">
        <f t="shared" ref="BG924:BL924" si="3693">+SUM(BG922:BG923)</f>
        <v>114000</v>
      </c>
      <c r="BH924" s="838">
        <f t="shared" si="3693"/>
        <v>124000</v>
      </c>
      <c r="BI924" s="838">
        <f t="shared" si="3693"/>
        <v>131000</v>
      </c>
      <c r="BJ924" s="838">
        <f t="shared" si="3693"/>
        <v>144000</v>
      </c>
      <c r="BK924" s="838">
        <f t="shared" si="3693"/>
        <v>163000</v>
      </c>
      <c r="BL924" s="838">
        <f t="shared" si="3693"/>
        <v>181000</v>
      </c>
      <c r="BM924" s="838">
        <f>+SUM(BM922:BM923)</f>
        <v>221000</v>
      </c>
      <c r="BN924" s="838">
        <v>221000</v>
      </c>
      <c r="BO924" s="838">
        <f>+SUM(BO922:BO923)</f>
        <v>228000</v>
      </c>
      <c r="BP924" s="838">
        <f>+AQ924</f>
        <v>235399.06653120002</v>
      </c>
      <c r="BT924"/>
      <c r="BU924"/>
      <c r="BV924"/>
      <c r="BW924"/>
      <c r="BX924"/>
      <c r="BY924"/>
      <c r="BZ924"/>
      <c r="CA924"/>
      <c r="CB924"/>
      <c r="CC924"/>
    </row>
    <row r="925" spans="2:81" s="7" customFormat="1" ht="10.5">
      <c r="B925" s="887" t="s">
        <v>309</v>
      </c>
      <c r="L925" s="842"/>
      <c r="M925" s="842"/>
      <c r="N925" s="842"/>
      <c r="O925" s="842"/>
      <c r="P925" s="842"/>
      <c r="Q925" s="842"/>
      <c r="R925" s="842"/>
      <c r="S925" s="842"/>
      <c r="T925" s="842"/>
      <c r="U925" s="842"/>
      <c r="V925" s="842">
        <f>+V924/U924-1</f>
        <v>3.6506116207950967E-2</v>
      </c>
      <c r="W925" s="842">
        <f t="shared" ref="W925:AN925" si="3694">+W924/V924-1</f>
        <v>8.0490859728507003E-2</v>
      </c>
      <c r="X925" s="842">
        <f t="shared" si="3694"/>
        <v>-2.5145081349657983E-2</v>
      </c>
      <c r="Y925" s="842">
        <f t="shared" si="3694"/>
        <v>7.5340481019994243E-3</v>
      </c>
      <c r="Z925" s="842">
        <f t="shared" si="3694"/>
        <v>5.5351681957186649E-2</v>
      </c>
      <c r="AA925" s="842">
        <f t="shared" si="3694"/>
        <v>7.1257918552036115E-2</v>
      </c>
      <c r="AB925" s="842">
        <f t="shared" si="3694"/>
        <v>8.151435558374498E-4</v>
      </c>
      <c r="AC925" s="842">
        <f t="shared" si="3694"/>
        <v>2.5210084033613356E-2</v>
      </c>
      <c r="AD925" s="842">
        <f t="shared" si="3694"/>
        <v>9.174311926605494E-2</v>
      </c>
      <c r="AE925" s="842">
        <f t="shared" si="3694"/>
        <v>9.000000000000008E-2</v>
      </c>
      <c r="AF925" s="842">
        <f t="shared" si="3694"/>
        <v>0</v>
      </c>
      <c r="AG925" s="842">
        <f t="shared" si="3694"/>
        <v>0</v>
      </c>
      <c r="AH925" s="842">
        <f t="shared" si="3694"/>
        <v>0</v>
      </c>
      <c r="AI925" s="842">
        <f t="shared" si="3694"/>
        <v>0</v>
      </c>
      <c r="AJ925" s="842">
        <f t="shared" si="3694"/>
        <v>-6.9999999999999951E-2</v>
      </c>
      <c r="AK925" s="842">
        <f t="shared" si="3694"/>
        <v>5.3763440860215006E-2</v>
      </c>
      <c r="AL925" s="842">
        <f t="shared" si="3694"/>
        <v>1.0204081632652962E-2</v>
      </c>
      <c r="AM925" s="842">
        <f t="shared" si="3694"/>
        <v>4.2095159742218557E-2</v>
      </c>
      <c r="AN925" s="842">
        <f t="shared" si="3694"/>
        <v>-2.6436842105263092E-2</v>
      </c>
      <c r="AO925" s="1177">
        <v>-0.01</v>
      </c>
      <c r="AP925" s="1177">
        <v>0.03</v>
      </c>
      <c r="AQ925" s="1177">
        <v>0.04</v>
      </c>
      <c r="AR925" s="842"/>
      <c r="AS925" s="842"/>
      <c r="AT925" s="842"/>
      <c r="AU925" s="842"/>
      <c r="AV925" s="842"/>
      <c r="AW925" s="842"/>
      <c r="AX925" s="842"/>
      <c r="AY925" s="842"/>
      <c r="AZ925" s="842"/>
      <c r="BA925" s="842"/>
      <c r="BB925" s="842"/>
      <c r="BC925" s="842"/>
      <c r="BD925" s="842"/>
      <c r="BE925" s="842"/>
      <c r="BF925" s="842"/>
      <c r="BG925" s="842"/>
      <c r="BH925" s="842"/>
      <c r="BI925" s="842">
        <f>+BI931</f>
        <v>5.6451612903225756E-2</v>
      </c>
      <c r="BJ925" s="842">
        <f t="shared" ref="BJ925:BP925" si="3695">+BJ931</f>
        <v>9.92366412213741E-2</v>
      </c>
      <c r="BK925" s="842">
        <f t="shared" si="3695"/>
        <v>0.13194444444444442</v>
      </c>
      <c r="BL925" s="842">
        <f t="shared" si="3695"/>
        <v>0.11042944785276076</v>
      </c>
      <c r="BM925" s="842">
        <f t="shared" si="3695"/>
        <v>0.22099447513812165</v>
      </c>
      <c r="BN925" s="842">
        <f t="shared" si="3695"/>
        <v>0</v>
      </c>
      <c r="BO925" s="842">
        <f t="shared" si="3695"/>
        <v>3.167420814479649E-2</v>
      </c>
      <c r="BP925" s="842">
        <f t="shared" si="3695"/>
        <v>3.2452046189473727E-2</v>
      </c>
      <c r="BT925" s="1"/>
      <c r="BU925" s="1"/>
      <c r="BV925" s="1"/>
      <c r="BW925" s="1"/>
      <c r="BX925" s="1"/>
      <c r="BY925" s="1"/>
      <c r="BZ925" s="1"/>
      <c r="CA925" s="1"/>
      <c r="CB925" s="1"/>
      <c r="CC925" s="1"/>
    </row>
    <row r="926" spans="2:81" s="7" customFormat="1" ht="10.5">
      <c r="B926" s="887" t="s">
        <v>507</v>
      </c>
      <c r="L926" s="842"/>
      <c r="M926" s="842"/>
      <c r="N926" s="842"/>
      <c r="O926" s="842"/>
      <c r="P926" s="842"/>
      <c r="Q926" s="842"/>
      <c r="R926" s="842"/>
      <c r="S926" s="842"/>
      <c r="T926" s="842"/>
      <c r="U926" s="842"/>
      <c r="V926" s="842"/>
      <c r="W926" s="842"/>
      <c r="X926" s="842"/>
      <c r="Y926" s="842"/>
      <c r="Z926" s="842"/>
      <c r="AA926" s="842"/>
      <c r="AB926" s="842"/>
      <c r="AC926" s="842"/>
      <c r="AD926" s="842"/>
      <c r="AE926" s="842"/>
      <c r="AF926" s="842"/>
      <c r="AG926" s="842"/>
      <c r="AH926" s="842"/>
      <c r="AI926" s="842"/>
      <c r="AJ926" s="842"/>
      <c r="AK926" s="842">
        <f>+(AK924-AG947)/AJ924-1</f>
        <v>-9.4876660341556285E-3</v>
      </c>
      <c r="AL926" s="842">
        <f>(AL924-AL948-AG947)/(AK924-AG947)-1</f>
        <v>2.018862363689955E-2</v>
      </c>
      <c r="AM926" s="842"/>
      <c r="AN926" s="842"/>
      <c r="AO926" s="842"/>
      <c r="AP926" s="842"/>
      <c r="AQ926" s="842"/>
      <c r="AR926" s="842"/>
      <c r="AS926" s="842"/>
      <c r="AT926" s="842"/>
      <c r="AU926" s="842"/>
      <c r="AV926" s="842"/>
      <c r="AW926" s="842"/>
      <c r="AX926" s="842"/>
      <c r="AY926" s="842"/>
      <c r="AZ926" s="842"/>
      <c r="BA926" s="842"/>
      <c r="BB926" s="842"/>
      <c r="BC926" s="842"/>
      <c r="BD926" s="842"/>
      <c r="BE926" s="842"/>
      <c r="BF926" s="842"/>
      <c r="BG926" s="842"/>
      <c r="BH926" s="842"/>
      <c r="BI926" s="842"/>
      <c r="BJ926" s="842"/>
      <c r="BK926" s="842"/>
      <c r="BL926" s="842"/>
      <c r="BM926" s="842"/>
      <c r="BN926" s="842"/>
      <c r="BO926" s="842"/>
      <c r="BP926" s="842"/>
      <c r="BR926" s="1604"/>
      <c r="BT926" s="1"/>
      <c r="BU926" s="1"/>
      <c r="BV926" s="1"/>
      <c r="BW926" s="1"/>
      <c r="BX926" s="1"/>
      <c r="BY926" s="1"/>
      <c r="BZ926" s="1"/>
      <c r="CA926" s="1"/>
      <c r="CB926" s="1"/>
      <c r="CC926" s="1"/>
    </row>
    <row r="927" spans="2:81" ht="10.5">
      <c r="H927" s="911"/>
      <c r="I927" s="911"/>
      <c r="J927" s="911"/>
      <c r="K927" s="911"/>
      <c r="L927" s="911"/>
      <c r="M927" s="911"/>
      <c r="N927" s="911"/>
      <c r="O927" s="911"/>
      <c r="P927" s="911"/>
      <c r="Q927" s="911"/>
      <c r="R927" s="911"/>
      <c r="S927" s="911"/>
      <c r="T927" s="911"/>
      <c r="U927" s="911"/>
      <c r="V927" s="911"/>
      <c r="W927" s="911"/>
      <c r="X927" s="911"/>
      <c r="Y927" s="911"/>
      <c r="Z927" s="911"/>
      <c r="AA927" s="911"/>
      <c r="AB927" s="911"/>
      <c r="AC927" s="911"/>
      <c r="AD927" s="911"/>
      <c r="AE927" s="911"/>
      <c r="AF927" s="911"/>
      <c r="AG927" s="1215"/>
      <c r="AH927" s="911"/>
      <c r="AI927" s="911"/>
      <c r="AJ927" s="911"/>
      <c r="AK927" s="911"/>
      <c r="AL927" s="911"/>
      <c r="AM927" s="911"/>
      <c r="AN927" s="911"/>
      <c r="AO927" s="911"/>
      <c r="AP927" s="911"/>
      <c r="AQ927" s="911"/>
      <c r="BH927" s="912"/>
      <c r="BI927" s="912"/>
      <c r="BJ927" s="912"/>
      <c r="BK927" s="912"/>
      <c r="BL927" s="912"/>
      <c r="BM927" s="912"/>
      <c r="BN927" s="912"/>
      <c r="BO927" s="912"/>
      <c r="BP927" s="912"/>
    </row>
    <row r="928" spans="2:81" s="3" customFormat="1">
      <c r="B928" s="883" t="s">
        <v>113</v>
      </c>
      <c r="BT928" s="33"/>
      <c r="BU928" s="33"/>
      <c r="BV928" s="33"/>
      <c r="BW928" s="33"/>
      <c r="BX928" s="33"/>
      <c r="BY928" s="33"/>
      <c r="BZ928" s="33"/>
      <c r="CA928" s="33"/>
      <c r="CB928" s="33"/>
      <c r="CC928" s="33"/>
    </row>
    <row r="929" spans="2:81" s="3" customFormat="1">
      <c r="B929" s="884" t="str">
        <f>+B922</f>
        <v>US</v>
      </c>
      <c r="L929" s="228"/>
      <c r="M929" s="228"/>
      <c r="N929" s="228"/>
      <c r="O929" s="228">
        <f>+BI929</f>
        <v>6.8493150684931559E-2</v>
      </c>
      <c r="P929" s="228"/>
      <c r="Q929" s="228"/>
      <c r="R929" s="228"/>
      <c r="S929" s="228">
        <f>+S922/O922-1</f>
        <v>8.9743589743589647E-2</v>
      </c>
      <c r="T929" s="228"/>
      <c r="U929" s="228"/>
      <c r="V929" s="228"/>
      <c r="W929" s="228">
        <f>+W922/S922-1</f>
        <v>0.12941176470588234</v>
      </c>
      <c r="X929" s="228"/>
      <c r="Y929" s="228"/>
      <c r="Z929" s="228"/>
      <c r="AA929" s="228">
        <f>+AA922/W922-1</f>
        <v>7.2916666666666741E-2</v>
      </c>
      <c r="AB929" s="228"/>
      <c r="AC929" s="228"/>
      <c r="AD929" s="228"/>
      <c r="AE929" s="228">
        <f>+AE922/AA922-1</f>
        <v>0.18446601941747565</v>
      </c>
      <c r="AF929" s="228"/>
      <c r="AG929" s="228"/>
      <c r="AH929" s="228"/>
      <c r="AI929" s="228">
        <f>+AI922/AE922-1</f>
        <v>-1.6393442622950838E-2</v>
      </c>
      <c r="AJ929" s="228"/>
      <c r="AK929" s="228"/>
      <c r="AL929" s="228"/>
      <c r="AM929" s="228"/>
      <c r="AN929" s="228"/>
      <c r="AO929" s="228"/>
      <c r="AP929" s="228"/>
      <c r="AQ929" s="228"/>
      <c r="AR929" s="228"/>
      <c r="AS929" s="228"/>
      <c r="AT929" s="228"/>
      <c r="AU929" s="228"/>
      <c r="AV929" s="228"/>
      <c r="AW929" s="228"/>
      <c r="AX929" s="228"/>
      <c r="AY929" s="228"/>
      <c r="AZ929" s="228"/>
      <c r="BA929" s="228"/>
      <c r="BB929" s="228"/>
      <c r="BC929" s="228"/>
      <c r="BD929" s="228"/>
      <c r="BE929" s="228"/>
      <c r="BF929" s="228"/>
      <c r="BG929" s="228"/>
      <c r="BH929" s="228">
        <f t="shared" ref="BH929:BO931" si="3696">+IFERROR(BH922/BG922-1,"NA ")</f>
        <v>0.15873015873015883</v>
      </c>
      <c r="BI929" s="228">
        <f t="shared" si="3696"/>
        <v>6.8493150684931559E-2</v>
      </c>
      <c r="BJ929" s="228">
        <f t="shared" si="3696"/>
        <v>8.9743589743589647E-2</v>
      </c>
      <c r="BK929" s="228">
        <f t="shared" si="3696"/>
        <v>0.12941176470588234</v>
      </c>
      <c r="BL929" s="228">
        <f t="shared" si="3696"/>
        <v>7.2916666666666741E-2</v>
      </c>
      <c r="BM929" s="228">
        <f t="shared" si="3696"/>
        <v>0.18446601941747565</v>
      </c>
      <c r="BN929" s="228">
        <f t="shared" si="3696"/>
        <v>-1.6393442622950838E-2</v>
      </c>
      <c r="BO929" s="228">
        <f t="shared" si="3696"/>
        <v>5.0000000000000044E-2</v>
      </c>
      <c r="BP929" s="228"/>
      <c r="BT929"/>
      <c r="BU929"/>
      <c r="BV929"/>
      <c r="BW929"/>
      <c r="BX929"/>
      <c r="BY929"/>
      <c r="BZ929"/>
      <c r="CA929"/>
      <c r="CB929"/>
      <c r="CC929"/>
    </row>
    <row r="930" spans="2:81" s="3" customFormat="1" ht="11.45">
      <c r="B930" s="884" t="str">
        <f>+B923</f>
        <v>International</v>
      </c>
      <c r="L930" s="840"/>
      <c r="M930" s="840"/>
      <c r="N930" s="840"/>
      <c r="O930" s="840">
        <f t="shared" ref="O930:O931" si="3697">+BI930</f>
        <v>3.9215686274509887E-2</v>
      </c>
      <c r="P930" s="840"/>
      <c r="Q930" s="840"/>
      <c r="R930" s="840"/>
      <c r="S930" s="840">
        <f>+S923/O923-1</f>
        <v>0.1132075471698113</v>
      </c>
      <c r="T930" s="840"/>
      <c r="U930" s="840"/>
      <c r="V930" s="840"/>
      <c r="W930" s="840">
        <f>+W923/S923-1</f>
        <v>0.13559322033898313</v>
      </c>
      <c r="X930" s="840"/>
      <c r="Y930" s="840"/>
      <c r="Z930" s="840"/>
      <c r="AA930" s="840">
        <f>+AA923/W923-1</f>
        <v>0.16417910447761197</v>
      </c>
      <c r="AB930" s="840"/>
      <c r="AC930" s="840"/>
      <c r="AD930" s="840"/>
      <c r="AE930" s="840">
        <f>+AE923/AA923-1</f>
        <v>0.26923076923076916</v>
      </c>
      <c r="AF930" s="840"/>
      <c r="AG930" s="840"/>
      <c r="AH930" s="840"/>
      <c r="AI930" s="840">
        <f>+AI923/AE923-1</f>
        <v>2.020202020202011E-2</v>
      </c>
      <c r="AJ930" s="840"/>
      <c r="AK930" s="840"/>
      <c r="AL930" s="840"/>
      <c r="AM930" s="840"/>
      <c r="AN930" s="840"/>
      <c r="AO930" s="840"/>
      <c r="AP930" s="840"/>
      <c r="AQ930" s="840"/>
      <c r="AR930" s="840"/>
      <c r="AS930" s="840"/>
      <c r="AT930" s="840"/>
      <c r="AU930" s="840"/>
      <c r="AV930" s="840"/>
      <c r="AW930" s="840"/>
      <c r="AX930" s="840"/>
      <c r="AY930" s="840"/>
      <c r="AZ930" s="840"/>
      <c r="BA930" s="840"/>
      <c r="BB930" s="840"/>
      <c r="BC930" s="840"/>
      <c r="BD930" s="840"/>
      <c r="BE930" s="840"/>
      <c r="BF930" s="840"/>
      <c r="BG930" s="840"/>
      <c r="BH930" s="840">
        <f t="shared" si="3696"/>
        <v>0</v>
      </c>
      <c r="BI930" s="840">
        <f t="shared" si="3696"/>
        <v>3.9215686274509887E-2</v>
      </c>
      <c r="BJ930" s="840">
        <f t="shared" si="3696"/>
        <v>0.1132075471698113</v>
      </c>
      <c r="BK930" s="840">
        <f t="shared" si="3696"/>
        <v>0.13559322033898313</v>
      </c>
      <c r="BL930" s="840">
        <f t="shared" si="3696"/>
        <v>0.16417910447761197</v>
      </c>
      <c r="BM930" s="840">
        <f t="shared" si="3696"/>
        <v>0.26923076923076916</v>
      </c>
      <c r="BN930" s="840">
        <f t="shared" si="3696"/>
        <v>2.020202020202011E-2</v>
      </c>
      <c r="BO930" s="840">
        <f t="shared" si="3696"/>
        <v>9.9009900990099098E-3</v>
      </c>
      <c r="BP930" s="840"/>
      <c r="BT930"/>
      <c r="BU930"/>
      <c r="BV930"/>
      <c r="BW930"/>
      <c r="BX930"/>
      <c r="BY930"/>
      <c r="BZ930"/>
      <c r="CA930"/>
      <c r="CB930"/>
      <c r="CC930"/>
    </row>
    <row r="931" spans="2:81" s="7" customFormat="1">
      <c r="B931" s="887" t="str">
        <f>+B924</f>
        <v>Total Employees</v>
      </c>
      <c r="L931" s="842"/>
      <c r="M931" s="842"/>
      <c r="N931" s="842"/>
      <c r="O931" s="842">
        <f t="shared" si="3697"/>
        <v>5.6451612903225756E-2</v>
      </c>
      <c r="P931" s="842"/>
      <c r="Q931" s="842"/>
      <c r="R931" s="842"/>
      <c r="S931" s="842">
        <f>+S924/O924-1</f>
        <v>9.92366412213741E-2</v>
      </c>
      <c r="T931" s="842"/>
      <c r="U931" s="842"/>
      <c r="V931" s="842"/>
      <c r="W931" s="842">
        <f>+W924/S924-1</f>
        <v>0.13194444444444442</v>
      </c>
      <c r="X931" s="842"/>
      <c r="Y931" s="842">
        <f t="shared" ref="Y931:Z931" si="3698">+Y924/U924-1</f>
        <v>0.10000000000000009</v>
      </c>
      <c r="Z931" s="842">
        <f t="shared" si="3698"/>
        <v>0.12000000000000011</v>
      </c>
      <c r="AA931" s="842">
        <f>+AA924/W924-1</f>
        <v>0.11042944785276076</v>
      </c>
      <c r="AB931" s="842">
        <f t="shared" ref="AB931:AQ931" si="3699">+AB924/X924-1</f>
        <v>0.14000000000000012</v>
      </c>
      <c r="AC931" s="842">
        <f t="shared" si="3699"/>
        <v>0.15999999999999992</v>
      </c>
      <c r="AD931" s="842">
        <f t="shared" si="3699"/>
        <v>0.19999999999999996</v>
      </c>
      <c r="AE931" s="842">
        <f t="shared" si="3699"/>
        <v>0.22099447513812165</v>
      </c>
      <c r="AF931" s="842">
        <f t="shared" si="3699"/>
        <v>0.21999999999999997</v>
      </c>
      <c r="AG931" s="842">
        <f t="shared" si="3699"/>
        <v>0.18999999999999995</v>
      </c>
      <c r="AH931" s="842">
        <f t="shared" si="3699"/>
        <v>9.000000000000008E-2</v>
      </c>
      <c r="AI931" s="842">
        <f t="shared" si="3699"/>
        <v>0</v>
      </c>
      <c r="AJ931" s="842">
        <f t="shared" si="3699"/>
        <v>-6.9999999999999951E-2</v>
      </c>
      <c r="AK931" s="842">
        <f t="shared" si="3699"/>
        <v>-2.0000000000000018E-2</v>
      </c>
      <c r="AL931" s="842">
        <f t="shared" si="3699"/>
        <v>-1.0000000000000009E-2</v>
      </c>
      <c r="AM931" s="842">
        <f t="shared" si="3699"/>
        <v>3.167420814479649E-2</v>
      </c>
      <c r="AN931" s="842">
        <f t="shared" si="3699"/>
        <v>8.0000000000000071E-2</v>
      </c>
      <c r="AO931" s="842">
        <f t="shared" si="3699"/>
        <v>1.4648979591836753E-2</v>
      </c>
      <c r="AP931" s="842">
        <f t="shared" si="3699"/>
        <v>3.4532000000000007E-2</v>
      </c>
      <c r="AQ931" s="842">
        <f t="shared" si="3699"/>
        <v>3.2452046189473727E-2</v>
      </c>
      <c r="AR931" s="842"/>
      <c r="AS931" s="842"/>
      <c r="AT931" s="842"/>
      <c r="AU931" s="842"/>
      <c r="AV931" s="842"/>
      <c r="AW931" s="842"/>
      <c r="AX931" s="842"/>
      <c r="AY931" s="842"/>
      <c r="AZ931" s="842"/>
      <c r="BA931" s="842"/>
      <c r="BB931" s="842"/>
      <c r="BC931" s="842"/>
      <c r="BD931" s="842"/>
      <c r="BE931" s="842"/>
      <c r="BF931" s="842"/>
      <c r="BG931" s="842"/>
      <c r="BH931" s="842">
        <f t="shared" si="3696"/>
        <v>8.7719298245614086E-2</v>
      </c>
      <c r="BI931" s="842">
        <f t="shared" si="3696"/>
        <v>5.6451612903225756E-2</v>
      </c>
      <c r="BJ931" s="842">
        <f t="shared" si="3696"/>
        <v>9.92366412213741E-2</v>
      </c>
      <c r="BK931" s="842">
        <f t="shared" si="3696"/>
        <v>0.13194444444444442</v>
      </c>
      <c r="BL931" s="842">
        <f t="shared" si="3696"/>
        <v>0.11042944785276076</v>
      </c>
      <c r="BM931" s="842">
        <f t="shared" si="3696"/>
        <v>0.22099447513812165</v>
      </c>
      <c r="BN931" s="842">
        <f t="shared" si="3696"/>
        <v>0</v>
      </c>
      <c r="BO931" s="842">
        <f t="shared" si="3696"/>
        <v>3.167420814479649E-2</v>
      </c>
      <c r="BP931" s="842">
        <f>+IFERROR(BP924/BO924-1,"NA ")</f>
        <v>3.2452046189473727E-2</v>
      </c>
      <c r="BT931"/>
      <c r="BU931"/>
      <c r="BV931"/>
      <c r="BW931"/>
      <c r="BX931"/>
      <c r="BY931"/>
      <c r="BZ931"/>
      <c r="CA931"/>
      <c r="CB931"/>
      <c r="CC931"/>
    </row>
    <row r="932" spans="2:81">
      <c r="H932" s="911"/>
      <c r="I932" s="911"/>
      <c r="J932" s="911"/>
      <c r="K932" s="911"/>
      <c r="L932" s="911"/>
      <c r="M932" s="911"/>
      <c r="N932" s="911"/>
      <c r="O932" s="911"/>
      <c r="P932" s="911"/>
      <c r="Q932" s="911"/>
      <c r="R932" s="911"/>
      <c r="S932" s="911"/>
      <c r="T932" s="911"/>
      <c r="U932" s="911"/>
      <c r="V932" s="911"/>
      <c r="W932" s="911"/>
      <c r="X932" s="911"/>
      <c r="Y932" s="911"/>
      <c r="Z932" s="911"/>
      <c r="AA932" s="911"/>
      <c r="AB932" s="911"/>
      <c r="AC932" s="911"/>
      <c r="AD932" s="911"/>
      <c r="AE932" s="911"/>
      <c r="AF932" s="911"/>
      <c r="AG932" s="911"/>
      <c r="AH932" s="911"/>
      <c r="AI932" s="911"/>
      <c r="AJ932" s="911"/>
      <c r="AK932" s="911"/>
      <c r="AL932" s="911"/>
      <c r="AM932" s="911"/>
      <c r="AN932" s="911"/>
      <c r="AO932" s="911"/>
      <c r="AP932" s="911"/>
      <c r="AQ932" s="911"/>
      <c r="BH932" s="912"/>
      <c r="BI932" s="912"/>
      <c r="BJ932" s="912"/>
      <c r="BK932" s="912"/>
      <c r="BL932" s="912"/>
      <c r="BM932" s="912"/>
      <c r="BN932" s="912"/>
      <c r="BO932" s="912"/>
      <c r="BP932" s="912"/>
    </row>
    <row r="933" spans="2:81" ht="10.5">
      <c r="B933" s="45" t="s">
        <v>503</v>
      </c>
      <c r="H933" s="911"/>
      <c r="I933" s="911"/>
      <c r="J933" s="911"/>
      <c r="K933" s="911"/>
      <c r="L933" s="911"/>
      <c r="M933" s="911"/>
      <c r="N933" s="911"/>
      <c r="O933" s="911"/>
      <c r="P933" s="911"/>
      <c r="Q933" s="911"/>
      <c r="R933" s="911"/>
      <c r="S933" s="911"/>
      <c r="T933" s="911"/>
      <c r="U933" s="911"/>
      <c r="V933" s="911"/>
      <c r="W933" s="911"/>
      <c r="X933" s="911"/>
      <c r="Y933" s="911"/>
      <c r="Z933" s="911"/>
      <c r="AA933" s="911"/>
      <c r="AB933" s="911"/>
      <c r="AC933" s="911"/>
      <c r="AD933" s="911"/>
      <c r="AE933" s="911"/>
      <c r="AF933" s="911"/>
      <c r="AG933" s="911"/>
      <c r="AH933" s="911"/>
      <c r="AI933" s="911"/>
      <c r="AJ933" s="911"/>
      <c r="AK933" s="911"/>
      <c r="AL933" s="911"/>
      <c r="AM933" s="911"/>
      <c r="AN933" s="911"/>
      <c r="AO933" s="911"/>
      <c r="AP933" s="911"/>
      <c r="AQ933" s="911"/>
      <c r="BH933" s="912"/>
      <c r="BI933" s="912"/>
      <c r="BJ933" s="912"/>
      <c r="BK933" s="912"/>
      <c r="BL933" s="912"/>
      <c r="BM933" s="912"/>
      <c r="BN933" s="912"/>
      <c r="BO933" s="912"/>
      <c r="BP933" s="912"/>
      <c r="BT933" s="33"/>
      <c r="BU933" s="33"/>
      <c r="BV933" s="33"/>
      <c r="BW933" s="33"/>
      <c r="BX933" s="33"/>
      <c r="BY933" s="33"/>
      <c r="BZ933" s="33"/>
      <c r="CA933" s="33"/>
      <c r="CB933" s="33"/>
      <c r="CC933" s="33"/>
    </row>
    <row r="934" spans="2:81" ht="13.5">
      <c r="B934" t="s">
        <v>508</v>
      </c>
      <c r="H934" s="903"/>
      <c r="I934" s="821"/>
      <c r="J934" s="31"/>
      <c r="K934" s="31"/>
      <c r="L934" s="879"/>
      <c r="M934" s="879"/>
      <c r="N934" s="879"/>
      <c r="O934" s="880">
        <f>+BI934</f>
        <v>36000</v>
      </c>
      <c r="P934" s="880"/>
      <c r="Q934" s="880"/>
      <c r="R934" s="880"/>
      <c r="S934" s="880">
        <f>+BJ934</f>
        <v>38000</v>
      </c>
      <c r="T934" s="880"/>
      <c r="U934" s="880"/>
      <c r="V934" s="880"/>
      <c r="W934" s="880">
        <f>+BK934</f>
        <v>40000</v>
      </c>
      <c r="X934" s="880"/>
      <c r="Y934" s="880"/>
      <c r="Z934" s="880"/>
      <c r="AA934" s="880">
        <f>+BL934</f>
        <v>40000</v>
      </c>
      <c r="AB934" s="880"/>
      <c r="AC934" s="880"/>
      <c r="AD934" s="880"/>
      <c r="AE934" s="880">
        <f>+BM934</f>
        <v>47000</v>
      </c>
      <c r="AF934" s="879"/>
      <c r="AG934" s="879"/>
      <c r="AH934" s="879"/>
      <c r="AI934" s="880">
        <f>+BN934</f>
        <v>45000</v>
      </c>
      <c r="AJ934" s="879"/>
      <c r="AK934" s="879"/>
      <c r="AL934" s="879"/>
      <c r="AM934" s="880">
        <f>+BO934</f>
        <v>45000</v>
      </c>
      <c r="AN934" s="879"/>
      <c r="AO934" s="879"/>
      <c r="AP934" s="879"/>
      <c r="AQ934" s="879"/>
      <c r="BB934" s="879"/>
      <c r="BC934" s="879"/>
      <c r="BD934" s="879"/>
      <c r="BE934" s="879"/>
      <c r="BF934" s="879"/>
      <c r="BG934" s="856">
        <v>29000</v>
      </c>
      <c r="BH934" s="856">
        <v>34000</v>
      </c>
      <c r="BI934" s="880">
        <v>36000</v>
      </c>
      <c r="BJ934" s="880">
        <v>38000</v>
      </c>
      <c r="BK934" s="880">
        <v>40000</v>
      </c>
      <c r="BL934" s="880">
        <v>40000</v>
      </c>
      <c r="BM934" s="880">
        <v>47000</v>
      </c>
      <c r="BN934" s="880">
        <v>45000</v>
      </c>
      <c r="BO934" s="8">
        <v>45000</v>
      </c>
      <c r="BP934" s="8"/>
      <c r="BQ934" s="8"/>
    </row>
    <row r="935" spans="2:81" ht="13.5">
      <c r="B935" t="s">
        <v>509</v>
      </c>
      <c r="H935" s="903"/>
      <c r="I935" s="821"/>
      <c r="J935" s="31"/>
      <c r="K935" s="31"/>
      <c r="L935" s="879"/>
      <c r="M935" s="879"/>
      <c r="N935" s="879"/>
      <c r="O935" s="880">
        <f t="shared" ref="O935:O937" si="3700">+BI935</f>
        <v>11000</v>
      </c>
      <c r="P935" s="880"/>
      <c r="Q935" s="880"/>
      <c r="R935" s="880"/>
      <c r="S935" s="880">
        <f t="shared" ref="S935:S937" si="3701">+BJ935</f>
        <v>12000</v>
      </c>
      <c r="T935" s="880"/>
      <c r="U935" s="880"/>
      <c r="V935" s="880"/>
      <c r="W935" s="880">
        <f t="shared" ref="W935:W937" si="3702">+BK935</f>
        <v>12000</v>
      </c>
      <c r="X935" s="880"/>
      <c r="Y935" s="880"/>
      <c r="Z935" s="880"/>
      <c r="AA935" s="880">
        <f t="shared" ref="AA935:AA937" si="3703">+BL935</f>
        <v>14000</v>
      </c>
      <c r="AB935" s="880"/>
      <c r="AC935" s="880"/>
      <c r="AD935" s="880"/>
      <c r="AE935" s="880">
        <f t="shared" ref="AE935:AE937" si="3704">+BM935</f>
        <v>16000</v>
      </c>
      <c r="AF935" s="879"/>
      <c r="AG935" s="879"/>
      <c r="AH935" s="879"/>
      <c r="AI935" s="880">
        <f t="shared" ref="AI935:AI938" si="3705">+BN935</f>
        <v>15000</v>
      </c>
      <c r="AJ935" s="879"/>
      <c r="AK935" s="879"/>
      <c r="AL935" s="879"/>
      <c r="AM935" s="880">
        <f t="shared" ref="AM935:AM938" si="3706">+BO935</f>
        <v>16000</v>
      </c>
      <c r="AN935" s="879"/>
      <c r="AO935" s="879"/>
      <c r="AP935" s="879"/>
      <c r="AQ935" s="879"/>
      <c r="BB935" s="879"/>
      <c r="BC935" s="879"/>
      <c r="BD935" s="879"/>
      <c r="BE935" s="879"/>
      <c r="BF935" s="879"/>
      <c r="BG935" s="856">
        <v>10000</v>
      </c>
      <c r="BH935" s="856">
        <v>11000</v>
      </c>
      <c r="BI935" s="880">
        <v>11000</v>
      </c>
      <c r="BJ935" s="880">
        <v>12000</v>
      </c>
      <c r="BK935" s="880">
        <v>12000</v>
      </c>
      <c r="BL935" s="880">
        <v>14000</v>
      </c>
      <c r="BM935" s="880">
        <v>16000</v>
      </c>
      <c r="BN935" s="880">
        <v>15000</v>
      </c>
      <c r="BO935" s="8">
        <v>16000</v>
      </c>
      <c r="BP935" s="8"/>
      <c r="BQ935" s="8"/>
    </row>
    <row r="936" spans="2:81" ht="13.5">
      <c r="B936" t="s">
        <v>510</v>
      </c>
      <c r="H936" s="903"/>
      <c r="I936" s="821"/>
      <c r="J936" s="31"/>
      <c r="K936" s="31"/>
      <c r="L936" s="879"/>
      <c r="M936" s="879"/>
      <c r="N936" s="879"/>
      <c r="O936" s="880">
        <f t="shared" si="3700"/>
        <v>42000</v>
      </c>
      <c r="P936" s="880"/>
      <c r="Q936" s="880"/>
      <c r="R936" s="880"/>
      <c r="S936" s="880">
        <f t="shared" si="3701"/>
        <v>47000</v>
      </c>
      <c r="T936" s="880"/>
      <c r="U936" s="880"/>
      <c r="V936" s="880"/>
      <c r="W936" s="880">
        <f t="shared" si="3702"/>
        <v>56000</v>
      </c>
      <c r="X936" s="880"/>
      <c r="Y936" s="880"/>
      <c r="Z936" s="880"/>
      <c r="AA936" s="880">
        <f t="shared" si="3703"/>
        <v>67000</v>
      </c>
      <c r="AB936" s="880"/>
      <c r="AC936" s="880"/>
      <c r="AD936" s="880"/>
      <c r="AE936" s="880">
        <f t="shared" si="3704"/>
        <v>85000</v>
      </c>
      <c r="AF936" s="879"/>
      <c r="AG936" s="879"/>
      <c r="AH936" s="879"/>
      <c r="AI936" s="880">
        <f t="shared" si="3705"/>
        <v>89000</v>
      </c>
      <c r="AJ936" s="879"/>
      <c r="AK936" s="879"/>
      <c r="AL936" s="879"/>
      <c r="AM936" s="880">
        <f t="shared" si="3706"/>
        <v>86000</v>
      </c>
      <c r="AN936" s="879"/>
      <c r="AO936" s="879"/>
      <c r="AP936" s="879"/>
      <c r="AQ936" s="879"/>
      <c r="BB936" s="879"/>
      <c r="BC936" s="879"/>
      <c r="BD936" s="879"/>
      <c r="BE936" s="879"/>
      <c r="BF936" s="879"/>
      <c r="BG936" s="856">
        <v>38000</v>
      </c>
      <c r="BH936" s="856">
        <v>39000</v>
      </c>
      <c r="BI936" s="880">
        <v>42000</v>
      </c>
      <c r="BJ936" s="880">
        <v>47000</v>
      </c>
      <c r="BK936" s="880">
        <v>56000</v>
      </c>
      <c r="BL936" s="880">
        <v>67000</v>
      </c>
      <c r="BM936" s="880">
        <v>85000</v>
      </c>
      <c r="BN936" s="880">
        <v>89000</v>
      </c>
      <c r="BO936" s="8">
        <v>86000</v>
      </c>
      <c r="BP936" s="8"/>
      <c r="BQ936" s="8"/>
    </row>
    <row r="937" spans="2:81" s="852" customFormat="1">
      <c r="B937" t="s">
        <v>511</v>
      </c>
      <c r="H937" s="853"/>
      <c r="I937" s="853"/>
      <c r="J937" s="853"/>
      <c r="K937" s="853"/>
      <c r="L937" s="853"/>
      <c r="M937" s="853"/>
      <c r="N937" s="853"/>
      <c r="O937" s="940">
        <f t="shared" si="3700"/>
        <v>42000</v>
      </c>
      <c r="P937" s="940"/>
      <c r="Q937" s="940"/>
      <c r="R937" s="940"/>
      <c r="S937" s="940">
        <f t="shared" si="3701"/>
        <v>47000</v>
      </c>
      <c r="T937" s="940"/>
      <c r="U937" s="940"/>
      <c r="V937" s="940"/>
      <c r="W937" s="940">
        <f t="shared" si="3702"/>
        <v>55000</v>
      </c>
      <c r="X937" s="940"/>
      <c r="Y937" s="940"/>
      <c r="Z937" s="940"/>
      <c r="AA937" s="940">
        <f t="shared" si="3703"/>
        <v>60000</v>
      </c>
      <c r="AB937" s="940"/>
      <c r="AC937" s="940"/>
      <c r="AD937" s="940"/>
      <c r="AE937" s="940">
        <f t="shared" si="3704"/>
        <v>73000</v>
      </c>
      <c r="AF937" s="853"/>
      <c r="AG937" s="853"/>
      <c r="AH937" s="853"/>
      <c r="AI937" s="940">
        <f t="shared" si="3705"/>
        <v>72000</v>
      </c>
      <c r="AJ937" s="853"/>
      <c r="AK937" s="853"/>
      <c r="AL937" s="853"/>
      <c r="AM937" s="940">
        <f t="shared" si="3706"/>
        <v>81000</v>
      </c>
      <c r="AN937" s="853"/>
      <c r="AO937" s="853"/>
      <c r="AP937" s="853"/>
      <c r="AQ937" s="853"/>
      <c r="AR937" s="1001"/>
      <c r="AS937" s="1001"/>
      <c r="AT937" s="1001"/>
      <c r="AU937" s="1001"/>
      <c r="AV937" s="1001"/>
      <c r="AW937" s="1001"/>
      <c r="AX937" s="1001"/>
      <c r="AY937" s="1001"/>
      <c r="AZ937" s="1001"/>
      <c r="BA937" s="1001"/>
      <c r="BB937" s="1001"/>
      <c r="BC937" s="1001"/>
      <c r="BD937" s="1001"/>
      <c r="BE937" s="1001"/>
      <c r="BF937" s="1001"/>
      <c r="BG937" s="1001">
        <v>37000</v>
      </c>
      <c r="BH937" s="1001">
        <v>40000</v>
      </c>
      <c r="BI937" s="853">
        <v>42000</v>
      </c>
      <c r="BJ937" s="853">
        <v>47000</v>
      </c>
      <c r="BK937" s="1000">
        <v>55000</v>
      </c>
      <c r="BL937" s="1000">
        <v>60000</v>
      </c>
      <c r="BM937" s="1000">
        <v>73000</v>
      </c>
      <c r="BN937" s="1000">
        <v>72000</v>
      </c>
      <c r="BO937" s="853">
        <v>81000</v>
      </c>
      <c r="BP937" s="853"/>
      <c r="BT937" s="33"/>
      <c r="BU937" s="33"/>
      <c r="BV937" s="33"/>
      <c r="BW937" s="33"/>
      <c r="BX937" s="33"/>
      <c r="BY937" s="33"/>
      <c r="BZ937" s="33"/>
      <c r="CA937" s="33"/>
      <c r="CB937" s="33"/>
      <c r="CC937" s="33"/>
    </row>
    <row r="938" spans="2:81" s="1" customFormat="1" ht="10.5">
      <c r="B938" s="837" t="s">
        <v>506</v>
      </c>
      <c r="D938" s="838"/>
      <c r="E938" s="838"/>
      <c r="F938" s="838"/>
      <c r="G938" s="838"/>
      <c r="H938" s="838"/>
      <c r="I938" s="838"/>
      <c r="J938" s="838"/>
      <c r="K938" s="838"/>
      <c r="L938" s="838"/>
      <c r="M938" s="838"/>
      <c r="N938" s="838"/>
      <c r="O938" s="849">
        <f t="shared" ref="O938" si="3707">+BI938</f>
        <v>131000</v>
      </c>
      <c r="P938" s="849"/>
      <c r="Q938" s="849"/>
      <c r="R938" s="849"/>
      <c r="S938" s="849">
        <f t="shared" ref="S938" si="3708">+BJ938</f>
        <v>144000</v>
      </c>
      <c r="T938" s="849"/>
      <c r="U938" s="849"/>
      <c r="V938" s="849"/>
      <c r="W938" s="849">
        <f t="shared" ref="W938" si="3709">+BK938</f>
        <v>163000</v>
      </c>
      <c r="X938" s="849"/>
      <c r="Y938" s="849"/>
      <c r="Z938" s="849"/>
      <c r="AA938" s="849">
        <f t="shared" ref="AA938" si="3710">+BL938</f>
        <v>181000</v>
      </c>
      <c r="AB938" s="849"/>
      <c r="AC938" s="849"/>
      <c r="AD938" s="849"/>
      <c r="AE938" s="849">
        <f t="shared" ref="AE938" si="3711">+BM938</f>
        <v>221000</v>
      </c>
      <c r="AF938" s="1215"/>
      <c r="AG938" s="1215"/>
      <c r="AH938" s="1215"/>
      <c r="AI938" s="849">
        <f t="shared" si="3705"/>
        <v>221000</v>
      </c>
      <c r="AJ938" s="838"/>
      <c r="AK938" s="838"/>
      <c r="AL938" s="838"/>
      <c r="AM938" s="849">
        <f t="shared" si="3706"/>
        <v>228000</v>
      </c>
      <c r="AN938" s="838"/>
      <c r="AO938" s="838"/>
      <c r="AP938" s="838"/>
      <c r="AQ938" s="838"/>
      <c r="AR938" s="838"/>
      <c r="AS938" s="838"/>
      <c r="AT938" s="838"/>
      <c r="AU938" s="838"/>
      <c r="AV938" s="838"/>
      <c r="AW938" s="838"/>
      <c r="AX938" s="838"/>
      <c r="AY938" s="838"/>
      <c r="AZ938" s="838"/>
      <c r="BA938" s="838"/>
      <c r="BB938" s="838"/>
      <c r="BC938" s="838"/>
      <c r="BD938" s="838"/>
      <c r="BE938" s="838"/>
      <c r="BF938" s="838"/>
      <c r="BG938" s="838">
        <f t="shared" ref="BG938:BO938" si="3712">+SUM(BG934:BG937)</f>
        <v>114000</v>
      </c>
      <c r="BH938" s="838">
        <f t="shared" si="3712"/>
        <v>124000</v>
      </c>
      <c r="BI938" s="838">
        <f t="shared" si="3712"/>
        <v>131000</v>
      </c>
      <c r="BJ938" s="838">
        <f t="shared" si="3712"/>
        <v>144000</v>
      </c>
      <c r="BK938" s="838">
        <f t="shared" si="3712"/>
        <v>163000</v>
      </c>
      <c r="BL938" s="838">
        <f t="shared" si="3712"/>
        <v>181000</v>
      </c>
      <c r="BM938" s="838">
        <f t="shared" si="3712"/>
        <v>221000</v>
      </c>
      <c r="BN938" s="838">
        <f t="shared" si="3712"/>
        <v>221000</v>
      </c>
      <c r="BO938" s="838">
        <f t="shared" si="3712"/>
        <v>228000</v>
      </c>
      <c r="BP938" s="838"/>
      <c r="BT938"/>
      <c r="BU938"/>
      <c r="BV938"/>
      <c r="BW938"/>
      <c r="BX938"/>
      <c r="BY938"/>
      <c r="BZ938"/>
      <c r="CA938"/>
      <c r="CB938"/>
      <c r="CC938"/>
    </row>
    <row r="939" spans="2:81">
      <c r="H939" s="911"/>
      <c r="I939" s="911"/>
      <c r="J939" s="911"/>
      <c r="K939" s="911"/>
      <c r="L939" s="911"/>
      <c r="M939" s="911"/>
      <c r="N939" s="911"/>
      <c r="O939" s="911"/>
      <c r="P939" s="911"/>
      <c r="Q939" s="911"/>
      <c r="R939" s="911"/>
      <c r="S939" s="911"/>
      <c r="T939" s="911"/>
      <c r="U939" s="911"/>
      <c r="V939" s="911"/>
      <c r="W939" s="911"/>
      <c r="X939" s="911"/>
      <c r="Y939" s="911"/>
      <c r="Z939" s="911"/>
      <c r="AA939" s="911"/>
      <c r="AB939" s="911"/>
      <c r="AC939" s="911"/>
      <c r="AD939" s="911"/>
      <c r="AE939" s="911"/>
      <c r="AF939" s="911"/>
      <c r="AG939" s="911"/>
      <c r="AH939" s="911"/>
      <c r="AI939" s="911"/>
      <c r="AJ939" s="911"/>
      <c r="AK939" s="911"/>
      <c r="AL939" s="911"/>
      <c r="AM939" s="911"/>
      <c r="AN939" s="911"/>
      <c r="AO939" s="911"/>
      <c r="AP939" s="911"/>
      <c r="AQ939" s="911"/>
      <c r="BH939" s="912"/>
      <c r="BI939" s="912"/>
      <c r="BJ939" s="912"/>
      <c r="BK939" s="912"/>
      <c r="BL939" s="912"/>
      <c r="BM939" s="912"/>
      <c r="BN939" s="912"/>
      <c r="BO939" s="912"/>
      <c r="BP939" s="912"/>
    </row>
    <row r="940" spans="2:81" s="3" customFormat="1">
      <c r="B940" s="883" t="s">
        <v>113</v>
      </c>
      <c r="BT940"/>
      <c r="BU940"/>
      <c r="BV940"/>
      <c r="BW940"/>
      <c r="BX940"/>
      <c r="BY940"/>
      <c r="BZ940"/>
      <c r="CA940"/>
      <c r="CB940"/>
      <c r="CC940"/>
    </row>
    <row r="941" spans="2:81" s="3" customFormat="1">
      <c r="B941" s="884" t="str">
        <f>+B934</f>
        <v>Sales and marketing</v>
      </c>
      <c r="L941" s="228"/>
      <c r="M941" s="228"/>
      <c r="N941" s="228"/>
      <c r="O941" s="228">
        <f>+BI941</f>
        <v>5.8823529411764719E-2</v>
      </c>
      <c r="P941" s="228"/>
      <c r="Q941" s="228"/>
      <c r="R941" s="228"/>
      <c r="S941" s="228">
        <f>+S934/O934-1</f>
        <v>5.555555555555558E-2</v>
      </c>
      <c r="T941" s="228"/>
      <c r="U941" s="228"/>
      <c r="V941" s="228"/>
      <c r="W941" s="228">
        <f>+W934/S934-1</f>
        <v>5.2631578947368363E-2</v>
      </c>
      <c r="X941" s="228"/>
      <c r="Y941" s="228"/>
      <c r="Z941" s="228"/>
      <c r="AA941" s="228">
        <f>+AA934/W934-1</f>
        <v>0</v>
      </c>
      <c r="AB941" s="228"/>
      <c r="AC941" s="228"/>
      <c r="AD941" s="228"/>
      <c r="AE941" s="228">
        <f>+AE934/AA934-1</f>
        <v>0.17500000000000004</v>
      </c>
      <c r="AF941" s="228"/>
      <c r="AG941" s="228"/>
      <c r="AH941" s="228"/>
      <c r="AI941" s="228">
        <f>+AI934/AE934-1</f>
        <v>-4.2553191489361653E-2</v>
      </c>
      <c r="AJ941" s="228"/>
      <c r="AK941" s="228"/>
      <c r="AL941" s="228"/>
      <c r="AM941" s="228">
        <f>+AM934/AI934-1</f>
        <v>0</v>
      </c>
      <c r="AN941" s="228"/>
      <c r="AO941" s="228"/>
      <c r="AP941" s="228"/>
      <c r="AQ941" s="228"/>
      <c r="AR941" s="228"/>
      <c r="AS941" s="228"/>
      <c r="AT941" s="228"/>
      <c r="AU941" s="228"/>
      <c r="AV941" s="228"/>
      <c r="AW941" s="228"/>
      <c r="AX941" s="228"/>
      <c r="AY941" s="228"/>
      <c r="AZ941" s="228"/>
      <c r="BA941" s="228"/>
      <c r="BB941" s="228"/>
      <c r="BC941" s="228"/>
      <c r="BD941" s="228"/>
      <c r="BE941" s="228"/>
      <c r="BF941" s="228"/>
      <c r="BG941" s="228"/>
      <c r="BH941" s="228">
        <f t="shared" ref="BH941:BM941" si="3713">+IFERROR(BH934/BG934-1,"NA ")</f>
        <v>0.17241379310344818</v>
      </c>
      <c r="BI941" s="228">
        <f t="shared" si="3713"/>
        <v>5.8823529411764719E-2</v>
      </c>
      <c r="BJ941" s="228">
        <f t="shared" si="3713"/>
        <v>5.555555555555558E-2</v>
      </c>
      <c r="BK941" s="228">
        <f t="shared" si="3713"/>
        <v>5.2631578947368363E-2</v>
      </c>
      <c r="BL941" s="228">
        <f t="shared" si="3713"/>
        <v>0</v>
      </c>
      <c r="BM941" s="228">
        <f t="shared" si="3713"/>
        <v>0.17500000000000004</v>
      </c>
      <c r="BN941" s="228">
        <f t="shared" ref="BN941:BN945" si="3714">+IFERROR(BN934/BM934-1,"NA ")</f>
        <v>-4.2553191489361653E-2</v>
      </c>
      <c r="BO941" s="228">
        <f t="shared" ref="BO941:BO945" si="3715">+IFERROR(BO934/BN934-1,"NA ")</f>
        <v>0</v>
      </c>
      <c r="BP941" s="228"/>
      <c r="BT941" s="33"/>
      <c r="BU941" s="33"/>
      <c r="BV941" s="33"/>
      <c r="BW941" s="33"/>
      <c r="BX941" s="33"/>
      <c r="BY941" s="33"/>
      <c r="BZ941" s="33"/>
      <c r="CA941" s="33"/>
      <c r="CB941" s="33"/>
      <c r="CC941" s="33"/>
    </row>
    <row r="942" spans="2:81" s="3" customFormat="1">
      <c r="B942" s="884" t="str">
        <f t="shared" ref="B942:B945" si="3716">+B935</f>
        <v>General and administration</v>
      </c>
      <c r="L942" s="228"/>
      <c r="M942" s="228"/>
      <c r="N942" s="228"/>
      <c r="O942" s="228">
        <f t="shared" ref="O942:O945" si="3717">+BI942</f>
        <v>0</v>
      </c>
      <c r="P942" s="228"/>
      <c r="Q942" s="228"/>
      <c r="R942" s="228"/>
      <c r="S942" s="228">
        <f t="shared" ref="S942:S945" si="3718">+S935/O935-1</f>
        <v>9.0909090909090828E-2</v>
      </c>
      <c r="T942" s="228"/>
      <c r="U942" s="228"/>
      <c r="V942" s="228"/>
      <c r="W942" s="228">
        <f t="shared" ref="W942:W945" si="3719">+W935/S935-1</f>
        <v>0</v>
      </c>
      <c r="X942" s="228"/>
      <c r="Y942" s="228"/>
      <c r="Z942" s="228"/>
      <c r="AA942" s="228">
        <f t="shared" ref="AA942:AA945" si="3720">+AA935/W935-1</f>
        <v>0.16666666666666674</v>
      </c>
      <c r="AB942" s="228"/>
      <c r="AC942" s="228"/>
      <c r="AD942" s="228"/>
      <c r="AE942" s="228">
        <f t="shared" ref="AE942:AE945" si="3721">+AE935/AA935-1</f>
        <v>0.14285714285714279</v>
      </c>
      <c r="AF942" s="228"/>
      <c r="AG942" s="228"/>
      <c r="AH942" s="228"/>
      <c r="AI942" s="228">
        <f t="shared" ref="AI942:AI945" si="3722">+AI935/AE935-1</f>
        <v>-6.25E-2</v>
      </c>
      <c r="AJ942" s="228"/>
      <c r="AK942" s="228"/>
      <c r="AL942" s="228"/>
      <c r="AM942" s="228">
        <f t="shared" ref="AM942:AM945" si="3723">+AM935/AI935-1</f>
        <v>6.6666666666666652E-2</v>
      </c>
      <c r="AN942" s="228"/>
      <c r="AO942" s="228"/>
      <c r="AP942" s="228"/>
      <c r="AQ942" s="228"/>
      <c r="AR942" s="228"/>
      <c r="AS942" s="228"/>
      <c r="AT942" s="228"/>
      <c r="AU942" s="228"/>
      <c r="AV942" s="228"/>
      <c r="AW942" s="228"/>
      <c r="AX942" s="228"/>
      <c r="AY942" s="228"/>
      <c r="AZ942" s="228"/>
      <c r="BA942" s="228"/>
      <c r="BB942" s="228"/>
      <c r="BC942" s="228"/>
      <c r="BD942" s="228"/>
      <c r="BE942" s="228"/>
      <c r="BF942" s="228"/>
      <c r="BG942" s="228"/>
      <c r="BH942" s="228">
        <f t="shared" ref="BH942:BM942" si="3724">+IFERROR(BH935/BG935-1,"NA ")</f>
        <v>0.10000000000000009</v>
      </c>
      <c r="BI942" s="228">
        <f t="shared" si="3724"/>
        <v>0</v>
      </c>
      <c r="BJ942" s="228">
        <f t="shared" si="3724"/>
        <v>9.0909090909090828E-2</v>
      </c>
      <c r="BK942" s="228">
        <f t="shared" si="3724"/>
        <v>0</v>
      </c>
      <c r="BL942" s="228">
        <f t="shared" si="3724"/>
        <v>0.16666666666666674</v>
      </c>
      <c r="BM942" s="228">
        <f t="shared" si="3724"/>
        <v>0.14285714285714279</v>
      </c>
      <c r="BN942" s="228">
        <f t="shared" si="3714"/>
        <v>-6.25E-2</v>
      </c>
      <c r="BO942" s="228">
        <f t="shared" si="3715"/>
        <v>6.6666666666666652E-2</v>
      </c>
      <c r="BP942" s="228"/>
    </row>
    <row r="943" spans="2:81" s="3" customFormat="1">
      <c r="B943" s="884" t="str">
        <f t="shared" si="3716"/>
        <v>Operations</v>
      </c>
      <c r="L943" s="228"/>
      <c r="M943" s="228"/>
      <c r="N943" s="228"/>
      <c r="O943" s="228">
        <f t="shared" si="3717"/>
        <v>7.6923076923076872E-2</v>
      </c>
      <c r="P943" s="228"/>
      <c r="Q943" s="228"/>
      <c r="R943" s="228"/>
      <c r="S943" s="228">
        <f t="shared" si="3718"/>
        <v>0.11904761904761907</v>
      </c>
      <c r="T943" s="228"/>
      <c r="U943" s="228"/>
      <c r="V943" s="228"/>
      <c r="W943" s="228">
        <f t="shared" si="3719"/>
        <v>0.1914893617021276</v>
      </c>
      <c r="X943" s="228"/>
      <c r="Y943" s="228"/>
      <c r="Z943" s="228"/>
      <c r="AA943" s="228">
        <f t="shared" si="3720"/>
        <v>0.1964285714285714</v>
      </c>
      <c r="AB943" s="228"/>
      <c r="AC943" s="228"/>
      <c r="AD943" s="228"/>
      <c r="AE943" s="228">
        <f t="shared" si="3721"/>
        <v>0.26865671641791056</v>
      </c>
      <c r="AF943" s="228"/>
      <c r="AG943" s="228"/>
      <c r="AH943" s="228"/>
      <c r="AI943" s="228">
        <f t="shared" si="3722"/>
        <v>4.705882352941182E-2</v>
      </c>
      <c r="AJ943" s="228"/>
      <c r="AK943" s="228"/>
      <c r="AL943" s="228"/>
      <c r="AM943" s="228">
        <f t="shared" si="3723"/>
        <v>-3.3707865168539297E-2</v>
      </c>
      <c r="AN943" s="228"/>
      <c r="AO943" s="228"/>
      <c r="AP943" s="228"/>
      <c r="AQ943" s="228"/>
      <c r="AR943" s="228"/>
      <c r="AS943" s="228"/>
      <c r="AT943" s="228"/>
      <c r="AU943" s="228"/>
      <c r="AV943" s="228"/>
      <c r="AW943" s="228"/>
      <c r="AX943" s="228"/>
      <c r="AY943" s="228"/>
      <c r="AZ943" s="228"/>
      <c r="BA943" s="228"/>
      <c r="BB943" s="228"/>
      <c r="BC943" s="228"/>
      <c r="BD943" s="228"/>
      <c r="BE943" s="228"/>
      <c r="BF943" s="228"/>
      <c r="BG943" s="228"/>
      <c r="BH943" s="228">
        <f t="shared" ref="BH943:BM943" si="3725">+IFERROR(BH936/BG936-1,"NA ")</f>
        <v>2.6315789473684292E-2</v>
      </c>
      <c r="BI943" s="228">
        <f t="shared" si="3725"/>
        <v>7.6923076923076872E-2</v>
      </c>
      <c r="BJ943" s="228">
        <f t="shared" si="3725"/>
        <v>0.11904761904761907</v>
      </c>
      <c r="BK943" s="228">
        <f t="shared" si="3725"/>
        <v>0.1914893617021276</v>
      </c>
      <c r="BL943" s="228">
        <f t="shared" si="3725"/>
        <v>0.1964285714285714</v>
      </c>
      <c r="BM943" s="228">
        <f t="shared" si="3725"/>
        <v>0.26865671641791056</v>
      </c>
      <c r="BN943" s="228">
        <f t="shared" si="3714"/>
        <v>4.705882352941182E-2</v>
      </c>
      <c r="BO943" s="228">
        <f t="shared" si="3715"/>
        <v>-3.3707865168539297E-2</v>
      </c>
      <c r="BP943" s="228"/>
    </row>
    <row r="944" spans="2:81" s="3" customFormat="1" ht="11.45">
      <c r="B944" s="884" t="str">
        <f t="shared" si="3716"/>
        <v>Product research and development</v>
      </c>
      <c r="L944" s="840"/>
      <c r="M944" s="840"/>
      <c r="N944" s="840"/>
      <c r="O944" s="840">
        <f t="shared" si="3717"/>
        <v>5.0000000000000044E-2</v>
      </c>
      <c r="P944" s="840"/>
      <c r="Q944" s="840"/>
      <c r="R944" s="840"/>
      <c r="S944" s="840">
        <f t="shared" si="3718"/>
        <v>0.11904761904761907</v>
      </c>
      <c r="T944" s="840"/>
      <c r="U944" s="840"/>
      <c r="V944" s="840"/>
      <c r="W944" s="840">
        <f t="shared" si="3719"/>
        <v>0.17021276595744683</v>
      </c>
      <c r="X944" s="840"/>
      <c r="Y944" s="840"/>
      <c r="Z944" s="840"/>
      <c r="AA944" s="840">
        <f t="shared" si="3720"/>
        <v>9.0909090909090828E-2</v>
      </c>
      <c r="AB944" s="840"/>
      <c r="AC944" s="840"/>
      <c r="AD944" s="840"/>
      <c r="AE944" s="840">
        <f t="shared" si="3721"/>
        <v>0.21666666666666656</v>
      </c>
      <c r="AF944" s="840"/>
      <c r="AG944" s="840"/>
      <c r="AH944" s="840"/>
      <c r="AI944" s="840">
        <f t="shared" si="3722"/>
        <v>-1.3698630136986356E-2</v>
      </c>
      <c r="AJ944" s="840"/>
      <c r="AK944" s="840"/>
      <c r="AL944" s="840"/>
      <c r="AM944" s="840">
        <f t="shared" si="3723"/>
        <v>0.125</v>
      </c>
      <c r="AN944" s="840"/>
      <c r="AO944" s="840"/>
      <c r="AP944" s="840"/>
      <c r="AQ944" s="840"/>
      <c r="AR944" s="840"/>
      <c r="AS944" s="840"/>
      <c r="AT944" s="840"/>
      <c r="AU944" s="840"/>
      <c r="AV944" s="840"/>
      <c r="AW944" s="840"/>
      <c r="AX944" s="840"/>
      <c r="AY944" s="840"/>
      <c r="AZ944" s="840"/>
      <c r="BA944" s="840"/>
      <c r="BB944" s="840"/>
      <c r="BC944" s="840"/>
      <c r="BD944" s="840"/>
      <c r="BE944" s="840"/>
      <c r="BF944" s="840"/>
      <c r="BG944" s="840"/>
      <c r="BH944" s="840">
        <f t="shared" ref="BH944:BM944" si="3726">+IFERROR(BH937/BG937-1,"NA ")</f>
        <v>8.1081081081081141E-2</v>
      </c>
      <c r="BI944" s="840">
        <f t="shared" si="3726"/>
        <v>5.0000000000000044E-2</v>
      </c>
      <c r="BJ944" s="840">
        <f t="shared" si="3726"/>
        <v>0.11904761904761907</v>
      </c>
      <c r="BK944" s="840">
        <f t="shared" si="3726"/>
        <v>0.17021276595744683</v>
      </c>
      <c r="BL944" s="840">
        <f t="shared" si="3726"/>
        <v>9.0909090909090828E-2</v>
      </c>
      <c r="BM944" s="840">
        <f t="shared" si="3726"/>
        <v>0.21666666666666656</v>
      </c>
      <c r="BN944" s="840">
        <f t="shared" si="3714"/>
        <v>-1.3698630136986356E-2</v>
      </c>
      <c r="BO944" s="840">
        <f t="shared" si="3715"/>
        <v>0.125</v>
      </c>
      <c r="BP944" s="840"/>
      <c r="BT944"/>
      <c r="BU944"/>
      <c r="BV944"/>
      <c r="BW944"/>
      <c r="BX944"/>
      <c r="BY944"/>
      <c r="BZ944"/>
      <c r="CA944"/>
      <c r="CB944"/>
      <c r="CC944"/>
    </row>
    <row r="945" spans="2:81" s="7" customFormat="1">
      <c r="B945" s="887" t="str">
        <f t="shared" si="3716"/>
        <v>Total Employees</v>
      </c>
      <c r="L945" s="842"/>
      <c r="M945" s="842"/>
      <c r="N945" s="842"/>
      <c r="O945" s="842">
        <f t="shared" si="3717"/>
        <v>5.6451612903225756E-2</v>
      </c>
      <c r="P945" s="842"/>
      <c r="Q945" s="842"/>
      <c r="R945" s="842"/>
      <c r="S945" s="842">
        <f t="shared" si="3718"/>
        <v>9.92366412213741E-2</v>
      </c>
      <c r="T945" s="842"/>
      <c r="U945" s="842"/>
      <c r="V945" s="842"/>
      <c r="W945" s="842">
        <f t="shared" si="3719"/>
        <v>0.13194444444444442</v>
      </c>
      <c r="X945" s="842"/>
      <c r="Y945" s="842"/>
      <c r="Z945" s="842"/>
      <c r="AA945" s="842">
        <f t="shared" si="3720"/>
        <v>0.11042944785276076</v>
      </c>
      <c r="AB945" s="842"/>
      <c r="AC945" s="842"/>
      <c r="AD945" s="842"/>
      <c r="AE945" s="842">
        <f t="shared" si="3721"/>
        <v>0.22099447513812165</v>
      </c>
      <c r="AF945" s="842"/>
      <c r="AG945" s="842"/>
      <c r="AH945" s="842"/>
      <c r="AI945" s="842">
        <f t="shared" si="3722"/>
        <v>0</v>
      </c>
      <c r="AJ945" s="842"/>
      <c r="AK945" s="842"/>
      <c r="AL945" s="842"/>
      <c r="AM945" s="842">
        <f t="shared" si="3723"/>
        <v>3.167420814479649E-2</v>
      </c>
      <c r="AN945" s="842"/>
      <c r="AO945" s="842"/>
      <c r="AP945" s="842"/>
      <c r="AQ945" s="842"/>
      <c r="AR945" s="842"/>
      <c r="AS945" s="842"/>
      <c r="AT945" s="842"/>
      <c r="AU945" s="842"/>
      <c r="AV945" s="842"/>
      <c r="AW945" s="842"/>
      <c r="AX945" s="842"/>
      <c r="AY945" s="842"/>
      <c r="AZ945" s="842"/>
      <c r="BA945" s="842"/>
      <c r="BB945" s="842"/>
      <c r="BC945" s="842"/>
      <c r="BD945" s="842"/>
      <c r="BE945" s="842"/>
      <c r="BF945" s="842"/>
      <c r="BG945" s="842"/>
      <c r="BH945" s="842">
        <f t="shared" ref="BH945:BM945" si="3727">+IFERROR(BH938/BG938-1,"NA ")</f>
        <v>8.7719298245614086E-2</v>
      </c>
      <c r="BI945" s="842">
        <f t="shared" si="3727"/>
        <v>5.6451612903225756E-2</v>
      </c>
      <c r="BJ945" s="842">
        <f t="shared" si="3727"/>
        <v>9.92366412213741E-2</v>
      </c>
      <c r="BK945" s="842">
        <f t="shared" si="3727"/>
        <v>0.13194444444444442</v>
      </c>
      <c r="BL945" s="842">
        <f t="shared" si="3727"/>
        <v>0.11042944785276076</v>
      </c>
      <c r="BM945" s="842">
        <f t="shared" si="3727"/>
        <v>0.22099447513812165</v>
      </c>
      <c r="BN945" s="842">
        <f t="shared" si="3714"/>
        <v>0</v>
      </c>
      <c r="BO945" s="842">
        <f t="shared" si="3715"/>
        <v>3.167420814479649E-2</v>
      </c>
      <c r="BP945" s="842"/>
      <c r="BT945"/>
      <c r="BU945"/>
      <c r="BV945"/>
      <c r="BW945"/>
      <c r="BX945"/>
      <c r="BY945"/>
      <c r="BZ945"/>
      <c r="CA945"/>
      <c r="CB945"/>
      <c r="CC945"/>
    </row>
    <row r="946" spans="2:81">
      <c r="H946" s="911"/>
      <c r="I946" s="911"/>
      <c r="J946" s="911"/>
      <c r="K946" s="911"/>
      <c r="L946" s="911"/>
      <c r="M946" s="911"/>
      <c r="N946" s="911"/>
      <c r="O946" s="911"/>
      <c r="P946" s="911"/>
      <c r="Q946" s="911"/>
      <c r="R946" s="911"/>
      <c r="S946" s="911"/>
      <c r="T946" s="911"/>
      <c r="U946" s="911"/>
      <c r="V946" s="911"/>
      <c r="W946" s="911"/>
      <c r="X946" s="911"/>
      <c r="Y946" s="911"/>
      <c r="Z946" s="911"/>
      <c r="AA946" s="911"/>
      <c r="AB946" s="911"/>
      <c r="AC946" s="911"/>
      <c r="AD946" s="911"/>
      <c r="AE946" s="911"/>
      <c r="AF946" s="911"/>
      <c r="AG946" s="911"/>
      <c r="AH946" s="911"/>
      <c r="AI946" s="911"/>
      <c r="AJ946" s="911"/>
      <c r="AK946" s="911"/>
      <c r="AL946" s="911"/>
      <c r="AM946" s="911"/>
      <c r="AN946" s="911"/>
      <c r="AO946" s="911"/>
      <c r="AP946" s="911"/>
      <c r="AQ946" s="911"/>
      <c r="BH946" s="912"/>
      <c r="BI946" s="912"/>
      <c r="BJ946" s="912"/>
      <c r="BK946" s="912"/>
      <c r="BL946" s="912"/>
      <c r="BM946" s="912"/>
      <c r="BN946" s="912"/>
      <c r="BO946" s="912"/>
      <c r="BP946" s="912"/>
    </row>
    <row r="947" spans="2:81">
      <c r="B947" t="s">
        <v>512</v>
      </c>
      <c r="H947" s="911"/>
      <c r="I947" s="911"/>
      <c r="J947" s="911"/>
      <c r="K947" s="911"/>
      <c r="L947" s="911"/>
      <c r="M947" s="911"/>
      <c r="N947" s="911"/>
      <c r="O947" s="911"/>
      <c r="P947" s="911"/>
      <c r="Q947" s="911"/>
      <c r="R947" s="911"/>
      <c r="S947" s="911"/>
      <c r="T947" s="911"/>
      <c r="U947" s="911"/>
      <c r="V947" s="911"/>
      <c r="W947" s="911"/>
      <c r="X947" s="911"/>
      <c r="Y947" s="911"/>
      <c r="Z947" s="911"/>
      <c r="AA947" s="911"/>
      <c r="AB947" s="911"/>
      <c r="AC947" s="911"/>
      <c r="AD947" s="911"/>
      <c r="AE947" s="911"/>
      <c r="AF947" s="911"/>
      <c r="AG947" s="879">
        <v>13000</v>
      </c>
      <c r="AH947" s="911"/>
      <c r="AI947" s="911"/>
      <c r="AJ947" s="911"/>
      <c r="AK947" s="911"/>
      <c r="AL947" s="911"/>
      <c r="AM947" s="911"/>
      <c r="AN947" s="911"/>
      <c r="AO947" s="911"/>
      <c r="AP947" s="911"/>
      <c r="AQ947" s="911"/>
      <c r="BH947" s="912"/>
      <c r="BI947" s="912"/>
      <c r="BJ947" s="912"/>
      <c r="BK947" s="912"/>
      <c r="BL947" s="912"/>
      <c r="BM947" s="912"/>
      <c r="BN947" s="912"/>
      <c r="BO947" s="912"/>
      <c r="BP947" s="912"/>
    </row>
    <row r="948" spans="2:81">
      <c r="B948" t="s">
        <v>513</v>
      </c>
      <c r="H948" s="911"/>
      <c r="I948" s="911"/>
      <c r="J948" s="911"/>
      <c r="K948" s="911"/>
      <c r="L948" s="911"/>
      <c r="M948" s="911"/>
      <c r="N948" s="911"/>
      <c r="O948" s="911"/>
      <c r="P948" s="911"/>
      <c r="Q948" s="911"/>
      <c r="R948" s="911"/>
      <c r="S948" s="911"/>
      <c r="T948" s="911"/>
      <c r="U948" s="911"/>
      <c r="V948" s="911"/>
      <c r="W948" s="911"/>
      <c r="X948" s="911"/>
      <c r="Y948" s="911"/>
      <c r="Z948" s="911"/>
      <c r="AA948" s="911"/>
      <c r="AB948" s="911"/>
      <c r="AC948" s="911"/>
      <c r="AD948" s="911"/>
      <c r="AE948" s="911"/>
      <c r="AF948" s="911"/>
      <c r="AG948" s="911"/>
      <c r="AH948" s="911"/>
      <c r="AI948" s="911"/>
      <c r="AJ948" s="911"/>
      <c r="AK948" s="879"/>
      <c r="AL948" s="879">
        <v>-1900</v>
      </c>
      <c r="AM948" s="911"/>
      <c r="AN948" s="911"/>
      <c r="AO948" s="911"/>
      <c r="AP948" s="911"/>
      <c r="AQ948" s="911"/>
      <c r="BH948" s="912"/>
      <c r="BI948" s="912"/>
      <c r="BJ948" s="912"/>
      <c r="BK948" s="912"/>
      <c r="BL948" s="912"/>
      <c r="BM948" s="912"/>
      <c r="BN948" s="912"/>
      <c r="BO948" s="912"/>
      <c r="BP948" s="912"/>
    </row>
    <row r="949" spans="2:81">
      <c r="H949" s="911"/>
      <c r="I949" s="911"/>
      <c r="J949" s="911"/>
      <c r="K949" s="911"/>
      <c r="L949" s="911"/>
      <c r="M949" s="911"/>
      <c r="N949" s="911"/>
      <c r="O949" s="911"/>
      <c r="P949" s="911"/>
      <c r="Q949" s="911"/>
      <c r="R949" s="911"/>
      <c r="S949" s="911"/>
      <c r="T949" s="911"/>
      <c r="U949" s="911"/>
      <c r="V949" s="911"/>
      <c r="W949" s="911"/>
      <c r="X949" s="911"/>
      <c r="Y949" s="911"/>
      <c r="Z949" s="911"/>
      <c r="AA949" s="911"/>
      <c r="AB949" s="911"/>
      <c r="AC949" s="911"/>
      <c r="AD949" s="911"/>
      <c r="AE949" s="911"/>
      <c r="AF949" s="911"/>
      <c r="AG949" s="911"/>
      <c r="AH949" s="911"/>
      <c r="AI949" s="911"/>
      <c r="AJ949" s="911"/>
      <c r="AK949" s="911"/>
      <c r="AL949" s="911"/>
      <c r="AM949" s="911"/>
      <c r="AN949" s="911"/>
      <c r="AO949" s="911"/>
      <c r="AP949" s="911"/>
      <c r="AQ949" s="911"/>
      <c r="BH949" s="912"/>
      <c r="BI949" s="912"/>
      <c r="BJ949" s="912"/>
      <c r="BK949" s="912"/>
      <c r="BL949" s="912"/>
      <c r="BM949" s="912"/>
      <c r="BN949" s="912"/>
      <c r="BO949" s="912"/>
      <c r="BP949" s="912"/>
    </row>
    <row r="950" spans="2:81" ht="10.5">
      <c r="B950" s="5" t="s">
        <v>514</v>
      </c>
      <c r="BT950" s="1"/>
      <c r="BU950" s="1"/>
      <c r="BV950" s="1"/>
      <c r="BW950" s="1"/>
      <c r="BX950" s="1"/>
      <c r="BY950" s="1"/>
      <c r="BZ950" s="1"/>
      <c r="CA950" s="1"/>
      <c r="CB950" s="1"/>
      <c r="CC950" s="1"/>
    </row>
    <row r="951" spans="2:81" ht="10.5">
      <c r="BT951" s="1"/>
      <c r="BU951" s="1"/>
      <c r="BV951" s="1"/>
      <c r="BW951" s="1"/>
      <c r="BX951" s="1"/>
      <c r="BY951" s="1"/>
      <c r="BZ951" s="1"/>
      <c r="CA951" s="1"/>
      <c r="CB951" s="1"/>
      <c r="CC951" s="1"/>
    </row>
    <row r="952" spans="2:81" ht="10.5">
      <c r="B952" s="910" t="s">
        <v>86</v>
      </c>
      <c r="W952" s="919"/>
      <c r="AK952" s="911"/>
      <c r="BT952" s="1"/>
      <c r="BU952" s="1"/>
      <c r="BV952" s="1"/>
      <c r="BW952" s="1"/>
      <c r="BX952" s="1"/>
      <c r="BY952" s="1"/>
      <c r="BZ952" s="1"/>
      <c r="CA952" s="1"/>
      <c r="CB952" s="1"/>
      <c r="CC952" s="1"/>
    </row>
    <row r="953" spans="2:81" ht="10.5">
      <c r="B953" t="s">
        <v>515</v>
      </c>
      <c r="H953" s="879"/>
      <c r="I953" s="879"/>
      <c r="J953" s="879"/>
      <c r="K953" s="8"/>
      <c r="L953" s="879"/>
      <c r="M953" s="879"/>
      <c r="N953" s="879"/>
      <c r="O953" s="8"/>
      <c r="P953" s="879"/>
      <c r="Q953" s="879"/>
      <c r="R953" s="879"/>
      <c r="S953" s="8"/>
      <c r="T953" s="879"/>
      <c r="U953" s="879"/>
      <c r="V953" s="879"/>
      <c r="W953" s="880"/>
      <c r="X953" s="879"/>
      <c r="Y953" s="879"/>
      <c r="Z953" s="879"/>
      <c r="AA953" s="880"/>
      <c r="AB953" s="879"/>
      <c r="AC953" s="879"/>
      <c r="AD953" s="879"/>
      <c r="AE953" s="880"/>
      <c r="AF953" s="879"/>
      <c r="AG953" s="879"/>
      <c r="AH953" s="879"/>
      <c r="AI953" s="880"/>
      <c r="AJ953" s="879">
        <v>18062</v>
      </c>
      <c r="AK953" s="879"/>
      <c r="AL953" s="879"/>
      <c r="AM953" s="8"/>
      <c r="AN953" s="879">
        <v>22155</v>
      </c>
      <c r="BH953" s="1351"/>
      <c r="BI953" s="1351"/>
      <c r="BJ953" s="1351"/>
      <c r="BK953" s="1351"/>
      <c r="BL953" s="1351"/>
      <c r="BM953" s="1351"/>
      <c r="BN953" s="1351"/>
      <c r="BO953" s="1351"/>
      <c r="BT953" s="1"/>
      <c r="BU953" s="1"/>
      <c r="BV953" s="1"/>
      <c r="BW953" s="1"/>
      <c r="BX953" s="1"/>
      <c r="BY953" s="1"/>
      <c r="BZ953" s="1"/>
      <c r="CA953" s="1"/>
      <c r="CB953" s="1"/>
      <c r="CC953" s="1"/>
    </row>
    <row r="954" spans="2:81" ht="10.5">
      <c r="B954" t="s">
        <v>516</v>
      </c>
      <c r="H954" s="879"/>
      <c r="I954" s="879"/>
      <c r="J954" s="879"/>
      <c r="K954" s="8"/>
      <c r="L954" s="879"/>
      <c r="M954" s="879"/>
      <c r="N954" s="879"/>
      <c r="O954" s="8"/>
      <c r="P954" s="879"/>
      <c r="Q954" s="879"/>
      <c r="R954" s="879"/>
      <c r="S954" s="8"/>
      <c r="T954" s="879"/>
      <c r="U954" s="879"/>
      <c r="V954" s="879"/>
      <c r="W954" s="880"/>
      <c r="X954" s="879"/>
      <c r="Y954" s="879"/>
      <c r="Z954" s="879"/>
      <c r="AA954" s="880"/>
      <c r="AB954" s="879"/>
      <c r="AC954" s="879"/>
      <c r="AD954" s="879"/>
      <c r="AE954" s="880"/>
      <c r="AF954" s="879"/>
      <c r="AG954" s="879"/>
      <c r="AH954" s="879"/>
      <c r="AI954" s="880"/>
      <c r="AJ954" s="879">
        <v>18044</v>
      </c>
      <c r="AK954" s="879"/>
      <c r="AL954" s="879"/>
      <c r="AM954" s="8"/>
      <c r="AN954" s="879">
        <v>20449</v>
      </c>
      <c r="BH954" s="227"/>
      <c r="BI954" s="227"/>
      <c r="BJ954" s="227"/>
      <c r="BK954" s="227"/>
      <c r="BL954" s="227"/>
      <c r="BM954" s="227"/>
      <c r="BN954" s="227"/>
      <c r="BO954" s="227"/>
      <c r="BT954" s="1"/>
      <c r="BU954" s="1"/>
      <c r="BV954" s="1"/>
      <c r="BW954" s="1"/>
      <c r="BX954" s="1"/>
      <c r="BY954" s="1"/>
      <c r="BZ954" s="1"/>
      <c r="CA954" s="1"/>
      <c r="CB954" s="1"/>
      <c r="CC954" s="1"/>
    </row>
    <row r="955" spans="2:81" ht="10.5">
      <c r="B955" t="s">
        <v>494</v>
      </c>
      <c r="C955" s="879"/>
      <c r="D955" s="879">
        <f t="shared" ref="D955:AH955" si="3728">+D997</f>
        <v>0</v>
      </c>
      <c r="E955" s="879">
        <f t="shared" si="3728"/>
        <v>0</v>
      </c>
      <c r="F955" s="879">
        <f t="shared" si="3728"/>
        <v>0</v>
      </c>
      <c r="G955" s="879">
        <f t="shared" si="3728"/>
        <v>0</v>
      </c>
      <c r="H955" s="879">
        <f t="shared" si="3728"/>
        <v>1885</v>
      </c>
      <c r="I955" s="879">
        <f t="shared" si="3728"/>
        <v>3617</v>
      </c>
      <c r="J955" s="879">
        <f t="shared" si="3728"/>
        <v>1906</v>
      </c>
      <c r="K955" s="879">
        <f t="shared" si="3728"/>
        <v>1643</v>
      </c>
      <c r="L955" s="879">
        <f t="shared" si="3728"/>
        <v>1896</v>
      </c>
      <c r="M955" s="879">
        <f t="shared" si="3728"/>
        <v>3920</v>
      </c>
      <c r="N955" s="879">
        <f t="shared" si="3728"/>
        <v>2251</v>
      </c>
      <c r="O955" s="879">
        <f t="shared" si="3728"/>
        <v>2286</v>
      </c>
      <c r="P955" s="879">
        <f t="shared" si="3728"/>
        <v>2738</v>
      </c>
      <c r="Q955" s="879">
        <f t="shared" si="3728"/>
        <v>4232</v>
      </c>
      <c r="R955" s="879">
        <f t="shared" si="3728"/>
        <v>2363</v>
      </c>
      <c r="S955" s="879">
        <f t="shared" si="3728"/>
        <v>2053</v>
      </c>
      <c r="T955" s="879">
        <f t="shared" si="3728"/>
        <v>2542</v>
      </c>
      <c r="U955" s="879">
        <f t="shared" si="3728"/>
        <v>3327</v>
      </c>
      <c r="V955" s="879">
        <f t="shared" si="3728"/>
        <v>2349</v>
      </c>
      <c r="W955" s="879">
        <f t="shared" si="3728"/>
        <v>3357</v>
      </c>
      <c r="X955" s="879">
        <f t="shared" si="3728"/>
        <v>3092</v>
      </c>
      <c r="Y955" s="879">
        <f t="shared" si="3728"/>
        <v>5031</v>
      </c>
      <c r="Z955" s="879">
        <f t="shared" si="3728"/>
        <v>3533</v>
      </c>
      <c r="AA955" s="879">
        <f t="shared" si="3728"/>
        <v>3714</v>
      </c>
      <c r="AB955" s="879">
        <f t="shared" si="3728"/>
        <v>3593</v>
      </c>
      <c r="AC955" s="879">
        <f t="shared" si="3728"/>
        <v>5442</v>
      </c>
      <c r="AD955" s="879">
        <f t="shared" si="3728"/>
        <v>3740</v>
      </c>
      <c r="AE955" s="879">
        <f t="shared" si="3728"/>
        <v>3455</v>
      </c>
      <c r="AF955" s="879">
        <f t="shared" si="3728"/>
        <v>3610</v>
      </c>
      <c r="AG955" s="879">
        <f t="shared" si="3728"/>
        <v>4758</v>
      </c>
      <c r="AH955" s="879">
        <f t="shared" si="3728"/>
        <v>3607</v>
      </c>
      <c r="AI955" s="879">
        <f>+AI997</f>
        <v>3491</v>
      </c>
      <c r="AJ955" s="879">
        <v>3919</v>
      </c>
      <c r="AK955" s="879">
        <f>+AK997</f>
        <v>7111</v>
      </c>
      <c r="AL955" s="879">
        <f t="shared" ref="AL955:AM955" si="3729">+AL997</f>
        <v>5451</v>
      </c>
      <c r="AM955" s="879">
        <f t="shared" si="3729"/>
        <v>5022</v>
      </c>
      <c r="AN955" s="879">
        <v>5621</v>
      </c>
      <c r="BH955" s="227">
        <f t="shared" ref="BH955:BH963" si="3730">+SUM(H955:K955)</f>
        <v>9051</v>
      </c>
      <c r="BI955" s="227">
        <f t="shared" ref="BI955:BI963" si="3731">+SUM(L955:O955)</f>
        <v>10353</v>
      </c>
      <c r="BJ955" s="227">
        <f t="shared" ref="BJ955:BJ963" si="3732">+SUM(P955:S955)</f>
        <v>11386</v>
      </c>
      <c r="BK955" s="227">
        <f t="shared" ref="BK955:BK963" si="3733">SUM(T955:W955)</f>
        <v>11575</v>
      </c>
      <c r="BL955" s="227">
        <f t="shared" ref="BL955:BL963" si="3734">SUM(X955:AA955)</f>
        <v>15370</v>
      </c>
      <c r="BM955" s="227">
        <f t="shared" ref="BM955:BM963" si="3735">SUM(AB955:AE955)</f>
        <v>16230</v>
      </c>
      <c r="BN955" s="227">
        <f t="shared" ref="BN955:BN963" si="3736">SUM(AF955:AI955)</f>
        <v>15466</v>
      </c>
      <c r="BO955" s="227">
        <f t="shared" ref="BO955:BO963" si="3737">SUM(AJ955:AM955)</f>
        <v>21503</v>
      </c>
      <c r="BT955" s="1"/>
      <c r="BU955" s="1"/>
      <c r="BV955" s="1"/>
      <c r="BW955" s="1"/>
      <c r="BX955" s="1"/>
      <c r="BY955" s="1"/>
      <c r="BZ955" s="1"/>
      <c r="CA955" s="1"/>
      <c r="CB955" s="1"/>
      <c r="CC955" s="1"/>
    </row>
    <row r="956" spans="2:81" ht="10.5">
      <c r="B956" t="s">
        <v>517</v>
      </c>
      <c r="C956" s="879"/>
      <c r="D956" s="879"/>
      <c r="E956" s="879"/>
      <c r="F956" s="879"/>
      <c r="G956" s="879"/>
      <c r="H956" s="879"/>
      <c r="I956" s="879"/>
      <c r="J956" s="879"/>
      <c r="K956" s="879"/>
      <c r="L956" s="879"/>
      <c r="M956" s="879"/>
      <c r="N956" s="879"/>
      <c r="O956" s="879"/>
      <c r="P956" s="879"/>
      <c r="Q956" s="879"/>
      <c r="R956" s="879"/>
      <c r="S956" s="879"/>
      <c r="T956" s="879"/>
      <c r="U956" s="879"/>
      <c r="V956" s="879"/>
      <c r="W956" s="879"/>
      <c r="X956" s="879"/>
      <c r="Y956" s="879"/>
      <c r="Z956" s="879"/>
      <c r="AA956" s="879"/>
      <c r="AB956" s="879"/>
      <c r="AC956" s="879"/>
      <c r="AD956" s="879"/>
      <c r="AE956" s="879"/>
      <c r="AF956" s="879"/>
      <c r="AG956" s="879"/>
      <c r="AH956" s="879"/>
      <c r="AI956" s="879"/>
      <c r="AJ956" s="879">
        <v>4340</v>
      </c>
      <c r="AK956" s="879"/>
      <c r="AL956" s="879"/>
      <c r="AM956" s="8"/>
      <c r="AN956" s="879">
        <v>4329</v>
      </c>
      <c r="BH956" s="227"/>
      <c r="BI956" s="227"/>
      <c r="BJ956" s="227"/>
      <c r="BK956" s="227"/>
      <c r="BL956" s="227"/>
      <c r="BM956" s="227"/>
      <c r="BN956" s="227"/>
      <c r="BO956" s="227"/>
      <c r="BT956" s="1"/>
      <c r="BU956" s="1"/>
      <c r="BV956" s="1"/>
      <c r="BW956" s="1"/>
      <c r="BX956" s="1"/>
      <c r="BY956" s="1"/>
      <c r="BZ956" s="1"/>
      <c r="CA956" s="1"/>
      <c r="CB956" s="1"/>
      <c r="CC956" s="1"/>
    </row>
    <row r="957" spans="2:81" ht="10.5">
      <c r="B957" t="s">
        <v>388</v>
      </c>
      <c r="C957" s="879"/>
      <c r="D957" s="879">
        <f t="shared" ref="D957:AH957" si="3738">+D1002</f>
        <v>0</v>
      </c>
      <c r="E957" s="879">
        <f t="shared" si="3738"/>
        <v>0</v>
      </c>
      <c r="F957" s="879">
        <f t="shared" si="3738"/>
        <v>0</v>
      </c>
      <c r="G957" s="879">
        <f t="shared" si="3738"/>
        <v>0</v>
      </c>
      <c r="H957" s="879">
        <f t="shared" si="3738"/>
        <v>0</v>
      </c>
      <c r="I957" s="879">
        <f t="shared" si="3738"/>
        <v>228</v>
      </c>
      <c r="J957" s="879">
        <f t="shared" si="3738"/>
        <v>976</v>
      </c>
      <c r="K957" s="879">
        <f t="shared" si="3738"/>
        <v>1067</v>
      </c>
      <c r="L957" s="879">
        <f t="shared" si="3738"/>
        <v>1148</v>
      </c>
      <c r="M957" s="879">
        <f t="shared" si="3738"/>
        <v>1312</v>
      </c>
      <c r="N957" s="879">
        <f t="shared" si="3738"/>
        <v>1335</v>
      </c>
      <c r="O957" s="879">
        <f t="shared" si="3738"/>
        <v>1464</v>
      </c>
      <c r="P957" s="879">
        <f t="shared" si="3738"/>
        <v>1530</v>
      </c>
      <c r="Q957" s="879">
        <f t="shared" si="3738"/>
        <v>1693</v>
      </c>
      <c r="R957" s="879">
        <f t="shared" si="3738"/>
        <v>1696</v>
      </c>
      <c r="S957" s="879">
        <f t="shared" si="3738"/>
        <v>1835</v>
      </c>
      <c r="T957" s="879">
        <f t="shared" si="3738"/>
        <v>1909</v>
      </c>
      <c r="U957" s="879">
        <f t="shared" si="3738"/>
        <v>2102</v>
      </c>
      <c r="V957" s="879">
        <f t="shared" si="3738"/>
        <v>2050</v>
      </c>
      <c r="W957" s="879">
        <f t="shared" si="3738"/>
        <v>2016</v>
      </c>
      <c r="X957" s="879">
        <f t="shared" si="3738"/>
        <v>2206</v>
      </c>
      <c r="Y957" s="879">
        <f t="shared" si="3738"/>
        <v>2577</v>
      </c>
      <c r="Z957" s="879">
        <f t="shared" si="3738"/>
        <v>2562</v>
      </c>
      <c r="AA957" s="879">
        <f t="shared" si="3738"/>
        <v>2944</v>
      </c>
      <c r="AB957" s="879">
        <f t="shared" si="3738"/>
        <v>3136</v>
      </c>
      <c r="AC957" s="879">
        <f t="shared" si="3738"/>
        <v>3531</v>
      </c>
      <c r="AD957" s="879">
        <f t="shared" si="3738"/>
        <v>3437</v>
      </c>
      <c r="AE957" s="879">
        <f t="shared" si="3738"/>
        <v>3712</v>
      </c>
      <c r="AF957" s="879">
        <f t="shared" si="3738"/>
        <v>3663</v>
      </c>
      <c r="AG957" s="879">
        <f t="shared" si="3738"/>
        <v>3876</v>
      </c>
      <c r="AH957" s="879">
        <f t="shared" si="3738"/>
        <v>3697</v>
      </c>
      <c r="AI957" s="879">
        <f>+AI1002</f>
        <v>3909</v>
      </c>
      <c r="AJ957" s="879">
        <v>3913</v>
      </c>
      <c r="AK957" s="879">
        <f>+AK1002</f>
        <v>4195</v>
      </c>
      <c r="AL957" s="879">
        <f t="shared" ref="AL957:AM957" si="3739">+AL1002</f>
        <v>4013</v>
      </c>
      <c r="AM957" s="879">
        <f t="shared" si="3739"/>
        <v>4251</v>
      </c>
      <c r="AN957" s="879">
        <v>4292</v>
      </c>
      <c r="BH957" s="227">
        <f t="shared" si="3730"/>
        <v>2271</v>
      </c>
      <c r="BI957" s="227">
        <f t="shared" si="3731"/>
        <v>5259</v>
      </c>
      <c r="BJ957" s="227">
        <f t="shared" si="3732"/>
        <v>6754</v>
      </c>
      <c r="BK957" s="227">
        <f t="shared" si="3733"/>
        <v>8077</v>
      </c>
      <c r="BL957" s="227">
        <f t="shared" si="3734"/>
        <v>10289</v>
      </c>
      <c r="BM957" s="227">
        <f t="shared" si="3735"/>
        <v>13816</v>
      </c>
      <c r="BN957" s="227">
        <f t="shared" si="3736"/>
        <v>15145</v>
      </c>
      <c r="BO957" s="227">
        <f t="shared" si="3737"/>
        <v>16372</v>
      </c>
      <c r="BT957" s="1"/>
      <c r="BU957" s="1"/>
      <c r="BV957" s="1"/>
      <c r="BW957" s="1"/>
      <c r="BX957" s="1"/>
      <c r="BY957" s="1"/>
      <c r="BZ957" s="1"/>
      <c r="CA957" s="1"/>
      <c r="CB957" s="1"/>
      <c r="CC957" s="1"/>
    </row>
    <row r="958" spans="2:81" ht="10.5">
      <c r="B958" t="s">
        <v>518</v>
      </c>
      <c r="C958" s="879"/>
      <c r="D958" s="879"/>
      <c r="E958" s="879"/>
      <c r="F958" s="879"/>
      <c r="G958" s="879"/>
      <c r="H958" s="879"/>
      <c r="I958" s="879"/>
      <c r="J958" s="879"/>
      <c r="K958" s="879"/>
      <c r="L958" s="879"/>
      <c r="M958" s="879"/>
      <c r="N958" s="879"/>
      <c r="O958" s="879"/>
      <c r="P958" s="879"/>
      <c r="Q958" s="879"/>
      <c r="R958" s="879"/>
      <c r="S958" s="879"/>
      <c r="T958" s="879"/>
      <c r="U958" s="879"/>
      <c r="V958" s="879"/>
      <c r="W958" s="879"/>
      <c r="X958" s="879"/>
      <c r="Y958" s="879"/>
      <c r="Z958" s="879"/>
      <c r="AA958" s="879"/>
      <c r="AB958" s="879"/>
      <c r="AC958" s="879"/>
      <c r="AD958" s="879"/>
      <c r="AE958" s="879"/>
      <c r="AF958" s="879"/>
      <c r="AG958" s="879"/>
      <c r="AH958" s="879"/>
      <c r="AI958" s="879"/>
      <c r="AJ958" s="879">
        <v>3018</v>
      </c>
      <c r="AK958" s="879"/>
      <c r="AL958" s="879"/>
      <c r="AM958" s="8"/>
      <c r="AN958" s="879">
        <v>3225</v>
      </c>
      <c r="BH958" s="227"/>
      <c r="BI958" s="227"/>
      <c r="BJ958" s="227"/>
      <c r="BK958" s="227"/>
      <c r="BL958" s="227"/>
      <c r="BM958" s="227"/>
      <c r="BN958" s="227"/>
      <c r="BO958" s="227"/>
      <c r="BT958" s="1"/>
      <c r="BU958" s="1"/>
      <c r="BV958" s="1"/>
      <c r="BW958" s="1"/>
      <c r="BX958" s="1"/>
      <c r="BY958" s="1"/>
      <c r="BZ958" s="1"/>
      <c r="CA958" s="1"/>
      <c r="CB958" s="1"/>
      <c r="CC958" s="1"/>
    </row>
    <row r="959" spans="2:81" ht="10.5">
      <c r="B959" t="s">
        <v>519</v>
      </c>
      <c r="C959" s="879"/>
      <c r="D959" s="879">
        <f t="shared" ref="D959:AH959" si="3740">+D1000</f>
        <v>0</v>
      </c>
      <c r="E959" s="879">
        <f t="shared" si="3740"/>
        <v>0</v>
      </c>
      <c r="F959" s="879">
        <f t="shared" si="3740"/>
        <v>0</v>
      </c>
      <c r="G959" s="879">
        <f t="shared" si="3740"/>
        <v>0</v>
      </c>
      <c r="H959" s="879">
        <f t="shared" si="3740"/>
        <v>1355</v>
      </c>
      <c r="I959" s="879">
        <f t="shared" si="3740"/>
        <v>1371</v>
      </c>
      <c r="J959" s="879">
        <f t="shared" si="3740"/>
        <v>1383</v>
      </c>
      <c r="K959" s="879">
        <f t="shared" si="3740"/>
        <v>1433</v>
      </c>
      <c r="L959" s="879">
        <f t="shared" si="3740"/>
        <v>1371</v>
      </c>
      <c r="M959" s="879">
        <f t="shared" si="3740"/>
        <v>1435</v>
      </c>
      <c r="N959" s="879">
        <f t="shared" si="3740"/>
        <v>1489</v>
      </c>
      <c r="O959" s="879">
        <f t="shared" si="3740"/>
        <v>1551</v>
      </c>
      <c r="P959" s="879">
        <f t="shared" si="3740"/>
        <v>1450</v>
      </c>
      <c r="Q959" s="879">
        <f t="shared" si="3740"/>
        <v>1521</v>
      </c>
      <c r="R959" s="879">
        <f t="shared" si="3740"/>
        <v>1542</v>
      </c>
      <c r="S959" s="879">
        <f t="shared" si="3740"/>
        <v>1611</v>
      </c>
      <c r="T959" s="879">
        <f t="shared" si="3740"/>
        <v>1545</v>
      </c>
      <c r="U959" s="879">
        <f t="shared" si="3740"/>
        <v>1612</v>
      </c>
      <c r="V959" s="879">
        <f t="shared" si="3740"/>
        <v>1633</v>
      </c>
      <c r="W959" s="879">
        <f t="shared" si="3740"/>
        <v>1619</v>
      </c>
      <c r="X959" s="879">
        <f t="shared" si="3740"/>
        <v>1637</v>
      </c>
      <c r="Y959" s="879">
        <f t="shared" si="3740"/>
        <v>1695</v>
      </c>
      <c r="Z959" s="879">
        <f t="shared" si="3740"/>
        <v>1803</v>
      </c>
      <c r="AA959" s="879">
        <f t="shared" si="3740"/>
        <v>1808</v>
      </c>
      <c r="AB959" s="879">
        <f t="shared" si="3740"/>
        <v>1791</v>
      </c>
      <c r="AC959" s="879">
        <f t="shared" si="3740"/>
        <v>1823</v>
      </c>
      <c r="AD959" s="879">
        <f t="shared" si="3740"/>
        <v>1891</v>
      </c>
      <c r="AE959" s="879">
        <f t="shared" si="3740"/>
        <v>1902</v>
      </c>
      <c r="AF959" s="879">
        <f t="shared" si="3740"/>
        <v>1876</v>
      </c>
      <c r="AG959" s="879">
        <f t="shared" si="3740"/>
        <v>1862</v>
      </c>
      <c r="AH959" s="879">
        <f t="shared" si="3740"/>
        <v>2007</v>
      </c>
      <c r="AI959" s="879">
        <f>+AI1000</f>
        <v>1977</v>
      </c>
      <c r="AJ959" s="879">
        <v>1944</v>
      </c>
      <c r="AK959" s="879">
        <f>+AK1000</f>
        <v>1917</v>
      </c>
      <c r="AL959" s="879">
        <f t="shared" ref="AL959:AM959" si="3741">+AL1000</f>
        <v>1861</v>
      </c>
      <c r="AM959" s="879">
        <f t="shared" si="3741"/>
        <v>1872</v>
      </c>
      <c r="AN959" s="879">
        <v>1928</v>
      </c>
      <c r="BH959" s="227">
        <f t="shared" si="3730"/>
        <v>5542</v>
      </c>
      <c r="BI959" s="227">
        <f t="shared" si="3731"/>
        <v>5846</v>
      </c>
      <c r="BJ959" s="227">
        <f t="shared" si="3732"/>
        <v>6124</v>
      </c>
      <c r="BK959" s="227">
        <f t="shared" si="3733"/>
        <v>6409</v>
      </c>
      <c r="BL959" s="227">
        <f t="shared" si="3734"/>
        <v>6943</v>
      </c>
      <c r="BM959" s="227">
        <f t="shared" si="3735"/>
        <v>7407</v>
      </c>
      <c r="BN959" s="227">
        <f t="shared" si="3736"/>
        <v>7722</v>
      </c>
      <c r="BO959" s="227">
        <f t="shared" si="3737"/>
        <v>7594</v>
      </c>
      <c r="BT959" s="1"/>
      <c r="BU959" s="1"/>
      <c r="BV959" s="1"/>
      <c r="BW959" s="1"/>
      <c r="BX959" s="1"/>
      <c r="BY959" s="1"/>
      <c r="BZ959" s="1"/>
      <c r="CA959" s="1"/>
      <c r="CB959" s="1"/>
      <c r="CC959" s="1"/>
    </row>
    <row r="960" spans="2:81" ht="10.5">
      <c r="B960" t="s">
        <v>520</v>
      </c>
      <c r="H960" s="879"/>
      <c r="I960" s="879"/>
      <c r="J960" s="879"/>
      <c r="K960" s="8"/>
      <c r="L960" s="879"/>
      <c r="M960" s="879"/>
      <c r="N960" s="879"/>
      <c r="O960" s="8"/>
      <c r="P960" s="879"/>
      <c r="Q960" s="879"/>
      <c r="R960" s="879"/>
      <c r="S960" s="8"/>
      <c r="T960" s="879"/>
      <c r="U960" s="879"/>
      <c r="V960" s="879"/>
      <c r="W960" s="880"/>
      <c r="X960" s="879"/>
      <c r="Y960" s="879"/>
      <c r="Z960" s="879"/>
      <c r="AA960" s="880"/>
      <c r="AB960" s="879"/>
      <c r="AC960" s="879"/>
      <c r="AD960" s="879"/>
      <c r="AE960" s="880"/>
      <c r="AF960" s="879"/>
      <c r="AG960" s="879"/>
      <c r="AH960" s="879"/>
      <c r="AI960" s="880"/>
      <c r="AJ960" s="879">
        <v>1626</v>
      </c>
      <c r="AK960" s="879"/>
      <c r="AL960" s="879"/>
      <c r="AM960" s="8"/>
      <c r="AN960" s="879">
        <v>1849</v>
      </c>
      <c r="BH960" s="227"/>
      <c r="BI960" s="227"/>
      <c r="BJ960" s="227"/>
      <c r="BK960" s="227"/>
      <c r="BL960" s="227"/>
      <c r="BM960" s="227"/>
      <c r="BN960" s="227"/>
      <c r="BO960" s="227"/>
      <c r="BT960" s="1"/>
      <c r="BU960" s="1"/>
      <c r="BV960" s="1"/>
      <c r="BW960" s="1"/>
      <c r="BX960" s="1"/>
      <c r="BY960" s="1"/>
      <c r="BZ960" s="1"/>
      <c r="CA960" s="1"/>
      <c r="CB960" s="1"/>
      <c r="CC960" s="1"/>
    </row>
    <row r="961" spans="2:81" ht="10.5">
      <c r="B961" t="s">
        <v>521</v>
      </c>
      <c r="H961" s="879"/>
      <c r="I961" s="879"/>
      <c r="J961" s="879"/>
      <c r="K961" s="8"/>
      <c r="L961" s="879"/>
      <c r="M961" s="879"/>
      <c r="N961" s="879"/>
      <c r="O961" s="8"/>
      <c r="P961" s="879"/>
      <c r="Q961" s="879"/>
      <c r="R961" s="879"/>
      <c r="S961" s="8"/>
      <c r="T961" s="879"/>
      <c r="U961" s="879"/>
      <c r="V961" s="879"/>
      <c r="W961" s="880"/>
      <c r="X961" s="879"/>
      <c r="Y961" s="879"/>
      <c r="Z961" s="879"/>
      <c r="AA961" s="880"/>
      <c r="AB961" s="879"/>
      <c r="AC961" s="879"/>
      <c r="AD961" s="879"/>
      <c r="AE961" s="880"/>
      <c r="AF961" s="879"/>
      <c r="AG961" s="879"/>
      <c r="AH961" s="879"/>
      <c r="AI961" s="880"/>
      <c r="AJ961" s="879">
        <v>1643</v>
      </c>
      <c r="AK961" s="879"/>
      <c r="AL961" s="879"/>
      <c r="AM961" s="8"/>
      <c r="AN961" s="879">
        <v>1727</v>
      </c>
      <c r="BH961" s="227"/>
      <c r="BI961" s="227"/>
      <c r="BJ961" s="227"/>
      <c r="BK961" s="227"/>
      <c r="BL961" s="227"/>
      <c r="BM961" s="227"/>
      <c r="BN961" s="227"/>
      <c r="BO961" s="227"/>
      <c r="BT961" s="1"/>
      <c r="BU961" s="1"/>
      <c r="BV961" s="1"/>
      <c r="BW961" s="1"/>
      <c r="BX961" s="1"/>
      <c r="BY961" s="1"/>
      <c r="BZ961" s="1"/>
      <c r="CA961" s="1"/>
      <c r="CB961" s="1"/>
      <c r="CC961" s="1"/>
    </row>
    <row r="962" spans="2:81" s="953" customFormat="1" ht="13.5">
      <c r="B962" t="s">
        <v>522</v>
      </c>
      <c r="H962" s="905"/>
      <c r="I962" s="905"/>
      <c r="J962" s="905"/>
      <c r="K962" s="10"/>
      <c r="L962" s="905"/>
      <c r="M962" s="905"/>
      <c r="N962" s="905"/>
      <c r="O962" s="10"/>
      <c r="P962" s="905"/>
      <c r="Q962" s="905"/>
      <c r="R962" s="905"/>
      <c r="S962" s="10"/>
      <c r="T962" s="905"/>
      <c r="U962" s="905"/>
      <c r="V962" s="905"/>
      <c r="W962" s="906"/>
      <c r="X962" s="905"/>
      <c r="Y962" s="905"/>
      <c r="Z962" s="905"/>
      <c r="AA962" s="906"/>
      <c r="AB962" s="905"/>
      <c r="AC962" s="905"/>
      <c r="AD962" s="905"/>
      <c r="AE962" s="906"/>
      <c r="AF962" s="905"/>
      <c r="AG962" s="905"/>
      <c r="AH962" s="905"/>
      <c r="AI962" s="906"/>
      <c r="AJ962" s="905">
        <v>8</v>
      </c>
      <c r="AK962" s="905"/>
      <c r="AL962" s="905"/>
      <c r="AM962" s="10"/>
      <c r="AN962" s="905">
        <v>10</v>
      </c>
      <c r="BH962" s="1205"/>
      <c r="BI962" s="1205"/>
      <c r="BJ962" s="1205"/>
      <c r="BK962" s="1205"/>
      <c r="BL962" s="1205"/>
      <c r="BM962" s="1205"/>
      <c r="BN962" s="1205"/>
      <c r="BO962" s="1205"/>
      <c r="BT962" s="1347"/>
      <c r="BU962" s="1347"/>
      <c r="BV962" s="1347"/>
      <c r="BW962" s="1347"/>
      <c r="BX962" s="1347"/>
      <c r="BY962" s="1347"/>
      <c r="BZ962" s="1347"/>
      <c r="CA962" s="1347"/>
      <c r="CB962" s="1347"/>
      <c r="CC962" s="1347"/>
    </row>
    <row r="963" spans="2:81" s="1" customFormat="1" ht="10.5">
      <c r="B963" s="837" t="s">
        <v>523</v>
      </c>
      <c r="C963" s="838"/>
      <c r="D963" s="838">
        <f t="shared" ref="D963:AM963" si="3742">+D12</f>
        <v>20910</v>
      </c>
      <c r="E963" s="838">
        <f t="shared" si="3742"/>
        <v>25253</v>
      </c>
      <c r="F963" s="838">
        <f t="shared" si="3742"/>
        <v>21517</v>
      </c>
      <c r="G963" s="838">
        <f t="shared" si="3742"/>
        <v>23474</v>
      </c>
      <c r="H963" s="838">
        <f t="shared" si="3742"/>
        <v>21928</v>
      </c>
      <c r="I963" s="838">
        <f t="shared" si="3742"/>
        <v>25826</v>
      </c>
      <c r="J963" s="838">
        <f t="shared" si="3742"/>
        <v>23212</v>
      </c>
      <c r="K963" s="838">
        <f t="shared" si="3742"/>
        <v>25605</v>
      </c>
      <c r="L963" s="838">
        <f t="shared" si="3742"/>
        <v>24538</v>
      </c>
      <c r="M963" s="838">
        <f t="shared" si="3742"/>
        <v>28918</v>
      </c>
      <c r="N963" s="838">
        <f t="shared" si="3742"/>
        <v>26819</v>
      </c>
      <c r="O963" s="838">
        <f t="shared" si="3742"/>
        <v>30085</v>
      </c>
      <c r="P963" s="838">
        <f t="shared" si="3742"/>
        <v>29084</v>
      </c>
      <c r="Q963" s="838">
        <f t="shared" si="3742"/>
        <v>32471</v>
      </c>
      <c r="R963" s="838">
        <f t="shared" si="3742"/>
        <v>30571</v>
      </c>
      <c r="S963" s="838">
        <f t="shared" si="3742"/>
        <v>33717</v>
      </c>
      <c r="T963" s="838">
        <f t="shared" si="3742"/>
        <v>33055</v>
      </c>
      <c r="U963" s="838">
        <f t="shared" si="3742"/>
        <v>36906</v>
      </c>
      <c r="V963" s="838">
        <f t="shared" si="3742"/>
        <v>35021</v>
      </c>
      <c r="W963" s="838">
        <f t="shared" si="3742"/>
        <v>38033</v>
      </c>
      <c r="X963" s="838">
        <f t="shared" si="3742"/>
        <v>37154</v>
      </c>
      <c r="Y963" s="838">
        <f t="shared" si="3742"/>
        <v>43076</v>
      </c>
      <c r="Z963" s="838">
        <f t="shared" si="3742"/>
        <v>41706</v>
      </c>
      <c r="AA963" s="838">
        <f t="shared" si="3742"/>
        <v>46152</v>
      </c>
      <c r="AB963" s="838">
        <f t="shared" si="3742"/>
        <v>45317</v>
      </c>
      <c r="AC963" s="838">
        <f t="shared" si="3742"/>
        <v>51728</v>
      </c>
      <c r="AD963" s="838">
        <f t="shared" si="3742"/>
        <v>49360</v>
      </c>
      <c r="AE963" s="838">
        <f t="shared" si="3742"/>
        <v>51865</v>
      </c>
      <c r="AF963" s="838">
        <f t="shared" si="3742"/>
        <v>50122</v>
      </c>
      <c r="AG963" s="838">
        <f t="shared" si="3742"/>
        <v>52747</v>
      </c>
      <c r="AH963" s="838">
        <f t="shared" si="3742"/>
        <v>52857</v>
      </c>
      <c r="AI963" s="838">
        <f t="shared" si="3742"/>
        <v>56189</v>
      </c>
      <c r="AJ963" s="838">
        <f t="shared" si="3742"/>
        <v>56517</v>
      </c>
      <c r="AK963" s="838">
        <f t="shared" si="3742"/>
        <v>62020</v>
      </c>
      <c r="AL963" s="838">
        <f t="shared" si="3742"/>
        <v>61858</v>
      </c>
      <c r="AM963" s="838">
        <f t="shared" si="3742"/>
        <v>64727</v>
      </c>
      <c r="AN963" s="838">
        <f>SUM(AN953:AN962)</f>
        <v>65585</v>
      </c>
      <c r="BH963" s="1352">
        <f t="shared" si="3730"/>
        <v>96571</v>
      </c>
      <c r="BI963" s="1352">
        <f t="shared" si="3731"/>
        <v>110360</v>
      </c>
      <c r="BJ963" s="1352">
        <f t="shared" si="3732"/>
        <v>125843</v>
      </c>
      <c r="BK963" s="1352">
        <f t="shared" si="3733"/>
        <v>143015</v>
      </c>
      <c r="BL963" s="1352">
        <f t="shared" si="3734"/>
        <v>168088</v>
      </c>
      <c r="BM963" s="1352">
        <f t="shared" si="3735"/>
        <v>198270</v>
      </c>
      <c r="BN963" s="1352">
        <f t="shared" si="3736"/>
        <v>211915</v>
      </c>
      <c r="BO963" s="1352">
        <f t="shared" si="3737"/>
        <v>245122</v>
      </c>
    </row>
    <row r="964" spans="2:81" ht="10.5">
      <c r="AF964" s="228"/>
      <c r="AG964" s="228"/>
      <c r="AH964" s="228"/>
      <c r="AJ964" s="228"/>
      <c r="AK964" s="228"/>
      <c r="BT964" s="1"/>
      <c r="BU964" s="1"/>
      <c r="BV964" s="1"/>
      <c r="BW964" s="1"/>
      <c r="BX964" s="1"/>
      <c r="BY964" s="1"/>
      <c r="BZ964" s="1"/>
      <c r="CA964" s="1"/>
      <c r="CB964" s="1"/>
      <c r="CC964" s="1"/>
    </row>
    <row r="965" spans="2:81" ht="10.5">
      <c r="B965" s="24" t="s">
        <v>113</v>
      </c>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228"/>
      <c r="AG965" s="228"/>
      <c r="AH965" s="228"/>
      <c r="AI965" s="3"/>
      <c r="AJ965" s="228"/>
      <c r="AK965" s="228"/>
      <c r="AL965" s="3"/>
      <c r="AM965" s="3"/>
      <c r="AN965" s="3"/>
      <c r="BT965" s="1"/>
      <c r="BU965" s="1"/>
      <c r="BV965" s="1"/>
      <c r="BW965" s="1"/>
      <c r="BX965" s="1"/>
      <c r="BY965" s="1"/>
      <c r="BZ965" s="1"/>
      <c r="CA965" s="1"/>
      <c r="CB965" s="1"/>
      <c r="CC965" s="1"/>
    </row>
    <row r="966" spans="2:81" ht="10.5">
      <c r="B966" s="13" t="str">
        <f>+B953</f>
        <v>Server products and cloud services</v>
      </c>
      <c r="C966" s="3"/>
      <c r="D966" s="3"/>
      <c r="E966" s="3"/>
      <c r="F966" s="3"/>
      <c r="G966" s="3"/>
      <c r="H966" s="3"/>
      <c r="I966" s="3"/>
      <c r="J966" s="3"/>
      <c r="K966" s="3"/>
      <c r="L966" s="228"/>
      <c r="M966" s="228"/>
      <c r="N966" s="228"/>
      <c r="O966" s="228"/>
      <c r="P966" s="228"/>
      <c r="Q966" s="228"/>
      <c r="R966" s="228"/>
      <c r="S966" s="228"/>
      <c r="T966" s="228"/>
      <c r="U966" s="228"/>
      <c r="V966" s="228"/>
      <c r="W966" s="228"/>
      <c r="X966" s="228"/>
      <c r="Y966" s="228"/>
      <c r="Z966" s="228"/>
      <c r="AA966" s="228"/>
      <c r="AB966" s="228"/>
      <c r="AC966" s="228"/>
      <c r="AD966" s="228"/>
      <c r="AE966" s="228"/>
      <c r="AF966" s="228"/>
      <c r="AG966" s="228"/>
      <c r="AH966" s="228"/>
      <c r="AI966" s="228"/>
      <c r="AJ966" s="228"/>
      <c r="AK966" s="228"/>
      <c r="AL966" s="228"/>
      <c r="AM966" s="228"/>
      <c r="AN966" s="228">
        <f>+IFERROR(AN953/AJ953-1,"n/a ")</f>
        <v>0.22660834902004212</v>
      </c>
      <c r="BO966" s="228"/>
      <c r="BT966" s="1"/>
      <c r="BU966" s="1"/>
      <c r="BV966" s="1"/>
      <c r="BW966" s="1"/>
      <c r="BX966" s="1"/>
      <c r="BY966" s="1"/>
      <c r="BZ966" s="1"/>
      <c r="CA966" s="1"/>
      <c r="CB966" s="1"/>
      <c r="CC966" s="1"/>
    </row>
    <row r="967" spans="2:81" ht="10.5">
      <c r="B967" s="13" t="str">
        <f t="shared" ref="B967:B976" si="3743">+B954</f>
        <v>Microsoft 365 commercial products and cloud services</v>
      </c>
      <c r="C967" s="3"/>
      <c r="D967" s="3"/>
      <c r="E967" s="3"/>
      <c r="F967" s="3"/>
      <c r="G967" s="3"/>
      <c r="H967" s="3"/>
      <c r="I967" s="3"/>
      <c r="J967" s="3"/>
      <c r="K967" s="3"/>
      <c r="L967" s="228"/>
      <c r="M967" s="228"/>
      <c r="N967" s="228"/>
      <c r="O967" s="228"/>
      <c r="P967" s="228"/>
      <c r="Q967" s="228"/>
      <c r="R967" s="228"/>
      <c r="S967" s="228"/>
      <c r="T967" s="228"/>
      <c r="U967" s="228"/>
      <c r="V967" s="228"/>
      <c r="W967" s="228"/>
      <c r="X967" s="228"/>
      <c r="Y967" s="228"/>
      <c r="Z967" s="228"/>
      <c r="AA967" s="228"/>
      <c r="AB967" s="228"/>
      <c r="AC967" s="228"/>
      <c r="AD967" s="228"/>
      <c r="AE967" s="228"/>
      <c r="AF967" s="228"/>
      <c r="AG967" s="228"/>
      <c r="AH967" s="228"/>
      <c r="AI967" s="228"/>
      <c r="AJ967" s="228"/>
      <c r="AK967" s="228"/>
      <c r="AL967" s="228"/>
      <c r="AM967" s="228"/>
      <c r="AN967" s="228">
        <f t="shared" ref="AN967:AN976" si="3744">+IFERROR(AN954/AJ954-1,"n/a ")</f>
        <v>0.13328530259366</v>
      </c>
      <c r="BO967" s="228"/>
      <c r="BT967" s="1"/>
      <c r="BU967" s="1"/>
      <c r="BV967" s="1"/>
      <c r="BW967" s="1"/>
      <c r="BX967" s="1"/>
      <c r="BY967" s="1"/>
      <c r="BZ967" s="1"/>
      <c r="CA967" s="1"/>
      <c r="CB967" s="1"/>
      <c r="CC967" s="1"/>
    </row>
    <row r="968" spans="2:81" ht="10.5">
      <c r="B968" s="13" t="str">
        <f t="shared" si="3743"/>
        <v>Gaming</v>
      </c>
      <c r="C968" s="3"/>
      <c r="D968" s="3"/>
      <c r="E968" s="3"/>
      <c r="F968" s="3"/>
      <c r="G968" s="3"/>
      <c r="H968" s="3"/>
      <c r="I968" s="3"/>
      <c r="J968" s="3"/>
      <c r="K968" s="3"/>
      <c r="L968" s="228"/>
      <c r="M968" s="228"/>
      <c r="N968" s="228"/>
      <c r="O968" s="228"/>
      <c r="P968" s="228"/>
      <c r="Q968" s="228"/>
      <c r="R968" s="228"/>
      <c r="S968" s="228"/>
      <c r="T968" s="228">
        <f t="shared" ref="T968" si="3745">+IFERROR(T955/P955-1,"n/a ")</f>
        <v>-7.1585098612125586E-2</v>
      </c>
      <c r="U968" s="228">
        <f t="shared" ref="U968" si="3746">+IFERROR(U955/Q955-1,"n/a ")</f>
        <v>-0.21384688090737236</v>
      </c>
      <c r="V968" s="228">
        <f t="shared" ref="V968" si="3747">+IFERROR(V955/R955-1,"n/a ")</f>
        <v>-5.9246720270842435E-3</v>
      </c>
      <c r="W968" s="228">
        <f t="shared" ref="W968" si="3748">+IFERROR(W955/S955-1,"n/a ")</f>
        <v>0.63516804676083782</v>
      </c>
      <c r="X968" s="228">
        <f t="shared" ref="X968" si="3749">+IFERROR(X955/T955-1,"n/a ")</f>
        <v>0.21636506687647517</v>
      </c>
      <c r="Y968" s="228">
        <f t="shared" ref="Y968" si="3750">+IFERROR(Y955/U955-1,"n/a ")</f>
        <v>0.51217312894499556</v>
      </c>
      <c r="Z968" s="228">
        <f t="shared" ref="Z968" si="3751">+IFERROR(Z955/V955-1,"n/a ")</f>
        <v>0.5040442741592166</v>
      </c>
      <c r="AA968" s="228">
        <f t="shared" ref="AA968" si="3752">+IFERROR(AA955/W955-1,"n/a ")</f>
        <v>0.10634495084897222</v>
      </c>
      <c r="AB968" s="228">
        <f t="shared" ref="AB968" si="3753">+IFERROR(AB955/X955-1,"n/a ")</f>
        <v>0.16203104786545919</v>
      </c>
      <c r="AC968" s="228">
        <f t="shared" ref="AC968" si="3754">+IFERROR(AC955/Y955-1,"n/a ")</f>
        <v>8.1693500298151367E-2</v>
      </c>
      <c r="AD968" s="228">
        <f t="shared" ref="AD968" si="3755">+IFERROR(AD955/Z955-1,"n/a ")</f>
        <v>5.8590433059722669E-2</v>
      </c>
      <c r="AE968" s="228">
        <f t="shared" ref="AE968" si="3756">+IFERROR(AE955/AA955-1,"n/a ")</f>
        <v>-6.9736133548734536E-2</v>
      </c>
      <c r="AF968" s="228">
        <f t="shared" ref="AF968" si="3757">+IFERROR(AF955/AB955-1,"n/a ")</f>
        <v>4.7314222098524539E-3</v>
      </c>
      <c r="AG968" s="228">
        <f t="shared" ref="AG968" si="3758">+IFERROR(AG955/AC955-1,"n/a ")</f>
        <v>-0.1256890848952591</v>
      </c>
      <c r="AH968" s="228">
        <f t="shared" ref="AH968" si="3759">+IFERROR(AH955/AD955-1,"n/a ")</f>
        <v>-3.5561497326203173E-2</v>
      </c>
      <c r="AI968" s="228">
        <f t="shared" ref="AI968" si="3760">+IFERROR(AI955/AE955-1,"n/a ")</f>
        <v>1.0419681620839283E-2</v>
      </c>
      <c r="AJ968" s="228">
        <f t="shared" ref="AJ968" si="3761">+IFERROR(AJ955/AF955-1,"n/a ")</f>
        <v>8.5595567867035927E-2</v>
      </c>
      <c r="AK968" s="228">
        <f t="shared" ref="AK968" si="3762">+IFERROR(AK955/AG955-1,"n/a ")</f>
        <v>0.49453551912568305</v>
      </c>
      <c r="AL968" s="228">
        <f t="shared" ref="AL968" si="3763">+IFERROR(AL955/AH955-1,"n/a ")</f>
        <v>0.51122816745217636</v>
      </c>
      <c r="AM968" s="228">
        <f t="shared" ref="AM968" si="3764">+IFERROR(AM955/AI955-1,"n/a ")</f>
        <v>0.43855628759667709</v>
      </c>
      <c r="AN968" s="228">
        <f t="shared" si="3744"/>
        <v>0.43429446287318196</v>
      </c>
      <c r="BI968" s="228">
        <f t="shared" ref="BI968:BN968" si="3765">+IFERROR(BI955/BH955-1,"n/a ")</f>
        <v>0.14385150812064973</v>
      </c>
      <c r="BJ968" s="228">
        <f t="shared" si="3765"/>
        <v>9.9777842171351327E-2</v>
      </c>
      <c r="BK968" s="228">
        <f t="shared" si="3765"/>
        <v>1.6599332513613119E-2</v>
      </c>
      <c r="BL968" s="228">
        <f t="shared" si="3765"/>
        <v>0.32786177105831538</v>
      </c>
      <c r="BM968" s="228">
        <f t="shared" si="3765"/>
        <v>5.595315549772284E-2</v>
      </c>
      <c r="BN968" s="228">
        <f t="shared" si="3765"/>
        <v>-4.7073321010474456E-2</v>
      </c>
      <c r="BO968" s="228">
        <f>+IFERROR(BO955/BN955-1,"n/a ")</f>
        <v>0.39034010086641668</v>
      </c>
      <c r="BT968" s="1"/>
      <c r="BU968" s="1"/>
      <c r="BV968" s="1"/>
      <c r="BW968" s="1"/>
      <c r="BX968" s="1"/>
      <c r="BY968" s="1"/>
      <c r="BZ968" s="1"/>
      <c r="CA968" s="1"/>
      <c r="CB968" s="1"/>
      <c r="CC968" s="1"/>
    </row>
    <row r="969" spans="2:81" ht="10.5">
      <c r="B969" s="13" t="str">
        <f t="shared" si="3743"/>
        <v>Windows and devices</v>
      </c>
      <c r="C969" s="3"/>
      <c r="D969" s="3"/>
      <c r="E969" s="3"/>
      <c r="F969" s="3"/>
      <c r="G969" s="3"/>
      <c r="H969" s="3"/>
      <c r="I969" s="3"/>
      <c r="J969" s="3"/>
      <c r="K969" s="3"/>
      <c r="L969" s="228"/>
      <c r="M969" s="228"/>
      <c r="N969" s="228"/>
      <c r="O969" s="228"/>
      <c r="P969" s="228"/>
      <c r="Q969" s="228"/>
      <c r="R969" s="228"/>
      <c r="S969" s="228"/>
      <c r="T969" s="228"/>
      <c r="U969" s="228"/>
      <c r="V969" s="228"/>
      <c r="W969" s="228"/>
      <c r="X969" s="228"/>
      <c r="Y969" s="228"/>
      <c r="Z969" s="228"/>
      <c r="AA969" s="228"/>
      <c r="AB969" s="228"/>
      <c r="AC969" s="228"/>
      <c r="AD969" s="228"/>
      <c r="AE969" s="228"/>
      <c r="AF969" s="228"/>
      <c r="AG969" s="228"/>
      <c r="AH969" s="228"/>
      <c r="AI969" s="228"/>
      <c r="AJ969" s="228"/>
      <c r="AK969" s="228"/>
      <c r="AL969" s="228"/>
      <c r="AM969" s="228"/>
      <c r="AN969" s="228">
        <f t="shared" si="3744"/>
        <v>-2.5345622119815614E-3</v>
      </c>
      <c r="BI969" s="228"/>
      <c r="BJ969" s="228"/>
      <c r="BK969" s="228"/>
      <c r="BL969" s="228"/>
      <c r="BM969" s="228"/>
      <c r="BN969" s="228"/>
      <c r="BO969" s="228"/>
      <c r="BT969" s="1"/>
      <c r="BU969" s="1"/>
      <c r="BV969" s="1"/>
      <c r="BW969" s="1"/>
      <c r="BX969" s="1"/>
      <c r="BY969" s="1"/>
      <c r="BZ969" s="1"/>
      <c r="CA969" s="1"/>
      <c r="CB969" s="1"/>
      <c r="CC969" s="1"/>
    </row>
    <row r="970" spans="2:81" ht="10.5">
      <c r="B970" s="13" t="str">
        <f t="shared" si="3743"/>
        <v>LinkedIn</v>
      </c>
      <c r="C970" s="3"/>
      <c r="D970" s="3"/>
      <c r="E970" s="3"/>
      <c r="F970" s="3"/>
      <c r="G970" s="3"/>
      <c r="H970" s="3"/>
      <c r="I970" s="3"/>
      <c r="J970" s="3"/>
      <c r="K970" s="3"/>
      <c r="L970" s="228"/>
      <c r="M970" s="228"/>
      <c r="N970" s="228"/>
      <c r="O970" s="228"/>
      <c r="P970" s="228"/>
      <c r="Q970" s="228"/>
      <c r="R970" s="228"/>
      <c r="S970" s="228"/>
      <c r="T970" s="228">
        <f t="shared" ref="T970" si="3766">+IFERROR(T957/P957-1,"n/a ")</f>
        <v>0.2477124183006536</v>
      </c>
      <c r="U970" s="228">
        <f t="shared" ref="U970" si="3767">+IFERROR(U957/Q957-1,"n/a ")</f>
        <v>0.24158298877731843</v>
      </c>
      <c r="V970" s="228">
        <f t="shared" ref="V970" si="3768">+IFERROR(V957/R957-1,"n/a ")</f>
        <v>0.20872641509433953</v>
      </c>
      <c r="W970" s="228">
        <f t="shared" ref="W970" si="3769">+IFERROR(W957/S957-1,"n/a ")</f>
        <v>9.8637602179836525E-2</v>
      </c>
      <c r="X970" s="228">
        <f t="shared" ref="X970" si="3770">+IFERROR(X957/T957-1,"n/a ")</f>
        <v>0.15557883708748044</v>
      </c>
      <c r="Y970" s="228">
        <f t="shared" ref="Y970" si="3771">+IFERROR(Y957/U957-1,"n/a ")</f>
        <v>0.22597526165556614</v>
      </c>
      <c r="Z970" s="228">
        <f t="shared" ref="Z970" si="3772">+IFERROR(Z957/V957-1,"n/a ")</f>
        <v>0.24975609756097561</v>
      </c>
      <c r="AA970" s="228">
        <f t="shared" ref="AA970" si="3773">+IFERROR(AA957/W957-1,"n/a ")</f>
        <v>0.46031746031746024</v>
      </c>
      <c r="AB970" s="228">
        <f t="shared" ref="AB970" si="3774">+IFERROR(AB957/X957-1,"n/a ")</f>
        <v>0.4215775158658206</v>
      </c>
      <c r="AC970" s="228">
        <f t="shared" ref="AC970" si="3775">+IFERROR(AC957/Y957-1,"n/a ")</f>
        <v>0.37019790454016288</v>
      </c>
      <c r="AD970" s="228">
        <f t="shared" ref="AD970" si="3776">+IFERROR(AD957/Z957-1,"n/a ")</f>
        <v>0.34153005464480879</v>
      </c>
      <c r="AE970" s="228">
        <f t="shared" ref="AE970" si="3777">+IFERROR(AE957/AA957-1,"n/a ")</f>
        <v>0.26086956521739135</v>
      </c>
      <c r="AF970" s="228">
        <f t="shared" ref="AF970" si="3778">+IFERROR(AF957/AB957-1,"n/a ")</f>
        <v>0.16804846938775508</v>
      </c>
      <c r="AG970" s="228">
        <f t="shared" ref="AG970" si="3779">+IFERROR(AG957/AC957-1,"n/a ")</f>
        <v>9.7706032285471478E-2</v>
      </c>
      <c r="AH970" s="228">
        <f t="shared" ref="AH970" si="3780">+IFERROR(AH957/AD957-1,"n/a ")</f>
        <v>7.5647366889729506E-2</v>
      </c>
      <c r="AI970" s="228">
        <f t="shared" ref="AI970" si="3781">+IFERROR(AI957/AE957-1,"n/a ")</f>
        <v>5.3071120689655249E-2</v>
      </c>
      <c r="AJ970" s="228">
        <f t="shared" ref="AJ970" si="3782">+IFERROR(AJ957/AF957-1,"n/a ")</f>
        <v>6.8250068250068185E-2</v>
      </c>
      <c r="AK970" s="228">
        <f t="shared" ref="AK970" si="3783">+IFERROR(AK957/AG957-1,"n/a ")</f>
        <v>8.2301341589267274E-2</v>
      </c>
      <c r="AL970" s="228">
        <f t="shared" ref="AL970" si="3784">+IFERROR(AL957/AH957-1,"n/a ")</f>
        <v>8.5474709223694934E-2</v>
      </c>
      <c r="AM970" s="228">
        <f t="shared" ref="AM970" si="3785">+IFERROR(AM957/AI957-1,"n/a ")</f>
        <v>8.74904067536455E-2</v>
      </c>
      <c r="AN970" s="228">
        <f t="shared" si="3744"/>
        <v>9.685663174035275E-2</v>
      </c>
      <c r="BI970" s="228">
        <f t="shared" ref="BI970:BN970" si="3786">+IFERROR(BI957/BH957-1,"n/a ")</f>
        <v>1.3157199471598413</v>
      </c>
      <c r="BJ970" s="228">
        <f t="shared" si="3786"/>
        <v>0.28427457691576352</v>
      </c>
      <c r="BK970" s="228">
        <f t="shared" si="3786"/>
        <v>0.19588392063962101</v>
      </c>
      <c r="BL970" s="228">
        <f t="shared" si="3786"/>
        <v>0.27386405843753869</v>
      </c>
      <c r="BM970" s="228">
        <f t="shared" si="3786"/>
        <v>0.34279327437068718</v>
      </c>
      <c r="BN970" s="228">
        <f t="shared" si="3786"/>
        <v>9.619281991893458E-2</v>
      </c>
      <c r="BO970" s="228">
        <f>+IFERROR(BO957/BN957-1,"n/a ")</f>
        <v>8.1016837240013295E-2</v>
      </c>
      <c r="BT970" s="1"/>
      <c r="BU970" s="1"/>
      <c r="BV970" s="1"/>
      <c r="BW970" s="1"/>
      <c r="BX970" s="1"/>
      <c r="BY970" s="1"/>
      <c r="BZ970" s="1"/>
      <c r="CA970" s="1"/>
      <c r="CB970" s="1"/>
      <c r="CC970" s="1"/>
    </row>
    <row r="971" spans="2:81" ht="10.5">
      <c r="B971" s="13" t="str">
        <f t="shared" si="3743"/>
        <v>Search and news advertising</v>
      </c>
      <c r="C971" s="3"/>
      <c r="D971" s="3"/>
      <c r="E971" s="3"/>
      <c r="F971" s="3"/>
      <c r="G971" s="3"/>
      <c r="H971" s="3"/>
      <c r="I971" s="3"/>
      <c r="J971" s="3"/>
      <c r="K971" s="3"/>
      <c r="L971" s="228"/>
      <c r="M971" s="228"/>
      <c r="N971" s="228"/>
      <c r="O971" s="228"/>
      <c r="P971" s="228"/>
      <c r="Q971" s="228"/>
      <c r="R971" s="228"/>
      <c r="S971" s="228"/>
      <c r="T971" s="228"/>
      <c r="U971" s="228"/>
      <c r="V971" s="228"/>
      <c r="W971" s="228"/>
      <c r="X971" s="228"/>
      <c r="Y971" s="228"/>
      <c r="Z971" s="228"/>
      <c r="AA971" s="228"/>
      <c r="AB971" s="228"/>
      <c r="AC971" s="228"/>
      <c r="AD971" s="228"/>
      <c r="AE971" s="228"/>
      <c r="AF971" s="228"/>
      <c r="AG971" s="228"/>
      <c r="AH971" s="228"/>
      <c r="AI971" s="228"/>
      <c r="AJ971" s="228"/>
      <c r="AK971" s="228"/>
      <c r="AL971" s="228"/>
      <c r="AM971" s="228"/>
      <c r="AN971" s="228">
        <f t="shared" si="3744"/>
        <v>6.8588469184890588E-2</v>
      </c>
      <c r="BI971" s="228"/>
      <c r="BJ971" s="228"/>
      <c r="BK971" s="228"/>
      <c r="BL971" s="228"/>
      <c r="BM971" s="228"/>
      <c r="BN971" s="228"/>
      <c r="BO971" s="228"/>
      <c r="BT971" s="1"/>
      <c r="BU971" s="1"/>
      <c r="BV971" s="1"/>
      <c r="BW971" s="1"/>
      <c r="BX971" s="1"/>
      <c r="BY971" s="1"/>
      <c r="BZ971" s="1"/>
      <c r="CA971" s="1"/>
      <c r="CB971" s="1"/>
      <c r="CC971" s="1"/>
    </row>
    <row r="972" spans="2:81" ht="10.5">
      <c r="B972" s="13" t="str">
        <f t="shared" si="3743"/>
        <v>Enterprise and partner services</v>
      </c>
      <c r="C972" s="3"/>
      <c r="D972" s="3"/>
      <c r="E972" s="3"/>
      <c r="F972" s="3"/>
      <c r="G972" s="3"/>
      <c r="H972" s="3"/>
      <c r="I972" s="3"/>
      <c r="J972" s="3"/>
      <c r="K972" s="3"/>
      <c r="L972" s="228"/>
      <c r="M972" s="228"/>
      <c r="N972" s="228"/>
      <c r="O972" s="228"/>
      <c r="P972" s="228"/>
      <c r="Q972" s="228"/>
      <c r="R972" s="228"/>
      <c r="S972" s="228"/>
      <c r="T972" s="228">
        <f t="shared" ref="T972" si="3787">+IFERROR(T959/P959-1,"n/a ")</f>
        <v>6.5517241379310365E-2</v>
      </c>
      <c r="U972" s="228">
        <f t="shared" ref="U972" si="3788">+IFERROR(U959/Q959-1,"n/a ")</f>
        <v>5.9829059829059839E-2</v>
      </c>
      <c r="V972" s="228">
        <f t="shared" ref="V972" si="3789">+IFERROR(V959/R959-1,"n/a ")</f>
        <v>5.9014267185473424E-2</v>
      </c>
      <c r="W972" s="228">
        <f t="shared" ref="W972" si="3790">+IFERROR(W959/S959-1,"n/a ")</f>
        <v>4.9658597144630612E-3</v>
      </c>
      <c r="X972" s="228">
        <f t="shared" ref="X972" si="3791">+IFERROR(X959/T959-1,"n/a ")</f>
        <v>5.9546925566343001E-2</v>
      </c>
      <c r="Y972" s="228">
        <f t="shared" ref="Y972" si="3792">+IFERROR(Y959/U959-1,"n/a ")</f>
        <v>5.1488833746898166E-2</v>
      </c>
      <c r="Z972" s="228">
        <f t="shared" ref="Z972" si="3793">+IFERROR(Z959/V959-1,"n/a ")</f>
        <v>0.10410287813839569</v>
      </c>
      <c r="AA972" s="228">
        <f t="shared" ref="AA972" si="3794">+IFERROR(AA959/W959-1,"n/a ")</f>
        <v>0.11673872760963566</v>
      </c>
      <c r="AB972" s="228">
        <f t="shared" ref="AB972" si="3795">+IFERROR(AB959/X959-1,"n/a ")</f>
        <v>9.4074526572999417E-2</v>
      </c>
      <c r="AC972" s="228">
        <f t="shared" ref="AC972" si="3796">+IFERROR(AC959/Y959-1,"n/a ")</f>
        <v>7.5516224188790559E-2</v>
      </c>
      <c r="AD972" s="228">
        <f t="shared" ref="AD972" si="3797">+IFERROR(AD959/Z959-1,"n/a ")</f>
        <v>4.8807542983915653E-2</v>
      </c>
      <c r="AE972" s="228">
        <f t="shared" ref="AE972" si="3798">+IFERROR(AE959/AA959-1,"n/a ")</f>
        <v>5.1991150442477929E-2</v>
      </c>
      <c r="AF972" s="228">
        <f t="shared" ref="AF972" si="3799">+IFERROR(AF959/AB959-1,"n/a ")</f>
        <v>4.7459519821328788E-2</v>
      </c>
      <c r="AG972" s="228">
        <f t="shared" ref="AG972" si="3800">+IFERROR(AG959/AC959-1,"n/a ")</f>
        <v>2.1393307734503653E-2</v>
      </c>
      <c r="AH972" s="228">
        <f t="shared" ref="AH972" si="3801">+IFERROR(AH959/AD959-1,"n/a ")</f>
        <v>6.1343204653622418E-2</v>
      </c>
      <c r="AI972" s="228">
        <f t="shared" ref="AI972" si="3802">+IFERROR(AI959/AE959-1,"n/a ")</f>
        <v>3.9432176656151396E-2</v>
      </c>
      <c r="AJ972" s="228">
        <f t="shared" ref="AJ972" si="3803">+IFERROR(AJ959/AF959-1,"n/a ")</f>
        <v>3.6247334754797356E-2</v>
      </c>
      <c r="AK972" s="228">
        <f t="shared" ref="AK972" si="3804">+IFERROR(AK959/AG959-1,"n/a ")</f>
        <v>2.9538131041890514E-2</v>
      </c>
      <c r="AL972" s="228">
        <f t="shared" ref="AL972" si="3805">+IFERROR(AL959/AH959-1,"n/a ")</f>
        <v>-7.2745391131041393E-2</v>
      </c>
      <c r="AM972" s="228">
        <f t="shared" ref="AM972" si="3806">+IFERROR(AM959/AI959-1,"n/a ")</f>
        <v>-5.3110773899848307E-2</v>
      </c>
      <c r="AN972" s="228">
        <f t="shared" si="3744"/>
        <v>-8.2304526748970819E-3</v>
      </c>
      <c r="BI972" s="228">
        <f t="shared" ref="BI972:BN972" si="3807">+IFERROR(BI959/BH959-1,"n/a ")</f>
        <v>5.4853843377841827E-2</v>
      </c>
      <c r="BJ972" s="228">
        <f t="shared" si="3807"/>
        <v>4.7553882996920871E-2</v>
      </c>
      <c r="BK972" s="228">
        <f t="shared" si="3807"/>
        <v>4.6538210320052231E-2</v>
      </c>
      <c r="BL972" s="228">
        <f t="shared" si="3807"/>
        <v>8.3320330784833807E-2</v>
      </c>
      <c r="BM972" s="228">
        <f t="shared" si="3807"/>
        <v>6.6829900619328919E-2</v>
      </c>
      <c r="BN972" s="228">
        <f t="shared" si="3807"/>
        <v>4.2527339003645137E-2</v>
      </c>
      <c r="BO972" s="228">
        <f>+IFERROR(BO959/BN959-1,"n/a ")</f>
        <v>-1.6576016576016595E-2</v>
      </c>
      <c r="BT972" s="1"/>
      <c r="BU972" s="1"/>
      <c r="BV972" s="1"/>
      <c r="BW972" s="1"/>
      <c r="BX972" s="1"/>
      <c r="BY972" s="1"/>
      <c r="BZ972" s="1"/>
      <c r="CA972" s="1"/>
      <c r="CB972" s="1"/>
      <c r="CC972" s="1"/>
    </row>
    <row r="973" spans="2:81" ht="10.5">
      <c r="B973" s="13" t="str">
        <f t="shared" si="3743"/>
        <v>Dynamics products and cloud services</v>
      </c>
      <c r="C973" s="3"/>
      <c r="D973" s="3"/>
      <c r="E973" s="3"/>
      <c r="F973" s="3"/>
      <c r="G973" s="3"/>
      <c r="H973" s="3"/>
      <c r="I973" s="3"/>
      <c r="J973" s="3"/>
      <c r="K973" s="3"/>
      <c r="L973" s="228"/>
      <c r="M973" s="228"/>
      <c r="N973" s="228"/>
      <c r="O973" s="228"/>
      <c r="P973" s="228"/>
      <c r="Q973" s="228"/>
      <c r="R973" s="228"/>
      <c r="S973" s="228"/>
      <c r="T973" s="228"/>
      <c r="U973" s="228"/>
      <c r="V973" s="228"/>
      <c r="W973" s="228"/>
      <c r="X973" s="228"/>
      <c r="Y973" s="228"/>
      <c r="Z973" s="228"/>
      <c r="AA973" s="228"/>
      <c r="AB973" s="228"/>
      <c r="AC973" s="228"/>
      <c r="AD973" s="228"/>
      <c r="AE973" s="228"/>
      <c r="AF973" s="228"/>
      <c r="AG973" s="228"/>
      <c r="AH973" s="228"/>
      <c r="AI973" s="228"/>
      <c r="AJ973" s="228"/>
      <c r="AK973" s="228"/>
      <c r="AL973" s="228"/>
      <c r="AM973" s="228"/>
      <c r="AN973" s="228">
        <f t="shared" si="3744"/>
        <v>0.13714637146371467</v>
      </c>
      <c r="BI973" s="228"/>
      <c r="BJ973" s="228"/>
      <c r="BK973" s="228"/>
      <c r="BL973" s="228"/>
      <c r="BM973" s="228"/>
      <c r="BN973" s="228"/>
      <c r="BO973" s="228"/>
      <c r="BT973" s="1"/>
      <c r="BU973" s="1"/>
      <c r="BV973" s="1"/>
      <c r="BW973" s="1"/>
      <c r="BX973" s="1"/>
      <c r="BY973" s="1"/>
      <c r="BZ973" s="1"/>
      <c r="CA973" s="1"/>
      <c r="CB973" s="1"/>
      <c r="CC973" s="1"/>
    </row>
    <row r="974" spans="2:81" ht="10.5">
      <c r="B974" s="13" t="str">
        <f t="shared" si="3743"/>
        <v>Microsoft 365 consumer products and cloud services</v>
      </c>
      <c r="C974" s="3"/>
      <c r="D974" s="3"/>
      <c r="E974" s="3"/>
      <c r="F974" s="3"/>
      <c r="G974" s="3"/>
      <c r="H974" s="3"/>
      <c r="I974" s="3"/>
      <c r="J974" s="3"/>
      <c r="K974" s="3"/>
      <c r="L974" s="228"/>
      <c r="M974" s="228"/>
      <c r="N974" s="228"/>
      <c r="O974" s="228"/>
      <c r="P974" s="228"/>
      <c r="Q974" s="228"/>
      <c r="R974" s="228"/>
      <c r="S974" s="228"/>
      <c r="T974" s="228"/>
      <c r="U974" s="228"/>
      <c r="V974" s="228"/>
      <c r="W974" s="228"/>
      <c r="X974" s="228"/>
      <c r="Y974" s="228"/>
      <c r="Z974" s="228"/>
      <c r="AA974" s="228"/>
      <c r="AB974" s="228"/>
      <c r="AC974" s="228"/>
      <c r="AD974" s="228"/>
      <c r="AE974" s="228"/>
      <c r="AF974" s="228"/>
      <c r="AG974" s="228"/>
      <c r="AH974" s="228"/>
      <c r="AI974" s="228"/>
      <c r="AJ974" s="228"/>
      <c r="AK974" s="228"/>
      <c r="AL974" s="228"/>
      <c r="AM974" s="228"/>
      <c r="AN974" s="228">
        <f t="shared" si="3744"/>
        <v>5.1125989044430886E-2</v>
      </c>
      <c r="BI974" s="228"/>
      <c r="BJ974" s="228"/>
      <c r="BK974" s="228"/>
      <c r="BL974" s="228"/>
      <c r="BM974" s="228"/>
      <c r="BN974" s="228"/>
      <c r="BO974" s="228"/>
      <c r="BT974" s="1"/>
      <c r="BU974" s="1"/>
      <c r="BV974" s="1"/>
      <c r="BW974" s="1"/>
      <c r="BX974" s="1"/>
      <c r="BY974" s="1"/>
      <c r="BZ974" s="1"/>
      <c r="CA974" s="1"/>
      <c r="CB974" s="1"/>
      <c r="CC974" s="1"/>
    </row>
    <row r="975" spans="2:81" ht="11.45">
      <c r="B975" s="13" t="str">
        <f t="shared" si="3743"/>
        <v>Others</v>
      </c>
      <c r="C975" s="839"/>
      <c r="D975" s="839"/>
      <c r="E975" s="839"/>
      <c r="F975" s="839"/>
      <c r="G975" s="839"/>
      <c r="H975" s="839"/>
      <c r="I975" s="839"/>
      <c r="J975" s="839"/>
      <c r="K975" s="839"/>
      <c r="L975" s="840"/>
      <c r="M975" s="840"/>
      <c r="N975" s="840"/>
      <c r="O975" s="840"/>
      <c r="P975" s="840"/>
      <c r="Q975" s="840"/>
      <c r="R975" s="840"/>
      <c r="S975" s="840"/>
      <c r="T975" s="840"/>
      <c r="U975" s="840"/>
      <c r="V975" s="840"/>
      <c r="W975" s="840"/>
      <c r="X975" s="840"/>
      <c r="Y975" s="840"/>
      <c r="Z975" s="840"/>
      <c r="AA975" s="840"/>
      <c r="AB975" s="840"/>
      <c r="AC975" s="840"/>
      <c r="AD975" s="840"/>
      <c r="AE975" s="840"/>
      <c r="AF975" s="840"/>
      <c r="AG975" s="840"/>
      <c r="AH975" s="840"/>
      <c r="AI975" s="840"/>
      <c r="AJ975" s="840"/>
      <c r="AK975" s="840"/>
      <c r="AL975" s="840"/>
      <c r="AM975" s="840"/>
      <c r="AN975" s="840">
        <f t="shared" si="3744"/>
        <v>0.25</v>
      </c>
      <c r="BI975" s="840"/>
      <c r="BJ975" s="840"/>
      <c r="BK975" s="840"/>
      <c r="BL975" s="840"/>
      <c r="BM975" s="840"/>
      <c r="BN975" s="840"/>
      <c r="BO975" s="840"/>
      <c r="BT975" s="1"/>
      <c r="BU975" s="1"/>
      <c r="BV975" s="1"/>
      <c r="BW975" s="1"/>
      <c r="BX975" s="1"/>
      <c r="BY975" s="1"/>
      <c r="BZ975" s="1"/>
      <c r="CA975" s="1"/>
      <c r="CB975" s="1"/>
      <c r="CC975" s="1"/>
    </row>
    <row r="976" spans="2:81" ht="10.5">
      <c r="B976" s="841" t="str">
        <f t="shared" si="3743"/>
        <v>Total revenue</v>
      </c>
      <c r="C976" s="7"/>
      <c r="D976" s="7"/>
      <c r="E976" s="7"/>
      <c r="F976" s="7"/>
      <c r="G976" s="7"/>
      <c r="H976" s="7"/>
      <c r="I976" s="7"/>
      <c r="J976" s="7"/>
      <c r="K976" s="7"/>
      <c r="L976" s="842"/>
      <c r="M976" s="842"/>
      <c r="N976" s="842"/>
      <c r="O976" s="842"/>
      <c r="P976" s="842"/>
      <c r="Q976" s="842"/>
      <c r="R976" s="842"/>
      <c r="S976" s="842"/>
      <c r="T976" s="842">
        <f t="shared" ref="T976" si="3808">+IFERROR(T963/P963-1,"n/a ")</f>
        <v>0.13653555219364599</v>
      </c>
      <c r="U976" s="842">
        <f t="shared" ref="U976" si="3809">+IFERROR(U963/Q963-1,"n/a ")</f>
        <v>0.13658341289150311</v>
      </c>
      <c r="V976" s="842">
        <f t="shared" ref="V976" si="3810">+IFERROR(V963/R963-1,"n/a ")</f>
        <v>0.14556278826338698</v>
      </c>
      <c r="W976" s="842">
        <f t="shared" ref="W976" si="3811">+IFERROR(W963/S963-1,"n/a ")</f>
        <v>0.12800664353293589</v>
      </c>
      <c r="X976" s="842">
        <f t="shared" ref="X976" si="3812">+IFERROR(X963/T963-1,"n/a ")</f>
        <v>0.12400544546967174</v>
      </c>
      <c r="Y976" s="842">
        <f t="shared" ref="Y976" si="3813">+IFERROR(Y963/U963-1,"n/a ")</f>
        <v>0.16718148810491518</v>
      </c>
      <c r="Z976" s="842">
        <f t="shared" ref="Z976" si="3814">+IFERROR(Z963/V963-1,"n/a ")</f>
        <v>0.19088546871876866</v>
      </c>
      <c r="AA976" s="842">
        <f t="shared" ref="AA976" si="3815">+IFERROR(AA963/W963-1,"n/a ")</f>
        <v>0.21347251071437956</v>
      </c>
      <c r="AB976" s="842">
        <f t="shared" ref="AB976" si="3816">+IFERROR(AB963/X963-1,"n/a ")</f>
        <v>0.21970716477364483</v>
      </c>
      <c r="AC976" s="842">
        <f t="shared" ref="AC976" si="3817">+IFERROR(AC963/Y963-1,"n/a ")</f>
        <v>0.2008543040208004</v>
      </c>
      <c r="AD976" s="842">
        <f t="shared" ref="AD976" si="3818">+IFERROR(AD963/Z963-1,"n/a ")</f>
        <v>0.18352275451973332</v>
      </c>
      <c r="AE976" s="842">
        <f t="shared" ref="AE976" si="3819">+IFERROR(AE963/AA963-1,"n/a ")</f>
        <v>0.12378661813139202</v>
      </c>
      <c r="AF976" s="842">
        <f t="shared" ref="AF976" si="3820">+IFERROR(AF963/AB963-1,"n/a ")</f>
        <v>0.1060308493501334</v>
      </c>
      <c r="AG976" s="842">
        <f t="shared" ref="AG976" si="3821">+IFERROR(AG963/AC963-1,"n/a ")</f>
        <v>1.9699195793380753E-2</v>
      </c>
      <c r="AH976" s="842">
        <f t="shared" ref="AH976" si="3822">+IFERROR(AH963/AD963-1,"n/a ")</f>
        <v>7.0846839546191198E-2</v>
      </c>
      <c r="AI976" s="842">
        <f t="shared" ref="AI976" si="3823">+IFERROR(AI963/AE963-1,"n/a ")</f>
        <v>8.3370288248336921E-2</v>
      </c>
      <c r="AJ976" s="842">
        <f t="shared" ref="AJ976" si="3824">+IFERROR(AJ963/AF963-1,"n/a ")</f>
        <v>0.12758868361198683</v>
      </c>
      <c r="AK976" s="842">
        <f t="shared" ref="AK976" si="3825">+IFERROR(AK963/AG963-1,"n/a ")</f>
        <v>0.17580146738203117</v>
      </c>
      <c r="AL976" s="842">
        <f t="shared" ref="AL976" si="3826">+IFERROR(AL963/AH963-1,"n/a ")</f>
        <v>0.17028964943148495</v>
      </c>
      <c r="AM976" s="842">
        <f t="shared" ref="AM976" si="3827">+IFERROR(AM963/AI963-1,"n/a ")</f>
        <v>0.15195144957198026</v>
      </c>
      <c r="AN976" s="842">
        <f t="shared" si="3744"/>
        <v>0.16044729904276589</v>
      </c>
      <c r="BI976" s="842">
        <f t="shared" ref="BI976:BN976" si="3828">+IFERROR(BI963/BH963-1,"n/a ")</f>
        <v>0.14278613662486661</v>
      </c>
      <c r="BJ976" s="842">
        <f t="shared" si="3828"/>
        <v>0.14029539688292858</v>
      </c>
      <c r="BK976" s="842">
        <f t="shared" si="3828"/>
        <v>0.13645574247276371</v>
      </c>
      <c r="BL976" s="842">
        <f t="shared" si="3828"/>
        <v>0.17531727441177503</v>
      </c>
      <c r="BM976" s="842">
        <f t="shared" si="3828"/>
        <v>0.17956070629670173</v>
      </c>
      <c r="BN976" s="842">
        <f t="shared" si="3828"/>
        <v>6.8820295556564215E-2</v>
      </c>
      <c r="BO976" s="842">
        <f>+IFERROR(BO963/BN963-1,"n/a ")</f>
        <v>0.1566996201307127</v>
      </c>
      <c r="BT976" s="1"/>
      <c r="BU976" s="1"/>
      <c r="BV976" s="1"/>
      <c r="BW976" s="1"/>
      <c r="BX976" s="1"/>
      <c r="BY976" s="1"/>
      <c r="BZ976" s="1"/>
      <c r="CA976" s="1"/>
      <c r="CB976" s="1"/>
      <c r="CC976" s="1"/>
    </row>
    <row r="977" spans="2:81" ht="10.5">
      <c r="B977" s="921"/>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BT977" s="1"/>
      <c r="BU977" s="1"/>
      <c r="BV977" s="1"/>
      <c r="BW977" s="1"/>
      <c r="BX977" s="1"/>
      <c r="BY977" s="1"/>
      <c r="BZ977" s="1"/>
      <c r="CA977" s="1"/>
      <c r="CB977" s="1"/>
      <c r="CC977" s="1"/>
    </row>
    <row r="978" spans="2:81" ht="10.5">
      <c r="B978" s="24" t="s">
        <v>173</v>
      </c>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BT978" s="1"/>
      <c r="BU978" s="1"/>
      <c r="BV978" s="1"/>
      <c r="BW978" s="1"/>
      <c r="BX978" s="1"/>
      <c r="BY978" s="1"/>
      <c r="BZ978" s="1"/>
      <c r="CA978" s="1"/>
      <c r="CB978" s="1"/>
      <c r="CC978" s="1"/>
    </row>
    <row r="979" spans="2:81" ht="10.5">
      <c r="B979" s="13" t="str">
        <f>+B966</f>
        <v>Server products and cloud services</v>
      </c>
      <c r="C979" s="3"/>
      <c r="D979" s="3"/>
      <c r="E979" s="3"/>
      <c r="F979" s="3"/>
      <c r="G979" s="3"/>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f>+AJ953/AJ$963</f>
        <v>0.31958525753313161</v>
      </c>
      <c r="AK979" s="21"/>
      <c r="AL979" s="21"/>
      <c r="AM979" s="21"/>
      <c r="AN979" s="21">
        <f>+AN953/AN$963</f>
        <v>0.33780590073949834</v>
      </c>
      <c r="BO979" s="21"/>
      <c r="BT979" s="1"/>
      <c r="BU979" s="1"/>
      <c r="BV979" s="1"/>
      <c r="BW979" s="1"/>
      <c r="BX979" s="1"/>
      <c r="BY979" s="1"/>
      <c r="BZ979" s="1"/>
      <c r="CA979" s="1"/>
      <c r="CB979" s="1"/>
      <c r="CC979" s="1"/>
    </row>
    <row r="980" spans="2:81" ht="10.5">
      <c r="B980" s="13" t="str">
        <f t="shared" ref="B980:B988" si="3829">+B967</f>
        <v>Microsoft 365 commercial products and cloud services</v>
      </c>
      <c r="C980" s="3"/>
      <c r="D980" s="3"/>
      <c r="E980" s="3"/>
      <c r="F980" s="3"/>
      <c r="G980" s="3"/>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f t="shared" ref="AJ980:AL989" si="3830">+AJ954/AJ$963</f>
        <v>0.31926676929065589</v>
      </c>
      <c r="AK980" s="21"/>
      <c r="AL980" s="21"/>
      <c r="AM980" s="21"/>
      <c r="AN980" s="21">
        <f t="shared" ref="AM980:AN989" si="3831">+AN954/AN$963</f>
        <v>0.31179385530227949</v>
      </c>
      <c r="BO980" s="21"/>
      <c r="BT980" s="1"/>
      <c r="BU980" s="1"/>
      <c r="BV980" s="1"/>
      <c r="BW980" s="1"/>
      <c r="BX980" s="1"/>
      <c r="BY980" s="1"/>
      <c r="BZ980" s="1"/>
      <c r="CA980" s="1"/>
      <c r="CB980" s="1"/>
      <c r="CC980" s="1"/>
    </row>
    <row r="981" spans="2:81" ht="10.5">
      <c r="B981" s="13" t="str">
        <f t="shared" si="3829"/>
        <v>Gaming</v>
      </c>
      <c r="C981" s="3"/>
      <c r="D981" s="3"/>
      <c r="E981" s="3"/>
      <c r="F981" s="3"/>
      <c r="G981" s="3"/>
      <c r="H981" s="21"/>
      <c r="I981" s="21"/>
      <c r="J981" s="21"/>
      <c r="K981" s="21"/>
      <c r="L981" s="21"/>
      <c r="M981" s="21"/>
      <c r="N981" s="21"/>
      <c r="O981" s="21"/>
      <c r="P981" s="21"/>
      <c r="Q981" s="21"/>
      <c r="R981" s="21"/>
      <c r="S981" s="21"/>
      <c r="T981" s="21">
        <f t="shared" ref="T981:AH981" si="3832">+T955/T$963</f>
        <v>7.6902132808954776E-2</v>
      </c>
      <c r="U981" s="21">
        <f t="shared" si="3832"/>
        <v>9.0147943423833518E-2</v>
      </c>
      <c r="V981" s="21">
        <f t="shared" si="3832"/>
        <v>6.7074041289512012E-2</v>
      </c>
      <c r="W981" s="21">
        <f t="shared" si="3832"/>
        <v>8.8265453684957806E-2</v>
      </c>
      <c r="X981" s="21">
        <f t="shared" si="3832"/>
        <v>8.3221187489906881E-2</v>
      </c>
      <c r="Y981" s="21">
        <f t="shared" si="3832"/>
        <v>0.11679357414801746</v>
      </c>
      <c r="Z981" s="21">
        <f t="shared" si="3832"/>
        <v>8.4712031841941204E-2</v>
      </c>
      <c r="AA981" s="21">
        <f t="shared" si="3832"/>
        <v>8.0473218928757154E-2</v>
      </c>
      <c r="AB981" s="21">
        <f t="shared" si="3832"/>
        <v>7.9285919191473403E-2</v>
      </c>
      <c r="AC981" s="21">
        <f t="shared" si="3832"/>
        <v>0.10520414475719146</v>
      </c>
      <c r="AD981" s="21">
        <f t="shared" si="3832"/>
        <v>7.5769854132901132E-2</v>
      </c>
      <c r="AE981" s="21">
        <f t="shared" si="3832"/>
        <v>6.6615251132748479E-2</v>
      </c>
      <c r="AF981" s="21">
        <f t="shared" si="3832"/>
        <v>7.202426080363912E-2</v>
      </c>
      <c r="AG981" s="21">
        <f t="shared" si="3832"/>
        <v>9.0204182228373175E-2</v>
      </c>
      <c r="AH981" s="21">
        <f t="shared" si="3832"/>
        <v>6.824072497493236E-2</v>
      </c>
      <c r="AI981" s="21">
        <f t="shared" ref="AI981" si="3833">+AI955/AI$963</f>
        <v>6.2129598319955862E-2</v>
      </c>
      <c r="AJ981" s="21">
        <f t="shared" si="3830"/>
        <v>6.934196790346267E-2</v>
      </c>
      <c r="AK981" s="21">
        <f t="shared" si="3830"/>
        <v>0.11465656239922606</v>
      </c>
      <c r="AL981" s="21">
        <f t="shared" si="3830"/>
        <v>8.8121180768857707E-2</v>
      </c>
      <c r="AM981" s="21">
        <f t="shared" si="3831"/>
        <v>7.7587405564911088E-2</v>
      </c>
      <c r="AN981" s="21">
        <f t="shared" si="3831"/>
        <v>8.5705572920637338E-2</v>
      </c>
      <c r="BI981" s="21">
        <f t="shared" ref="BI981:BN981" si="3834">+BI955/BI$963</f>
        <v>9.3811163465023564E-2</v>
      </c>
      <c r="BJ981" s="21">
        <f t="shared" si="3834"/>
        <v>9.0477817598118293E-2</v>
      </c>
      <c r="BK981" s="21">
        <f t="shared" si="3834"/>
        <v>8.0935566199349718E-2</v>
      </c>
      <c r="BL981" s="21">
        <f t="shared" si="3834"/>
        <v>9.1440197991528249E-2</v>
      </c>
      <c r="BM981" s="21">
        <f t="shared" si="3834"/>
        <v>8.1858072325616579E-2</v>
      </c>
      <c r="BN981" s="21">
        <f t="shared" si="3834"/>
        <v>7.2982091876459904E-2</v>
      </c>
      <c r="BO981" s="21">
        <f t="shared" ref="BO981" si="3835">+BO955/BO$963</f>
        <v>8.7723664134594204E-2</v>
      </c>
      <c r="BT981" s="1"/>
      <c r="BU981" s="1"/>
      <c r="BV981" s="1"/>
      <c r="BW981" s="1"/>
      <c r="BX981" s="1"/>
      <c r="BY981" s="1"/>
      <c r="BZ981" s="1"/>
      <c r="CA981" s="1"/>
      <c r="CB981" s="1"/>
      <c r="CC981" s="1"/>
    </row>
    <row r="982" spans="2:81" ht="10.5">
      <c r="B982" s="13" t="str">
        <f t="shared" si="3829"/>
        <v>Windows and devices</v>
      </c>
      <c r="C982" s="3"/>
      <c r="D982" s="3"/>
      <c r="E982" s="3"/>
      <c r="F982" s="3"/>
      <c r="G982" s="3"/>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f t="shared" si="3830"/>
        <v>7.6791054019144683E-2</v>
      </c>
      <c r="AK982" s="21"/>
      <c r="AL982" s="21"/>
      <c r="AM982" s="21"/>
      <c r="AN982" s="21">
        <f t="shared" si="3831"/>
        <v>6.6005946481665009E-2</v>
      </c>
      <c r="BI982" s="21"/>
      <c r="BJ982" s="21"/>
      <c r="BK982" s="21"/>
      <c r="BL982" s="21"/>
      <c r="BM982" s="21"/>
      <c r="BN982" s="21"/>
      <c r="BO982" s="21"/>
      <c r="BT982" s="1"/>
      <c r="BU982" s="1"/>
      <c r="BV982" s="1"/>
      <c r="BW982" s="1"/>
      <c r="BX982" s="1"/>
      <c r="BY982" s="1"/>
      <c r="BZ982" s="1"/>
      <c r="CA982" s="1"/>
      <c r="CB982" s="1"/>
      <c r="CC982" s="1"/>
    </row>
    <row r="983" spans="2:81" ht="10.5">
      <c r="B983" s="13" t="str">
        <f t="shared" si="3829"/>
        <v>LinkedIn</v>
      </c>
      <c r="C983" s="3"/>
      <c r="D983" s="3"/>
      <c r="E983" s="3"/>
      <c r="F983" s="3"/>
      <c r="G983" s="3"/>
      <c r="H983" s="21"/>
      <c r="I983" s="21"/>
      <c r="J983" s="21"/>
      <c r="K983" s="21"/>
      <c r="L983" s="21"/>
      <c r="M983" s="21"/>
      <c r="N983" s="21"/>
      <c r="O983" s="21"/>
      <c r="P983" s="21"/>
      <c r="Q983" s="21"/>
      <c r="R983" s="21"/>
      <c r="S983" s="21"/>
      <c r="T983" s="21">
        <f t="shared" ref="T983:AH983" si="3836">+T957/T$963</f>
        <v>5.775223112993496E-2</v>
      </c>
      <c r="U983" s="21">
        <f t="shared" si="3836"/>
        <v>5.6955508589389262E-2</v>
      </c>
      <c r="V983" s="21">
        <f t="shared" si="3836"/>
        <v>5.8536306787356156E-2</v>
      </c>
      <c r="W983" s="21">
        <f t="shared" si="3836"/>
        <v>5.3006599531985381E-2</v>
      </c>
      <c r="X983" s="21">
        <f t="shared" si="3836"/>
        <v>5.9374495343704578E-2</v>
      </c>
      <c r="Y983" s="21">
        <f t="shared" si="3836"/>
        <v>5.9824496239205126E-2</v>
      </c>
      <c r="Z983" s="21">
        <f t="shared" si="3836"/>
        <v>6.1430010070493452E-2</v>
      </c>
      <c r="AA983" s="21">
        <f t="shared" si="3836"/>
        <v>6.3789218235396086E-2</v>
      </c>
      <c r="AB983" s="21">
        <f t="shared" si="3836"/>
        <v>6.9201403446830109E-2</v>
      </c>
      <c r="AC983" s="21">
        <f t="shared" si="3836"/>
        <v>6.826090318589545E-2</v>
      </c>
      <c r="AD983" s="21">
        <f t="shared" si="3836"/>
        <v>6.9631280388978936E-2</v>
      </c>
      <c r="AE983" s="21">
        <f t="shared" si="3836"/>
        <v>7.1570423214113568E-2</v>
      </c>
      <c r="AF983" s="21">
        <f t="shared" si="3836"/>
        <v>7.3081680699094209E-2</v>
      </c>
      <c r="AG983" s="21">
        <f t="shared" si="3836"/>
        <v>7.3482852105333007E-2</v>
      </c>
      <c r="AH983" s="21">
        <f t="shared" si="3836"/>
        <v>6.9943432279546705E-2</v>
      </c>
      <c r="AI983" s="21">
        <f t="shared" ref="AI983" si="3837">+AI957/AI$963</f>
        <v>6.9568776806848309E-2</v>
      </c>
      <c r="AJ983" s="21">
        <f t="shared" si="3830"/>
        <v>6.9235805155970775E-2</v>
      </c>
      <c r="AK983" s="21">
        <f t="shared" si="3830"/>
        <v>6.7639471138342469E-2</v>
      </c>
      <c r="AL983" s="21">
        <f t="shared" si="3830"/>
        <v>6.487438973132012E-2</v>
      </c>
      <c r="AM983" s="21">
        <f t="shared" si="3831"/>
        <v>6.5675838521791527E-2</v>
      </c>
      <c r="AN983" s="21">
        <f t="shared" si="3831"/>
        <v>6.544179309293284E-2</v>
      </c>
      <c r="BI983" s="21">
        <f t="shared" ref="BI983:BN983" si="3838">+BI957/BI$963</f>
        <v>4.7653135193910838E-2</v>
      </c>
      <c r="BJ983" s="21">
        <f t="shared" si="3838"/>
        <v>5.3670049188274276E-2</v>
      </c>
      <c r="BK983" s="21">
        <f t="shared" si="3838"/>
        <v>5.647659336433241E-2</v>
      </c>
      <c r="BL983" s="21">
        <f t="shared" si="3838"/>
        <v>6.1211984198753032E-2</v>
      </c>
      <c r="BM983" s="21">
        <f t="shared" si="3838"/>
        <v>6.9682755837998683E-2</v>
      </c>
      <c r="BN983" s="21">
        <f t="shared" si="3838"/>
        <v>7.1467333600736149E-2</v>
      </c>
      <c r="BO983" s="21">
        <f t="shared" ref="BO983" si="3839">+BO957/BO$963</f>
        <v>6.6791230489307366E-2</v>
      </c>
      <c r="BT983" s="1"/>
      <c r="BU983" s="1"/>
      <c r="BV983" s="1"/>
      <c r="BW983" s="1"/>
      <c r="BX983" s="1"/>
      <c r="BY983" s="1"/>
      <c r="BZ983" s="1"/>
      <c r="CA983" s="1"/>
      <c r="CB983" s="1"/>
      <c r="CC983" s="1"/>
    </row>
    <row r="984" spans="2:81" ht="10.5">
      <c r="B984" s="13" t="str">
        <f t="shared" si="3829"/>
        <v>Search and news advertising</v>
      </c>
      <c r="C984" s="3"/>
      <c r="D984" s="3"/>
      <c r="E984" s="3"/>
      <c r="F984" s="3"/>
      <c r="G984" s="3"/>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f t="shared" si="3830"/>
        <v>5.3399861988428263E-2</v>
      </c>
      <c r="AK984" s="21"/>
      <c r="AL984" s="21"/>
      <c r="AM984" s="21"/>
      <c r="AN984" s="21">
        <f t="shared" si="3831"/>
        <v>4.9172829153007545E-2</v>
      </c>
      <c r="BI984" s="21"/>
      <c r="BJ984" s="21"/>
      <c r="BK984" s="21"/>
      <c r="BL984" s="21"/>
      <c r="BM984" s="21"/>
      <c r="BN984" s="21"/>
      <c r="BO984" s="21"/>
      <c r="BT984" s="1"/>
      <c r="BU984" s="1"/>
      <c r="BV984" s="1"/>
      <c r="BW984" s="1"/>
      <c r="BX984" s="1"/>
      <c r="BY984" s="1"/>
      <c r="BZ984" s="1"/>
      <c r="CA984" s="1"/>
      <c r="CB984" s="1"/>
      <c r="CC984" s="1"/>
    </row>
    <row r="985" spans="2:81" ht="10.5">
      <c r="B985" s="13" t="str">
        <f t="shared" si="3829"/>
        <v>Enterprise and partner services</v>
      </c>
      <c r="C985" s="3"/>
      <c r="D985" s="3"/>
      <c r="E985" s="3"/>
      <c r="F985" s="3"/>
      <c r="G985" s="3"/>
      <c r="H985" s="21"/>
      <c r="I985" s="21"/>
      <c r="J985" s="21"/>
      <c r="K985" s="21"/>
      <c r="L985" s="21"/>
      <c r="M985" s="21"/>
      <c r="N985" s="21"/>
      <c r="O985" s="21"/>
      <c r="P985" s="21"/>
      <c r="Q985" s="21"/>
      <c r="R985" s="21"/>
      <c r="S985" s="21"/>
      <c r="T985" s="21">
        <f t="shared" ref="T985:AH985" si="3840">+T959/T$963</f>
        <v>4.6740281349266374E-2</v>
      </c>
      <c r="U985" s="21">
        <f t="shared" si="3840"/>
        <v>4.3678534655611556E-2</v>
      </c>
      <c r="V985" s="21">
        <f t="shared" si="3840"/>
        <v>4.6629165357928097E-2</v>
      </c>
      <c r="W985" s="21">
        <f t="shared" si="3840"/>
        <v>4.2568295953514051E-2</v>
      </c>
      <c r="X985" s="21">
        <f t="shared" si="3840"/>
        <v>4.4059858965387305E-2</v>
      </c>
      <c r="Y985" s="21">
        <f t="shared" si="3840"/>
        <v>3.9349057479803141E-2</v>
      </c>
      <c r="Z985" s="21">
        <f t="shared" si="3840"/>
        <v>4.3231189756869515E-2</v>
      </c>
      <c r="AA985" s="21">
        <f t="shared" si="3840"/>
        <v>3.9174900329346507E-2</v>
      </c>
      <c r="AB985" s="21">
        <f t="shared" si="3840"/>
        <v>3.9521592338416046E-2</v>
      </c>
      <c r="AC985" s="21">
        <f t="shared" si="3840"/>
        <v>3.5242035261367148E-2</v>
      </c>
      <c r="AD985" s="21">
        <f t="shared" si="3840"/>
        <v>3.8310372771474879E-2</v>
      </c>
      <c r="AE985" s="21">
        <f t="shared" si="3840"/>
        <v>3.6672129567145474E-2</v>
      </c>
      <c r="AF985" s="21">
        <f t="shared" si="3840"/>
        <v>3.7428674035353736E-2</v>
      </c>
      <c r="AG985" s="21">
        <f t="shared" si="3840"/>
        <v>3.5300585815307033E-2</v>
      </c>
      <c r="AH985" s="21">
        <f t="shared" si="3840"/>
        <v>3.7970372892899708E-2</v>
      </c>
      <c r="AI985" s="21">
        <f t="shared" ref="AI985" si="3841">+AI959/AI$963</f>
        <v>3.5184822652120522E-2</v>
      </c>
      <c r="AJ985" s="21">
        <f t="shared" si="3830"/>
        <v>3.4396730187377246E-2</v>
      </c>
      <c r="AK985" s="21">
        <f t="shared" si="3830"/>
        <v>3.090938406965495E-2</v>
      </c>
      <c r="AL985" s="21">
        <f t="shared" si="3830"/>
        <v>3.0085033463739533E-2</v>
      </c>
      <c r="AM985" s="21">
        <f t="shared" si="3831"/>
        <v>2.8921470174733881E-2</v>
      </c>
      <c r="AN985" s="21">
        <f t="shared" si="3831"/>
        <v>2.9396965769611955E-2</v>
      </c>
      <c r="BI985" s="21">
        <f t="shared" ref="BI985:BN985" si="3842">+BI959/BI$963</f>
        <v>5.2972091337441102E-2</v>
      </c>
      <c r="BJ985" s="21">
        <f t="shared" si="3842"/>
        <v>4.8663811256883578E-2</v>
      </c>
      <c r="BK985" s="21">
        <f t="shared" si="3842"/>
        <v>4.4813481103380765E-2</v>
      </c>
      <c r="BL985" s="21">
        <f t="shared" si="3842"/>
        <v>4.1305744609966208E-2</v>
      </c>
      <c r="BM985" s="21">
        <f t="shared" si="3842"/>
        <v>3.7358147980027234E-2</v>
      </c>
      <c r="BN985" s="21">
        <f t="shared" si="3842"/>
        <v>3.64391383337659E-2</v>
      </c>
      <c r="BO985" s="21">
        <f t="shared" ref="BO985" si="3843">+BO959/BO$963</f>
        <v>3.0980491347165903E-2</v>
      </c>
      <c r="BT985" s="1"/>
      <c r="BU985" s="1"/>
      <c r="BV985" s="1"/>
      <c r="BW985" s="1"/>
      <c r="BX985" s="1"/>
      <c r="BY985" s="1"/>
      <c r="BZ985" s="1"/>
      <c r="CA985" s="1"/>
      <c r="CB985" s="1"/>
      <c r="CC985" s="1"/>
    </row>
    <row r="986" spans="2:81" ht="10.5">
      <c r="B986" s="13" t="str">
        <f t="shared" si="3829"/>
        <v>Dynamics products and cloud services</v>
      </c>
      <c r="C986" s="3"/>
      <c r="D986" s="3"/>
      <c r="E986" s="3"/>
      <c r="F986" s="3"/>
      <c r="G986" s="3"/>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f t="shared" si="3830"/>
        <v>2.8770104570306279E-2</v>
      </c>
      <c r="AK986" s="21"/>
      <c r="AL986" s="21"/>
      <c r="AM986" s="21"/>
      <c r="AN986" s="21">
        <f t="shared" si="3831"/>
        <v>2.8192422047724326E-2</v>
      </c>
      <c r="BI986" s="21"/>
      <c r="BJ986" s="21"/>
      <c r="BK986" s="21"/>
      <c r="BL986" s="21"/>
      <c r="BM986" s="21"/>
      <c r="BN986" s="21"/>
      <c r="BO986" s="21"/>
      <c r="BT986" s="1"/>
      <c r="BU986" s="1"/>
      <c r="BV986" s="1"/>
      <c r="BW986" s="1"/>
      <c r="BX986" s="1"/>
      <c r="BY986" s="1"/>
      <c r="BZ986" s="1"/>
      <c r="CA986" s="1"/>
      <c r="CB986" s="1"/>
      <c r="CC986" s="1"/>
    </row>
    <row r="987" spans="2:81" ht="10.5">
      <c r="B987" s="13" t="str">
        <f t="shared" si="3829"/>
        <v>Microsoft 365 consumer products and cloud services</v>
      </c>
      <c r="C987" s="3"/>
      <c r="D987" s="3"/>
      <c r="E987" s="3"/>
      <c r="F987" s="3"/>
      <c r="G987" s="3"/>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f t="shared" si="3830"/>
        <v>2.9070899021533345E-2</v>
      </c>
      <c r="AK987" s="21"/>
      <c r="AL987" s="21"/>
      <c r="AM987" s="21"/>
      <c r="AN987" s="21">
        <f t="shared" si="3831"/>
        <v>2.6332240603796599E-2</v>
      </c>
      <c r="BI987" s="21"/>
      <c r="BJ987" s="21"/>
      <c r="BK987" s="21"/>
      <c r="BL987" s="21"/>
      <c r="BM987" s="21"/>
      <c r="BN987" s="21"/>
      <c r="BO987" s="21"/>
      <c r="BT987" s="1"/>
      <c r="BU987" s="1"/>
      <c r="BV987" s="1"/>
      <c r="BW987" s="1"/>
      <c r="BX987" s="1"/>
      <c r="BY987" s="1"/>
      <c r="BZ987" s="1"/>
      <c r="CA987" s="1"/>
      <c r="CB987" s="1"/>
      <c r="CC987" s="1"/>
    </row>
    <row r="988" spans="2:81" ht="11.45">
      <c r="B988" s="13" t="str">
        <f t="shared" si="3829"/>
        <v>Others</v>
      </c>
      <c r="C988" s="1250"/>
      <c r="D988" s="1250"/>
      <c r="E988" s="1250"/>
      <c r="F988" s="1250"/>
      <c r="G988" s="1250"/>
      <c r="H988" s="1250"/>
      <c r="I988" s="1250"/>
      <c r="J988" s="1250"/>
      <c r="K988" s="1250"/>
      <c r="L988" s="1083"/>
      <c r="M988" s="1083"/>
      <c r="N988" s="1083"/>
      <c r="O988" s="1083"/>
      <c r="P988" s="1083"/>
      <c r="Q988" s="1083"/>
      <c r="R988" s="1083"/>
      <c r="S988" s="1083"/>
      <c r="T988" s="1083"/>
      <c r="U988" s="1083"/>
      <c r="V988" s="1083"/>
      <c r="W988" s="1083"/>
      <c r="X988" s="1083"/>
      <c r="Y988" s="1083"/>
      <c r="Z988" s="1083"/>
      <c r="AA988" s="1083"/>
      <c r="AB988" s="1083"/>
      <c r="AC988" s="1083"/>
      <c r="AD988" s="1083"/>
      <c r="AE988" s="1083"/>
      <c r="AF988" s="1083"/>
      <c r="AG988" s="1083"/>
      <c r="AH988" s="1083"/>
      <c r="AI988" s="1083"/>
      <c r="AJ988" s="1083">
        <f t="shared" si="3830"/>
        <v>1.4155032998920678E-4</v>
      </c>
      <c r="AK988" s="1083"/>
      <c r="AL988" s="1083"/>
      <c r="AM988" s="1083"/>
      <c r="AN988" s="1083">
        <f t="shared" si="3831"/>
        <v>1.5247388884653503E-4</v>
      </c>
      <c r="BI988" s="1083"/>
      <c r="BJ988" s="1083"/>
      <c r="BK988" s="1083"/>
      <c r="BL988" s="1083"/>
      <c r="BM988" s="1083"/>
      <c r="BN988" s="1083"/>
      <c r="BO988" s="1083"/>
      <c r="BT988" s="1"/>
      <c r="BU988" s="1"/>
      <c r="BV988" s="1"/>
      <c r="BW988" s="1"/>
      <c r="BX988" s="1"/>
      <c r="BY988" s="1"/>
      <c r="BZ988" s="1"/>
      <c r="CA988" s="1"/>
      <c r="CB988" s="1"/>
      <c r="CC988" s="1"/>
    </row>
    <row r="989" spans="2:81" ht="10.5">
      <c r="B989" s="841" t="str">
        <f>+B976</f>
        <v>Total revenue</v>
      </c>
      <c r="C989" s="1253"/>
      <c r="D989" s="1253"/>
      <c r="E989" s="1253"/>
      <c r="F989" s="1253"/>
      <c r="G989" s="1253"/>
      <c r="H989" s="1253"/>
      <c r="I989" s="1253"/>
      <c r="J989" s="1253"/>
      <c r="K989" s="1253"/>
      <c r="L989" s="1060"/>
      <c r="M989" s="1060"/>
      <c r="N989" s="1060"/>
      <c r="O989" s="1060"/>
      <c r="P989" s="1060"/>
      <c r="Q989" s="1060"/>
      <c r="R989" s="1060"/>
      <c r="S989" s="1060"/>
      <c r="T989" s="1060">
        <f t="shared" ref="T989:AH989" si="3844">+T963/T$963</f>
        <v>1</v>
      </c>
      <c r="U989" s="1060">
        <f t="shared" si="3844"/>
        <v>1</v>
      </c>
      <c r="V989" s="1060">
        <f t="shared" si="3844"/>
        <v>1</v>
      </c>
      <c r="W989" s="1060">
        <f t="shared" si="3844"/>
        <v>1</v>
      </c>
      <c r="X989" s="1060">
        <f t="shared" si="3844"/>
        <v>1</v>
      </c>
      <c r="Y989" s="1060">
        <f t="shared" si="3844"/>
        <v>1</v>
      </c>
      <c r="Z989" s="1060">
        <f t="shared" si="3844"/>
        <v>1</v>
      </c>
      <c r="AA989" s="1060">
        <f t="shared" si="3844"/>
        <v>1</v>
      </c>
      <c r="AB989" s="1060">
        <f t="shared" si="3844"/>
        <v>1</v>
      </c>
      <c r="AC989" s="1060">
        <f t="shared" si="3844"/>
        <v>1</v>
      </c>
      <c r="AD989" s="1060">
        <f t="shared" si="3844"/>
        <v>1</v>
      </c>
      <c r="AE989" s="1060">
        <f t="shared" si="3844"/>
        <v>1</v>
      </c>
      <c r="AF989" s="1060">
        <f t="shared" si="3844"/>
        <v>1</v>
      </c>
      <c r="AG989" s="1060">
        <f t="shared" si="3844"/>
        <v>1</v>
      </c>
      <c r="AH989" s="1060">
        <f t="shared" si="3844"/>
        <v>1</v>
      </c>
      <c r="AI989" s="1060">
        <f t="shared" ref="AI989" si="3845">+AI963/AI$963</f>
        <v>1</v>
      </c>
      <c r="AJ989" s="1060">
        <f t="shared" si="3830"/>
        <v>1</v>
      </c>
      <c r="AK989" s="1060">
        <f t="shared" si="3830"/>
        <v>1</v>
      </c>
      <c r="AL989" s="1060">
        <f t="shared" si="3830"/>
        <v>1</v>
      </c>
      <c r="AM989" s="1060">
        <f t="shared" si="3831"/>
        <v>1</v>
      </c>
      <c r="AN989" s="1060">
        <f t="shared" si="3831"/>
        <v>1</v>
      </c>
      <c r="BI989" s="1060">
        <f t="shared" ref="BI989:BN989" si="3846">+BI963/BI$963</f>
        <v>1</v>
      </c>
      <c r="BJ989" s="1060">
        <f t="shared" si="3846"/>
        <v>1</v>
      </c>
      <c r="BK989" s="1060">
        <f t="shared" si="3846"/>
        <v>1</v>
      </c>
      <c r="BL989" s="1060">
        <f t="shared" si="3846"/>
        <v>1</v>
      </c>
      <c r="BM989" s="1060">
        <f t="shared" si="3846"/>
        <v>1</v>
      </c>
      <c r="BN989" s="1060">
        <f t="shared" si="3846"/>
        <v>1</v>
      </c>
      <c r="BO989" s="1060">
        <f t="shared" ref="BO989" si="3847">+BO963/BO$963</f>
        <v>1</v>
      </c>
      <c r="BT989" s="1"/>
      <c r="BU989" s="1"/>
      <c r="BV989" s="1"/>
      <c r="BW989" s="1"/>
      <c r="BX989" s="1"/>
      <c r="BY989" s="1"/>
      <c r="BZ989" s="1"/>
      <c r="CA989" s="1"/>
      <c r="CB989" s="1"/>
      <c r="CC989" s="1"/>
    </row>
    <row r="990" spans="2:81" ht="10.5">
      <c r="BT990" s="1"/>
      <c r="BU990" s="1"/>
      <c r="BV990" s="1"/>
      <c r="BW990" s="1"/>
      <c r="BX990" s="1"/>
      <c r="BY990" s="1"/>
      <c r="BZ990" s="1"/>
      <c r="CA990" s="1"/>
      <c r="CB990" s="1"/>
      <c r="CC990" s="1"/>
    </row>
    <row r="991" spans="2:81" ht="10.5">
      <c r="AN991" s="3"/>
      <c r="BT991" s="1"/>
      <c r="BU991" s="1"/>
      <c r="BV991" s="1"/>
      <c r="BW991" s="1"/>
      <c r="BX991" s="1"/>
      <c r="BY991" s="1"/>
      <c r="BZ991" s="1"/>
      <c r="CA991" s="1"/>
      <c r="CB991" s="1"/>
      <c r="CC991" s="1"/>
    </row>
    <row r="992" spans="2:81" ht="10.5" hidden="1" outlineLevel="1">
      <c r="B992" s="5" t="s">
        <v>524</v>
      </c>
      <c r="C992" s="4"/>
      <c r="BT992" s="1"/>
      <c r="BU992" s="1"/>
      <c r="BV992" s="1"/>
      <c r="BW992" s="1"/>
      <c r="BX992" s="1"/>
      <c r="BY992" s="1"/>
      <c r="BZ992" s="1"/>
      <c r="CA992" s="1"/>
      <c r="CB992" s="1"/>
      <c r="CC992" s="1"/>
    </row>
    <row r="993" spans="2:81" ht="10.5" hidden="1" outlineLevel="1">
      <c r="B993" s="910"/>
      <c r="BT993" s="7"/>
      <c r="BU993" s="7"/>
      <c r="BV993" s="7"/>
      <c r="BW993" s="7"/>
      <c r="BX993" s="7"/>
      <c r="BY993" s="7"/>
      <c r="BZ993" s="7"/>
      <c r="CA993" s="7"/>
      <c r="CB993" s="7"/>
      <c r="CC993" s="7"/>
    </row>
    <row r="994" spans="2:81" ht="10.5" hidden="1" outlineLevel="1">
      <c r="B994" s="910" t="s">
        <v>86</v>
      </c>
      <c r="W994" s="919"/>
      <c r="AK994" s="911"/>
      <c r="BT994" s="7"/>
      <c r="BU994" s="7"/>
      <c r="BV994" s="7"/>
      <c r="BW994" s="7"/>
      <c r="BX994" s="7"/>
      <c r="BY994" s="7"/>
      <c r="BZ994" s="7"/>
      <c r="CA994" s="7"/>
      <c r="CB994" s="7"/>
      <c r="CC994" s="7"/>
    </row>
    <row r="995" spans="2:81" hidden="1" outlineLevel="1">
      <c r="B995" t="s">
        <v>525</v>
      </c>
      <c r="H995" s="879">
        <v>5982</v>
      </c>
      <c r="I995" s="879">
        <v>6439</v>
      </c>
      <c r="J995" s="879">
        <v>6234</v>
      </c>
      <c r="K995" s="8">
        <f t="shared" ref="K995:K1003" si="3848">+BH995-SUM(H995:J995)</f>
        <v>6918</v>
      </c>
      <c r="L995" s="879">
        <v>6575</v>
      </c>
      <c r="M995" s="879">
        <v>7075</v>
      </c>
      <c r="N995" s="879">
        <v>7088</v>
      </c>
      <c r="O995" s="8">
        <f t="shared" ref="O995:O1003" si="3849">+BI995-SUM(L995:N995)</f>
        <v>7578</v>
      </c>
      <c r="P995" s="879">
        <v>7622</v>
      </c>
      <c r="Q995" s="879">
        <v>7747</v>
      </c>
      <c r="R995" s="879">
        <v>7889</v>
      </c>
      <c r="S995" s="8">
        <f t="shared" ref="S995:S1003" si="3850">+BJ995-SUM(P995:R995)</f>
        <v>8511</v>
      </c>
      <c r="T995" s="879">
        <v>8466</v>
      </c>
      <c r="U995" s="879">
        <v>8983</v>
      </c>
      <c r="V995" s="879">
        <v>8920</v>
      </c>
      <c r="W995" s="880">
        <f t="shared" ref="W995:W1003" si="3851">+BK995-SUM(T995:V995)</f>
        <v>8947</v>
      </c>
      <c r="X995" s="879">
        <v>9278</v>
      </c>
      <c r="Y995" s="879">
        <v>9881</v>
      </c>
      <c r="Z995" s="879">
        <v>10016</v>
      </c>
      <c r="AA995" s="880">
        <f>+BL995-SUM(X995:Z995)</f>
        <v>10697</v>
      </c>
      <c r="AB995" s="879">
        <f>22059-AC995</f>
        <v>10808</v>
      </c>
      <c r="AC995" s="879">
        <v>11251</v>
      </c>
      <c r="AD995" s="879">
        <v>11164</v>
      </c>
      <c r="AE995" s="880">
        <f>BM995-SUM(AB995:AD995)</f>
        <v>11639</v>
      </c>
      <c r="AF995" s="879">
        <v>11548</v>
      </c>
      <c r="AG995" s="879">
        <v>11837</v>
      </c>
      <c r="AH995" s="879">
        <v>12438</v>
      </c>
      <c r="AI995" s="880">
        <f>+BN995-SUM(AF995:AH995)</f>
        <v>12905</v>
      </c>
      <c r="AJ995" s="879">
        <v>13140</v>
      </c>
      <c r="AK995" s="879">
        <v>13477</v>
      </c>
      <c r="AL995" s="879">
        <v>13911</v>
      </c>
      <c r="AM995" s="8">
        <f>+BO995-SUM(AJ995:AL995)</f>
        <v>14347</v>
      </c>
      <c r="AV995" s="879">
        <v>18083</v>
      </c>
      <c r="AW995" s="879">
        <v>17998</v>
      </c>
      <c r="AX995" s="879">
        <v>17754</v>
      </c>
      <c r="AY995" s="879">
        <v>20730</v>
      </c>
      <c r="AZ995" s="879">
        <v>22299</v>
      </c>
      <c r="BA995" s="879">
        <v>22995</v>
      </c>
      <c r="BB995" s="879">
        <v>24323</v>
      </c>
      <c r="BC995" s="879">
        <v>23538</v>
      </c>
      <c r="BD995" s="879">
        <v>23588</v>
      </c>
      <c r="BE995" s="879">
        <v>25389</v>
      </c>
      <c r="BF995" s="879"/>
      <c r="BG995" s="879">
        <v>23868</v>
      </c>
      <c r="BH995" s="879">
        <v>25573</v>
      </c>
      <c r="BI995" s="879">
        <v>28316</v>
      </c>
      <c r="BJ995" s="879">
        <v>31769</v>
      </c>
      <c r="BK995" s="879">
        <v>35316</v>
      </c>
      <c r="BL995" s="879">
        <v>39872</v>
      </c>
      <c r="BM995" s="879">
        <v>44862</v>
      </c>
      <c r="BN995" s="879">
        <v>48728</v>
      </c>
      <c r="BO995" s="879">
        <v>54875</v>
      </c>
      <c r="BP995" s="879"/>
      <c r="BT995" s="7"/>
      <c r="BU995" s="7"/>
      <c r="BV995" s="7"/>
      <c r="BW995" s="7"/>
      <c r="BX995" s="7"/>
      <c r="BY995" s="7"/>
      <c r="BZ995" s="7"/>
      <c r="CA995" s="7"/>
      <c r="CB995" s="7"/>
      <c r="CC995" s="7"/>
    </row>
    <row r="996" spans="2:81" hidden="1" outlineLevel="1">
      <c r="B996" t="s">
        <v>515</v>
      </c>
      <c r="H996" s="879">
        <v>4689</v>
      </c>
      <c r="I996" s="879">
        <v>5332</v>
      </c>
      <c r="J996" s="879">
        <v>5297</v>
      </c>
      <c r="K996" s="8">
        <f t="shared" si="3848"/>
        <v>6331</v>
      </c>
      <c r="L996" s="879">
        <v>5496</v>
      </c>
      <c r="M996" s="879">
        <v>6299</v>
      </c>
      <c r="N996" s="879">
        <v>6343</v>
      </c>
      <c r="O996" s="8">
        <f t="shared" si="3849"/>
        <v>7991</v>
      </c>
      <c r="P996" s="879">
        <v>7058</v>
      </c>
      <c r="Q996" s="879">
        <v>7791</v>
      </c>
      <c r="R996" s="879">
        <v>8053</v>
      </c>
      <c r="S996" s="8">
        <f t="shared" si="3850"/>
        <v>9720</v>
      </c>
      <c r="T996" s="879">
        <v>9192</v>
      </c>
      <c r="U996" s="879">
        <v>10119</v>
      </c>
      <c r="V996" s="879">
        <v>10490</v>
      </c>
      <c r="W996" s="880">
        <f t="shared" si="3851"/>
        <v>11578</v>
      </c>
      <c r="X996" s="879">
        <v>11195</v>
      </c>
      <c r="Y996" s="879">
        <v>12729</v>
      </c>
      <c r="Z996" s="879">
        <v>13204</v>
      </c>
      <c r="AA996" s="880">
        <f t="shared" ref="AA996:AA1003" si="3852">+BL996-SUM(X996:Z996)</f>
        <v>15461</v>
      </c>
      <c r="AB996" s="879">
        <f>31444-AC996</f>
        <v>15069</v>
      </c>
      <c r="AC996" s="879">
        <v>16375</v>
      </c>
      <c r="AD996" s="879">
        <v>17038</v>
      </c>
      <c r="AE996" s="880">
        <f t="shared" ref="AE996:AE1003" si="3853">BM996-SUM(AB996:AD996)</f>
        <v>18839</v>
      </c>
      <c r="AF996" s="879">
        <v>18388</v>
      </c>
      <c r="AG996" s="879">
        <v>19594</v>
      </c>
      <c r="AH996" s="879">
        <v>20025</v>
      </c>
      <c r="AI996" s="880">
        <f t="shared" ref="AI996:AI1004" si="3854">+BN996-SUM(AF996:AH996)</f>
        <v>21963</v>
      </c>
      <c r="AJ996" s="879">
        <v>22308</v>
      </c>
      <c r="AK996" s="879">
        <v>23953</v>
      </c>
      <c r="AL996" s="879">
        <v>24832</v>
      </c>
      <c r="AM996" s="8">
        <f t="shared" ref="AM996:AM1004" si="3855">+BO996-SUM(AJ996:AL996)</f>
        <v>26633</v>
      </c>
      <c r="AV996" s="879">
        <v>10611</v>
      </c>
      <c r="AW996" s="879">
        <v>11344</v>
      </c>
      <c r="AX996" s="879">
        <v>12007</v>
      </c>
      <c r="AY996" s="879">
        <v>13251</v>
      </c>
      <c r="AZ996" s="879">
        <v>14232</v>
      </c>
      <c r="BA996" s="879">
        <v>15408</v>
      </c>
      <c r="BB996" s="879">
        <v>17055</v>
      </c>
      <c r="BC996" s="879">
        <v>18612</v>
      </c>
      <c r="BD996" s="879">
        <v>19177</v>
      </c>
      <c r="BE996" s="879">
        <v>21758</v>
      </c>
      <c r="BF996" s="879"/>
      <c r="BG996" s="879">
        <v>19062</v>
      </c>
      <c r="BH996" s="879">
        <v>21649</v>
      </c>
      <c r="BI996" s="879">
        <v>26129</v>
      </c>
      <c r="BJ996" s="879">
        <v>32622</v>
      </c>
      <c r="BK996" s="879">
        <v>41379</v>
      </c>
      <c r="BL996" s="879">
        <v>52589</v>
      </c>
      <c r="BM996" s="879">
        <v>67321</v>
      </c>
      <c r="BN996" s="879">
        <v>79970</v>
      </c>
      <c r="BO996" s="879">
        <v>97726</v>
      </c>
      <c r="BP996" s="879"/>
      <c r="BT996" s="7"/>
      <c r="BU996" s="7"/>
      <c r="BV996" s="7"/>
      <c r="BW996" s="7"/>
      <c r="BX996" s="7"/>
      <c r="BY996" s="7"/>
      <c r="BZ996" s="7"/>
      <c r="CA996" s="7"/>
      <c r="CB996" s="7"/>
      <c r="CC996" s="7"/>
    </row>
    <row r="997" spans="2:81" ht="10.5" hidden="1" outlineLevel="1">
      <c r="B997" t="s">
        <v>494</v>
      </c>
      <c r="H997" s="879">
        <v>1885</v>
      </c>
      <c r="I997" s="879">
        <v>3617</v>
      </c>
      <c r="J997" s="879">
        <v>1906</v>
      </c>
      <c r="K997" s="8">
        <f t="shared" si="3848"/>
        <v>1643</v>
      </c>
      <c r="L997" s="879">
        <v>1896</v>
      </c>
      <c r="M997" s="879">
        <v>3920</v>
      </c>
      <c r="N997" s="879">
        <v>2251</v>
      </c>
      <c r="O997" s="8">
        <f t="shared" si="3849"/>
        <v>2286</v>
      </c>
      <c r="P997" s="879">
        <v>2738</v>
      </c>
      <c r="Q997" s="879">
        <v>4232</v>
      </c>
      <c r="R997" s="879">
        <v>2363</v>
      </c>
      <c r="S997" s="8">
        <f t="shared" si="3850"/>
        <v>2053</v>
      </c>
      <c r="T997" s="879">
        <v>2542</v>
      </c>
      <c r="U997" s="879">
        <v>3327</v>
      </c>
      <c r="V997" s="879">
        <v>2349</v>
      </c>
      <c r="W997" s="880">
        <f t="shared" si="3851"/>
        <v>3357</v>
      </c>
      <c r="X997" s="879">
        <v>3092</v>
      </c>
      <c r="Y997" s="879">
        <v>5031</v>
      </c>
      <c r="Z997" s="879">
        <v>3533</v>
      </c>
      <c r="AA997" s="880">
        <f t="shared" si="3852"/>
        <v>3714</v>
      </c>
      <c r="AB997" s="879">
        <f>9035-AC997</f>
        <v>3593</v>
      </c>
      <c r="AC997" s="879">
        <v>5442</v>
      </c>
      <c r="AD997" s="879">
        <v>3740</v>
      </c>
      <c r="AE997" s="880">
        <f t="shared" si="3853"/>
        <v>3455</v>
      </c>
      <c r="AF997" s="879">
        <v>3610</v>
      </c>
      <c r="AG997" s="879">
        <v>4758</v>
      </c>
      <c r="AH997" s="879">
        <v>3607</v>
      </c>
      <c r="AI997" s="880">
        <f t="shared" si="3854"/>
        <v>3491</v>
      </c>
      <c r="AJ997" s="879">
        <v>3919</v>
      </c>
      <c r="AK997" s="879">
        <v>7111</v>
      </c>
      <c r="AL997" s="879">
        <v>5451</v>
      </c>
      <c r="AM997" s="8">
        <f t="shared" si="3855"/>
        <v>5022</v>
      </c>
      <c r="AN997" s="33"/>
      <c r="AV997" s="879">
        <v>5598</v>
      </c>
      <c r="AW997" s="879">
        <v>5475</v>
      </c>
      <c r="AX997" s="879">
        <v>5456</v>
      </c>
      <c r="AY997" s="879">
        <v>8103</v>
      </c>
      <c r="AZ997" s="879">
        <v>8045</v>
      </c>
      <c r="BA997" s="879">
        <v>7100</v>
      </c>
      <c r="BB997" s="879">
        <v>8643</v>
      </c>
      <c r="BC997" s="879">
        <v>9121</v>
      </c>
      <c r="BD997" s="879">
        <v>9395</v>
      </c>
      <c r="BE997" s="879">
        <v>9256</v>
      </c>
      <c r="BF997" s="879"/>
      <c r="BG997" s="879">
        <v>9202</v>
      </c>
      <c r="BH997" s="879">
        <v>9051</v>
      </c>
      <c r="BI997" s="879">
        <v>10353</v>
      </c>
      <c r="BJ997" s="879">
        <v>11386</v>
      </c>
      <c r="BK997" s="879">
        <v>11575</v>
      </c>
      <c r="BL997" s="879">
        <v>15370</v>
      </c>
      <c r="BM997" s="879">
        <v>16230</v>
      </c>
      <c r="BN997" s="879">
        <v>15466</v>
      </c>
      <c r="BO997" s="879">
        <v>21503</v>
      </c>
      <c r="BP997" s="879"/>
      <c r="BT997" s="1"/>
      <c r="BU997" s="1"/>
      <c r="BV997" s="1"/>
      <c r="BW997" s="1"/>
      <c r="BX997" s="1"/>
      <c r="BY997" s="1"/>
      <c r="BZ997" s="1"/>
      <c r="CA997" s="1"/>
      <c r="CB997" s="1"/>
      <c r="CC997" s="1"/>
    </row>
    <row r="998" spans="2:81" hidden="1" outlineLevel="1">
      <c r="B998" t="s">
        <v>460</v>
      </c>
      <c r="H998" s="879">
        <v>4643</v>
      </c>
      <c r="I998" s="879">
        <v>4805</v>
      </c>
      <c r="J998" s="879">
        <v>4253</v>
      </c>
      <c r="K998" s="8">
        <f t="shared" si="3848"/>
        <v>4892</v>
      </c>
      <c r="L998" s="879">
        <v>4643</v>
      </c>
      <c r="M998" s="879">
        <v>4839</v>
      </c>
      <c r="N998" s="879">
        <v>4612</v>
      </c>
      <c r="O998" s="8">
        <f t="shared" si="3849"/>
        <v>5424</v>
      </c>
      <c r="P998" s="879">
        <v>4901</v>
      </c>
      <c r="Q998" s="879">
        <v>4758</v>
      </c>
      <c r="R998" s="879">
        <v>4944</v>
      </c>
      <c r="S998" s="8">
        <f t="shared" si="3850"/>
        <v>5792</v>
      </c>
      <c r="T998" s="879">
        <v>5353</v>
      </c>
      <c r="U998" s="879">
        <v>5593</v>
      </c>
      <c r="V998" s="879">
        <v>5220</v>
      </c>
      <c r="W998" s="880">
        <f t="shared" si="3851"/>
        <v>6128</v>
      </c>
      <c r="X998" s="879">
        <v>5305</v>
      </c>
      <c r="Y998" s="879">
        <v>5716</v>
      </c>
      <c r="Z998" s="879">
        <v>5646</v>
      </c>
      <c r="AA998" s="880">
        <f t="shared" si="3852"/>
        <v>6560</v>
      </c>
      <c r="AB998" s="879">
        <f>12276-AC998</f>
        <v>5676</v>
      </c>
      <c r="AC998" s="879">
        <v>6600</v>
      </c>
      <c r="AD998" s="879">
        <v>6077</v>
      </c>
      <c r="AE998" s="880">
        <f t="shared" si="3853"/>
        <v>6408</v>
      </c>
      <c r="AF998" s="879">
        <v>5313</v>
      </c>
      <c r="AG998" s="879">
        <v>4808</v>
      </c>
      <c r="AH998" s="879">
        <v>5328</v>
      </c>
      <c r="AI998" s="880">
        <f t="shared" si="3854"/>
        <v>6058</v>
      </c>
      <c r="AJ998" s="879">
        <v>5567</v>
      </c>
      <c r="AK998" s="879">
        <v>5262</v>
      </c>
      <c r="AL998" s="879">
        <v>5929</v>
      </c>
      <c r="AM998" s="8">
        <f t="shared" si="3855"/>
        <v>6486</v>
      </c>
      <c r="AV998" s="879">
        <v>16838</v>
      </c>
      <c r="AW998" s="879">
        <v>14653</v>
      </c>
      <c r="AX998" s="879">
        <v>18225</v>
      </c>
      <c r="AY998" s="879">
        <v>17825</v>
      </c>
      <c r="AZ998" s="879">
        <v>17320</v>
      </c>
      <c r="BA998" s="879">
        <v>17529</v>
      </c>
      <c r="BB998" s="879">
        <v>16856</v>
      </c>
      <c r="BC998" s="879">
        <v>14826</v>
      </c>
      <c r="BD998" s="879">
        <v>8104</v>
      </c>
      <c r="BE998" s="879">
        <v>8625</v>
      </c>
      <c r="BF998" s="879"/>
      <c r="BG998" s="879">
        <v>17548</v>
      </c>
      <c r="BH998" s="879">
        <v>18593</v>
      </c>
      <c r="BI998" s="879">
        <v>19518</v>
      </c>
      <c r="BJ998" s="879">
        <v>20395</v>
      </c>
      <c r="BK998" s="879">
        <v>22294</v>
      </c>
      <c r="BL998" s="879">
        <v>23227</v>
      </c>
      <c r="BM998" s="879">
        <v>24761</v>
      </c>
      <c r="BN998" s="879">
        <v>21507</v>
      </c>
      <c r="BO998" s="879">
        <v>23244</v>
      </c>
      <c r="BP998" s="879"/>
    </row>
    <row r="999" spans="2:81" hidden="1" outlineLevel="1">
      <c r="B999" t="s">
        <v>526</v>
      </c>
      <c r="H999" s="879">
        <v>1429</v>
      </c>
      <c r="I999" s="879">
        <v>1605</v>
      </c>
      <c r="J999" s="879">
        <v>1599</v>
      </c>
      <c r="K999" s="8">
        <f t="shared" si="3848"/>
        <v>1586</v>
      </c>
      <c r="L999" s="879">
        <v>1639</v>
      </c>
      <c r="M999" s="879">
        <v>1820</v>
      </c>
      <c r="N999" s="879">
        <v>1784</v>
      </c>
      <c r="O999" s="8">
        <f t="shared" si="3849"/>
        <v>1769</v>
      </c>
      <c r="P999" s="879">
        <v>1788</v>
      </c>
      <c r="Q999" s="879">
        <v>1976</v>
      </c>
      <c r="R999" s="879">
        <v>1911</v>
      </c>
      <c r="S999" s="8">
        <f t="shared" si="3850"/>
        <v>1953</v>
      </c>
      <c r="T999" s="879">
        <v>1991</v>
      </c>
      <c r="U999" s="879">
        <v>2163</v>
      </c>
      <c r="V999" s="879">
        <v>1986</v>
      </c>
      <c r="W999" s="880">
        <f t="shared" si="3851"/>
        <v>1600</v>
      </c>
      <c r="X999" s="879">
        <v>1789</v>
      </c>
      <c r="Y999" s="879">
        <v>2184</v>
      </c>
      <c r="Z999" s="879">
        <v>2218</v>
      </c>
      <c r="AA999" s="880">
        <f t="shared" si="3852"/>
        <v>2337</v>
      </c>
      <c r="AB999" s="879">
        <f>5720-AC999</f>
        <v>2656</v>
      </c>
      <c r="AC999" s="879">
        <v>3064</v>
      </c>
      <c r="AD999" s="879">
        <v>2945</v>
      </c>
      <c r="AE999" s="880">
        <f t="shared" si="3853"/>
        <v>2926</v>
      </c>
      <c r="AF999" s="879">
        <v>2928</v>
      </c>
      <c r="AG999" s="879">
        <v>3223</v>
      </c>
      <c r="AH999" s="879">
        <v>3045</v>
      </c>
      <c r="AI999" s="880">
        <f t="shared" si="3854"/>
        <v>3012</v>
      </c>
      <c r="AJ999" s="879">
        <v>3053</v>
      </c>
      <c r="AK999" s="879">
        <v>3220</v>
      </c>
      <c r="AL999" s="879">
        <v>3134</v>
      </c>
      <c r="AM999" s="8">
        <f t="shared" si="3855"/>
        <v>3169</v>
      </c>
      <c r="AV999" s="879">
        <v>2425</v>
      </c>
      <c r="AW999" s="879">
        <v>2345</v>
      </c>
      <c r="AX999" s="879">
        <v>2528</v>
      </c>
      <c r="AY999" s="879">
        <v>2913</v>
      </c>
      <c r="AZ999" s="879">
        <v>3181</v>
      </c>
      <c r="BA999" s="879">
        <v>3387</v>
      </c>
      <c r="BB999" s="879">
        <v>4016</v>
      </c>
      <c r="BC999" s="879">
        <v>4557</v>
      </c>
      <c r="BD999" s="879">
        <v>6098</v>
      </c>
      <c r="BE999" s="879">
        <v>6971</v>
      </c>
      <c r="BF999" s="879"/>
      <c r="BG999" s="879">
        <v>5428</v>
      </c>
      <c r="BH999" s="879">
        <v>6219</v>
      </c>
      <c r="BI999" s="879">
        <v>7012</v>
      </c>
      <c r="BJ999" s="879">
        <v>7628</v>
      </c>
      <c r="BK999" s="879">
        <v>7740</v>
      </c>
      <c r="BL999" s="879">
        <v>8528</v>
      </c>
      <c r="BM999" s="879">
        <v>11591</v>
      </c>
      <c r="BN999" s="879">
        <v>12208</v>
      </c>
      <c r="BO999" s="879">
        <v>12576</v>
      </c>
      <c r="BP999" s="879"/>
    </row>
    <row r="1000" spans="2:81" hidden="1" outlineLevel="1">
      <c r="B1000" t="s">
        <v>444</v>
      </c>
      <c r="H1000" s="879">
        <v>1355</v>
      </c>
      <c r="I1000" s="879">
        <v>1371</v>
      </c>
      <c r="J1000" s="879">
        <v>1383</v>
      </c>
      <c r="K1000" s="8">
        <f t="shared" si="3848"/>
        <v>1433</v>
      </c>
      <c r="L1000" s="879">
        <v>1371</v>
      </c>
      <c r="M1000" s="879">
        <v>1435</v>
      </c>
      <c r="N1000" s="879">
        <v>1489</v>
      </c>
      <c r="O1000" s="8">
        <f t="shared" si="3849"/>
        <v>1551</v>
      </c>
      <c r="P1000" s="879">
        <v>1450</v>
      </c>
      <c r="Q1000" s="879">
        <v>1521</v>
      </c>
      <c r="R1000" s="879">
        <v>1542</v>
      </c>
      <c r="S1000" s="8">
        <f t="shared" si="3850"/>
        <v>1611</v>
      </c>
      <c r="T1000" s="879">
        <v>1545</v>
      </c>
      <c r="U1000" s="879">
        <v>1612</v>
      </c>
      <c r="V1000" s="879">
        <v>1633</v>
      </c>
      <c r="W1000" s="880">
        <f t="shared" si="3851"/>
        <v>1619</v>
      </c>
      <c r="X1000" s="879">
        <v>1637</v>
      </c>
      <c r="Y1000" s="879">
        <v>1695</v>
      </c>
      <c r="Z1000" s="879">
        <v>1803</v>
      </c>
      <c r="AA1000" s="880">
        <f t="shared" si="3852"/>
        <v>1808</v>
      </c>
      <c r="AB1000" s="879">
        <f>3614-AC1000</f>
        <v>1791</v>
      </c>
      <c r="AC1000" s="879">
        <v>1823</v>
      </c>
      <c r="AD1000" s="879">
        <v>1891</v>
      </c>
      <c r="AE1000" s="880">
        <f t="shared" si="3853"/>
        <v>1902</v>
      </c>
      <c r="AF1000" s="879">
        <v>1876</v>
      </c>
      <c r="AG1000" s="879">
        <v>1862</v>
      </c>
      <c r="AH1000" s="879">
        <v>2007</v>
      </c>
      <c r="AI1000" s="880">
        <f t="shared" si="3854"/>
        <v>1977</v>
      </c>
      <c r="AJ1000" s="879">
        <v>1944</v>
      </c>
      <c r="AK1000" s="879">
        <v>1917</v>
      </c>
      <c r="AL1000" s="879">
        <v>1861</v>
      </c>
      <c r="AM1000" s="8">
        <f t="shared" si="3855"/>
        <v>1872</v>
      </c>
      <c r="AV1000" s="879">
        <v>2743</v>
      </c>
      <c r="AW1000" s="879">
        <v>3024</v>
      </c>
      <c r="AX1000" s="879">
        <v>3036</v>
      </c>
      <c r="AY1000" s="879">
        <v>3372</v>
      </c>
      <c r="AZ1000" s="879">
        <v>3976</v>
      </c>
      <c r="BA1000" s="879">
        <v>4372</v>
      </c>
      <c r="BB1000" s="879">
        <v>4767</v>
      </c>
      <c r="BC1000" s="879">
        <v>5090</v>
      </c>
      <c r="BD1000" s="879">
        <v>5641</v>
      </c>
      <c r="BE1000" s="879">
        <v>5588</v>
      </c>
      <c r="BF1000" s="879"/>
      <c r="BG1000" s="879">
        <v>5659</v>
      </c>
      <c r="BH1000" s="879">
        <v>5542</v>
      </c>
      <c r="BI1000" s="879">
        <v>5846</v>
      </c>
      <c r="BJ1000" s="879">
        <v>6124</v>
      </c>
      <c r="BK1000" s="879">
        <v>6409</v>
      </c>
      <c r="BL1000" s="879">
        <v>6943</v>
      </c>
      <c r="BM1000" s="879">
        <v>7407</v>
      </c>
      <c r="BN1000" s="879">
        <v>7722</v>
      </c>
      <c r="BO1000" s="879">
        <v>7594</v>
      </c>
      <c r="BP1000" s="879"/>
    </row>
    <row r="1001" spans="2:81" hidden="1" outlineLevel="1">
      <c r="B1001" t="s">
        <v>527</v>
      </c>
      <c r="H1001" s="879">
        <v>1362</v>
      </c>
      <c r="I1001" s="879">
        <v>1697</v>
      </c>
      <c r="J1001" s="879">
        <v>958</v>
      </c>
      <c r="K1001" s="8">
        <f t="shared" si="3848"/>
        <v>1045</v>
      </c>
      <c r="L1001" s="879">
        <v>1154</v>
      </c>
      <c r="M1001" s="879">
        <v>1478</v>
      </c>
      <c r="N1001" s="879">
        <v>1219</v>
      </c>
      <c r="O1001" s="8">
        <f t="shared" si="3849"/>
        <v>1283</v>
      </c>
      <c r="P1001" s="879">
        <v>1261</v>
      </c>
      <c r="Q1001" s="879">
        <v>1948</v>
      </c>
      <c r="R1001" s="879">
        <v>1423</v>
      </c>
      <c r="S1001" s="8">
        <f t="shared" si="3850"/>
        <v>1463</v>
      </c>
      <c r="T1001" s="879">
        <v>1202</v>
      </c>
      <c r="U1001" s="879">
        <v>2048</v>
      </c>
      <c r="V1001" s="879">
        <v>1412</v>
      </c>
      <c r="W1001" s="880">
        <f t="shared" si="3851"/>
        <v>1795</v>
      </c>
      <c r="X1001" s="879">
        <v>1620</v>
      </c>
      <c r="Y1001" s="879">
        <v>2120</v>
      </c>
      <c r="Z1001" s="879">
        <v>1599</v>
      </c>
      <c r="AA1001" s="880">
        <f t="shared" si="3852"/>
        <v>1452</v>
      </c>
      <c r="AB1001" s="879">
        <f>3646-AC1001</f>
        <v>1361</v>
      </c>
      <c r="AC1001" s="879">
        <v>2285</v>
      </c>
      <c r="AD1001" s="879">
        <v>1764</v>
      </c>
      <c r="AE1001" s="880">
        <f t="shared" si="3853"/>
        <v>1581</v>
      </c>
      <c r="AF1001" s="879">
        <v>1448</v>
      </c>
      <c r="AG1001" s="879">
        <v>1430</v>
      </c>
      <c r="AH1001" s="879">
        <v>1282</v>
      </c>
      <c r="AI1001" s="880">
        <f t="shared" si="3854"/>
        <v>1361</v>
      </c>
      <c r="AJ1001" s="879">
        <v>1125</v>
      </c>
      <c r="AK1001" s="879">
        <v>1298</v>
      </c>
      <c r="AL1001" s="879">
        <v>1067</v>
      </c>
      <c r="AM1001" s="8">
        <f t="shared" si="3855"/>
        <v>2991</v>
      </c>
      <c r="AV1001" s="879">
        <v>0</v>
      </c>
      <c r="AW1001" s="879">
        <v>0</v>
      </c>
      <c r="AX1001" s="879">
        <v>0</v>
      </c>
      <c r="AY1001" s="879">
        <v>0</v>
      </c>
      <c r="AZ1001" s="879">
        <f>162+0</f>
        <v>162</v>
      </c>
      <c r="BA1001" s="879">
        <f>615+853</f>
        <v>1468</v>
      </c>
      <c r="BB1001" s="879">
        <f>1883+3073</f>
        <v>4956</v>
      </c>
      <c r="BC1001" s="879">
        <v>11602</v>
      </c>
      <c r="BD1001" s="879">
        <v>7466</v>
      </c>
      <c r="BE1001" s="879">
        <v>4557</v>
      </c>
      <c r="BF1001" s="879"/>
      <c r="BG1001" s="879">
        <v>7888</v>
      </c>
      <c r="BH1001" s="879">
        <v>5062</v>
      </c>
      <c r="BI1001" s="879">
        <v>5134</v>
      </c>
      <c r="BJ1001" s="879">
        <v>6095</v>
      </c>
      <c r="BK1001" s="879">
        <v>6457</v>
      </c>
      <c r="BL1001" s="879">
        <v>6791</v>
      </c>
      <c r="BM1001" s="879">
        <v>6991</v>
      </c>
      <c r="BN1001" s="879">
        <v>5521</v>
      </c>
      <c r="BO1001" s="879">
        <v>6481</v>
      </c>
      <c r="BP1001" s="879"/>
    </row>
    <row r="1002" spans="2:81" hidden="1" outlineLevel="1">
      <c r="B1002" t="s">
        <v>388</v>
      </c>
      <c r="H1002" s="879">
        <v>0</v>
      </c>
      <c r="I1002" s="879">
        <v>228</v>
      </c>
      <c r="J1002" s="879">
        <v>976</v>
      </c>
      <c r="K1002" s="8">
        <f t="shared" si="3848"/>
        <v>1067</v>
      </c>
      <c r="L1002" s="879">
        <v>1148</v>
      </c>
      <c r="M1002" s="879">
        <v>1312</v>
      </c>
      <c r="N1002" s="879">
        <v>1335</v>
      </c>
      <c r="O1002" s="8">
        <f t="shared" si="3849"/>
        <v>1464</v>
      </c>
      <c r="P1002" s="879">
        <v>1530</v>
      </c>
      <c r="Q1002" s="879">
        <v>1693</v>
      </c>
      <c r="R1002" s="879">
        <v>1696</v>
      </c>
      <c r="S1002" s="8">
        <f t="shared" si="3850"/>
        <v>1835</v>
      </c>
      <c r="T1002" s="879">
        <v>1909</v>
      </c>
      <c r="U1002" s="879">
        <v>2102</v>
      </c>
      <c r="V1002" s="879">
        <v>2050</v>
      </c>
      <c r="W1002" s="880">
        <f t="shared" si="3851"/>
        <v>2016</v>
      </c>
      <c r="X1002" s="879">
        <v>2206</v>
      </c>
      <c r="Y1002" s="879">
        <v>2577</v>
      </c>
      <c r="Z1002" s="879">
        <v>2562</v>
      </c>
      <c r="AA1002" s="880">
        <f t="shared" si="3852"/>
        <v>2944</v>
      </c>
      <c r="AB1002" s="879">
        <f>6667-AC1002</f>
        <v>3136</v>
      </c>
      <c r="AC1002" s="879">
        <v>3531</v>
      </c>
      <c r="AD1002" s="879">
        <v>3437</v>
      </c>
      <c r="AE1002" s="880">
        <f t="shared" si="3853"/>
        <v>3712</v>
      </c>
      <c r="AF1002" s="879">
        <v>3663</v>
      </c>
      <c r="AG1002" s="879">
        <v>3876</v>
      </c>
      <c r="AH1002" s="879">
        <v>3697</v>
      </c>
      <c r="AI1002" s="880">
        <f t="shared" si="3854"/>
        <v>3909</v>
      </c>
      <c r="AJ1002" s="879">
        <v>3913</v>
      </c>
      <c r="AK1002" s="879">
        <v>4195</v>
      </c>
      <c r="AL1002" s="879">
        <v>4013</v>
      </c>
      <c r="AM1002" s="8">
        <f t="shared" si="3855"/>
        <v>4251</v>
      </c>
      <c r="AN1002" s="33"/>
      <c r="AV1002" s="879">
        <v>0</v>
      </c>
      <c r="AW1002" s="879">
        <v>0</v>
      </c>
      <c r="AX1002" s="879">
        <v>0</v>
      </c>
      <c r="AY1002" s="879">
        <v>0</v>
      </c>
      <c r="AZ1002" s="879">
        <v>0</v>
      </c>
      <c r="BA1002" s="879">
        <v>0</v>
      </c>
      <c r="BB1002" s="879">
        <v>0</v>
      </c>
      <c r="BC1002" s="879">
        <v>0</v>
      </c>
      <c r="BD1002" s="879">
        <v>0</v>
      </c>
      <c r="BE1002" s="879">
        <v>2268</v>
      </c>
      <c r="BF1002" s="879"/>
      <c r="BG1002" s="879">
        <v>0</v>
      </c>
      <c r="BH1002" s="879">
        <v>2271</v>
      </c>
      <c r="BI1002" s="879">
        <v>5259</v>
      </c>
      <c r="BJ1002" s="879">
        <v>6754</v>
      </c>
      <c r="BK1002" s="879">
        <v>8077</v>
      </c>
      <c r="BL1002" s="879">
        <v>10289</v>
      </c>
      <c r="BM1002" s="879">
        <v>13816</v>
      </c>
      <c r="BN1002" s="879">
        <v>15145</v>
      </c>
      <c r="BO1002" s="879">
        <v>16372</v>
      </c>
      <c r="BP1002" s="879"/>
    </row>
    <row r="1003" spans="2:81" ht="11.45" hidden="1" outlineLevel="1">
      <c r="B1003" t="s">
        <v>200</v>
      </c>
      <c r="H1003" s="905">
        <v>583</v>
      </c>
      <c r="I1003" s="905">
        <v>732</v>
      </c>
      <c r="J1003" s="905">
        <v>606</v>
      </c>
      <c r="K1003" s="10">
        <f t="shared" si="3848"/>
        <v>690</v>
      </c>
      <c r="L1003" s="905">
        <v>616</v>
      </c>
      <c r="M1003" s="905">
        <v>740</v>
      </c>
      <c r="N1003" s="905">
        <v>698</v>
      </c>
      <c r="O1003" s="10">
        <f t="shared" si="3849"/>
        <v>739</v>
      </c>
      <c r="P1003" s="905">
        <v>736</v>
      </c>
      <c r="Q1003" s="905">
        <v>805</v>
      </c>
      <c r="R1003" s="905">
        <v>750</v>
      </c>
      <c r="S1003" s="10">
        <f t="shared" si="3850"/>
        <v>779</v>
      </c>
      <c r="T1003" s="905">
        <v>855</v>
      </c>
      <c r="U1003" s="905">
        <v>959</v>
      </c>
      <c r="V1003" s="905">
        <v>961</v>
      </c>
      <c r="W1003" s="906">
        <f t="shared" si="3851"/>
        <v>993</v>
      </c>
      <c r="X1003" s="905">
        <v>1032</v>
      </c>
      <c r="Y1003" s="905">
        <v>1143</v>
      </c>
      <c r="Z1003" s="905">
        <v>1125</v>
      </c>
      <c r="AA1003" s="906">
        <f t="shared" si="3852"/>
        <v>1179</v>
      </c>
      <c r="AB1003" s="905">
        <f>2584-AC1003</f>
        <v>1227</v>
      </c>
      <c r="AC1003" s="905">
        <v>1357</v>
      </c>
      <c r="AD1003" s="905">
        <v>1304</v>
      </c>
      <c r="AE1003" s="906">
        <f t="shared" si="3853"/>
        <v>1403</v>
      </c>
      <c r="AF1003" s="905">
        <v>1348</v>
      </c>
      <c r="AG1003" s="905">
        <v>1359</v>
      </c>
      <c r="AH1003" s="905">
        <v>1428</v>
      </c>
      <c r="AI1003" s="906">
        <f t="shared" si="3854"/>
        <v>1513</v>
      </c>
      <c r="AJ1003" s="905">
        <f>+AJ1004-SUM(AJ995:AJ1002)</f>
        <v>1548</v>
      </c>
      <c r="AK1003" s="905">
        <f t="shared" ref="AK1003:AL1003" si="3856">+AK1004-SUM(AK995:AK1002)</f>
        <v>1587</v>
      </c>
      <c r="AL1003" s="905">
        <f t="shared" si="3856"/>
        <v>1660</v>
      </c>
      <c r="AM1003" s="10">
        <f t="shared" si="3855"/>
        <v>-44</v>
      </c>
      <c r="AV1003" s="905">
        <v>4122</v>
      </c>
      <c r="AW1003" s="905">
        <v>3598</v>
      </c>
      <c r="AX1003" s="905">
        <v>3478</v>
      </c>
      <c r="AY1003" s="905">
        <v>3749</v>
      </c>
      <c r="AZ1003" s="905">
        <v>4508</v>
      </c>
      <c r="BA1003" s="905">
        <v>5590</v>
      </c>
      <c r="BB1003" s="905">
        <v>6217</v>
      </c>
      <c r="BC1003" s="905">
        <v>6234</v>
      </c>
      <c r="BD1003" s="905">
        <v>5851</v>
      </c>
      <c r="BE1003" s="905">
        <v>5538</v>
      </c>
      <c r="BF1003" s="905"/>
      <c r="BG1003" s="905">
        <v>2499</v>
      </c>
      <c r="BH1003" s="905">
        <v>2611</v>
      </c>
      <c r="BI1003" s="905">
        <v>2793</v>
      </c>
      <c r="BJ1003" s="905">
        <v>3070</v>
      </c>
      <c r="BK1003" s="905">
        <v>3768</v>
      </c>
      <c r="BL1003" s="905">
        <v>4479</v>
      </c>
      <c r="BM1003" s="905">
        <v>5291</v>
      </c>
      <c r="BN1003" s="905">
        <f>+BN1004-SUM(BN995:BN1002)</f>
        <v>5648</v>
      </c>
      <c r="BO1003" s="905">
        <f t="shared" ref="BO1003" si="3857">+BO1004-SUM(BO995:BO1002)</f>
        <v>4751</v>
      </c>
      <c r="BP1003" s="905"/>
    </row>
    <row r="1004" spans="2:81" s="1" customFormat="1" ht="10.5" hidden="1" outlineLevel="1">
      <c r="B1004" s="837" t="s">
        <v>523</v>
      </c>
      <c r="H1004" s="838">
        <f t="shared" ref="H1004:Q1004" si="3858">SUM(H995:H1003)</f>
        <v>21928</v>
      </c>
      <c r="I1004" s="838">
        <f t="shared" si="3858"/>
        <v>25826</v>
      </c>
      <c r="J1004" s="838">
        <f t="shared" si="3858"/>
        <v>23212</v>
      </c>
      <c r="K1004" s="838">
        <f t="shared" si="3858"/>
        <v>25605</v>
      </c>
      <c r="L1004" s="838">
        <f t="shared" si="3858"/>
        <v>24538</v>
      </c>
      <c r="M1004" s="838">
        <f t="shared" si="3858"/>
        <v>28918</v>
      </c>
      <c r="N1004" s="838">
        <f t="shared" si="3858"/>
        <v>26819</v>
      </c>
      <c r="O1004" s="838">
        <f t="shared" si="3858"/>
        <v>30085</v>
      </c>
      <c r="P1004" s="838">
        <f t="shared" si="3858"/>
        <v>29084</v>
      </c>
      <c r="Q1004" s="838">
        <f t="shared" si="3858"/>
        <v>32471</v>
      </c>
      <c r="R1004" s="838">
        <f t="shared" ref="R1004:W1004" si="3859">SUM(R995:R1003)</f>
        <v>30571</v>
      </c>
      <c r="S1004" s="838">
        <f t="shared" si="3859"/>
        <v>33717</v>
      </c>
      <c r="T1004" s="838">
        <f t="shared" si="3859"/>
        <v>33055</v>
      </c>
      <c r="U1004" s="838">
        <f t="shared" si="3859"/>
        <v>36906</v>
      </c>
      <c r="V1004" s="838">
        <f t="shared" si="3859"/>
        <v>35021</v>
      </c>
      <c r="W1004" s="849">
        <f t="shared" si="3859"/>
        <v>38033</v>
      </c>
      <c r="X1004" s="838">
        <f t="shared" ref="X1004:Y1004" si="3860">SUM(X995:X1003)</f>
        <v>37154</v>
      </c>
      <c r="Y1004" s="838">
        <f t="shared" si="3860"/>
        <v>43076</v>
      </c>
      <c r="Z1004" s="838">
        <f t="shared" ref="Z1004:AC1004" si="3861">SUM(Z995:Z1003)</f>
        <v>41706</v>
      </c>
      <c r="AA1004" s="849">
        <f t="shared" si="3861"/>
        <v>46152</v>
      </c>
      <c r="AB1004" s="838">
        <f t="shared" si="3861"/>
        <v>45317</v>
      </c>
      <c r="AC1004" s="838">
        <f t="shared" si="3861"/>
        <v>51728</v>
      </c>
      <c r="AD1004" s="838">
        <f t="shared" ref="AD1004:AG1004" si="3862">SUM(AD995:AD1003)</f>
        <v>49360</v>
      </c>
      <c r="AE1004" s="849">
        <f t="shared" si="3862"/>
        <v>51865</v>
      </c>
      <c r="AF1004" s="838">
        <f t="shared" si="3862"/>
        <v>50122</v>
      </c>
      <c r="AG1004" s="838">
        <f t="shared" si="3862"/>
        <v>52747</v>
      </c>
      <c r="AH1004" s="838">
        <f t="shared" ref="AH1004" si="3863">SUM(AH995:AH1003)</f>
        <v>52857</v>
      </c>
      <c r="AI1004" s="849">
        <f t="shared" si="3854"/>
        <v>56189</v>
      </c>
      <c r="AJ1004" s="838">
        <f>+AJ12</f>
        <v>56517</v>
      </c>
      <c r="AK1004" s="838">
        <f>+AK12</f>
        <v>62020</v>
      </c>
      <c r="AL1004" s="838">
        <f>+AL12</f>
        <v>61858</v>
      </c>
      <c r="AM1004" s="838">
        <f t="shared" si="3855"/>
        <v>64727</v>
      </c>
      <c r="AN1004"/>
      <c r="AO1004"/>
      <c r="AP1004"/>
      <c r="AQ1004"/>
      <c r="AV1004" s="838">
        <f t="shared" ref="AV1004:BE1004" si="3864">SUM(AV995:AV1003)</f>
        <v>60420</v>
      </c>
      <c r="AW1004" s="838">
        <f t="shared" si="3864"/>
        <v>58437</v>
      </c>
      <c r="AX1004" s="838">
        <f t="shared" si="3864"/>
        <v>62484</v>
      </c>
      <c r="AY1004" s="838">
        <f t="shared" si="3864"/>
        <v>69943</v>
      </c>
      <c r="AZ1004" s="838">
        <f t="shared" si="3864"/>
        <v>73723</v>
      </c>
      <c r="BA1004" s="838">
        <f t="shared" si="3864"/>
        <v>77849</v>
      </c>
      <c r="BB1004" s="838">
        <f t="shared" si="3864"/>
        <v>86833</v>
      </c>
      <c r="BC1004" s="838">
        <f t="shared" si="3864"/>
        <v>93580</v>
      </c>
      <c r="BD1004" s="838">
        <f t="shared" si="3864"/>
        <v>85320</v>
      </c>
      <c r="BE1004" s="838">
        <f t="shared" si="3864"/>
        <v>89950</v>
      </c>
      <c r="BF1004" s="838"/>
      <c r="BG1004" s="838">
        <f>SUM(BG995:BG1003)</f>
        <v>91154</v>
      </c>
      <c r="BH1004" s="838">
        <f t="shared" ref="BH1004:BK1004" si="3865">SUM(BH995:BH1003)</f>
        <v>96571</v>
      </c>
      <c r="BI1004" s="838">
        <f t="shared" si="3865"/>
        <v>110360</v>
      </c>
      <c r="BJ1004" s="838">
        <f t="shared" si="3865"/>
        <v>125843</v>
      </c>
      <c r="BK1004" s="838">
        <f t="shared" si="3865"/>
        <v>143015</v>
      </c>
      <c r="BL1004" s="838">
        <f t="shared" ref="BL1004:BM1004" si="3866">SUM(BL995:BL1003)</f>
        <v>168088</v>
      </c>
      <c r="BM1004" s="838">
        <f t="shared" si="3866"/>
        <v>198270</v>
      </c>
      <c r="BN1004" s="838">
        <f>+BN12</f>
        <v>211915</v>
      </c>
      <c r="BO1004" s="838">
        <f>+BO12</f>
        <v>245122</v>
      </c>
      <c r="BP1004" s="838"/>
      <c r="BT1004" s="852"/>
      <c r="BU1004" s="852"/>
      <c r="BV1004" s="852"/>
      <c r="BW1004" s="852"/>
      <c r="BX1004" s="852"/>
      <c r="BY1004" s="852"/>
      <c r="BZ1004" s="852"/>
      <c r="CA1004" s="852"/>
      <c r="CB1004" s="852"/>
      <c r="CC1004" s="852"/>
    </row>
    <row r="1005" spans="2:81" ht="10.5" hidden="1" outlineLevel="1">
      <c r="B1005" s="18"/>
      <c r="AF1005" s="228"/>
      <c r="AG1005" s="228"/>
      <c r="AH1005" s="228"/>
      <c r="AJ1005" s="228"/>
      <c r="AK1005" s="228"/>
      <c r="AV1005" s="8"/>
      <c r="AW1005" s="8"/>
      <c r="AX1005" s="8"/>
      <c r="AY1005" s="8"/>
      <c r="AZ1005" s="8"/>
      <c r="BA1005" s="900"/>
      <c r="BB1005" s="900"/>
      <c r="BC1005" s="900"/>
      <c r="BD1005" s="900"/>
      <c r="BE1005" s="900"/>
      <c r="BT1005" s="1"/>
      <c r="BU1005" s="1"/>
      <c r="BV1005" s="1"/>
      <c r="BW1005" s="1"/>
      <c r="BX1005" s="1"/>
      <c r="BY1005" s="1"/>
      <c r="BZ1005" s="1"/>
      <c r="CA1005" s="1"/>
      <c r="CB1005" s="1"/>
      <c r="CC1005" s="1"/>
    </row>
    <row r="1006" spans="2:81" s="3" customFormat="1" ht="10.5" hidden="1" outlineLevel="1">
      <c r="B1006" s="24" t="s">
        <v>113</v>
      </c>
      <c r="AF1006" s="228"/>
      <c r="AG1006" s="228"/>
      <c r="AH1006" s="228"/>
      <c r="AJ1006" s="228"/>
      <c r="AK1006" s="228"/>
      <c r="AN1006" s="33"/>
      <c r="AO1006"/>
      <c r="AP1006"/>
      <c r="AQ1006"/>
      <c r="AZ1006" s="92"/>
      <c r="BA1006" s="92"/>
      <c r="BB1006" s="92"/>
      <c r="BC1006" s="92"/>
      <c r="BD1006" s="92"/>
      <c r="BE1006" s="92"/>
      <c r="BF1006" s="92"/>
      <c r="BG1006" s="92"/>
      <c r="BH1006" s="92"/>
      <c r="BT1006" s="1"/>
      <c r="BU1006" s="1"/>
      <c r="BV1006" s="1"/>
      <c r="BW1006" s="1"/>
      <c r="BX1006" s="1"/>
      <c r="BY1006" s="1"/>
      <c r="BZ1006" s="1"/>
      <c r="CA1006" s="1"/>
      <c r="CB1006" s="1"/>
      <c r="CC1006" s="1"/>
    </row>
    <row r="1007" spans="2:81" s="3" customFormat="1" ht="10.5" hidden="1" outlineLevel="1">
      <c r="B1007" s="13" t="str">
        <f>+B995</f>
        <v>Office products and cloud services</v>
      </c>
      <c r="L1007" s="228">
        <f t="shared" ref="L1007:L1016" si="3867">+IFERROR(L995/H995-1,"n/a ")</f>
        <v>9.9130725509863016E-2</v>
      </c>
      <c r="M1007" s="228">
        <f t="shared" ref="M1007:M1016" si="3868">+IFERROR(M995/I995-1,"n/a ")</f>
        <v>9.8773101413262898E-2</v>
      </c>
      <c r="N1007" s="228">
        <f t="shared" ref="N1007:N1016" si="3869">+IFERROR(N995/J995-1,"n/a ")</f>
        <v>0.13699069618222648</v>
      </c>
      <c r="O1007" s="228">
        <f t="shared" ref="O1007:O1016" si="3870">+IFERROR(O995/K995-1,"n/a ")</f>
        <v>9.5403295750216888E-2</v>
      </c>
      <c r="P1007" s="228">
        <f t="shared" ref="P1007:P1016" si="3871">+IFERROR(P995/L995-1,"n/a ")</f>
        <v>0.15923954372623572</v>
      </c>
      <c r="Q1007" s="228">
        <f t="shared" ref="Q1007:Q1016" si="3872">+IFERROR(Q995/M995-1,"n/a ")</f>
        <v>9.4982332155477023E-2</v>
      </c>
      <c r="R1007" s="228">
        <f t="shared" ref="R1007:R1016" si="3873">+IFERROR(R995/N995-1,"n/a ")</f>
        <v>0.1130079006772009</v>
      </c>
      <c r="S1007" s="228">
        <f t="shared" ref="S1007:S1016" si="3874">+IFERROR(S995/O995-1,"n/a ")</f>
        <v>0.12311955661124308</v>
      </c>
      <c r="T1007" s="228">
        <f t="shared" ref="T1007:T1016" si="3875">+IFERROR(T995/P995-1,"n/a ")</f>
        <v>0.11073209131461548</v>
      </c>
      <c r="U1007" s="228">
        <f t="shared" ref="U1007:U1016" si="3876">+IFERROR(U995/Q995-1,"n/a ")</f>
        <v>0.15954563056667093</v>
      </c>
      <c r="V1007" s="228">
        <f t="shared" ref="V1007:V1016" si="3877">+IFERROR(V995/R995-1,"n/a ")</f>
        <v>0.1306883001647865</v>
      </c>
      <c r="W1007" s="228">
        <f t="shared" ref="W1007:W1016" si="3878">+IFERROR(W995/S995-1,"n/a ")</f>
        <v>5.1227822817530244E-2</v>
      </c>
      <c r="X1007" s="228">
        <f t="shared" ref="X1007:X1016" si="3879">+IFERROR(X995/T995-1,"n/a ")</f>
        <v>9.5913064020789029E-2</v>
      </c>
      <c r="Y1007" s="228">
        <f t="shared" ref="Y1007:Y1016" si="3880">+IFERROR(Y995/U995-1,"n/a ")</f>
        <v>9.9966603584548563E-2</v>
      </c>
      <c r="Z1007" s="228">
        <f t="shared" ref="Z1007:AA1016" si="3881">+IFERROR(Z995/V995-1,"n/a ")</f>
        <v>0.12286995515695076</v>
      </c>
      <c r="AA1007" s="228">
        <f t="shared" si="3881"/>
        <v>0.19559628925896955</v>
      </c>
      <c r="AB1007" s="228">
        <f t="shared" ref="AB1007:AB1016" si="3882">+IFERROR(AB995/X995-1,"n/a ")</f>
        <v>0.16490622979090319</v>
      </c>
      <c r="AC1007" s="228">
        <f t="shared" ref="AC1007:AC1016" si="3883">+IFERROR(AC995/Y995-1,"n/a ")</f>
        <v>0.13864993421718452</v>
      </c>
      <c r="AD1007" s="228">
        <f t="shared" ref="AD1007:AE1016" si="3884">+IFERROR(AD995/Z995-1,"n/a ")</f>
        <v>0.11461661341853024</v>
      </c>
      <c r="AE1007" s="228">
        <f t="shared" si="3884"/>
        <v>8.8062073478545333E-2</v>
      </c>
      <c r="AF1007" s="228">
        <f t="shared" ref="AF1007:AF1016" si="3885">+IFERROR(AF995/AB995-1,"n/a ")</f>
        <v>6.8467801628423475E-2</v>
      </c>
      <c r="AG1007" s="228">
        <f t="shared" ref="AG1007:AG1016" si="3886">+IFERROR(AG995/AC995-1,"n/a ")</f>
        <v>5.2084259176962133E-2</v>
      </c>
      <c r="AH1007" s="228">
        <f t="shared" ref="AH1007:AH1016" si="3887">+IFERROR(AH995/AD995-1,"n/a ")</f>
        <v>0.11411680401289859</v>
      </c>
      <c r="AI1007" s="228">
        <f t="shared" ref="AI1007:AI1016" si="3888">+IFERROR(AI995/AE995-1,"n/a ")</f>
        <v>0.10877223129134816</v>
      </c>
      <c r="AJ1007" s="228">
        <f t="shared" ref="AJ1007:AJ1016" si="3889">+IFERROR(AJ995/AF995-1,"n/a ")</f>
        <v>0.13785936958780742</v>
      </c>
      <c r="AK1007" s="228">
        <f t="shared" ref="AK1007:AK1016" si="3890">+IFERROR(AK995/AG995-1,"n/a ")</f>
        <v>0.13854861873785596</v>
      </c>
      <c r="AL1007" s="228">
        <f t="shared" ref="AL1007:AL1016" si="3891">+IFERROR(AL995/AH995-1,"n/a ")</f>
        <v>0.11842739990352147</v>
      </c>
      <c r="AM1007" s="228">
        <f t="shared" ref="AM1007:AM1016" si="3892">+IFERROR(AM995/AI995-1,"n/a ")</f>
        <v>0.11173963580007751</v>
      </c>
      <c r="AN1007"/>
      <c r="AO1007"/>
      <c r="AP1007"/>
      <c r="AQ1007"/>
      <c r="AR1007" s="228"/>
      <c r="AS1007" s="228"/>
      <c r="AT1007" s="228"/>
      <c r="AU1007" s="228"/>
      <c r="AV1007" s="228"/>
      <c r="AW1007" s="228">
        <f t="shared" ref="AW1007:BE1007" si="3893">+IFERROR(AW995/AV995-1,"n/a ")</f>
        <v>-4.700547475529504E-3</v>
      </c>
      <c r="AX1007" s="228">
        <f t="shared" si="3893"/>
        <v>-1.355706189576622E-2</v>
      </c>
      <c r="AY1007" s="228">
        <f t="shared" si="3893"/>
        <v>0.16762419736397427</v>
      </c>
      <c r="AZ1007" s="228">
        <f t="shared" si="3893"/>
        <v>7.5687409551374873E-2</v>
      </c>
      <c r="BA1007" s="228">
        <f t="shared" si="3893"/>
        <v>3.1212161980357811E-2</v>
      </c>
      <c r="BB1007" s="228">
        <f t="shared" si="3893"/>
        <v>5.7751685148945464E-2</v>
      </c>
      <c r="BC1007" s="228">
        <f t="shared" si="3893"/>
        <v>-3.2273979361098548E-2</v>
      </c>
      <c r="BD1007" s="228">
        <f t="shared" si="3893"/>
        <v>2.1242246579997737E-3</v>
      </c>
      <c r="BE1007" s="228">
        <f t="shared" si="3893"/>
        <v>7.6352382567407062E-2</v>
      </c>
      <c r="BF1007" s="228"/>
      <c r="BG1007" s="829">
        <f t="shared" ref="BG1007:BG1016" si="3894">+BD1007</f>
        <v>2.1242246579997737E-3</v>
      </c>
      <c r="BH1007" s="228">
        <f t="shared" ref="BH1007:BJ1016" si="3895">+IFERROR(BH995/BG995-1,"n/a ")</f>
        <v>7.143455672867427E-2</v>
      </c>
      <c r="BI1007" s="228">
        <f t="shared" si="3895"/>
        <v>0.10726156493176386</v>
      </c>
      <c r="BJ1007" s="228">
        <f t="shared" si="3895"/>
        <v>0.12194518999858728</v>
      </c>
      <c r="BK1007" s="228">
        <f t="shared" ref="BK1007:BK1016" si="3896">+IFERROR(BK995/BJ995-1,"n/a ")</f>
        <v>0.11164972142654794</v>
      </c>
      <c r="BL1007" s="228">
        <f t="shared" ref="BL1007:BL1016" si="3897">+IFERROR(BL995/BK995-1,"n/a ")</f>
        <v>0.12900668252350211</v>
      </c>
      <c r="BM1007" s="228">
        <f t="shared" ref="BM1007:BN1016" si="3898">+IFERROR(BM995/BL995-1,"n/a ")</f>
        <v>0.125150481540931</v>
      </c>
      <c r="BN1007" s="228">
        <f t="shared" si="3898"/>
        <v>8.6175382283447011E-2</v>
      </c>
      <c r="BO1007" s="228">
        <f t="shared" ref="BO1007:BO1016" si="3899">+IFERROR(BO995/BN995-1,"n/a ")</f>
        <v>0.12614923657855859</v>
      </c>
      <c r="BP1007" s="23"/>
      <c r="BT1007" s="1"/>
      <c r="BU1007" s="1"/>
      <c r="BV1007" s="1"/>
      <c r="BW1007" s="1"/>
      <c r="BX1007" s="1"/>
      <c r="BY1007" s="1"/>
      <c r="BZ1007" s="1"/>
      <c r="CA1007" s="1"/>
      <c r="CB1007" s="1"/>
      <c r="CC1007" s="1"/>
    </row>
    <row r="1008" spans="2:81" s="3" customFormat="1" hidden="1" outlineLevel="1">
      <c r="B1008" s="13" t="str">
        <f t="shared" ref="B1008:B1016" si="3900">+B996</f>
        <v>Server products and cloud services</v>
      </c>
      <c r="L1008" s="228">
        <f t="shared" si="3867"/>
        <v>0.17210492642354436</v>
      </c>
      <c r="M1008" s="228">
        <f t="shared" si="3868"/>
        <v>0.18135783945986494</v>
      </c>
      <c r="N1008" s="228">
        <f t="shared" si="3869"/>
        <v>0.19747026618840846</v>
      </c>
      <c r="O1008" s="228">
        <f t="shared" si="3870"/>
        <v>0.26220186384457422</v>
      </c>
      <c r="P1008" s="228">
        <f t="shared" si="3871"/>
        <v>0.28420669577874813</v>
      </c>
      <c r="Q1008" s="228">
        <f t="shared" si="3872"/>
        <v>0.23686299412605183</v>
      </c>
      <c r="R1008" s="228">
        <f t="shared" si="3873"/>
        <v>0.26958852278101841</v>
      </c>
      <c r="S1008" s="228">
        <f t="shared" si="3874"/>
        <v>0.21636841446627453</v>
      </c>
      <c r="T1008" s="228">
        <f t="shared" si="3875"/>
        <v>0.30235194105979035</v>
      </c>
      <c r="U1008" s="228">
        <f t="shared" si="3876"/>
        <v>0.29880631497882182</v>
      </c>
      <c r="V1008" s="228">
        <f t="shared" si="3877"/>
        <v>0.30262014156215078</v>
      </c>
      <c r="W1008" s="228">
        <f t="shared" si="3878"/>
        <v>0.19115226337448554</v>
      </c>
      <c r="X1008" s="228">
        <f t="shared" si="3879"/>
        <v>0.21790687554395127</v>
      </c>
      <c r="Y1008" s="228">
        <f t="shared" si="3880"/>
        <v>0.25793062555588486</v>
      </c>
      <c r="Z1008" s="228">
        <f t="shared" si="3881"/>
        <v>0.25872259294566247</v>
      </c>
      <c r="AA1008" s="228">
        <f t="shared" si="3881"/>
        <v>0.33537743997236147</v>
      </c>
      <c r="AB1008" s="228">
        <f t="shared" si="3882"/>
        <v>0.34604734256364456</v>
      </c>
      <c r="AC1008" s="228">
        <f t="shared" si="3883"/>
        <v>0.28643255558174241</v>
      </c>
      <c r="AD1008" s="228">
        <f t="shared" si="3884"/>
        <v>0.29036655558921542</v>
      </c>
      <c r="AE1008" s="228">
        <f t="shared" si="3884"/>
        <v>0.21848522087833899</v>
      </c>
      <c r="AF1008" s="228">
        <f t="shared" si="3885"/>
        <v>0.220253500564072</v>
      </c>
      <c r="AG1008" s="228">
        <f t="shared" si="3886"/>
        <v>0.19658015267175566</v>
      </c>
      <c r="AH1008" s="228">
        <f t="shared" si="3887"/>
        <v>0.17531400399107877</v>
      </c>
      <c r="AI1008" s="228">
        <f t="shared" si="3888"/>
        <v>0.16582621158235566</v>
      </c>
      <c r="AJ1008" s="228">
        <f t="shared" si="3889"/>
        <v>0.21318251033282576</v>
      </c>
      <c r="AK1008" s="228">
        <f t="shared" si="3890"/>
        <v>0.22246606103909361</v>
      </c>
      <c r="AL1008" s="228">
        <f t="shared" si="3891"/>
        <v>0.24004993757802739</v>
      </c>
      <c r="AM1008" s="228">
        <f t="shared" si="3892"/>
        <v>0.212630332832491</v>
      </c>
      <c r="AN1008"/>
      <c r="AO1008"/>
      <c r="AP1008"/>
      <c r="AQ1008"/>
      <c r="AR1008" s="228"/>
      <c r="AS1008" s="228"/>
      <c r="AT1008" s="228"/>
      <c r="AU1008" s="228"/>
      <c r="AV1008" s="228"/>
      <c r="AW1008" s="228">
        <f t="shared" ref="AW1008:BE1008" si="3901">+IFERROR(AW996/AV996-1,"n/a ")</f>
        <v>6.9079257374422776E-2</v>
      </c>
      <c r="AX1008" s="228">
        <f t="shared" si="3901"/>
        <v>5.8444992947813912E-2</v>
      </c>
      <c r="AY1008" s="228">
        <f t="shared" si="3901"/>
        <v>0.10360622969934208</v>
      </c>
      <c r="AZ1008" s="228">
        <f t="shared" si="3901"/>
        <v>7.4032148517092944E-2</v>
      </c>
      <c r="BA1008" s="228">
        <f t="shared" si="3901"/>
        <v>8.2630691399662837E-2</v>
      </c>
      <c r="BB1008" s="228">
        <f t="shared" si="3901"/>
        <v>0.10689252336448596</v>
      </c>
      <c r="BC1008" s="228">
        <f t="shared" si="3901"/>
        <v>9.1292875989446021E-2</v>
      </c>
      <c r="BD1008" s="228">
        <f t="shared" si="3901"/>
        <v>3.0356759080163442E-2</v>
      </c>
      <c r="BE1008" s="228">
        <f t="shared" si="3901"/>
        <v>0.13458830891171725</v>
      </c>
      <c r="BF1008" s="228"/>
      <c r="BG1008" s="829">
        <f t="shared" si="3894"/>
        <v>3.0356759080163442E-2</v>
      </c>
      <c r="BH1008" s="228">
        <f t="shared" si="3895"/>
        <v>0.13571503514846284</v>
      </c>
      <c r="BI1008" s="228">
        <f t="shared" si="3895"/>
        <v>0.20693796480206927</v>
      </c>
      <c r="BJ1008" s="228">
        <f t="shared" si="3895"/>
        <v>0.24849783765165134</v>
      </c>
      <c r="BK1008" s="228">
        <f t="shared" si="3896"/>
        <v>0.26843847710134261</v>
      </c>
      <c r="BL1008" s="228">
        <f t="shared" si="3897"/>
        <v>0.27091036516107203</v>
      </c>
      <c r="BM1008" s="228">
        <f t="shared" si="3898"/>
        <v>0.28013462891479213</v>
      </c>
      <c r="BN1008" s="228">
        <f t="shared" si="3898"/>
        <v>0.18789085129454408</v>
      </c>
      <c r="BO1008" s="228">
        <f t="shared" si="3899"/>
        <v>0.22203326247342758</v>
      </c>
      <c r="BP1008" s="23"/>
    </row>
    <row r="1009" spans="2:81" s="3" customFormat="1" ht="11.45" hidden="1" outlineLevel="1">
      <c r="B1009" s="13" t="str">
        <f t="shared" si="3900"/>
        <v>Gaming</v>
      </c>
      <c r="L1009" s="228">
        <f t="shared" si="3867"/>
        <v>5.8355437665782439E-3</v>
      </c>
      <c r="M1009" s="228">
        <f t="shared" si="3868"/>
        <v>8.3771081006358772E-2</v>
      </c>
      <c r="N1009" s="228">
        <f t="shared" si="3869"/>
        <v>0.18100734522560336</v>
      </c>
      <c r="O1009" s="228">
        <f t="shared" si="3870"/>
        <v>0.39135727328058434</v>
      </c>
      <c r="P1009" s="228">
        <f t="shared" si="3871"/>
        <v>0.44409282700421948</v>
      </c>
      <c r="Q1009" s="228">
        <f t="shared" si="3872"/>
        <v>7.9591836734693944E-2</v>
      </c>
      <c r="R1009" s="228">
        <f t="shared" si="3873"/>
        <v>4.9755664149266909E-2</v>
      </c>
      <c r="S1009" s="228">
        <f t="shared" si="3874"/>
        <v>-0.10192475940507439</v>
      </c>
      <c r="T1009" s="228">
        <f t="shared" si="3875"/>
        <v>-7.1585098612125586E-2</v>
      </c>
      <c r="U1009" s="228">
        <f t="shared" si="3876"/>
        <v>-0.21384688090737236</v>
      </c>
      <c r="V1009" s="228">
        <f t="shared" si="3877"/>
        <v>-5.9246720270842435E-3</v>
      </c>
      <c r="W1009" s="228">
        <f t="shared" si="3878"/>
        <v>0.63516804676083782</v>
      </c>
      <c r="X1009" s="228">
        <f t="shared" si="3879"/>
        <v>0.21636506687647517</v>
      </c>
      <c r="Y1009" s="228">
        <f t="shared" si="3880"/>
        <v>0.51217312894499556</v>
      </c>
      <c r="Z1009" s="228">
        <f t="shared" si="3881"/>
        <v>0.5040442741592166</v>
      </c>
      <c r="AA1009" s="228">
        <f t="shared" si="3881"/>
        <v>0.10634495084897222</v>
      </c>
      <c r="AB1009" s="228">
        <f t="shared" si="3882"/>
        <v>0.16203104786545919</v>
      </c>
      <c r="AC1009" s="228">
        <f t="shared" si="3883"/>
        <v>8.1693500298151367E-2</v>
      </c>
      <c r="AD1009" s="228">
        <f t="shared" si="3884"/>
        <v>5.8590433059722669E-2</v>
      </c>
      <c r="AE1009" s="228">
        <f t="shared" si="3884"/>
        <v>-6.9736133548734536E-2</v>
      </c>
      <c r="AF1009" s="228">
        <f t="shared" si="3885"/>
        <v>4.7314222098524539E-3</v>
      </c>
      <c r="AG1009" s="228">
        <f t="shared" si="3886"/>
        <v>-0.1256890848952591</v>
      </c>
      <c r="AH1009" s="228">
        <f t="shared" si="3887"/>
        <v>-3.5561497326203173E-2</v>
      </c>
      <c r="AI1009" s="228">
        <f t="shared" si="3888"/>
        <v>1.0419681620839283E-2</v>
      </c>
      <c r="AJ1009" s="228">
        <f t="shared" si="3889"/>
        <v>8.5595567867035927E-2</v>
      </c>
      <c r="AK1009" s="228">
        <f t="shared" si="3890"/>
        <v>0.49453551912568305</v>
      </c>
      <c r="AL1009" s="228">
        <f t="shared" si="3891"/>
        <v>0.51122816745217636</v>
      </c>
      <c r="AM1009" s="228">
        <f t="shared" si="3892"/>
        <v>0.43855628759667709</v>
      </c>
      <c r="AN1009"/>
      <c r="AO1009"/>
      <c r="AP1009"/>
      <c r="AQ1009"/>
      <c r="AR1009" s="228"/>
      <c r="AS1009" s="228"/>
      <c r="AT1009" s="228"/>
      <c r="AU1009" s="228"/>
      <c r="AV1009" s="228"/>
      <c r="AW1009" s="228">
        <f t="shared" ref="AW1009:BE1009" si="3902">+IFERROR(AW997/AV997-1,"n/a ")</f>
        <v>-2.1972132904608754E-2</v>
      </c>
      <c r="AX1009" s="228">
        <f t="shared" si="3902"/>
        <v>-3.4703196347032339E-3</v>
      </c>
      <c r="AY1009" s="228">
        <f t="shared" si="3902"/>
        <v>0.48515395894428148</v>
      </c>
      <c r="AZ1009" s="228">
        <f t="shared" si="3902"/>
        <v>-7.157842774281109E-3</v>
      </c>
      <c r="BA1009" s="228">
        <f t="shared" si="3902"/>
        <v>-0.11746426351771289</v>
      </c>
      <c r="BB1009" s="228">
        <f t="shared" si="3902"/>
        <v>0.21732394366197183</v>
      </c>
      <c r="BC1009" s="228">
        <f t="shared" si="3902"/>
        <v>5.5304870993867938E-2</v>
      </c>
      <c r="BD1009" s="228">
        <f t="shared" si="3902"/>
        <v>3.004056572744207E-2</v>
      </c>
      <c r="BE1009" s="228">
        <f t="shared" si="3902"/>
        <v>-1.4795103778605601E-2</v>
      </c>
      <c r="BF1009" s="228"/>
      <c r="BG1009" s="829">
        <f t="shared" si="3894"/>
        <v>3.004056572744207E-2</v>
      </c>
      <c r="BH1009" s="228">
        <f t="shared" si="3895"/>
        <v>-1.640947620082589E-2</v>
      </c>
      <c r="BI1009" s="228">
        <f t="shared" si="3895"/>
        <v>0.14385150812064973</v>
      </c>
      <c r="BJ1009" s="228">
        <f t="shared" si="3895"/>
        <v>9.9777842171351327E-2</v>
      </c>
      <c r="BK1009" s="228">
        <f t="shared" si="3896"/>
        <v>1.6599332513613119E-2</v>
      </c>
      <c r="BL1009" s="228">
        <f t="shared" si="3897"/>
        <v>0.32786177105831538</v>
      </c>
      <c r="BM1009" s="228">
        <f t="shared" si="3898"/>
        <v>5.595315549772284E-2</v>
      </c>
      <c r="BN1009" s="228">
        <f t="shared" si="3898"/>
        <v>-4.7073321010474456E-2</v>
      </c>
      <c r="BO1009" s="228">
        <f t="shared" si="3899"/>
        <v>0.39034010086641668</v>
      </c>
      <c r="BP1009" s="23"/>
      <c r="BT1009" s="942"/>
      <c r="BU1009" s="942"/>
      <c r="BV1009" s="942"/>
      <c r="BW1009" s="942"/>
      <c r="BX1009" s="942"/>
      <c r="BY1009" s="942"/>
      <c r="BZ1009" s="942"/>
      <c r="CA1009" s="942"/>
      <c r="CB1009" s="942"/>
      <c r="CC1009" s="942"/>
    </row>
    <row r="1010" spans="2:81" s="3" customFormat="1" hidden="1" outlineLevel="1">
      <c r="B1010" s="13" t="str">
        <f t="shared" si="3900"/>
        <v>Windows</v>
      </c>
      <c r="L1010" s="228">
        <f t="shared" si="3867"/>
        <v>0</v>
      </c>
      <c r="M1010" s="228">
        <f t="shared" si="3868"/>
        <v>7.0759625390217629E-3</v>
      </c>
      <c r="N1010" s="228">
        <f t="shared" si="3869"/>
        <v>8.441100399717838E-2</v>
      </c>
      <c r="O1010" s="228">
        <f t="shared" si="3870"/>
        <v>0.10874897792313987</v>
      </c>
      <c r="P1010" s="228">
        <f t="shared" si="3871"/>
        <v>5.5567520999353803E-2</v>
      </c>
      <c r="Q1010" s="228">
        <f t="shared" si="3872"/>
        <v>-1.6738995660260381E-2</v>
      </c>
      <c r="R1010" s="228">
        <f t="shared" si="3873"/>
        <v>7.1986123156981829E-2</v>
      </c>
      <c r="S1010" s="228">
        <f t="shared" si="3874"/>
        <v>6.7846607669616477E-2</v>
      </c>
      <c r="T1010" s="228">
        <f t="shared" si="3875"/>
        <v>9.2226076310957028E-2</v>
      </c>
      <c r="U1010" s="228">
        <f t="shared" si="3876"/>
        <v>0.17549390500210182</v>
      </c>
      <c r="V1010" s="228">
        <f t="shared" si="3877"/>
        <v>5.5825242718446688E-2</v>
      </c>
      <c r="W1010" s="228">
        <f t="shared" si="3878"/>
        <v>5.8011049723756924E-2</v>
      </c>
      <c r="X1010" s="228">
        <f t="shared" si="3879"/>
        <v>-8.9669344292919728E-3</v>
      </c>
      <c r="Y1010" s="228">
        <f t="shared" si="3880"/>
        <v>2.1991775433577665E-2</v>
      </c>
      <c r="Z1010" s="228">
        <f t="shared" si="3881"/>
        <v>8.1609195402298829E-2</v>
      </c>
      <c r="AA1010" s="228">
        <f t="shared" si="3881"/>
        <v>7.0496083550913857E-2</v>
      </c>
      <c r="AB1010" s="228">
        <f t="shared" si="3882"/>
        <v>6.9934024505183823E-2</v>
      </c>
      <c r="AC1010" s="228">
        <f t="shared" si="3883"/>
        <v>0.15465360391882443</v>
      </c>
      <c r="AD1010" s="228">
        <f t="shared" si="3884"/>
        <v>7.6337229897272429E-2</v>
      </c>
      <c r="AE1010" s="228">
        <f t="shared" si="3884"/>
        <v>-2.3170731707317094E-2</v>
      </c>
      <c r="AF1010" s="228">
        <f t="shared" si="3885"/>
        <v>-6.3953488372093026E-2</v>
      </c>
      <c r="AG1010" s="228">
        <f t="shared" si="3886"/>
        <v>-0.27151515151515149</v>
      </c>
      <c r="AH1010" s="228">
        <f t="shared" si="3887"/>
        <v>-0.12325160441007077</v>
      </c>
      <c r="AI1010" s="228">
        <f t="shared" si="3888"/>
        <v>-5.4619225967540541E-2</v>
      </c>
      <c r="AJ1010" s="228">
        <f t="shared" si="3889"/>
        <v>4.7807265198569482E-2</v>
      </c>
      <c r="AK1010" s="228">
        <f t="shared" si="3890"/>
        <v>9.4425956738768635E-2</v>
      </c>
      <c r="AL1010" s="228">
        <f t="shared" si="3891"/>
        <v>0.11280030030030019</v>
      </c>
      <c r="AM1010" s="228">
        <f t="shared" si="3892"/>
        <v>7.0650379663255158E-2</v>
      </c>
      <c r="AN1010" s="33"/>
      <c r="AO1010"/>
      <c r="AP1010"/>
      <c r="AQ1010"/>
      <c r="AR1010" s="228"/>
      <c r="AS1010" s="228"/>
      <c r="AT1010" s="228"/>
      <c r="AU1010" s="228"/>
      <c r="AV1010" s="228"/>
      <c r="AW1010" s="228">
        <f t="shared" ref="AW1010:BE1010" si="3903">+IFERROR(AW998/AV998-1,"n/a ")</f>
        <v>-0.12976600546383177</v>
      </c>
      <c r="AX1010" s="228">
        <f t="shared" si="3903"/>
        <v>0.24377260629222675</v>
      </c>
      <c r="AY1010" s="228">
        <f t="shared" si="3903"/>
        <v>-2.1947873799725626E-2</v>
      </c>
      <c r="AZ1010" s="228">
        <f t="shared" si="3903"/>
        <v>-2.8330995792426372E-2</v>
      </c>
      <c r="BA1010" s="228">
        <f t="shared" si="3903"/>
        <v>1.206697459584305E-2</v>
      </c>
      <c r="BB1010" s="228">
        <f t="shared" si="3903"/>
        <v>-3.8393519310856328E-2</v>
      </c>
      <c r="BC1010" s="228">
        <f t="shared" si="3903"/>
        <v>-0.12043189368770768</v>
      </c>
      <c r="BD1010" s="228">
        <f t="shared" si="3903"/>
        <v>-0.45339268852016723</v>
      </c>
      <c r="BE1010" s="228">
        <f t="shared" si="3903"/>
        <v>6.4289239881540006E-2</v>
      </c>
      <c r="BF1010" s="228"/>
      <c r="BG1010" s="829">
        <f t="shared" si="3894"/>
        <v>-0.45339268852016723</v>
      </c>
      <c r="BH1010" s="228">
        <f t="shared" si="3895"/>
        <v>5.9550945976749592E-2</v>
      </c>
      <c r="BI1010" s="228">
        <f t="shared" si="3895"/>
        <v>4.9749905878556433E-2</v>
      </c>
      <c r="BJ1010" s="228">
        <f t="shared" si="3895"/>
        <v>4.4932882467465962E-2</v>
      </c>
      <c r="BK1010" s="228">
        <f t="shared" si="3896"/>
        <v>9.3111056631527411E-2</v>
      </c>
      <c r="BL1010" s="228">
        <f t="shared" si="3897"/>
        <v>4.184982506503987E-2</v>
      </c>
      <c r="BM1010" s="228">
        <f t="shared" si="3898"/>
        <v>6.6043828303267826E-2</v>
      </c>
      <c r="BN1010" s="228">
        <f t="shared" si="3898"/>
        <v>-0.13141634021243087</v>
      </c>
      <c r="BO1010" s="228">
        <f t="shared" si="3899"/>
        <v>8.0764402287627268E-2</v>
      </c>
      <c r="BP1010" s="23"/>
      <c r="BT1010" s="7"/>
      <c r="BU1010" s="7"/>
      <c r="BV1010" s="7"/>
      <c r="BW1010" s="7"/>
      <c r="BX1010" s="7"/>
      <c r="BY1010" s="7"/>
      <c r="BZ1010" s="7"/>
      <c r="CA1010" s="7"/>
      <c r="CB1010" s="7"/>
      <c r="CC1010" s="7"/>
    </row>
    <row r="1011" spans="2:81" s="3" customFormat="1" hidden="1" outlineLevel="1">
      <c r="B1011" s="13" t="str">
        <f t="shared" si="3900"/>
        <v xml:space="preserve">Search and news advertising </v>
      </c>
      <c r="L1011" s="228">
        <f t="shared" si="3867"/>
        <v>0.1469559132260323</v>
      </c>
      <c r="M1011" s="228">
        <f t="shared" si="3868"/>
        <v>0.13395638629283479</v>
      </c>
      <c r="N1011" s="228">
        <f t="shared" si="3869"/>
        <v>0.11569731081926204</v>
      </c>
      <c r="O1011" s="228">
        <f t="shared" si="3870"/>
        <v>0.11538461538461542</v>
      </c>
      <c r="P1011" s="228">
        <f t="shared" si="3871"/>
        <v>9.0909090909090828E-2</v>
      </c>
      <c r="Q1011" s="228">
        <f t="shared" si="3872"/>
        <v>8.5714285714285632E-2</v>
      </c>
      <c r="R1011" s="228">
        <f t="shared" si="3873"/>
        <v>7.1188340807174955E-2</v>
      </c>
      <c r="S1011" s="228">
        <f t="shared" si="3874"/>
        <v>0.10401356698699837</v>
      </c>
      <c r="T1011" s="228">
        <f t="shared" si="3875"/>
        <v>0.11353467561521247</v>
      </c>
      <c r="U1011" s="228">
        <f t="shared" si="3876"/>
        <v>9.4635627530364363E-2</v>
      </c>
      <c r="V1011" s="228">
        <f t="shared" si="3877"/>
        <v>3.9246467817896313E-2</v>
      </c>
      <c r="W1011" s="228">
        <f t="shared" si="3878"/>
        <v>-0.18074756784434198</v>
      </c>
      <c r="X1011" s="228">
        <f t="shared" si="3879"/>
        <v>-0.1014565544952285</v>
      </c>
      <c r="Y1011" s="228">
        <f t="shared" si="3880"/>
        <v>9.7087378640776656E-3</v>
      </c>
      <c r="Z1011" s="228">
        <f t="shared" si="3881"/>
        <v>0.11681772406847934</v>
      </c>
      <c r="AA1011" s="228">
        <f t="shared" si="3881"/>
        <v>0.46062500000000006</v>
      </c>
      <c r="AB1011" s="228">
        <f t="shared" si="3882"/>
        <v>0.48462828395751822</v>
      </c>
      <c r="AC1011" s="228">
        <f t="shared" si="3883"/>
        <v>0.40293040293040283</v>
      </c>
      <c r="AD1011" s="228">
        <f t="shared" si="3884"/>
        <v>0.32777276825969337</v>
      </c>
      <c r="AE1011" s="228">
        <f t="shared" si="3884"/>
        <v>0.25203252032520318</v>
      </c>
      <c r="AF1011" s="228">
        <f t="shared" si="3885"/>
        <v>0.10240963855421681</v>
      </c>
      <c r="AG1011" s="228">
        <f t="shared" si="3886"/>
        <v>5.1892950391644987E-2</v>
      </c>
      <c r="AH1011" s="228">
        <f t="shared" si="3887"/>
        <v>3.395585738539908E-2</v>
      </c>
      <c r="AI1011" s="228">
        <f t="shared" si="3888"/>
        <v>2.9391660970608413E-2</v>
      </c>
      <c r="AJ1011" s="228">
        <f t="shared" si="3889"/>
        <v>4.2691256830601043E-2</v>
      </c>
      <c r="AK1011" s="228">
        <f t="shared" si="3890"/>
        <v>-9.3080980452997508E-4</v>
      </c>
      <c r="AL1011" s="228">
        <f t="shared" si="3891"/>
        <v>2.9228243021346412E-2</v>
      </c>
      <c r="AM1011" s="228">
        <f t="shared" si="3892"/>
        <v>5.2124833997343911E-2</v>
      </c>
      <c r="AO1011"/>
      <c r="AP1011"/>
      <c r="AQ1011"/>
      <c r="AR1011" s="228"/>
      <c r="AS1011" s="228"/>
      <c r="AT1011" s="228"/>
      <c r="AU1011" s="228"/>
      <c r="AV1011" s="228"/>
      <c r="AW1011" s="228">
        <f t="shared" ref="AW1011:BE1011" si="3904">+IFERROR(AW999/AV999-1,"n/a ")</f>
        <v>-3.2989690721649478E-2</v>
      </c>
      <c r="AX1011" s="228">
        <f t="shared" si="3904"/>
        <v>7.8038379530916746E-2</v>
      </c>
      <c r="AY1011" s="228">
        <f t="shared" si="3904"/>
        <v>0.15229430379746844</v>
      </c>
      <c r="AZ1011" s="228">
        <f t="shared" si="3904"/>
        <v>9.2001373154823263E-2</v>
      </c>
      <c r="BA1011" s="228">
        <f t="shared" si="3904"/>
        <v>6.4759509588179887E-2</v>
      </c>
      <c r="BB1011" s="228">
        <f t="shared" si="3904"/>
        <v>0.18571006790670208</v>
      </c>
      <c r="BC1011" s="228">
        <f t="shared" si="3904"/>
        <v>0.1347111553784861</v>
      </c>
      <c r="BD1011" s="228">
        <f t="shared" si="3904"/>
        <v>0.33816107087996494</v>
      </c>
      <c r="BE1011" s="228">
        <f t="shared" si="3904"/>
        <v>0.14316169235815024</v>
      </c>
      <c r="BF1011" s="228"/>
      <c r="BG1011" s="829">
        <f t="shared" si="3894"/>
        <v>0.33816107087996494</v>
      </c>
      <c r="BH1011" s="228">
        <f t="shared" si="3895"/>
        <v>0.14572586588061909</v>
      </c>
      <c r="BI1011" s="228">
        <f t="shared" si="3895"/>
        <v>0.12751246181058051</v>
      </c>
      <c r="BJ1011" s="228">
        <f t="shared" si="3895"/>
        <v>8.7849401026811158E-2</v>
      </c>
      <c r="BK1011" s="228">
        <f t="shared" si="3896"/>
        <v>1.4682747771368687E-2</v>
      </c>
      <c r="BL1011" s="228">
        <f t="shared" si="3897"/>
        <v>0.10180878552971584</v>
      </c>
      <c r="BM1011" s="228">
        <f t="shared" si="3898"/>
        <v>0.3591697936210132</v>
      </c>
      <c r="BN1011" s="228">
        <f t="shared" si="3898"/>
        <v>5.3230955051333018E-2</v>
      </c>
      <c r="BO1011" s="228">
        <f t="shared" si="3899"/>
        <v>3.0144167758846763E-2</v>
      </c>
      <c r="BP1011" s="23"/>
      <c r="BT1011"/>
      <c r="BU1011"/>
      <c r="BV1011"/>
      <c r="BW1011"/>
      <c r="BX1011"/>
      <c r="BY1011"/>
      <c r="BZ1011"/>
      <c r="CA1011"/>
      <c r="CB1011"/>
      <c r="CC1011"/>
    </row>
    <row r="1012" spans="2:81" s="3" customFormat="1" hidden="1" outlineLevel="1">
      <c r="B1012" s="13" t="str">
        <f t="shared" si="3900"/>
        <v>Enterprise Services</v>
      </c>
      <c r="L1012" s="228">
        <f t="shared" si="3867"/>
        <v>1.1808118081180874E-2</v>
      </c>
      <c r="M1012" s="228">
        <f t="shared" si="3868"/>
        <v>4.6681254558716301E-2</v>
      </c>
      <c r="N1012" s="228">
        <f t="shared" si="3869"/>
        <v>7.6644974692696932E-2</v>
      </c>
      <c r="O1012" s="228">
        <f t="shared" si="3870"/>
        <v>8.2344731332868015E-2</v>
      </c>
      <c r="P1012" s="228">
        <f t="shared" si="3871"/>
        <v>5.7622173595915482E-2</v>
      </c>
      <c r="Q1012" s="228">
        <f t="shared" si="3872"/>
        <v>5.9930313588850259E-2</v>
      </c>
      <c r="R1012" s="228">
        <f t="shared" si="3873"/>
        <v>3.5594358629952971E-2</v>
      </c>
      <c r="S1012" s="228">
        <f t="shared" si="3874"/>
        <v>3.8684719535783341E-2</v>
      </c>
      <c r="T1012" s="228">
        <f t="shared" si="3875"/>
        <v>6.5517241379310365E-2</v>
      </c>
      <c r="U1012" s="228">
        <f t="shared" si="3876"/>
        <v>5.9829059829059839E-2</v>
      </c>
      <c r="V1012" s="228">
        <f t="shared" si="3877"/>
        <v>5.9014267185473424E-2</v>
      </c>
      <c r="W1012" s="228">
        <f t="shared" si="3878"/>
        <v>4.9658597144630612E-3</v>
      </c>
      <c r="X1012" s="228">
        <f t="shared" si="3879"/>
        <v>5.9546925566343001E-2</v>
      </c>
      <c r="Y1012" s="228">
        <f t="shared" si="3880"/>
        <v>5.1488833746898166E-2</v>
      </c>
      <c r="Z1012" s="228">
        <f t="shared" si="3881"/>
        <v>0.10410287813839569</v>
      </c>
      <c r="AA1012" s="228">
        <f t="shared" si="3881"/>
        <v>0.11673872760963566</v>
      </c>
      <c r="AB1012" s="228">
        <f t="shared" si="3882"/>
        <v>9.4074526572999417E-2</v>
      </c>
      <c r="AC1012" s="228">
        <f t="shared" si="3883"/>
        <v>7.5516224188790559E-2</v>
      </c>
      <c r="AD1012" s="228">
        <f t="shared" si="3884"/>
        <v>4.8807542983915653E-2</v>
      </c>
      <c r="AE1012" s="228">
        <f t="shared" si="3884"/>
        <v>5.1991150442477929E-2</v>
      </c>
      <c r="AF1012" s="228">
        <f t="shared" si="3885"/>
        <v>4.7459519821328788E-2</v>
      </c>
      <c r="AG1012" s="228">
        <f t="shared" si="3886"/>
        <v>2.1393307734503653E-2</v>
      </c>
      <c r="AH1012" s="228">
        <f t="shared" si="3887"/>
        <v>6.1343204653622418E-2</v>
      </c>
      <c r="AI1012" s="228">
        <f t="shared" si="3888"/>
        <v>3.9432176656151396E-2</v>
      </c>
      <c r="AJ1012" s="228">
        <f t="shared" si="3889"/>
        <v>3.6247334754797356E-2</v>
      </c>
      <c r="AK1012" s="228">
        <f t="shared" si="3890"/>
        <v>2.9538131041890514E-2</v>
      </c>
      <c r="AL1012" s="228">
        <f t="shared" si="3891"/>
        <v>-7.2745391131041393E-2</v>
      </c>
      <c r="AM1012" s="228">
        <f t="shared" si="3892"/>
        <v>-5.3110773899848307E-2</v>
      </c>
      <c r="AO1012"/>
      <c r="AP1012"/>
      <c r="AQ1012"/>
      <c r="AR1012" s="228"/>
      <c r="AS1012" s="228"/>
      <c r="AT1012" s="228"/>
      <c r="AU1012" s="228"/>
      <c r="AV1012" s="228"/>
      <c r="AW1012" s="228">
        <f t="shared" ref="AW1012:BE1012" si="3905">+IFERROR(AW1000/AV1000-1,"n/a ")</f>
        <v>0.10244258111556692</v>
      </c>
      <c r="AX1012" s="228">
        <f t="shared" si="3905"/>
        <v>3.9682539682539542E-3</v>
      </c>
      <c r="AY1012" s="228">
        <f t="shared" si="3905"/>
        <v>0.11067193675889331</v>
      </c>
      <c r="AZ1012" s="228">
        <f t="shared" si="3905"/>
        <v>0.17912218268090152</v>
      </c>
      <c r="BA1012" s="228">
        <f t="shared" si="3905"/>
        <v>9.9597585513078402E-2</v>
      </c>
      <c r="BB1012" s="228">
        <f t="shared" si="3905"/>
        <v>9.0347666971637652E-2</v>
      </c>
      <c r="BC1012" s="228">
        <f t="shared" si="3905"/>
        <v>6.77574994755612E-2</v>
      </c>
      <c r="BD1012" s="228">
        <f t="shared" si="3905"/>
        <v>0.10825147347740671</v>
      </c>
      <c r="BE1012" s="228">
        <f t="shared" si="3905"/>
        <v>-9.3954972522601876E-3</v>
      </c>
      <c r="BF1012" s="228"/>
      <c r="BG1012" s="829">
        <f t="shared" si="3894"/>
        <v>0.10825147347740671</v>
      </c>
      <c r="BH1012" s="228">
        <f t="shared" si="3895"/>
        <v>-2.067503092419154E-2</v>
      </c>
      <c r="BI1012" s="228">
        <f t="shared" si="3895"/>
        <v>5.4853843377841827E-2</v>
      </c>
      <c r="BJ1012" s="228">
        <f t="shared" si="3895"/>
        <v>4.7553882996920871E-2</v>
      </c>
      <c r="BK1012" s="228">
        <f t="shared" si="3896"/>
        <v>4.6538210320052231E-2</v>
      </c>
      <c r="BL1012" s="228">
        <f t="shared" si="3897"/>
        <v>8.3320330784833807E-2</v>
      </c>
      <c r="BM1012" s="228">
        <f t="shared" si="3898"/>
        <v>6.6829900619328919E-2</v>
      </c>
      <c r="BN1012" s="228">
        <f t="shared" si="3898"/>
        <v>4.2527339003645137E-2</v>
      </c>
      <c r="BO1012" s="228">
        <f t="shared" si="3899"/>
        <v>-1.6576016576016595E-2</v>
      </c>
      <c r="BP1012" s="23"/>
      <c r="BT1012"/>
      <c r="BU1012"/>
      <c r="BV1012"/>
      <c r="BW1012"/>
      <c r="BX1012"/>
      <c r="BY1012"/>
      <c r="BZ1012"/>
      <c r="CA1012"/>
      <c r="CB1012"/>
      <c r="CC1012"/>
    </row>
    <row r="1013" spans="2:81" s="3" customFormat="1" hidden="1" outlineLevel="1">
      <c r="B1013" s="13" t="str">
        <f t="shared" si="3900"/>
        <v>Devices</v>
      </c>
      <c r="L1013" s="228">
        <f t="shared" si="3867"/>
        <v>-0.15271659324522757</v>
      </c>
      <c r="M1013" s="228">
        <f t="shared" si="3868"/>
        <v>-0.1290512669416618</v>
      </c>
      <c r="N1013" s="228">
        <f t="shared" si="3869"/>
        <v>0.27244258872651361</v>
      </c>
      <c r="O1013" s="228">
        <f t="shared" si="3870"/>
        <v>0.2277511961722487</v>
      </c>
      <c r="P1013" s="228">
        <f t="shared" si="3871"/>
        <v>9.2720970537261804E-2</v>
      </c>
      <c r="Q1013" s="228">
        <f t="shared" si="3872"/>
        <v>0.31799729364005414</v>
      </c>
      <c r="R1013" s="228">
        <f t="shared" si="3873"/>
        <v>0.16735028712059075</v>
      </c>
      <c r="S1013" s="228">
        <f t="shared" si="3874"/>
        <v>0.14029618082618867</v>
      </c>
      <c r="T1013" s="228">
        <f t="shared" si="3875"/>
        <v>-4.6788263283108589E-2</v>
      </c>
      <c r="U1013" s="228">
        <f t="shared" si="3876"/>
        <v>5.1334702258726939E-2</v>
      </c>
      <c r="V1013" s="228">
        <f t="shared" si="3877"/>
        <v>-7.730147575544577E-3</v>
      </c>
      <c r="W1013" s="228">
        <f t="shared" si="3878"/>
        <v>0.22693096377306898</v>
      </c>
      <c r="X1013" s="228">
        <f t="shared" si="3879"/>
        <v>0.34775374376039925</v>
      </c>
      <c r="Y1013" s="228">
        <f t="shared" si="3880"/>
        <v>3.515625E-2</v>
      </c>
      <c r="Z1013" s="228">
        <f t="shared" si="3881"/>
        <v>0.13243626062322944</v>
      </c>
      <c r="AA1013" s="228">
        <f t="shared" si="3881"/>
        <v>-0.19108635097493032</v>
      </c>
      <c r="AB1013" s="228">
        <f t="shared" si="3882"/>
        <v>-0.15987654320987654</v>
      </c>
      <c r="AC1013" s="228">
        <f t="shared" si="3883"/>
        <v>7.7830188679245182E-2</v>
      </c>
      <c r="AD1013" s="228">
        <f t="shared" si="3884"/>
        <v>0.1031894934333959</v>
      </c>
      <c r="AE1013" s="228">
        <f t="shared" si="3884"/>
        <v>8.8842975206611552E-2</v>
      </c>
      <c r="AF1013" s="228">
        <f t="shared" si="3885"/>
        <v>6.3923585598824495E-2</v>
      </c>
      <c r="AG1013" s="228">
        <f t="shared" si="3886"/>
        <v>-0.37417943107221008</v>
      </c>
      <c r="AH1013" s="228">
        <f t="shared" si="3887"/>
        <v>-0.27324263038548757</v>
      </c>
      <c r="AI1013" s="228">
        <f t="shared" si="3888"/>
        <v>-0.13915243516761544</v>
      </c>
      <c r="AJ1013" s="228">
        <f t="shared" si="3889"/>
        <v>-0.22306629834254144</v>
      </c>
      <c r="AK1013" s="228">
        <f t="shared" si="3890"/>
        <v>-9.2307692307692313E-2</v>
      </c>
      <c r="AL1013" s="228">
        <f t="shared" si="3891"/>
        <v>-0.16770670826833078</v>
      </c>
      <c r="AM1013" s="228">
        <f t="shared" si="3892"/>
        <v>1.197648787656135</v>
      </c>
      <c r="AN1013"/>
      <c r="AO1013"/>
      <c r="AP1013"/>
      <c r="AQ1013"/>
      <c r="AR1013" s="228"/>
      <c r="AS1013" s="228"/>
      <c r="AT1013" s="228"/>
      <c r="AU1013" s="228"/>
      <c r="AV1013" s="228"/>
      <c r="AW1013" s="228" t="str">
        <f t="shared" ref="AW1013:BE1013" si="3906">+IFERROR(AW1001/AV1001-1,"n/a ")</f>
        <v xml:space="preserve">n/a </v>
      </c>
      <c r="AX1013" s="228" t="str">
        <f t="shared" si="3906"/>
        <v xml:space="preserve">n/a </v>
      </c>
      <c r="AY1013" s="228" t="str">
        <f t="shared" si="3906"/>
        <v xml:space="preserve">n/a </v>
      </c>
      <c r="AZ1013" s="228" t="str">
        <f t="shared" si="3906"/>
        <v xml:space="preserve">n/a </v>
      </c>
      <c r="BA1013" s="228">
        <f t="shared" si="3906"/>
        <v>8.0617283950617278</v>
      </c>
      <c r="BB1013" s="228">
        <f t="shared" si="3906"/>
        <v>2.3760217983651226</v>
      </c>
      <c r="BC1013" s="228">
        <f t="shared" si="3906"/>
        <v>1.3410008071025019</v>
      </c>
      <c r="BD1013" s="228">
        <f t="shared" si="3906"/>
        <v>-0.35649026029994824</v>
      </c>
      <c r="BE1013" s="228">
        <f t="shared" si="3906"/>
        <v>-0.38963300294669168</v>
      </c>
      <c r="BF1013" s="228"/>
      <c r="BG1013" s="829">
        <f t="shared" si="3894"/>
        <v>-0.35649026029994824</v>
      </c>
      <c r="BH1013" s="228">
        <f t="shared" si="3895"/>
        <v>-0.35826572008113589</v>
      </c>
      <c r="BI1013" s="228">
        <f t="shared" si="3895"/>
        <v>1.4223627024891439E-2</v>
      </c>
      <c r="BJ1013" s="228">
        <f t="shared" si="3895"/>
        <v>0.18718348266458906</v>
      </c>
      <c r="BK1013" s="228">
        <f t="shared" si="3896"/>
        <v>5.9392945036915501E-2</v>
      </c>
      <c r="BL1013" s="228">
        <f t="shared" si="3897"/>
        <v>5.1726808115223788E-2</v>
      </c>
      <c r="BM1013" s="228">
        <f t="shared" si="3898"/>
        <v>2.9450743631276755E-2</v>
      </c>
      <c r="BN1013" s="228">
        <f t="shared" si="3898"/>
        <v>-0.21027034758975827</v>
      </c>
      <c r="BO1013" s="228">
        <f t="shared" si="3899"/>
        <v>0.17388154319869598</v>
      </c>
      <c r="BP1013" s="23"/>
      <c r="BT1013"/>
      <c r="BU1013"/>
      <c r="BV1013"/>
      <c r="BW1013"/>
      <c r="BX1013"/>
      <c r="BY1013"/>
      <c r="BZ1013"/>
      <c r="CA1013"/>
      <c r="CB1013"/>
      <c r="CC1013"/>
    </row>
    <row r="1014" spans="2:81" s="3" customFormat="1" hidden="1" outlineLevel="1">
      <c r="B1014" s="13" t="str">
        <f t="shared" si="3900"/>
        <v>LinkedIn</v>
      </c>
      <c r="L1014" s="228" t="str">
        <f t="shared" si="3867"/>
        <v xml:space="preserve">n/a </v>
      </c>
      <c r="M1014" s="228">
        <f t="shared" si="3868"/>
        <v>4.7543859649122808</v>
      </c>
      <c r="N1014" s="228">
        <f t="shared" si="3869"/>
        <v>0.36782786885245899</v>
      </c>
      <c r="O1014" s="228">
        <f t="shared" si="3870"/>
        <v>0.37207122774133072</v>
      </c>
      <c r="P1014" s="228">
        <f t="shared" si="3871"/>
        <v>0.33275261324041816</v>
      </c>
      <c r="Q1014" s="228">
        <f t="shared" si="3872"/>
        <v>0.29039634146341453</v>
      </c>
      <c r="R1014" s="228">
        <f t="shared" si="3873"/>
        <v>0.27041198501872654</v>
      </c>
      <c r="S1014" s="228">
        <f t="shared" si="3874"/>
        <v>0.25341530054644812</v>
      </c>
      <c r="T1014" s="228">
        <f t="shared" si="3875"/>
        <v>0.2477124183006536</v>
      </c>
      <c r="U1014" s="228">
        <f t="shared" si="3876"/>
        <v>0.24158298877731843</v>
      </c>
      <c r="V1014" s="228">
        <f t="shared" si="3877"/>
        <v>0.20872641509433953</v>
      </c>
      <c r="W1014" s="228">
        <f t="shared" si="3878"/>
        <v>9.8637602179836525E-2</v>
      </c>
      <c r="X1014" s="228">
        <f t="shared" si="3879"/>
        <v>0.15557883708748044</v>
      </c>
      <c r="Y1014" s="228">
        <f t="shared" si="3880"/>
        <v>0.22597526165556614</v>
      </c>
      <c r="Z1014" s="228">
        <f t="shared" si="3881"/>
        <v>0.24975609756097561</v>
      </c>
      <c r="AA1014" s="228">
        <f t="shared" si="3881"/>
        <v>0.46031746031746024</v>
      </c>
      <c r="AB1014" s="228">
        <f t="shared" si="3882"/>
        <v>0.4215775158658206</v>
      </c>
      <c r="AC1014" s="228">
        <f t="shared" si="3883"/>
        <v>0.37019790454016288</v>
      </c>
      <c r="AD1014" s="228">
        <f t="shared" si="3884"/>
        <v>0.34153005464480879</v>
      </c>
      <c r="AE1014" s="228">
        <f t="shared" si="3884"/>
        <v>0.26086956521739135</v>
      </c>
      <c r="AF1014" s="228">
        <f t="shared" si="3885"/>
        <v>0.16804846938775508</v>
      </c>
      <c r="AG1014" s="228">
        <f t="shared" si="3886"/>
        <v>9.7706032285471478E-2</v>
      </c>
      <c r="AH1014" s="228">
        <f t="shared" si="3887"/>
        <v>7.5647366889729506E-2</v>
      </c>
      <c r="AI1014" s="228">
        <f t="shared" si="3888"/>
        <v>5.3071120689655249E-2</v>
      </c>
      <c r="AJ1014" s="228">
        <f t="shared" si="3889"/>
        <v>6.8250068250068185E-2</v>
      </c>
      <c r="AK1014" s="228">
        <f t="shared" si="3890"/>
        <v>8.2301341589267274E-2</v>
      </c>
      <c r="AL1014" s="228">
        <f t="shared" si="3891"/>
        <v>8.5474709223694934E-2</v>
      </c>
      <c r="AM1014" s="228">
        <f t="shared" si="3892"/>
        <v>8.74904067536455E-2</v>
      </c>
      <c r="AN1014"/>
      <c r="AO1014"/>
      <c r="AP1014"/>
      <c r="AQ1014"/>
      <c r="AR1014" s="228"/>
      <c r="AS1014" s="228"/>
      <c r="AT1014" s="228"/>
      <c r="AU1014" s="228"/>
      <c r="AV1014" s="228"/>
      <c r="AW1014" s="228" t="str">
        <f t="shared" ref="AW1014:BE1014" si="3907">+IFERROR(AW1002/AV1002-1,"n/a ")</f>
        <v xml:space="preserve">n/a </v>
      </c>
      <c r="AX1014" s="228" t="str">
        <f t="shared" si="3907"/>
        <v xml:space="preserve">n/a </v>
      </c>
      <c r="AY1014" s="228" t="str">
        <f t="shared" si="3907"/>
        <v xml:space="preserve">n/a </v>
      </c>
      <c r="AZ1014" s="228" t="str">
        <f t="shared" si="3907"/>
        <v xml:space="preserve">n/a </v>
      </c>
      <c r="BA1014" s="228" t="str">
        <f t="shared" si="3907"/>
        <v xml:space="preserve">n/a </v>
      </c>
      <c r="BB1014" s="228" t="str">
        <f t="shared" si="3907"/>
        <v xml:space="preserve">n/a </v>
      </c>
      <c r="BC1014" s="228" t="str">
        <f t="shared" si="3907"/>
        <v xml:space="preserve">n/a </v>
      </c>
      <c r="BD1014" s="228" t="str">
        <f t="shared" si="3907"/>
        <v xml:space="preserve">n/a </v>
      </c>
      <c r="BE1014" s="228" t="str">
        <f t="shared" si="3907"/>
        <v xml:space="preserve">n/a </v>
      </c>
      <c r="BF1014" s="228"/>
      <c r="BG1014" s="829" t="str">
        <f t="shared" si="3894"/>
        <v xml:space="preserve">n/a </v>
      </c>
      <c r="BH1014" s="228" t="str">
        <f t="shared" si="3895"/>
        <v xml:space="preserve">n/a </v>
      </c>
      <c r="BI1014" s="228">
        <f t="shared" si="3895"/>
        <v>1.3157199471598413</v>
      </c>
      <c r="BJ1014" s="228">
        <f t="shared" si="3895"/>
        <v>0.28427457691576352</v>
      </c>
      <c r="BK1014" s="228">
        <f t="shared" si="3896"/>
        <v>0.19588392063962101</v>
      </c>
      <c r="BL1014" s="228">
        <f t="shared" si="3897"/>
        <v>0.27386405843753869</v>
      </c>
      <c r="BM1014" s="228">
        <f t="shared" si="3898"/>
        <v>0.34279327437068718</v>
      </c>
      <c r="BN1014" s="228">
        <f t="shared" si="3898"/>
        <v>9.619281991893458E-2</v>
      </c>
      <c r="BO1014" s="228">
        <f t="shared" si="3899"/>
        <v>8.1016837240013295E-2</v>
      </c>
      <c r="BP1014" s="23"/>
      <c r="BT1014"/>
      <c r="BU1014"/>
      <c r="BV1014"/>
      <c r="BW1014"/>
      <c r="BX1014"/>
      <c r="BY1014"/>
      <c r="BZ1014"/>
      <c r="CA1014"/>
      <c r="CB1014"/>
      <c r="CC1014"/>
    </row>
    <row r="1015" spans="2:81" s="839" customFormat="1" ht="11.45" hidden="1" outlineLevel="1">
      <c r="B1015" s="13" t="str">
        <f t="shared" si="3900"/>
        <v>Other</v>
      </c>
      <c r="L1015" s="840">
        <f t="shared" si="3867"/>
        <v>5.6603773584905648E-2</v>
      </c>
      <c r="M1015" s="840">
        <f t="shared" si="3868"/>
        <v>1.0928961748633892E-2</v>
      </c>
      <c r="N1015" s="840">
        <f t="shared" si="3869"/>
        <v>0.15181518151815188</v>
      </c>
      <c r="O1015" s="840">
        <f t="shared" si="3870"/>
        <v>7.1014492753623149E-2</v>
      </c>
      <c r="P1015" s="840">
        <f t="shared" si="3871"/>
        <v>0.19480519480519476</v>
      </c>
      <c r="Q1015" s="840">
        <f t="shared" si="3872"/>
        <v>8.783783783783794E-2</v>
      </c>
      <c r="R1015" s="840">
        <f t="shared" si="3873"/>
        <v>7.4498567335243626E-2</v>
      </c>
      <c r="S1015" s="840">
        <f t="shared" si="3874"/>
        <v>5.4127198917456099E-2</v>
      </c>
      <c r="T1015" s="840">
        <f t="shared" si="3875"/>
        <v>0.16168478260869557</v>
      </c>
      <c r="U1015" s="840">
        <f t="shared" si="3876"/>
        <v>0.19130434782608696</v>
      </c>
      <c r="V1015" s="840">
        <f t="shared" si="3877"/>
        <v>0.28133333333333344</v>
      </c>
      <c r="W1015" s="840">
        <f t="shared" si="3878"/>
        <v>0.27471116816431329</v>
      </c>
      <c r="X1015" s="840">
        <f t="shared" si="3879"/>
        <v>0.2070175438596491</v>
      </c>
      <c r="Y1015" s="840">
        <f t="shared" si="3880"/>
        <v>0.19186652763295098</v>
      </c>
      <c r="Z1015" s="840">
        <f t="shared" si="3881"/>
        <v>0.17065556711758578</v>
      </c>
      <c r="AA1015" s="840">
        <f t="shared" si="3881"/>
        <v>0.18731117824773413</v>
      </c>
      <c r="AB1015" s="840">
        <f t="shared" si="3882"/>
        <v>0.18895348837209291</v>
      </c>
      <c r="AC1015" s="840">
        <f t="shared" si="3883"/>
        <v>0.18722659667541564</v>
      </c>
      <c r="AD1015" s="840">
        <f t="shared" si="3884"/>
        <v>0.1591111111111112</v>
      </c>
      <c r="AE1015" s="840">
        <f t="shared" si="3884"/>
        <v>0.18999151823579297</v>
      </c>
      <c r="AF1015" s="840">
        <f t="shared" si="3885"/>
        <v>9.8614506927465317E-2</v>
      </c>
      <c r="AG1015" s="840">
        <f t="shared" si="3886"/>
        <v>1.4738393515105752E-3</v>
      </c>
      <c r="AH1015" s="840">
        <f t="shared" si="3887"/>
        <v>9.5092024539877196E-2</v>
      </c>
      <c r="AI1015" s="840">
        <f t="shared" si="3888"/>
        <v>7.8403421240199611E-2</v>
      </c>
      <c r="AJ1015" s="840">
        <f t="shared" si="3889"/>
        <v>0.14836795252225521</v>
      </c>
      <c r="AK1015" s="840">
        <f t="shared" si="3890"/>
        <v>0.16777041942604853</v>
      </c>
      <c r="AL1015" s="840">
        <f t="shared" si="3891"/>
        <v>0.16246498599439785</v>
      </c>
      <c r="AM1015" s="840">
        <f t="shared" si="3892"/>
        <v>-1.0290812954395241</v>
      </c>
      <c r="AN1015"/>
      <c r="AO1015"/>
      <c r="AP1015"/>
      <c r="AQ1015"/>
      <c r="AR1015" s="840"/>
      <c r="AS1015" s="840"/>
      <c r="AT1015" s="840"/>
      <c r="AU1015" s="840"/>
      <c r="AV1015" s="840"/>
      <c r="AW1015" s="840">
        <f t="shared" ref="AW1015:BE1015" si="3908">+IFERROR(AW1003/AV1003-1,"n/a ")</f>
        <v>-0.12712275594371669</v>
      </c>
      <c r="AX1015" s="840">
        <f t="shared" si="3908"/>
        <v>-3.3351862145636457E-2</v>
      </c>
      <c r="AY1015" s="840">
        <f t="shared" si="3908"/>
        <v>7.7918343875790663E-2</v>
      </c>
      <c r="AZ1015" s="840">
        <f t="shared" si="3908"/>
        <v>0.20245398773006129</v>
      </c>
      <c r="BA1015" s="840">
        <f t="shared" si="3908"/>
        <v>0.24001774622892635</v>
      </c>
      <c r="BB1015" s="840">
        <f t="shared" si="3908"/>
        <v>0.11216457960644011</v>
      </c>
      <c r="BC1015" s="840">
        <f t="shared" si="3908"/>
        <v>2.734437831751757E-3</v>
      </c>
      <c r="BD1015" s="840">
        <f t="shared" si="3908"/>
        <v>-6.1437279435354486E-2</v>
      </c>
      <c r="BE1015" s="840">
        <f t="shared" si="3908"/>
        <v>-5.3495129037771316E-2</v>
      </c>
      <c r="BF1015" s="840"/>
      <c r="BG1015" s="908">
        <f t="shared" si="3894"/>
        <v>-6.1437279435354486E-2</v>
      </c>
      <c r="BH1015" s="840">
        <f t="shared" si="3895"/>
        <v>4.481792717086841E-2</v>
      </c>
      <c r="BI1015" s="840">
        <f t="shared" si="3895"/>
        <v>6.9705093833780207E-2</v>
      </c>
      <c r="BJ1015" s="840">
        <f t="shared" si="3895"/>
        <v>9.917651271034722E-2</v>
      </c>
      <c r="BK1015" s="840">
        <f t="shared" si="3896"/>
        <v>0.22736156351791537</v>
      </c>
      <c r="BL1015" s="840">
        <f t="shared" si="3897"/>
        <v>0.18869426751592355</v>
      </c>
      <c r="BM1015" s="840">
        <f t="shared" si="3898"/>
        <v>0.18129046662201387</v>
      </c>
      <c r="BN1015" s="840">
        <f t="shared" si="3898"/>
        <v>6.7473067473067472E-2</v>
      </c>
      <c r="BO1015" s="840">
        <f t="shared" si="3899"/>
        <v>-0.15881728045325783</v>
      </c>
      <c r="BP1015" s="920"/>
      <c r="BT1015"/>
      <c r="BU1015"/>
      <c r="BV1015"/>
      <c r="BW1015"/>
      <c r="BX1015"/>
      <c r="BY1015"/>
      <c r="BZ1015"/>
      <c r="CA1015"/>
      <c r="CB1015"/>
      <c r="CC1015"/>
    </row>
    <row r="1016" spans="2:81" s="7" customFormat="1" hidden="1" outlineLevel="1">
      <c r="B1016" s="841" t="str">
        <f t="shared" si="3900"/>
        <v>Total revenue</v>
      </c>
      <c r="L1016" s="842">
        <f t="shared" si="3867"/>
        <v>0.11902590295512594</v>
      </c>
      <c r="M1016" s="842">
        <f t="shared" si="3868"/>
        <v>0.11972430883605667</v>
      </c>
      <c r="N1016" s="842">
        <f t="shared" si="3869"/>
        <v>0.15539376184732046</v>
      </c>
      <c r="O1016" s="842">
        <f t="shared" si="3870"/>
        <v>0.17496582698691654</v>
      </c>
      <c r="P1016" s="842">
        <f t="shared" si="3871"/>
        <v>0.18526367267095933</v>
      </c>
      <c r="Q1016" s="842">
        <f t="shared" si="3872"/>
        <v>0.12286465177398154</v>
      </c>
      <c r="R1016" s="842">
        <f t="shared" si="3873"/>
        <v>0.13990081658525666</v>
      </c>
      <c r="S1016" s="842">
        <f t="shared" si="3874"/>
        <v>0.12072461359481479</v>
      </c>
      <c r="T1016" s="842">
        <f t="shared" si="3875"/>
        <v>0.13653555219364599</v>
      </c>
      <c r="U1016" s="842">
        <f t="shared" si="3876"/>
        <v>0.13658341289150311</v>
      </c>
      <c r="V1016" s="842">
        <f t="shared" si="3877"/>
        <v>0.14556278826338698</v>
      </c>
      <c r="W1016" s="842">
        <f t="shared" si="3878"/>
        <v>0.12800664353293589</v>
      </c>
      <c r="X1016" s="842">
        <f t="shared" si="3879"/>
        <v>0.12400544546967174</v>
      </c>
      <c r="Y1016" s="842">
        <f t="shared" si="3880"/>
        <v>0.16718148810491518</v>
      </c>
      <c r="Z1016" s="842">
        <f t="shared" si="3881"/>
        <v>0.19088546871876866</v>
      </c>
      <c r="AA1016" s="842">
        <f t="shared" si="3881"/>
        <v>0.21347251071437956</v>
      </c>
      <c r="AB1016" s="842">
        <f t="shared" si="3882"/>
        <v>0.21970716477364483</v>
      </c>
      <c r="AC1016" s="842">
        <f t="shared" si="3883"/>
        <v>0.2008543040208004</v>
      </c>
      <c r="AD1016" s="842">
        <f t="shared" si="3884"/>
        <v>0.18352275451973332</v>
      </c>
      <c r="AE1016" s="842">
        <f t="shared" si="3884"/>
        <v>0.12378661813139202</v>
      </c>
      <c r="AF1016" s="842">
        <f t="shared" si="3885"/>
        <v>0.1060308493501334</v>
      </c>
      <c r="AG1016" s="842">
        <f t="shared" si="3886"/>
        <v>1.9699195793380753E-2</v>
      </c>
      <c r="AH1016" s="842">
        <f t="shared" si="3887"/>
        <v>7.0846839546191198E-2</v>
      </c>
      <c r="AI1016" s="842">
        <f t="shared" si="3888"/>
        <v>8.3370288248336921E-2</v>
      </c>
      <c r="AJ1016" s="842">
        <f t="shared" si="3889"/>
        <v>0.12758868361198683</v>
      </c>
      <c r="AK1016" s="842">
        <f t="shared" si="3890"/>
        <v>0.17580146738203117</v>
      </c>
      <c r="AL1016" s="842">
        <f t="shared" si="3891"/>
        <v>0.17028964943148495</v>
      </c>
      <c r="AM1016" s="842">
        <f t="shared" si="3892"/>
        <v>0.15195144957198026</v>
      </c>
      <c r="AN1016"/>
      <c r="AO1016"/>
      <c r="AP1016"/>
      <c r="AQ1016"/>
      <c r="AR1016" s="842"/>
      <c r="AS1016" s="842"/>
      <c r="AT1016" s="842"/>
      <c r="AU1016" s="842"/>
      <c r="AV1016" s="842"/>
      <c r="AW1016" s="842">
        <f t="shared" ref="AW1016:BE1016" si="3909">+IFERROR(AW1004/AV1004-1,"n/a ")</f>
        <v>-3.2820258192651441E-2</v>
      </c>
      <c r="AX1016" s="842">
        <f t="shared" si="3909"/>
        <v>6.9254068484008391E-2</v>
      </c>
      <c r="AY1016" s="842">
        <f t="shared" si="3909"/>
        <v>0.11937455988733126</v>
      </c>
      <c r="AZ1016" s="842">
        <f t="shared" si="3909"/>
        <v>5.4044007263057026E-2</v>
      </c>
      <c r="BA1016" s="842">
        <f t="shared" si="3909"/>
        <v>5.5966252051598442E-2</v>
      </c>
      <c r="BB1016" s="842">
        <f t="shared" si="3909"/>
        <v>0.11540289534868786</v>
      </c>
      <c r="BC1016" s="842">
        <f t="shared" si="3909"/>
        <v>7.7700874091647165E-2</v>
      </c>
      <c r="BD1016" s="842">
        <f t="shared" si="3909"/>
        <v>-8.8266723658901425E-2</v>
      </c>
      <c r="BE1016" s="842">
        <f t="shared" si="3909"/>
        <v>5.4266291608063844E-2</v>
      </c>
      <c r="BF1016" s="842"/>
      <c r="BG1016" s="1177">
        <f t="shared" si="3894"/>
        <v>-8.8266723658901425E-2</v>
      </c>
      <c r="BH1016" s="842">
        <f t="shared" si="3895"/>
        <v>5.9426903920837271E-2</v>
      </c>
      <c r="BI1016" s="842">
        <f t="shared" si="3895"/>
        <v>0.14278613662486661</v>
      </c>
      <c r="BJ1016" s="842">
        <f t="shared" si="3895"/>
        <v>0.14029539688292858</v>
      </c>
      <c r="BK1016" s="842">
        <f t="shared" si="3896"/>
        <v>0.13645574247276371</v>
      </c>
      <c r="BL1016" s="842">
        <f t="shared" si="3897"/>
        <v>0.17531727441177503</v>
      </c>
      <c r="BM1016" s="842">
        <f t="shared" si="3898"/>
        <v>0.17956070629670173</v>
      </c>
      <c r="BN1016" s="842">
        <f t="shared" si="3898"/>
        <v>6.8820295556564215E-2</v>
      </c>
      <c r="BO1016" s="842">
        <f t="shared" si="3899"/>
        <v>0.1566996201307127</v>
      </c>
      <c r="BP1016" s="895"/>
      <c r="BT1016"/>
      <c r="BU1016"/>
      <c r="BV1016"/>
      <c r="BW1016"/>
      <c r="BX1016"/>
      <c r="BY1016"/>
      <c r="BZ1016"/>
      <c r="CA1016"/>
      <c r="CB1016"/>
      <c r="CC1016"/>
    </row>
    <row r="1017" spans="2:81" s="3" customFormat="1" hidden="1" outlineLevel="1">
      <c r="B1017" s="921"/>
      <c r="AN1017"/>
      <c r="AO1017"/>
      <c r="AP1017"/>
      <c r="AQ1017"/>
      <c r="BT1017"/>
      <c r="BU1017"/>
      <c r="BV1017"/>
      <c r="BW1017"/>
      <c r="BX1017"/>
      <c r="BY1017"/>
      <c r="BZ1017"/>
      <c r="CA1017"/>
      <c r="CB1017"/>
      <c r="CC1017"/>
    </row>
    <row r="1018" spans="2:81" s="3" customFormat="1" hidden="1" outlineLevel="1">
      <c r="B1018" s="24" t="s">
        <v>173</v>
      </c>
      <c r="AN1018"/>
      <c r="AO1018"/>
      <c r="AP1018"/>
      <c r="AQ1018"/>
      <c r="BT1018"/>
      <c r="BU1018"/>
      <c r="BV1018"/>
      <c r="BW1018"/>
      <c r="BX1018"/>
      <c r="BY1018"/>
      <c r="BZ1018"/>
      <c r="CA1018"/>
      <c r="CB1018"/>
      <c r="CC1018"/>
    </row>
    <row r="1019" spans="2:81" s="3" customFormat="1" hidden="1" outlineLevel="1">
      <c r="B1019" s="13" t="s">
        <v>528</v>
      </c>
      <c r="H1019" s="21">
        <f t="shared" ref="H1019:AG1019" si="3910">+H995/H$1004</f>
        <v>0.2728018971178402</v>
      </c>
      <c r="I1019" s="21">
        <f t="shared" si="3910"/>
        <v>0.24932238829086967</v>
      </c>
      <c r="J1019" s="21">
        <f t="shared" si="3910"/>
        <v>0.2685679820782354</v>
      </c>
      <c r="K1019" s="21">
        <f t="shared" si="3910"/>
        <v>0.27018160515524314</v>
      </c>
      <c r="L1019" s="21">
        <f t="shared" si="3910"/>
        <v>0.26795174830874563</v>
      </c>
      <c r="M1019" s="21">
        <f t="shared" si="3910"/>
        <v>0.24465730686769485</v>
      </c>
      <c r="N1019" s="21">
        <f t="shared" si="3910"/>
        <v>0.26429024199261719</v>
      </c>
      <c r="O1019" s="21">
        <f t="shared" si="3910"/>
        <v>0.25188632208741896</v>
      </c>
      <c r="P1019" s="21">
        <f t="shared" si="3910"/>
        <v>0.26206849126667586</v>
      </c>
      <c r="Q1019" s="21">
        <f t="shared" si="3910"/>
        <v>0.23858211942964491</v>
      </c>
      <c r="R1019" s="21">
        <f t="shared" si="3910"/>
        <v>0.25805501946288967</v>
      </c>
      <c r="S1019" s="21">
        <f t="shared" si="3910"/>
        <v>0.25242459293531455</v>
      </c>
      <c r="T1019" s="21">
        <f t="shared" si="3910"/>
        <v>0.25611859022840722</v>
      </c>
      <c r="U1019" s="21">
        <f t="shared" si="3910"/>
        <v>0.24340215683086761</v>
      </c>
      <c r="V1019" s="21">
        <f t="shared" si="3910"/>
        <v>0.25470432026498385</v>
      </c>
      <c r="W1019" s="21">
        <f t="shared" si="3910"/>
        <v>0.2352430783793022</v>
      </c>
      <c r="X1019" s="21">
        <f t="shared" si="3910"/>
        <v>0.24971739247456531</v>
      </c>
      <c r="Y1019" s="21">
        <f t="shared" si="3910"/>
        <v>0.22938527254155447</v>
      </c>
      <c r="Z1019" s="21">
        <f t="shared" si="3910"/>
        <v>0.24015729151680815</v>
      </c>
      <c r="AA1019" s="21">
        <f t="shared" si="3910"/>
        <v>0.23177760443751083</v>
      </c>
      <c r="AB1019" s="21">
        <f t="shared" si="3910"/>
        <v>0.23849769402211091</v>
      </c>
      <c r="AC1019" s="21">
        <f t="shared" si="3910"/>
        <v>0.21750309310238169</v>
      </c>
      <c r="AD1019" s="21">
        <f t="shared" si="3910"/>
        <v>0.22617504051863857</v>
      </c>
      <c r="AE1019" s="21">
        <f t="shared" si="3910"/>
        <v>0.22440952472765835</v>
      </c>
      <c r="AF1019" s="21">
        <f t="shared" si="3910"/>
        <v>0.2303978292965165</v>
      </c>
      <c r="AG1019" s="21">
        <f t="shared" si="3910"/>
        <v>0.22441086696873755</v>
      </c>
      <c r="AH1019" s="21">
        <f t="shared" ref="AH1019:AI1019" si="3911">+AH995/AH$1004</f>
        <v>0.23531414949770135</v>
      </c>
      <c r="AI1019" s="21">
        <f t="shared" si="3911"/>
        <v>0.22967128797451458</v>
      </c>
      <c r="AJ1019" s="21">
        <f t="shared" ref="AJ1019:AK1019" si="3912">+AJ995/AJ$1004</f>
        <v>0.23249641700727214</v>
      </c>
      <c r="AK1019" s="21">
        <f t="shared" si="3912"/>
        <v>0.2173008706868752</v>
      </c>
      <c r="AL1019" s="21">
        <f t="shared" ref="AL1019:AM1019" si="3913">+AL995/AL$1004</f>
        <v>0.22488602929289664</v>
      </c>
      <c r="AM1019" s="21">
        <f t="shared" si="3913"/>
        <v>0.22165402382313409</v>
      </c>
      <c r="AN1019"/>
      <c r="AO1019"/>
      <c r="AP1019"/>
      <c r="AQ1019"/>
      <c r="AR1019" s="21"/>
      <c r="AS1019" s="21"/>
      <c r="AT1019" s="21"/>
      <c r="AU1019" s="21"/>
      <c r="AV1019" s="21">
        <f t="shared" ref="AV1019:BE1019" si="3914">+AV995/AV$1004</f>
        <v>0.29928831512744125</v>
      </c>
      <c r="AW1019" s="21">
        <f t="shared" si="3914"/>
        <v>0.30798980098225437</v>
      </c>
      <c r="AX1019" s="21">
        <f t="shared" si="3914"/>
        <v>0.28413673900518532</v>
      </c>
      <c r="AY1019" s="21">
        <f t="shared" si="3914"/>
        <v>0.29638419856168596</v>
      </c>
      <c r="AZ1019" s="21">
        <f t="shared" si="3914"/>
        <v>0.30247005683436651</v>
      </c>
      <c r="BA1019" s="21">
        <f t="shared" si="3914"/>
        <v>0.29537951675679841</v>
      </c>
      <c r="BB1019" s="21">
        <f t="shared" si="3914"/>
        <v>0.28011239966372231</v>
      </c>
      <c r="BC1019" s="21">
        <f t="shared" si="3914"/>
        <v>0.2515281042957897</v>
      </c>
      <c r="BD1019" s="21">
        <f t="shared" si="3914"/>
        <v>0.27646507266760434</v>
      </c>
      <c r="BE1019" s="21">
        <f t="shared" si="3914"/>
        <v>0.28225680933852137</v>
      </c>
      <c r="BF1019" s="21"/>
      <c r="BG1019" s="21">
        <f t="shared" ref="BG1019:BM1028" si="3915">+BG995/BG$1004</f>
        <v>0.26184259604625137</v>
      </c>
      <c r="BH1019" s="21">
        <f t="shared" si="3915"/>
        <v>0.26481034679147986</v>
      </c>
      <c r="BI1019" s="21">
        <f t="shared" si="3915"/>
        <v>0.25657847046031168</v>
      </c>
      <c r="BJ1019" s="21">
        <f t="shared" si="3915"/>
        <v>0.25244948070214474</v>
      </c>
      <c r="BK1019" s="21">
        <f t="shared" si="3915"/>
        <v>0.24693913225885397</v>
      </c>
      <c r="BL1019" s="21">
        <f t="shared" si="3915"/>
        <v>0.23720908095759363</v>
      </c>
      <c r="BM1019" s="21">
        <f t="shared" si="3915"/>
        <v>0.22626721137842337</v>
      </c>
      <c r="BN1019" s="21">
        <f t="shared" ref="BN1019:BO1019" si="3916">+BN995/BN$1004</f>
        <v>0.22994125002949295</v>
      </c>
      <c r="BO1019" s="21">
        <f t="shared" si="3916"/>
        <v>0.22386811465311152</v>
      </c>
      <c r="BP1019" s="21"/>
      <c r="BT1019"/>
      <c r="BU1019"/>
      <c r="BV1019"/>
      <c r="BW1019"/>
      <c r="BX1019"/>
      <c r="BY1019"/>
      <c r="BZ1019"/>
      <c r="CA1019"/>
      <c r="CB1019"/>
      <c r="CC1019"/>
    </row>
    <row r="1020" spans="2:81" s="3" customFormat="1" hidden="1" outlineLevel="1">
      <c r="B1020" s="13" t="s">
        <v>529</v>
      </c>
      <c r="H1020" s="21">
        <f t="shared" ref="H1020:AG1020" si="3917">+H996/H$1004</f>
        <v>0.21383619117110544</v>
      </c>
      <c r="I1020" s="21">
        <f t="shared" si="3917"/>
        <v>0.20645860760473941</v>
      </c>
      <c r="J1020" s="21">
        <f t="shared" si="3917"/>
        <v>0.22820093055316215</v>
      </c>
      <c r="K1020" s="21">
        <f t="shared" si="3917"/>
        <v>0.2472563952353056</v>
      </c>
      <c r="L1020" s="21">
        <f t="shared" si="3917"/>
        <v>0.22397913440378189</v>
      </c>
      <c r="M1020" s="21">
        <f t="shared" si="3917"/>
        <v>0.21782280932291306</v>
      </c>
      <c r="N1020" s="21">
        <f t="shared" si="3917"/>
        <v>0.23651142846489429</v>
      </c>
      <c r="O1020" s="21">
        <f t="shared" si="3917"/>
        <v>0.26561409340202757</v>
      </c>
      <c r="P1020" s="21">
        <f t="shared" si="3917"/>
        <v>0.24267638564158989</v>
      </c>
      <c r="Q1020" s="21">
        <f t="shared" si="3917"/>
        <v>0.23993717470974099</v>
      </c>
      <c r="R1020" s="21">
        <f t="shared" si="3917"/>
        <v>0.26341958064832682</v>
      </c>
      <c r="S1020" s="21">
        <f t="shared" si="3917"/>
        <v>0.2882818756117092</v>
      </c>
      <c r="T1020" s="21">
        <f t="shared" si="3917"/>
        <v>0.27808198457116928</v>
      </c>
      <c r="U1020" s="21">
        <f t="shared" si="3917"/>
        <v>0.2741830596650951</v>
      </c>
      <c r="V1020" s="21">
        <f t="shared" si="3917"/>
        <v>0.29953456497530051</v>
      </c>
      <c r="W1020" s="21">
        <f t="shared" si="3917"/>
        <v>0.30441984592327714</v>
      </c>
      <c r="X1020" s="21">
        <f t="shared" si="3917"/>
        <v>0.3013134521182107</v>
      </c>
      <c r="Y1020" s="21">
        <f t="shared" si="3917"/>
        <v>0.29550097502089329</v>
      </c>
      <c r="Z1020" s="21">
        <f t="shared" si="3917"/>
        <v>0.31659713230710207</v>
      </c>
      <c r="AA1020" s="21">
        <f t="shared" si="3917"/>
        <v>0.33500173340266942</v>
      </c>
      <c r="AB1020" s="21">
        <f t="shared" si="3917"/>
        <v>0.33252421828452899</v>
      </c>
      <c r="AC1020" s="21">
        <f t="shared" si="3917"/>
        <v>0.31655969687596658</v>
      </c>
      <c r="AD1020" s="21">
        <f t="shared" si="3917"/>
        <v>0.34517828200972445</v>
      </c>
      <c r="AE1020" s="21">
        <f t="shared" si="3917"/>
        <v>0.36323146630675796</v>
      </c>
      <c r="AF1020" s="21">
        <f t="shared" si="3917"/>
        <v>0.36686484976656958</v>
      </c>
      <c r="AG1020" s="21">
        <f t="shared" si="3917"/>
        <v>0.37147136330028246</v>
      </c>
      <c r="AH1020" s="21">
        <f t="shared" ref="AH1020:AI1020" si="3918">+AH996/AH$1004</f>
        <v>0.37885237527668991</v>
      </c>
      <c r="AI1020" s="21">
        <f t="shared" si="3918"/>
        <v>0.39087721796081082</v>
      </c>
      <c r="AJ1020" s="21">
        <f t="shared" ref="AJ1020:AK1020" si="3919">+AJ996/AJ$1004</f>
        <v>0.39471309517490311</v>
      </c>
      <c r="AK1020" s="21">
        <f t="shared" si="3919"/>
        <v>0.38621412447597547</v>
      </c>
      <c r="AL1020" s="21">
        <f t="shared" ref="AL1020:AM1020" si="3920">+AL996/AL$1004</f>
        <v>0.40143554592777003</v>
      </c>
      <c r="AM1020" s="21">
        <f t="shared" si="3920"/>
        <v>0.41146662134812367</v>
      </c>
      <c r="AN1020"/>
      <c r="AO1020"/>
      <c r="AP1020"/>
      <c r="AQ1020"/>
      <c r="AR1020" s="21"/>
      <c r="AS1020" s="21"/>
      <c r="AT1020" s="21"/>
      <c r="AU1020" s="21"/>
      <c r="AV1020" s="21">
        <f t="shared" ref="AV1020:BE1020" si="3921">+AV996/AV$1004</f>
        <v>0.17562065541211519</v>
      </c>
      <c r="AW1020" s="21">
        <f t="shared" si="3921"/>
        <v>0.194123586084159</v>
      </c>
      <c r="AX1020" s="21">
        <f t="shared" si="3921"/>
        <v>0.19216119326547595</v>
      </c>
      <c r="AY1020" s="21">
        <f t="shared" si="3921"/>
        <v>0.18945426990549447</v>
      </c>
      <c r="AZ1020" s="21">
        <f t="shared" si="3921"/>
        <v>0.19304694600056971</v>
      </c>
      <c r="BA1020" s="21">
        <f t="shared" si="3921"/>
        <v>0.19792161749026962</v>
      </c>
      <c r="BB1020" s="21">
        <f t="shared" si="3921"/>
        <v>0.19641150253935716</v>
      </c>
      <c r="BC1020" s="21">
        <f t="shared" si="3921"/>
        <v>0.19888865142124384</v>
      </c>
      <c r="BD1020" s="21">
        <f t="shared" si="3921"/>
        <v>0.22476558837318331</v>
      </c>
      <c r="BE1020" s="21">
        <f t="shared" si="3921"/>
        <v>0.24188993885491941</v>
      </c>
      <c r="BF1020" s="21"/>
      <c r="BG1020" s="21">
        <f t="shared" si="3915"/>
        <v>0.20911863439892928</v>
      </c>
      <c r="BH1020" s="21">
        <f t="shared" si="3915"/>
        <v>0.22417703037143655</v>
      </c>
      <c r="BI1020" s="21">
        <f t="shared" si="3915"/>
        <v>0.23676150779267852</v>
      </c>
      <c r="BJ1020" s="21">
        <f t="shared" si="3915"/>
        <v>0.25922776793305946</v>
      </c>
      <c r="BK1020" s="21">
        <f t="shared" si="3915"/>
        <v>0.28933328671817643</v>
      </c>
      <c r="BL1020" s="21">
        <f t="shared" si="3915"/>
        <v>0.31286587977725955</v>
      </c>
      <c r="BM1020" s="21">
        <f t="shared" si="3915"/>
        <v>0.33954203863418569</v>
      </c>
      <c r="BN1020" s="21">
        <f t="shared" ref="BN1020:BO1020" si="3922">+BN996/BN$1004</f>
        <v>0.37736828445367249</v>
      </c>
      <c r="BO1020" s="21">
        <f t="shared" si="3922"/>
        <v>0.39868310473968066</v>
      </c>
      <c r="BP1020" s="21"/>
      <c r="BT1020"/>
      <c r="BU1020"/>
      <c r="BV1020"/>
      <c r="BW1020"/>
      <c r="BX1020"/>
      <c r="BY1020"/>
      <c r="BZ1020"/>
      <c r="CA1020"/>
      <c r="CB1020"/>
      <c r="CC1020"/>
    </row>
    <row r="1021" spans="2:81" s="3" customFormat="1" hidden="1" outlineLevel="1">
      <c r="B1021" s="13" t="s">
        <v>530</v>
      </c>
      <c r="H1021" s="21">
        <f t="shared" ref="H1021:AG1021" si="3923">+H997/H$1004</f>
        <v>8.5963152134257564E-2</v>
      </c>
      <c r="I1021" s="21">
        <f t="shared" si="3923"/>
        <v>0.1400526601099667</v>
      </c>
      <c r="J1021" s="21">
        <f t="shared" si="3923"/>
        <v>8.2112700327416854E-2</v>
      </c>
      <c r="K1021" s="21">
        <f t="shared" si="3923"/>
        <v>6.4167154852567854E-2</v>
      </c>
      <c r="L1021" s="21">
        <f t="shared" si="3923"/>
        <v>7.7267910995191133E-2</v>
      </c>
      <c r="M1021" s="21">
        <f t="shared" si="3923"/>
        <v>0.13555570924683588</v>
      </c>
      <c r="N1021" s="21">
        <f t="shared" si="3923"/>
        <v>8.3933032551549269E-2</v>
      </c>
      <c r="O1021" s="21">
        <f t="shared" si="3923"/>
        <v>7.5984709988366289E-2</v>
      </c>
      <c r="P1021" s="21">
        <f t="shared" si="3923"/>
        <v>9.4141108513271898E-2</v>
      </c>
      <c r="Q1021" s="21">
        <f t="shared" si="3923"/>
        <v>0.13033168057651442</v>
      </c>
      <c r="R1021" s="21">
        <f t="shared" si="3923"/>
        <v>7.7295476104805208E-2</v>
      </c>
      <c r="S1021" s="21">
        <f t="shared" si="3923"/>
        <v>6.0889165702761219E-2</v>
      </c>
      <c r="T1021" s="21">
        <f t="shared" si="3923"/>
        <v>7.6902132808954776E-2</v>
      </c>
      <c r="U1021" s="21">
        <f t="shared" si="3923"/>
        <v>9.0147943423833518E-2</v>
      </c>
      <c r="V1021" s="21">
        <f t="shared" si="3923"/>
        <v>6.7074041289512012E-2</v>
      </c>
      <c r="W1021" s="21">
        <f t="shared" si="3923"/>
        <v>8.8265453684957806E-2</v>
      </c>
      <c r="X1021" s="21">
        <f t="shared" si="3923"/>
        <v>8.3221187489906881E-2</v>
      </c>
      <c r="Y1021" s="21">
        <f t="shared" si="3923"/>
        <v>0.11679357414801746</v>
      </c>
      <c r="Z1021" s="21">
        <f t="shared" si="3923"/>
        <v>8.4712031841941204E-2</v>
      </c>
      <c r="AA1021" s="21">
        <f t="shared" si="3923"/>
        <v>8.0473218928757154E-2</v>
      </c>
      <c r="AB1021" s="21">
        <f t="shared" si="3923"/>
        <v>7.9285919191473403E-2</v>
      </c>
      <c r="AC1021" s="21">
        <f t="shared" si="3923"/>
        <v>0.10520414475719146</v>
      </c>
      <c r="AD1021" s="21">
        <f t="shared" si="3923"/>
        <v>7.5769854132901132E-2</v>
      </c>
      <c r="AE1021" s="21">
        <f t="shared" si="3923"/>
        <v>6.6615251132748479E-2</v>
      </c>
      <c r="AF1021" s="21">
        <f t="shared" si="3923"/>
        <v>7.202426080363912E-2</v>
      </c>
      <c r="AG1021" s="21">
        <f t="shared" si="3923"/>
        <v>9.0204182228373175E-2</v>
      </c>
      <c r="AH1021" s="21">
        <f t="shared" ref="AH1021:AI1021" si="3924">+AH997/AH$1004</f>
        <v>6.824072497493236E-2</v>
      </c>
      <c r="AI1021" s="21">
        <f t="shared" si="3924"/>
        <v>6.2129598319955862E-2</v>
      </c>
      <c r="AJ1021" s="21">
        <f t="shared" ref="AJ1021:AK1021" si="3925">+AJ997/AJ$1004</f>
        <v>6.934196790346267E-2</v>
      </c>
      <c r="AK1021" s="21">
        <f t="shared" si="3925"/>
        <v>0.11465656239922606</v>
      </c>
      <c r="AL1021" s="21">
        <f t="shared" ref="AL1021:AM1021" si="3926">+AL997/AL$1004</f>
        <v>8.8121180768857707E-2</v>
      </c>
      <c r="AM1021" s="21">
        <f t="shared" si="3926"/>
        <v>7.7587405564911088E-2</v>
      </c>
      <c r="AN1021"/>
      <c r="AO1021"/>
      <c r="AP1021"/>
      <c r="AQ1021"/>
      <c r="AR1021" s="21"/>
      <c r="AS1021" s="21"/>
      <c r="AT1021" s="21"/>
      <c r="AU1021" s="21"/>
      <c r="AV1021" s="21">
        <f t="shared" ref="AV1021:BE1021" si="3927">+AV997/AV$1004</f>
        <v>9.2651439920556106E-2</v>
      </c>
      <c r="AW1021" s="21">
        <f t="shared" si="3927"/>
        <v>9.3690641203347191E-2</v>
      </c>
      <c r="AX1021" s="21">
        <f t="shared" si="3927"/>
        <v>8.7318353498495621E-2</v>
      </c>
      <c r="AY1021" s="21">
        <f t="shared" si="3927"/>
        <v>0.11585147906152153</v>
      </c>
      <c r="AZ1021" s="21">
        <f t="shared" si="3927"/>
        <v>0.10912469649905729</v>
      </c>
      <c r="BA1021" s="21">
        <f t="shared" si="3927"/>
        <v>9.1202199129083228E-2</v>
      </c>
      <c r="BB1021" s="21">
        <f t="shared" si="3927"/>
        <v>9.9535890732785917E-2</v>
      </c>
      <c r="BC1021" s="21">
        <f t="shared" si="3927"/>
        <v>9.7467407565719172E-2</v>
      </c>
      <c r="BD1021" s="21">
        <f t="shared" si="3927"/>
        <v>0.11011486169714017</v>
      </c>
      <c r="BE1021" s="21">
        <f t="shared" si="3927"/>
        <v>0.10290161200667038</v>
      </c>
      <c r="BF1021" s="21"/>
      <c r="BG1021" s="21">
        <f t="shared" si="3915"/>
        <v>0.1009500405906488</v>
      </c>
      <c r="BH1021" s="21">
        <f t="shared" si="3915"/>
        <v>9.3723788715038669E-2</v>
      </c>
      <c r="BI1021" s="21">
        <f t="shared" si="3915"/>
        <v>9.3811163465023564E-2</v>
      </c>
      <c r="BJ1021" s="21">
        <f t="shared" si="3915"/>
        <v>9.0477817598118293E-2</v>
      </c>
      <c r="BK1021" s="21">
        <f t="shared" si="3915"/>
        <v>8.0935566199349718E-2</v>
      </c>
      <c r="BL1021" s="21">
        <f t="shared" si="3915"/>
        <v>9.1440197991528249E-2</v>
      </c>
      <c r="BM1021" s="21">
        <f t="shared" si="3915"/>
        <v>8.1858072325616579E-2</v>
      </c>
      <c r="BN1021" s="21">
        <f t="shared" ref="BN1021:BO1021" si="3928">+BN997/BN$1004</f>
        <v>7.2982091876459904E-2</v>
      </c>
      <c r="BO1021" s="21">
        <f t="shared" si="3928"/>
        <v>8.7723664134594204E-2</v>
      </c>
      <c r="BP1021" s="21"/>
      <c r="BT1021"/>
      <c r="BU1021"/>
      <c r="BV1021"/>
      <c r="BW1021"/>
      <c r="BX1021"/>
      <c r="BY1021"/>
      <c r="BZ1021"/>
      <c r="CA1021"/>
      <c r="CB1021"/>
      <c r="CC1021"/>
    </row>
    <row r="1022" spans="2:81" s="3" customFormat="1" hidden="1" outlineLevel="1">
      <c r="B1022" s="13" t="s">
        <v>531</v>
      </c>
      <c r="H1022" s="21">
        <f t="shared" ref="H1022:AG1022" si="3929">+H998/H$1004</f>
        <v>0.21173841663626414</v>
      </c>
      <c r="I1022" s="21">
        <f t="shared" si="3929"/>
        <v>0.18605281499264306</v>
      </c>
      <c r="J1022" s="21">
        <f t="shared" si="3929"/>
        <v>0.1832241943822161</v>
      </c>
      <c r="K1022" s="21">
        <f t="shared" si="3929"/>
        <v>0.19105643429017771</v>
      </c>
      <c r="L1022" s="21">
        <f t="shared" si="3929"/>
        <v>0.18921672507946857</v>
      </c>
      <c r="M1022" s="21">
        <f t="shared" si="3929"/>
        <v>0.16733522373608134</v>
      </c>
      <c r="N1022" s="21">
        <f t="shared" si="3929"/>
        <v>0.17196763488571534</v>
      </c>
      <c r="O1022" s="21">
        <f t="shared" si="3929"/>
        <v>0.18028918065481137</v>
      </c>
      <c r="P1022" s="21">
        <f t="shared" si="3929"/>
        <v>0.16851189657543666</v>
      </c>
      <c r="Q1022" s="21">
        <f t="shared" si="3929"/>
        <v>0.14653075051584491</v>
      </c>
      <c r="R1022" s="21">
        <f t="shared" si="3929"/>
        <v>0.16172189329756959</v>
      </c>
      <c r="S1022" s="21">
        <f t="shared" si="3929"/>
        <v>0.17178278019989915</v>
      </c>
      <c r="T1022" s="21">
        <f t="shared" si="3929"/>
        <v>0.16194221751626078</v>
      </c>
      <c r="U1022" s="21">
        <f t="shared" si="3929"/>
        <v>0.15154717390126266</v>
      </c>
      <c r="V1022" s="21">
        <f t="shared" si="3929"/>
        <v>0.14905342508780445</v>
      </c>
      <c r="W1022" s="21">
        <f t="shared" si="3929"/>
        <v>0.16112323508532064</v>
      </c>
      <c r="X1022" s="21">
        <f t="shared" si="3929"/>
        <v>0.1427840878505679</v>
      </c>
      <c r="Y1022" s="21">
        <f t="shared" si="3929"/>
        <v>0.13269570062215619</v>
      </c>
      <c r="Z1022" s="21">
        <f t="shared" si="3929"/>
        <v>0.13537620486260971</v>
      </c>
      <c r="AA1022" s="21">
        <f t="shared" si="3929"/>
        <v>0.14213901889408909</v>
      </c>
      <c r="AB1022" s="21">
        <f t="shared" si="3929"/>
        <v>0.12525100955491317</v>
      </c>
      <c r="AC1022" s="21">
        <f t="shared" si="3929"/>
        <v>0.12759047324466441</v>
      </c>
      <c r="AD1022" s="21">
        <f t="shared" si="3929"/>
        <v>0.12311588330632091</v>
      </c>
      <c r="AE1022" s="21">
        <f t="shared" si="3929"/>
        <v>0.12355152800539863</v>
      </c>
      <c r="AF1022" s="21">
        <f t="shared" si="3929"/>
        <v>0.10600135668967718</v>
      </c>
      <c r="AG1022" s="21">
        <f t="shared" si="3929"/>
        <v>9.1152103437162305E-2</v>
      </c>
      <c r="AH1022" s="21">
        <f t="shared" ref="AH1022:AI1022" si="3930">+AH998/AH$1004</f>
        <v>0.10080027243316873</v>
      </c>
      <c r="AI1022" s="21">
        <f t="shared" si="3930"/>
        <v>0.10781469682678105</v>
      </c>
      <c r="AJ1022" s="21">
        <f t="shared" ref="AJ1022:AK1022" si="3931">+AJ998/AJ$1004</f>
        <v>9.8501335881239271E-2</v>
      </c>
      <c r="AK1022" s="21">
        <f t="shared" si="3931"/>
        <v>8.4843598839084169E-2</v>
      </c>
      <c r="AL1022" s="21">
        <f t="shared" ref="AL1022:AM1022" si="3932">+AL998/AL$1004</f>
        <v>9.5848556371043364E-2</v>
      </c>
      <c r="AM1022" s="21">
        <f t="shared" si="3932"/>
        <v>0.10020547839386963</v>
      </c>
      <c r="AN1022"/>
      <c r="AO1022"/>
      <c r="AP1022"/>
      <c r="AQ1022"/>
      <c r="AR1022" s="21"/>
      <c r="AS1022" s="21"/>
      <c r="AT1022" s="21"/>
      <c r="AU1022" s="21"/>
      <c r="AV1022" s="21">
        <f t="shared" ref="AV1022:BE1022" si="3933">+AV998/AV$1004</f>
        <v>0.27868255544521681</v>
      </c>
      <c r="AW1022" s="21">
        <f t="shared" si="3933"/>
        <v>0.25074866950733266</v>
      </c>
      <c r="AX1022" s="21">
        <f t="shared" si="3933"/>
        <v>0.2916746687151911</v>
      </c>
      <c r="AY1022" s="21">
        <f t="shared" si="3933"/>
        <v>0.25485037816507727</v>
      </c>
      <c r="AZ1022" s="21">
        <f t="shared" si="3933"/>
        <v>0.23493346716764105</v>
      </c>
      <c r="BA1022" s="21">
        <f t="shared" si="3933"/>
        <v>0.22516666880756336</v>
      </c>
      <c r="BB1022" s="21">
        <f t="shared" si="3933"/>
        <v>0.19411974710075663</v>
      </c>
      <c r="BC1022" s="21">
        <f t="shared" si="3933"/>
        <v>0.15843128873690959</v>
      </c>
      <c r="BD1022" s="21">
        <f t="shared" si="3933"/>
        <v>9.4983591186122832E-2</v>
      </c>
      <c r="BE1022" s="21">
        <f t="shared" si="3933"/>
        <v>9.5886603668704842E-2</v>
      </c>
      <c r="BF1022" s="21"/>
      <c r="BG1022" s="21">
        <f t="shared" si="3915"/>
        <v>0.19250937973100468</v>
      </c>
      <c r="BH1022" s="21">
        <f t="shared" si="3915"/>
        <v>0.1925319195203529</v>
      </c>
      <c r="BI1022" s="21">
        <f t="shared" si="3915"/>
        <v>0.1768575570859007</v>
      </c>
      <c r="BJ1022" s="21">
        <f t="shared" si="3915"/>
        <v>0.16206702001700532</v>
      </c>
      <c r="BK1022" s="21">
        <f t="shared" si="3915"/>
        <v>0.15588574625039331</v>
      </c>
      <c r="BL1022" s="21">
        <f t="shared" si="3915"/>
        <v>0.13818357051068489</v>
      </c>
      <c r="BM1022" s="21">
        <f t="shared" si="3915"/>
        <v>0.12488525747717759</v>
      </c>
      <c r="BN1022" s="21">
        <f t="shared" ref="BN1022:BO1022" si="3934">+BN998/BN$1004</f>
        <v>0.10148880447349173</v>
      </c>
      <c r="BO1022" s="21">
        <f t="shared" si="3934"/>
        <v>9.4826249785820937E-2</v>
      </c>
      <c r="BP1022" s="21"/>
      <c r="BT1022"/>
      <c r="BU1022"/>
      <c r="BV1022"/>
      <c r="BW1022"/>
      <c r="BX1022"/>
      <c r="BY1022"/>
      <c r="BZ1022"/>
      <c r="CA1022"/>
      <c r="CB1022"/>
      <c r="CC1022"/>
    </row>
    <row r="1023" spans="2:81" s="3" customFormat="1" hidden="1" outlineLevel="1">
      <c r="B1023" s="13" t="s">
        <v>532</v>
      </c>
      <c r="H1023" s="21">
        <f t="shared" ref="H1023:AG1023" si="3935">+H999/H$1004</f>
        <v>6.5167821962787309E-2</v>
      </c>
      <c r="I1023" s="21">
        <f t="shared" si="3935"/>
        <v>6.2146673894524898E-2</v>
      </c>
      <c r="J1023" s="21">
        <f t="shared" si="3935"/>
        <v>6.8886782698604168E-2</v>
      </c>
      <c r="K1023" s="21">
        <f t="shared" si="3935"/>
        <v>6.1941027143136103E-2</v>
      </c>
      <c r="L1023" s="21">
        <f t="shared" si="3935"/>
        <v>6.6794359768522285E-2</v>
      </c>
      <c r="M1023" s="21">
        <f t="shared" si="3935"/>
        <v>6.2936579293173797E-2</v>
      </c>
      <c r="N1023" s="21">
        <f t="shared" si="3935"/>
        <v>6.6520004474439759E-2</v>
      </c>
      <c r="O1023" s="21">
        <f t="shared" si="3935"/>
        <v>5.8800066478311451E-2</v>
      </c>
      <c r="P1023" s="21">
        <f t="shared" si="3935"/>
        <v>6.1477100811442718E-2</v>
      </c>
      <c r="Q1023" s="21">
        <f t="shared" si="3935"/>
        <v>6.0854300760678756E-2</v>
      </c>
      <c r="R1023" s="21">
        <f t="shared" si="3935"/>
        <v>6.2510222105917376E-2</v>
      </c>
      <c r="S1023" s="21">
        <f t="shared" si="3935"/>
        <v>5.7923302784945278E-2</v>
      </c>
      <c r="T1023" s="21">
        <f t="shared" si="3935"/>
        <v>6.0232945091514146E-2</v>
      </c>
      <c r="U1023" s="21">
        <f t="shared" si="3935"/>
        <v>5.8608356364818731E-2</v>
      </c>
      <c r="V1023" s="21">
        <f t="shared" si="3935"/>
        <v>5.670883184375089E-2</v>
      </c>
      <c r="W1023" s="21">
        <f t="shared" si="3935"/>
        <v>4.2068729787289982E-2</v>
      </c>
      <c r="X1023" s="21">
        <f t="shared" si="3935"/>
        <v>4.8150939333584539E-2</v>
      </c>
      <c r="Y1023" s="21">
        <f t="shared" si="3935"/>
        <v>5.0701086451852541E-2</v>
      </c>
      <c r="Z1023" s="21">
        <f t="shared" si="3935"/>
        <v>5.3181796384213303E-2</v>
      </c>
      <c r="AA1023" s="21">
        <f t="shared" si="3935"/>
        <v>5.0637025481019241E-2</v>
      </c>
      <c r="AB1023" s="21">
        <f t="shared" si="3935"/>
        <v>5.8609351898845904E-2</v>
      </c>
      <c r="AC1023" s="21">
        <f t="shared" si="3935"/>
        <v>5.9232910609341168E-2</v>
      </c>
      <c r="AD1023" s="21">
        <f t="shared" si="3935"/>
        <v>5.9663695299837928E-2</v>
      </c>
      <c r="AE1023" s="21">
        <f t="shared" si="3935"/>
        <v>5.6415694591728523E-2</v>
      </c>
      <c r="AF1023" s="21">
        <f t="shared" si="3935"/>
        <v>5.8417461394198157E-2</v>
      </c>
      <c r="AG1023" s="21">
        <f t="shared" si="3935"/>
        <v>6.1103001118547023E-2</v>
      </c>
      <c r="AH1023" s="21">
        <f t="shared" ref="AH1023:AI1023" si="3936">+AH999/AH$1004</f>
        <v>5.7608263806118394E-2</v>
      </c>
      <c r="AI1023" s="21">
        <f t="shared" si="3936"/>
        <v>5.3604798092153266E-2</v>
      </c>
      <c r="AJ1023" s="21">
        <f t="shared" ref="AJ1023:AK1023" si="3937">+AJ999/AJ$1004</f>
        <v>5.4019144682131037E-2</v>
      </c>
      <c r="AK1023" s="21">
        <f t="shared" si="3937"/>
        <v>5.1918735891647853E-2</v>
      </c>
      <c r="AL1023" s="21">
        <f t="shared" ref="AL1023:AM1023" si="3938">+AL999/AL$1004</f>
        <v>5.0664424973326003E-2</v>
      </c>
      <c r="AM1023" s="21">
        <f t="shared" si="3938"/>
        <v>4.8959475952848115E-2</v>
      </c>
      <c r="AN1023"/>
      <c r="AO1023"/>
      <c r="AP1023"/>
      <c r="AQ1023"/>
      <c r="AR1023" s="21"/>
      <c r="AS1023" s="21"/>
      <c r="AT1023" s="21"/>
      <c r="AU1023" s="21"/>
      <c r="AV1023" s="21">
        <f t="shared" ref="AV1023:BE1023" si="3939">+AV999/AV$1004</f>
        <v>4.0135716650115859E-2</v>
      </c>
      <c r="AW1023" s="21">
        <f t="shared" si="3939"/>
        <v>4.0128685593031815E-2</v>
      </c>
      <c r="AX1023" s="21">
        <f t="shared" si="3939"/>
        <v>4.0458357339478904E-2</v>
      </c>
      <c r="AY1023" s="21">
        <f t="shared" si="3939"/>
        <v>4.1648199247959053E-2</v>
      </c>
      <c r="AZ1023" s="21">
        <f t="shared" si="3939"/>
        <v>4.3147999945742851E-2</v>
      </c>
      <c r="BA1023" s="21">
        <f t="shared" si="3939"/>
        <v>4.3507302598620408E-2</v>
      </c>
      <c r="BB1023" s="21">
        <f t="shared" si="3939"/>
        <v>4.6249697695576568E-2</v>
      </c>
      <c r="BC1023" s="21">
        <f t="shared" si="3939"/>
        <v>4.8696302628766827E-2</v>
      </c>
      <c r="BD1023" s="21">
        <f t="shared" si="3939"/>
        <v>7.1472105016408813E-2</v>
      </c>
      <c r="BE1023" s="21">
        <f t="shared" si="3939"/>
        <v>7.7498610339077262E-2</v>
      </c>
      <c r="BF1023" s="21"/>
      <c r="BG1023" s="21">
        <f t="shared" si="3915"/>
        <v>5.9547578822651777E-2</v>
      </c>
      <c r="BH1023" s="21">
        <f t="shared" si="3915"/>
        <v>6.4398214784976857E-2</v>
      </c>
      <c r="BI1023" s="21">
        <f t="shared" si="3915"/>
        <v>6.3537513591881117E-2</v>
      </c>
      <c r="BJ1023" s="21">
        <f t="shared" si="3915"/>
        <v>6.061521101690201E-2</v>
      </c>
      <c r="BK1023" s="21">
        <f t="shared" si="3915"/>
        <v>5.4120197182113763E-2</v>
      </c>
      <c r="BL1023" s="21">
        <f t="shared" si="3915"/>
        <v>5.0735329113321591E-2</v>
      </c>
      <c r="BM1023" s="21">
        <f t="shared" si="3915"/>
        <v>5.8460684924597772E-2</v>
      </c>
      <c r="BN1023" s="21">
        <f t="shared" ref="BN1023:BO1023" si="3940">+BN999/BN$1004</f>
        <v>5.7608003208833733E-2</v>
      </c>
      <c r="BO1023" s="21">
        <f t="shared" si="3940"/>
        <v>5.13050644169026E-2</v>
      </c>
      <c r="BP1023" s="21"/>
      <c r="BT1023"/>
      <c r="BU1023"/>
      <c r="BV1023"/>
      <c r="BW1023"/>
      <c r="BX1023"/>
      <c r="BY1023"/>
      <c r="BZ1023"/>
      <c r="CA1023"/>
      <c r="CB1023"/>
      <c r="CC1023"/>
    </row>
    <row r="1024" spans="2:81" s="3" customFormat="1" hidden="1" outlineLevel="1">
      <c r="B1024" s="13" t="s">
        <v>533</v>
      </c>
      <c r="H1024" s="21">
        <f t="shared" ref="H1024:AG1024" si="3941">+H1000/H$1004</f>
        <v>6.1793141189346951E-2</v>
      </c>
      <c r="I1024" s="21">
        <f t="shared" si="3941"/>
        <v>5.3086037326725004E-2</v>
      </c>
      <c r="J1024" s="21">
        <f t="shared" si="3941"/>
        <v>5.9581251077029121E-2</v>
      </c>
      <c r="K1024" s="21">
        <f t="shared" si="3941"/>
        <v>5.5965631712556141E-2</v>
      </c>
      <c r="L1024" s="21">
        <f t="shared" si="3941"/>
        <v>5.5872524248104981E-2</v>
      </c>
      <c r="M1024" s="21">
        <f t="shared" si="3941"/>
        <v>4.9623072135002423E-2</v>
      </c>
      <c r="N1024" s="21">
        <f t="shared" si="3941"/>
        <v>5.5520340057421978E-2</v>
      </c>
      <c r="O1024" s="21">
        <f t="shared" si="3941"/>
        <v>5.1553930530164535E-2</v>
      </c>
      <c r="P1024" s="21">
        <f t="shared" si="3941"/>
        <v>4.9855590702791913E-2</v>
      </c>
      <c r="Q1024" s="21">
        <f t="shared" si="3941"/>
        <v>4.684179729604878E-2</v>
      </c>
      <c r="R1024" s="21">
        <f t="shared" si="3941"/>
        <v>5.0439959438683721E-2</v>
      </c>
      <c r="S1024" s="21">
        <f t="shared" si="3941"/>
        <v>4.778005160601477E-2</v>
      </c>
      <c r="T1024" s="21">
        <f t="shared" si="3941"/>
        <v>4.6740281349266374E-2</v>
      </c>
      <c r="U1024" s="21">
        <f t="shared" si="3941"/>
        <v>4.3678534655611556E-2</v>
      </c>
      <c r="V1024" s="21">
        <f t="shared" si="3941"/>
        <v>4.6629165357928097E-2</v>
      </c>
      <c r="W1024" s="21">
        <f t="shared" si="3941"/>
        <v>4.2568295953514051E-2</v>
      </c>
      <c r="X1024" s="21">
        <f t="shared" si="3941"/>
        <v>4.4059858965387305E-2</v>
      </c>
      <c r="Y1024" s="21">
        <f t="shared" si="3941"/>
        <v>3.9349057479803141E-2</v>
      </c>
      <c r="Z1024" s="21">
        <f t="shared" si="3941"/>
        <v>4.3231189756869515E-2</v>
      </c>
      <c r="AA1024" s="21">
        <f t="shared" si="3941"/>
        <v>3.9174900329346507E-2</v>
      </c>
      <c r="AB1024" s="21">
        <f t="shared" si="3941"/>
        <v>3.9521592338416046E-2</v>
      </c>
      <c r="AC1024" s="21">
        <f t="shared" si="3941"/>
        <v>3.5242035261367148E-2</v>
      </c>
      <c r="AD1024" s="21">
        <f t="shared" si="3941"/>
        <v>3.8310372771474879E-2</v>
      </c>
      <c r="AE1024" s="21">
        <f t="shared" si="3941"/>
        <v>3.6672129567145474E-2</v>
      </c>
      <c r="AF1024" s="21">
        <f t="shared" si="3941"/>
        <v>3.7428674035353736E-2</v>
      </c>
      <c r="AG1024" s="21">
        <f t="shared" si="3941"/>
        <v>3.5300585815307033E-2</v>
      </c>
      <c r="AH1024" s="21">
        <f t="shared" ref="AH1024:AI1024" si="3942">+AH1000/AH$1004</f>
        <v>3.7970372892899708E-2</v>
      </c>
      <c r="AI1024" s="21">
        <f t="shared" si="3942"/>
        <v>3.5184822652120522E-2</v>
      </c>
      <c r="AJ1024" s="21">
        <f t="shared" ref="AJ1024:AK1024" si="3943">+AJ1000/AJ$1004</f>
        <v>3.4396730187377246E-2</v>
      </c>
      <c r="AK1024" s="21">
        <f t="shared" si="3943"/>
        <v>3.090938406965495E-2</v>
      </c>
      <c r="AL1024" s="21">
        <f t="shared" ref="AL1024:AM1024" si="3944">+AL1000/AL$1004</f>
        <v>3.0085033463739533E-2</v>
      </c>
      <c r="AM1024" s="21">
        <f t="shared" si="3944"/>
        <v>2.8921470174733881E-2</v>
      </c>
      <c r="AN1024"/>
      <c r="AO1024"/>
      <c r="AP1024"/>
      <c r="AQ1024"/>
      <c r="AR1024" s="21"/>
      <c r="AS1024" s="21"/>
      <c r="AT1024" s="21"/>
      <c r="AU1024" s="21"/>
      <c r="AV1024" s="21">
        <f t="shared" ref="AV1024:BE1024" si="3945">+AV1000/AV$1004</f>
        <v>4.5398874544852696E-2</v>
      </c>
      <c r="AW1024" s="21">
        <f t="shared" si="3945"/>
        <v>5.1748036346835051E-2</v>
      </c>
      <c r="AX1024" s="21">
        <f t="shared" si="3945"/>
        <v>4.8588438640291914E-2</v>
      </c>
      <c r="AY1024" s="21">
        <f t="shared" si="3945"/>
        <v>4.8210685844187411E-2</v>
      </c>
      <c r="AZ1024" s="21">
        <f t="shared" si="3945"/>
        <v>5.3931608860192881E-2</v>
      </c>
      <c r="BA1024" s="21">
        <f t="shared" si="3945"/>
        <v>5.6160002055260824E-2</v>
      </c>
      <c r="BB1024" s="21">
        <f t="shared" si="3945"/>
        <v>5.4898483295521286E-2</v>
      </c>
      <c r="BC1024" s="21">
        <f t="shared" si="3945"/>
        <v>5.4391964094892074E-2</v>
      </c>
      <c r="BD1024" s="21">
        <f t="shared" si="3945"/>
        <v>6.6115799343647447E-2</v>
      </c>
      <c r="BE1024" s="21">
        <f t="shared" si="3945"/>
        <v>6.2123401889938853E-2</v>
      </c>
      <c r="BF1024" s="21"/>
      <c r="BG1024" s="21">
        <f t="shared" si="3915"/>
        <v>6.2081751760756525E-2</v>
      </c>
      <c r="BH1024" s="21">
        <f t="shared" si="3915"/>
        <v>5.7387828644209958E-2</v>
      </c>
      <c r="BI1024" s="21">
        <f t="shared" si="3915"/>
        <v>5.2972091337441102E-2</v>
      </c>
      <c r="BJ1024" s="21">
        <f t="shared" si="3915"/>
        <v>4.8663811256883578E-2</v>
      </c>
      <c r="BK1024" s="21">
        <f t="shared" si="3915"/>
        <v>4.4813481103380765E-2</v>
      </c>
      <c r="BL1024" s="21">
        <f t="shared" si="3915"/>
        <v>4.1305744609966208E-2</v>
      </c>
      <c r="BM1024" s="21">
        <f t="shared" si="3915"/>
        <v>3.7358147980027234E-2</v>
      </c>
      <c r="BN1024" s="21">
        <f t="shared" ref="BN1024:BO1024" si="3946">+BN1000/BN$1004</f>
        <v>3.64391383337659E-2</v>
      </c>
      <c r="BO1024" s="21">
        <f t="shared" si="3946"/>
        <v>3.0980491347165903E-2</v>
      </c>
      <c r="BP1024" s="21"/>
      <c r="BT1024"/>
      <c r="BU1024"/>
      <c r="BV1024"/>
      <c r="BW1024"/>
      <c r="BX1024"/>
      <c r="BY1024"/>
      <c r="BZ1024"/>
      <c r="CA1024"/>
      <c r="CB1024"/>
      <c r="CC1024"/>
    </row>
    <row r="1025" spans="2:81" s="3" customFormat="1" hidden="1" outlineLevel="1">
      <c r="B1025" s="13" t="s">
        <v>527</v>
      </c>
      <c r="H1025" s="21">
        <f t="shared" ref="H1025:AG1025" si="3947">+H1001/H$1004</f>
        <v>6.2112367748996714E-2</v>
      </c>
      <c r="I1025" s="21">
        <f t="shared" si="3947"/>
        <v>6.5708975451095789E-2</v>
      </c>
      <c r="J1025" s="21">
        <f t="shared" si="3947"/>
        <v>4.1271755988281922E-2</v>
      </c>
      <c r="K1025" s="21">
        <f t="shared" si="3947"/>
        <v>4.0812341339582114E-2</v>
      </c>
      <c r="L1025" s="21">
        <f t="shared" si="3947"/>
        <v>4.7029097725976035E-2</v>
      </c>
      <c r="M1025" s="21">
        <f t="shared" si="3947"/>
        <v>5.1110035272148836E-2</v>
      </c>
      <c r="N1025" s="21">
        <f t="shared" si="3947"/>
        <v>4.5452850590998919E-2</v>
      </c>
      <c r="O1025" s="21">
        <f t="shared" si="3947"/>
        <v>4.2645836795745386E-2</v>
      </c>
      <c r="P1025" s="21">
        <f t="shared" si="3947"/>
        <v>4.3357172328427999E-2</v>
      </c>
      <c r="Q1025" s="21">
        <f t="shared" si="3947"/>
        <v>5.9991992855163066E-2</v>
      </c>
      <c r="R1025" s="21">
        <f t="shared" si="3947"/>
        <v>4.6547381505348207E-2</v>
      </c>
      <c r="S1025" s="21">
        <f t="shared" si="3947"/>
        <v>4.3390574487647181E-2</v>
      </c>
      <c r="T1025" s="21">
        <f t="shared" si="3947"/>
        <v>3.6363636363636362E-2</v>
      </c>
      <c r="U1025" s="21">
        <f t="shared" si="3947"/>
        <v>5.5492331870156612E-2</v>
      </c>
      <c r="V1025" s="21">
        <f t="shared" si="3947"/>
        <v>4.0318665943291171E-2</v>
      </c>
      <c r="W1025" s="21">
        <f t="shared" si="3947"/>
        <v>4.7195856230115955E-2</v>
      </c>
      <c r="X1025" s="21">
        <f t="shared" si="3947"/>
        <v>4.3602303924207352E-2</v>
      </c>
      <c r="Y1025" s="21">
        <f t="shared" si="3947"/>
        <v>4.9215340328721331E-2</v>
      </c>
      <c r="Z1025" s="21">
        <f t="shared" si="3947"/>
        <v>3.833980722198245E-2</v>
      </c>
      <c r="AA1025" s="21">
        <f t="shared" si="3947"/>
        <v>3.1461258450338016E-2</v>
      </c>
      <c r="AB1025" s="21">
        <f t="shared" si="3947"/>
        <v>3.0032879493346869E-2</v>
      </c>
      <c r="AC1025" s="21">
        <f t="shared" si="3947"/>
        <v>4.4173368388493658E-2</v>
      </c>
      <c r="AD1025" s="21">
        <f t="shared" si="3947"/>
        <v>3.5737439222042137E-2</v>
      </c>
      <c r="AE1025" s="21">
        <f t="shared" si="3947"/>
        <v>3.048298467174395E-2</v>
      </c>
      <c r="AF1025" s="21">
        <f t="shared" si="3947"/>
        <v>2.8889509596584335E-2</v>
      </c>
      <c r="AG1025" s="21">
        <f t="shared" si="3947"/>
        <v>2.7110546571368986E-2</v>
      </c>
      <c r="AH1025" s="21">
        <f t="shared" ref="AH1025:AI1025" si="3948">+AH1001/AH$1004</f>
        <v>2.4254119605728663E-2</v>
      </c>
      <c r="AI1025" s="21">
        <f t="shared" si="3948"/>
        <v>2.4221822776700066E-2</v>
      </c>
      <c r="AJ1025" s="21">
        <f t="shared" ref="AJ1025:AK1025" si="3949">+AJ1001/AJ$1004</f>
        <v>1.9905515154732205E-2</v>
      </c>
      <c r="AK1025" s="21">
        <f t="shared" si="3949"/>
        <v>2.0928732666881653E-2</v>
      </c>
      <c r="AL1025" s="21">
        <f t="shared" ref="AL1025:AM1025" si="3950">+AL1001/AL$1004</f>
        <v>1.7249183614083868E-2</v>
      </c>
      <c r="AM1025" s="21">
        <f t="shared" si="3950"/>
        <v>4.620946436572064E-2</v>
      </c>
      <c r="AN1025"/>
      <c r="AO1025"/>
      <c r="AP1025"/>
      <c r="AQ1025"/>
      <c r="AR1025" s="21"/>
      <c r="AS1025" s="21"/>
      <c r="AT1025" s="21"/>
      <c r="AU1025" s="21"/>
      <c r="AV1025" s="21">
        <f t="shared" ref="AV1025:BE1025" si="3951">+AV1001/AV$1004</f>
        <v>0</v>
      </c>
      <c r="AW1025" s="21">
        <f t="shared" si="3951"/>
        <v>0</v>
      </c>
      <c r="AX1025" s="21">
        <f t="shared" si="3951"/>
        <v>0</v>
      </c>
      <c r="AY1025" s="21">
        <f t="shared" si="3951"/>
        <v>0</v>
      </c>
      <c r="AZ1025" s="21">
        <f t="shared" si="3951"/>
        <v>2.1974146467181204E-3</v>
      </c>
      <c r="BA1025" s="21">
        <f t="shared" si="3951"/>
        <v>1.8857018073449885E-2</v>
      </c>
      <c r="BB1025" s="21">
        <f t="shared" si="3951"/>
        <v>5.7075075144242399E-2</v>
      </c>
      <c r="BC1025" s="21">
        <f t="shared" si="3951"/>
        <v>0.12397948279546912</v>
      </c>
      <c r="BD1025" s="21">
        <f t="shared" si="3951"/>
        <v>8.7505860290670423E-2</v>
      </c>
      <c r="BE1025" s="21">
        <f t="shared" si="3951"/>
        <v>5.0661478599221793E-2</v>
      </c>
      <c r="BF1025" s="21"/>
      <c r="BG1025" s="21">
        <f t="shared" si="3915"/>
        <v>8.6534875046624396E-2</v>
      </c>
      <c r="BH1025" s="21">
        <f t="shared" si="3915"/>
        <v>5.241739238487745E-2</v>
      </c>
      <c r="BI1025" s="21">
        <f t="shared" si="3915"/>
        <v>4.6520478434215293E-2</v>
      </c>
      <c r="BJ1025" s="21">
        <f t="shared" si="3915"/>
        <v>4.8433365383851304E-2</v>
      </c>
      <c r="BK1025" s="21">
        <f t="shared" si="3915"/>
        <v>4.5149110233192326E-2</v>
      </c>
      <c r="BL1025" s="21">
        <f t="shared" si="3915"/>
        <v>4.0401456379991436E-2</v>
      </c>
      <c r="BM1025" s="21">
        <f t="shared" si="3915"/>
        <v>3.5259998991274522E-2</v>
      </c>
      <c r="BN1025" s="21">
        <f t="shared" ref="BN1025:BO1025" si="3952">+BN1001/BN$1004</f>
        <v>2.6052898567822003E-2</v>
      </c>
      <c r="BO1025" s="21">
        <f t="shared" si="3952"/>
        <v>2.6439895235841743E-2</v>
      </c>
      <c r="BP1025" s="21"/>
      <c r="BT1025"/>
      <c r="BU1025"/>
      <c r="BV1025"/>
      <c r="BW1025"/>
      <c r="BX1025"/>
      <c r="BY1025"/>
      <c r="BZ1025"/>
      <c r="CA1025"/>
      <c r="CB1025"/>
      <c r="CC1025"/>
    </row>
    <row r="1026" spans="2:81" s="3" customFormat="1" hidden="1" outlineLevel="1">
      <c r="B1026" s="13" t="s">
        <v>388</v>
      </c>
      <c r="H1026" s="21">
        <f t="shared" ref="H1026:AG1026" si="3953">+H1002/H$1004</f>
        <v>0</v>
      </c>
      <c r="I1026" s="21">
        <f t="shared" si="3953"/>
        <v>8.8283125532409197E-3</v>
      </c>
      <c r="J1026" s="21">
        <f t="shared" si="3953"/>
        <v>4.2047216956746514E-2</v>
      </c>
      <c r="K1026" s="21">
        <f t="shared" si="3953"/>
        <v>4.167154852567858E-2</v>
      </c>
      <c r="L1026" s="21">
        <f t="shared" si="3953"/>
        <v>4.678457902029505E-2</v>
      </c>
      <c r="M1026" s="21">
        <f t="shared" si="3953"/>
        <v>4.536966595200221E-2</v>
      </c>
      <c r="N1026" s="21">
        <f t="shared" si="3953"/>
        <v>4.9778142361758454E-2</v>
      </c>
      <c r="O1026" s="21">
        <f t="shared" si="3953"/>
        <v>4.8662123982050859E-2</v>
      </c>
      <c r="P1026" s="21">
        <f t="shared" si="3953"/>
        <v>5.2606243982945951E-2</v>
      </c>
      <c r="Q1026" s="21">
        <f t="shared" si="3953"/>
        <v>5.2138831572788029E-2</v>
      </c>
      <c r="R1026" s="21">
        <f t="shared" si="3953"/>
        <v>5.5477413234764975E-2</v>
      </c>
      <c r="S1026" s="21">
        <f t="shared" si="3953"/>
        <v>5.4423584541922469E-2</v>
      </c>
      <c r="T1026" s="21">
        <f t="shared" si="3953"/>
        <v>5.775223112993496E-2</v>
      </c>
      <c r="U1026" s="21">
        <f t="shared" si="3953"/>
        <v>5.6955508589389262E-2</v>
      </c>
      <c r="V1026" s="21">
        <f t="shared" si="3953"/>
        <v>5.8536306787356156E-2</v>
      </c>
      <c r="W1026" s="21">
        <f t="shared" si="3953"/>
        <v>5.3006599531985381E-2</v>
      </c>
      <c r="X1026" s="21">
        <f t="shared" si="3953"/>
        <v>5.9374495343704578E-2</v>
      </c>
      <c r="Y1026" s="21">
        <f t="shared" si="3953"/>
        <v>5.9824496239205126E-2</v>
      </c>
      <c r="Z1026" s="21">
        <f t="shared" si="3953"/>
        <v>6.1430010070493452E-2</v>
      </c>
      <c r="AA1026" s="21">
        <f t="shared" si="3953"/>
        <v>6.3789218235396086E-2</v>
      </c>
      <c r="AB1026" s="21">
        <f t="shared" si="3953"/>
        <v>6.9201403446830109E-2</v>
      </c>
      <c r="AC1026" s="21">
        <f t="shared" si="3953"/>
        <v>6.826090318589545E-2</v>
      </c>
      <c r="AD1026" s="21">
        <f t="shared" si="3953"/>
        <v>6.9631280388978936E-2</v>
      </c>
      <c r="AE1026" s="21">
        <f t="shared" si="3953"/>
        <v>7.1570423214113568E-2</v>
      </c>
      <c r="AF1026" s="21">
        <f t="shared" si="3953"/>
        <v>7.3081680699094209E-2</v>
      </c>
      <c r="AG1026" s="21">
        <f t="shared" si="3953"/>
        <v>7.3482852105333007E-2</v>
      </c>
      <c r="AH1026" s="21">
        <f t="shared" ref="AH1026:AI1026" si="3954">+AH1002/AH$1004</f>
        <v>6.9943432279546705E-2</v>
      </c>
      <c r="AI1026" s="21">
        <f t="shared" si="3954"/>
        <v>6.9568776806848309E-2</v>
      </c>
      <c r="AJ1026" s="21">
        <f t="shared" ref="AJ1026:AK1026" si="3955">+AJ1002/AJ$1004</f>
        <v>6.9235805155970775E-2</v>
      </c>
      <c r="AK1026" s="21">
        <f t="shared" si="3955"/>
        <v>6.7639471138342469E-2</v>
      </c>
      <c r="AL1026" s="21">
        <f t="shared" ref="AL1026:AM1026" si="3956">+AL1002/AL$1004</f>
        <v>6.487438973132012E-2</v>
      </c>
      <c r="AM1026" s="21">
        <f t="shared" si="3956"/>
        <v>6.5675838521791527E-2</v>
      </c>
      <c r="AN1026"/>
      <c r="AO1026"/>
      <c r="AP1026"/>
      <c r="AQ1026"/>
      <c r="AR1026" s="21"/>
      <c r="AS1026" s="21"/>
      <c r="AT1026" s="21"/>
      <c r="AU1026" s="21"/>
      <c r="AV1026" s="21">
        <f t="shared" ref="AV1026:BE1026" si="3957">+AV1002/AV$1004</f>
        <v>0</v>
      </c>
      <c r="AW1026" s="21">
        <f t="shared" si="3957"/>
        <v>0</v>
      </c>
      <c r="AX1026" s="21">
        <f t="shared" si="3957"/>
        <v>0</v>
      </c>
      <c r="AY1026" s="21">
        <f t="shared" si="3957"/>
        <v>0</v>
      </c>
      <c r="AZ1026" s="21">
        <f t="shared" si="3957"/>
        <v>0</v>
      </c>
      <c r="BA1026" s="21">
        <f t="shared" si="3957"/>
        <v>0</v>
      </c>
      <c r="BB1026" s="21">
        <f t="shared" si="3957"/>
        <v>0</v>
      </c>
      <c r="BC1026" s="21">
        <f t="shared" si="3957"/>
        <v>0</v>
      </c>
      <c r="BD1026" s="21">
        <f t="shared" si="3957"/>
        <v>0</v>
      </c>
      <c r="BE1026" s="21">
        <f t="shared" si="3957"/>
        <v>2.5214007782101169E-2</v>
      </c>
      <c r="BF1026" s="21"/>
      <c r="BG1026" s="21">
        <f t="shared" si="3915"/>
        <v>0</v>
      </c>
      <c r="BH1026" s="21">
        <f t="shared" si="3915"/>
        <v>2.3516376551966946E-2</v>
      </c>
      <c r="BI1026" s="21">
        <f t="shared" si="3915"/>
        <v>4.7653135193910838E-2</v>
      </c>
      <c r="BJ1026" s="21">
        <f t="shared" si="3915"/>
        <v>5.3670049188274276E-2</v>
      </c>
      <c r="BK1026" s="21">
        <f t="shared" si="3915"/>
        <v>5.647659336433241E-2</v>
      </c>
      <c r="BL1026" s="21">
        <f t="shared" si="3915"/>
        <v>6.1211984198753032E-2</v>
      </c>
      <c r="BM1026" s="21">
        <f t="shared" si="3915"/>
        <v>6.9682755837998683E-2</v>
      </c>
      <c r="BN1026" s="21">
        <f t="shared" ref="BN1026:BO1026" si="3958">+BN1002/BN$1004</f>
        <v>7.1467333600736149E-2</v>
      </c>
      <c r="BO1026" s="21">
        <f t="shared" si="3958"/>
        <v>6.6791230489307366E-2</v>
      </c>
      <c r="BP1026" s="21"/>
      <c r="BT1026"/>
      <c r="BU1026"/>
      <c r="BV1026"/>
      <c r="BW1026"/>
      <c r="BX1026"/>
      <c r="BY1026"/>
      <c r="BZ1026"/>
      <c r="CA1026"/>
      <c r="CB1026"/>
      <c r="CC1026"/>
    </row>
    <row r="1027" spans="2:81" s="1250" customFormat="1" ht="11.45" hidden="1" outlineLevel="1">
      <c r="B1027" s="13" t="str">
        <f t="shared" ref="B1027:B1028" si="3959">+B1015</f>
        <v>Other</v>
      </c>
      <c r="H1027" s="1250">
        <f t="shared" ref="H1027:AG1027" si="3960">+H1003/H$1004</f>
        <v>2.6587012039401677E-2</v>
      </c>
      <c r="I1027" s="1250">
        <f t="shared" si="3960"/>
        <v>2.8343529776194532E-2</v>
      </c>
      <c r="J1027" s="1250">
        <f t="shared" si="3960"/>
        <v>2.6107185938307773E-2</v>
      </c>
      <c r="K1027" s="1250">
        <f t="shared" si="3960"/>
        <v>2.6947861745752782E-2</v>
      </c>
      <c r="L1027" s="1083">
        <f t="shared" si="3960"/>
        <v>2.510392044991442E-2</v>
      </c>
      <c r="M1027" s="1083">
        <f t="shared" si="3960"/>
        <v>2.558959817414759E-2</v>
      </c>
      <c r="N1027" s="1083">
        <f t="shared" si="3960"/>
        <v>2.6026324620604797E-2</v>
      </c>
      <c r="O1027" s="1083">
        <f t="shared" si="3960"/>
        <v>2.456373608110354E-2</v>
      </c>
      <c r="P1027" s="1083">
        <f t="shared" si="3960"/>
        <v>2.5306010177417137E-2</v>
      </c>
      <c r="Q1027" s="1083">
        <f t="shared" si="3960"/>
        <v>2.4791352283576113E-2</v>
      </c>
      <c r="R1027" s="1083">
        <f t="shared" si="3960"/>
        <v>2.4533054201694417E-2</v>
      </c>
      <c r="S1027" s="1083">
        <f t="shared" si="3960"/>
        <v>2.3104072129786161E-2</v>
      </c>
      <c r="T1027" s="1083">
        <f t="shared" si="3960"/>
        <v>2.586598094085615E-2</v>
      </c>
      <c r="U1027" s="1083">
        <f t="shared" si="3960"/>
        <v>2.5984934698964939E-2</v>
      </c>
      <c r="V1027" s="1083">
        <f t="shared" si="3960"/>
        <v>2.7440678450072812E-2</v>
      </c>
      <c r="W1027" s="1083">
        <f t="shared" si="3960"/>
        <v>2.6108905424236845E-2</v>
      </c>
      <c r="X1027" s="1083">
        <f t="shared" si="3960"/>
        <v>2.7776282499865426E-2</v>
      </c>
      <c r="Y1027" s="1083">
        <f t="shared" si="3960"/>
        <v>2.6534497167796454E-2</v>
      </c>
      <c r="Z1027" s="1083">
        <f t="shared" si="3960"/>
        <v>2.6974536037980147E-2</v>
      </c>
      <c r="AA1027" s="1083">
        <f t="shared" si="3960"/>
        <v>2.5546021840873633E-2</v>
      </c>
      <c r="AB1027" s="1083">
        <f t="shared" si="3960"/>
        <v>2.7075931769534611E-2</v>
      </c>
      <c r="AC1027" s="1083">
        <f t="shared" si="3960"/>
        <v>2.6233374574698421E-2</v>
      </c>
      <c r="AD1027" s="1083">
        <f t="shared" si="3960"/>
        <v>2.6418152350081037E-2</v>
      </c>
      <c r="AE1027" s="1083">
        <f t="shared" si="3960"/>
        <v>2.7050997782705099E-2</v>
      </c>
      <c r="AF1027" s="1083">
        <f t="shared" si="3960"/>
        <v>2.6894377718367186E-2</v>
      </c>
      <c r="AG1027" s="1083">
        <f t="shared" si="3960"/>
        <v>2.5764498454888429E-2</v>
      </c>
      <c r="AH1027" s="1083">
        <f t="shared" ref="AH1027:AI1027" si="3961">+AH1003/AH$1004</f>
        <v>2.7016289233214145E-2</v>
      </c>
      <c r="AI1027" s="1083">
        <f t="shared" si="3961"/>
        <v>2.6926978590115502E-2</v>
      </c>
      <c r="AJ1027" s="1083">
        <f t="shared" ref="AJ1027:AK1027" si="3962">+AJ1003/AJ$1004</f>
        <v>2.7389988852911513E-2</v>
      </c>
      <c r="AK1027" s="1083">
        <f t="shared" si="3962"/>
        <v>2.5588519832312157E-2</v>
      </c>
      <c r="AL1027" s="1083">
        <f t="shared" ref="AL1027:AM1027" si="3963">+AL1003/AL$1004</f>
        <v>2.6835655856962719E-2</v>
      </c>
      <c r="AM1027" s="1083">
        <f t="shared" si="3963"/>
        <v>-6.7977814513263402E-4</v>
      </c>
      <c r="AN1027"/>
      <c r="AO1027"/>
      <c r="AP1027"/>
      <c r="AQ1027"/>
      <c r="AR1027" s="1083"/>
      <c r="AS1027" s="1083"/>
      <c r="AT1027" s="1083"/>
      <c r="AU1027" s="1083"/>
      <c r="AV1027" s="1083">
        <f t="shared" ref="AV1027:BE1027" si="3964">+AV1003/AV$1004</f>
        <v>6.8222442899702085E-2</v>
      </c>
      <c r="AW1027" s="1083">
        <f t="shared" si="3964"/>
        <v>6.1570580283039855E-2</v>
      </c>
      <c r="AX1027" s="1083">
        <f t="shared" si="3964"/>
        <v>5.5662249535881184E-2</v>
      </c>
      <c r="AY1027" s="1083">
        <f t="shared" si="3964"/>
        <v>5.3600789214074317E-2</v>
      </c>
      <c r="AZ1027" s="1083">
        <f t="shared" si="3964"/>
        <v>6.1147810045711654E-2</v>
      </c>
      <c r="BA1027" s="1083">
        <f t="shared" si="3964"/>
        <v>7.180567508895426E-2</v>
      </c>
      <c r="BB1027" s="1083">
        <f t="shared" si="3964"/>
        <v>7.1597203828037734E-2</v>
      </c>
      <c r="BC1027" s="1083">
        <f t="shared" si="3964"/>
        <v>6.6616798461209659E-2</v>
      </c>
      <c r="BD1027" s="1083">
        <f t="shared" si="3964"/>
        <v>6.8577121425222695E-2</v>
      </c>
      <c r="BE1027" s="1083">
        <f t="shared" si="3964"/>
        <v>6.1567537520844914E-2</v>
      </c>
      <c r="BF1027" s="1083"/>
      <c r="BG1027" s="1251">
        <f t="shared" si="3915"/>
        <v>2.7415143603133161E-2</v>
      </c>
      <c r="BH1027" s="1083">
        <f t="shared" si="3915"/>
        <v>2.7037102235660811E-2</v>
      </c>
      <c r="BI1027" s="1083">
        <f t="shared" si="3915"/>
        <v>2.5308082638637187E-2</v>
      </c>
      <c r="BJ1027" s="1083">
        <f t="shared" si="3915"/>
        <v>2.4395476903761034E-2</v>
      </c>
      <c r="BK1027" s="1083">
        <f t="shared" si="3915"/>
        <v>2.6346886690207322E-2</v>
      </c>
      <c r="BL1027" s="1083">
        <f t="shared" si="3915"/>
        <v>2.6646756460901432E-2</v>
      </c>
      <c r="BM1027" s="1083">
        <f t="shared" si="3915"/>
        <v>2.6685832450698544E-2</v>
      </c>
      <c r="BN1027" s="1083">
        <f t="shared" ref="BN1027:BO1027" si="3965">+BN1003/BN$1004</f>
        <v>2.6652195455725173E-2</v>
      </c>
      <c r="BO1027" s="1083">
        <f t="shared" si="3965"/>
        <v>1.9382185197575084E-2</v>
      </c>
      <c r="BP1027" s="1252"/>
      <c r="BT1027"/>
      <c r="BU1027"/>
      <c r="BV1027"/>
      <c r="BW1027"/>
      <c r="BX1027"/>
      <c r="BY1027"/>
      <c r="BZ1027"/>
      <c r="CA1027"/>
      <c r="CB1027"/>
      <c r="CC1027"/>
    </row>
    <row r="1028" spans="2:81" s="1253" customFormat="1" hidden="1" outlineLevel="1">
      <c r="B1028" s="841" t="str">
        <f t="shared" si="3959"/>
        <v>Total revenue</v>
      </c>
      <c r="H1028" s="1253">
        <f t="shared" ref="H1028:AG1028" si="3966">+H1004/H$1004</f>
        <v>1</v>
      </c>
      <c r="I1028" s="1253">
        <f t="shared" si="3966"/>
        <v>1</v>
      </c>
      <c r="J1028" s="1253">
        <f t="shared" si="3966"/>
        <v>1</v>
      </c>
      <c r="K1028" s="1253">
        <f t="shared" si="3966"/>
        <v>1</v>
      </c>
      <c r="L1028" s="1060">
        <f t="shared" si="3966"/>
        <v>1</v>
      </c>
      <c r="M1028" s="1060">
        <f t="shared" si="3966"/>
        <v>1</v>
      </c>
      <c r="N1028" s="1060">
        <f t="shared" si="3966"/>
        <v>1</v>
      </c>
      <c r="O1028" s="1060">
        <f t="shared" si="3966"/>
        <v>1</v>
      </c>
      <c r="P1028" s="1060">
        <f t="shared" si="3966"/>
        <v>1</v>
      </c>
      <c r="Q1028" s="1060">
        <f t="shared" si="3966"/>
        <v>1</v>
      </c>
      <c r="R1028" s="1060">
        <f t="shared" si="3966"/>
        <v>1</v>
      </c>
      <c r="S1028" s="1060">
        <f t="shared" si="3966"/>
        <v>1</v>
      </c>
      <c r="T1028" s="1060">
        <f t="shared" si="3966"/>
        <v>1</v>
      </c>
      <c r="U1028" s="1060">
        <f t="shared" si="3966"/>
        <v>1</v>
      </c>
      <c r="V1028" s="1060">
        <f t="shared" si="3966"/>
        <v>1</v>
      </c>
      <c r="W1028" s="1060">
        <f t="shared" si="3966"/>
        <v>1</v>
      </c>
      <c r="X1028" s="1060">
        <f t="shared" si="3966"/>
        <v>1</v>
      </c>
      <c r="Y1028" s="1060">
        <f t="shared" si="3966"/>
        <v>1</v>
      </c>
      <c r="Z1028" s="1060">
        <f t="shared" si="3966"/>
        <v>1</v>
      </c>
      <c r="AA1028" s="1060">
        <f t="shared" si="3966"/>
        <v>1</v>
      </c>
      <c r="AB1028" s="1060">
        <f t="shared" si="3966"/>
        <v>1</v>
      </c>
      <c r="AC1028" s="1060">
        <f t="shared" si="3966"/>
        <v>1</v>
      </c>
      <c r="AD1028" s="1060">
        <f t="shared" si="3966"/>
        <v>1</v>
      </c>
      <c r="AE1028" s="1060">
        <f t="shared" si="3966"/>
        <v>1</v>
      </c>
      <c r="AF1028" s="1060">
        <f t="shared" si="3966"/>
        <v>1</v>
      </c>
      <c r="AG1028" s="1060">
        <f t="shared" si="3966"/>
        <v>1</v>
      </c>
      <c r="AH1028" s="1060">
        <f t="shared" ref="AH1028:AI1028" si="3967">+AH1004/AH$1004</f>
        <v>1</v>
      </c>
      <c r="AI1028" s="1060">
        <f t="shared" si="3967"/>
        <v>1</v>
      </c>
      <c r="AJ1028" s="1060">
        <f t="shared" ref="AJ1028:AK1028" si="3968">+AJ1004/AJ$1004</f>
        <v>1</v>
      </c>
      <c r="AK1028" s="1060">
        <f t="shared" si="3968"/>
        <v>1</v>
      </c>
      <c r="AL1028" s="1060">
        <f t="shared" ref="AL1028:AM1028" si="3969">+AL1004/AL$1004</f>
        <v>1</v>
      </c>
      <c r="AM1028" s="1060">
        <f t="shared" si="3969"/>
        <v>1</v>
      </c>
      <c r="AN1028"/>
      <c r="AO1028"/>
      <c r="AP1028"/>
      <c r="AQ1028"/>
      <c r="AR1028" s="1060"/>
      <c r="AS1028" s="1060"/>
      <c r="AT1028" s="1060"/>
      <c r="AU1028" s="1060"/>
      <c r="AV1028" s="1060">
        <f t="shared" ref="AV1028:BE1028" si="3970">+AV1004/AV$1004</f>
        <v>1</v>
      </c>
      <c r="AW1028" s="1060">
        <f t="shared" si="3970"/>
        <v>1</v>
      </c>
      <c r="AX1028" s="1060">
        <f t="shared" si="3970"/>
        <v>1</v>
      </c>
      <c r="AY1028" s="1060">
        <f t="shared" si="3970"/>
        <v>1</v>
      </c>
      <c r="AZ1028" s="1060">
        <f t="shared" si="3970"/>
        <v>1</v>
      </c>
      <c r="BA1028" s="1060">
        <f t="shared" si="3970"/>
        <v>1</v>
      </c>
      <c r="BB1028" s="1060">
        <f t="shared" si="3970"/>
        <v>1</v>
      </c>
      <c r="BC1028" s="1060">
        <f t="shared" si="3970"/>
        <v>1</v>
      </c>
      <c r="BD1028" s="1060">
        <f t="shared" si="3970"/>
        <v>1</v>
      </c>
      <c r="BE1028" s="1060">
        <f t="shared" si="3970"/>
        <v>1</v>
      </c>
      <c r="BF1028" s="1060"/>
      <c r="BG1028" s="1254">
        <f t="shared" si="3915"/>
        <v>1</v>
      </c>
      <c r="BH1028" s="1060">
        <f t="shared" si="3915"/>
        <v>1</v>
      </c>
      <c r="BI1028" s="1060">
        <f t="shared" si="3915"/>
        <v>1</v>
      </c>
      <c r="BJ1028" s="1060">
        <f t="shared" si="3915"/>
        <v>1</v>
      </c>
      <c r="BK1028" s="1060">
        <f t="shared" si="3915"/>
        <v>1</v>
      </c>
      <c r="BL1028" s="1060">
        <f t="shared" si="3915"/>
        <v>1</v>
      </c>
      <c r="BM1028" s="1060">
        <f t="shared" si="3915"/>
        <v>1</v>
      </c>
      <c r="BN1028" s="1060">
        <f t="shared" ref="BN1028:BO1028" si="3971">+BN1004/BN$1004</f>
        <v>1</v>
      </c>
      <c r="BO1028" s="1060">
        <f t="shared" si="3971"/>
        <v>1</v>
      </c>
      <c r="BP1028" s="1255"/>
      <c r="BT1028"/>
      <c r="BU1028"/>
      <c r="BV1028"/>
      <c r="BW1028"/>
      <c r="BX1028"/>
      <c r="BY1028"/>
      <c r="BZ1028"/>
      <c r="CA1028"/>
      <c r="CB1028"/>
      <c r="CC1028"/>
    </row>
    <row r="1029" spans="2:81" hidden="1" outlineLevel="2">
      <c r="B1029" s="843"/>
    </row>
    <row r="1030" spans="2:81" s="3" customFormat="1" hidden="1" outlineLevel="2">
      <c r="B1030" s="15" t="s">
        <v>534</v>
      </c>
      <c r="AW1030" s="21">
        <f t="shared" ref="AW1030:BE1030" si="3972">+AW1035/AW$1038</f>
        <v>0.25074866950733266</v>
      </c>
      <c r="AX1030" s="21">
        <f t="shared" si="3972"/>
        <v>0.2916746687151911</v>
      </c>
      <c r="AY1030" s="21">
        <f t="shared" si="3972"/>
        <v>0.25485037816507727</v>
      </c>
      <c r="AZ1030" s="21">
        <f t="shared" si="3972"/>
        <v>0.24049661338755504</v>
      </c>
      <c r="BA1030" s="21">
        <f t="shared" si="3972"/>
        <v>0.2197544917150655</v>
      </c>
      <c r="BB1030" s="21">
        <f t="shared" si="3972"/>
        <v>0.19411974710075663</v>
      </c>
      <c r="BC1030" s="21">
        <f t="shared" si="3972"/>
        <v>0.15843128873690959</v>
      </c>
      <c r="BD1030" s="21">
        <f t="shared" si="3972"/>
        <v>0.16035797005317357</v>
      </c>
      <c r="BE1030" s="21">
        <f t="shared" si="3972"/>
        <v>0.1586227588276069</v>
      </c>
      <c r="BG1030" s="21"/>
      <c r="BH1030" s="21"/>
      <c r="BT1030"/>
      <c r="BU1030"/>
      <c r="BV1030"/>
      <c r="BW1030"/>
      <c r="BX1030"/>
      <c r="BY1030"/>
      <c r="BZ1030"/>
      <c r="CA1030"/>
      <c r="CB1030"/>
      <c r="CC1030"/>
    </row>
    <row r="1031" spans="2:81" hidden="1" outlineLevel="2">
      <c r="B1031" s="843"/>
    </row>
    <row r="1032" spans="2:81" hidden="1" outlineLevel="2">
      <c r="B1032" s="922" t="s">
        <v>127</v>
      </c>
    </row>
    <row r="1033" spans="2:81" hidden="1" outlineLevel="2">
      <c r="B1033" s="12" t="str">
        <f>"Revenue from "&amp;B998</f>
        <v>Revenue from Windows</v>
      </c>
      <c r="AV1033" s="8">
        <f t="shared" ref="AV1033:BE1033" si="3973">+AV998</f>
        <v>16838</v>
      </c>
      <c r="AW1033" s="8">
        <f t="shared" si="3973"/>
        <v>14653</v>
      </c>
      <c r="AX1033" s="8">
        <f t="shared" si="3973"/>
        <v>18225</v>
      </c>
      <c r="AY1033" s="8">
        <f t="shared" si="3973"/>
        <v>17825</v>
      </c>
      <c r="AZ1033" s="8">
        <f t="shared" si="3973"/>
        <v>17320</v>
      </c>
      <c r="BA1033" s="8">
        <f t="shared" si="3973"/>
        <v>17529</v>
      </c>
      <c r="BB1033" s="8">
        <f t="shared" si="3973"/>
        <v>16856</v>
      </c>
      <c r="BC1033" s="8">
        <f t="shared" si="3973"/>
        <v>14826</v>
      </c>
      <c r="BD1033" s="8">
        <f t="shared" si="3973"/>
        <v>8104</v>
      </c>
      <c r="BE1033" s="8">
        <f t="shared" si="3973"/>
        <v>8625</v>
      </c>
    </row>
    <row r="1034" spans="2:81" ht="11.45" hidden="1" outlineLevel="2">
      <c r="B1034" s="12" t="s">
        <v>276</v>
      </c>
      <c r="AV1034" s="10">
        <f t="shared" ref="AV1034:BE1034" si="3974">+AV18</f>
        <v>0</v>
      </c>
      <c r="AW1034" s="10">
        <f t="shared" si="3974"/>
        <v>0</v>
      </c>
      <c r="AX1034" s="10">
        <f t="shared" si="3974"/>
        <v>0</v>
      </c>
      <c r="AY1034" s="10">
        <f t="shared" si="3974"/>
        <v>0</v>
      </c>
      <c r="AZ1034" s="10">
        <f t="shared" si="3974"/>
        <v>540</v>
      </c>
      <c r="BA1034" s="10">
        <f t="shared" si="3974"/>
        <v>-540</v>
      </c>
      <c r="BB1034" s="10">
        <f t="shared" si="3974"/>
        <v>0</v>
      </c>
      <c r="BC1034" s="10">
        <f t="shared" si="3974"/>
        <v>0</v>
      </c>
      <c r="BD1034" s="10">
        <f t="shared" si="3974"/>
        <v>6643</v>
      </c>
      <c r="BE1034" s="10">
        <f t="shared" si="3974"/>
        <v>6707</v>
      </c>
      <c r="BT1034" s="1"/>
      <c r="BU1034" s="1"/>
      <c r="BV1034" s="1"/>
      <c r="BW1034" s="1"/>
      <c r="BX1034" s="1"/>
      <c r="BY1034" s="1"/>
      <c r="BZ1034" s="1"/>
      <c r="CA1034" s="1"/>
      <c r="CB1034" s="1"/>
      <c r="CC1034" s="1"/>
    </row>
    <row r="1035" spans="2:81" hidden="1" outlineLevel="2">
      <c r="B1035" s="17" t="s">
        <v>535</v>
      </c>
      <c r="AV1035" s="8">
        <f t="shared" ref="AV1035:BD1035" si="3975">+AV1034+AV1033</f>
        <v>16838</v>
      </c>
      <c r="AW1035" s="8">
        <f t="shared" si="3975"/>
        <v>14653</v>
      </c>
      <c r="AX1035" s="8">
        <f t="shared" si="3975"/>
        <v>18225</v>
      </c>
      <c r="AY1035" s="8">
        <f t="shared" si="3975"/>
        <v>17825</v>
      </c>
      <c r="AZ1035" s="8">
        <f t="shared" si="3975"/>
        <v>17860</v>
      </c>
      <c r="BA1035" s="8">
        <f t="shared" si="3975"/>
        <v>16989</v>
      </c>
      <c r="BB1035" s="8">
        <f t="shared" si="3975"/>
        <v>16856</v>
      </c>
      <c r="BC1035" s="8">
        <f t="shared" si="3975"/>
        <v>14826</v>
      </c>
      <c r="BD1035" s="8">
        <f t="shared" si="3975"/>
        <v>14747</v>
      </c>
      <c r="BE1035" s="8">
        <f>+BE1034+BE1033</f>
        <v>15332</v>
      </c>
      <c r="BT1035" s="7"/>
      <c r="BU1035" s="7"/>
      <c r="BV1035" s="7"/>
      <c r="BW1035" s="7"/>
      <c r="BX1035" s="7"/>
      <c r="BY1035" s="7"/>
      <c r="BZ1035" s="7"/>
      <c r="CA1035" s="7"/>
      <c r="CB1035" s="7"/>
      <c r="CC1035" s="7"/>
    </row>
    <row r="1036" spans="2:81" s="33" customFormat="1" hidden="1" outlineLevel="2">
      <c r="B1036" s="923" t="s">
        <v>113</v>
      </c>
      <c r="AW1036" s="14">
        <f t="shared" ref="AW1036:BE1036" si="3976">+IFERROR(AW1035/AV1035-1,"n/a ")</f>
        <v>-0.12976600546383177</v>
      </c>
      <c r="AX1036" s="14">
        <f t="shared" si="3976"/>
        <v>0.24377260629222675</v>
      </c>
      <c r="AY1036" s="14">
        <f t="shared" si="3976"/>
        <v>-2.1947873799725626E-2</v>
      </c>
      <c r="AZ1036" s="14">
        <f t="shared" si="3976"/>
        <v>1.9635343618513712E-3</v>
      </c>
      <c r="BA1036" s="14">
        <f t="shared" si="3976"/>
        <v>-4.8768197088465803E-2</v>
      </c>
      <c r="BB1036" s="14">
        <f t="shared" si="3976"/>
        <v>-7.8285949732179727E-3</v>
      </c>
      <c r="BC1036" s="14">
        <f t="shared" si="3976"/>
        <v>-0.12043189368770768</v>
      </c>
      <c r="BD1036" s="14">
        <f t="shared" si="3976"/>
        <v>-5.3284769998650505E-3</v>
      </c>
      <c r="BE1036" s="14">
        <f t="shared" si="3976"/>
        <v>3.9669085237675539E-2</v>
      </c>
      <c r="BT1036"/>
      <c r="BU1036"/>
      <c r="BV1036"/>
      <c r="BW1036"/>
      <c r="BX1036"/>
      <c r="BY1036"/>
      <c r="BZ1036"/>
      <c r="CA1036"/>
      <c r="CB1036"/>
      <c r="CC1036"/>
    </row>
    <row r="1037" spans="2:81" hidden="1" outlineLevel="2">
      <c r="B1037" s="17"/>
      <c r="AV1037" s="8"/>
      <c r="AW1037" s="8"/>
      <c r="AX1037" s="8"/>
      <c r="AY1037" s="8"/>
      <c r="AZ1037" s="8"/>
      <c r="BA1037" s="8"/>
      <c r="BB1037" s="8"/>
      <c r="BC1037" s="8"/>
      <c r="BD1037" s="8"/>
      <c r="BE1037" s="8"/>
    </row>
    <row r="1038" spans="2:81" hidden="1" outlineLevel="2">
      <c r="B1038" s="12" t="s">
        <v>536</v>
      </c>
      <c r="AV1038" s="8">
        <f t="shared" ref="AV1038:BE1038" si="3977">+AV1004+AV1034</f>
        <v>60420</v>
      </c>
      <c r="AW1038" s="8">
        <f t="shared" si="3977"/>
        <v>58437</v>
      </c>
      <c r="AX1038" s="8">
        <f t="shared" si="3977"/>
        <v>62484</v>
      </c>
      <c r="AY1038" s="8">
        <f t="shared" si="3977"/>
        <v>69943</v>
      </c>
      <c r="AZ1038" s="8">
        <f t="shared" si="3977"/>
        <v>74263</v>
      </c>
      <c r="BA1038" s="8">
        <f t="shared" si="3977"/>
        <v>77309</v>
      </c>
      <c r="BB1038" s="8">
        <f t="shared" si="3977"/>
        <v>86833</v>
      </c>
      <c r="BC1038" s="8">
        <f t="shared" si="3977"/>
        <v>93580</v>
      </c>
      <c r="BD1038" s="8">
        <f t="shared" si="3977"/>
        <v>91963</v>
      </c>
      <c r="BE1038" s="8">
        <f t="shared" si="3977"/>
        <v>96657</v>
      </c>
    </row>
    <row r="1039" spans="2:81" ht="11.45" hidden="1" outlineLevel="2">
      <c r="B1039" s="12" t="s">
        <v>537</v>
      </c>
      <c r="AV1039" s="905">
        <v>0</v>
      </c>
      <c r="AW1039" s="905">
        <v>0</v>
      </c>
      <c r="AX1039" s="905">
        <v>0</v>
      </c>
      <c r="AY1039" s="905">
        <v>0</v>
      </c>
      <c r="AZ1039" s="905">
        <f>-162+0</f>
        <v>-162</v>
      </c>
      <c r="BA1039" s="905">
        <v>-615</v>
      </c>
      <c r="BB1039" s="905">
        <v>-3073</v>
      </c>
      <c r="BC1039" s="905">
        <v>-7702</v>
      </c>
      <c r="BD1039" s="905">
        <v>-3358</v>
      </c>
      <c r="BE1039" s="924">
        <v>-500</v>
      </c>
    </row>
    <row r="1040" spans="2:81" hidden="1" outlineLevel="2">
      <c r="B1040" s="17" t="s">
        <v>538</v>
      </c>
      <c r="AV1040" s="8">
        <f t="shared" ref="AV1040:BE1040" si="3978">+AV1038+AV1039</f>
        <v>60420</v>
      </c>
      <c r="AW1040" s="8">
        <f t="shared" si="3978"/>
        <v>58437</v>
      </c>
      <c r="AX1040" s="8">
        <f t="shared" si="3978"/>
        <v>62484</v>
      </c>
      <c r="AY1040" s="8">
        <f t="shared" si="3978"/>
        <v>69943</v>
      </c>
      <c r="AZ1040" s="8">
        <f t="shared" si="3978"/>
        <v>74101</v>
      </c>
      <c r="BA1040" s="8">
        <f t="shared" si="3978"/>
        <v>76694</v>
      </c>
      <c r="BB1040" s="8">
        <f t="shared" si="3978"/>
        <v>83760</v>
      </c>
      <c r="BC1040" s="8">
        <f t="shared" si="3978"/>
        <v>85878</v>
      </c>
      <c r="BD1040" s="8">
        <f t="shared" si="3978"/>
        <v>88605</v>
      </c>
      <c r="BE1040" s="8">
        <f t="shared" si="3978"/>
        <v>96157</v>
      </c>
    </row>
    <row r="1041" spans="2:81" s="33" customFormat="1" hidden="1" outlineLevel="2">
      <c r="B1041" s="923" t="s">
        <v>113</v>
      </c>
      <c r="AW1041" s="14">
        <f t="shared" ref="AW1041:BE1041" si="3979">+IFERROR(AW1040/AV1040-1,"n/a ")</f>
        <v>-3.2820258192651441E-2</v>
      </c>
      <c r="AX1041" s="14">
        <f t="shared" si="3979"/>
        <v>6.9254068484008391E-2</v>
      </c>
      <c r="AY1041" s="14">
        <f t="shared" si="3979"/>
        <v>0.11937455988733126</v>
      </c>
      <c r="AZ1041" s="14">
        <f t="shared" si="3979"/>
        <v>5.9448407989362684E-2</v>
      </c>
      <c r="BA1041" s="14">
        <f t="shared" si="3979"/>
        <v>3.4992780124424749E-2</v>
      </c>
      <c r="BB1041" s="14">
        <f t="shared" si="3979"/>
        <v>9.2132370198450886E-2</v>
      </c>
      <c r="BC1041" s="14">
        <f t="shared" si="3979"/>
        <v>2.5286532951289464E-2</v>
      </c>
      <c r="BD1041" s="14">
        <f t="shared" si="3979"/>
        <v>3.1754349193041209E-2</v>
      </c>
      <c r="BE1041" s="14">
        <f t="shared" si="3979"/>
        <v>8.5232210371875228E-2</v>
      </c>
      <c r="BT1041"/>
      <c r="BU1041"/>
      <c r="BV1041"/>
      <c r="BW1041"/>
      <c r="BX1041"/>
      <c r="BY1041"/>
      <c r="BZ1041"/>
      <c r="CA1041"/>
      <c r="CB1041"/>
      <c r="CC1041"/>
    </row>
    <row r="1042" spans="2:81" hidden="1" outlineLevel="2">
      <c r="B1042" s="17"/>
      <c r="AV1042" s="8"/>
      <c r="AW1042" s="8"/>
      <c r="AX1042" s="8"/>
      <c r="AY1042" s="8"/>
      <c r="AZ1042" s="8"/>
      <c r="BA1042" s="8"/>
      <c r="BB1042" s="8"/>
      <c r="BC1042" s="8"/>
      <c r="BD1042" s="8"/>
      <c r="BE1042" s="8"/>
    </row>
    <row r="1043" spans="2:81" ht="11.45" hidden="1" outlineLevel="2">
      <c r="B1043" s="12" t="s">
        <v>539</v>
      </c>
      <c r="AV1043" s="10">
        <f t="shared" ref="AV1043:BE1043" si="3980">-AV1002</f>
        <v>0</v>
      </c>
      <c r="AW1043" s="10">
        <f t="shared" si="3980"/>
        <v>0</v>
      </c>
      <c r="AX1043" s="10">
        <f t="shared" si="3980"/>
        <v>0</v>
      </c>
      <c r="AY1043" s="10">
        <f t="shared" si="3980"/>
        <v>0</v>
      </c>
      <c r="AZ1043" s="10">
        <f t="shared" si="3980"/>
        <v>0</v>
      </c>
      <c r="BA1043" s="10">
        <f t="shared" si="3980"/>
        <v>0</v>
      </c>
      <c r="BB1043" s="10">
        <f t="shared" si="3980"/>
        <v>0</v>
      </c>
      <c r="BC1043" s="10">
        <f t="shared" si="3980"/>
        <v>0</v>
      </c>
      <c r="BD1043" s="10">
        <f t="shared" si="3980"/>
        <v>0</v>
      </c>
      <c r="BE1043" s="10">
        <f t="shared" si="3980"/>
        <v>-2268</v>
      </c>
    </row>
    <row r="1044" spans="2:81" ht="10.5" hidden="1" outlineLevel="2">
      <c r="B1044" s="17" t="s">
        <v>540</v>
      </c>
      <c r="AV1044" s="8">
        <f t="shared" ref="AV1044:BE1044" si="3981">+AV1040+AV1043</f>
        <v>60420</v>
      </c>
      <c r="AW1044" s="8">
        <f t="shared" si="3981"/>
        <v>58437</v>
      </c>
      <c r="AX1044" s="8">
        <f t="shared" si="3981"/>
        <v>62484</v>
      </c>
      <c r="AY1044" s="8">
        <f t="shared" si="3981"/>
        <v>69943</v>
      </c>
      <c r="AZ1044" s="8">
        <f t="shared" si="3981"/>
        <v>74101</v>
      </c>
      <c r="BA1044" s="8">
        <f t="shared" si="3981"/>
        <v>76694</v>
      </c>
      <c r="BB1044" s="8">
        <f t="shared" si="3981"/>
        <v>83760</v>
      </c>
      <c r="BC1044" s="8">
        <f t="shared" si="3981"/>
        <v>85878</v>
      </c>
      <c r="BD1044" s="8">
        <f t="shared" si="3981"/>
        <v>88605</v>
      </c>
      <c r="BE1044" s="8">
        <f t="shared" si="3981"/>
        <v>93889</v>
      </c>
      <c r="BT1044" s="1"/>
      <c r="BU1044" s="1"/>
      <c r="BV1044" s="1"/>
      <c r="BW1044" s="1"/>
      <c r="BX1044" s="1"/>
      <c r="BY1044" s="1"/>
      <c r="BZ1044" s="1"/>
      <c r="CA1044" s="1"/>
      <c r="CB1044" s="1"/>
      <c r="CC1044" s="1"/>
    </row>
    <row r="1045" spans="2:81" s="33" customFormat="1" hidden="1" outlineLevel="2">
      <c r="B1045" s="923" t="s">
        <v>113</v>
      </c>
      <c r="AW1045" s="14">
        <f t="shared" ref="AW1045:BE1045" si="3982">+IFERROR(AW1044/AV1044-1,"n/a ")</f>
        <v>-3.2820258192651441E-2</v>
      </c>
      <c r="AX1045" s="14">
        <f t="shared" si="3982"/>
        <v>6.9254068484008391E-2</v>
      </c>
      <c r="AY1045" s="14">
        <f t="shared" si="3982"/>
        <v>0.11937455988733126</v>
      </c>
      <c r="AZ1045" s="14">
        <f t="shared" si="3982"/>
        <v>5.9448407989362684E-2</v>
      </c>
      <c r="BA1045" s="14">
        <f t="shared" si="3982"/>
        <v>3.4992780124424749E-2</v>
      </c>
      <c r="BB1045" s="14">
        <f t="shared" si="3982"/>
        <v>9.2132370198450886E-2</v>
      </c>
      <c r="BC1045" s="14">
        <f t="shared" si="3982"/>
        <v>2.5286532951289464E-2</v>
      </c>
      <c r="BD1045" s="14">
        <f t="shared" si="3982"/>
        <v>3.1754349193041209E-2</v>
      </c>
      <c r="BE1045" s="14">
        <f t="shared" si="3982"/>
        <v>5.9635460752779146E-2</v>
      </c>
      <c r="BT1045" s="7"/>
      <c r="BU1045" s="7"/>
      <c r="BV1045" s="7"/>
      <c r="BW1045" s="7"/>
      <c r="BX1045" s="7"/>
      <c r="BY1045" s="7"/>
      <c r="BZ1045" s="7"/>
      <c r="CA1045" s="7"/>
      <c r="CB1045" s="7"/>
      <c r="CC1045" s="7"/>
    </row>
    <row r="1046" spans="2:81" hidden="1" outlineLevel="2">
      <c r="B1046" s="18"/>
      <c r="AV1046" s="8"/>
      <c r="AW1046" s="8"/>
      <c r="AX1046" s="8"/>
      <c r="AY1046" s="8"/>
      <c r="AZ1046" s="8"/>
      <c r="BA1046" s="900"/>
      <c r="BB1046" s="900"/>
      <c r="BC1046" s="900"/>
      <c r="BD1046" s="900"/>
      <c r="BE1046" s="900"/>
      <c r="BT1046" s="948"/>
      <c r="BU1046" s="948"/>
      <c r="BV1046" s="948"/>
      <c r="BW1046" s="948"/>
      <c r="BX1046" s="948"/>
      <c r="BY1046" s="948"/>
      <c r="BZ1046" s="948"/>
      <c r="CA1046" s="948"/>
      <c r="CB1046" s="948"/>
      <c r="CC1046" s="948"/>
    </row>
    <row r="1047" spans="2:81" ht="11.45" hidden="1" outlineLevel="2">
      <c r="B1047" s="12" t="s">
        <v>541</v>
      </c>
      <c r="AV1047" s="10">
        <f t="shared" ref="AV1047:BE1047" si="3983">-AV1035</f>
        <v>-16838</v>
      </c>
      <c r="AW1047" s="10">
        <f t="shared" si="3983"/>
        <v>-14653</v>
      </c>
      <c r="AX1047" s="10">
        <f t="shared" si="3983"/>
        <v>-18225</v>
      </c>
      <c r="AY1047" s="10">
        <f t="shared" si="3983"/>
        <v>-17825</v>
      </c>
      <c r="AZ1047" s="10">
        <f t="shared" si="3983"/>
        <v>-17860</v>
      </c>
      <c r="BA1047" s="10">
        <f t="shared" si="3983"/>
        <v>-16989</v>
      </c>
      <c r="BB1047" s="10">
        <f t="shared" si="3983"/>
        <v>-16856</v>
      </c>
      <c r="BC1047" s="10">
        <f t="shared" si="3983"/>
        <v>-14826</v>
      </c>
      <c r="BD1047" s="10">
        <f t="shared" si="3983"/>
        <v>-14747</v>
      </c>
      <c r="BE1047" s="10">
        <f t="shared" si="3983"/>
        <v>-15332</v>
      </c>
      <c r="BT1047" s="1"/>
      <c r="BU1047" s="1"/>
      <c r="BV1047" s="1"/>
      <c r="BW1047" s="1"/>
      <c r="BX1047" s="1"/>
      <c r="BY1047" s="1"/>
      <c r="BZ1047" s="1"/>
      <c r="CA1047" s="1"/>
      <c r="CB1047" s="1"/>
      <c r="CC1047" s="1"/>
    </row>
    <row r="1048" spans="2:81" hidden="1" outlineLevel="2">
      <c r="B1048" s="17" t="s">
        <v>542</v>
      </c>
      <c r="AV1048" s="8">
        <f>+AV1044+AV1047</f>
        <v>43582</v>
      </c>
      <c r="AW1048" s="8">
        <f t="shared" ref="AW1048:BE1048" si="3984">+AW1044+AW1047</f>
        <v>43784</v>
      </c>
      <c r="AX1048" s="8">
        <f t="shared" si="3984"/>
        <v>44259</v>
      </c>
      <c r="AY1048" s="8">
        <f t="shared" si="3984"/>
        <v>52118</v>
      </c>
      <c r="AZ1048" s="8">
        <f t="shared" si="3984"/>
        <v>56241</v>
      </c>
      <c r="BA1048" s="8">
        <f t="shared" si="3984"/>
        <v>59705</v>
      </c>
      <c r="BB1048" s="8">
        <f t="shared" si="3984"/>
        <v>66904</v>
      </c>
      <c r="BC1048" s="8">
        <f t="shared" si="3984"/>
        <v>71052</v>
      </c>
      <c r="BD1048" s="8">
        <f t="shared" si="3984"/>
        <v>73858</v>
      </c>
      <c r="BE1048" s="8">
        <f t="shared" si="3984"/>
        <v>78557</v>
      </c>
    </row>
    <row r="1049" spans="2:81" s="33" customFormat="1" hidden="1" outlineLevel="2">
      <c r="B1049" s="923" t="s">
        <v>113</v>
      </c>
      <c r="AW1049" s="14">
        <f t="shared" ref="AW1049:BE1049" si="3985">+IFERROR(AW1048/AV1048-1,"n/a ")</f>
        <v>4.6349410307007233E-3</v>
      </c>
      <c r="AX1049" s="14">
        <f t="shared" si="3985"/>
        <v>1.0848711858213012E-2</v>
      </c>
      <c r="AY1049" s="14">
        <f t="shared" si="3985"/>
        <v>0.17756840416638431</v>
      </c>
      <c r="AZ1049" s="14">
        <f t="shared" si="3985"/>
        <v>7.9108945086150628E-2</v>
      </c>
      <c r="BA1049" s="14">
        <f t="shared" si="3985"/>
        <v>6.1592076954535058E-2</v>
      </c>
      <c r="BB1049" s="14">
        <f t="shared" si="3985"/>
        <v>0.12057616615023869</v>
      </c>
      <c r="BC1049" s="14">
        <f t="shared" si="3985"/>
        <v>6.199928255410736E-2</v>
      </c>
      <c r="BD1049" s="14">
        <f t="shared" si="3985"/>
        <v>3.9492202893655293E-2</v>
      </c>
      <c r="BE1049" s="14">
        <f t="shared" si="3985"/>
        <v>6.362208562376459E-2</v>
      </c>
      <c r="BT1049"/>
      <c r="BU1049"/>
      <c r="BV1049"/>
      <c r="BW1049"/>
      <c r="BX1049"/>
      <c r="BY1049"/>
      <c r="BZ1049"/>
      <c r="CA1049"/>
      <c r="CB1049"/>
      <c r="CC1049"/>
    </row>
    <row r="1050" spans="2:81" s="3" customFormat="1" hidden="1" outlineLevel="3">
      <c r="B1050" s="20" t="s">
        <v>543</v>
      </c>
      <c r="BC1050" s="33">
        <f>+ROUND(BC242-BC234,2)</f>
        <v>0.02</v>
      </c>
      <c r="BD1050" s="33">
        <f>+ROUND(BD242-BD234,2)</f>
        <v>0.04</v>
      </c>
      <c r="BE1050" s="33">
        <f>+ROUND(BE242-BE234,2)</f>
        <v>0.02</v>
      </c>
      <c r="BT1050"/>
      <c r="BU1050"/>
      <c r="BV1050"/>
      <c r="BW1050"/>
      <c r="BX1050"/>
      <c r="BY1050"/>
      <c r="BZ1050"/>
      <c r="CA1050"/>
      <c r="CB1050"/>
      <c r="CC1050"/>
    </row>
    <row r="1051" spans="2:81" s="3" customFormat="1" hidden="1" outlineLevel="2" collapsed="1">
      <c r="B1051" s="19" t="s">
        <v>272</v>
      </c>
      <c r="BC1051" s="33">
        <f t="shared" ref="BC1051:BD1051" si="3986">BC1049+BC1050</f>
        <v>8.1999282554107364E-2</v>
      </c>
      <c r="BD1051" s="33">
        <f t="shared" si="3986"/>
        <v>7.94922028936553E-2</v>
      </c>
      <c r="BE1051" s="33">
        <f>BE1049+BE1050</f>
        <v>8.3622085623764594E-2</v>
      </c>
      <c r="BT1051"/>
      <c r="BU1051"/>
      <c r="BV1051"/>
      <c r="BW1051"/>
      <c r="BX1051"/>
      <c r="BY1051"/>
      <c r="BZ1051"/>
      <c r="CA1051"/>
      <c r="CB1051"/>
      <c r="CC1051"/>
    </row>
    <row r="1052" spans="2:81" hidden="1" outlineLevel="1" collapsed="1">
      <c r="B1052" s="843"/>
    </row>
    <row r="1053" spans="2:81" ht="10.5" collapsed="1">
      <c r="B1053" s="5" t="s">
        <v>544</v>
      </c>
      <c r="C1053" s="4"/>
    </row>
    <row r="1054" spans="2:81">
      <c r="BG1054" s="31"/>
      <c r="BH1054" s="31"/>
    </row>
    <row r="1055" spans="2:81" ht="10.5">
      <c r="B1055" s="910" t="s">
        <v>86</v>
      </c>
    </row>
    <row r="1056" spans="2:81" ht="10.5">
      <c r="B1056" s="878" t="s">
        <v>545</v>
      </c>
      <c r="D1056" s="879">
        <v>15750</v>
      </c>
      <c r="E1056" s="879">
        <v>19431</v>
      </c>
      <c r="F1056" s="879">
        <v>15307</v>
      </c>
      <c r="G1056" s="879">
        <v>16848</v>
      </c>
      <c r="H1056" s="879">
        <v>14968</v>
      </c>
      <c r="I1056" s="879">
        <v>18273</v>
      </c>
      <c r="J1056" s="879">
        <v>14513</v>
      </c>
      <c r="K1056" s="879">
        <v>16057</v>
      </c>
      <c r="L1056" s="879">
        <v>14298</v>
      </c>
      <c r="M1056" s="879">
        <v>17926</v>
      </c>
      <c r="N1056" s="879">
        <v>15114</v>
      </c>
      <c r="O1056" s="879">
        <v>17159</v>
      </c>
      <c r="P1056" s="879">
        <v>17299</v>
      </c>
      <c r="Q1056" s="879">
        <v>16219</v>
      </c>
      <c r="R1056" s="879">
        <v>15448</v>
      </c>
      <c r="S1056" s="879">
        <v>17103</v>
      </c>
      <c r="T1056" s="879">
        <v>15768</v>
      </c>
      <c r="U1056" s="879">
        <v>18255</v>
      </c>
      <c r="V1056" s="879">
        <v>15871</v>
      </c>
      <c r="W1056" s="879">
        <v>18147</v>
      </c>
      <c r="X1056" s="879">
        <v>15803</v>
      </c>
      <c r="Y1056" s="879">
        <v>19460</v>
      </c>
      <c r="Z1056" s="879">
        <v>16873</v>
      </c>
      <c r="AA1056" s="879">
        <v>18938</v>
      </c>
      <c r="AB1056" s="879">
        <v>16631</v>
      </c>
      <c r="AC1056" s="879">
        <v>20779</v>
      </c>
      <c r="AD1056" s="879">
        <v>17366</v>
      </c>
      <c r="AE1056" s="879">
        <v>17956</v>
      </c>
      <c r="AF1056" s="879">
        <v>15741</v>
      </c>
      <c r="AG1056" s="879">
        <v>16517</v>
      </c>
      <c r="AH1056" s="879">
        <v>15588</v>
      </c>
      <c r="AI1056" s="879">
        <v>16853</v>
      </c>
      <c r="AJ1056" s="879">
        <v>15535</v>
      </c>
      <c r="AK1056" s="879">
        <v>18941</v>
      </c>
      <c r="AL1056" s="879">
        <v>17080</v>
      </c>
      <c r="AM1056" s="879">
        <v>13217</v>
      </c>
      <c r="AN1056" s="879">
        <v>15272</v>
      </c>
      <c r="AO1056" s="879"/>
      <c r="AP1056" s="879"/>
      <c r="AQ1056" s="879"/>
      <c r="AS1056" s="879"/>
      <c r="AT1056" s="879"/>
      <c r="AU1056" s="879"/>
      <c r="AV1056" s="879"/>
      <c r="AW1056" s="879"/>
      <c r="AX1056" s="879"/>
      <c r="AY1056" s="879"/>
      <c r="AZ1056" s="879"/>
      <c r="BA1056" s="879"/>
      <c r="BB1056" s="29">
        <v>72948</v>
      </c>
      <c r="BC1056" s="29">
        <v>75956</v>
      </c>
      <c r="BD1056" s="29">
        <v>61502</v>
      </c>
      <c r="BE1056" s="29">
        <v>57190</v>
      </c>
      <c r="BF1056" s="29"/>
      <c r="BG1056" s="880">
        <f>+SUM(D1056:G1056)</f>
        <v>67336</v>
      </c>
      <c r="BH1056" s="880">
        <f>+SUM(H1056:K1056)</f>
        <v>63811</v>
      </c>
      <c r="BI1056" s="880">
        <f>+SUM(L1056:O1056)</f>
        <v>64497</v>
      </c>
      <c r="BJ1056" s="880">
        <v>66069</v>
      </c>
      <c r="BK1056" s="880">
        <f>SUM(T1056:W1056)</f>
        <v>68041</v>
      </c>
      <c r="BL1056" s="880">
        <f t="shared" ref="BL1056:BL1057" si="3987">SUM(X1056:AA1056)</f>
        <v>71074</v>
      </c>
      <c r="BM1056" s="880">
        <f t="shared" ref="BM1056:BM1057" si="3988">SUM(AB1056:AE1056)</f>
        <v>72732</v>
      </c>
      <c r="BN1056" s="880">
        <f t="shared" ref="BN1056:BN1057" si="3989">SUM(AF1056:AI1056)</f>
        <v>64699</v>
      </c>
      <c r="BO1056" s="880">
        <f t="shared" ref="BO1056:BO1057" si="3990">SUM(AJ1056:AM1056)</f>
        <v>64773</v>
      </c>
      <c r="BP1056" s="880"/>
      <c r="BT1056" s="1"/>
      <c r="BU1056" s="1"/>
      <c r="BV1056" s="1"/>
      <c r="BW1056" s="1"/>
      <c r="BX1056" s="1"/>
      <c r="BY1056" s="1"/>
      <c r="BZ1056" s="1"/>
      <c r="CA1056" s="1"/>
      <c r="CB1056" s="1"/>
      <c r="CC1056" s="1"/>
    </row>
    <row r="1057" spans="2:81" ht="11.45">
      <c r="B1057" s="878" t="s">
        <v>546</v>
      </c>
      <c r="D1057" s="905">
        <v>5160</v>
      </c>
      <c r="E1057" s="905">
        <v>5822</v>
      </c>
      <c r="F1057" s="905">
        <v>6210</v>
      </c>
      <c r="G1057" s="905">
        <v>6626</v>
      </c>
      <c r="H1057" s="905">
        <v>6960</v>
      </c>
      <c r="I1057" s="905">
        <v>7553</v>
      </c>
      <c r="J1057" s="905">
        <v>8699</v>
      </c>
      <c r="K1057" s="905">
        <v>9548</v>
      </c>
      <c r="L1057" s="905">
        <v>10240</v>
      </c>
      <c r="M1057" s="905">
        <v>10992</v>
      </c>
      <c r="N1057" s="905">
        <v>11705</v>
      </c>
      <c r="O1057" s="905">
        <v>12926</v>
      </c>
      <c r="P1057" s="905">
        <v>11785</v>
      </c>
      <c r="Q1057" s="905">
        <v>16252</v>
      </c>
      <c r="R1057" s="905">
        <v>15123</v>
      </c>
      <c r="S1057" s="905">
        <v>16614</v>
      </c>
      <c r="T1057" s="905">
        <v>17287</v>
      </c>
      <c r="U1057" s="905">
        <v>18651</v>
      </c>
      <c r="V1057" s="905">
        <v>19150</v>
      </c>
      <c r="W1057" s="905">
        <v>19886</v>
      </c>
      <c r="X1057" s="905">
        <v>21351</v>
      </c>
      <c r="Y1057" s="905">
        <v>23616</v>
      </c>
      <c r="Z1057" s="905">
        <v>24833</v>
      </c>
      <c r="AA1057" s="905">
        <v>27214</v>
      </c>
      <c r="AB1057" s="905">
        <v>28686</v>
      </c>
      <c r="AC1057" s="905">
        <v>30949</v>
      </c>
      <c r="AD1057" s="905">
        <v>31994</v>
      </c>
      <c r="AE1057" s="905">
        <v>33909</v>
      </c>
      <c r="AF1057" s="905">
        <v>34381</v>
      </c>
      <c r="AG1057" s="905">
        <v>36230</v>
      </c>
      <c r="AH1057" s="905">
        <v>37269</v>
      </c>
      <c r="AI1057" s="905">
        <v>39336</v>
      </c>
      <c r="AJ1057" s="905">
        <v>40982</v>
      </c>
      <c r="AK1057" s="905">
        <v>43079</v>
      </c>
      <c r="AL1057" s="905">
        <v>44778</v>
      </c>
      <c r="AM1057" s="905">
        <v>51510</v>
      </c>
      <c r="AN1057" s="905">
        <v>50313</v>
      </c>
      <c r="AO1057" s="905"/>
      <c r="AP1057" s="905"/>
      <c r="AQ1057" s="905"/>
      <c r="AS1057" s="905"/>
      <c r="AT1057" s="905"/>
      <c r="AU1057" s="905"/>
      <c r="AV1057" s="905"/>
      <c r="AW1057" s="905"/>
      <c r="AX1057" s="905"/>
      <c r="AY1057" s="905"/>
      <c r="AZ1057" s="905"/>
      <c r="BA1057" s="905"/>
      <c r="BB1057" s="30">
        <v>13885</v>
      </c>
      <c r="BC1057" s="30">
        <v>17624</v>
      </c>
      <c r="BD1057" s="30">
        <v>23818</v>
      </c>
      <c r="BE1057" s="30">
        <v>32760</v>
      </c>
      <c r="BF1057" s="30"/>
      <c r="BG1057" s="906">
        <f>+SUM(D1057:G1057)</f>
        <v>23818</v>
      </c>
      <c r="BH1057" s="906">
        <f>+SUM(H1057:K1057)</f>
        <v>32760</v>
      </c>
      <c r="BI1057" s="906">
        <f>+SUM(L1057:O1057)</f>
        <v>45863</v>
      </c>
      <c r="BJ1057" s="906">
        <v>59774</v>
      </c>
      <c r="BK1057" s="906">
        <f>SUM(T1057:W1057)</f>
        <v>74974</v>
      </c>
      <c r="BL1057" s="906">
        <f t="shared" si="3987"/>
        <v>97014</v>
      </c>
      <c r="BM1057" s="906">
        <f t="shared" si="3988"/>
        <v>125538</v>
      </c>
      <c r="BN1057" s="906">
        <f t="shared" si="3989"/>
        <v>147216</v>
      </c>
      <c r="BO1057" s="906">
        <f t="shared" si="3990"/>
        <v>180349</v>
      </c>
      <c r="BP1057" s="906"/>
    </row>
    <row r="1058" spans="2:81" s="1" customFormat="1" ht="10.5">
      <c r="B1058" s="882" t="s">
        <v>523</v>
      </c>
      <c r="D1058" s="838">
        <f>SUM(D1056:D1057)</f>
        <v>20910</v>
      </c>
      <c r="E1058" s="838">
        <f t="shared" ref="E1058:X1058" si="3991">SUM(E1056:E1057)</f>
        <v>25253</v>
      </c>
      <c r="F1058" s="838">
        <f t="shared" si="3991"/>
        <v>21517</v>
      </c>
      <c r="G1058" s="838">
        <f t="shared" si="3991"/>
        <v>23474</v>
      </c>
      <c r="H1058" s="838">
        <f t="shared" si="3991"/>
        <v>21928</v>
      </c>
      <c r="I1058" s="838">
        <f t="shared" si="3991"/>
        <v>25826</v>
      </c>
      <c r="J1058" s="838">
        <f t="shared" si="3991"/>
        <v>23212</v>
      </c>
      <c r="K1058" s="838">
        <f t="shared" si="3991"/>
        <v>25605</v>
      </c>
      <c r="L1058" s="838">
        <f t="shared" si="3991"/>
        <v>24538</v>
      </c>
      <c r="M1058" s="838">
        <f t="shared" si="3991"/>
        <v>28918</v>
      </c>
      <c r="N1058" s="838">
        <f t="shared" si="3991"/>
        <v>26819</v>
      </c>
      <c r="O1058" s="838">
        <f t="shared" si="3991"/>
        <v>30085</v>
      </c>
      <c r="P1058" s="838">
        <f t="shared" si="3991"/>
        <v>29084</v>
      </c>
      <c r="Q1058" s="838">
        <f t="shared" si="3991"/>
        <v>32471</v>
      </c>
      <c r="R1058" s="838">
        <f t="shared" si="3991"/>
        <v>30571</v>
      </c>
      <c r="S1058" s="838">
        <f t="shared" si="3991"/>
        <v>33717</v>
      </c>
      <c r="T1058" s="838">
        <f t="shared" si="3991"/>
        <v>33055</v>
      </c>
      <c r="U1058" s="838">
        <f t="shared" si="3991"/>
        <v>36906</v>
      </c>
      <c r="V1058" s="838">
        <f t="shared" si="3991"/>
        <v>35021</v>
      </c>
      <c r="W1058" s="838">
        <f t="shared" si="3991"/>
        <v>38033</v>
      </c>
      <c r="X1058" s="838">
        <f t="shared" si="3991"/>
        <v>37154</v>
      </c>
      <c r="Y1058" s="838">
        <f t="shared" ref="Y1058:AM1058" si="3992">+Y12</f>
        <v>43076</v>
      </c>
      <c r="Z1058" s="838">
        <f t="shared" si="3992"/>
        <v>41706</v>
      </c>
      <c r="AA1058" s="838">
        <f t="shared" si="3992"/>
        <v>46152</v>
      </c>
      <c r="AB1058" s="838">
        <f t="shared" si="3992"/>
        <v>45317</v>
      </c>
      <c r="AC1058" s="838">
        <f t="shared" si="3992"/>
        <v>51728</v>
      </c>
      <c r="AD1058" s="838">
        <f t="shared" si="3992"/>
        <v>49360</v>
      </c>
      <c r="AE1058" s="838">
        <f t="shared" si="3992"/>
        <v>51865</v>
      </c>
      <c r="AF1058" s="838">
        <f t="shared" si="3992"/>
        <v>50122</v>
      </c>
      <c r="AG1058" s="838">
        <f t="shared" si="3992"/>
        <v>52747</v>
      </c>
      <c r="AH1058" s="838">
        <f t="shared" si="3992"/>
        <v>52857</v>
      </c>
      <c r="AI1058" s="838">
        <f t="shared" si="3992"/>
        <v>56189</v>
      </c>
      <c r="AJ1058" s="838">
        <f t="shared" si="3992"/>
        <v>56517</v>
      </c>
      <c r="AK1058" s="838">
        <f t="shared" si="3992"/>
        <v>62020</v>
      </c>
      <c r="AL1058" s="838">
        <f t="shared" si="3992"/>
        <v>61858</v>
      </c>
      <c r="AM1058" s="838">
        <f t="shared" si="3992"/>
        <v>64727</v>
      </c>
      <c r="AN1058" s="838">
        <f>+SUM(AN1056:AN1057)</f>
        <v>65585</v>
      </c>
      <c r="AO1058" s="838">
        <f>+AO12</f>
        <v>68949.202353999994</v>
      </c>
      <c r="AP1058" s="838">
        <f>+AP12</f>
        <v>69681.275946197435</v>
      </c>
      <c r="AQ1058" s="838">
        <f>+AQ12</f>
        <v>73728.672347064057</v>
      </c>
      <c r="AS1058" s="936">
        <v>39788</v>
      </c>
      <c r="AT1058" s="936">
        <v>44282</v>
      </c>
      <c r="AU1058" s="936">
        <v>51122</v>
      </c>
      <c r="AV1058" s="936">
        <v>60420</v>
      </c>
      <c r="AW1058" s="936">
        <v>58437</v>
      </c>
      <c r="AX1058" s="936">
        <v>62484</v>
      </c>
      <c r="AY1058" s="936">
        <v>69943</v>
      </c>
      <c r="AZ1058" s="936">
        <v>73723</v>
      </c>
      <c r="BA1058" s="936">
        <v>77849</v>
      </c>
      <c r="BB1058" s="849">
        <f>SUM(BB1056:BB1057)</f>
        <v>86833</v>
      </c>
      <c r="BC1058" s="849">
        <f>SUM(BC1056:BC1057)</f>
        <v>93580</v>
      </c>
      <c r="BD1058" s="849">
        <f t="shared" ref="BD1058:BE1058" si="3993">SUM(BD1056:BD1057)</f>
        <v>85320</v>
      </c>
      <c r="BE1058" s="849">
        <f t="shared" si="3993"/>
        <v>89950</v>
      </c>
      <c r="BF1058" s="849"/>
      <c r="BG1058" s="849">
        <f>+SUM(D1058:G1058)</f>
        <v>91154</v>
      </c>
      <c r="BH1058" s="849">
        <f>+SUM(H1058:K1058)</f>
        <v>96571</v>
      </c>
      <c r="BI1058" s="849">
        <f>+SUM(L1058:O1058)</f>
        <v>110360</v>
      </c>
      <c r="BJ1058" s="849">
        <f>SUM(BJ1056:BJ1057)</f>
        <v>125843</v>
      </c>
      <c r="BK1058" s="849">
        <f>SUM(BK1056:BK1057)</f>
        <v>143015</v>
      </c>
      <c r="BL1058" s="849">
        <f>SUM(X1058:AA1058)</f>
        <v>168088</v>
      </c>
      <c r="BM1058" s="849">
        <f>SUM(AB1058:AE1058)</f>
        <v>198270</v>
      </c>
      <c r="BN1058" s="849">
        <f>SUM(AF1058:AI1058)</f>
        <v>211915</v>
      </c>
      <c r="BO1058" s="849">
        <f>SUM(AJ1058:AM1058)</f>
        <v>245122</v>
      </c>
      <c r="BP1058" s="849">
        <f>+SUM(AN1058:AQ1058)</f>
        <v>277944.15064726153</v>
      </c>
      <c r="BT1058"/>
      <c r="BU1058"/>
      <c r="BV1058"/>
      <c r="BW1058"/>
      <c r="BX1058"/>
      <c r="BY1058"/>
      <c r="BZ1058"/>
      <c r="CA1058"/>
      <c r="CB1058"/>
      <c r="CC1058"/>
    </row>
    <row r="1059" spans="2:81" s="1" customFormat="1" ht="10.5">
      <c r="B1059" s="882"/>
      <c r="D1059" s="838"/>
      <c r="E1059" s="838"/>
      <c r="F1059" s="838"/>
      <c r="G1059" s="838"/>
      <c r="H1059" s="838"/>
      <c r="I1059" s="838"/>
      <c r="J1059" s="838"/>
      <c r="K1059" s="838"/>
      <c r="L1059" s="838"/>
      <c r="M1059" s="838"/>
      <c r="N1059" s="838"/>
      <c r="O1059" s="838"/>
      <c r="P1059" s="838"/>
      <c r="Q1059" s="838"/>
      <c r="R1059" s="838"/>
      <c r="S1059" s="838"/>
      <c r="T1059" s="838"/>
      <c r="U1059" s="838"/>
      <c r="V1059" s="838"/>
      <c r="W1059" s="838"/>
      <c r="X1059" s="838"/>
      <c r="Y1059" s="838"/>
      <c r="Z1059" s="838"/>
      <c r="AA1059" s="838"/>
      <c r="AB1059" s="838"/>
      <c r="AC1059" s="838"/>
      <c r="AD1059" s="838"/>
      <c r="AE1059" s="838"/>
      <c r="AF1059" s="838"/>
      <c r="AG1059" s="838"/>
      <c r="AH1059" s="838"/>
      <c r="AI1059" s="838"/>
      <c r="AJ1059" s="838"/>
      <c r="AK1059" s="838"/>
      <c r="AL1059" s="838"/>
      <c r="AM1059" s="838"/>
      <c r="AN1059" s="838"/>
      <c r="AO1059" s="838"/>
      <c r="AP1059" s="838"/>
      <c r="AQ1059" s="838"/>
      <c r="AS1059" s="936"/>
      <c r="AT1059" s="936"/>
      <c r="AU1059" s="936"/>
      <c r="AV1059" s="936"/>
      <c r="AW1059" s="936"/>
      <c r="AX1059" s="936"/>
      <c r="AY1059" s="936"/>
      <c r="AZ1059" s="936"/>
      <c r="BA1059" s="936"/>
      <c r="BB1059" s="849"/>
      <c r="BC1059" s="849"/>
      <c r="BD1059" s="849"/>
      <c r="BE1059" s="849"/>
      <c r="BF1059" s="849"/>
      <c r="BG1059" s="849"/>
      <c r="BH1059" s="849"/>
      <c r="BI1059" s="849"/>
      <c r="BJ1059" s="849"/>
      <c r="BK1059" s="849"/>
      <c r="BL1059" s="849"/>
      <c r="BM1059" s="849"/>
      <c r="BN1059" s="849"/>
      <c r="BO1059" s="849"/>
      <c r="BP1059" s="849"/>
      <c r="BT1059"/>
      <c r="BU1059"/>
      <c r="BV1059"/>
      <c r="BW1059"/>
      <c r="BX1059"/>
      <c r="BY1059"/>
      <c r="BZ1059"/>
      <c r="CA1059"/>
      <c r="CB1059"/>
      <c r="CC1059"/>
    </row>
    <row r="1060" spans="2:81" s="7" customFormat="1">
      <c r="B1060" s="883" t="s">
        <v>113</v>
      </c>
      <c r="D1060" s="862"/>
      <c r="E1060" s="862"/>
      <c r="F1060" s="862"/>
      <c r="G1060" s="862"/>
      <c r="H1060" s="862"/>
      <c r="I1060" s="862"/>
      <c r="J1060" s="862"/>
      <c r="K1060" s="862"/>
      <c r="L1060" s="862"/>
      <c r="M1060" s="862"/>
      <c r="N1060" s="862"/>
      <c r="O1060" s="862"/>
      <c r="P1060" s="862"/>
      <c r="Q1060" s="862"/>
      <c r="R1060" s="862"/>
      <c r="S1060" s="862"/>
      <c r="T1060" s="862"/>
      <c r="U1060" s="862"/>
      <c r="V1060" s="862"/>
      <c r="W1060" s="862"/>
      <c r="X1060" s="862"/>
      <c r="Y1060" s="862"/>
      <c r="Z1060" s="862"/>
      <c r="AA1060" s="862"/>
      <c r="AB1060" s="862"/>
      <c r="AC1060" s="862"/>
      <c r="AD1060" s="862"/>
      <c r="AE1060" s="862"/>
      <c r="AF1060" s="862"/>
      <c r="AG1060" s="862"/>
      <c r="AH1060" s="862"/>
      <c r="AI1060" s="862"/>
      <c r="AJ1060" s="862"/>
      <c r="AK1060" s="862"/>
      <c r="AL1060" s="862"/>
      <c r="AM1060" s="862"/>
      <c r="AN1060" s="862"/>
      <c r="AO1060" s="862"/>
      <c r="AP1060" s="862"/>
      <c r="AQ1060" s="862"/>
      <c r="AS1060" s="937"/>
      <c r="AT1060" s="937"/>
      <c r="AU1060" s="937"/>
      <c r="AV1060" s="937"/>
      <c r="AW1060" s="937"/>
      <c r="AX1060" s="937"/>
      <c r="AY1060" s="937"/>
      <c r="AZ1060" s="937"/>
      <c r="BA1060" s="937"/>
      <c r="BB1060" s="938"/>
      <c r="BC1060" s="938"/>
      <c r="BD1060" s="938"/>
      <c r="BE1060" s="938"/>
      <c r="BF1060" s="938"/>
      <c r="BG1060" s="938"/>
      <c r="BH1060" s="938"/>
      <c r="BI1060" s="938"/>
      <c r="BJ1060" s="938"/>
      <c r="BK1060" s="938"/>
      <c r="BL1060" s="938"/>
      <c r="BM1060" s="938"/>
      <c r="BN1060" s="938"/>
      <c r="BO1060" s="938"/>
      <c r="BP1060" s="938"/>
      <c r="BT1060"/>
      <c r="BU1060"/>
      <c r="BV1060"/>
      <c r="BW1060"/>
      <c r="BX1060"/>
      <c r="BY1060"/>
      <c r="BZ1060"/>
      <c r="CA1060"/>
      <c r="CB1060"/>
      <c r="CC1060"/>
    </row>
    <row r="1061" spans="2:81" s="7" customFormat="1">
      <c r="B1061" s="884" t="str">
        <f>+B1056</f>
        <v>Product</v>
      </c>
      <c r="D1061" s="14"/>
      <c r="E1061" s="14"/>
      <c r="F1061" s="14"/>
      <c r="G1061" s="14"/>
      <c r="H1061" s="14">
        <f>+H1056/D1056-1</f>
        <v>-4.9650793650793612E-2</v>
      </c>
      <c r="I1061" s="14">
        <f t="shared" ref="I1061:V1061" si="3994">+I1056/E1056-1</f>
        <v>-5.9595491740003115E-2</v>
      </c>
      <c r="J1061" s="14">
        <f t="shared" si="3994"/>
        <v>-5.1871692689619109E-2</v>
      </c>
      <c r="K1061" s="14">
        <f t="shared" si="3994"/>
        <v>-4.6949192782526072E-2</v>
      </c>
      <c r="L1061" s="14">
        <f t="shared" si="3994"/>
        <v>-4.4762159273115998E-2</v>
      </c>
      <c r="M1061" s="14">
        <f t="shared" si="3994"/>
        <v>-1.898976632189564E-2</v>
      </c>
      <c r="N1061" s="14">
        <f t="shared" si="3994"/>
        <v>4.141114862537032E-2</v>
      </c>
      <c r="O1061" s="14">
        <f t="shared" si="3994"/>
        <v>6.8630503830105161E-2</v>
      </c>
      <c r="P1061" s="14">
        <f t="shared" si="3994"/>
        <v>0.20988949503427046</v>
      </c>
      <c r="Q1061" s="14">
        <f t="shared" si="3994"/>
        <v>-9.5224813120606933E-2</v>
      </c>
      <c r="R1061" s="14">
        <f t="shared" si="3994"/>
        <v>2.2098716421860454E-2</v>
      </c>
      <c r="S1061" s="14">
        <f t="shared" si="3994"/>
        <v>-3.2635934495016672E-3</v>
      </c>
      <c r="T1061" s="14">
        <f t="shared" si="3994"/>
        <v>-8.8502225562171244E-2</v>
      </c>
      <c r="U1061" s="14">
        <f t="shared" si="3994"/>
        <v>0.12553178371046303</v>
      </c>
      <c r="V1061" s="14">
        <f t="shared" si="3994"/>
        <v>2.7382185396167769E-2</v>
      </c>
      <c r="W1061" s="14">
        <f t="shared" ref="W1061:W1063" si="3995">+W1056/S1056-1</f>
        <v>6.1041922469742049E-2</v>
      </c>
      <c r="X1061" s="14">
        <f t="shared" ref="X1061:X1063" si="3996">+X1056/T1056-1</f>
        <v>2.2196854388634168E-3</v>
      </c>
      <c r="Y1061" s="14">
        <f t="shared" ref="Y1061:Y1063" si="3997">+Y1056/U1056-1</f>
        <v>6.6009312517118612E-2</v>
      </c>
      <c r="Z1061" s="14">
        <f t="shared" ref="Z1061:AA1063" si="3998">+Z1056/V1056-1</f>
        <v>6.3134018020288618E-2</v>
      </c>
      <c r="AA1061" s="14">
        <f t="shared" si="3998"/>
        <v>4.3588471923734051E-2</v>
      </c>
      <c r="AB1061" s="14">
        <f t="shared" ref="AB1061:AB1063" si="3999">+AB1056/X1056-1</f>
        <v>5.2395114851610414E-2</v>
      </c>
      <c r="AC1061" s="14">
        <f t="shared" ref="AC1061:AE1063" si="4000">+AC1056/Y1056-1</f>
        <v>6.7780061664953761E-2</v>
      </c>
      <c r="AD1061" s="14">
        <f t="shared" si="4000"/>
        <v>2.9218277721803965E-2</v>
      </c>
      <c r="AE1061" s="14">
        <f t="shared" si="4000"/>
        <v>-5.1853416411447917E-2</v>
      </c>
      <c r="AF1061" s="14">
        <f t="shared" ref="AF1061:AF1063" si="4001">+AF1056/AB1056-1</f>
        <v>-5.3514521075100685E-2</v>
      </c>
      <c r="AG1061" s="14">
        <f t="shared" ref="AG1061:AG1063" si="4002">+AG1056/AC1056-1</f>
        <v>-0.20511092930362385</v>
      </c>
      <c r="AH1061" s="14">
        <f t="shared" ref="AH1061:AH1063" si="4003">+AH1056/AD1056-1</f>
        <v>-0.10238396867442123</v>
      </c>
      <c r="AI1061" s="14">
        <f t="shared" ref="AI1061:AI1063" si="4004">+AI1056/AE1056-1</f>
        <v>-6.142793495210519E-2</v>
      </c>
      <c r="AJ1061" s="14">
        <f t="shared" ref="AJ1061:AK1063" si="4005">+AJ1056/AF1056-1</f>
        <v>-1.3086843275522564E-2</v>
      </c>
      <c r="AK1061" s="14">
        <f t="shared" si="4005"/>
        <v>0.14675788581461524</v>
      </c>
      <c r="AL1061" s="14">
        <f t="shared" ref="AL1061:AL1063" si="4006">+AL1056/AH1056-1</f>
        <v>9.5714652296638336E-2</v>
      </c>
      <c r="AM1061" s="14">
        <f t="shared" ref="AM1061:AN1063" si="4007">+AM1056/AI1056-1</f>
        <v>-0.2157479380525722</v>
      </c>
      <c r="AN1061" s="14">
        <f t="shared" si="4007"/>
        <v>-1.6929514000643686E-2</v>
      </c>
      <c r="AO1061" s="14"/>
      <c r="AP1061" s="14"/>
      <c r="AQ1061" s="14"/>
      <c r="AR1061" s="14"/>
      <c r="AS1061" s="14"/>
      <c r="AT1061" s="14"/>
      <c r="AU1061" s="14"/>
      <c r="AV1061" s="14"/>
      <c r="AW1061" s="14"/>
      <c r="AX1061" s="14"/>
      <c r="AY1061" s="14"/>
      <c r="AZ1061" s="14"/>
      <c r="BA1061" s="14"/>
      <c r="BB1061" s="14"/>
      <c r="BC1061" s="14">
        <f>+BC1056/BB1056-1</f>
        <v>4.1234852223501761E-2</v>
      </c>
      <c r="BD1061" s="14">
        <f t="shared" ref="BD1061:BJ1061" si="4008">+BD1056/BC1056-1</f>
        <v>-0.19029438095739637</v>
      </c>
      <c r="BE1061" s="14">
        <f t="shared" si="4008"/>
        <v>-7.0111541088094698E-2</v>
      </c>
      <c r="BF1061" s="14"/>
      <c r="BG1061" s="829">
        <f t="shared" ref="BG1061:BG1063" si="4009">+BD1061</f>
        <v>-0.19029438095739637</v>
      </c>
      <c r="BH1061" s="14">
        <f t="shared" si="4008"/>
        <v>-5.234941190447906E-2</v>
      </c>
      <c r="BI1061" s="14">
        <f t="shared" si="4008"/>
        <v>1.0750497563116079E-2</v>
      </c>
      <c r="BJ1061" s="14">
        <f t="shared" si="4008"/>
        <v>2.4373226661705161E-2</v>
      </c>
      <c r="BK1061" s="14">
        <f t="shared" ref="BK1061:BK1063" si="4010">+BK1056/BJ1056-1</f>
        <v>2.984758358685613E-2</v>
      </c>
      <c r="BL1061" s="14">
        <f t="shared" ref="BL1061:BL1063" si="4011">+BL1056/BK1056-1</f>
        <v>4.457606443173967E-2</v>
      </c>
      <c r="BM1061" s="14">
        <f t="shared" ref="BM1061:BM1063" si="4012">+BM1056/BL1056-1</f>
        <v>2.3327799195205001E-2</v>
      </c>
      <c r="BN1061" s="14">
        <f t="shared" ref="BN1061:BN1062" si="4013">+BN1056/BM1056-1</f>
        <v>-0.11044657097288679</v>
      </c>
      <c r="BO1061" s="14">
        <f t="shared" ref="BO1061:BO1063" si="4014">+BO1056/BN1056-1</f>
        <v>1.1437580178983442E-3</v>
      </c>
      <c r="BP1061" s="14"/>
      <c r="BT1061"/>
      <c r="BU1061"/>
      <c r="BV1061"/>
      <c r="BW1061"/>
      <c r="BX1061"/>
      <c r="BY1061"/>
      <c r="BZ1061"/>
      <c r="CA1061"/>
      <c r="CB1061"/>
      <c r="CC1061"/>
    </row>
    <row r="1062" spans="2:81" s="7" customFormat="1" ht="11.45">
      <c r="B1062" s="884" t="str">
        <f t="shared" ref="B1062:B1063" si="4015">+B1057</f>
        <v>Service and other</v>
      </c>
      <c r="D1062" s="840"/>
      <c r="E1062" s="840"/>
      <c r="F1062" s="840"/>
      <c r="G1062" s="840"/>
      <c r="H1062" s="840">
        <f t="shared" ref="H1062:V1062" si="4016">+H1057/D1057-1</f>
        <v>0.34883720930232553</v>
      </c>
      <c r="I1062" s="840">
        <f t="shared" si="4016"/>
        <v>0.29732050841635171</v>
      </c>
      <c r="J1062" s="840">
        <f t="shared" si="4016"/>
        <v>0.40080515297906594</v>
      </c>
      <c r="K1062" s="840">
        <f t="shared" si="4016"/>
        <v>0.4409900392393602</v>
      </c>
      <c r="L1062" s="840">
        <f t="shared" si="4016"/>
        <v>0.47126436781609193</v>
      </c>
      <c r="M1062" s="840">
        <f t="shared" si="4016"/>
        <v>0.45531576856878053</v>
      </c>
      <c r="N1062" s="840">
        <f t="shared" si="4016"/>
        <v>0.34555696057018048</v>
      </c>
      <c r="O1062" s="840">
        <f t="shared" si="4016"/>
        <v>0.35379136992040228</v>
      </c>
      <c r="P1062" s="840">
        <f t="shared" si="4016"/>
        <v>0.15087890625</v>
      </c>
      <c r="Q1062" s="840">
        <f t="shared" si="4016"/>
        <v>0.47852983988355158</v>
      </c>
      <c r="R1062" s="840">
        <f t="shared" si="4016"/>
        <v>0.29201196070055535</v>
      </c>
      <c r="S1062" s="840">
        <f t="shared" si="4016"/>
        <v>0.28531641652483364</v>
      </c>
      <c r="T1062" s="840">
        <f t="shared" si="4016"/>
        <v>0.46686465846414937</v>
      </c>
      <c r="U1062" s="840">
        <f t="shared" si="4016"/>
        <v>0.147612601525966</v>
      </c>
      <c r="V1062" s="840">
        <f t="shared" si="4016"/>
        <v>0.26628314487866156</v>
      </c>
      <c r="W1062" s="840">
        <f t="shared" si="3995"/>
        <v>0.19694233778740822</v>
      </c>
      <c r="X1062" s="840">
        <f t="shared" si="3996"/>
        <v>0.23508995198704219</v>
      </c>
      <c r="Y1062" s="840">
        <f t="shared" si="3997"/>
        <v>0.26620556538523399</v>
      </c>
      <c r="Z1062" s="840">
        <f t="shared" si="3998"/>
        <v>0.29676240208877291</v>
      </c>
      <c r="AA1062" s="840">
        <f t="shared" si="3998"/>
        <v>0.36850045257970421</v>
      </c>
      <c r="AB1062" s="840">
        <f t="shared" si="3999"/>
        <v>0.34354362793311788</v>
      </c>
      <c r="AC1062" s="840">
        <f t="shared" si="4000"/>
        <v>0.31050982384823844</v>
      </c>
      <c r="AD1062" s="840">
        <f t="shared" si="4000"/>
        <v>0.2883662867957959</v>
      </c>
      <c r="AE1062" s="840">
        <f t="shared" si="4000"/>
        <v>0.24601308150216794</v>
      </c>
      <c r="AF1062" s="840">
        <f t="shared" si="4001"/>
        <v>0.19852889911455063</v>
      </c>
      <c r="AG1062" s="840">
        <f t="shared" si="4002"/>
        <v>0.17063556173058902</v>
      </c>
      <c r="AH1062" s="840">
        <f t="shared" si="4003"/>
        <v>0.16487466399950002</v>
      </c>
      <c r="AI1062" s="840">
        <f t="shared" si="4004"/>
        <v>0.16004600548526948</v>
      </c>
      <c r="AJ1062" s="840">
        <f t="shared" si="4005"/>
        <v>0.19199557895349173</v>
      </c>
      <c r="AK1062" s="840">
        <f t="shared" si="4005"/>
        <v>0.18904223019597022</v>
      </c>
      <c r="AL1062" s="840">
        <f t="shared" si="4006"/>
        <v>0.20148112372212834</v>
      </c>
      <c r="AM1062" s="840">
        <f t="shared" si="4007"/>
        <v>0.30948749237339834</v>
      </c>
      <c r="AN1062" s="840">
        <f t="shared" si="4007"/>
        <v>0.22768532526475038</v>
      </c>
      <c r="AO1062" s="840"/>
      <c r="AP1062" s="840"/>
      <c r="AQ1062" s="840"/>
      <c r="AR1062" s="840"/>
      <c r="AS1062" s="840"/>
      <c r="AT1062" s="840"/>
      <c r="AU1062" s="840"/>
      <c r="AV1062" s="840"/>
      <c r="AW1062" s="840"/>
      <c r="AX1062" s="840"/>
      <c r="AY1062" s="840"/>
      <c r="AZ1062" s="840"/>
      <c r="BA1062" s="840"/>
      <c r="BB1062" s="840"/>
      <c r="BC1062" s="840">
        <f t="shared" ref="BC1062:BJ1063" si="4017">+BC1057/BB1057-1</f>
        <v>0.26928339935181844</v>
      </c>
      <c r="BD1062" s="840">
        <f t="shared" si="4017"/>
        <v>0.35145256468452102</v>
      </c>
      <c r="BE1062" s="840">
        <f t="shared" si="4017"/>
        <v>0.37543034679654053</v>
      </c>
      <c r="BF1062" s="840"/>
      <c r="BG1062" s="908">
        <f t="shared" si="4009"/>
        <v>0.35145256468452102</v>
      </c>
      <c r="BH1062" s="840">
        <f t="shared" si="4017"/>
        <v>0.37543034679654053</v>
      </c>
      <c r="BI1062" s="840">
        <f t="shared" si="4017"/>
        <v>0.39996947496947488</v>
      </c>
      <c r="BJ1062" s="840">
        <f t="shared" si="4017"/>
        <v>0.30331639884002359</v>
      </c>
      <c r="BK1062" s="840">
        <f t="shared" si="4010"/>
        <v>0.25429116338207258</v>
      </c>
      <c r="BL1062" s="840">
        <f t="shared" si="4011"/>
        <v>0.29396857577293467</v>
      </c>
      <c r="BM1062" s="840">
        <f t="shared" si="4012"/>
        <v>0.29401941987754343</v>
      </c>
      <c r="BN1062" s="840">
        <f t="shared" si="4013"/>
        <v>0.17268078191463943</v>
      </c>
      <c r="BO1062" s="840">
        <f t="shared" si="4014"/>
        <v>0.2250638517552439</v>
      </c>
      <c r="BP1062" s="840"/>
      <c r="BT1062"/>
      <c r="BU1062"/>
      <c r="BV1062"/>
      <c r="BW1062"/>
      <c r="BX1062"/>
      <c r="BY1062"/>
      <c r="BZ1062"/>
      <c r="CA1062"/>
      <c r="CB1062"/>
      <c r="CC1062"/>
    </row>
    <row r="1063" spans="2:81" s="7" customFormat="1">
      <c r="B1063" s="887" t="str">
        <f t="shared" si="4015"/>
        <v>Total revenue</v>
      </c>
      <c r="D1063" s="855"/>
      <c r="E1063" s="855"/>
      <c r="F1063" s="855"/>
      <c r="G1063" s="855"/>
      <c r="H1063" s="855">
        <f t="shared" ref="H1063:V1063" si="4018">+H1058/D1058-1</f>
        <v>4.8684839789574275E-2</v>
      </c>
      <c r="I1063" s="855">
        <f t="shared" si="4018"/>
        <v>2.2690373420979792E-2</v>
      </c>
      <c r="J1063" s="855">
        <f t="shared" si="4018"/>
        <v>7.8774922154575489E-2</v>
      </c>
      <c r="K1063" s="855">
        <f t="shared" si="4018"/>
        <v>9.0781289937803544E-2</v>
      </c>
      <c r="L1063" s="855">
        <f t="shared" si="4018"/>
        <v>0.11902590295512594</v>
      </c>
      <c r="M1063" s="855">
        <f t="shared" si="4018"/>
        <v>0.11972430883605667</v>
      </c>
      <c r="N1063" s="855">
        <f t="shared" si="4018"/>
        <v>0.15539376184732046</v>
      </c>
      <c r="O1063" s="855">
        <f t="shared" si="4018"/>
        <v>0.17496582698691654</v>
      </c>
      <c r="P1063" s="855">
        <f t="shared" si="4018"/>
        <v>0.18526367267095933</v>
      </c>
      <c r="Q1063" s="855">
        <f t="shared" si="4018"/>
        <v>0.12286465177398154</v>
      </c>
      <c r="R1063" s="855">
        <f t="shared" si="4018"/>
        <v>0.13990081658525666</v>
      </c>
      <c r="S1063" s="855">
        <f t="shared" si="4018"/>
        <v>0.12072461359481479</v>
      </c>
      <c r="T1063" s="855">
        <f t="shared" si="4018"/>
        <v>0.13653555219364599</v>
      </c>
      <c r="U1063" s="855">
        <f t="shared" si="4018"/>
        <v>0.13658341289150311</v>
      </c>
      <c r="V1063" s="855">
        <f t="shared" si="4018"/>
        <v>0.14556278826338698</v>
      </c>
      <c r="W1063" s="855">
        <f t="shared" si="3995"/>
        <v>0.12800664353293589</v>
      </c>
      <c r="X1063" s="855">
        <f t="shared" si="3996"/>
        <v>0.12400544546967174</v>
      </c>
      <c r="Y1063" s="855">
        <f t="shared" si="3997"/>
        <v>0.16718148810491518</v>
      </c>
      <c r="Z1063" s="855">
        <f t="shared" si="3998"/>
        <v>0.19088546871876866</v>
      </c>
      <c r="AA1063" s="855">
        <f t="shared" si="3998"/>
        <v>0.21347251071437956</v>
      </c>
      <c r="AB1063" s="855">
        <f t="shared" si="3999"/>
        <v>0.21970716477364483</v>
      </c>
      <c r="AC1063" s="855">
        <f t="shared" si="4000"/>
        <v>0.2008543040208004</v>
      </c>
      <c r="AD1063" s="855">
        <f t="shared" si="4000"/>
        <v>0.18352275451973332</v>
      </c>
      <c r="AE1063" s="855">
        <f t="shared" si="4000"/>
        <v>0.12378661813139202</v>
      </c>
      <c r="AF1063" s="855">
        <f t="shared" si="4001"/>
        <v>0.1060308493501334</v>
      </c>
      <c r="AG1063" s="855">
        <f t="shared" si="4002"/>
        <v>1.9699195793380753E-2</v>
      </c>
      <c r="AH1063" s="855">
        <f t="shared" si="4003"/>
        <v>7.0846839546191198E-2</v>
      </c>
      <c r="AI1063" s="855">
        <f t="shared" si="4004"/>
        <v>8.3370288248336921E-2</v>
      </c>
      <c r="AJ1063" s="855">
        <f t="shared" si="4005"/>
        <v>0.12758868361198683</v>
      </c>
      <c r="AK1063" s="855">
        <f t="shared" si="4005"/>
        <v>0.17580146738203117</v>
      </c>
      <c r="AL1063" s="855">
        <f t="shared" si="4006"/>
        <v>0.17028964943148495</v>
      </c>
      <c r="AM1063" s="855">
        <f t="shared" si="4007"/>
        <v>0.15195144957198026</v>
      </c>
      <c r="AN1063" s="855">
        <f t="shared" si="4007"/>
        <v>0.16044729904276589</v>
      </c>
      <c r="AO1063" s="855">
        <f t="shared" ref="AO1063" si="4019">+AO1058/AK1058-1</f>
        <v>0.1117252878748789</v>
      </c>
      <c r="AP1063" s="855">
        <f t="shared" ref="AP1063" si="4020">+AP1058/AL1058-1</f>
        <v>0.12647153070253547</v>
      </c>
      <c r="AQ1063" s="855">
        <f t="shared" ref="AQ1063" si="4021">+AQ1058/AM1058-1</f>
        <v>0.13907136661770303</v>
      </c>
      <c r="AR1063" s="855"/>
      <c r="AS1063" s="855"/>
      <c r="AT1063" s="855">
        <f t="shared" ref="AT1063:BB1063" si="4022">+AT1058/AS1058-1</f>
        <v>0.11294862772695291</v>
      </c>
      <c r="AU1063" s="855">
        <f t="shared" si="4022"/>
        <v>0.15446456799602548</v>
      </c>
      <c r="AV1063" s="855">
        <f t="shared" si="4022"/>
        <v>0.18187864324556946</v>
      </c>
      <c r="AW1063" s="855">
        <f t="shared" si="4022"/>
        <v>-3.2820258192651441E-2</v>
      </c>
      <c r="AX1063" s="855">
        <f t="shared" si="4022"/>
        <v>6.9254068484008391E-2</v>
      </c>
      <c r="AY1063" s="855">
        <f t="shared" si="4022"/>
        <v>0.11937455988733126</v>
      </c>
      <c r="AZ1063" s="855">
        <f t="shared" si="4022"/>
        <v>5.4044007263057026E-2</v>
      </c>
      <c r="BA1063" s="855">
        <f t="shared" si="4022"/>
        <v>5.5966252051598442E-2</v>
      </c>
      <c r="BB1063" s="855">
        <f t="shared" si="4022"/>
        <v>0.11540289534868786</v>
      </c>
      <c r="BC1063" s="855">
        <f t="shared" si="4017"/>
        <v>7.7700874091647165E-2</v>
      </c>
      <c r="BD1063" s="855">
        <f t="shared" si="4017"/>
        <v>-8.8266723658901425E-2</v>
      </c>
      <c r="BE1063" s="855">
        <f t="shared" si="4017"/>
        <v>5.4266291608063844E-2</v>
      </c>
      <c r="BF1063" s="855"/>
      <c r="BG1063" s="1177">
        <f t="shared" si="4009"/>
        <v>-8.8266723658901425E-2</v>
      </c>
      <c r="BH1063" s="855">
        <f t="shared" si="4017"/>
        <v>5.9426903920837271E-2</v>
      </c>
      <c r="BI1063" s="855">
        <f t="shared" si="4017"/>
        <v>0.14278613662486661</v>
      </c>
      <c r="BJ1063" s="855">
        <f t="shared" si="4017"/>
        <v>0.14029539688292858</v>
      </c>
      <c r="BK1063" s="855">
        <f t="shared" si="4010"/>
        <v>0.13645574247276371</v>
      </c>
      <c r="BL1063" s="855">
        <f t="shared" si="4011"/>
        <v>0.17531727441177503</v>
      </c>
      <c r="BM1063" s="855">
        <f t="shared" si="4012"/>
        <v>0.17956070629670173</v>
      </c>
      <c r="BN1063" s="855">
        <f t="shared" ref="BN1063:BP1063" si="4023">+BN1058/BM1058-1</f>
        <v>6.8820295556564215E-2</v>
      </c>
      <c r="BO1063" s="855">
        <f t="shared" si="4014"/>
        <v>0.1566996201307127</v>
      </c>
      <c r="BP1063" s="855">
        <f t="shared" si="4023"/>
        <v>0.13390128445125904</v>
      </c>
      <c r="BT1063"/>
      <c r="BU1063"/>
      <c r="BV1063"/>
      <c r="BW1063"/>
      <c r="BX1063"/>
      <c r="BY1063"/>
      <c r="BZ1063"/>
      <c r="CA1063"/>
      <c r="CB1063"/>
      <c r="CC1063"/>
    </row>
    <row r="1064" spans="2:81" s="1" customFormat="1" ht="10.5">
      <c r="B1064" s="882"/>
      <c r="D1064" s="838"/>
      <c r="E1064" s="838"/>
      <c r="F1064" s="838"/>
      <c r="G1064" s="838"/>
      <c r="H1064" s="838"/>
      <c r="I1064" s="838"/>
      <c r="J1064" s="838"/>
      <c r="K1064" s="838"/>
      <c r="L1064" s="838"/>
      <c r="M1064" s="838"/>
      <c r="N1064" s="838"/>
      <c r="O1064" s="838"/>
      <c r="P1064" s="838"/>
      <c r="Q1064" s="838"/>
      <c r="R1064" s="838"/>
      <c r="S1064" s="838"/>
      <c r="T1064" s="838"/>
      <c r="U1064" s="838"/>
      <c r="V1064" s="838"/>
      <c r="W1064" s="838"/>
      <c r="X1064" s="838"/>
      <c r="Y1064" s="838"/>
      <c r="Z1064" s="838"/>
      <c r="AA1064" s="838"/>
      <c r="AB1064" s="838"/>
      <c r="AC1064" s="838"/>
      <c r="AD1064" s="838"/>
      <c r="AE1064" s="838"/>
      <c r="AF1064" s="838"/>
      <c r="AG1064" s="838"/>
      <c r="AH1064" s="838"/>
      <c r="AI1064" s="838"/>
      <c r="AJ1064" s="838"/>
      <c r="AK1064" s="838"/>
      <c r="AL1064" s="838"/>
      <c r="AM1064" s="838"/>
      <c r="AN1064" s="838"/>
      <c r="AO1064" s="838"/>
      <c r="AP1064" s="838"/>
      <c r="AQ1064" s="838"/>
      <c r="AS1064" s="936"/>
      <c r="AT1064" s="936"/>
      <c r="AU1064" s="936"/>
      <c r="AV1064" s="936"/>
      <c r="AW1064" s="936"/>
      <c r="AX1064" s="936"/>
      <c r="AY1064" s="936"/>
      <c r="AZ1064" s="936"/>
      <c r="BA1064" s="936"/>
      <c r="BB1064" s="849"/>
      <c r="BC1064" s="849"/>
      <c r="BD1064" s="849"/>
      <c r="BE1064" s="849"/>
      <c r="BF1064" s="849"/>
      <c r="BG1064" s="849"/>
      <c r="BH1064" s="849"/>
      <c r="BI1064" s="849"/>
      <c r="BJ1064" s="849"/>
      <c r="BK1064" s="849"/>
      <c r="BL1064" s="849"/>
      <c r="BM1064" s="849"/>
      <c r="BN1064" s="849"/>
      <c r="BO1064" s="849"/>
      <c r="BP1064" s="849"/>
      <c r="BT1064"/>
      <c r="BU1064"/>
      <c r="BV1064"/>
      <c r="BW1064"/>
      <c r="BX1064"/>
      <c r="BY1064"/>
      <c r="BZ1064"/>
      <c r="CA1064"/>
      <c r="CB1064"/>
      <c r="CC1064"/>
    </row>
    <row r="1065" spans="2:81" ht="10.5">
      <c r="B1065" s="910" t="s">
        <v>278</v>
      </c>
    </row>
    <row r="1066" spans="2:81" outlineLevel="1">
      <c r="B1066" s="878" t="s">
        <v>545</v>
      </c>
      <c r="D1066" s="879">
        <v>4035</v>
      </c>
      <c r="E1066" s="879">
        <v>6268</v>
      </c>
      <c r="F1066" s="879">
        <v>3801</v>
      </c>
      <c r="G1066" s="879">
        <v>3776</v>
      </c>
      <c r="H1066" s="879">
        <v>3581</v>
      </c>
      <c r="I1066" s="879">
        <v>5378</v>
      </c>
      <c r="J1066" s="879">
        <v>3075</v>
      </c>
      <c r="K1066" s="879">
        <v>3141</v>
      </c>
      <c r="L1066" s="879">
        <v>2980</v>
      </c>
      <c r="M1066" s="879">
        <v>5498</v>
      </c>
      <c r="N1066" s="879">
        <v>3425</v>
      </c>
      <c r="O1066" s="879">
        <v>3517</v>
      </c>
      <c r="P1066" s="879">
        <v>3649</v>
      </c>
      <c r="Q1066" s="879">
        <v>5885</v>
      </c>
      <c r="R1066" s="879">
        <v>3441</v>
      </c>
      <c r="S1066" s="879">
        <v>3298</v>
      </c>
      <c r="T1066" s="879">
        <v>3305</v>
      </c>
      <c r="U1066" s="879">
        <v>4966</v>
      </c>
      <c r="V1066" s="879">
        <v>3376</v>
      </c>
      <c r="W1066" s="879">
        <v>4370</v>
      </c>
      <c r="X1066" s="879">
        <v>3597</v>
      </c>
      <c r="Y1066" s="879">
        <v>6058</v>
      </c>
      <c r="Z1066" s="879">
        <v>4277</v>
      </c>
      <c r="AA1066" s="879">
        <v>4287</v>
      </c>
      <c r="AB1066" s="879">
        <v>3792</v>
      </c>
      <c r="AC1066" s="879">
        <v>6331</v>
      </c>
      <c r="AD1066" s="879">
        <v>4584</v>
      </c>
      <c r="AE1066" s="879">
        <v>4357</v>
      </c>
      <c r="AF1066" s="879">
        <v>4302</v>
      </c>
      <c r="AG1066" s="879">
        <v>5690</v>
      </c>
      <c r="AH1066" s="879">
        <v>3941</v>
      </c>
      <c r="AI1066" s="879">
        <v>3871</v>
      </c>
      <c r="AJ1066" s="879">
        <v>3531</v>
      </c>
      <c r="AK1066" s="879">
        <v>5964</v>
      </c>
      <c r="AL1066" s="879">
        <v>4339</v>
      </c>
      <c r="AM1066" s="879">
        <v>1438</v>
      </c>
      <c r="AN1066" s="879">
        <v>3294</v>
      </c>
      <c r="AO1066" s="879"/>
      <c r="AP1066" s="879"/>
      <c r="AQ1066" s="879"/>
      <c r="AS1066" s="879">
        <v>3517</v>
      </c>
      <c r="AT1066" s="879">
        <v>3517</v>
      </c>
      <c r="AU1066" s="879"/>
      <c r="AV1066" s="879"/>
      <c r="AW1066" s="879"/>
      <c r="AX1066" s="879"/>
      <c r="AY1066" s="879"/>
      <c r="AZ1066" s="879"/>
      <c r="BA1066" s="879"/>
      <c r="BB1066" s="29">
        <v>16681</v>
      </c>
      <c r="BC1066" s="29">
        <v>21410</v>
      </c>
      <c r="BD1066" s="29">
        <v>17880</v>
      </c>
      <c r="BE1066" s="29">
        <v>15175</v>
      </c>
      <c r="BF1066" s="29"/>
      <c r="BG1066" s="880">
        <f>+SUM(D1066:G1066)</f>
        <v>17880</v>
      </c>
      <c r="BH1066" s="880">
        <f>+SUM(H1066:K1066)</f>
        <v>15175</v>
      </c>
      <c r="BI1066" s="880">
        <f>+SUM(L1066:O1066)</f>
        <v>15420</v>
      </c>
      <c r="BJ1066" s="880">
        <v>16273</v>
      </c>
      <c r="BK1066" s="880">
        <f>SUM(T1066:W1066)</f>
        <v>16017</v>
      </c>
      <c r="BL1066" s="880">
        <f t="shared" ref="BL1066:BL1068" si="4024">SUM(X1066:AA1066)</f>
        <v>18219</v>
      </c>
      <c r="BM1066" s="880">
        <f t="shared" ref="BM1066:BM1067" si="4025">SUM(AB1066:AE1066)</f>
        <v>19064</v>
      </c>
      <c r="BN1066" s="880">
        <f t="shared" ref="BN1066:BN1072" si="4026">SUM(AF1066:AI1066)</f>
        <v>17804</v>
      </c>
      <c r="BO1066" s="880">
        <f t="shared" ref="BO1066:BO1072" si="4027">SUM(AJ1066:AM1066)</f>
        <v>15272</v>
      </c>
      <c r="BP1066" s="880"/>
    </row>
    <row r="1067" spans="2:81" ht="11.45" outlineLevel="1">
      <c r="B1067" s="878" t="s">
        <v>546</v>
      </c>
      <c r="D1067" s="905">
        <v>3172</v>
      </c>
      <c r="E1067" s="905">
        <v>3604</v>
      </c>
      <c r="F1067" s="905">
        <v>3921</v>
      </c>
      <c r="G1067" s="905">
        <v>4203</v>
      </c>
      <c r="H1067" s="905">
        <v>4263</v>
      </c>
      <c r="I1067" s="905">
        <v>4523</v>
      </c>
      <c r="J1067" s="905">
        <v>4985</v>
      </c>
      <c r="K1067" s="905">
        <v>5315</v>
      </c>
      <c r="L1067" s="905">
        <v>5298</v>
      </c>
      <c r="M1067" s="905">
        <v>5566</v>
      </c>
      <c r="N1067" s="905">
        <v>5844</v>
      </c>
      <c r="O1067" s="905">
        <v>6225</v>
      </c>
      <c r="P1067" s="905">
        <v>6256</v>
      </c>
      <c r="Q1067" s="905">
        <v>6538</v>
      </c>
      <c r="R1067" s="905">
        <v>6729</v>
      </c>
      <c r="S1067" s="905">
        <v>7114</v>
      </c>
      <c r="T1067" s="905">
        <v>7101</v>
      </c>
      <c r="U1067" s="905">
        <v>7392</v>
      </c>
      <c r="V1067" s="905">
        <v>7599</v>
      </c>
      <c r="W1067" s="905">
        <v>7969</v>
      </c>
      <c r="X1067" s="905">
        <v>7405</v>
      </c>
      <c r="Y1067" s="905">
        <v>8136</v>
      </c>
      <c r="Z1067" s="905">
        <v>8768</v>
      </c>
      <c r="AA1067" s="905">
        <v>9704</v>
      </c>
      <c r="AB1067" s="905">
        <v>9854</v>
      </c>
      <c r="AC1067" s="905">
        <v>10629</v>
      </c>
      <c r="AD1067" s="905">
        <v>11031</v>
      </c>
      <c r="AE1067" s="905">
        <v>12072</v>
      </c>
      <c r="AF1067" s="905">
        <v>11150</v>
      </c>
      <c r="AG1067" s="905">
        <v>11798</v>
      </c>
      <c r="AH1067" s="905">
        <v>12187</v>
      </c>
      <c r="AI1067" s="905">
        <v>12924</v>
      </c>
      <c r="AJ1067" s="905">
        <v>12771</v>
      </c>
      <c r="AK1067" s="905">
        <v>13659</v>
      </c>
      <c r="AL1067" s="905">
        <v>14166</v>
      </c>
      <c r="AM1067" s="905">
        <v>18246</v>
      </c>
      <c r="AN1067" s="905">
        <v>16805</v>
      </c>
      <c r="AO1067" s="905"/>
      <c r="AP1067" s="905"/>
      <c r="AQ1067" s="905"/>
      <c r="AS1067" s="905">
        <v>6225</v>
      </c>
      <c r="AT1067" s="905">
        <v>6225</v>
      </c>
      <c r="AU1067" s="905"/>
      <c r="AV1067" s="905"/>
      <c r="AW1067" s="905"/>
      <c r="AX1067" s="905"/>
      <c r="AY1067" s="905"/>
      <c r="AZ1067" s="905"/>
      <c r="BA1067" s="905"/>
      <c r="BB1067" s="30">
        <v>10397</v>
      </c>
      <c r="BC1067" s="30">
        <v>11628</v>
      </c>
      <c r="BD1067" s="30">
        <v>14900</v>
      </c>
      <c r="BE1067" s="30">
        <v>19086</v>
      </c>
      <c r="BF1067" s="30"/>
      <c r="BG1067" s="906">
        <f>+SUM(D1067:G1067)</f>
        <v>14900</v>
      </c>
      <c r="BH1067" s="906">
        <f>+SUM(H1067:K1067)</f>
        <v>19086</v>
      </c>
      <c r="BI1067" s="906">
        <f>+SUM(L1067:O1067)</f>
        <v>22933</v>
      </c>
      <c r="BJ1067" s="906">
        <v>26637</v>
      </c>
      <c r="BK1067" s="906">
        <f>SUM(T1067:W1067)</f>
        <v>30061</v>
      </c>
      <c r="BL1067" s="906">
        <f t="shared" si="4024"/>
        <v>34013</v>
      </c>
      <c r="BM1067" s="906">
        <f t="shared" si="4025"/>
        <v>43586</v>
      </c>
      <c r="BN1067" s="906">
        <f t="shared" si="4026"/>
        <v>48059</v>
      </c>
      <c r="BO1067" s="906">
        <f t="shared" si="4027"/>
        <v>58842</v>
      </c>
      <c r="BP1067" s="906"/>
    </row>
    <row r="1068" spans="2:81" outlineLevel="1">
      <c r="B1068" s="916" t="s">
        <v>547</v>
      </c>
      <c r="D1068" s="8">
        <f>SUM(D1066:D1067)</f>
        <v>7207</v>
      </c>
      <c r="E1068" s="8">
        <f t="shared" ref="E1068:O1068" si="4028">SUM(E1066:E1067)</f>
        <v>9872</v>
      </c>
      <c r="F1068" s="8">
        <f t="shared" si="4028"/>
        <v>7722</v>
      </c>
      <c r="G1068" s="8">
        <f t="shared" si="4028"/>
        <v>7979</v>
      </c>
      <c r="H1068" s="8">
        <f t="shared" si="4028"/>
        <v>7844</v>
      </c>
      <c r="I1068" s="8">
        <f t="shared" si="4028"/>
        <v>9901</v>
      </c>
      <c r="J1068" s="8">
        <f t="shared" si="4028"/>
        <v>8060</v>
      </c>
      <c r="K1068" s="8">
        <f t="shared" si="4028"/>
        <v>8456</v>
      </c>
      <c r="L1068" s="8">
        <f t="shared" si="4028"/>
        <v>8278</v>
      </c>
      <c r="M1068" s="8">
        <f t="shared" si="4028"/>
        <v>11064</v>
      </c>
      <c r="N1068" s="8">
        <f t="shared" si="4028"/>
        <v>9269</v>
      </c>
      <c r="O1068" s="8">
        <f t="shared" si="4028"/>
        <v>9742</v>
      </c>
      <c r="P1068" s="8">
        <f t="shared" ref="P1068:Q1068" si="4029">SUM(P1066:P1067)</f>
        <v>9905</v>
      </c>
      <c r="Q1068" s="8">
        <f t="shared" si="4029"/>
        <v>12423</v>
      </c>
      <c r="R1068" s="8">
        <f t="shared" ref="R1068:T1068" si="4030">SUM(R1066:R1067)</f>
        <v>10170</v>
      </c>
      <c r="S1068" s="8">
        <f t="shared" si="4030"/>
        <v>10412</v>
      </c>
      <c r="T1068" s="8">
        <f t="shared" si="4030"/>
        <v>10406</v>
      </c>
      <c r="U1068" s="8">
        <f t="shared" ref="U1068:W1068" si="4031">SUM(U1066:U1067)</f>
        <v>12358</v>
      </c>
      <c r="V1068" s="8">
        <f t="shared" si="4031"/>
        <v>10975</v>
      </c>
      <c r="W1068" s="8">
        <f t="shared" si="4031"/>
        <v>12339</v>
      </c>
      <c r="X1068" s="8">
        <f t="shared" ref="X1068:Y1068" si="4032">SUM(X1066:X1067)</f>
        <v>11002</v>
      </c>
      <c r="Y1068" s="8">
        <f t="shared" si="4032"/>
        <v>14194</v>
      </c>
      <c r="Z1068" s="8">
        <f t="shared" ref="Z1068:AA1068" si="4033">SUM(Z1066:Z1067)</f>
        <v>13045</v>
      </c>
      <c r="AA1068" s="8">
        <f t="shared" si="4033"/>
        <v>13991</v>
      </c>
      <c r="AB1068" s="8">
        <f t="shared" ref="AB1068:AC1068" si="4034">SUM(AB1066:AB1067)</f>
        <v>13646</v>
      </c>
      <c r="AC1068" s="8">
        <f t="shared" si="4034"/>
        <v>16960</v>
      </c>
      <c r="AD1068" s="8">
        <f t="shared" ref="AD1068:AE1068" si="4035">SUM(AD1066:AD1067)</f>
        <v>15615</v>
      </c>
      <c r="AE1068" s="8">
        <f t="shared" si="4035"/>
        <v>16429</v>
      </c>
      <c r="AF1068" s="8">
        <f t="shared" ref="AF1068:AG1068" si="4036">SUM(AF1066:AF1067)</f>
        <v>15452</v>
      </c>
      <c r="AG1068" s="8">
        <f t="shared" si="4036"/>
        <v>17488</v>
      </c>
      <c r="AH1068" s="8">
        <f t="shared" ref="AH1068" si="4037">SUM(AH1066:AH1067)</f>
        <v>16128</v>
      </c>
      <c r="AI1068" s="8">
        <f t="shared" ref="AI1068:AJ1068" si="4038">SUM(AI1066:AI1067)</f>
        <v>16795</v>
      </c>
      <c r="AJ1068" s="8">
        <f t="shared" si="4038"/>
        <v>16302</v>
      </c>
      <c r="AK1068" s="8">
        <f t="shared" ref="AK1068:AL1068" si="4039">SUM(AK1066:AK1067)</f>
        <v>19623</v>
      </c>
      <c r="AL1068" s="8">
        <f t="shared" si="4039"/>
        <v>18505</v>
      </c>
      <c r="AM1068" s="8">
        <f t="shared" ref="AM1068:AN1068" si="4040">SUM(AM1066:AM1067)</f>
        <v>19684</v>
      </c>
      <c r="AN1068" s="8">
        <f t="shared" si="4040"/>
        <v>20099</v>
      </c>
      <c r="AO1068" s="8"/>
      <c r="AP1068" s="8"/>
      <c r="AQ1068" s="8"/>
      <c r="AS1068" s="29">
        <v>6031</v>
      </c>
      <c r="AT1068" s="29">
        <v>7650</v>
      </c>
      <c r="AU1068" s="29">
        <v>10693</v>
      </c>
      <c r="AV1068" s="29">
        <v>11598</v>
      </c>
      <c r="AW1068" s="29">
        <v>12155</v>
      </c>
      <c r="AX1068" s="29">
        <v>12395</v>
      </c>
      <c r="AY1068" s="29">
        <v>15577</v>
      </c>
      <c r="AZ1068" s="29">
        <v>17530</v>
      </c>
      <c r="BA1068" s="29">
        <v>20385</v>
      </c>
      <c r="BB1068" s="11">
        <f>SUM(BB1066:BB1067)</f>
        <v>27078</v>
      </c>
      <c r="BC1068" s="11">
        <f>SUM(BC1066:BC1067)</f>
        <v>33038</v>
      </c>
      <c r="BD1068" s="11">
        <f t="shared" ref="BD1068:BE1068" si="4041">SUM(BD1066:BD1067)</f>
        <v>32780</v>
      </c>
      <c r="BE1068" s="11">
        <f t="shared" si="4041"/>
        <v>34261</v>
      </c>
      <c r="BF1068" s="11"/>
      <c r="BG1068" s="11">
        <f>+SUM(D1068:G1068)</f>
        <v>32780</v>
      </c>
      <c r="BH1068" s="11">
        <f>+SUM(H1068:K1068)</f>
        <v>34261</v>
      </c>
      <c r="BI1068" s="11">
        <f>+SUM(L1068:O1068)</f>
        <v>38353</v>
      </c>
      <c r="BJ1068" s="11">
        <f>+SUM(BJ1066:BJ1067)</f>
        <v>42910</v>
      </c>
      <c r="BK1068" s="11">
        <f>+SUM(BK1066:BK1067)</f>
        <v>46078</v>
      </c>
      <c r="BL1068" s="11">
        <f t="shared" si="4024"/>
        <v>52232</v>
      </c>
      <c r="BM1068" s="11">
        <f>SUM(AB1068:AE1068)</f>
        <v>62650</v>
      </c>
      <c r="BN1068" s="11">
        <f t="shared" si="4026"/>
        <v>65863</v>
      </c>
      <c r="BO1068" s="11">
        <f t="shared" si="4027"/>
        <v>74114</v>
      </c>
      <c r="BP1068" s="11"/>
    </row>
    <row r="1069" spans="2:81" outlineLevel="1">
      <c r="B1069" s="916"/>
      <c r="D1069" s="8"/>
      <c r="E1069" s="8"/>
      <c r="F1069" s="8"/>
      <c r="G1069" s="8"/>
      <c r="H1069" s="8"/>
      <c r="I1069" s="8"/>
      <c r="J1069" s="8"/>
      <c r="K1069" s="8"/>
      <c r="L1069" s="8"/>
      <c r="M1069" s="8"/>
      <c r="N1069" s="8"/>
      <c r="O1069" s="8"/>
      <c r="P1069" s="8"/>
      <c r="Q1069" s="8"/>
      <c r="R1069" s="8"/>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8"/>
      <c r="AS1069" s="29"/>
      <c r="AT1069" s="29"/>
      <c r="AU1069" s="29"/>
      <c r="AV1069" s="29"/>
      <c r="AW1069" s="29"/>
      <c r="AX1069" s="29"/>
      <c r="AY1069" s="29"/>
      <c r="AZ1069" s="29"/>
      <c r="BA1069" s="29"/>
      <c r="BB1069" s="11"/>
      <c r="BC1069" s="11"/>
      <c r="BD1069" s="11"/>
      <c r="BE1069" s="11"/>
      <c r="BF1069" s="11"/>
      <c r="BG1069" s="11"/>
      <c r="BH1069" s="11"/>
      <c r="BI1069" s="11"/>
      <c r="BJ1069" s="11"/>
      <c r="BK1069" s="11"/>
      <c r="BL1069" s="11"/>
      <c r="BM1069" s="11"/>
      <c r="BN1069" s="11"/>
      <c r="BO1069" s="11"/>
      <c r="BP1069" s="11"/>
    </row>
    <row r="1070" spans="2:81">
      <c r="B1070" s="878" t="s">
        <v>545</v>
      </c>
      <c r="D1070" s="8">
        <f t="shared" ref="D1070:G1070" si="4042">+D1056-D1066</f>
        <v>11715</v>
      </c>
      <c r="E1070" s="8">
        <f t="shared" si="4042"/>
        <v>13163</v>
      </c>
      <c r="F1070" s="8">
        <f t="shared" si="4042"/>
        <v>11506</v>
      </c>
      <c r="G1070" s="8">
        <f t="shared" si="4042"/>
        <v>13072</v>
      </c>
      <c r="H1070" s="8">
        <f>+H1056-H1066</f>
        <v>11387</v>
      </c>
      <c r="I1070" s="8">
        <f t="shared" ref="I1070:BJ1070" si="4043">+I1056-I1066</f>
        <v>12895</v>
      </c>
      <c r="J1070" s="8">
        <f t="shared" si="4043"/>
        <v>11438</v>
      </c>
      <c r="K1070" s="8">
        <f t="shared" si="4043"/>
        <v>12916</v>
      </c>
      <c r="L1070" s="8">
        <f t="shared" si="4043"/>
        <v>11318</v>
      </c>
      <c r="M1070" s="8">
        <f t="shared" si="4043"/>
        <v>12428</v>
      </c>
      <c r="N1070" s="8">
        <f t="shared" si="4043"/>
        <v>11689</v>
      </c>
      <c r="O1070" s="8">
        <f t="shared" si="4043"/>
        <v>13642</v>
      </c>
      <c r="P1070" s="8">
        <f t="shared" si="4043"/>
        <v>13650</v>
      </c>
      <c r="Q1070" s="8">
        <f t="shared" si="4043"/>
        <v>10334</v>
      </c>
      <c r="R1070" s="8">
        <f t="shared" si="4043"/>
        <v>12007</v>
      </c>
      <c r="S1070" s="8">
        <f t="shared" si="4043"/>
        <v>13805</v>
      </c>
      <c r="T1070" s="8">
        <f t="shared" si="4043"/>
        <v>12463</v>
      </c>
      <c r="U1070" s="8">
        <f t="shared" si="4043"/>
        <v>13289</v>
      </c>
      <c r="V1070" s="8">
        <f t="shared" si="4043"/>
        <v>12495</v>
      </c>
      <c r="W1070" s="8">
        <f t="shared" ref="W1070:X1070" si="4044">+W1056-W1066</f>
        <v>13777</v>
      </c>
      <c r="X1070" s="8">
        <f t="shared" si="4044"/>
        <v>12206</v>
      </c>
      <c r="Y1070" s="8">
        <f t="shared" ref="Y1070:Z1070" si="4045">+Y1056-Y1066</f>
        <v>13402</v>
      </c>
      <c r="Z1070" s="8">
        <f t="shared" si="4045"/>
        <v>12596</v>
      </c>
      <c r="AA1070" s="8">
        <f t="shared" ref="AA1070:AB1070" si="4046">+AA1056-AA1066</f>
        <v>14651</v>
      </c>
      <c r="AB1070" s="8">
        <f t="shared" si="4046"/>
        <v>12839</v>
      </c>
      <c r="AC1070" s="8">
        <f t="shared" ref="AC1070:AD1070" si="4047">+AC1056-AC1066</f>
        <v>14448</v>
      </c>
      <c r="AD1070" s="8">
        <f t="shared" si="4047"/>
        <v>12782</v>
      </c>
      <c r="AE1070" s="8">
        <f t="shared" ref="AE1070:AF1070" si="4048">+AE1056-AE1066</f>
        <v>13599</v>
      </c>
      <c r="AF1070" s="8">
        <f t="shared" si="4048"/>
        <v>11439</v>
      </c>
      <c r="AG1070" s="8">
        <f t="shared" ref="AG1070:AH1070" si="4049">+AG1056-AG1066</f>
        <v>10827</v>
      </c>
      <c r="AH1070" s="8">
        <f t="shared" si="4049"/>
        <v>11647</v>
      </c>
      <c r="AI1070" s="8">
        <f t="shared" ref="AI1070:AJ1070" si="4050">+AI1056-AI1066</f>
        <v>12982</v>
      </c>
      <c r="AJ1070" s="8">
        <f t="shared" si="4050"/>
        <v>12004</v>
      </c>
      <c r="AK1070" s="8">
        <f t="shared" ref="AK1070:AL1070" si="4051">+AK1056-AK1066</f>
        <v>12977</v>
      </c>
      <c r="AL1070" s="8">
        <f t="shared" si="4051"/>
        <v>12741</v>
      </c>
      <c r="AM1070" s="8">
        <f t="shared" ref="AM1070:AN1070" si="4052">+AM1056-AM1066</f>
        <v>11779</v>
      </c>
      <c r="AN1070" s="8">
        <f t="shared" si="4052"/>
        <v>11978</v>
      </c>
      <c r="AO1070" s="8"/>
      <c r="AP1070" s="8"/>
      <c r="AQ1070" s="8"/>
      <c r="AS1070" s="29">
        <f t="shared" si="4043"/>
        <v>-3517</v>
      </c>
      <c r="AT1070" s="29">
        <f t="shared" si="4043"/>
        <v>-3517</v>
      </c>
      <c r="AU1070" s="29"/>
      <c r="AV1070" s="29"/>
      <c r="AW1070" s="29"/>
      <c r="AX1070" s="29"/>
      <c r="AY1070" s="29"/>
      <c r="AZ1070" s="29"/>
      <c r="BA1070" s="29"/>
      <c r="BB1070" s="11">
        <f t="shared" si="4043"/>
        <v>56267</v>
      </c>
      <c r="BC1070" s="11">
        <f t="shared" si="4043"/>
        <v>54546</v>
      </c>
      <c r="BD1070" s="11">
        <f t="shared" si="4043"/>
        <v>43622</v>
      </c>
      <c r="BE1070" s="11">
        <f t="shared" si="4043"/>
        <v>42015</v>
      </c>
      <c r="BF1070" s="11"/>
      <c r="BG1070" s="11">
        <f t="shared" si="4043"/>
        <v>49456</v>
      </c>
      <c r="BH1070" s="11">
        <f t="shared" si="4043"/>
        <v>48636</v>
      </c>
      <c r="BI1070" s="11">
        <f t="shared" si="4043"/>
        <v>49077</v>
      </c>
      <c r="BJ1070" s="11">
        <f t="shared" si="4043"/>
        <v>49796</v>
      </c>
      <c r="BK1070" s="11">
        <f t="shared" ref="BK1070:BL1070" si="4053">+BK1056-BK1066</f>
        <v>52024</v>
      </c>
      <c r="BL1070" s="11">
        <f t="shared" si="4053"/>
        <v>52855</v>
      </c>
      <c r="BM1070" s="11">
        <f t="shared" ref="BM1070" si="4054">+BM1056-BM1066</f>
        <v>53668</v>
      </c>
      <c r="BN1070" s="11">
        <f t="shared" si="4026"/>
        <v>46895</v>
      </c>
      <c r="BO1070" s="11">
        <f t="shared" si="4027"/>
        <v>49501</v>
      </c>
      <c r="BP1070" s="11"/>
    </row>
    <row r="1071" spans="2:81" s="852" customFormat="1">
      <c r="B1071" s="878" t="s">
        <v>546</v>
      </c>
      <c r="D1071" s="853">
        <f t="shared" ref="D1071:G1071" si="4055">+D1057-D1067</f>
        <v>1988</v>
      </c>
      <c r="E1071" s="853">
        <f t="shared" si="4055"/>
        <v>2218</v>
      </c>
      <c r="F1071" s="853">
        <f t="shared" si="4055"/>
        <v>2289</v>
      </c>
      <c r="G1071" s="853">
        <f t="shared" si="4055"/>
        <v>2423</v>
      </c>
      <c r="H1071" s="853">
        <f t="shared" ref="H1071:BJ1071" si="4056">+H1057-H1067</f>
        <v>2697</v>
      </c>
      <c r="I1071" s="853">
        <f t="shared" si="4056"/>
        <v>3030</v>
      </c>
      <c r="J1071" s="853">
        <f t="shared" si="4056"/>
        <v>3714</v>
      </c>
      <c r="K1071" s="853">
        <f t="shared" si="4056"/>
        <v>4233</v>
      </c>
      <c r="L1071" s="853">
        <f t="shared" si="4056"/>
        <v>4942</v>
      </c>
      <c r="M1071" s="853">
        <f t="shared" si="4056"/>
        <v>5426</v>
      </c>
      <c r="N1071" s="853">
        <f t="shared" si="4056"/>
        <v>5861</v>
      </c>
      <c r="O1071" s="853">
        <f t="shared" si="4056"/>
        <v>6701</v>
      </c>
      <c r="P1071" s="853">
        <f t="shared" si="4056"/>
        <v>5529</v>
      </c>
      <c r="Q1071" s="853">
        <f t="shared" si="4056"/>
        <v>9714</v>
      </c>
      <c r="R1071" s="853">
        <f t="shared" si="4056"/>
        <v>8394</v>
      </c>
      <c r="S1071" s="853">
        <f t="shared" si="4056"/>
        <v>9500</v>
      </c>
      <c r="T1071" s="853">
        <f t="shared" si="4056"/>
        <v>10186</v>
      </c>
      <c r="U1071" s="853">
        <f t="shared" si="4056"/>
        <v>11259</v>
      </c>
      <c r="V1071" s="853">
        <f t="shared" si="4056"/>
        <v>11551</v>
      </c>
      <c r="W1071" s="853">
        <f t="shared" ref="W1071:X1071" si="4057">+W1057-W1067</f>
        <v>11917</v>
      </c>
      <c r="X1071" s="853">
        <f t="shared" si="4057"/>
        <v>13946</v>
      </c>
      <c r="Y1071" s="853">
        <f t="shared" ref="Y1071:Z1071" si="4058">+Y1057-Y1067</f>
        <v>15480</v>
      </c>
      <c r="Z1071" s="853">
        <f t="shared" si="4058"/>
        <v>16065</v>
      </c>
      <c r="AA1071" s="853">
        <f t="shared" ref="AA1071:AB1071" si="4059">+AA1057-AA1067</f>
        <v>17510</v>
      </c>
      <c r="AB1071" s="853">
        <f t="shared" si="4059"/>
        <v>18832</v>
      </c>
      <c r="AC1071" s="853">
        <f t="shared" ref="AC1071:AD1071" si="4060">+AC1057-AC1067</f>
        <v>20320</v>
      </c>
      <c r="AD1071" s="853">
        <f t="shared" si="4060"/>
        <v>20963</v>
      </c>
      <c r="AE1071" s="853">
        <f t="shared" ref="AE1071:AF1071" si="4061">+AE1057-AE1067</f>
        <v>21837</v>
      </c>
      <c r="AF1071" s="853">
        <f t="shared" si="4061"/>
        <v>23231</v>
      </c>
      <c r="AG1071" s="853">
        <f t="shared" ref="AG1071:AH1071" si="4062">+AG1057-AG1067</f>
        <v>24432</v>
      </c>
      <c r="AH1071" s="853">
        <f t="shared" si="4062"/>
        <v>25082</v>
      </c>
      <c r="AI1071" s="853">
        <f t="shared" ref="AI1071:AJ1071" si="4063">+AI1057-AI1067</f>
        <v>26412</v>
      </c>
      <c r="AJ1071" s="853">
        <f t="shared" si="4063"/>
        <v>28211</v>
      </c>
      <c r="AK1071" s="853">
        <f t="shared" ref="AK1071:AL1071" si="4064">+AK1057-AK1067</f>
        <v>29420</v>
      </c>
      <c r="AL1071" s="853">
        <f t="shared" si="4064"/>
        <v>30612</v>
      </c>
      <c r="AM1071" s="853">
        <f t="shared" ref="AM1071:AN1071" si="4065">+AM1057-AM1067</f>
        <v>33264</v>
      </c>
      <c r="AN1071" s="853">
        <f t="shared" si="4065"/>
        <v>33508</v>
      </c>
      <c r="AO1071" s="853"/>
      <c r="AP1071" s="853"/>
      <c r="AQ1071" s="853"/>
      <c r="AS1071" s="939">
        <f t="shared" si="4056"/>
        <v>-6225</v>
      </c>
      <c r="AT1071" s="939">
        <f t="shared" si="4056"/>
        <v>-6225</v>
      </c>
      <c r="AU1071" s="939"/>
      <c r="AV1071" s="939"/>
      <c r="AW1071" s="939"/>
      <c r="AX1071" s="939"/>
      <c r="AY1071" s="939"/>
      <c r="AZ1071" s="939"/>
      <c r="BA1071" s="939"/>
      <c r="BB1071" s="940">
        <f t="shared" si="4056"/>
        <v>3488</v>
      </c>
      <c r="BC1071" s="940">
        <f t="shared" si="4056"/>
        <v>5996</v>
      </c>
      <c r="BD1071" s="940">
        <f t="shared" si="4056"/>
        <v>8918</v>
      </c>
      <c r="BE1071" s="940">
        <f t="shared" si="4056"/>
        <v>13674</v>
      </c>
      <c r="BF1071" s="940"/>
      <c r="BG1071" s="940">
        <f t="shared" si="4056"/>
        <v>8918</v>
      </c>
      <c r="BH1071" s="940">
        <f t="shared" si="4056"/>
        <v>13674</v>
      </c>
      <c r="BI1071" s="940">
        <f t="shared" si="4056"/>
        <v>22930</v>
      </c>
      <c r="BJ1071" s="940">
        <f t="shared" si="4056"/>
        <v>33137</v>
      </c>
      <c r="BK1071" s="940">
        <f t="shared" ref="BK1071:BL1072" si="4066">+BK1057-BK1067</f>
        <v>44913</v>
      </c>
      <c r="BL1071" s="940">
        <f t="shared" si="4066"/>
        <v>63001</v>
      </c>
      <c r="BM1071" s="940">
        <f t="shared" ref="BM1071" si="4067">+BM1057-BM1067</f>
        <v>81952</v>
      </c>
      <c r="BN1071" s="940">
        <f t="shared" si="4026"/>
        <v>99157</v>
      </c>
      <c r="BO1071" s="940">
        <f t="shared" si="4027"/>
        <v>121507</v>
      </c>
      <c r="BP1071" s="940"/>
      <c r="BT1071"/>
      <c r="BU1071"/>
      <c r="BV1071"/>
      <c r="BW1071"/>
      <c r="BX1071"/>
      <c r="BY1071"/>
      <c r="BZ1071"/>
      <c r="CA1071"/>
      <c r="CB1071"/>
      <c r="CC1071"/>
    </row>
    <row r="1072" spans="2:81" s="1" customFormat="1" ht="10.5">
      <c r="B1072" s="882" t="s">
        <v>548</v>
      </c>
      <c r="D1072" s="838">
        <f t="shared" ref="D1072:V1072" si="4068">+D1058-D1068</f>
        <v>13703</v>
      </c>
      <c r="E1072" s="838">
        <f t="shared" si="4068"/>
        <v>15381</v>
      </c>
      <c r="F1072" s="838">
        <f t="shared" si="4068"/>
        <v>13795</v>
      </c>
      <c r="G1072" s="838">
        <f t="shared" si="4068"/>
        <v>15495</v>
      </c>
      <c r="H1072" s="838">
        <f t="shared" si="4068"/>
        <v>14084</v>
      </c>
      <c r="I1072" s="838">
        <f t="shared" si="4068"/>
        <v>15925</v>
      </c>
      <c r="J1072" s="838">
        <f t="shared" si="4068"/>
        <v>15152</v>
      </c>
      <c r="K1072" s="838">
        <f t="shared" si="4068"/>
        <v>17149</v>
      </c>
      <c r="L1072" s="838">
        <f t="shared" si="4068"/>
        <v>16260</v>
      </c>
      <c r="M1072" s="838">
        <f t="shared" si="4068"/>
        <v>17854</v>
      </c>
      <c r="N1072" s="838">
        <f t="shared" si="4068"/>
        <v>17550</v>
      </c>
      <c r="O1072" s="838">
        <f t="shared" si="4068"/>
        <v>20343</v>
      </c>
      <c r="P1072" s="838">
        <f t="shared" si="4068"/>
        <v>19179</v>
      </c>
      <c r="Q1072" s="838">
        <f t="shared" si="4068"/>
        <v>20048</v>
      </c>
      <c r="R1072" s="838">
        <f t="shared" si="4068"/>
        <v>20401</v>
      </c>
      <c r="S1072" s="838">
        <f t="shared" si="4068"/>
        <v>23305</v>
      </c>
      <c r="T1072" s="838">
        <f t="shared" si="4068"/>
        <v>22649</v>
      </c>
      <c r="U1072" s="838">
        <f t="shared" si="4068"/>
        <v>24548</v>
      </c>
      <c r="V1072" s="838">
        <f t="shared" si="4068"/>
        <v>24046</v>
      </c>
      <c r="W1072" s="838">
        <f t="shared" ref="W1072:X1072" si="4069">+W1058-W1068</f>
        <v>25694</v>
      </c>
      <c r="X1072" s="838">
        <f t="shared" si="4069"/>
        <v>26152</v>
      </c>
      <c r="Y1072" s="838">
        <f t="shared" ref="Y1072:Z1072" si="4070">+Y1058-Y1068</f>
        <v>28882</v>
      </c>
      <c r="Z1072" s="838">
        <f t="shared" si="4070"/>
        <v>28661</v>
      </c>
      <c r="AA1072" s="838">
        <f t="shared" ref="AA1072:AB1072" si="4071">+AA1058-AA1068</f>
        <v>32161</v>
      </c>
      <c r="AB1072" s="838">
        <f t="shared" si="4071"/>
        <v>31671</v>
      </c>
      <c r="AC1072" s="838">
        <f t="shared" ref="AC1072:AD1072" si="4072">+AC1058-AC1068</f>
        <v>34768</v>
      </c>
      <c r="AD1072" s="838">
        <f t="shared" si="4072"/>
        <v>33745</v>
      </c>
      <c r="AE1072" s="838">
        <f t="shared" ref="AE1072:AF1072" si="4073">+AE1058-AE1068</f>
        <v>35436</v>
      </c>
      <c r="AF1072" s="838">
        <f t="shared" si="4073"/>
        <v>34670</v>
      </c>
      <c r="AG1072" s="838">
        <f t="shared" ref="AG1072:AH1072" si="4074">+AG1058-AG1068</f>
        <v>35259</v>
      </c>
      <c r="AH1072" s="838">
        <f t="shared" si="4074"/>
        <v>36729</v>
      </c>
      <c r="AI1072" s="838">
        <f t="shared" ref="AI1072:AJ1072" si="4075">+AI1058-AI1068</f>
        <v>39394</v>
      </c>
      <c r="AJ1072" s="838">
        <f t="shared" si="4075"/>
        <v>40215</v>
      </c>
      <c r="AK1072" s="838">
        <f t="shared" ref="AK1072:AL1072" si="4076">+AK1058-AK1068</f>
        <v>42397</v>
      </c>
      <c r="AL1072" s="838">
        <f t="shared" si="4076"/>
        <v>43353</v>
      </c>
      <c r="AM1072" s="838">
        <f t="shared" ref="AM1072:AN1072" si="4077">+AM1058-AM1068</f>
        <v>45043</v>
      </c>
      <c r="AN1072" s="838">
        <f t="shared" si="4077"/>
        <v>45486</v>
      </c>
      <c r="AO1072" s="838">
        <f>+AO22</f>
        <v>47227.024078166673</v>
      </c>
      <c r="AP1072" s="838">
        <f>+AP22</f>
        <v>49033.205988548136</v>
      </c>
      <c r="AQ1072" s="838">
        <f>+AQ22</f>
        <v>51503.32143075089</v>
      </c>
      <c r="AS1072" s="838">
        <f t="shared" ref="AS1072:BE1072" si="4078">+AS1058-AS1068</f>
        <v>33757</v>
      </c>
      <c r="AT1072" s="838">
        <f t="shared" si="4078"/>
        <v>36632</v>
      </c>
      <c r="AU1072" s="838">
        <f t="shared" si="4078"/>
        <v>40429</v>
      </c>
      <c r="AV1072" s="838">
        <f t="shared" si="4078"/>
        <v>48822</v>
      </c>
      <c r="AW1072" s="838">
        <f t="shared" si="4078"/>
        <v>46282</v>
      </c>
      <c r="AX1072" s="838">
        <f t="shared" si="4078"/>
        <v>50089</v>
      </c>
      <c r="AY1072" s="838">
        <f t="shared" si="4078"/>
        <v>54366</v>
      </c>
      <c r="AZ1072" s="838">
        <f t="shared" si="4078"/>
        <v>56193</v>
      </c>
      <c r="BA1072" s="838">
        <f t="shared" si="4078"/>
        <v>57464</v>
      </c>
      <c r="BB1072" s="838">
        <f t="shared" si="4078"/>
        <v>59755</v>
      </c>
      <c r="BC1072" s="838">
        <f t="shared" si="4078"/>
        <v>60542</v>
      </c>
      <c r="BD1072" s="838">
        <f t="shared" si="4078"/>
        <v>52540</v>
      </c>
      <c r="BE1072" s="838">
        <f t="shared" si="4078"/>
        <v>55689</v>
      </c>
      <c r="BF1072" s="838"/>
      <c r="BG1072" s="849">
        <f>+SUM(D1072:G1072)</f>
        <v>58374</v>
      </c>
      <c r="BH1072" s="849">
        <f>+SUM(H1072:K1072)</f>
        <v>62310</v>
      </c>
      <c r="BI1072" s="849">
        <f>+SUM(L1072:O1072)</f>
        <v>72007</v>
      </c>
      <c r="BJ1072" s="849">
        <f>+BJ1058-BJ1068</f>
        <v>82933</v>
      </c>
      <c r="BK1072" s="849">
        <f t="shared" si="4066"/>
        <v>96937</v>
      </c>
      <c r="BL1072" s="849">
        <f t="shared" si="4066"/>
        <v>115856</v>
      </c>
      <c r="BM1072" s="849">
        <f t="shared" ref="BM1072" si="4079">+BM1058-BM1068</f>
        <v>135620</v>
      </c>
      <c r="BN1072" s="849">
        <f t="shared" si="4026"/>
        <v>146052</v>
      </c>
      <c r="BO1072" s="849">
        <f t="shared" si="4027"/>
        <v>171008</v>
      </c>
      <c r="BP1072" s="849">
        <f>+SUM(AN1072:AQ1072)</f>
        <v>193249.5514974657</v>
      </c>
      <c r="BT1072"/>
      <c r="BU1072"/>
      <c r="BV1072"/>
      <c r="BW1072"/>
      <c r="BX1072"/>
      <c r="BY1072"/>
      <c r="BZ1072"/>
      <c r="CA1072"/>
      <c r="CB1072"/>
      <c r="CC1072"/>
    </row>
    <row r="1073" spans="2:81" s="1" customFormat="1" ht="10.5">
      <c r="B1073" s="941"/>
      <c r="D1073" s="838"/>
      <c r="E1073" s="838"/>
      <c r="F1073" s="838"/>
      <c r="G1073" s="838"/>
      <c r="H1073" s="838"/>
      <c r="I1073" s="838"/>
      <c r="J1073" s="838"/>
      <c r="K1073" s="838"/>
      <c r="L1073" s="838"/>
      <c r="M1073" s="838"/>
      <c r="N1073" s="838"/>
      <c r="O1073" s="838"/>
      <c r="P1073" s="838"/>
      <c r="Q1073" s="838"/>
      <c r="R1073" s="838"/>
      <c r="S1073" s="838"/>
      <c r="T1073" s="838"/>
      <c r="U1073" s="838"/>
      <c r="V1073" s="838"/>
      <c r="W1073" s="228"/>
      <c r="X1073" s="228"/>
      <c r="Y1073" s="228"/>
      <c r="Z1073" s="838"/>
      <c r="AA1073" s="838"/>
      <c r="AB1073" s="838"/>
      <c r="AC1073" s="838"/>
      <c r="AD1073" s="838"/>
      <c r="AE1073" s="838"/>
      <c r="AF1073" s="838"/>
      <c r="AG1073" s="838"/>
      <c r="AH1073" s="838"/>
      <c r="AI1073" s="838"/>
      <c r="AJ1073" s="838"/>
      <c r="AK1073" s="838"/>
      <c r="AL1073" s="838"/>
      <c r="AM1073" s="838"/>
      <c r="AN1073" s="838"/>
      <c r="AO1073" s="838"/>
      <c r="AP1073" s="838"/>
      <c r="AQ1073" s="838"/>
      <c r="AS1073" s="838"/>
      <c r="AT1073" s="838"/>
      <c r="AU1073" s="838"/>
      <c r="AV1073" s="838"/>
      <c r="AW1073" s="838"/>
      <c r="AX1073" s="838"/>
      <c r="AY1073" s="838"/>
      <c r="AZ1073" s="838"/>
      <c r="BA1073" s="838"/>
      <c r="BB1073" s="838"/>
      <c r="BC1073" s="838"/>
      <c r="BD1073" s="838"/>
      <c r="BE1073" s="838"/>
      <c r="BF1073" s="838"/>
      <c r="BG1073" s="849"/>
      <c r="BH1073" s="849"/>
      <c r="BI1073" s="849"/>
      <c r="BJ1073" s="849"/>
      <c r="BK1073" s="849"/>
      <c r="BL1073" s="849"/>
      <c r="BM1073" s="849"/>
      <c r="BN1073" s="849"/>
      <c r="BO1073" s="849"/>
      <c r="BP1073" s="849"/>
      <c r="BT1073"/>
      <c r="BU1073"/>
      <c r="BV1073"/>
      <c r="BW1073"/>
      <c r="BX1073"/>
      <c r="BY1073"/>
      <c r="BZ1073"/>
      <c r="CA1073"/>
      <c r="CB1073"/>
      <c r="CC1073"/>
    </row>
    <row r="1074" spans="2:81" s="1" customFormat="1" ht="10.5">
      <c r="B1074" s="847" t="s">
        <v>123</v>
      </c>
      <c r="D1074" s="838"/>
      <c r="E1074" s="838"/>
      <c r="F1074" s="838"/>
      <c r="G1074" s="838"/>
      <c r="H1074" s="838"/>
      <c r="I1074" s="838"/>
      <c r="J1074" s="838"/>
      <c r="K1074" s="838"/>
      <c r="L1074" s="838"/>
      <c r="M1074" s="838"/>
      <c r="N1074" s="838"/>
      <c r="O1074" s="838"/>
      <c r="P1074" s="838"/>
      <c r="Q1074" s="838"/>
      <c r="R1074" s="838"/>
      <c r="S1074" s="838"/>
      <c r="T1074" s="838"/>
      <c r="U1074" s="838"/>
      <c r="V1074" s="838"/>
      <c r="W1074" s="838"/>
      <c r="X1074" s="838"/>
      <c r="Y1074" s="838"/>
      <c r="Z1074" s="838"/>
      <c r="AA1074" s="838"/>
      <c r="AB1074" s="838"/>
      <c r="AC1074" s="838"/>
      <c r="AD1074" s="838"/>
      <c r="AE1074" s="838"/>
      <c r="AF1074" s="838"/>
      <c r="AG1074" s="838"/>
      <c r="AH1074" s="838"/>
      <c r="AI1074" s="838"/>
      <c r="AJ1074" s="838"/>
      <c r="AK1074" s="838"/>
      <c r="AL1074" s="838"/>
      <c r="AM1074" s="838"/>
      <c r="AN1074" s="838"/>
      <c r="AO1074" s="838"/>
      <c r="AP1074" s="838"/>
      <c r="AQ1074" s="838"/>
      <c r="AS1074" s="838"/>
      <c r="AT1074" s="838"/>
      <c r="AU1074" s="838"/>
      <c r="AV1074" s="838"/>
      <c r="AW1074" s="838"/>
      <c r="AX1074" s="838"/>
      <c r="AY1074" s="838"/>
      <c r="AZ1074" s="838"/>
      <c r="BA1074" s="838"/>
      <c r="BB1074" s="838"/>
      <c r="BC1074" s="838"/>
      <c r="BD1074" s="838"/>
      <c r="BE1074" s="838"/>
      <c r="BF1074" s="838"/>
      <c r="BG1074" s="849"/>
      <c r="BH1074" s="849"/>
      <c r="BI1074" s="849"/>
      <c r="BJ1074" s="849"/>
      <c r="BK1074" s="849"/>
      <c r="BL1074" s="849"/>
      <c r="BM1074" s="849"/>
      <c r="BN1074" s="849"/>
      <c r="BO1074" s="849"/>
      <c r="BP1074" s="849"/>
      <c r="BT1074"/>
      <c r="BU1074"/>
      <c r="BV1074"/>
      <c r="BW1074"/>
      <c r="BX1074"/>
      <c r="BY1074"/>
      <c r="BZ1074"/>
      <c r="CA1074"/>
      <c r="CB1074"/>
      <c r="CC1074"/>
    </row>
    <row r="1075" spans="2:81" s="3" customFormat="1">
      <c r="B1075" s="884" t="str">
        <f>+B1070</f>
        <v>Product</v>
      </c>
      <c r="D1075" s="92"/>
      <c r="E1075" s="92"/>
      <c r="F1075" s="92"/>
      <c r="G1075" s="92"/>
      <c r="H1075" s="228">
        <f t="shared" ref="H1075:V1075" si="4080">+H1070/H1056</f>
        <v>0.76075628006413687</v>
      </c>
      <c r="I1075" s="228">
        <f t="shared" si="4080"/>
        <v>0.70568598478629674</v>
      </c>
      <c r="J1075" s="228">
        <f t="shared" si="4080"/>
        <v>0.78812099497002686</v>
      </c>
      <c r="K1075" s="228">
        <f t="shared" si="4080"/>
        <v>0.8043843806439559</v>
      </c>
      <c r="L1075" s="228">
        <f t="shared" si="4080"/>
        <v>0.79157924185200723</v>
      </c>
      <c r="M1075" s="228">
        <f t="shared" si="4080"/>
        <v>0.69329465580720739</v>
      </c>
      <c r="N1075" s="228">
        <f t="shared" si="4080"/>
        <v>0.77338891094349604</v>
      </c>
      <c r="O1075" s="228">
        <f t="shared" si="4080"/>
        <v>0.79503467568040098</v>
      </c>
      <c r="P1075" s="228">
        <f t="shared" si="4080"/>
        <v>0.78906295161570028</v>
      </c>
      <c r="Q1075" s="228">
        <f t="shared" si="4080"/>
        <v>0.63715395523768414</v>
      </c>
      <c r="R1075" s="228">
        <f t="shared" si="4080"/>
        <v>0.77725271879854996</v>
      </c>
      <c r="S1075" s="228">
        <f t="shared" si="4080"/>
        <v>0.80716833304098701</v>
      </c>
      <c r="T1075" s="228">
        <f t="shared" si="4080"/>
        <v>0.79039827498731607</v>
      </c>
      <c r="U1075" s="228">
        <f t="shared" si="4080"/>
        <v>0.72796494111202414</v>
      </c>
      <c r="V1075" s="228">
        <f t="shared" si="4080"/>
        <v>0.78728498519311951</v>
      </c>
      <c r="W1075" s="228">
        <f t="shared" ref="W1075:X1075" si="4081">+W1070/W1056</f>
        <v>0.75918884664131814</v>
      </c>
      <c r="X1075" s="228">
        <f t="shared" si="4081"/>
        <v>0.77238499019173579</v>
      </c>
      <c r="Y1075" s="228">
        <f t="shared" ref="Y1075:Z1075" si="4082">+Y1070/Y1056</f>
        <v>0.68869475847893113</v>
      </c>
      <c r="Z1075" s="228">
        <f t="shared" si="4082"/>
        <v>0.74651810584958223</v>
      </c>
      <c r="AA1075" s="228">
        <f t="shared" ref="AA1075:AB1075" si="4083">+AA1070/AA1056</f>
        <v>0.7736297391488014</v>
      </c>
      <c r="AB1075" s="228">
        <f t="shared" si="4083"/>
        <v>0.77199206301485179</v>
      </c>
      <c r="AC1075" s="228">
        <f t="shared" ref="AC1075:AD1075" si="4084">+AC1070/AC1056</f>
        <v>0.69531738774724483</v>
      </c>
      <c r="AD1075" s="228">
        <f t="shared" si="4084"/>
        <v>0.73603593228146957</v>
      </c>
      <c r="AE1075" s="228">
        <f t="shared" ref="AE1075:AF1075" si="4085">+AE1070/AE1056</f>
        <v>0.75735130318556476</v>
      </c>
      <c r="AF1075" s="228">
        <f t="shared" si="4085"/>
        <v>0.72670097198399086</v>
      </c>
      <c r="AG1075" s="228">
        <f t="shared" ref="AG1075:AH1075" si="4086">+AG1070/AG1056</f>
        <v>0.65550644790216139</v>
      </c>
      <c r="AH1075" s="228">
        <f t="shared" si="4086"/>
        <v>0.74717731588401337</v>
      </c>
      <c r="AI1075" s="228">
        <f t="shared" ref="AI1075:AJ1075" si="4087">+AI1070/AI1056</f>
        <v>0.77030795704028954</v>
      </c>
      <c r="AJ1075" s="228">
        <f t="shared" si="4087"/>
        <v>0.77270679111683294</v>
      </c>
      <c r="AK1075" s="228">
        <f t="shared" ref="AK1075:AL1075" si="4088">+AK1070/AK1056</f>
        <v>0.68512750118789922</v>
      </c>
      <c r="AL1075" s="228">
        <f t="shared" si="4088"/>
        <v>0.74596018735363001</v>
      </c>
      <c r="AM1075" s="228">
        <f t="shared" ref="AM1075:AN1075" si="4089">+AM1070/AM1056</f>
        <v>0.89120072633729286</v>
      </c>
      <c r="AN1075" s="228">
        <f t="shared" si="4089"/>
        <v>0.78431115767417492</v>
      </c>
      <c r="AO1075" s="228"/>
      <c r="AP1075" s="228"/>
      <c r="AQ1075" s="228"/>
      <c r="AR1075" s="228"/>
      <c r="AS1075" s="228"/>
      <c r="AT1075" s="228"/>
      <c r="AU1075" s="228"/>
      <c r="AV1075" s="228"/>
      <c r="AW1075" s="228"/>
      <c r="AX1075" s="228"/>
      <c r="AY1075" s="228"/>
      <c r="AZ1075" s="228"/>
      <c r="BA1075" s="228"/>
      <c r="BB1075" s="228">
        <f t="shared" ref="BB1075:BE1075" si="4090">+BB1070/BB1056</f>
        <v>0.77133026265284865</v>
      </c>
      <c r="BC1075" s="228">
        <f t="shared" si="4090"/>
        <v>0.71812628363789566</v>
      </c>
      <c r="BD1075" s="228">
        <f t="shared" si="4090"/>
        <v>0.70927774706513613</v>
      </c>
      <c r="BE1075" s="228">
        <f t="shared" si="4090"/>
        <v>0.73465640846301805</v>
      </c>
      <c r="BF1075" s="228"/>
      <c r="BG1075" s="228">
        <f t="shared" ref="BG1075:BJ1075" si="4091">+BG1070/BG1056</f>
        <v>0.73446596174408929</v>
      </c>
      <c r="BH1075" s="228">
        <f t="shared" si="4091"/>
        <v>0.76218833743398473</v>
      </c>
      <c r="BI1075" s="228">
        <f t="shared" si="4091"/>
        <v>0.76091911251686128</v>
      </c>
      <c r="BJ1075" s="228">
        <f t="shared" si="4091"/>
        <v>0.75369689264254036</v>
      </c>
      <c r="BK1075" s="228">
        <f t="shared" ref="BK1075:BL1075" si="4092">+BK1070/BK1056</f>
        <v>0.76459781602269217</v>
      </c>
      <c r="BL1075" s="228">
        <f t="shared" si="4092"/>
        <v>0.74366153586402906</v>
      </c>
      <c r="BM1075" s="228">
        <f t="shared" ref="BM1075:BN1075" si="4093">+BM1070/BM1056</f>
        <v>0.73788703734257277</v>
      </c>
      <c r="BN1075" s="228">
        <f t="shared" si="4093"/>
        <v>0.72481800336944935</v>
      </c>
      <c r="BO1075" s="228">
        <f t="shared" ref="BO1075" si="4094">+BO1070/BO1056</f>
        <v>0.76422274713229277</v>
      </c>
      <c r="BP1075" s="94"/>
      <c r="BT1075"/>
      <c r="BU1075"/>
      <c r="BV1075"/>
      <c r="BW1075"/>
      <c r="BX1075"/>
      <c r="BY1075"/>
      <c r="BZ1075"/>
      <c r="CA1075"/>
      <c r="CB1075"/>
      <c r="CC1075"/>
    </row>
    <row r="1076" spans="2:81" s="942" customFormat="1" ht="11.45">
      <c r="B1076" s="884" t="str">
        <f t="shared" ref="B1076:B1077" si="4095">+B1071</f>
        <v>Service and other</v>
      </c>
      <c r="D1076" s="846"/>
      <c r="E1076" s="846"/>
      <c r="F1076" s="846"/>
      <c r="G1076" s="846"/>
      <c r="H1076" s="840">
        <f t="shared" ref="H1076:V1076" si="4096">+H1071/H1057</f>
        <v>0.38750000000000001</v>
      </c>
      <c r="I1076" s="840">
        <f t="shared" si="4096"/>
        <v>0.40116509996028066</v>
      </c>
      <c r="J1076" s="840">
        <f t="shared" si="4096"/>
        <v>0.42694562593401542</v>
      </c>
      <c r="K1076" s="840">
        <f t="shared" si="4096"/>
        <v>0.44333891914537077</v>
      </c>
      <c r="L1076" s="840">
        <f t="shared" si="4096"/>
        <v>0.48261718749999999</v>
      </c>
      <c r="M1076" s="840">
        <f t="shared" si="4096"/>
        <v>0.49363173216885009</v>
      </c>
      <c r="N1076" s="840">
        <f t="shared" si="4096"/>
        <v>0.50072618539085856</v>
      </c>
      <c r="O1076" s="840">
        <f t="shared" si="4096"/>
        <v>0.51841250193408639</v>
      </c>
      <c r="P1076" s="840">
        <f t="shared" si="4096"/>
        <v>0.46915570640644888</v>
      </c>
      <c r="Q1076" s="840">
        <f t="shared" si="4096"/>
        <v>0.59771105094757571</v>
      </c>
      <c r="R1076" s="840">
        <f t="shared" si="4096"/>
        <v>0.55504860146796275</v>
      </c>
      <c r="S1076" s="840">
        <f t="shared" si="4096"/>
        <v>0.57180690983507887</v>
      </c>
      <c r="T1076" s="840">
        <f t="shared" si="4096"/>
        <v>0.58922890032972752</v>
      </c>
      <c r="U1076" s="840">
        <f t="shared" si="4096"/>
        <v>0.60366736368023166</v>
      </c>
      <c r="V1076" s="840">
        <f t="shared" si="4096"/>
        <v>0.60318537859007837</v>
      </c>
      <c r="W1076" s="840">
        <f t="shared" ref="W1076:X1076" si="4097">+W1071/W1057</f>
        <v>0.59926581514633415</v>
      </c>
      <c r="X1076" s="840">
        <f t="shared" si="4097"/>
        <v>0.65317783710364852</v>
      </c>
      <c r="Y1076" s="840">
        <f t="shared" ref="Y1076:Z1076" si="4098">+Y1071/Y1057</f>
        <v>0.65548780487804881</v>
      </c>
      <c r="Z1076" s="840">
        <f t="shared" si="4098"/>
        <v>0.64692143518704948</v>
      </c>
      <c r="AA1076" s="840">
        <f t="shared" ref="AA1076:AB1076" si="4099">+AA1071/AA1057</f>
        <v>0.64341882854413168</v>
      </c>
      <c r="AB1076" s="840">
        <f t="shared" si="4099"/>
        <v>0.65648748518441047</v>
      </c>
      <c r="AC1076" s="840">
        <f t="shared" ref="AC1076:AD1076" si="4100">+AC1071/AC1057</f>
        <v>0.65656402468577335</v>
      </c>
      <c r="AD1076" s="840">
        <f t="shared" si="4100"/>
        <v>0.65521660311308372</v>
      </c>
      <c r="AE1076" s="840">
        <f t="shared" ref="AE1076:AF1076" si="4101">+AE1071/AE1057</f>
        <v>0.64398832168450859</v>
      </c>
      <c r="AF1076" s="840">
        <f t="shared" si="4101"/>
        <v>0.67569296995433525</v>
      </c>
      <c r="AG1076" s="840">
        <f t="shared" ref="AG1076:AH1076" si="4102">+AG1071/AG1057</f>
        <v>0.67435826662986476</v>
      </c>
      <c r="AH1076" s="840">
        <f t="shared" si="4102"/>
        <v>0.67299900721779493</v>
      </c>
      <c r="AI1076" s="840">
        <f t="shared" ref="AI1076:AJ1076" si="4103">+AI1071/AI1057</f>
        <v>0.67144600366076879</v>
      </c>
      <c r="AJ1076" s="840">
        <f t="shared" si="4103"/>
        <v>0.68837538431506518</v>
      </c>
      <c r="AK1076" s="840">
        <f t="shared" ref="AK1076:AL1076" si="4104">+AK1071/AK1057</f>
        <v>0.68293135866663568</v>
      </c>
      <c r="AL1076" s="840">
        <f t="shared" si="4104"/>
        <v>0.68363928714993971</v>
      </c>
      <c r="AM1076" s="840">
        <f t="shared" ref="AM1076:AN1076" si="4105">+AM1071/AM1057</f>
        <v>0.64577751892836344</v>
      </c>
      <c r="AN1076" s="840">
        <f t="shared" si="4105"/>
        <v>0.66599089698487468</v>
      </c>
      <c r="AO1076" s="840"/>
      <c r="AP1076" s="840"/>
      <c r="AQ1076" s="840"/>
      <c r="AR1076" s="840"/>
      <c r="AS1076" s="840"/>
      <c r="AT1076" s="840"/>
      <c r="AU1076" s="840"/>
      <c r="AV1076" s="840"/>
      <c r="AW1076" s="840"/>
      <c r="AX1076" s="840"/>
      <c r="AY1076" s="840"/>
      <c r="AZ1076" s="840"/>
      <c r="BA1076" s="840"/>
      <c r="BB1076" s="840">
        <f t="shared" ref="BB1076:BE1076" si="4106">+BB1071/BB1057</f>
        <v>0.2512063377745769</v>
      </c>
      <c r="BC1076" s="840">
        <f t="shared" si="4106"/>
        <v>0.34021788470267816</v>
      </c>
      <c r="BD1076" s="840">
        <f t="shared" si="4106"/>
        <v>0.37442270551683599</v>
      </c>
      <c r="BE1076" s="840">
        <f t="shared" si="4106"/>
        <v>0.41739926739926742</v>
      </c>
      <c r="BF1076" s="840"/>
      <c r="BG1076" s="840">
        <f t="shared" ref="BG1076:BJ1076" si="4107">+BG1071/BG1057</f>
        <v>0.37442270551683599</v>
      </c>
      <c r="BH1076" s="840">
        <f t="shared" si="4107"/>
        <v>0.41739926739926742</v>
      </c>
      <c r="BI1076" s="840">
        <f t="shared" si="4107"/>
        <v>0.4999672938970412</v>
      </c>
      <c r="BJ1076" s="840">
        <f t="shared" si="4107"/>
        <v>0.55437146585471941</v>
      </c>
      <c r="BK1076" s="840">
        <f t="shared" ref="BK1076:BL1077" si="4108">+BK1071/BK1057</f>
        <v>0.59904766985888447</v>
      </c>
      <c r="BL1076" s="840">
        <f t="shared" si="4108"/>
        <v>0.64940111736450412</v>
      </c>
      <c r="BM1076" s="840">
        <f t="shared" ref="BM1076:BN1076" si="4109">+BM1071/BM1057</f>
        <v>0.65280632159186858</v>
      </c>
      <c r="BN1076" s="840">
        <f t="shared" si="4109"/>
        <v>0.67354771220519505</v>
      </c>
      <c r="BO1076" s="840">
        <f t="shared" ref="BO1076" si="4110">+BO1071/BO1057</f>
        <v>0.67373259624394921</v>
      </c>
      <c r="BP1076" s="943"/>
      <c r="BT1076"/>
      <c r="BU1076"/>
      <c r="BV1076"/>
      <c r="BW1076"/>
      <c r="BX1076"/>
      <c r="BY1076"/>
      <c r="BZ1076"/>
      <c r="CA1076"/>
      <c r="CB1076"/>
      <c r="CC1076"/>
    </row>
    <row r="1077" spans="2:81" s="7" customFormat="1">
      <c r="B1077" s="841" t="str">
        <f t="shared" si="4095"/>
        <v>Total gross profit</v>
      </c>
      <c r="D1077" s="842">
        <f t="shared" ref="D1077:V1077" si="4111">+D1072/D1058</f>
        <v>0.65533237685318024</v>
      </c>
      <c r="E1077" s="842">
        <f t="shared" si="4111"/>
        <v>0.60907614936839183</v>
      </c>
      <c r="F1077" s="842">
        <f t="shared" si="4111"/>
        <v>0.64112097411349167</v>
      </c>
      <c r="G1077" s="842">
        <f t="shared" si="4111"/>
        <v>0.66009201669932693</v>
      </c>
      <c r="H1077" s="842">
        <f t="shared" si="4111"/>
        <v>0.64228383801532285</v>
      </c>
      <c r="I1077" s="842">
        <f t="shared" si="4111"/>
        <v>0.61662665530860372</v>
      </c>
      <c r="J1077" s="842">
        <f t="shared" si="4111"/>
        <v>0.65276581078752371</v>
      </c>
      <c r="K1077" s="842">
        <f t="shared" si="4111"/>
        <v>0.66975200156219483</v>
      </c>
      <c r="L1077" s="842">
        <f t="shared" si="4111"/>
        <v>0.66264569239546822</v>
      </c>
      <c r="M1077" s="842">
        <f t="shared" si="4111"/>
        <v>0.6174009267584204</v>
      </c>
      <c r="N1077" s="842">
        <f t="shared" si="4111"/>
        <v>0.65438681531749876</v>
      </c>
      <c r="O1077" s="842">
        <f t="shared" si="4111"/>
        <v>0.67618414492271894</v>
      </c>
      <c r="P1077" s="842">
        <f t="shared" si="4111"/>
        <v>0.65943474075092834</v>
      </c>
      <c r="Q1077" s="842">
        <f t="shared" si="4111"/>
        <v>0.61741246034923469</v>
      </c>
      <c r="R1077" s="842">
        <f t="shared" si="4111"/>
        <v>0.66733178502502366</v>
      </c>
      <c r="S1077" s="842">
        <f t="shared" si="4111"/>
        <v>0.69119435299700449</v>
      </c>
      <c r="T1077" s="842">
        <f t="shared" si="4111"/>
        <v>0.6851913477537438</v>
      </c>
      <c r="U1077" s="842">
        <f t="shared" si="4111"/>
        <v>0.66514929821709212</v>
      </c>
      <c r="V1077" s="842">
        <f t="shared" si="4111"/>
        <v>0.68661660146769077</v>
      </c>
      <c r="W1077" s="842">
        <f t="shared" ref="W1077:X1077" si="4112">+W1072/W1058</f>
        <v>0.67557121447164303</v>
      </c>
      <c r="X1077" s="842">
        <f t="shared" si="4112"/>
        <v>0.70388114334930285</v>
      </c>
      <c r="Y1077" s="842">
        <f t="shared" ref="Y1077:Z1077" si="4113">+Y1072/Y1058</f>
        <v>0.67048936762930633</v>
      </c>
      <c r="Z1077" s="842">
        <f t="shared" si="4113"/>
        <v>0.68721526878626582</v>
      </c>
      <c r="AA1077" s="842">
        <f t="shared" ref="AA1077:AB1077" si="4114">+AA1072/AA1058</f>
        <v>0.69684954064829263</v>
      </c>
      <c r="AB1077" s="842">
        <f t="shared" si="4114"/>
        <v>0.6988768012004325</v>
      </c>
      <c r="AC1077" s="842">
        <f t="shared" ref="AC1077:AD1077" si="4115">+AC1072/AC1058</f>
        <v>0.67213114754098358</v>
      </c>
      <c r="AD1077" s="842">
        <f t="shared" si="4115"/>
        <v>0.68365072933549431</v>
      </c>
      <c r="AE1077" s="842">
        <f t="shared" ref="AE1077:AF1077" si="4116">+AE1072/AE1058</f>
        <v>0.68323532247180174</v>
      </c>
      <c r="AF1077" s="842">
        <f t="shared" si="4116"/>
        <v>0.69171222217788597</v>
      </c>
      <c r="AG1077" s="842">
        <f t="shared" ref="AG1077" si="4117">+AG1072/AG1058</f>
        <v>0.66845507801391546</v>
      </c>
      <c r="AH1077" s="842">
        <f t="shared" ref="AH1077:AI1077" si="4118">+AH1072/AH1058</f>
        <v>0.69487485101311086</v>
      </c>
      <c r="AI1077" s="842">
        <f t="shared" si="4118"/>
        <v>0.70109807969531401</v>
      </c>
      <c r="AJ1077" s="842">
        <f t="shared" ref="AJ1077:AK1077" si="4119">+AJ1072/AJ1058</f>
        <v>0.71155581506449384</v>
      </c>
      <c r="AK1077" s="842">
        <f t="shared" si="4119"/>
        <v>0.68360206385037081</v>
      </c>
      <c r="AL1077" s="842">
        <f t="shared" ref="AL1077:AM1077" si="4120">+AL1072/AL1058</f>
        <v>0.70084710142584628</v>
      </c>
      <c r="AM1077" s="842">
        <f t="shared" si="4120"/>
        <v>0.69589197707293715</v>
      </c>
      <c r="AN1077" s="842">
        <f t="shared" ref="AN1077" si="4121">+AN1072/AN1058</f>
        <v>0.69354273080734929</v>
      </c>
      <c r="AO1077" s="842">
        <f t="shared" ref="AO1077:AQ1077" si="4122">+AO1072/AO1058</f>
        <v>0.68495388584327632</v>
      </c>
      <c r="AP1077" s="842">
        <f t="shared" si="4122"/>
        <v>0.70367836011510232</v>
      </c>
      <c r="AQ1077" s="842">
        <f t="shared" si="4122"/>
        <v>0.69855213434888064</v>
      </c>
      <c r="AR1077" s="842"/>
      <c r="AS1077" s="842">
        <f t="shared" ref="AS1077:BE1077" si="4123">+AS1072/AS1058</f>
        <v>0.84842163466371767</v>
      </c>
      <c r="AT1077" s="842">
        <f t="shared" si="4123"/>
        <v>0.82724357526760306</v>
      </c>
      <c r="AU1077" s="842">
        <f t="shared" si="4123"/>
        <v>0.79083369195258402</v>
      </c>
      <c r="AV1077" s="842">
        <f t="shared" si="4123"/>
        <v>0.80804369414101296</v>
      </c>
      <c r="AW1077" s="842">
        <f t="shared" si="4123"/>
        <v>0.79199822030562828</v>
      </c>
      <c r="AX1077" s="842">
        <f t="shared" si="4123"/>
        <v>0.80162921707957235</v>
      </c>
      <c r="AY1077" s="842">
        <f t="shared" si="4123"/>
        <v>0.77729007906438097</v>
      </c>
      <c r="AZ1077" s="842">
        <f t="shared" si="4123"/>
        <v>0.76221803236439101</v>
      </c>
      <c r="BA1077" s="842">
        <f t="shared" si="4123"/>
        <v>0.73814692545825888</v>
      </c>
      <c r="BB1077" s="842">
        <f t="shared" si="4123"/>
        <v>0.68816003132449644</v>
      </c>
      <c r="BC1077" s="842">
        <f t="shared" si="4123"/>
        <v>0.64695447745244705</v>
      </c>
      <c r="BD1077" s="842">
        <f t="shared" si="4123"/>
        <v>0.61579934364744493</v>
      </c>
      <c r="BE1077" s="842">
        <f t="shared" si="4123"/>
        <v>0.61911061700944969</v>
      </c>
      <c r="BF1077" s="842"/>
      <c r="BG1077" s="842">
        <f>+BG1072/BG1058</f>
        <v>0.64038879259275516</v>
      </c>
      <c r="BH1077" s="842">
        <f>+BH1072/BH1058</f>
        <v>0.64522475691460168</v>
      </c>
      <c r="BI1077" s="842">
        <f>+BI1072/BI1058</f>
        <v>0.65247372236317502</v>
      </c>
      <c r="BJ1077" s="842">
        <f>+BJ1072/BJ1058</f>
        <v>0.65901957200638894</v>
      </c>
      <c r="BK1077" s="842">
        <f t="shared" si="4108"/>
        <v>0.67781001992797962</v>
      </c>
      <c r="BL1077" s="842">
        <f t="shared" si="4108"/>
        <v>0.68925800771024703</v>
      </c>
      <c r="BM1077" s="842">
        <f t="shared" ref="BM1077:BP1077" si="4124">+BM1072/BM1058</f>
        <v>0.68401674484289099</v>
      </c>
      <c r="BN1077" s="842">
        <f t="shared" ref="BN1077:BO1077" si="4125">+BN1072/BN1058</f>
        <v>0.68920085883491022</v>
      </c>
      <c r="BO1077" s="842">
        <f t="shared" si="4125"/>
        <v>0.69764443827971379</v>
      </c>
      <c r="BP1077" s="842">
        <f t="shared" si="4124"/>
        <v>0.69528195159868067</v>
      </c>
      <c r="BT1077"/>
      <c r="BU1077"/>
      <c r="BV1077"/>
      <c r="BW1077"/>
      <c r="BX1077"/>
      <c r="BY1077"/>
      <c r="BZ1077"/>
      <c r="CA1077"/>
      <c r="CB1077"/>
      <c r="CC1077"/>
    </row>
    <row r="1078" spans="2:81">
      <c r="B1078" s="878"/>
      <c r="D1078" s="8"/>
      <c r="E1078" s="8"/>
      <c r="F1078" s="8"/>
      <c r="G1078" s="8"/>
      <c r="H1078" s="8"/>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8"/>
      <c r="AQ1078" s="8"/>
      <c r="AS1078" s="8"/>
      <c r="AT1078" s="8"/>
      <c r="AU1078" s="8"/>
      <c r="AV1078" s="8"/>
      <c r="AW1078" s="8"/>
      <c r="AX1078" s="8"/>
      <c r="AY1078" s="8"/>
      <c r="AZ1078" s="8"/>
      <c r="BA1078" s="8"/>
      <c r="BB1078" s="8"/>
      <c r="BC1078" s="8"/>
      <c r="BD1078" s="8"/>
      <c r="BE1078" s="8"/>
      <c r="BF1078" s="8"/>
      <c r="BG1078" s="11"/>
      <c r="BH1078" s="11"/>
      <c r="BI1078" s="11"/>
      <c r="BJ1078" s="11"/>
      <c r="BK1078" s="11"/>
      <c r="BL1078" s="11"/>
      <c r="BM1078" s="11"/>
      <c r="BN1078" s="11"/>
      <c r="BO1078" s="11"/>
      <c r="BP1078" s="11"/>
    </row>
    <row r="1079" spans="2:81">
      <c r="B1079" s="878" t="s">
        <v>549</v>
      </c>
      <c r="D1079" s="879">
        <v>2962</v>
      </c>
      <c r="E1079" s="879">
        <v>2900</v>
      </c>
      <c r="F1079" s="879">
        <v>2980</v>
      </c>
      <c r="G1079" s="879">
        <v>3146</v>
      </c>
      <c r="H1079" s="879">
        <v>3106</v>
      </c>
      <c r="I1079" s="879">
        <v>3062</v>
      </c>
      <c r="J1079" s="879">
        <v>3355</v>
      </c>
      <c r="K1079" s="879">
        <v>3514</v>
      </c>
      <c r="L1079" s="879">
        <v>3574</v>
      </c>
      <c r="M1079" s="879">
        <v>3504</v>
      </c>
      <c r="N1079" s="879">
        <v>3715</v>
      </c>
      <c r="O1079" s="879">
        <v>3933</v>
      </c>
      <c r="P1079" s="879">
        <v>3977</v>
      </c>
      <c r="Q1079" s="879">
        <v>4070</v>
      </c>
      <c r="R1079" s="879">
        <v>4316</v>
      </c>
      <c r="S1079" s="879">
        <v>4513</v>
      </c>
      <c r="T1079" s="879">
        <v>4565</v>
      </c>
      <c r="U1079" s="879">
        <v>4603</v>
      </c>
      <c r="V1079" s="879">
        <v>4887</v>
      </c>
      <c r="W1079" s="879">
        <v>5214</v>
      </c>
      <c r="X1079" s="879">
        <v>4926</v>
      </c>
      <c r="Y1079" s="879">
        <v>4899</v>
      </c>
      <c r="Z1079" s="879">
        <v>5204</v>
      </c>
      <c r="AA1079" s="879">
        <v>5687</v>
      </c>
      <c r="AB1079" s="879">
        <v>5599</v>
      </c>
      <c r="AC1079" s="879">
        <v>5758</v>
      </c>
      <c r="AD1079" s="879">
        <v>6306</v>
      </c>
      <c r="AE1079" s="879">
        <v>6849</v>
      </c>
      <c r="AF1079" s="879">
        <v>6628</v>
      </c>
      <c r="AG1079" s="879">
        <v>6844</v>
      </c>
      <c r="AH1079" s="879">
        <v>6984</v>
      </c>
      <c r="AI1079" s="879">
        <v>6739</v>
      </c>
      <c r="AJ1079" s="879">
        <v>6659</v>
      </c>
      <c r="AK1079" s="879">
        <v>7142</v>
      </c>
      <c r="AL1079" s="879">
        <v>7653</v>
      </c>
      <c r="AM1079" s="879">
        <v>8056</v>
      </c>
      <c r="AN1079" s="879">
        <v>7544</v>
      </c>
      <c r="AO1079" s="879"/>
      <c r="AP1079" s="879"/>
      <c r="AQ1079" s="879"/>
      <c r="AS1079" s="879">
        <v>6097</v>
      </c>
      <c r="AT1079" s="879">
        <v>6584</v>
      </c>
      <c r="AU1079" s="879">
        <v>7121</v>
      </c>
      <c r="AV1079" s="879">
        <v>8164</v>
      </c>
      <c r="AW1079" s="879">
        <v>9010</v>
      </c>
      <c r="AX1079" s="879">
        <v>8714</v>
      </c>
      <c r="AY1079" s="879">
        <v>9043</v>
      </c>
      <c r="AZ1079" s="879">
        <v>9811</v>
      </c>
      <c r="BA1079" s="879">
        <v>10411</v>
      </c>
      <c r="BB1079" s="879">
        <v>11381</v>
      </c>
      <c r="BC1079" s="879">
        <v>12046</v>
      </c>
      <c r="BD1079" s="879">
        <v>11988</v>
      </c>
      <c r="BE1079" s="879">
        <v>13037</v>
      </c>
      <c r="BF1079" s="879"/>
      <c r="BG1079" s="880">
        <f t="shared" ref="BG1079:BG1087" si="4126">+SUM(D1079:G1079)</f>
        <v>11988</v>
      </c>
      <c r="BH1079" s="880">
        <f t="shared" ref="BH1079:BH1087" si="4127">+SUM(H1079:K1079)</f>
        <v>13037</v>
      </c>
      <c r="BI1079" s="880">
        <f t="shared" ref="BI1079:BI1087" si="4128">+SUM(L1079:O1079)</f>
        <v>14726</v>
      </c>
      <c r="BJ1079" s="880">
        <v>16876</v>
      </c>
      <c r="BK1079" s="880">
        <f>SUM(T1079:W1079)</f>
        <v>19269</v>
      </c>
      <c r="BL1079" s="880">
        <f t="shared" ref="BL1079:BL1082" si="4129">SUM(X1079:AA1079)</f>
        <v>20716</v>
      </c>
      <c r="BM1079" s="880">
        <f t="shared" ref="BM1079:BM1082" si="4130">SUM(AB1079:AE1079)</f>
        <v>24512</v>
      </c>
      <c r="BN1079" s="880">
        <f t="shared" ref="BN1079:BN1082" si="4131">SUM(AF1079:AI1079)</f>
        <v>27195</v>
      </c>
      <c r="BO1079" s="880">
        <f t="shared" ref="BO1079:BO1087" si="4132">SUM(AJ1079:AM1079)</f>
        <v>29510</v>
      </c>
      <c r="BP1079" s="880"/>
    </row>
    <row r="1080" spans="2:81">
      <c r="B1080" s="878" t="s">
        <v>508</v>
      </c>
      <c r="D1080" s="879">
        <v>3341</v>
      </c>
      <c r="E1080" s="879">
        <v>3954</v>
      </c>
      <c r="F1080" s="879">
        <v>3398</v>
      </c>
      <c r="G1080" s="879">
        <v>3942</v>
      </c>
      <c r="H1080" s="879">
        <v>3218</v>
      </c>
      <c r="I1080" s="879">
        <v>4079</v>
      </c>
      <c r="J1080" s="879">
        <v>3872</v>
      </c>
      <c r="K1080" s="879">
        <v>4292</v>
      </c>
      <c r="L1080" s="879">
        <v>3812</v>
      </c>
      <c r="M1080" s="879">
        <v>4562</v>
      </c>
      <c r="N1080" s="879">
        <v>4335</v>
      </c>
      <c r="O1080" s="879">
        <v>4760</v>
      </c>
      <c r="P1080" s="879">
        <v>4098</v>
      </c>
      <c r="Q1080" s="879">
        <v>4588</v>
      </c>
      <c r="R1080" s="879">
        <v>4565</v>
      </c>
      <c r="S1080" s="879">
        <v>4962</v>
      </c>
      <c r="T1080" s="879">
        <v>4337</v>
      </c>
      <c r="U1080" s="879">
        <v>4933</v>
      </c>
      <c r="V1080" s="879">
        <v>4911</v>
      </c>
      <c r="W1080" s="879">
        <v>5417</v>
      </c>
      <c r="X1080" s="879">
        <v>4231</v>
      </c>
      <c r="Y1080" s="879">
        <v>4947</v>
      </c>
      <c r="Z1080" s="879">
        <v>5082</v>
      </c>
      <c r="AA1080" s="879">
        <v>5857</v>
      </c>
      <c r="AB1080" s="879">
        <v>4547</v>
      </c>
      <c r="AC1080" s="879">
        <v>5379</v>
      </c>
      <c r="AD1080" s="879">
        <v>5595</v>
      </c>
      <c r="AE1080" s="879">
        <v>6304</v>
      </c>
      <c r="AF1080" s="879">
        <v>5126</v>
      </c>
      <c r="AG1080" s="879">
        <v>5679</v>
      </c>
      <c r="AH1080" s="879">
        <v>5750</v>
      </c>
      <c r="AI1080" s="879">
        <v>6204</v>
      </c>
      <c r="AJ1080" s="879">
        <v>5187</v>
      </c>
      <c r="AK1080" s="879">
        <v>6246</v>
      </c>
      <c r="AL1080" s="879">
        <v>6207</v>
      </c>
      <c r="AM1080" s="879">
        <v>6816</v>
      </c>
      <c r="AN1080" s="879">
        <v>5717</v>
      </c>
      <c r="AO1080" s="879"/>
      <c r="AP1080" s="879"/>
      <c r="AQ1080" s="879"/>
      <c r="AS1080" s="879">
        <v>8548</v>
      </c>
      <c r="AT1080" s="879">
        <v>9910</v>
      </c>
      <c r="AU1080" s="879">
        <v>11541</v>
      </c>
      <c r="AV1080" s="879">
        <v>13260</v>
      </c>
      <c r="AW1080" s="879">
        <v>12879</v>
      </c>
      <c r="AX1080" s="879">
        <v>13214</v>
      </c>
      <c r="AY1080" s="879">
        <v>13940</v>
      </c>
      <c r="AZ1080" s="879">
        <v>13857</v>
      </c>
      <c r="BA1080" s="879">
        <v>15276</v>
      </c>
      <c r="BB1080" s="879">
        <v>15811</v>
      </c>
      <c r="BC1080" s="879">
        <v>15713</v>
      </c>
      <c r="BD1080" s="879">
        <v>14697</v>
      </c>
      <c r="BE1080" s="879">
        <v>15539</v>
      </c>
      <c r="BF1080" s="879"/>
      <c r="BG1080" s="880">
        <f t="shared" si="4126"/>
        <v>14635</v>
      </c>
      <c r="BH1080" s="880">
        <f t="shared" si="4127"/>
        <v>15461</v>
      </c>
      <c r="BI1080" s="880">
        <f t="shared" si="4128"/>
        <v>17469</v>
      </c>
      <c r="BJ1080" s="880">
        <v>18213</v>
      </c>
      <c r="BK1080" s="880">
        <f>SUM(T1080:W1080)</f>
        <v>19598</v>
      </c>
      <c r="BL1080" s="880">
        <f t="shared" si="4129"/>
        <v>20117</v>
      </c>
      <c r="BM1080" s="880">
        <f t="shared" si="4130"/>
        <v>21825</v>
      </c>
      <c r="BN1080" s="880">
        <f t="shared" si="4131"/>
        <v>22759</v>
      </c>
      <c r="BO1080" s="880">
        <f t="shared" si="4132"/>
        <v>24456</v>
      </c>
      <c r="BP1080" s="880"/>
    </row>
    <row r="1081" spans="2:81">
      <c r="B1081" s="878" t="s">
        <v>550</v>
      </c>
      <c r="D1081" s="879">
        <v>1084</v>
      </c>
      <c r="E1081" s="879">
        <v>1038</v>
      </c>
      <c r="F1081" s="879">
        <v>1140</v>
      </c>
      <c r="G1081" s="879">
        <v>1301</v>
      </c>
      <c r="H1081" s="879">
        <v>1045</v>
      </c>
      <c r="I1081" s="879">
        <v>879</v>
      </c>
      <c r="J1081" s="879">
        <v>1202</v>
      </c>
      <c r="K1081" s="879">
        <v>1355</v>
      </c>
      <c r="L1081" s="879">
        <v>1166</v>
      </c>
      <c r="M1081" s="879">
        <v>1109</v>
      </c>
      <c r="N1081" s="879">
        <v>1208</v>
      </c>
      <c r="O1081" s="879">
        <v>1271</v>
      </c>
      <c r="P1081" s="879">
        <v>1149</v>
      </c>
      <c r="Q1081" s="879">
        <v>1132</v>
      </c>
      <c r="R1081" s="879">
        <v>1179</v>
      </c>
      <c r="S1081" s="879">
        <v>1425</v>
      </c>
      <c r="T1081" s="879">
        <v>1061</v>
      </c>
      <c r="U1081" s="879">
        <v>1121</v>
      </c>
      <c r="V1081" s="879">
        <v>1273</v>
      </c>
      <c r="W1081" s="879">
        <v>1656</v>
      </c>
      <c r="X1081" s="879">
        <v>1119</v>
      </c>
      <c r="Y1081" s="879">
        <v>1139</v>
      </c>
      <c r="Z1081" s="879">
        <v>1327</v>
      </c>
      <c r="AA1081" s="879">
        <v>1522</v>
      </c>
      <c r="AB1081" s="879">
        <v>1287</v>
      </c>
      <c r="AC1081" s="879">
        <v>1384</v>
      </c>
      <c r="AD1081" s="879">
        <v>1480</v>
      </c>
      <c r="AE1081" s="879">
        <v>1749</v>
      </c>
      <c r="AF1081" s="879">
        <v>1398</v>
      </c>
      <c r="AG1081" s="879">
        <v>2337</v>
      </c>
      <c r="AH1081" s="879">
        <v>1643</v>
      </c>
      <c r="AI1081" s="879">
        <v>2197</v>
      </c>
      <c r="AJ1081" s="879">
        <v>1474</v>
      </c>
      <c r="AK1081" s="879">
        <v>1977</v>
      </c>
      <c r="AL1081" s="879">
        <v>1912</v>
      </c>
      <c r="AM1081" s="879">
        <v>2246</v>
      </c>
      <c r="AN1081" s="879">
        <v>1673</v>
      </c>
      <c r="AO1081" s="879"/>
      <c r="AP1081" s="879"/>
      <c r="AQ1081" s="879"/>
      <c r="AS1081" s="879">
        <v>4536</v>
      </c>
      <c r="AT1081" s="879">
        <v>3758</v>
      </c>
      <c r="AU1081" s="879">
        <v>3329</v>
      </c>
      <c r="AV1081" s="879">
        <v>5127</v>
      </c>
      <c r="AW1081" s="879">
        <v>4030</v>
      </c>
      <c r="AX1081" s="879">
        <v>4063</v>
      </c>
      <c r="AY1081" s="879">
        <v>4222</v>
      </c>
      <c r="AZ1081" s="879">
        <v>4569</v>
      </c>
      <c r="BA1081" s="879">
        <v>5013</v>
      </c>
      <c r="BB1081" s="879">
        <v>4677</v>
      </c>
      <c r="BC1081" s="879">
        <v>4611</v>
      </c>
      <c r="BD1081" s="879">
        <v>4563</v>
      </c>
      <c r="BE1081" s="879">
        <v>4481</v>
      </c>
      <c r="BF1081" s="879"/>
      <c r="BG1081" s="880">
        <f t="shared" si="4126"/>
        <v>4563</v>
      </c>
      <c r="BH1081" s="880">
        <f t="shared" si="4127"/>
        <v>4481</v>
      </c>
      <c r="BI1081" s="880">
        <f t="shared" si="4128"/>
        <v>4754</v>
      </c>
      <c r="BJ1081" s="880">
        <v>4885</v>
      </c>
      <c r="BK1081" s="880">
        <f>SUM(T1081:W1081)</f>
        <v>5111</v>
      </c>
      <c r="BL1081" s="880">
        <f t="shared" si="4129"/>
        <v>5107</v>
      </c>
      <c r="BM1081" s="880">
        <f t="shared" si="4130"/>
        <v>5900</v>
      </c>
      <c r="BN1081" s="880">
        <f t="shared" si="4131"/>
        <v>7575</v>
      </c>
      <c r="BO1081" s="880">
        <f t="shared" si="4132"/>
        <v>7609</v>
      </c>
      <c r="BP1081" s="880"/>
    </row>
    <row r="1082" spans="2:81" ht="11.45">
      <c r="B1082" s="878" t="s">
        <v>551</v>
      </c>
      <c r="D1082" s="905">
        <v>0</v>
      </c>
      <c r="E1082" s="905">
        <v>0</v>
      </c>
      <c r="F1082" s="905">
        <v>0</v>
      </c>
      <c r="G1082" s="905">
        <v>1110</v>
      </c>
      <c r="H1082" s="905">
        <v>0</v>
      </c>
      <c r="I1082" s="905">
        <v>0</v>
      </c>
      <c r="J1082" s="905">
        <v>0</v>
      </c>
      <c r="K1082" s="905">
        <v>306</v>
      </c>
      <c r="L1082" s="905">
        <v>0</v>
      </c>
      <c r="M1082" s="905">
        <v>0</v>
      </c>
      <c r="N1082" s="905">
        <v>0</v>
      </c>
      <c r="O1082" s="905">
        <v>0</v>
      </c>
      <c r="P1082" s="905">
        <v>0</v>
      </c>
      <c r="Q1082" s="905">
        <v>0</v>
      </c>
      <c r="R1082" s="905">
        <v>0</v>
      </c>
      <c r="S1082" s="905">
        <v>0</v>
      </c>
      <c r="T1082" s="905">
        <v>0</v>
      </c>
      <c r="U1082" s="905">
        <v>0</v>
      </c>
      <c r="V1082" s="905">
        <v>0</v>
      </c>
      <c r="W1082" s="905">
        <v>0</v>
      </c>
      <c r="X1082" s="905">
        <v>0</v>
      </c>
      <c r="Y1082" s="905">
        <v>0</v>
      </c>
      <c r="Z1082" s="905">
        <v>0</v>
      </c>
      <c r="AA1082" s="905">
        <v>0</v>
      </c>
      <c r="AB1082" s="905">
        <v>0</v>
      </c>
      <c r="AC1082" s="905">
        <v>0</v>
      </c>
      <c r="AD1082" s="905">
        <v>0</v>
      </c>
      <c r="AE1082" s="905">
        <v>0</v>
      </c>
      <c r="AF1082" s="905">
        <v>0</v>
      </c>
      <c r="AG1082" s="905">
        <v>0</v>
      </c>
      <c r="AH1082" s="905">
        <v>0</v>
      </c>
      <c r="AI1082" s="905">
        <v>0</v>
      </c>
      <c r="AJ1082" s="905">
        <v>0</v>
      </c>
      <c r="AK1082" s="905">
        <v>0</v>
      </c>
      <c r="AL1082" s="905">
        <v>0</v>
      </c>
      <c r="AM1082" s="905">
        <v>0</v>
      </c>
      <c r="AN1082" s="905">
        <v>0</v>
      </c>
      <c r="AO1082" s="905"/>
      <c r="AP1082" s="905"/>
      <c r="AQ1082" s="905"/>
      <c r="AS1082" s="905">
        <v>0</v>
      </c>
      <c r="AT1082" s="905">
        <v>0</v>
      </c>
      <c r="AU1082" s="905">
        <v>0</v>
      </c>
      <c r="AV1082" s="905">
        <v>0</v>
      </c>
      <c r="AW1082" s="905">
        <v>0</v>
      </c>
      <c r="AX1082" s="905">
        <v>0</v>
      </c>
      <c r="AY1082" s="905">
        <v>0</v>
      </c>
      <c r="AZ1082" s="905">
        <v>6193</v>
      </c>
      <c r="BA1082" s="905">
        <v>0</v>
      </c>
      <c r="BB1082" s="30">
        <v>127</v>
      </c>
      <c r="BC1082" s="30">
        <v>10011</v>
      </c>
      <c r="BD1082" s="30">
        <v>1110</v>
      </c>
      <c r="BE1082" s="30">
        <v>306</v>
      </c>
      <c r="BF1082" s="30"/>
      <c r="BG1082" s="906">
        <f t="shared" si="4126"/>
        <v>1110</v>
      </c>
      <c r="BH1082" s="906">
        <f t="shared" si="4127"/>
        <v>306</v>
      </c>
      <c r="BI1082" s="906">
        <f t="shared" si="4128"/>
        <v>0</v>
      </c>
      <c r="BJ1082" s="906">
        <v>0</v>
      </c>
      <c r="BK1082" s="906">
        <f>SUM(T1082:W1082)</f>
        <v>0</v>
      </c>
      <c r="BL1082" s="906">
        <f t="shared" si="4129"/>
        <v>0</v>
      </c>
      <c r="BM1082" s="906">
        <f t="shared" si="4130"/>
        <v>0</v>
      </c>
      <c r="BN1082" s="906">
        <f t="shared" si="4131"/>
        <v>0</v>
      </c>
      <c r="BO1082" s="906">
        <f t="shared" si="4132"/>
        <v>0</v>
      </c>
      <c r="BP1082" s="906"/>
    </row>
    <row r="1083" spans="2:81">
      <c r="B1083" s="916" t="s">
        <v>552</v>
      </c>
      <c r="D1083" s="8">
        <f t="shared" ref="D1083:X1083" si="4133">+D1072-SUM(D1079:D1082)</f>
        <v>6316</v>
      </c>
      <c r="E1083" s="8">
        <f t="shared" si="4133"/>
        <v>7489</v>
      </c>
      <c r="F1083" s="8">
        <f t="shared" si="4133"/>
        <v>6277</v>
      </c>
      <c r="G1083" s="8">
        <f t="shared" si="4133"/>
        <v>5996</v>
      </c>
      <c r="H1083" s="8">
        <f t="shared" si="4133"/>
        <v>6715</v>
      </c>
      <c r="I1083" s="8">
        <f t="shared" si="4133"/>
        <v>7905</v>
      </c>
      <c r="J1083" s="8">
        <f t="shared" si="4133"/>
        <v>6723</v>
      </c>
      <c r="K1083" s="8">
        <f t="shared" si="4133"/>
        <v>7682</v>
      </c>
      <c r="L1083" s="8">
        <f t="shared" si="4133"/>
        <v>7708</v>
      </c>
      <c r="M1083" s="8">
        <f t="shared" si="4133"/>
        <v>8679</v>
      </c>
      <c r="N1083" s="8">
        <f t="shared" si="4133"/>
        <v>8292</v>
      </c>
      <c r="O1083" s="8">
        <f t="shared" si="4133"/>
        <v>10379</v>
      </c>
      <c r="P1083" s="8">
        <f t="shared" si="4133"/>
        <v>9955</v>
      </c>
      <c r="Q1083" s="8">
        <f t="shared" si="4133"/>
        <v>10258</v>
      </c>
      <c r="R1083" s="8">
        <f t="shared" si="4133"/>
        <v>10341</v>
      </c>
      <c r="S1083" s="8">
        <f t="shared" si="4133"/>
        <v>12405</v>
      </c>
      <c r="T1083" s="8">
        <f t="shared" si="4133"/>
        <v>12686</v>
      </c>
      <c r="U1083" s="8">
        <f t="shared" si="4133"/>
        <v>13891</v>
      </c>
      <c r="V1083" s="8">
        <f t="shared" si="4133"/>
        <v>12975</v>
      </c>
      <c r="W1083" s="8">
        <f t="shared" si="4133"/>
        <v>13407</v>
      </c>
      <c r="X1083" s="8">
        <f t="shared" si="4133"/>
        <v>15876</v>
      </c>
      <c r="Y1083" s="8">
        <f t="shared" ref="Y1083:AF1083" si="4134">+Y49</f>
        <v>17897</v>
      </c>
      <c r="Z1083" s="8">
        <f t="shared" si="4134"/>
        <v>17048</v>
      </c>
      <c r="AA1083" s="8">
        <f t="shared" si="4134"/>
        <v>19095</v>
      </c>
      <c r="AB1083" s="8">
        <f t="shared" si="4134"/>
        <v>20238</v>
      </c>
      <c r="AC1083" s="8">
        <f t="shared" si="4134"/>
        <v>22247</v>
      </c>
      <c r="AD1083" s="8">
        <f t="shared" si="4134"/>
        <v>20364</v>
      </c>
      <c r="AE1083" s="8">
        <f t="shared" si="4134"/>
        <v>20534</v>
      </c>
      <c r="AF1083" s="8">
        <f t="shared" si="4134"/>
        <v>21518</v>
      </c>
      <c r="AG1083" s="8">
        <f>+AG1072-AG1079-AG1080-AG1081-AG1082</f>
        <v>20399</v>
      </c>
      <c r="AH1083" s="8">
        <f>+AH49</f>
        <v>22352</v>
      </c>
      <c r="AI1083" s="8">
        <f>+AI49</f>
        <v>24254</v>
      </c>
      <c r="AJ1083" s="8">
        <f>+AJ49</f>
        <v>26895</v>
      </c>
      <c r="AK1083" s="8">
        <f>+AK1072-AK1079-AK1080-AK1081-AK1082</f>
        <v>27032</v>
      </c>
      <c r="AL1083" s="8">
        <f>+AL1072-AL1079-AL1080-AL1081-AL1082</f>
        <v>27581</v>
      </c>
      <c r="AM1083" s="8">
        <f>+AM1072-AM1079-AM1080-AM1081-AM1082</f>
        <v>27925</v>
      </c>
      <c r="AN1083" s="8">
        <f>+AN1072-AN1079-AN1080-AN1081-AN1082</f>
        <v>30552</v>
      </c>
      <c r="AO1083" s="8">
        <f>+AO49</f>
        <v>31872.765274016641</v>
      </c>
      <c r="AP1083" s="8">
        <f>+AP49</f>
        <v>32764.505813520242</v>
      </c>
      <c r="AQ1083" s="8">
        <f>+AQ49</f>
        <v>33501.755036249015</v>
      </c>
      <c r="AS1083" s="29">
        <f t="shared" ref="AS1083:BE1083" si="4135">+AS1072-SUM(AS1079:AS1082)</f>
        <v>14576</v>
      </c>
      <c r="AT1083" s="29">
        <f t="shared" si="4135"/>
        <v>16380</v>
      </c>
      <c r="AU1083" s="11">
        <f t="shared" si="4135"/>
        <v>18438</v>
      </c>
      <c r="AV1083" s="11">
        <f t="shared" si="4135"/>
        <v>22271</v>
      </c>
      <c r="AW1083" s="11">
        <f t="shared" si="4135"/>
        <v>20363</v>
      </c>
      <c r="AX1083" s="11">
        <f t="shared" si="4135"/>
        <v>24098</v>
      </c>
      <c r="AY1083" s="11">
        <f t="shared" si="4135"/>
        <v>27161</v>
      </c>
      <c r="AZ1083" s="11">
        <f t="shared" si="4135"/>
        <v>21763</v>
      </c>
      <c r="BA1083" s="11">
        <f t="shared" si="4135"/>
        <v>26764</v>
      </c>
      <c r="BB1083" s="11">
        <f t="shared" si="4135"/>
        <v>27759</v>
      </c>
      <c r="BC1083" s="11">
        <f t="shared" si="4135"/>
        <v>18161</v>
      </c>
      <c r="BD1083" s="11">
        <f t="shared" si="4135"/>
        <v>20182</v>
      </c>
      <c r="BE1083" s="11">
        <f t="shared" si="4135"/>
        <v>22326</v>
      </c>
      <c r="BF1083" s="11"/>
      <c r="BG1083" s="11">
        <f t="shared" si="4126"/>
        <v>26078</v>
      </c>
      <c r="BH1083" s="11">
        <f t="shared" si="4127"/>
        <v>29025</v>
      </c>
      <c r="BI1083" s="11">
        <f t="shared" si="4128"/>
        <v>35058</v>
      </c>
      <c r="BJ1083" s="11">
        <f>BJ1072-SUM(BJ1079:BJ1082)</f>
        <v>42959</v>
      </c>
      <c r="BK1083" s="11">
        <f>BK1072-SUM(BK1079:BK1082)</f>
        <v>52959</v>
      </c>
      <c r="BL1083" s="11">
        <f>BL1072-SUM(BL1079:BL1082)</f>
        <v>69916</v>
      </c>
      <c r="BM1083" s="11">
        <f>BM1072-SUM(BM1079:BM1082)</f>
        <v>83383</v>
      </c>
      <c r="BN1083" s="11">
        <f>SUM(AF1083:AI1083)</f>
        <v>88523</v>
      </c>
      <c r="BO1083" s="11">
        <f t="shared" si="4132"/>
        <v>109433</v>
      </c>
      <c r="BP1083" s="11">
        <f t="shared" ref="BP1083:BP1087" si="4136">+SUM(AN1083:AQ1083)</f>
        <v>128691.02612378589</v>
      </c>
    </row>
    <row r="1084" spans="2:81" ht="11.45">
      <c r="B1084" s="878" t="s">
        <v>553</v>
      </c>
      <c r="D1084" s="905">
        <v>-295</v>
      </c>
      <c r="E1084" s="905">
        <v>-176</v>
      </c>
      <c r="F1084" s="905">
        <v>-212</v>
      </c>
      <c r="G1084" s="905">
        <v>244</v>
      </c>
      <c r="H1084" s="905">
        <v>112</v>
      </c>
      <c r="I1084" s="905">
        <v>117</v>
      </c>
      <c r="J1084" s="905">
        <v>371</v>
      </c>
      <c r="K1084" s="905">
        <v>276</v>
      </c>
      <c r="L1084" s="905">
        <v>276</v>
      </c>
      <c r="M1084" s="905">
        <v>490</v>
      </c>
      <c r="N1084" s="905">
        <v>349</v>
      </c>
      <c r="O1084" s="905">
        <v>301</v>
      </c>
      <c r="P1084" s="905">
        <v>266</v>
      </c>
      <c r="Q1084" s="905">
        <v>127</v>
      </c>
      <c r="R1084" s="905">
        <v>145</v>
      </c>
      <c r="S1084" s="905">
        <f>+BJ1084-SUM(P1084:R1084)</f>
        <v>191</v>
      </c>
      <c r="T1084" s="905">
        <v>0</v>
      </c>
      <c r="U1084" s="905">
        <v>194</v>
      </c>
      <c r="V1084" s="905">
        <v>-132</v>
      </c>
      <c r="W1084" s="905">
        <v>15</v>
      </c>
      <c r="X1084" s="905">
        <v>248</v>
      </c>
      <c r="Y1084" s="905">
        <v>440</v>
      </c>
      <c r="Z1084" s="905">
        <v>188</v>
      </c>
      <c r="AA1084" s="905">
        <v>310</v>
      </c>
      <c r="AB1084" s="905">
        <v>286</v>
      </c>
      <c r="AC1084" s="905">
        <v>268</v>
      </c>
      <c r="AD1084" s="905">
        <v>-174</v>
      </c>
      <c r="AE1084" s="905">
        <v>-47</v>
      </c>
      <c r="AF1084" s="905">
        <v>54</v>
      </c>
      <c r="AG1084" s="905">
        <v>-60</v>
      </c>
      <c r="AH1084" s="905">
        <v>321</v>
      </c>
      <c r="AI1084" s="905">
        <v>473</v>
      </c>
      <c r="AJ1084" s="905">
        <v>389</v>
      </c>
      <c r="AK1084" s="905">
        <v>-506</v>
      </c>
      <c r="AL1084" s="905">
        <v>-854</v>
      </c>
      <c r="AM1084" s="905">
        <v>-675</v>
      </c>
      <c r="AN1084" s="905">
        <v>-283</v>
      </c>
      <c r="AO1084" s="906">
        <f>+AO71</f>
        <v>0</v>
      </c>
      <c r="AP1084" s="906">
        <f>+AP71</f>
        <v>0</v>
      </c>
      <c r="AQ1084" s="906">
        <f>+AQ71</f>
        <v>0</v>
      </c>
      <c r="AS1084" s="905">
        <v>2052</v>
      </c>
      <c r="AT1084" s="905">
        <v>1882</v>
      </c>
      <c r="AU1084" s="905">
        <v>1663</v>
      </c>
      <c r="AV1084" s="905">
        <v>1543</v>
      </c>
      <c r="AW1084" s="905">
        <v>-542</v>
      </c>
      <c r="AX1084" s="905">
        <v>915</v>
      </c>
      <c r="AY1084" s="905">
        <v>910</v>
      </c>
      <c r="AZ1084" s="905">
        <v>504</v>
      </c>
      <c r="BA1084" s="905">
        <v>288</v>
      </c>
      <c r="BB1084" s="30">
        <v>61</v>
      </c>
      <c r="BC1084" s="30">
        <v>346</v>
      </c>
      <c r="BD1084" s="30">
        <v>431</v>
      </c>
      <c r="BE1084" s="30">
        <v>-823</v>
      </c>
      <c r="BF1084" s="30"/>
      <c r="BG1084" s="906">
        <f t="shared" si="4126"/>
        <v>-439</v>
      </c>
      <c r="BH1084" s="906">
        <f t="shared" si="4127"/>
        <v>876</v>
      </c>
      <c r="BI1084" s="906">
        <f t="shared" si="4128"/>
        <v>1416</v>
      </c>
      <c r="BJ1084" s="906">
        <v>729</v>
      </c>
      <c r="BK1084" s="906">
        <f>SUM(T1084:W1084)</f>
        <v>77</v>
      </c>
      <c r="BL1084" s="906">
        <f>SUM(X1084:AA1084)</f>
        <v>1186</v>
      </c>
      <c r="BM1084" s="906">
        <f>SUM(AB1084:AE1084)</f>
        <v>333</v>
      </c>
      <c r="BN1084" s="906">
        <f>SUM(AF1084:AI1084)</f>
        <v>788</v>
      </c>
      <c r="BO1084" s="906">
        <f t="shared" si="4132"/>
        <v>-1646</v>
      </c>
      <c r="BP1084" s="906">
        <f t="shared" si="4136"/>
        <v>-283</v>
      </c>
    </row>
    <row r="1085" spans="2:81">
      <c r="B1085" s="916" t="s">
        <v>554</v>
      </c>
      <c r="D1085" s="8">
        <f t="shared" ref="D1085:Q1085" si="4137">+SUM(D1083:D1084)</f>
        <v>6021</v>
      </c>
      <c r="E1085" s="8">
        <f t="shared" si="4137"/>
        <v>7313</v>
      </c>
      <c r="F1085" s="8">
        <f t="shared" si="4137"/>
        <v>6065</v>
      </c>
      <c r="G1085" s="8">
        <f t="shared" si="4137"/>
        <v>6240</v>
      </c>
      <c r="H1085" s="8">
        <f t="shared" si="4137"/>
        <v>6827</v>
      </c>
      <c r="I1085" s="8">
        <f t="shared" si="4137"/>
        <v>8022</v>
      </c>
      <c r="J1085" s="8">
        <f t="shared" si="4137"/>
        <v>7094</v>
      </c>
      <c r="K1085" s="8">
        <f t="shared" si="4137"/>
        <v>7958</v>
      </c>
      <c r="L1085" s="8">
        <f t="shared" si="4137"/>
        <v>7984</v>
      </c>
      <c r="M1085" s="8">
        <f t="shared" si="4137"/>
        <v>9169</v>
      </c>
      <c r="N1085" s="8">
        <f t="shared" si="4137"/>
        <v>8641</v>
      </c>
      <c r="O1085" s="8">
        <f t="shared" si="4137"/>
        <v>10680</v>
      </c>
      <c r="P1085" s="8">
        <f t="shared" si="4137"/>
        <v>10221</v>
      </c>
      <c r="Q1085" s="8">
        <f t="shared" si="4137"/>
        <v>10385</v>
      </c>
      <c r="R1085" s="8">
        <f t="shared" ref="R1085:T1085" si="4138">+SUM(R1083:R1084)</f>
        <v>10486</v>
      </c>
      <c r="S1085" s="8">
        <f t="shared" si="4138"/>
        <v>12596</v>
      </c>
      <c r="T1085" s="8">
        <f t="shared" si="4138"/>
        <v>12686</v>
      </c>
      <c r="U1085" s="8">
        <f t="shared" ref="U1085" si="4139">+SUM(U1083:U1084)</f>
        <v>14085</v>
      </c>
      <c r="V1085" s="8">
        <f t="shared" ref="V1085:AA1085" si="4140">+SUM(V1083:V1084)</f>
        <v>12843</v>
      </c>
      <c r="W1085" s="8">
        <f t="shared" si="4140"/>
        <v>13422</v>
      </c>
      <c r="X1085" s="8">
        <f t="shared" si="4140"/>
        <v>16124</v>
      </c>
      <c r="Y1085" s="8">
        <f t="shared" si="4140"/>
        <v>18337</v>
      </c>
      <c r="Z1085" s="8">
        <f t="shared" si="4140"/>
        <v>17236</v>
      </c>
      <c r="AA1085" s="8">
        <f t="shared" si="4140"/>
        <v>19405</v>
      </c>
      <c r="AB1085" s="8">
        <f t="shared" ref="AB1085:AC1085" si="4141">+SUM(AB1083:AB1084)</f>
        <v>20524</v>
      </c>
      <c r="AC1085" s="8">
        <f t="shared" si="4141"/>
        <v>22515</v>
      </c>
      <c r="AD1085" s="8">
        <f t="shared" ref="AD1085:AE1085" si="4142">+SUM(AD1083:AD1084)</f>
        <v>20190</v>
      </c>
      <c r="AE1085" s="8">
        <f t="shared" si="4142"/>
        <v>20487</v>
      </c>
      <c r="AF1085" s="8">
        <f t="shared" ref="AF1085:AI1085" si="4143">+SUM(AF1083:AF1084)</f>
        <v>21572</v>
      </c>
      <c r="AG1085" s="8">
        <f t="shared" si="4143"/>
        <v>20339</v>
      </c>
      <c r="AH1085" s="8">
        <f t="shared" si="4143"/>
        <v>22673</v>
      </c>
      <c r="AI1085" s="8">
        <f t="shared" si="4143"/>
        <v>24727</v>
      </c>
      <c r="AJ1085" s="8">
        <f t="shared" ref="AJ1085:AM1085" si="4144">+SUM(AJ1083:AJ1084)</f>
        <v>27284</v>
      </c>
      <c r="AK1085" s="8">
        <f t="shared" si="4144"/>
        <v>26526</v>
      </c>
      <c r="AL1085" s="8">
        <f t="shared" si="4144"/>
        <v>26727</v>
      </c>
      <c r="AM1085" s="8">
        <f t="shared" si="4144"/>
        <v>27250</v>
      </c>
      <c r="AN1085" s="8">
        <f t="shared" ref="AN1085:AQ1085" si="4145">+SUM(AN1083:AN1084)</f>
        <v>30269</v>
      </c>
      <c r="AO1085" s="8">
        <f t="shared" si="4145"/>
        <v>31872.765274016641</v>
      </c>
      <c r="AP1085" s="8">
        <f t="shared" si="4145"/>
        <v>32764.505813520242</v>
      </c>
      <c r="AQ1085" s="8">
        <f t="shared" si="4145"/>
        <v>33501.755036249015</v>
      </c>
      <c r="AS1085" s="29">
        <f t="shared" ref="AS1085:BE1085" si="4146">+SUM(AS1083:AS1084)</f>
        <v>16628</v>
      </c>
      <c r="AT1085" s="29">
        <f t="shared" si="4146"/>
        <v>18262</v>
      </c>
      <c r="AU1085" s="11">
        <f t="shared" si="4146"/>
        <v>20101</v>
      </c>
      <c r="AV1085" s="11">
        <f t="shared" si="4146"/>
        <v>23814</v>
      </c>
      <c r="AW1085" s="11">
        <f t="shared" si="4146"/>
        <v>19821</v>
      </c>
      <c r="AX1085" s="11">
        <f t="shared" si="4146"/>
        <v>25013</v>
      </c>
      <c r="AY1085" s="11">
        <f t="shared" si="4146"/>
        <v>28071</v>
      </c>
      <c r="AZ1085" s="11">
        <f t="shared" si="4146"/>
        <v>22267</v>
      </c>
      <c r="BA1085" s="11">
        <f t="shared" si="4146"/>
        <v>27052</v>
      </c>
      <c r="BB1085" s="11">
        <f t="shared" si="4146"/>
        <v>27820</v>
      </c>
      <c r="BC1085" s="11">
        <f t="shared" si="4146"/>
        <v>18507</v>
      </c>
      <c r="BD1085" s="11">
        <f t="shared" si="4146"/>
        <v>20613</v>
      </c>
      <c r="BE1085" s="11">
        <f t="shared" si="4146"/>
        <v>21503</v>
      </c>
      <c r="BF1085" s="11"/>
      <c r="BG1085" s="11">
        <f t="shared" si="4126"/>
        <v>25639</v>
      </c>
      <c r="BH1085" s="11">
        <f t="shared" si="4127"/>
        <v>29901</v>
      </c>
      <c r="BI1085" s="11">
        <f t="shared" si="4128"/>
        <v>36474</v>
      </c>
      <c r="BJ1085" s="11">
        <f>+BJ1083+BJ1084</f>
        <v>43688</v>
      </c>
      <c r="BK1085" s="11">
        <f t="shared" ref="BK1085:BN1085" si="4147">+BK1083+BK1084</f>
        <v>53036</v>
      </c>
      <c r="BL1085" s="11">
        <f t="shared" si="4147"/>
        <v>71102</v>
      </c>
      <c r="BM1085" s="11">
        <f t="shared" si="4147"/>
        <v>83716</v>
      </c>
      <c r="BN1085" s="11">
        <f t="shared" si="4147"/>
        <v>89311</v>
      </c>
      <c r="BO1085" s="11">
        <f t="shared" si="4132"/>
        <v>107787</v>
      </c>
      <c r="BP1085" s="11">
        <f t="shared" si="4136"/>
        <v>128408.02612378589</v>
      </c>
    </row>
    <row r="1086" spans="2:81" ht="11.45">
      <c r="B1086" s="878" t="s">
        <v>555</v>
      </c>
      <c r="D1086" s="905">
        <v>952</v>
      </c>
      <c r="E1086" s="905">
        <v>1375</v>
      </c>
      <c r="F1086" s="905">
        <v>1760</v>
      </c>
      <c r="G1086" s="905">
        <v>1013</v>
      </c>
      <c r="H1086" s="905">
        <v>1160</v>
      </c>
      <c r="I1086" s="905">
        <v>1755</v>
      </c>
      <c r="J1086" s="905">
        <v>1608</v>
      </c>
      <c r="K1086" s="905">
        <v>-111</v>
      </c>
      <c r="L1086" s="905">
        <v>1408</v>
      </c>
      <c r="M1086" s="905">
        <v>15471</v>
      </c>
      <c r="N1086" s="905">
        <v>1217</v>
      </c>
      <c r="O1086" s="905">
        <v>1807</v>
      </c>
      <c r="P1086" s="905">
        <v>1397</v>
      </c>
      <c r="Q1086" s="905">
        <v>1965</v>
      </c>
      <c r="R1086" s="905">
        <v>1677</v>
      </c>
      <c r="S1086" s="905">
        <f>+BJ1086-SUM(P1086:R1086)</f>
        <v>-591</v>
      </c>
      <c r="T1086" s="905">
        <v>2008</v>
      </c>
      <c r="U1086" s="905">
        <v>2436</v>
      </c>
      <c r="V1086" s="905">
        <v>2091</v>
      </c>
      <c r="W1086" s="905">
        <v>2220</v>
      </c>
      <c r="X1086" s="905">
        <v>2231</v>
      </c>
      <c r="Y1086" s="905">
        <v>2874</v>
      </c>
      <c r="Z1086" s="905">
        <v>1779</v>
      </c>
      <c r="AA1086" s="905">
        <v>2947</v>
      </c>
      <c r="AB1086" s="905">
        <v>19</v>
      </c>
      <c r="AC1086" s="905">
        <v>3750</v>
      </c>
      <c r="AD1086" s="905">
        <v>3462</v>
      </c>
      <c r="AE1086" s="905">
        <v>3747</v>
      </c>
      <c r="AF1086" s="905">
        <v>4016</v>
      </c>
      <c r="AG1086" s="905">
        <v>3914</v>
      </c>
      <c r="AH1086" s="905">
        <v>4374</v>
      </c>
      <c r="AI1086" s="905">
        <v>4646</v>
      </c>
      <c r="AJ1086" s="905">
        <v>4993</v>
      </c>
      <c r="AK1086" s="905">
        <v>4656</v>
      </c>
      <c r="AL1086" s="905">
        <v>4788</v>
      </c>
      <c r="AM1086" s="905">
        <v>5214</v>
      </c>
      <c r="AN1086" s="905">
        <v>5602</v>
      </c>
      <c r="AO1086" s="906">
        <f>+AO73*-1</f>
        <v>6573.2132075434947</v>
      </c>
      <c r="AP1086" s="906">
        <f>+AP73*-1</f>
        <v>6760.4787208392509</v>
      </c>
      <c r="AQ1086" s="906">
        <f>+AQ73*-1</f>
        <v>6915.3010576122924</v>
      </c>
      <c r="AS1086" s="905">
        <v>4374</v>
      </c>
      <c r="AT1086" s="905">
        <v>5663</v>
      </c>
      <c r="AU1086" s="905">
        <v>6036</v>
      </c>
      <c r="AV1086" s="905">
        <v>6133</v>
      </c>
      <c r="AW1086" s="905">
        <v>5252</v>
      </c>
      <c r="AX1086" s="905">
        <v>6253</v>
      </c>
      <c r="AY1086" s="905">
        <v>4921</v>
      </c>
      <c r="AZ1086" s="905">
        <v>5289</v>
      </c>
      <c r="BA1086" s="905">
        <v>5189</v>
      </c>
      <c r="BB1086" s="30">
        <v>5746</v>
      </c>
      <c r="BC1086" s="30">
        <v>6314</v>
      </c>
      <c r="BD1086" s="30">
        <v>2953</v>
      </c>
      <c r="BE1086" s="30">
        <v>1945</v>
      </c>
      <c r="BF1086" s="30"/>
      <c r="BG1086" s="906">
        <f t="shared" si="4126"/>
        <v>5100</v>
      </c>
      <c r="BH1086" s="906">
        <f t="shared" si="4127"/>
        <v>4412</v>
      </c>
      <c r="BI1086" s="906">
        <f t="shared" si="4128"/>
        <v>19903</v>
      </c>
      <c r="BJ1086" s="906">
        <v>4448</v>
      </c>
      <c r="BK1086" s="906">
        <f>SUM(T1086:W1086)</f>
        <v>8755</v>
      </c>
      <c r="BL1086" s="906">
        <f>SUM(X1086:AA1086)</f>
        <v>9831</v>
      </c>
      <c r="BM1086" s="906">
        <f>SUM(AB1086:AE1086)</f>
        <v>10978</v>
      </c>
      <c r="BN1086" s="906">
        <f t="shared" ref="BN1086" si="4148">SUM(AF1086:AI1086)</f>
        <v>16950</v>
      </c>
      <c r="BO1086" s="906">
        <f t="shared" si="4132"/>
        <v>19651</v>
      </c>
      <c r="BP1086" s="906">
        <f t="shared" si="4136"/>
        <v>25850.992985995035</v>
      </c>
    </row>
    <row r="1087" spans="2:81">
      <c r="B1087" s="916" t="s">
        <v>142</v>
      </c>
      <c r="D1087" s="8">
        <f>+D1085-D1086</f>
        <v>5069</v>
      </c>
      <c r="E1087" s="8">
        <f t="shared" ref="E1087:W1087" si="4149">+E1085-E1086</f>
        <v>5938</v>
      </c>
      <c r="F1087" s="8">
        <f t="shared" si="4149"/>
        <v>4305</v>
      </c>
      <c r="G1087" s="8">
        <f t="shared" si="4149"/>
        <v>5227</v>
      </c>
      <c r="H1087" s="8">
        <f t="shared" si="4149"/>
        <v>5667</v>
      </c>
      <c r="I1087" s="8">
        <f t="shared" si="4149"/>
        <v>6267</v>
      </c>
      <c r="J1087" s="8">
        <f t="shared" si="4149"/>
        <v>5486</v>
      </c>
      <c r="K1087" s="8">
        <f t="shared" si="4149"/>
        <v>8069</v>
      </c>
      <c r="L1087" s="8">
        <f t="shared" si="4149"/>
        <v>6576</v>
      </c>
      <c r="M1087" s="8">
        <f t="shared" si="4149"/>
        <v>-6302</v>
      </c>
      <c r="N1087" s="8">
        <f t="shared" si="4149"/>
        <v>7424</v>
      </c>
      <c r="O1087" s="8">
        <f t="shared" si="4149"/>
        <v>8873</v>
      </c>
      <c r="P1087" s="8">
        <f t="shared" si="4149"/>
        <v>8824</v>
      </c>
      <c r="Q1087" s="8">
        <f t="shared" si="4149"/>
        <v>8420</v>
      </c>
      <c r="R1087" s="8">
        <f t="shared" si="4149"/>
        <v>8809</v>
      </c>
      <c r="S1087" s="8">
        <f t="shared" si="4149"/>
        <v>13187</v>
      </c>
      <c r="T1087" s="8">
        <f t="shared" si="4149"/>
        <v>10678</v>
      </c>
      <c r="U1087" s="8">
        <f t="shared" si="4149"/>
        <v>11649</v>
      </c>
      <c r="V1087" s="8">
        <f t="shared" si="4149"/>
        <v>10752</v>
      </c>
      <c r="W1087" s="11">
        <f t="shared" si="4149"/>
        <v>11202</v>
      </c>
      <c r="X1087" s="11">
        <f t="shared" ref="X1087:AA1087" si="4150">+X1085-X1086</f>
        <v>13893</v>
      </c>
      <c r="Y1087" s="11">
        <f t="shared" si="4150"/>
        <v>15463</v>
      </c>
      <c r="Z1087" s="11">
        <f t="shared" si="4150"/>
        <v>15457</v>
      </c>
      <c r="AA1087" s="11">
        <f t="shared" si="4150"/>
        <v>16458</v>
      </c>
      <c r="AB1087" s="11">
        <f t="shared" ref="AB1087:AC1087" si="4151">+AB1085-AB1086</f>
        <v>20505</v>
      </c>
      <c r="AC1087" s="11">
        <f t="shared" si="4151"/>
        <v>18765</v>
      </c>
      <c r="AD1087" s="11">
        <f t="shared" ref="AD1087:AE1087" si="4152">+AD1085-AD1086</f>
        <v>16728</v>
      </c>
      <c r="AE1087" s="11">
        <f t="shared" si="4152"/>
        <v>16740</v>
      </c>
      <c r="AF1087" s="11">
        <f t="shared" ref="AF1087:AI1087" si="4153">+AF1085-AF1086</f>
        <v>17556</v>
      </c>
      <c r="AG1087" s="11">
        <f t="shared" si="4153"/>
        <v>16425</v>
      </c>
      <c r="AH1087" s="11">
        <f t="shared" si="4153"/>
        <v>18299</v>
      </c>
      <c r="AI1087" s="11">
        <f t="shared" si="4153"/>
        <v>20081</v>
      </c>
      <c r="AJ1087" s="11">
        <f t="shared" ref="AJ1087:AM1087" si="4154">+AJ1085-AJ1086</f>
        <v>22291</v>
      </c>
      <c r="AK1087" s="11">
        <f t="shared" si="4154"/>
        <v>21870</v>
      </c>
      <c r="AL1087" s="11">
        <f t="shared" si="4154"/>
        <v>21939</v>
      </c>
      <c r="AM1087" s="11">
        <f t="shared" si="4154"/>
        <v>22036</v>
      </c>
      <c r="AN1087" s="11">
        <f t="shared" ref="AN1087:AQ1087" si="4155">+AN1085-AN1086</f>
        <v>24667</v>
      </c>
      <c r="AO1087" s="11">
        <f t="shared" si="4155"/>
        <v>25299.552066473145</v>
      </c>
      <c r="AP1087" s="11">
        <f t="shared" si="4155"/>
        <v>26004.02709268099</v>
      </c>
      <c r="AQ1087" s="11">
        <f t="shared" si="4155"/>
        <v>26586.453978636724</v>
      </c>
      <c r="AS1087" s="29">
        <f t="shared" ref="AS1087:BE1087" si="4156">+AS1085-AS1086</f>
        <v>12254</v>
      </c>
      <c r="AT1087" s="29">
        <f t="shared" si="4156"/>
        <v>12599</v>
      </c>
      <c r="AU1087" s="11">
        <f t="shared" si="4156"/>
        <v>14065</v>
      </c>
      <c r="AV1087" s="11">
        <f t="shared" si="4156"/>
        <v>17681</v>
      </c>
      <c r="AW1087" s="11">
        <f t="shared" si="4156"/>
        <v>14569</v>
      </c>
      <c r="AX1087" s="11">
        <f t="shared" si="4156"/>
        <v>18760</v>
      </c>
      <c r="AY1087" s="11">
        <f t="shared" si="4156"/>
        <v>23150</v>
      </c>
      <c r="AZ1087" s="11">
        <f t="shared" si="4156"/>
        <v>16978</v>
      </c>
      <c r="BA1087" s="11">
        <f t="shared" si="4156"/>
        <v>21863</v>
      </c>
      <c r="BB1087" s="11">
        <f t="shared" si="4156"/>
        <v>22074</v>
      </c>
      <c r="BC1087" s="11">
        <f t="shared" si="4156"/>
        <v>12193</v>
      </c>
      <c r="BD1087" s="11">
        <f t="shared" si="4156"/>
        <v>17660</v>
      </c>
      <c r="BE1087" s="11">
        <f t="shared" si="4156"/>
        <v>19558</v>
      </c>
      <c r="BF1087" s="11"/>
      <c r="BG1087" s="11">
        <f t="shared" si="4126"/>
        <v>20539</v>
      </c>
      <c r="BH1087" s="11">
        <f t="shared" si="4127"/>
        <v>25489</v>
      </c>
      <c r="BI1087" s="11">
        <f t="shared" si="4128"/>
        <v>16571</v>
      </c>
      <c r="BJ1087" s="11">
        <f>+BJ1085-BJ1086</f>
        <v>39240</v>
      </c>
      <c r="BK1087" s="11">
        <f t="shared" ref="BK1087:BN1087" si="4157">+BK1085-BK1086</f>
        <v>44281</v>
      </c>
      <c r="BL1087" s="11">
        <f t="shared" si="4157"/>
        <v>61271</v>
      </c>
      <c r="BM1087" s="11">
        <f t="shared" si="4157"/>
        <v>72738</v>
      </c>
      <c r="BN1087" s="11">
        <f t="shared" si="4157"/>
        <v>72361</v>
      </c>
      <c r="BO1087" s="11">
        <f t="shared" si="4132"/>
        <v>88136</v>
      </c>
      <c r="BP1087" s="11">
        <f t="shared" si="4136"/>
        <v>102557.03313779086</v>
      </c>
    </row>
    <row r="1088" spans="2:81">
      <c r="B1088" s="916"/>
      <c r="D1088" s="8"/>
      <c r="E1088" s="8"/>
      <c r="F1088" s="8"/>
      <c r="G1088" s="8"/>
      <c r="H1088" s="8"/>
      <c r="I1088" s="8"/>
      <c r="J1088" s="8"/>
      <c r="K1088" s="8"/>
      <c r="L1088" s="8"/>
      <c r="M1088" s="8"/>
      <c r="N1088" s="8"/>
      <c r="O1088" s="8"/>
      <c r="P1088" s="8"/>
      <c r="Q1088" s="8"/>
      <c r="R1088" s="8"/>
      <c r="S1088" s="8"/>
      <c r="T1088" s="8"/>
      <c r="U1088" s="8"/>
      <c r="V1088" s="8"/>
      <c r="W1088" s="11"/>
      <c r="X1088" s="11"/>
      <c r="Y1088" s="11"/>
      <c r="Z1088" s="11"/>
      <c r="AA1088" s="11"/>
      <c r="AB1088" s="11"/>
      <c r="AC1088" s="11"/>
      <c r="AD1088" s="11"/>
      <c r="AE1088" s="11"/>
      <c r="AF1088" s="11"/>
      <c r="AG1088" s="11"/>
      <c r="AH1088" s="11"/>
      <c r="AI1088" s="11"/>
      <c r="AJ1088" s="11"/>
      <c r="AK1088" s="11"/>
      <c r="AL1088" s="11"/>
      <c r="AM1088" s="11"/>
      <c r="AN1088" s="11"/>
      <c r="AO1088" s="11"/>
      <c r="AP1088" s="11"/>
      <c r="AQ1088" s="11"/>
      <c r="AS1088" s="29"/>
      <c r="AT1088" s="29"/>
      <c r="AU1088" s="29"/>
      <c r="AV1088" s="29"/>
      <c r="AW1088" s="29"/>
      <c r="AX1088" s="29"/>
      <c r="AY1088" s="29"/>
      <c r="AZ1088" s="29"/>
      <c r="BA1088" s="29"/>
      <c r="BB1088" s="11"/>
      <c r="BC1088" s="11"/>
      <c r="BD1088" s="11"/>
      <c r="BE1088" s="11"/>
      <c r="BF1088" s="11"/>
      <c r="BG1088" s="11"/>
      <c r="BH1088" s="11"/>
      <c r="BI1088" s="11"/>
      <c r="BJ1088" s="11"/>
      <c r="BK1088" s="11"/>
      <c r="BL1088" s="11"/>
      <c r="BM1088" s="11"/>
      <c r="BN1088" s="11"/>
      <c r="BO1088" s="11"/>
      <c r="BP1088" s="11"/>
    </row>
    <row r="1089" spans="2:81">
      <c r="B1089" s="944" t="s">
        <v>556</v>
      </c>
      <c r="W1089" s="100"/>
      <c r="X1089" s="100"/>
      <c r="Y1089" s="100"/>
      <c r="Z1089" s="100"/>
      <c r="AA1089" s="100"/>
      <c r="AB1089" s="100"/>
      <c r="AC1089" s="100"/>
      <c r="AD1089" s="100"/>
      <c r="AE1089" s="100"/>
      <c r="AF1089" s="100"/>
      <c r="AG1089" s="100"/>
      <c r="AH1089" s="100"/>
      <c r="AI1089" s="100"/>
      <c r="AJ1089" s="100"/>
      <c r="AK1089" s="100"/>
      <c r="AL1089" s="100"/>
      <c r="AM1089" s="100"/>
      <c r="AN1089" s="100"/>
      <c r="AO1089" s="100"/>
      <c r="AP1089" s="100"/>
      <c r="AQ1089" s="100"/>
    </row>
    <row r="1090" spans="2:81">
      <c r="B1090" s="878" t="s">
        <v>557</v>
      </c>
      <c r="D1090" s="879">
        <v>7996</v>
      </c>
      <c r="E1090" s="879">
        <v>7964</v>
      </c>
      <c r="F1090" s="879">
        <v>7895</v>
      </c>
      <c r="G1090" s="879">
        <v>7842</v>
      </c>
      <c r="H1090" s="879">
        <v>7789</v>
      </c>
      <c r="I1090" s="879">
        <v>7755</v>
      </c>
      <c r="J1090" s="879">
        <v>7725</v>
      </c>
      <c r="K1090" s="879">
        <v>7715</v>
      </c>
      <c r="L1090" s="879">
        <v>7708</v>
      </c>
      <c r="M1090" s="879">
        <v>7710</v>
      </c>
      <c r="N1090" s="879">
        <v>7698</v>
      </c>
      <c r="O1090" s="879">
        <v>7683</v>
      </c>
      <c r="P1090" s="879">
        <v>7673</v>
      </c>
      <c r="Q1090" s="879">
        <v>7692</v>
      </c>
      <c r="R1090" s="879">
        <v>7672</v>
      </c>
      <c r="S1090" s="879">
        <f>+BJ1090*4-SUM(P1090:R1090)</f>
        <v>7655</v>
      </c>
      <c r="T1090" s="879">
        <v>7634</v>
      </c>
      <c r="U1090" s="879">
        <f>+U1087/U1094</f>
        <v>7613.7254901960787</v>
      </c>
      <c r="V1090" s="879">
        <v>7602</v>
      </c>
      <c r="W1090" s="879">
        <v>7580</v>
      </c>
      <c r="X1090" s="879">
        <v>7566</v>
      </c>
      <c r="Y1090" s="879">
        <v>7555</v>
      </c>
      <c r="Z1090" s="879">
        <v>7539</v>
      </c>
      <c r="AA1090" s="879">
        <v>7527</v>
      </c>
      <c r="AB1090" s="879">
        <v>7513</v>
      </c>
      <c r="AC1090" s="879">
        <v>7505</v>
      </c>
      <c r="AD1090" s="879">
        <v>7493</v>
      </c>
      <c r="AE1090" s="879">
        <v>7474</v>
      </c>
      <c r="AF1090" s="879">
        <v>7457</v>
      </c>
      <c r="AG1090" s="879">
        <v>7451</v>
      </c>
      <c r="AH1090" s="879">
        <v>7441</v>
      </c>
      <c r="AI1090" s="879">
        <v>7434</v>
      </c>
      <c r="AJ1090" s="879">
        <v>7429</v>
      </c>
      <c r="AK1090" s="879">
        <v>7432</v>
      </c>
      <c r="AL1090" s="879">
        <v>7431</v>
      </c>
      <c r="AM1090" s="879">
        <v>7433</v>
      </c>
      <c r="AN1090" s="879">
        <v>7433</v>
      </c>
      <c r="AO1090" s="880"/>
      <c r="AP1090" s="880"/>
      <c r="AQ1090" s="880"/>
      <c r="AS1090" s="879">
        <v>7683</v>
      </c>
      <c r="AT1090" s="879">
        <v>7683</v>
      </c>
      <c r="AU1090" s="879">
        <v>7683</v>
      </c>
      <c r="AV1090" s="879">
        <v>7683</v>
      </c>
      <c r="AW1090" s="879">
        <v>7683</v>
      </c>
      <c r="AX1090" s="879">
        <v>7683</v>
      </c>
      <c r="AY1090" s="879">
        <v>7683</v>
      </c>
      <c r="AZ1090" s="879">
        <v>7683</v>
      </c>
      <c r="BA1090" s="879">
        <v>7683</v>
      </c>
      <c r="BB1090" s="879">
        <v>7683</v>
      </c>
      <c r="BC1090" s="879">
        <v>7683</v>
      </c>
      <c r="BD1090" s="879">
        <v>7746</v>
      </c>
      <c r="BE1090" s="879">
        <v>7700</v>
      </c>
      <c r="BF1090" s="879"/>
      <c r="BG1090" s="8">
        <f>+AVERAGE(D1090:G1090)</f>
        <v>7924.25</v>
      </c>
      <c r="BH1090" s="8">
        <f>+AVERAGE(H1090:K1090)</f>
        <v>7746</v>
      </c>
      <c r="BI1090" s="8">
        <f>+AVERAGE(L1090:O1090)</f>
        <v>7699.75</v>
      </c>
      <c r="BJ1090" s="8">
        <v>7673</v>
      </c>
      <c r="BK1090" s="8">
        <v>7610</v>
      </c>
      <c r="BL1090" s="8">
        <f>AVERAGE(X1090:AA1090)</f>
        <v>7546.75</v>
      </c>
      <c r="BM1090" s="8">
        <f>+BM1087/BM1094</f>
        <v>7497.3325607464167</v>
      </c>
      <c r="BN1090" s="8">
        <f t="shared" ref="BN1090:BO1090" si="4158">+BN1087/BN1094</f>
        <v>7445.1983224077021</v>
      </c>
      <c r="BO1090" s="8">
        <f t="shared" si="4158"/>
        <v>8502.9116415188073</v>
      </c>
      <c r="BP1090" s="8"/>
    </row>
    <row r="1091" spans="2:81" ht="10.5">
      <c r="B1091" s="878" t="s">
        <v>558</v>
      </c>
      <c r="D1091" s="879">
        <v>8084</v>
      </c>
      <c r="E1091" s="879">
        <v>8051</v>
      </c>
      <c r="F1091" s="879">
        <v>7985</v>
      </c>
      <c r="G1091" s="879">
        <v>7929</v>
      </c>
      <c r="H1091" s="879">
        <v>7876</v>
      </c>
      <c r="I1091" s="879">
        <v>7830</v>
      </c>
      <c r="J1091" s="879">
        <v>7813</v>
      </c>
      <c r="K1091" s="879">
        <v>7806</v>
      </c>
      <c r="L1091" s="879">
        <v>7799</v>
      </c>
      <c r="M1091" s="879">
        <v>7710</v>
      </c>
      <c r="N1091" s="879">
        <v>7794</v>
      </c>
      <c r="O1091" s="879">
        <v>7775</v>
      </c>
      <c r="P1091" s="879">
        <v>7766</v>
      </c>
      <c r="Q1091" s="879">
        <v>7768</v>
      </c>
      <c r="R1091" s="879">
        <v>7744</v>
      </c>
      <c r="S1091" s="879">
        <f>+BJ1091*4-SUM(P1091:R1091)</f>
        <v>7734</v>
      </c>
      <c r="T1091" s="879">
        <v>7710</v>
      </c>
      <c r="U1091" s="879">
        <f>+U1087/U1095</f>
        <v>7714.5695364238409</v>
      </c>
      <c r="V1091" s="879">
        <v>7675</v>
      </c>
      <c r="W1091" s="879">
        <v>7650</v>
      </c>
      <c r="X1091" s="879">
        <v>7637</v>
      </c>
      <c r="Y1091" s="879">
        <v>7616</v>
      </c>
      <c r="Z1091" s="879">
        <v>7597</v>
      </c>
      <c r="AA1091" s="879">
        <v>7581</v>
      </c>
      <c r="AB1091" s="879">
        <v>7567</v>
      </c>
      <c r="AC1091" s="879">
        <v>7555</v>
      </c>
      <c r="AD1091" s="879">
        <v>7534</v>
      </c>
      <c r="AE1091" s="879">
        <v>7506</v>
      </c>
      <c r="AF1091" s="879">
        <v>7485</v>
      </c>
      <c r="AG1091" s="879">
        <v>7473</v>
      </c>
      <c r="AH1091" s="879">
        <v>7464</v>
      </c>
      <c r="AI1091" s="879">
        <v>7467</v>
      </c>
      <c r="AJ1091" s="879">
        <v>7462</v>
      </c>
      <c r="AK1091" s="879">
        <v>7468</v>
      </c>
      <c r="AL1091" s="879">
        <v>7472</v>
      </c>
      <c r="AM1091" s="879">
        <v>7472</v>
      </c>
      <c r="AN1091" s="879">
        <v>7470</v>
      </c>
      <c r="AO1091" s="880"/>
      <c r="AP1091" s="880"/>
      <c r="AQ1091" s="880"/>
      <c r="AS1091" s="879">
        <v>7775</v>
      </c>
      <c r="AT1091" s="879">
        <v>7775</v>
      </c>
      <c r="AU1091" s="879">
        <v>7775</v>
      </c>
      <c r="AV1091" s="879">
        <v>7775</v>
      </c>
      <c r="AW1091" s="879">
        <v>7775</v>
      </c>
      <c r="AX1091" s="879">
        <v>7775</v>
      </c>
      <c r="AY1091" s="879">
        <v>7775</v>
      </c>
      <c r="AZ1091" s="879">
        <v>7775</v>
      </c>
      <c r="BA1091" s="879">
        <v>7775</v>
      </c>
      <c r="BB1091" s="879">
        <v>7775</v>
      </c>
      <c r="BC1091" s="879">
        <v>7775</v>
      </c>
      <c r="BD1091" s="879">
        <v>7832</v>
      </c>
      <c r="BE1091" s="879">
        <v>7794</v>
      </c>
      <c r="BF1091" s="879"/>
      <c r="BG1091" s="8">
        <f>+AVERAGE(D1091:G1091)</f>
        <v>8012.25</v>
      </c>
      <c r="BH1091" s="8">
        <f>+AVERAGE(H1091:K1091)</f>
        <v>7831.25</v>
      </c>
      <c r="BI1091" s="8">
        <f>+AVERAGE(L1091:O1091)</f>
        <v>7769.5</v>
      </c>
      <c r="BJ1091" s="8">
        <v>7753</v>
      </c>
      <c r="BK1091" s="8">
        <v>7683</v>
      </c>
      <c r="BL1091" s="8">
        <f>AVERAGE(X1091:AA1091)</f>
        <v>7607.75</v>
      </c>
      <c r="BM1091" s="8">
        <f>+BM1087/BM1095</f>
        <v>7542.2056774556859</v>
      </c>
      <c r="BN1091" s="8">
        <f t="shared" ref="BN1091:BO1091" si="4159">+BN1087/BN1095</f>
        <v>7471.9617651935523</v>
      </c>
      <c r="BO1091" s="8">
        <f t="shared" si="4159"/>
        <v>8535.2522699334822</v>
      </c>
      <c r="BP1091" s="8"/>
      <c r="BT1091" s="1"/>
      <c r="BU1091" s="1"/>
      <c r="BV1091" s="1"/>
      <c r="BW1091" s="1"/>
      <c r="BX1091" s="1"/>
      <c r="BY1091" s="1"/>
      <c r="BZ1091" s="1"/>
      <c r="CA1091" s="1"/>
      <c r="CB1091" s="1"/>
      <c r="CC1091" s="1"/>
    </row>
    <row r="1093" spans="2:81">
      <c r="B1093" s="944" t="s">
        <v>559</v>
      </c>
      <c r="W1093" s="100"/>
      <c r="X1093" s="100"/>
      <c r="Y1093" s="100"/>
      <c r="Z1093" s="100"/>
      <c r="AA1093" s="100"/>
      <c r="AB1093" s="100"/>
      <c r="AC1093" s="100"/>
      <c r="AD1093" s="100"/>
      <c r="AE1093" s="100"/>
      <c r="AF1093" s="100"/>
      <c r="AG1093" s="100"/>
      <c r="AH1093" s="100"/>
      <c r="AI1093" s="100"/>
      <c r="AJ1093" s="100"/>
      <c r="AK1093" s="100"/>
      <c r="AL1093" s="100"/>
      <c r="AM1093" s="100"/>
      <c r="AN1093" s="100"/>
      <c r="AO1093" s="100"/>
      <c r="AP1093" s="100"/>
      <c r="AQ1093" s="100"/>
    </row>
    <row r="1094" spans="2:81">
      <c r="B1094" s="878" t="s">
        <v>557</v>
      </c>
      <c r="D1094" s="9">
        <f t="shared" ref="D1094:R1094" si="4160">+D1087/D1090</f>
        <v>0.63394197098549276</v>
      </c>
      <c r="E1094" s="9">
        <f t="shared" si="4160"/>
        <v>0.74560522350577596</v>
      </c>
      <c r="F1094" s="9">
        <f t="shared" si="4160"/>
        <v>0.54528182393920199</v>
      </c>
      <c r="G1094" s="9">
        <f t="shared" si="4160"/>
        <v>0.66653914817648563</v>
      </c>
      <c r="H1094" s="9">
        <f t="shared" si="4160"/>
        <v>0.72756451405828737</v>
      </c>
      <c r="I1094" s="9">
        <f t="shared" si="4160"/>
        <v>0.80812379110251453</v>
      </c>
      <c r="J1094" s="9">
        <f t="shared" si="4160"/>
        <v>0.71016181229773467</v>
      </c>
      <c r="K1094" s="9">
        <f t="shared" si="4160"/>
        <v>1.0458846403110824</v>
      </c>
      <c r="L1094" s="9">
        <f t="shared" si="4160"/>
        <v>0.85313959522573946</v>
      </c>
      <c r="M1094" s="9">
        <f t="shared" si="4160"/>
        <v>-0.81738002594033721</v>
      </c>
      <c r="N1094" s="9">
        <f t="shared" si="4160"/>
        <v>0.9644063393089114</v>
      </c>
      <c r="O1094" s="9">
        <f t="shared" si="4160"/>
        <v>1.1548874137706624</v>
      </c>
      <c r="P1094" s="9">
        <f t="shared" si="4160"/>
        <v>1.1500065163560538</v>
      </c>
      <c r="Q1094" s="9">
        <f t="shared" si="4160"/>
        <v>1.09464378575143</v>
      </c>
      <c r="R1094" s="9">
        <f t="shared" si="4160"/>
        <v>1.1482012513034412</v>
      </c>
      <c r="S1094" s="9">
        <v>1.72</v>
      </c>
      <c r="T1094" s="9">
        <v>1.4</v>
      </c>
      <c r="U1094" s="9">
        <v>1.53</v>
      </c>
      <c r="V1094" s="9">
        <v>1.41</v>
      </c>
      <c r="W1094" s="945">
        <f t="shared" ref="W1094:AF1094" si="4161">+W1087/W1090</f>
        <v>1.4778364116094986</v>
      </c>
      <c r="X1094" s="945">
        <f t="shared" si="4161"/>
        <v>1.8362410785091197</v>
      </c>
      <c r="Y1094" s="945">
        <f t="shared" si="4161"/>
        <v>2.0467240238252811</v>
      </c>
      <c r="Z1094" s="945">
        <f t="shared" si="4161"/>
        <v>2.0502719193526993</v>
      </c>
      <c r="AA1094" s="945">
        <f t="shared" si="4161"/>
        <v>2.1865284974093266</v>
      </c>
      <c r="AB1094" s="945">
        <f t="shared" si="4161"/>
        <v>2.7292692666045522</v>
      </c>
      <c r="AC1094" s="945">
        <f t="shared" si="4161"/>
        <v>2.5003331112591605</v>
      </c>
      <c r="AD1094" s="945">
        <f t="shared" si="4161"/>
        <v>2.2324836514079807</v>
      </c>
      <c r="AE1094" s="945">
        <f t="shared" si="4161"/>
        <v>2.2397645169922398</v>
      </c>
      <c r="AF1094" s="945">
        <f t="shared" si="4161"/>
        <v>2.3542979750569932</v>
      </c>
      <c r="AG1094" s="945">
        <f t="shared" ref="AG1094:AH1094" si="4162">+AG1087/AG1090</f>
        <v>2.2044020936787008</v>
      </c>
      <c r="AH1094" s="945">
        <f t="shared" si="4162"/>
        <v>2.4592124714420103</v>
      </c>
      <c r="AI1094" s="945">
        <f t="shared" ref="AI1094:AJ1094" si="4163">+AI1087/AI1090</f>
        <v>2.7012375571697604</v>
      </c>
      <c r="AJ1094" s="945">
        <f t="shared" si="4163"/>
        <v>3.000538430475165</v>
      </c>
      <c r="AK1094" s="945">
        <f t="shared" ref="AK1094:AL1094" si="4164">+AK1087/AK1090</f>
        <v>2.9426803013993541</v>
      </c>
      <c r="AL1094" s="945">
        <f t="shared" si="4164"/>
        <v>2.952361727896649</v>
      </c>
      <c r="AM1094" s="945">
        <f t="shared" ref="AM1094:AN1094" si="4165">+AM1087/AM1090</f>
        <v>2.9646172474101977</v>
      </c>
      <c r="AN1094" s="945">
        <f t="shared" si="4165"/>
        <v>3.3185793084891699</v>
      </c>
      <c r="AO1094" s="945"/>
      <c r="AP1094" s="945"/>
      <c r="AQ1094" s="945"/>
      <c r="AS1094" s="9">
        <f t="shared" ref="AS1094:BE1094" si="4166">+AS1087/AS1090</f>
        <v>1.5949498893661329</v>
      </c>
      <c r="AT1094" s="9">
        <f t="shared" si="4166"/>
        <v>1.6398542236105689</v>
      </c>
      <c r="AU1094" s="9">
        <f t="shared" si="4166"/>
        <v>1.8306651047767799</v>
      </c>
      <c r="AV1094" s="9">
        <f t="shared" si="4166"/>
        <v>2.3013145906546923</v>
      </c>
      <c r="AW1094" s="9">
        <f t="shared" si="4166"/>
        <v>1.8962644800208253</v>
      </c>
      <c r="AX1094" s="9">
        <f t="shared" si="4166"/>
        <v>2.441754522972797</v>
      </c>
      <c r="AY1094" s="9">
        <f t="shared" si="4166"/>
        <v>3.0131459065469217</v>
      </c>
      <c r="AZ1094" s="9">
        <f t="shared" si="4166"/>
        <v>2.2098138747884941</v>
      </c>
      <c r="BA1094" s="9">
        <f t="shared" si="4166"/>
        <v>2.845633216191592</v>
      </c>
      <c r="BB1094" s="9">
        <f t="shared" si="4166"/>
        <v>2.8730964467005076</v>
      </c>
      <c r="BC1094" s="9">
        <f t="shared" si="4166"/>
        <v>1.5870102824417545</v>
      </c>
      <c r="BD1094" s="9">
        <f t="shared" si="4166"/>
        <v>2.2798863929770206</v>
      </c>
      <c r="BE1094" s="9">
        <f t="shared" si="4166"/>
        <v>2.54</v>
      </c>
      <c r="BF1094" s="9"/>
      <c r="BG1094" s="9">
        <f>+BG1087/BG1090</f>
        <v>2.5919172161403288</v>
      </c>
      <c r="BH1094" s="9">
        <f>+BH1087/BH1090</f>
        <v>3.2906016008262329</v>
      </c>
      <c r="BI1094" s="9">
        <f>+BI1087/BI1090</f>
        <v>2.1521477970063962</v>
      </c>
      <c r="BJ1094" s="9">
        <f>+BJ1087/BJ1090</f>
        <v>5.114036230939659</v>
      </c>
      <c r="BK1094" s="9">
        <f>SUM(T1094:W1094)</f>
        <v>5.8178364116094983</v>
      </c>
      <c r="BL1094" s="9">
        <f>+BL1087/BL1090</f>
        <v>8.1188591115380788</v>
      </c>
      <c r="BM1094" s="9">
        <f>+SUM(AB1094:AE1094)</f>
        <v>9.7018505462639339</v>
      </c>
      <c r="BN1094" s="9">
        <f t="shared" ref="BN1094:BN1095" si="4167">SUM(AF1094:AI1094)</f>
        <v>9.7191500973474643</v>
      </c>
      <c r="BO1094" s="9">
        <f t="shared" ref="BO1094:BO1095" si="4168">SUM(AG1094:AJ1094)</f>
        <v>10.365390552765637</v>
      </c>
      <c r="BP1094" s="9"/>
    </row>
    <row r="1095" spans="2:81">
      <c r="B1095" s="878" t="s">
        <v>558</v>
      </c>
      <c r="D1095" s="9">
        <f t="shared" ref="D1095:R1095" si="4169">+D1087/D1091</f>
        <v>0.62704106877783272</v>
      </c>
      <c r="E1095" s="9">
        <f t="shared" si="4169"/>
        <v>0.73754813066699787</v>
      </c>
      <c r="F1095" s="9">
        <f t="shared" si="4169"/>
        <v>0.53913587977457733</v>
      </c>
      <c r="G1095" s="9">
        <f t="shared" si="4169"/>
        <v>0.65922562744356161</v>
      </c>
      <c r="H1095" s="9">
        <f t="shared" si="4169"/>
        <v>0.71952767902488568</v>
      </c>
      <c r="I1095" s="9">
        <f t="shared" si="4169"/>
        <v>0.80038314176245207</v>
      </c>
      <c r="J1095" s="9">
        <f t="shared" si="4169"/>
        <v>0.70216306156405994</v>
      </c>
      <c r="K1095" s="9">
        <f t="shared" si="4169"/>
        <v>1.033692031770433</v>
      </c>
      <c r="L1095" s="9">
        <f t="shared" si="4169"/>
        <v>0.84318502372098991</v>
      </c>
      <c r="M1095" s="9">
        <f t="shared" si="4169"/>
        <v>-0.81738002594033721</v>
      </c>
      <c r="N1095" s="9">
        <f t="shared" si="4169"/>
        <v>0.95252758532204262</v>
      </c>
      <c r="O1095" s="9">
        <f t="shared" si="4169"/>
        <v>1.1412218649517685</v>
      </c>
      <c r="P1095" s="9">
        <f t="shared" si="4169"/>
        <v>1.1362348699459182</v>
      </c>
      <c r="Q1095" s="9">
        <f t="shared" si="4169"/>
        <v>1.0839340885684861</v>
      </c>
      <c r="R1095" s="9">
        <f t="shared" si="4169"/>
        <v>1.1375258264462811</v>
      </c>
      <c r="S1095" s="9">
        <v>1.71</v>
      </c>
      <c r="T1095" s="9">
        <v>1.38</v>
      </c>
      <c r="U1095" s="9">
        <v>1.51</v>
      </c>
      <c r="V1095" s="9">
        <v>1.4</v>
      </c>
      <c r="W1095" s="945">
        <f t="shared" ref="W1095:AF1095" si="4170">+W1087/W1091</f>
        <v>1.4643137254901961</v>
      </c>
      <c r="X1095" s="945">
        <f t="shared" si="4170"/>
        <v>1.8191698310855047</v>
      </c>
      <c r="Y1095" s="945">
        <f t="shared" si="4170"/>
        <v>2.0303308823529411</v>
      </c>
      <c r="Z1095" s="945">
        <f t="shared" si="4170"/>
        <v>2.0346189285244174</v>
      </c>
      <c r="AA1095" s="945">
        <f t="shared" si="4170"/>
        <v>2.1709537000395724</v>
      </c>
      <c r="AB1095" s="945">
        <f t="shared" si="4170"/>
        <v>2.7097925201532971</v>
      </c>
      <c r="AC1095" s="945">
        <f t="shared" si="4170"/>
        <v>2.4837855724685638</v>
      </c>
      <c r="AD1095" s="945">
        <f t="shared" si="4170"/>
        <v>2.2203344836740113</v>
      </c>
      <c r="AE1095" s="945">
        <f t="shared" si="4170"/>
        <v>2.2302158273381294</v>
      </c>
      <c r="AF1095" s="945">
        <f t="shared" si="4170"/>
        <v>2.3454909819639278</v>
      </c>
      <c r="AG1095" s="945">
        <f t="shared" ref="AG1095:AH1095" si="4171">+AG1087/AG1091</f>
        <v>2.1979124849458049</v>
      </c>
      <c r="AH1095" s="945">
        <f t="shared" si="4171"/>
        <v>2.4516345123258305</v>
      </c>
      <c r="AI1095" s="945">
        <f t="shared" ref="AI1095:AJ1095" si="4172">+AI1087/AI1091</f>
        <v>2.6892995848399623</v>
      </c>
      <c r="AJ1095" s="945">
        <f t="shared" si="4172"/>
        <v>2.9872688287322435</v>
      </c>
      <c r="AK1095" s="945">
        <f t="shared" ref="AK1095:AL1095" si="4173">+AK1087/AK1091</f>
        <v>2.9284949116229244</v>
      </c>
      <c r="AL1095" s="945">
        <f t="shared" si="4173"/>
        <v>2.936161670235546</v>
      </c>
      <c r="AM1095" s="945">
        <f t="shared" ref="AM1095:AN1095" si="4174">+AM1087/AM1091</f>
        <v>2.9491434689507496</v>
      </c>
      <c r="AN1095" s="945">
        <f t="shared" si="4174"/>
        <v>3.3021419009370816</v>
      </c>
      <c r="AO1095" s="945"/>
      <c r="AP1095" s="945"/>
      <c r="AQ1095" s="945"/>
      <c r="AS1095" s="9">
        <f t="shared" ref="AS1095:BE1095" si="4175">+AS1087/AS1091</f>
        <v>1.5760771704180063</v>
      </c>
      <c r="AT1095" s="9">
        <f t="shared" si="4175"/>
        <v>1.6204501607717041</v>
      </c>
      <c r="AU1095" s="9">
        <f t="shared" si="4175"/>
        <v>1.8090032154340836</v>
      </c>
      <c r="AV1095" s="9">
        <f t="shared" si="4175"/>
        <v>2.2740836012861738</v>
      </c>
      <c r="AW1095" s="9">
        <f t="shared" si="4175"/>
        <v>1.8738263665594854</v>
      </c>
      <c r="AX1095" s="9">
        <f t="shared" si="4175"/>
        <v>2.4128617363344049</v>
      </c>
      <c r="AY1095" s="9">
        <f t="shared" si="4175"/>
        <v>2.977491961414791</v>
      </c>
      <c r="AZ1095" s="9">
        <f t="shared" si="4175"/>
        <v>2.1836655948553054</v>
      </c>
      <c r="BA1095" s="9">
        <f t="shared" si="4175"/>
        <v>2.8119614147909968</v>
      </c>
      <c r="BB1095" s="9">
        <f t="shared" si="4175"/>
        <v>2.8390996784565918</v>
      </c>
      <c r="BC1095" s="9">
        <f t="shared" si="4175"/>
        <v>1.5682315112540193</v>
      </c>
      <c r="BD1095" s="9">
        <f t="shared" si="4175"/>
        <v>2.2548518896833505</v>
      </c>
      <c r="BE1095" s="9">
        <f t="shared" si="4175"/>
        <v>2.5093661791121376</v>
      </c>
      <c r="BF1095" s="9"/>
      <c r="BG1095" s="9">
        <f>+BG1087/BG1091</f>
        <v>2.5634497176198945</v>
      </c>
      <c r="BH1095" s="9">
        <f>+BH1087/BH1091</f>
        <v>3.2547805267358338</v>
      </c>
      <c r="BI1095" s="9">
        <f>+BI1087/BI1091</f>
        <v>2.1328270802496943</v>
      </c>
      <c r="BJ1095" s="9">
        <f>+BJ1087/BJ1091</f>
        <v>5.0612666064749128</v>
      </c>
      <c r="BK1095" s="9">
        <v>5.76</v>
      </c>
      <c r="BL1095" s="9">
        <f>+BL1087/BL1091</f>
        <v>8.0537609674345241</v>
      </c>
      <c r="BM1095" s="9">
        <f>+SUM(AB1095:AE1095)</f>
        <v>9.6441284036340011</v>
      </c>
      <c r="BN1095" s="9">
        <f t="shared" si="4167"/>
        <v>9.6843375640755269</v>
      </c>
      <c r="BO1095" s="9">
        <f t="shared" si="4168"/>
        <v>10.32611541084384</v>
      </c>
      <c r="BP1095" s="9"/>
    </row>
    <row r="1096" spans="2:81">
      <c r="B1096" s="878"/>
      <c r="D1096" s="9"/>
      <c r="E1096" s="9"/>
      <c r="F1096" s="9"/>
      <c r="G1096" s="9"/>
      <c r="H1096" s="9"/>
      <c r="I1096" s="9"/>
      <c r="J1096" s="9"/>
      <c r="K1096" s="9"/>
      <c r="L1096" s="9"/>
      <c r="M1096" s="9"/>
      <c r="N1096" s="9"/>
      <c r="O1096" s="9"/>
      <c r="P1096" s="9"/>
      <c r="Q1096" s="9"/>
      <c r="R1096" s="9"/>
      <c r="S1096" s="9"/>
      <c r="T1096" s="9"/>
      <c r="U1096" s="9"/>
      <c r="V1096" s="9"/>
      <c r="W1096" s="945"/>
      <c r="X1096" s="945"/>
      <c r="Y1096" s="945"/>
      <c r="Z1096" s="945"/>
      <c r="AA1096" s="945"/>
      <c r="AB1096" s="945"/>
      <c r="AC1096" s="945"/>
      <c r="AD1096" s="945"/>
      <c r="AE1096" s="945"/>
      <c r="AF1096" s="945"/>
      <c r="AG1096" s="945"/>
      <c r="AH1096" s="945"/>
      <c r="AI1096" s="945"/>
      <c r="AJ1096" s="945"/>
      <c r="AK1096" s="945"/>
      <c r="AL1096" s="945"/>
      <c r="AM1096" s="945"/>
      <c r="AN1096" s="945"/>
      <c r="AO1096" s="945"/>
      <c r="AP1096" s="945"/>
      <c r="AQ1096" s="945"/>
      <c r="AS1096" s="9"/>
      <c r="AT1096" s="9"/>
      <c r="AU1096" s="9"/>
      <c r="AV1096" s="9"/>
      <c r="AW1096" s="9"/>
      <c r="AX1096" s="9"/>
      <c r="AY1096" s="9"/>
      <c r="AZ1096" s="9"/>
      <c r="BA1096" s="9"/>
      <c r="BB1096" s="9"/>
      <c r="BC1096" s="9"/>
      <c r="BD1096" s="9"/>
      <c r="BE1096" s="9"/>
      <c r="BF1096" s="9"/>
      <c r="BG1096" s="9"/>
      <c r="BH1096" s="9"/>
      <c r="BI1096" s="9"/>
      <c r="BJ1096" s="9"/>
      <c r="BK1096" s="9"/>
      <c r="BL1096" s="9"/>
      <c r="BM1096" s="9"/>
      <c r="BN1096" s="9"/>
      <c r="BO1096" s="9"/>
      <c r="BP1096" s="9"/>
    </row>
    <row r="1097" spans="2:81" ht="10.5">
      <c r="B1097" s="910" t="s">
        <v>560</v>
      </c>
      <c r="T1097" s="9"/>
    </row>
    <row r="1098" spans="2:81">
      <c r="B1098" s="878" t="s">
        <v>86</v>
      </c>
      <c r="D1098" s="8">
        <f t="shared" ref="D1098:AI1098" si="4176">+D1058</f>
        <v>20910</v>
      </c>
      <c r="E1098" s="8">
        <f t="shared" si="4176"/>
        <v>25253</v>
      </c>
      <c r="F1098" s="8">
        <f t="shared" si="4176"/>
        <v>21517</v>
      </c>
      <c r="G1098" s="8">
        <f t="shared" si="4176"/>
        <v>23474</v>
      </c>
      <c r="H1098" s="8">
        <f t="shared" si="4176"/>
        <v>21928</v>
      </c>
      <c r="I1098" s="8">
        <f t="shared" si="4176"/>
        <v>25826</v>
      </c>
      <c r="J1098" s="8">
        <f t="shared" si="4176"/>
        <v>23212</v>
      </c>
      <c r="K1098" s="8">
        <f t="shared" si="4176"/>
        <v>25605</v>
      </c>
      <c r="L1098" s="8">
        <f t="shared" si="4176"/>
        <v>24538</v>
      </c>
      <c r="M1098" s="8">
        <f t="shared" si="4176"/>
        <v>28918</v>
      </c>
      <c r="N1098" s="8">
        <f t="shared" si="4176"/>
        <v>26819</v>
      </c>
      <c r="O1098" s="8">
        <f t="shared" si="4176"/>
        <v>30085</v>
      </c>
      <c r="P1098" s="8">
        <f t="shared" si="4176"/>
        <v>29084</v>
      </c>
      <c r="Q1098" s="8">
        <f t="shared" si="4176"/>
        <v>32471</v>
      </c>
      <c r="R1098" s="8">
        <f t="shared" si="4176"/>
        <v>30571</v>
      </c>
      <c r="S1098" s="8">
        <f t="shared" si="4176"/>
        <v>33717</v>
      </c>
      <c r="T1098" s="8">
        <f t="shared" si="4176"/>
        <v>33055</v>
      </c>
      <c r="U1098" s="8">
        <f t="shared" si="4176"/>
        <v>36906</v>
      </c>
      <c r="V1098" s="8">
        <f t="shared" si="4176"/>
        <v>35021</v>
      </c>
      <c r="W1098" s="8">
        <f t="shared" si="4176"/>
        <v>38033</v>
      </c>
      <c r="X1098" s="8">
        <f t="shared" si="4176"/>
        <v>37154</v>
      </c>
      <c r="Y1098" s="8">
        <f t="shared" si="4176"/>
        <v>43076</v>
      </c>
      <c r="Z1098" s="8">
        <f t="shared" si="4176"/>
        <v>41706</v>
      </c>
      <c r="AA1098" s="8">
        <f t="shared" si="4176"/>
        <v>46152</v>
      </c>
      <c r="AB1098" s="8">
        <f t="shared" si="4176"/>
        <v>45317</v>
      </c>
      <c r="AC1098" s="8">
        <f t="shared" si="4176"/>
        <v>51728</v>
      </c>
      <c r="AD1098" s="8">
        <f t="shared" si="4176"/>
        <v>49360</v>
      </c>
      <c r="AE1098" s="8">
        <f t="shared" si="4176"/>
        <v>51865</v>
      </c>
      <c r="AF1098" s="8">
        <f t="shared" si="4176"/>
        <v>50122</v>
      </c>
      <c r="AG1098" s="8">
        <f t="shared" si="4176"/>
        <v>52747</v>
      </c>
      <c r="AH1098" s="8">
        <f t="shared" si="4176"/>
        <v>52857</v>
      </c>
      <c r="AI1098" s="8">
        <f t="shared" si="4176"/>
        <v>56189</v>
      </c>
      <c r="AJ1098" s="8">
        <f t="shared" ref="AJ1098:AM1098" si="4177">+AJ1058</f>
        <v>56517</v>
      </c>
      <c r="AK1098" s="8">
        <f t="shared" si="4177"/>
        <v>62020</v>
      </c>
      <c r="AL1098" s="8">
        <f t="shared" si="4177"/>
        <v>61858</v>
      </c>
      <c r="AM1098" s="8">
        <f t="shared" si="4177"/>
        <v>64727</v>
      </c>
      <c r="AN1098" s="8">
        <f t="shared" ref="AN1098:AQ1098" si="4178">+AN1058</f>
        <v>65585</v>
      </c>
      <c r="AO1098" s="8">
        <f t="shared" si="4178"/>
        <v>68949.202353999994</v>
      </c>
      <c r="AP1098" s="8">
        <f t="shared" si="4178"/>
        <v>69681.275946197435</v>
      </c>
      <c r="AQ1098" s="8">
        <f t="shared" si="4178"/>
        <v>73728.672347064057</v>
      </c>
      <c r="AS1098" s="8"/>
      <c r="AT1098" s="8"/>
      <c r="AU1098" s="8"/>
      <c r="AV1098" s="8"/>
      <c r="AW1098" s="8"/>
      <c r="AX1098" s="8"/>
      <c r="AY1098" s="8">
        <f t="shared" ref="AY1098:BE1098" si="4179">+AY1058</f>
        <v>69943</v>
      </c>
      <c r="AZ1098" s="8">
        <f t="shared" si="4179"/>
        <v>73723</v>
      </c>
      <c r="BA1098" s="8">
        <f t="shared" si="4179"/>
        <v>77849</v>
      </c>
      <c r="BB1098" s="8">
        <f t="shared" si="4179"/>
        <v>86833</v>
      </c>
      <c r="BC1098" s="8">
        <f t="shared" si="4179"/>
        <v>93580</v>
      </c>
      <c r="BD1098" s="8">
        <f t="shared" si="4179"/>
        <v>85320</v>
      </c>
      <c r="BE1098" s="8">
        <f t="shared" si="4179"/>
        <v>89950</v>
      </c>
      <c r="BG1098" s="8">
        <f t="shared" ref="BG1098:BM1098" si="4180">+BG1058</f>
        <v>91154</v>
      </c>
      <c r="BH1098" s="8">
        <f t="shared" si="4180"/>
        <v>96571</v>
      </c>
      <c r="BI1098" s="8">
        <f t="shared" si="4180"/>
        <v>110360</v>
      </c>
      <c r="BJ1098" s="8">
        <f t="shared" si="4180"/>
        <v>125843</v>
      </c>
      <c r="BK1098" s="8">
        <f t="shared" si="4180"/>
        <v>143015</v>
      </c>
      <c r="BL1098" s="8">
        <f t="shared" si="4180"/>
        <v>168088</v>
      </c>
      <c r="BM1098" s="8">
        <f t="shared" si="4180"/>
        <v>198270</v>
      </c>
      <c r="BN1098" s="8">
        <f t="shared" ref="BN1098:BN1100" si="4181">SUM(AF1098:AI1098)</f>
        <v>211915</v>
      </c>
      <c r="BO1098" s="8">
        <f t="shared" ref="BO1098:BO1101" si="4182">SUM(AJ1098:AM1098)</f>
        <v>245122</v>
      </c>
      <c r="BP1098" s="8">
        <f t="shared" ref="BP1098:BP1101" si="4183">+SUM(AN1098:AQ1098)</f>
        <v>277944.15064726153</v>
      </c>
      <c r="BQ1098" s="8"/>
    </row>
    <row r="1099" spans="2:81">
      <c r="B1099" s="878" t="s">
        <v>561</v>
      </c>
      <c r="D1099" s="879">
        <v>0</v>
      </c>
      <c r="E1099" s="879">
        <v>0</v>
      </c>
      <c r="F1099" s="879">
        <v>0</v>
      </c>
      <c r="G1099" s="879">
        <v>0</v>
      </c>
      <c r="H1099" s="879">
        <v>0</v>
      </c>
      <c r="I1099" s="879">
        <v>0</v>
      </c>
      <c r="J1099" s="879">
        <v>0</v>
      </c>
      <c r="K1099" s="879">
        <v>0</v>
      </c>
      <c r="L1099" s="879">
        <v>0</v>
      </c>
      <c r="M1099" s="879">
        <v>0</v>
      </c>
      <c r="N1099" s="879">
        <v>0</v>
      </c>
      <c r="O1099" s="879">
        <v>0</v>
      </c>
      <c r="P1099" s="879">
        <v>0</v>
      </c>
      <c r="Q1099" s="879">
        <v>0</v>
      </c>
      <c r="R1099" s="879">
        <v>0</v>
      </c>
      <c r="S1099" s="879">
        <v>0</v>
      </c>
      <c r="T1099" s="879">
        <v>0</v>
      </c>
      <c r="U1099" s="879">
        <v>0</v>
      </c>
      <c r="V1099" s="879">
        <v>0</v>
      </c>
      <c r="W1099" s="879">
        <v>0</v>
      </c>
      <c r="X1099" s="879">
        <v>0</v>
      </c>
      <c r="Y1099" s="879">
        <v>0</v>
      </c>
      <c r="Z1099" s="879">
        <v>0</v>
      </c>
      <c r="AA1099" s="879">
        <v>0</v>
      </c>
      <c r="AB1099" s="879">
        <v>0</v>
      </c>
      <c r="AC1099" s="879">
        <v>0</v>
      </c>
      <c r="AD1099" s="879">
        <v>0</v>
      </c>
      <c r="AE1099" s="879">
        <v>0</v>
      </c>
      <c r="AF1099" s="879">
        <v>0</v>
      </c>
      <c r="AG1099" s="879">
        <v>0</v>
      </c>
      <c r="AH1099" s="879">
        <v>0</v>
      </c>
      <c r="AI1099" s="879">
        <v>0</v>
      </c>
      <c r="AJ1099" s="879">
        <v>0</v>
      </c>
      <c r="AK1099" s="879">
        <v>0</v>
      </c>
      <c r="AL1099" s="879">
        <v>0</v>
      </c>
      <c r="AM1099" s="879">
        <v>0</v>
      </c>
      <c r="AN1099" s="879">
        <v>0</v>
      </c>
      <c r="AO1099" s="879">
        <v>0</v>
      </c>
      <c r="AP1099" s="879">
        <v>0</v>
      </c>
      <c r="AQ1099" s="879">
        <v>0</v>
      </c>
      <c r="AS1099" s="879"/>
      <c r="AT1099" s="879"/>
      <c r="AU1099" s="879"/>
      <c r="AV1099" s="879"/>
      <c r="AW1099" s="879"/>
      <c r="AX1099" s="879"/>
      <c r="AY1099" s="879">
        <v>0</v>
      </c>
      <c r="AZ1099" s="879">
        <v>0</v>
      </c>
      <c r="BA1099" s="879">
        <v>0</v>
      </c>
      <c r="BB1099" s="879">
        <v>0</v>
      </c>
      <c r="BC1099" s="879">
        <v>0</v>
      </c>
      <c r="BD1099" s="879">
        <v>6643</v>
      </c>
      <c r="BE1099" s="879">
        <v>6707</v>
      </c>
      <c r="BG1099" s="879">
        <v>0</v>
      </c>
      <c r="BH1099" s="879">
        <v>0</v>
      </c>
      <c r="BI1099" s="879">
        <v>0</v>
      </c>
      <c r="BJ1099" s="879">
        <v>0</v>
      </c>
      <c r="BK1099" s="879">
        <v>0</v>
      </c>
      <c r="BL1099" s="879">
        <v>0</v>
      </c>
      <c r="BM1099" s="879">
        <v>0</v>
      </c>
      <c r="BN1099" s="879">
        <f t="shared" si="4181"/>
        <v>0</v>
      </c>
      <c r="BO1099" s="879">
        <f t="shared" si="4182"/>
        <v>0</v>
      </c>
      <c r="BP1099" s="879">
        <f t="shared" si="4183"/>
        <v>0</v>
      </c>
      <c r="BQ1099" s="879"/>
    </row>
    <row r="1100" spans="2:81" ht="11.45">
      <c r="B1100" s="878" t="s">
        <v>562</v>
      </c>
      <c r="D1100" s="905">
        <v>0</v>
      </c>
      <c r="E1100" s="905">
        <v>0</v>
      </c>
      <c r="F1100" s="905">
        <v>0</v>
      </c>
      <c r="G1100" s="905">
        <v>0</v>
      </c>
      <c r="H1100" s="905">
        <v>0</v>
      </c>
      <c r="I1100" s="905">
        <v>0</v>
      </c>
      <c r="J1100" s="905">
        <v>0</v>
      </c>
      <c r="K1100" s="905">
        <v>0</v>
      </c>
      <c r="L1100" s="905">
        <v>0</v>
      </c>
      <c r="M1100" s="905">
        <v>0</v>
      </c>
      <c r="N1100" s="905">
        <v>0</v>
      </c>
      <c r="O1100" s="905">
        <v>0</v>
      </c>
      <c r="P1100" s="905">
        <v>0</v>
      </c>
      <c r="Q1100" s="905">
        <v>0</v>
      </c>
      <c r="R1100" s="905">
        <v>0</v>
      </c>
      <c r="S1100" s="905">
        <v>0</v>
      </c>
      <c r="T1100" s="905">
        <v>0</v>
      </c>
      <c r="U1100" s="905">
        <v>0</v>
      </c>
      <c r="V1100" s="905">
        <v>0</v>
      </c>
      <c r="W1100" s="905">
        <v>0</v>
      </c>
      <c r="X1100" s="905">
        <v>0</v>
      </c>
      <c r="Y1100" s="905">
        <v>0</v>
      </c>
      <c r="Z1100" s="905">
        <v>0</v>
      </c>
      <c r="AA1100" s="905">
        <v>0</v>
      </c>
      <c r="AB1100" s="905">
        <v>0</v>
      </c>
      <c r="AC1100" s="905">
        <v>0</v>
      </c>
      <c r="AD1100" s="905">
        <v>0</v>
      </c>
      <c r="AE1100" s="905">
        <v>0</v>
      </c>
      <c r="AF1100" s="905">
        <v>0</v>
      </c>
      <c r="AG1100" s="905">
        <v>0</v>
      </c>
      <c r="AH1100" s="905">
        <v>0</v>
      </c>
      <c r="AI1100" s="905">
        <v>0</v>
      </c>
      <c r="AJ1100" s="905">
        <v>0</v>
      </c>
      <c r="AK1100" s="905">
        <v>0</v>
      </c>
      <c r="AL1100" s="905">
        <v>0</v>
      </c>
      <c r="AM1100" s="905">
        <v>0</v>
      </c>
      <c r="AN1100" s="905">
        <v>0</v>
      </c>
      <c r="AO1100" s="905">
        <v>0</v>
      </c>
      <c r="AP1100" s="905">
        <v>0</v>
      </c>
      <c r="AQ1100" s="905">
        <v>0</v>
      </c>
      <c r="AS1100" s="879"/>
      <c r="AT1100" s="879"/>
      <c r="AU1100" s="879"/>
      <c r="AV1100" s="879"/>
      <c r="AW1100" s="879"/>
      <c r="AX1100" s="879"/>
      <c r="AY1100" s="905">
        <v>0</v>
      </c>
      <c r="AZ1100" s="905">
        <v>540</v>
      </c>
      <c r="BA1100" s="905">
        <v>-540</v>
      </c>
      <c r="BB1100" s="905">
        <v>0</v>
      </c>
      <c r="BC1100" s="905">
        <v>0</v>
      </c>
      <c r="BD1100" s="905">
        <v>0</v>
      </c>
      <c r="BE1100" s="905">
        <v>0</v>
      </c>
      <c r="BG1100" s="905">
        <v>0</v>
      </c>
      <c r="BH1100" s="905">
        <v>0</v>
      </c>
      <c r="BI1100" s="905">
        <v>0</v>
      </c>
      <c r="BJ1100" s="905">
        <v>0</v>
      </c>
      <c r="BK1100" s="905">
        <v>0</v>
      </c>
      <c r="BL1100" s="905">
        <v>0</v>
      </c>
      <c r="BM1100" s="905">
        <v>0</v>
      </c>
      <c r="BN1100" s="905">
        <f t="shared" si="4181"/>
        <v>0</v>
      </c>
      <c r="BO1100" s="905">
        <f t="shared" si="4182"/>
        <v>0</v>
      </c>
      <c r="BP1100" s="905">
        <f t="shared" si="4183"/>
        <v>0</v>
      </c>
      <c r="BQ1100" s="905"/>
      <c r="BT1100" s="1"/>
      <c r="BU1100" s="1"/>
      <c r="BV1100" s="1"/>
      <c r="BW1100" s="1"/>
      <c r="BX1100" s="1"/>
      <c r="BY1100" s="1"/>
      <c r="BZ1100" s="1"/>
      <c r="CA1100" s="1"/>
      <c r="CB1100" s="1"/>
      <c r="CC1100" s="1"/>
    </row>
    <row r="1101" spans="2:81" s="1" customFormat="1" ht="10.5">
      <c r="B1101" s="882" t="s">
        <v>563</v>
      </c>
      <c r="D1101" s="838">
        <f t="shared" ref="D1101" si="4184">SUM(D1098:D1100)</f>
        <v>20910</v>
      </c>
      <c r="E1101" s="838">
        <f t="shared" ref="E1101" si="4185">SUM(E1098:E1100)</f>
        <v>25253</v>
      </c>
      <c r="F1101" s="838">
        <f t="shared" ref="F1101" si="4186">SUM(F1098:F1100)</f>
        <v>21517</v>
      </c>
      <c r="G1101" s="838">
        <f t="shared" ref="G1101" si="4187">SUM(G1098:G1100)</f>
        <v>23474</v>
      </c>
      <c r="H1101" s="838">
        <f t="shared" ref="H1101" si="4188">SUM(H1098:H1100)</f>
        <v>21928</v>
      </c>
      <c r="I1101" s="838">
        <f t="shared" ref="I1101" si="4189">SUM(I1098:I1100)</f>
        <v>25826</v>
      </c>
      <c r="J1101" s="838">
        <f t="shared" ref="J1101" si="4190">SUM(J1098:J1100)</f>
        <v>23212</v>
      </c>
      <c r="K1101" s="838">
        <f t="shared" ref="K1101" si="4191">SUM(K1098:K1100)</f>
        <v>25605</v>
      </c>
      <c r="L1101" s="838">
        <f t="shared" ref="L1101" si="4192">SUM(L1098:L1100)</f>
        <v>24538</v>
      </c>
      <c r="M1101" s="838">
        <f t="shared" ref="M1101" si="4193">SUM(M1098:M1100)</f>
        <v>28918</v>
      </c>
      <c r="N1101" s="838">
        <f t="shared" ref="N1101" si="4194">SUM(N1098:N1100)</f>
        <v>26819</v>
      </c>
      <c r="O1101" s="838">
        <f t="shared" ref="O1101:P1101" si="4195">SUM(O1098:O1100)</f>
        <v>30085</v>
      </c>
      <c r="P1101" s="838">
        <f t="shared" si="4195"/>
        <v>29084</v>
      </c>
      <c r="Q1101" s="838">
        <f t="shared" ref="Q1101:T1101" si="4196">SUM(Q1098:Q1100)</f>
        <v>32471</v>
      </c>
      <c r="R1101" s="838">
        <f t="shared" si="4196"/>
        <v>30571</v>
      </c>
      <c r="S1101" s="838">
        <f t="shared" si="4196"/>
        <v>33717</v>
      </c>
      <c r="T1101" s="838">
        <f t="shared" si="4196"/>
        <v>33055</v>
      </c>
      <c r="U1101" s="838">
        <f t="shared" ref="U1101:V1101" si="4197">SUM(U1098:U1100)</f>
        <v>36906</v>
      </c>
      <c r="V1101" s="838">
        <f t="shared" si="4197"/>
        <v>35021</v>
      </c>
      <c r="W1101" s="838">
        <f t="shared" ref="W1101:AA1101" si="4198">SUM(W1098:W1100)</f>
        <v>38033</v>
      </c>
      <c r="X1101" s="838">
        <f t="shared" si="4198"/>
        <v>37154</v>
      </c>
      <c r="Y1101" s="838">
        <f t="shared" si="4198"/>
        <v>43076</v>
      </c>
      <c r="Z1101" s="838">
        <f t="shared" si="4198"/>
        <v>41706</v>
      </c>
      <c r="AA1101" s="838">
        <f t="shared" si="4198"/>
        <v>46152</v>
      </c>
      <c r="AB1101" s="838">
        <f t="shared" ref="AB1101:AE1101" si="4199">SUM(AB1098:AB1100)</f>
        <v>45317</v>
      </c>
      <c r="AC1101" s="838">
        <f t="shared" si="4199"/>
        <v>51728</v>
      </c>
      <c r="AD1101" s="838">
        <f t="shared" si="4199"/>
        <v>49360</v>
      </c>
      <c r="AE1101" s="838">
        <f t="shared" si="4199"/>
        <v>51865</v>
      </c>
      <c r="AF1101" s="838">
        <f t="shared" ref="AF1101:AI1101" si="4200">SUM(AF1098:AF1100)</f>
        <v>50122</v>
      </c>
      <c r="AG1101" s="838">
        <f t="shared" si="4200"/>
        <v>52747</v>
      </c>
      <c r="AH1101" s="838">
        <f t="shared" si="4200"/>
        <v>52857</v>
      </c>
      <c r="AI1101" s="838">
        <f t="shared" si="4200"/>
        <v>56189</v>
      </c>
      <c r="AJ1101" s="838">
        <f t="shared" ref="AJ1101:AM1101" si="4201">SUM(AJ1098:AJ1100)</f>
        <v>56517</v>
      </c>
      <c r="AK1101" s="838">
        <f t="shared" si="4201"/>
        <v>62020</v>
      </c>
      <c r="AL1101" s="838">
        <f t="shared" si="4201"/>
        <v>61858</v>
      </c>
      <c r="AM1101" s="838">
        <f t="shared" si="4201"/>
        <v>64727</v>
      </c>
      <c r="AN1101" s="838">
        <f t="shared" ref="AN1101:AQ1101" si="4202">SUM(AN1098:AN1100)</f>
        <v>65585</v>
      </c>
      <c r="AO1101" s="838">
        <f t="shared" si="4202"/>
        <v>68949.202353999994</v>
      </c>
      <c r="AP1101" s="838">
        <f t="shared" si="4202"/>
        <v>69681.275946197435</v>
      </c>
      <c r="AQ1101" s="838">
        <f t="shared" si="4202"/>
        <v>73728.672347064057</v>
      </c>
      <c r="AS1101" s="838"/>
      <c r="AT1101" s="838"/>
      <c r="AU1101" s="838"/>
      <c r="AV1101" s="838"/>
      <c r="AW1101" s="838"/>
      <c r="AX1101" s="838"/>
      <c r="AY1101" s="838">
        <f t="shared" ref="AY1101" si="4203">SUM(AY1098:AY1100)</f>
        <v>69943</v>
      </c>
      <c r="AZ1101" s="838">
        <f t="shared" ref="AZ1101" si="4204">SUM(AZ1098:AZ1100)</f>
        <v>74263</v>
      </c>
      <c r="BA1101" s="838">
        <f t="shared" ref="BA1101" si="4205">SUM(BA1098:BA1100)</f>
        <v>77309</v>
      </c>
      <c r="BB1101" s="838">
        <f t="shared" ref="BB1101" si="4206">SUM(BB1098:BB1100)</f>
        <v>86833</v>
      </c>
      <c r="BC1101" s="838">
        <f t="shared" ref="BC1101" si="4207">SUM(BC1098:BC1100)</f>
        <v>93580</v>
      </c>
      <c r="BD1101" s="838">
        <f t="shared" ref="BD1101" si="4208">SUM(BD1098:BD1100)</f>
        <v>91963</v>
      </c>
      <c r="BE1101" s="838">
        <f t="shared" ref="BE1101" si="4209">SUM(BE1098:BE1100)</f>
        <v>96657</v>
      </c>
      <c r="BG1101" s="838">
        <f t="shared" ref="BG1101" si="4210">SUM(BG1098:BG1100)</f>
        <v>91154</v>
      </c>
      <c r="BH1101" s="838">
        <f t="shared" ref="BH1101:BI1101" si="4211">SUM(BH1098:BH1100)</f>
        <v>96571</v>
      </c>
      <c r="BI1101" s="838">
        <f t="shared" si="4211"/>
        <v>110360</v>
      </c>
      <c r="BJ1101" s="838">
        <f t="shared" ref="BJ1101:BL1101" si="4212">SUM(BJ1098:BJ1100)</f>
        <v>125843</v>
      </c>
      <c r="BK1101" s="838">
        <f t="shared" si="4212"/>
        <v>143015</v>
      </c>
      <c r="BL1101" s="838">
        <f t="shared" si="4212"/>
        <v>168088</v>
      </c>
      <c r="BM1101" s="838">
        <f t="shared" ref="BM1101:BN1101" si="4213">SUM(BM1098:BM1100)</f>
        <v>198270</v>
      </c>
      <c r="BN1101" s="838">
        <f t="shared" si="4213"/>
        <v>211915</v>
      </c>
      <c r="BO1101" s="838">
        <f t="shared" si="4182"/>
        <v>245122</v>
      </c>
      <c r="BP1101" s="838">
        <f t="shared" si="4183"/>
        <v>277944.15064726153</v>
      </c>
      <c r="BQ1101" s="838"/>
      <c r="BT1101"/>
      <c r="BU1101"/>
      <c r="BV1101"/>
      <c r="BW1101"/>
      <c r="BX1101"/>
      <c r="BY1101"/>
      <c r="BZ1101"/>
      <c r="CA1101"/>
      <c r="CB1101"/>
      <c r="CC1101"/>
    </row>
    <row r="1102" spans="2:81" s="7" customFormat="1">
      <c r="B1102" s="887" t="s">
        <v>113</v>
      </c>
      <c r="D1102" s="946"/>
      <c r="E1102" s="946"/>
      <c r="F1102" s="946"/>
      <c r="G1102" s="946"/>
      <c r="H1102" s="946">
        <f>+H1101/D1101-1</f>
        <v>4.8684839789574275E-2</v>
      </c>
      <c r="I1102" s="946">
        <f t="shared" ref="I1102:O1102" si="4214">+I1101/E1101-1</f>
        <v>2.2690373420979792E-2</v>
      </c>
      <c r="J1102" s="946">
        <f t="shared" si="4214"/>
        <v>7.8774922154575489E-2</v>
      </c>
      <c r="K1102" s="946">
        <f t="shared" si="4214"/>
        <v>9.0781289937803544E-2</v>
      </c>
      <c r="L1102" s="946">
        <f t="shared" si="4214"/>
        <v>0.11902590295512594</v>
      </c>
      <c r="M1102" s="946">
        <f t="shared" si="4214"/>
        <v>0.11972430883605667</v>
      </c>
      <c r="N1102" s="946">
        <f t="shared" si="4214"/>
        <v>0.15539376184732046</v>
      </c>
      <c r="O1102" s="946">
        <f t="shared" si="4214"/>
        <v>0.17496582698691654</v>
      </c>
      <c r="P1102" s="946">
        <f t="shared" ref="P1102" si="4215">+P1101/L1101-1</f>
        <v>0.18526367267095933</v>
      </c>
      <c r="Q1102" s="946">
        <f t="shared" ref="Q1102" si="4216">+Q1101/M1101-1</f>
        <v>0.12286465177398154</v>
      </c>
      <c r="R1102" s="946">
        <f t="shared" ref="R1102" si="4217">+R1101/N1101-1</f>
        <v>0.13990081658525666</v>
      </c>
      <c r="S1102" s="946">
        <f t="shared" ref="S1102" si="4218">+S1101/O1101-1</f>
        <v>0.12072461359481479</v>
      </c>
      <c r="T1102" s="946">
        <f t="shared" ref="T1102" si="4219">+T1101/P1101-1</f>
        <v>0.13653555219364599</v>
      </c>
      <c r="U1102" s="946">
        <f t="shared" ref="U1102" si="4220">+U1101/Q1101-1</f>
        <v>0.13658341289150311</v>
      </c>
      <c r="V1102" s="946">
        <f t="shared" ref="V1102" si="4221">+V1101/R1101-1</f>
        <v>0.14556278826338698</v>
      </c>
      <c r="W1102" s="946">
        <f t="shared" ref="W1102" si="4222">+W1101/S1101-1</f>
        <v>0.12800664353293589</v>
      </c>
      <c r="X1102" s="946">
        <f t="shared" ref="X1102" si="4223">+X1101/T1101-1</f>
        <v>0.12400544546967174</v>
      </c>
      <c r="Y1102" s="946">
        <f t="shared" ref="Y1102" si="4224">+Y1101/U1101-1</f>
        <v>0.16718148810491518</v>
      </c>
      <c r="Z1102" s="946">
        <f t="shared" ref="Z1102" si="4225">+Z1101/V1101-1</f>
        <v>0.19088546871876866</v>
      </c>
      <c r="AA1102" s="946">
        <f t="shared" ref="AA1102" si="4226">+AA1101/W1101-1</f>
        <v>0.21347251071437956</v>
      </c>
      <c r="AB1102" s="946">
        <f t="shared" ref="AB1102" si="4227">+AB1101/X1101-1</f>
        <v>0.21970716477364483</v>
      </c>
      <c r="AC1102" s="946">
        <f t="shared" ref="AC1102" si="4228">+AC1101/Y1101-1</f>
        <v>0.2008543040208004</v>
      </c>
      <c r="AD1102" s="946">
        <f t="shared" ref="AD1102" si="4229">+AD1101/Z1101-1</f>
        <v>0.18352275451973332</v>
      </c>
      <c r="AE1102" s="946">
        <f t="shared" ref="AE1102" si="4230">+AE1101/AA1101-1</f>
        <v>0.12378661813139202</v>
      </c>
      <c r="AF1102" s="946">
        <f t="shared" ref="AF1102" si="4231">+AF1101/AB1101-1</f>
        <v>0.1060308493501334</v>
      </c>
      <c r="AG1102" s="946">
        <f t="shared" ref="AG1102" si="4232">+AG1101/AC1101-1</f>
        <v>1.9699195793380753E-2</v>
      </c>
      <c r="AH1102" s="946">
        <f t="shared" ref="AH1102" si="4233">+AH1101/AD1101-1</f>
        <v>7.0846839546191198E-2</v>
      </c>
      <c r="AI1102" s="946">
        <f t="shared" ref="AI1102" si="4234">+AI1101/AE1101-1</f>
        <v>8.3370288248336921E-2</v>
      </c>
      <c r="AJ1102" s="946">
        <f t="shared" ref="AJ1102" si="4235">+AJ1101/AF1101-1</f>
        <v>0.12758868361198683</v>
      </c>
      <c r="AK1102" s="946">
        <f t="shared" ref="AK1102" si="4236">+AK1101/AG1101-1</f>
        <v>0.17580146738203117</v>
      </c>
      <c r="AL1102" s="946">
        <f t="shared" ref="AL1102" si="4237">+AL1101/AH1101-1</f>
        <v>0.17028964943148495</v>
      </c>
      <c r="AM1102" s="946">
        <f t="shared" ref="AM1102" si="4238">+AM1101/AI1101-1</f>
        <v>0.15195144957198026</v>
      </c>
      <c r="AN1102" s="946">
        <f t="shared" ref="AN1102" si="4239">+AN1101/AJ1101-1</f>
        <v>0.16044729904276589</v>
      </c>
      <c r="AO1102" s="946">
        <f t="shared" ref="AO1102" si="4240">+AO1101/AK1101-1</f>
        <v>0.1117252878748789</v>
      </c>
      <c r="AP1102" s="946">
        <f t="shared" ref="AP1102" si="4241">+AP1101/AL1101-1</f>
        <v>0.12647153070253547</v>
      </c>
      <c r="AQ1102" s="946">
        <f t="shared" ref="AQ1102" si="4242">+AQ1101/AM1101-1</f>
        <v>0.13907136661770303</v>
      </c>
      <c r="AT1102" s="946"/>
      <c r="AU1102" s="946"/>
      <c r="AV1102" s="946"/>
      <c r="AW1102" s="946"/>
      <c r="AX1102" s="946"/>
      <c r="AY1102" s="946"/>
      <c r="AZ1102" s="946">
        <f t="shared" ref="AZ1102:BC1102" si="4243">+AZ1101/AY1101-1</f>
        <v>6.1764579729208124E-2</v>
      </c>
      <c r="BA1102" s="946">
        <f t="shared" si="4243"/>
        <v>4.1016387703163071E-2</v>
      </c>
      <c r="BB1102" s="946">
        <f t="shared" si="4243"/>
        <v>0.12319393602297279</v>
      </c>
      <c r="BC1102" s="946">
        <f t="shared" si="4243"/>
        <v>7.7700874091647165E-2</v>
      </c>
      <c r="BD1102" s="946">
        <f>+BD1101/BC1101-1</f>
        <v>-1.727933319085273E-2</v>
      </c>
      <c r="BE1102" s="946">
        <f>+BE1101/BD1101-1</f>
        <v>5.1042266998684305E-2</v>
      </c>
      <c r="BG1102" s="946"/>
      <c r="BH1102" s="946">
        <f t="shared" ref="BH1102:BI1102" si="4244">+BH1101/BG1101-1</f>
        <v>5.9426903920837271E-2</v>
      </c>
      <c r="BI1102" s="946">
        <f t="shared" si="4244"/>
        <v>0.14278613662486661</v>
      </c>
      <c r="BJ1102" s="946">
        <f t="shared" ref="BJ1102" si="4245">+BJ1101/BI1101-1</f>
        <v>0.14029539688292858</v>
      </c>
      <c r="BK1102" s="946">
        <f t="shared" ref="BK1102" si="4246">+BK1101/BJ1101-1</f>
        <v>0.13645574247276371</v>
      </c>
      <c r="BL1102" s="946">
        <f t="shared" ref="BL1102" si="4247">+BL1101/BK1101-1</f>
        <v>0.17531727441177503</v>
      </c>
      <c r="BM1102" s="946">
        <f t="shared" ref="BM1102" si="4248">+BM1101/BL1101-1</f>
        <v>0.17956070629670173</v>
      </c>
      <c r="BN1102" s="946">
        <f t="shared" ref="BN1102:BP1102" si="4249">+BN1101/BM1101-1</f>
        <v>6.8820295556564215E-2</v>
      </c>
      <c r="BO1102" s="946">
        <f t="shared" si="4249"/>
        <v>0.1566996201307127</v>
      </c>
      <c r="BP1102" s="946">
        <f t="shared" si="4249"/>
        <v>0.13390128445125904</v>
      </c>
      <c r="BQ1102" s="946"/>
      <c r="BT1102"/>
      <c r="BU1102"/>
      <c r="BV1102"/>
      <c r="BW1102"/>
      <c r="BX1102"/>
      <c r="BY1102"/>
      <c r="BZ1102"/>
      <c r="CA1102"/>
      <c r="CB1102"/>
      <c r="CC1102"/>
    </row>
    <row r="1104" spans="2:81">
      <c r="B1104" s="878" t="s">
        <v>552</v>
      </c>
      <c r="D1104" s="8">
        <f t="shared" ref="D1104:AF1104" si="4250">+D1083</f>
        <v>6316</v>
      </c>
      <c r="E1104" s="8">
        <f t="shared" si="4250"/>
        <v>7489</v>
      </c>
      <c r="F1104" s="8">
        <f t="shared" si="4250"/>
        <v>6277</v>
      </c>
      <c r="G1104" s="8">
        <f t="shared" si="4250"/>
        <v>5996</v>
      </c>
      <c r="H1104" s="8">
        <f t="shared" si="4250"/>
        <v>6715</v>
      </c>
      <c r="I1104" s="8">
        <f t="shared" si="4250"/>
        <v>7905</v>
      </c>
      <c r="J1104" s="8">
        <f t="shared" si="4250"/>
        <v>6723</v>
      </c>
      <c r="K1104" s="8">
        <f t="shared" si="4250"/>
        <v>7682</v>
      </c>
      <c r="L1104" s="8">
        <f t="shared" si="4250"/>
        <v>7708</v>
      </c>
      <c r="M1104" s="8">
        <f t="shared" si="4250"/>
        <v>8679</v>
      </c>
      <c r="N1104" s="8">
        <f t="shared" si="4250"/>
        <v>8292</v>
      </c>
      <c r="O1104" s="8">
        <f t="shared" si="4250"/>
        <v>10379</v>
      </c>
      <c r="P1104" s="8">
        <f t="shared" si="4250"/>
        <v>9955</v>
      </c>
      <c r="Q1104" s="8">
        <f t="shared" si="4250"/>
        <v>10258</v>
      </c>
      <c r="R1104" s="8">
        <f t="shared" si="4250"/>
        <v>10341</v>
      </c>
      <c r="S1104" s="8">
        <f t="shared" si="4250"/>
        <v>12405</v>
      </c>
      <c r="T1104" s="8">
        <f t="shared" si="4250"/>
        <v>12686</v>
      </c>
      <c r="U1104" s="8">
        <f t="shared" si="4250"/>
        <v>13891</v>
      </c>
      <c r="V1104" s="8">
        <f t="shared" si="4250"/>
        <v>12975</v>
      </c>
      <c r="W1104" s="8">
        <f t="shared" si="4250"/>
        <v>13407</v>
      </c>
      <c r="X1104" s="8">
        <f t="shared" si="4250"/>
        <v>15876</v>
      </c>
      <c r="Y1104" s="8">
        <f t="shared" si="4250"/>
        <v>17897</v>
      </c>
      <c r="Z1104" s="8">
        <f t="shared" si="4250"/>
        <v>17048</v>
      </c>
      <c r="AA1104" s="8">
        <f t="shared" si="4250"/>
        <v>19095</v>
      </c>
      <c r="AB1104" s="8">
        <f t="shared" si="4250"/>
        <v>20238</v>
      </c>
      <c r="AC1104" s="8">
        <f t="shared" si="4250"/>
        <v>22247</v>
      </c>
      <c r="AD1104" s="8">
        <f t="shared" si="4250"/>
        <v>20364</v>
      </c>
      <c r="AE1104" s="8">
        <f t="shared" si="4250"/>
        <v>20534</v>
      </c>
      <c r="AF1104" s="8">
        <f t="shared" si="4250"/>
        <v>21518</v>
      </c>
      <c r="AG1104" s="8">
        <f>+AG1083</f>
        <v>20399</v>
      </c>
      <c r="AH1104" s="8">
        <f>+AH259</f>
        <v>22352</v>
      </c>
      <c r="AI1104" s="8">
        <f>+AI259</f>
        <v>24254</v>
      </c>
      <c r="AJ1104" s="8">
        <f>+AJ259</f>
        <v>26895</v>
      </c>
      <c r="AK1104" s="8">
        <f t="shared" ref="AK1104:AM1104" si="4251">+AK1083</f>
        <v>27032</v>
      </c>
      <c r="AL1104" s="8">
        <f t="shared" si="4251"/>
        <v>27581</v>
      </c>
      <c r="AM1104" s="8">
        <f t="shared" si="4251"/>
        <v>27925</v>
      </c>
      <c r="AN1104" s="8">
        <f t="shared" ref="AN1104:AQ1104" si="4252">+AN1083</f>
        <v>30552</v>
      </c>
      <c r="AO1104" s="8">
        <f t="shared" si="4252"/>
        <v>31872.765274016641</v>
      </c>
      <c r="AP1104" s="8">
        <f t="shared" si="4252"/>
        <v>32764.505813520242</v>
      </c>
      <c r="AQ1104" s="8">
        <f t="shared" si="4252"/>
        <v>33501.755036249015</v>
      </c>
      <c r="AS1104" s="8"/>
      <c r="AT1104" s="8"/>
      <c r="AU1104" s="8"/>
      <c r="AV1104" s="8"/>
      <c r="AW1104" s="8"/>
      <c r="AX1104" s="8"/>
      <c r="AY1104" s="8">
        <f t="shared" ref="AY1104:BE1104" si="4253">+AY1083</f>
        <v>27161</v>
      </c>
      <c r="AZ1104" s="8">
        <f t="shared" si="4253"/>
        <v>21763</v>
      </c>
      <c r="BA1104" s="8">
        <f t="shared" si="4253"/>
        <v>26764</v>
      </c>
      <c r="BB1104" s="8">
        <f t="shared" si="4253"/>
        <v>27759</v>
      </c>
      <c r="BC1104" s="8">
        <f t="shared" si="4253"/>
        <v>18161</v>
      </c>
      <c r="BD1104" s="8">
        <f t="shared" si="4253"/>
        <v>20182</v>
      </c>
      <c r="BE1104" s="8">
        <f t="shared" si="4253"/>
        <v>22326</v>
      </c>
      <c r="BG1104" s="8">
        <f t="shared" ref="BG1104:BM1104" si="4254">+BG1083</f>
        <v>26078</v>
      </c>
      <c r="BH1104" s="8">
        <f t="shared" si="4254"/>
        <v>29025</v>
      </c>
      <c r="BI1104" s="8">
        <f t="shared" si="4254"/>
        <v>35058</v>
      </c>
      <c r="BJ1104" s="8">
        <f t="shared" si="4254"/>
        <v>42959</v>
      </c>
      <c r="BK1104" s="8">
        <f t="shared" si="4254"/>
        <v>52959</v>
      </c>
      <c r="BL1104" s="8">
        <f t="shared" si="4254"/>
        <v>69916</v>
      </c>
      <c r="BM1104" s="8">
        <f t="shared" si="4254"/>
        <v>83383</v>
      </c>
      <c r="BN1104" s="8">
        <f t="shared" ref="BN1104:BN1111" si="4255">SUM(AF1104:AI1104)</f>
        <v>88523</v>
      </c>
      <c r="BO1104" s="8">
        <f t="shared" ref="BO1104:BO1111" si="4256">SUM(AJ1104:AM1104)</f>
        <v>109433</v>
      </c>
      <c r="BP1104" s="8">
        <f t="shared" ref="BP1104:BP1111" si="4257">+SUM(AN1104:AQ1104)</f>
        <v>128691.02612378589</v>
      </c>
    </row>
    <row r="1105" spans="1:81">
      <c r="B1105" s="878" t="s">
        <v>561</v>
      </c>
      <c r="D1105" s="8">
        <f t="shared" ref="D1105:O1105" si="4258">+D1099</f>
        <v>0</v>
      </c>
      <c r="E1105" s="8">
        <f t="shared" si="4258"/>
        <v>0</v>
      </c>
      <c r="F1105" s="8">
        <f t="shared" si="4258"/>
        <v>0</v>
      </c>
      <c r="G1105" s="8">
        <f t="shared" si="4258"/>
        <v>0</v>
      </c>
      <c r="H1105" s="8">
        <f t="shared" si="4258"/>
        <v>0</v>
      </c>
      <c r="I1105" s="8">
        <f t="shared" si="4258"/>
        <v>0</v>
      </c>
      <c r="J1105" s="8">
        <f t="shared" si="4258"/>
        <v>0</v>
      </c>
      <c r="K1105" s="8">
        <f t="shared" si="4258"/>
        <v>0</v>
      </c>
      <c r="L1105" s="8">
        <f t="shared" si="4258"/>
        <v>0</v>
      </c>
      <c r="M1105" s="8">
        <f t="shared" si="4258"/>
        <v>0</v>
      </c>
      <c r="N1105" s="8">
        <f t="shared" si="4258"/>
        <v>0</v>
      </c>
      <c r="O1105" s="8">
        <f t="shared" si="4258"/>
        <v>0</v>
      </c>
      <c r="P1105" s="8">
        <f t="shared" ref="P1105:Q1105" si="4259">+P1099</f>
        <v>0</v>
      </c>
      <c r="Q1105" s="8">
        <f t="shared" si="4259"/>
        <v>0</v>
      </c>
      <c r="R1105" s="8">
        <f t="shared" ref="R1105:T1105" si="4260">+R1099</f>
        <v>0</v>
      </c>
      <c r="S1105" s="8">
        <f t="shared" si="4260"/>
        <v>0</v>
      </c>
      <c r="T1105" s="8">
        <f t="shared" si="4260"/>
        <v>0</v>
      </c>
      <c r="U1105" s="8">
        <f t="shared" ref="U1105:V1105" si="4261">+U1099</f>
        <v>0</v>
      </c>
      <c r="V1105" s="8">
        <f t="shared" si="4261"/>
        <v>0</v>
      </c>
      <c r="W1105" s="8">
        <f t="shared" ref="W1105:AA1105" si="4262">+W1099</f>
        <v>0</v>
      </c>
      <c r="X1105" s="8">
        <f t="shared" si="4262"/>
        <v>0</v>
      </c>
      <c r="Y1105" s="8">
        <f t="shared" si="4262"/>
        <v>0</v>
      </c>
      <c r="Z1105" s="8">
        <f t="shared" si="4262"/>
        <v>0</v>
      </c>
      <c r="AA1105" s="8">
        <f t="shared" si="4262"/>
        <v>0</v>
      </c>
      <c r="AB1105" s="8">
        <f t="shared" ref="AB1105" si="4263">+AB1099</f>
        <v>0</v>
      </c>
      <c r="AC1105" s="8">
        <f t="shared" ref="AC1105:AE1105" si="4264">+AC1099</f>
        <v>0</v>
      </c>
      <c r="AD1105" s="8">
        <f t="shared" si="4264"/>
        <v>0</v>
      </c>
      <c r="AE1105" s="8">
        <f t="shared" si="4264"/>
        <v>0</v>
      </c>
      <c r="AF1105" s="8">
        <f t="shared" ref="AF1105:AI1105" si="4265">+AF1099</f>
        <v>0</v>
      </c>
      <c r="AG1105" s="8">
        <f t="shared" si="4265"/>
        <v>0</v>
      </c>
      <c r="AH1105" s="8">
        <f t="shared" si="4265"/>
        <v>0</v>
      </c>
      <c r="AI1105" s="8">
        <f t="shared" si="4265"/>
        <v>0</v>
      </c>
      <c r="AJ1105" s="8">
        <f t="shared" ref="AJ1105:AM1105" si="4266">+AJ1099</f>
        <v>0</v>
      </c>
      <c r="AK1105" s="8">
        <f t="shared" si="4266"/>
        <v>0</v>
      </c>
      <c r="AL1105" s="8">
        <f t="shared" si="4266"/>
        <v>0</v>
      </c>
      <c r="AM1105" s="8">
        <f t="shared" si="4266"/>
        <v>0</v>
      </c>
      <c r="AN1105" s="8">
        <f t="shared" ref="AN1105:AQ1105" si="4267">+AN1099</f>
        <v>0</v>
      </c>
      <c r="AO1105" s="8">
        <f t="shared" si="4267"/>
        <v>0</v>
      </c>
      <c r="AP1105" s="8">
        <f t="shared" si="4267"/>
        <v>0</v>
      </c>
      <c r="AQ1105" s="8">
        <f t="shared" si="4267"/>
        <v>0</v>
      </c>
      <c r="AS1105" s="8"/>
      <c r="AT1105" s="8"/>
      <c r="AU1105" s="8"/>
      <c r="AV1105" s="8"/>
      <c r="AW1105" s="8"/>
      <c r="AX1105" s="8"/>
      <c r="AY1105" s="8">
        <f t="shared" ref="AY1105:BB1105" si="4268">+AY1099</f>
        <v>0</v>
      </c>
      <c r="AZ1105" s="8">
        <f t="shared" si="4268"/>
        <v>0</v>
      </c>
      <c r="BA1105" s="8">
        <f t="shared" si="4268"/>
        <v>0</v>
      </c>
      <c r="BB1105" s="8">
        <f t="shared" si="4268"/>
        <v>0</v>
      </c>
      <c r="BC1105" s="8">
        <f>+BC1099</f>
        <v>0</v>
      </c>
      <c r="BD1105" s="8">
        <f t="shared" ref="BD1105:BE1105" si="4269">+BD1099</f>
        <v>6643</v>
      </c>
      <c r="BE1105" s="8">
        <f t="shared" si="4269"/>
        <v>6707</v>
      </c>
      <c r="BG1105" s="8">
        <f t="shared" ref="BG1105:BH1105" si="4270">+BG1099</f>
        <v>0</v>
      </c>
      <c r="BH1105" s="8">
        <f t="shared" si="4270"/>
        <v>0</v>
      </c>
      <c r="BI1105" s="8">
        <f t="shared" ref="BI1105:BJ1105" si="4271">+BI1099</f>
        <v>0</v>
      </c>
      <c r="BJ1105" s="8">
        <f t="shared" si="4271"/>
        <v>0</v>
      </c>
      <c r="BK1105" s="8">
        <f t="shared" ref="BK1105:BL1105" si="4272">+BK1099</f>
        <v>0</v>
      </c>
      <c r="BL1105" s="8">
        <f t="shared" si="4272"/>
        <v>0</v>
      </c>
      <c r="BM1105" s="8">
        <f t="shared" ref="BM1105" si="4273">+BM1099</f>
        <v>0</v>
      </c>
      <c r="BN1105" s="8">
        <f t="shared" si="4255"/>
        <v>0</v>
      </c>
      <c r="BO1105" s="8">
        <f t="shared" si="4256"/>
        <v>0</v>
      </c>
      <c r="BP1105" s="8">
        <f t="shared" si="4257"/>
        <v>0</v>
      </c>
    </row>
    <row r="1106" spans="1:81">
      <c r="B1106" s="878" t="s">
        <v>564</v>
      </c>
      <c r="D1106" s="8">
        <v>0</v>
      </c>
      <c r="E1106" s="8">
        <v>0</v>
      </c>
      <c r="F1106" s="8">
        <v>0</v>
      </c>
      <c r="G1106" s="8">
        <v>0</v>
      </c>
      <c r="H1106" s="8">
        <v>0</v>
      </c>
      <c r="I1106" s="8">
        <v>0</v>
      </c>
      <c r="J1106" s="8">
        <v>0</v>
      </c>
      <c r="K1106" s="8">
        <v>0</v>
      </c>
      <c r="L1106" s="8">
        <v>0</v>
      </c>
      <c r="M1106" s="8">
        <v>0</v>
      </c>
      <c r="N1106" s="8">
        <v>0</v>
      </c>
      <c r="O1106" s="8">
        <v>0</v>
      </c>
      <c r="P1106" s="8">
        <v>0</v>
      </c>
      <c r="Q1106" s="8">
        <v>0</v>
      </c>
      <c r="R1106" s="8">
        <v>0</v>
      </c>
      <c r="S1106" s="8">
        <v>0</v>
      </c>
      <c r="T1106" s="8">
        <v>0</v>
      </c>
      <c r="U1106" s="8">
        <v>0</v>
      </c>
      <c r="V1106" s="8">
        <v>0</v>
      </c>
      <c r="W1106" s="29">
        <v>450</v>
      </c>
      <c r="X1106" s="8">
        <v>0</v>
      </c>
      <c r="Y1106" s="8">
        <v>0</v>
      </c>
      <c r="Z1106" s="8">
        <v>0</v>
      </c>
      <c r="AA1106" s="8">
        <v>0</v>
      </c>
      <c r="AB1106" s="8">
        <v>0</v>
      </c>
      <c r="AC1106" s="8">
        <v>0</v>
      </c>
      <c r="AD1106" s="8">
        <v>0</v>
      </c>
      <c r="AE1106" s="8">
        <v>0</v>
      </c>
      <c r="AF1106" s="8">
        <v>0</v>
      </c>
      <c r="AG1106" s="8">
        <v>0</v>
      </c>
      <c r="AH1106" s="8">
        <v>0</v>
      </c>
      <c r="AI1106" s="8">
        <v>0</v>
      </c>
      <c r="AJ1106" s="8">
        <v>0</v>
      </c>
      <c r="AK1106" s="8">
        <v>0</v>
      </c>
      <c r="AL1106" s="8">
        <v>0</v>
      </c>
      <c r="AM1106" s="8">
        <v>0</v>
      </c>
      <c r="AN1106" s="8">
        <v>0</v>
      </c>
      <c r="AO1106" s="8">
        <v>0</v>
      </c>
      <c r="AP1106" s="8">
        <v>0</v>
      </c>
      <c r="AQ1106" s="8">
        <v>0</v>
      </c>
      <c r="AS1106" s="8"/>
      <c r="AT1106" s="8"/>
      <c r="AU1106" s="8"/>
      <c r="AV1106" s="8"/>
      <c r="AW1106" s="8"/>
      <c r="AX1106" s="8"/>
      <c r="AY1106" s="8">
        <v>0</v>
      </c>
      <c r="AZ1106" s="8">
        <v>0</v>
      </c>
      <c r="BA1106" s="8">
        <v>0</v>
      </c>
      <c r="BB1106" s="8">
        <v>0</v>
      </c>
      <c r="BC1106" s="8">
        <v>0</v>
      </c>
      <c r="BD1106" s="8">
        <v>0</v>
      </c>
      <c r="BE1106" s="8">
        <v>0</v>
      </c>
      <c r="BF1106" s="8"/>
      <c r="BG1106" s="8">
        <v>0</v>
      </c>
      <c r="BH1106" s="8">
        <v>0</v>
      </c>
      <c r="BI1106" s="8">
        <v>0</v>
      </c>
      <c r="BJ1106" s="8">
        <v>0</v>
      </c>
      <c r="BK1106" s="8">
        <f>SUM(T1106:W1106)</f>
        <v>450</v>
      </c>
      <c r="BL1106" s="8">
        <v>0</v>
      </c>
      <c r="BM1106" s="8">
        <v>0</v>
      </c>
      <c r="BN1106" s="8">
        <f t="shared" si="4255"/>
        <v>0</v>
      </c>
      <c r="BO1106" s="8">
        <f t="shared" si="4256"/>
        <v>0</v>
      </c>
      <c r="BP1106" s="8">
        <f t="shared" si="4257"/>
        <v>0</v>
      </c>
    </row>
    <row r="1107" spans="1:81">
      <c r="B1107" s="878" t="s">
        <v>562</v>
      </c>
      <c r="D1107" s="8">
        <f t="shared" ref="D1107:O1107" si="4274">+D1100</f>
        <v>0</v>
      </c>
      <c r="E1107" s="8">
        <f t="shared" si="4274"/>
        <v>0</v>
      </c>
      <c r="F1107" s="8">
        <f t="shared" si="4274"/>
        <v>0</v>
      </c>
      <c r="G1107" s="8">
        <f t="shared" si="4274"/>
        <v>0</v>
      </c>
      <c r="H1107" s="8">
        <f t="shared" si="4274"/>
        <v>0</v>
      </c>
      <c r="I1107" s="8">
        <f t="shared" si="4274"/>
        <v>0</v>
      </c>
      <c r="J1107" s="8">
        <f t="shared" si="4274"/>
        <v>0</v>
      </c>
      <c r="K1107" s="8">
        <f t="shared" si="4274"/>
        <v>0</v>
      </c>
      <c r="L1107" s="8">
        <f t="shared" si="4274"/>
        <v>0</v>
      </c>
      <c r="M1107" s="8">
        <f t="shared" si="4274"/>
        <v>0</v>
      </c>
      <c r="N1107" s="8">
        <f t="shared" si="4274"/>
        <v>0</v>
      </c>
      <c r="O1107" s="8">
        <f t="shared" si="4274"/>
        <v>0</v>
      </c>
      <c r="P1107" s="8">
        <f t="shared" ref="P1107:Q1107" si="4275">+P1100</f>
        <v>0</v>
      </c>
      <c r="Q1107" s="8">
        <f t="shared" si="4275"/>
        <v>0</v>
      </c>
      <c r="R1107" s="8">
        <f t="shared" ref="R1107:T1107" si="4276">+R1100</f>
        <v>0</v>
      </c>
      <c r="S1107" s="8">
        <f t="shared" si="4276"/>
        <v>0</v>
      </c>
      <c r="T1107" s="8">
        <f t="shared" si="4276"/>
        <v>0</v>
      </c>
      <c r="U1107" s="8">
        <f t="shared" ref="U1107:V1107" si="4277">+U1100</f>
        <v>0</v>
      </c>
      <c r="V1107" s="8">
        <f t="shared" si="4277"/>
        <v>0</v>
      </c>
      <c r="W1107" s="8">
        <f t="shared" ref="W1107:AA1107" si="4278">+W1100</f>
        <v>0</v>
      </c>
      <c r="X1107" s="8">
        <f t="shared" si="4278"/>
        <v>0</v>
      </c>
      <c r="Y1107" s="8">
        <f t="shared" si="4278"/>
        <v>0</v>
      </c>
      <c r="Z1107" s="8">
        <f t="shared" si="4278"/>
        <v>0</v>
      </c>
      <c r="AA1107" s="8">
        <f t="shared" si="4278"/>
        <v>0</v>
      </c>
      <c r="AB1107" s="8">
        <f t="shared" ref="AB1107" si="4279">+AB1100</f>
        <v>0</v>
      </c>
      <c r="AC1107" s="8">
        <f t="shared" ref="AC1107:AE1107" si="4280">+AC1100</f>
        <v>0</v>
      </c>
      <c r="AD1107" s="8">
        <f t="shared" si="4280"/>
        <v>0</v>
      </c>
      <c r="AE1107" s="8">
        <f t="shared" si="4280"/>
        <v>0</v>
      </c>
      <c r="AF1107" s="8">
        <f t="shared" ref="AF1107:AI1107" si="4281">+AF1100</f>
        <v>0</v>
      </c>
      <c r="AG1107" s="8">
        <f t="shared" si="4281"/>
        <v>0</v>
      </c>
      <c r="AH1107" s="8">
        <f t="shared" si="4281"/>
        <v>0</v>
      </c>
      <c r="AI1107" s="8">
        <f t="shared" si="4281"/>
        <v>0</v>
      </c>
      <c r="AJ1107" s="8">
        <f t="shared" ref="AJ1107:AM1107" si="4282">+AJ1100</f>
        <v>0</v>
      </c>
      <c r="AK1107" s="8">
        <f t="shared" si="4282"/>
        <v>0</v>
      </c>
      <c r="AL1107" s="8">
        <f t="shared" si="4282"/>
        <v>0</v>
      </c>
      <c r="AM1107" s="8">
        <f t="shared" si="4282"/>
        <v>0</v>
      </c>
      <c r="AN1107" s="8">
        <f t="shared" ref="AN1107:AQ1107" si="4283">+AN1100</f>
        <v>0</v>
      </c>
      <c r="AO1107" s="8">
        <f t="shared" si="4283"/>
        <v>0</v>
      </c>
      <c r="AP1107" s="8">
        <f t="shared" si="4283"/>
        <v>0</v>
      </c>
      <c r="AQ1107" s="8">
        <f t="shared" si="4283"/>
        <v>0</v>
      </c>
      <c r="AS1107" s="8"/>
      <c r="AT1107" s="8"/>
      <c r="AU1107" s="8"/>
      <c r="AV1107" s="8"/>
      <c r="AW1107" s="8"/>
      <c r="AX1107" s="8"/>
      <c r="AY1107" s="8">
        <f t="shared" ref="AY1107:BE1107" si="4284">+AY1100</f>
        <v>0</v>
      </c>
      <c r="AZ1107" s="8">
        <f t="shared" si="4284"/>
        <v>540</v>
      </c>
      <c r="BA1107" s="8">
        <f t="shared" si="4284"/>
        <v>-540</v>
      </c>
      <c r="BB1107" s="8">
        <f t="shared" si="4284"/>
        <v>0</v>
      </c>
      <c r="BC1107" s="8">
        <f t="shared" si="4284"/>
        <v>0</v>
      </c>
      <c r="BD1107" s="8">
        <f t="shared" si="4284"/>
        <v>0</v>
      </c>
      <c r="BE1107" s="8">
        <f t="shared" si="4284"/>
        <v>0</v>
      </c>
      <c r="BG1107" s="8">
        <f t="shared" ref="BG1107:BH1107" si="4285">+BG1100</f>
        <v>0</v>
      </c>
      <c r="BH1107" s="8">
        <f t="shared" si="4285"/>
        <v>0</v>
      </c>
      <c r="BI1107" s="8">
        <f t="shared" ref="BI1107:BJ1107" si="4286">+BI1100</f>
        <v>0</v>
      </c>
      <c r="BJ1107" s="8">
        <f t="shared" si="4286"/>
        <v>0</v>
      </c>
      <c r="BK1107" s="8">
        <f t="shared" ref="BK1107:BL1107" si="4287">+BK1100</f>
        <v>0</v>
      </c>
      <c r="BL1107" s="8">
        <f t="shared" si="4287"/>
        <v>0</v>
      </c>
      <c r="BM1107" s="8">
        <f t="shared" ref="BM1107" si="4288">+BM1100</f>
        <v>0</v>
      </c>
      <c r="BN1107" s="8">
        <f t="shared" si="4255"/>
        <v>0</v>
      </c>
      <c r="BO1107" s="8">
        <f t="shared" si="4256"/>
        <v>0</v>
      </c>
      <c r="BP1107" s="8">
        <f t="shared" si="4257"/>
        <v>0</v>
      </c>
    </row>
    <row r="1108" spans="1:81">
      <c r="B1108" s="878" t="s">
        <v>565</v>
      </c>
      <c r="D1108" s="879">
        <v>0</v>
      </c>
      <c r="E1108" s="879">
        <v>0</v>
      </c>
      <c r="F1108" s="879">
        <v>0</v>
      </c>
      <c r="G1108" s="879">
        <v>0</v>
      </c>
      <c r="H1108" s="879">
        <v>0</v>
      </c>
      <c r="I1108" s="879">
        <v>0</v>
      </c>
      <c r="J1108" s="879">
        <v>0</v>
      </c>
      <c r="K1108" s="879">
        <v>0</v>
      </c>
      <c r="L1108" s="879">
        <v>0</v>
      </c>
      <c r="M1108" s="879">
        <v>0</v>
      </c>
      <c r="N1108" s="879">
        <v>0</v>
      </c>
      <c r="O1108" s="879">
        <v>0</v>
      </c>
      <c r="P1108" s="879">
        <v>0</v>
      </c>
      <c r="Q1108" s="879">
        <v>0</v>
      </c>
      <c r="R1108" s="879">
        <v>0</v>
      </c>
      <c r="S1108" s="879">
        <v>0</v>
      </c>
      <c r="T1108" s="879">
        <v>0</v>
      </c>
      <c r="U1108" s="879">
        <v>0</v>
      </c>
      <c r="V1108" s="879">
        <v>0</v>
      </c>
      <c r="W1108" s="879">
        <v>0</v>
      </c>
      <c r="X1108" s="879">
        <v>0</v>
      </c>
      <c r="Y1108" s="879">
        <v>0</v>
      </c>
      <c r="Z1108" s="879">
        <v>0</v>
      </c>
      <c r="AA1108" s="879">
        <v>0</v>
      </c>
      <c r="AB1108" s="879">
        <v>0</v>
      </c>
      <c r="AC1108" s="879">
        <v>0</v>
      </c>
      <c r="AD1108" s="879">
        <v>0</v>
      </c>
      <c r="AE1108" s="879">
        <v>0</v>
      </c>
      <c r="AF1108" s="879">
        <v>0</v>
      </c>
      <c r="AG1108" s="879">
        <v>0</v>
      </c>
      <c r="AH1108" s="879">
        <v>0</v>
      </c>
      <c r="AI1108" s="879">
        <v>0</v>
      </c>
      <c r="AJ1108" s="879">
        <v>0</v>
      </c>
      <c r="AK1108" s="879">
        <v>0</v>
      </c>
      <c r="AL1108" s="879">
        <v>0</v>
      </c>
      <c r="AM1108" s="879">
        <v>0</v>
      </c>
      <c r="AN1108" s="879">
        <v>0</v>
      </c>
      <c r="AO1108" s="879">
        <v>0</v>
      </c>
      <c r="AP1108" s="879">
        <v>0</v>
      </c>
      <c r="AQ1108" s="879">
        <v>0</v>
      </c>
      <c r="AS1108" s="879"/>
      <c r="AT1108" s="879"/>
      <c r="AU1108" s="879"/>
      <c r="AV1108" s="879"/>
      <c r="AW1108" s="879"/>
      <c r="AX1108" s="879"/>
      <c r="AY1108" s="879">
        <v>0</v>
      </c>
      <c r="AZ1108" s="879">
        <v>0</v>
      </c>
      <c r="BA1108" s="879">
        <v>733</v>
      </c>
      <c r="BB1108" s="879">
        <v>0</v>
      </c>
      <c r="BC1108" s="879">
        <v>0</v>
      </c>
      <c r="BD1108" s="879">
        <v>0</v>
      </c>
      <c r="BE1108" s="879">
        <v>0</v>
      </c>
      <c r="BG1108" s="879">
        <v>0</v>
      </c>
      <c r="BH1108" s="879">
        <v>0</v>
      </c>
      <c r="BI1108" s="879">
        <v>0</v>
      </c>
      <c r="BJ1108" s="879">
        <v>0</v>
      </c>
      <c r="BK1108" s="879">
        <v>0</v>
      </c>
      <c r="BL1108" s="879">
        <v>0</v>
      </c>
      <c r="BM1108" s="879">
        <v>0</v>
      </c>
      <c r="BN1108" s="879">
        <f t="shared" si="4255"/>
        <v>0</v>
      </c>
      <c r="BO1108" s="879">
        <f t="shared" si="4256"/>
        <v>0</v>
      </c>
      <c r="BP1108" s="879">
        <f t="shared" si="4257"/>
        <v>0</v>
      </c>
    </row>
    <row r="1109" spans="1:81">
      <c r="B1109" s="878" t="s">
        <v>566</v>
      </c>
      <c r="D1109" s="8">
        <v>0</v>
      </c>
      <c r="E1109" s="8">
        <v>0</v>
      </c>
      <c r="F1109" s="8">
        <v>0</v>
      </c>
      <c r="G1109" s="8">
        <v>0</v>
      </c>
      <c r="H1109" s="8">
        <v>0</v>
      </c>
      <c r="I1109" s="8">
        <v>0</v>
      </c>
      <c r="J1109" s="8">
        <v>0</v>
      </c>
      <c r="K1109" s="8">
        <v>0</v>
      </c>
      <c r="L1109" s="8">
        <v>0</v>
      </c>
      <c r="M1109" s="8">
        <v>0</v>
      </c>
      <c r="N1109" s="8">
        <v>0</v>
      </c>
      <c r="O1109" s="8">
        <v>0</v>
      </c>
      <c r="P1109" s="8">
        <v>0</v>
      </c>
      <c r="Q1109" s="8">
        <v>0</v>
      </c>
      <c r="R1109" s="8">
        <v>0</v>
      </c>
      <c r="S1109" s="8">
        <v>0</v>
      </c>
      <c r="T1109" s="8">
        <v>0</v>
      </c>
      <c r="U1109" s="8">
        <v>0</v>
      </c>
      <c r="V1109" s="8">
        <v>0</v>
      </c>
      <c r="W1109" s="29">
        <v>450</v>
      </c>
      <c r="X1109" s="8">
        <v>0</v>
      </c>
      <c r="Y1109" s="8">
        <v>0</v>
      </c>
      <c r="Z1109" s="8">
        <v>0</v>
      </c>
      <c r="AA1109" s="8">
        <v>0</v>
      </c>
      <c r="AB1109" s="8">
        <v>0</v>
      </c>
      <c r="AC1109" s="8">
        <v>0</v>
      </c>
      <c r="AD1109" s="8">
        <v>0</v>
      </c>
      <c r="AE1109" s="8">
        <v>0</v>
      </c>
      <c r="AF1109" s="8">
        <v>0</v>
      </c>
      <c r="AG1109" s="8">
        <v>0</v>
      </c>
      <c r="AH1109" s="8">
        <v>0</v>
      </c>
      <c r="AI1109" s="8">
        <v>0</v>
      </c>
      <c r="AJ1109" s="8">
        <v>0</v>
      </c>
      <c r="AK1109" s="8">
        <f>580+550</f>
        <v>1130</v>
      </c>
      <c r="AL1109" s="8">
        <f>670+270</f>
        <v>940</v>
      </c>
      <c r="AM1109" s="8">
        <f>690+250</f>
        <v>940</v>
      </c>
      <c r="AN1109" s="8">
        <f>680+230</f>
        <v>910</v>
      </c>
      <c r="AO1109" s="8">
        <v>0</v>
      </c>
      <c r="AP1109" s="8">
        <v>0</v>
      </c>
      <c r="AQ1109" s="8">
        <v>0</v>
      </c>
      <c r="AS1109" s="8"/>
      <c r="AT1109" s="8"/>
      <c r="AU1109" s="8"/>
      <c r="AV1109" s="8"/>
      <c r="AW1109" s="8"/>
      <c r="AX1109" s="8"/>
      <c r="AY1109" s="8">
        <v>0</v>
      </c>
      <c r="AZ1109" s="8">
        <v>0</v>
      </c>
      <c r="BA1109" s="8">
        <v>0</v>
      </c>
      <c r="BB1109" s="8">
        <v>0</v>
      </c>
      <c r="BC1109" s="8">
        <v>0</v>
      </c>
      <c r="BD1109" s="8">
        <v>0</v>
      </c>
      <c r="BE1109" s="8">
        <v>0</v>
      </c>
      <c r="BF1109" s="8"/>
      <c r="BG1109" s="8">
        <v>0</v>
      </c>
      <c r="BH1109" s="8">
        <v>0</v>
      </c>
      <c r="BI1109" s="8">
        <v>0</v>
      </c>
      <c r="BJ1109" s="8">
        <v>0</v>
      </c>
      <c r="BK1109" s="8">
        <v>0</v>
      </c>
      <c r="BL1109" s="8">
        <v>0</v>
      </c>
      <c r="BM1109" s="8">
        <v>0</v>
      </c>
      <c r="BN1109" s="8">
        <f t="shared" ref="BN1109" si="4289">SUM(AF1109:AI1109)</f>
        <v>0</v>
      </c>
      <c r="BO1109" s="8">
        <f t="shared" ref="BO1109" si="4290">SUM(AJ1109:AM1109)</f>
        <v>3010</v>
      </c>
      <c r="BP1109" s="8">
        <f t="shared" si="4257"/>
        <v>910</v>
      </c>
    </row>
    <row r="1110" spans="1:81" ht="11.45">
      <c r="B1110" s="878" t="s">
        <v>567</v>
      </c>
      <c r="D1110" s="10">
        <f t="shared" ref="D1110:AI1110" si="4291">+D1082</f>
        <v>0</v>
      </c>
      <c r="E1110" s="10">
        <f t="shared" si="4291"/>
        <v>0</v>
      </c>
      <c r="F1110" s="10">
        <f t="shared" si="4291"/>
        <v>0</v>
      </c>
      <c r="G1110" s="10">
        <f t="shared" si="4291"/>
        <v>1110</v>
      </c>
      <c r="H1110" s="10">
        <f t="shared" si="4291"/>
        <v>0</v>
      </c>
      <c r="I1110" s="10">
        <f t="shared" si="4291"/>
        <v>0</v>
      </c>
      <c r="J1110" s="10">
        <f t="shared" si="4291"/>
        <v>0</v>
      </c>
      <c r="K1110" s="10">
        <f t="shared" si="4291"/>
        <v>306</v>
      </c>
      <c r="L1110" s="10">
        <f t="shared" si="4291"/>
        <v>0</v>
      </c>
      <c r="M1110" s="10">
        <f t="shared" si="4291"/>
        <v>0</v>
      </c>
      <c r="N1110" s="10">
        <f t="shared" si="4291"/>
        <v>0</v>
      </c>
      <c r="O1110" s="10">
        <f t="shared" si="4291"/>
        <v>0</v>
      </c>
      <c r="P1110" s="10">
        <f t="shared" si="4291"/>
        <v>0</v>
      </c>
      <c r="Q1110" s="10">
        <f t="shared" si="4291"/>
        <v>0</v>
      </c>
      <c r="R1110" s="10">
        <f t="shared" si="4291"/>
        <v>0</v>
      </c>
      <c r="S1110" s="10">
        <f t="shared" si="4291"/>
        <v>0</v>
      </c>
      <c r="T1110" s="10">
        <f t="shared" si="4291"/>
        <v>0</v>
      </c>
      <c r="U1110" s="10">
        <f t="shared" si="4291"/>
        <v>0</v>
      </c>
      <c r="V1110" s="10">
        <f t="shared" si="4291"/>
        <v>0</v>
      </c>
      <c r="W1110" s="10">
        <f t="shared" si="4291"/>
        <v>0</v>
      </c>
      <c r="X1110" s="10">
        <f t="shared" si="4291"/>
        <v>0</v>
      </c>
      <c r="Y1110" s="10">
        <f t="shared" si="4291"/>
        <v>0</v>
      </c>
      <c r="Z1110" s="10">
        <f t="shared" si="4291"/>
        <v>0</v>
      </c>
      <c r="AA1110" s="10">
        <f t="shared" si="4291"/>
        <v>0</v>
      </c>
      <c r="AB1110" s="10">
        <f t="shared" si="4291"/>
        <v>0</v>
      </c>
      <c r="AC1110" s="10">
        <f t="shared" si="4291"/>
        <v>0</v>
      </c>
      <c r="AD1110" s="10">
        <f t="shared" si="4291"/>
        <v>0</v>
      </c>
      <c r="AE1110" s="10">
        <f t="shared" si="4291"/>
        <v>0</v>
      </c>
      <c r="AF1110" s="10">
        <f t="shared" si="4291"/>
        <v>0</v>
      </c>
      <c r="AG1110" s="10">
        <v>1171</v>
      </c>
      <c r="AH1110" s="10">
        <f t="shared" si="4291"/>
        <v>0</v>
      </c>
      <c r="AI1110" s="10">
        <f t="shared" si="4291"/>
        <v>0</v>
      </c>
      <c r="AJ1110" s="10">
        <f t="shared" ref="AJ1110:AM1110" si="4292">+AJ1082</f>
        <v>0</v>
      </c>
      <c r="AK1110" s="10">
        <f t="shared" si="4292"/>
        <v>0</v>
      </c>
      <c r="AL1110" s="10">
        <f t="shared" si="4292"/>
        <v>0</v>
      </c>
      <c r="AM1110" s="10">
        <f t="shared" si="4292"/>
        <v>0</v>
      </c>
      <c r="AN1110" s="10">
        <f t="shared" ref="AN1110:AQ1110" si="4293">+AN1082</f>
        <v>0</v>
      </c>
      <c r="AO1110" s="10">
        <f t="shared" si="4293"/>
        <v>0</v>
      </c>
      <c r="AP1110" s="10">
        <f t="shared" si="4293"/>
        <v>0</v>
      </c>
      <c r="AQ1110" s="10">
        <f t="shared" si="4293"/>
        <v>0</v>
      </c>
      <c r="AS1110" s="10"/>
      <c r="AT1110" s="10"/>
      <c r="AU1110" s="10"/>
      <c r="AV1110" s="10"/>
      <c r="AW1110" s="10"/>
      <c r="AX1110" s="10"/>
      <c r="AY1110" s="10">
        <f t="shared" ref="AY1110:BE1110" si="4294">+AY1082</f>
        <v>0</v>
      </c>
      <c r="AZ1110" s="10">
        <f t="shared" si="4294"/>
        <v>6193</v>
      </c>
      <c r="BA1110" s="10">
        <f t="shared" si="4294"/>
        <v>0</v>
      </c>
      <c r="BB1110" s="10">
        <f t="shared" si="4294"/>
        <v>127</v>
      </c>
      <c r="BC1110" s="10">
        <f t="shared" si="4294"/>
        <v>10011</v>
      </c>
      <c r="BD1110" s="10">
        <f t="shared" si="4294"/>
        <v>1110</v>
      </c>
      <c r="BE1110" s="10">
        <f t="shared" si="4294"/>
        <v>306</v>
      </c>
      <c r="BG1110" s="10">
        <f t="shared" ref="BG1110:BM1110" si="4295">+BG1082</f>
        <v>1110</v>
      </c>
      <c r="BH1110" s="10">
        <f t="shared" si="4295"/>
        <v>306</v>
      </c>
      <c r="BI1110" s="10">
        <f t="shared" si="4295"/>
        <v>0</v>
      </c>
      <c r="BJ1110" s="10">
        <f t="shared" si="4295"/>
        <v>0</v>
      </c>
      <c r="BK1110" s="10">
        <f t="shared" si="4295"/>
        <v>0</v>
      </c>
      <c r="BL1110" s="10">
        <f t="shared" si="4295"/>
        <v>0</v>
      </c>
      <c r="BM1110" s="10">
        <f t="shared" si="4295"/>
        <v>0</v>
      </c>
      <c r="BN1110" s="10">
        <f t="shared" si="4255"/>
        <v>1171</v>
      </c>
      <c r="BO1110" s="10">
        <f t="shared" si="4256"/>
        <v>0</v>
      </c>
      <c r="BP1110" s="10">
        <f t="shared" si="4257"/>
        <v>0</v>
      </c>
    </row>
    <row r="1111" spans="1:81" s="1" customFormat="1" ht="10.5">
      <c r="B1111" s="882" t="s">
        <v>568</v>
      </c>
      <c r="D1111" s="838">
        <f t="shared" ref="D1111" si="4296">SUM(D1104:D1110)</f>
        <v>6316</v>
      </c>
      <c r="E1111" s="838">
        <f t="shared" ref="E1111" si="4297">SUM(E1104:E1110)</f>
        <v>7489</v>
      </c>
      <c r="F1111" s="838">
        <f t="shared" ref="F1111" si="4298">SUM(F1104:F1110)</f>
        <v>6277</v>
      </c>
      <c r="G1111" s="838">
        <f t="shared" ref="G1111" si="4299">SUM(G1104:G1110)</f>
        <v>7106</v>
      </c>
      <c r="H1111" s="838">
        <f t="shared" ref="H1111" si="4300">SUM(H1104:H1110)</f>
        <v>6715</v>
      </c>
      <c r="I1111" s="838">
        <f t="shared" ref="I1111" si="4301">SUM(I1104:I1110)</f>
        <v>7905</v>
      </c>
      <c r="J1111" s="838">
        <f t="shared" ref="J1111" si="4302">SUM(J1104:J1110)</f>
        <v>6723</v>
      </c>
      <c r="K1111" s="838">
        <f t="shared" ref="K1111" si="4303">SUM(K1104:K1110)</f>
        <v>7988</v>
      </c>
      <c r="L1111" s="838">
        <f t="shared" ref="L1111" si="4304">SUM(L1104:L1110)</f>
        <v>7708</v>
      </c>
      <c r="M1111" s="838">
        <f t="shared" ref="M1111" si="4305">SUM(M1104:M1110)</f>
        <v>8679</v>
      </c>
      <c r="N1111" s="838">
        <f t="shared" ref="N1111" si="4306">SUM(N1104:N1110)</f>
        <v>8292</v>
      </c>
      <c r="O1111" s="838">
        <f t="shared" ref="O1111:P1111" si="4307">SUM(O1104:O1110)</f>
        <v>10379</v>
      </c>
      <c r="P1111" s="838">
        <f t="shared" si="4307"/>
        <v>9955</v>
      </c>
      <c r="Q1111" s="838">
        <f t="shared" ref="Q1111:T1111" si="4308">SUM(Q1104:Q1110)</f>
        <v>10258</v>
      </c>
      <c r="R1111" s="838">
        <f t="shared" si="4308"/>
        <v>10341</v>
      </c>
      <c r="S1111" s="838">
        <f t="shared" si="4308"/>
        <v>12405</v>
      </c>
      <c r="T1111" s="838">
        <f t="shared" si="4308"/>
        <v>12686</v>
      </c>
      <c r="U1111" s="838">
        <f t="shared" ref="U1111:V1111" si="4309">SUM(U1104:U1110)</f>
        <v>13891</v>
      </c>
      <c r="V1111" s="838">
        <f t="shared" si="4309"/>
        <v>12975</v>
      </c>
      <c r="W1111" s="838">
        <f t="shared" ref="W1111:AA1111" si="4310">SUM(W1104:W1110)</f>
        <v>14307</v>
      </c>
      <c r="X1111" s="838">
        <f t="shared" si="4310"/>
        <v>15876</v>
      </c>
      <c r="Y1111" s="838">
        <f t="shared" si="4310"/>
        <v>17897</v>
      </c>
      <c r="Z1111" s="838">
        <f t="shared" si="4310"/>
        <v>17048</v>
      </c>
      <c r="AA1111" s="838">
        <f t="shared" si="4310"/>
        <v>19095</v>
      </c>
      <c r="AB1111" s="838">
        <f t="shared" ref="AB1111" si="4311">SUM(AB1104:AB1110)</f>
        <v>20238</v>
      </c>
      <c r="AC1111" s="838">
        <f t="shared" ref="AC1111:AE1111" si="4312">SUM(AC1104:AC1110)</f>
        <v>22247</v>
      </c>
      <c r="AD1111" s="838">
        <f t="shared" si="4312"/>
        <v>20364</v>
      </c>
      <c r="AE1111" s="838">
        <f t="shared" si="4312"/>
        <v>20534</v>
      </c>
      <c r="AF1111" s="838">
        <f t="shared" ref="AF1111:AI1111" si="4313">SUM(AF1104:AF1110)</f>
        <v>21518</v>
      </c>
      <c r="AG1111" s="838">
        <f t="shared" si="4313"/>
        <v>21570</v>
      </c>
      <c r="AH1111" s="838">
        <f t="shared" si="4313"/>
        <v>22352</v>
      </c>
      <c r="AI1111" s="838">
        <f t="shared" si="4313"/>
        <v>24254</v>
      </c>
      <c r="AJ1111" s="838">
        <f t="shared" ref="AJ1111:AM1111" si="4314">SUM(AJ1104:AJ1110)</f>
        <v>26895</v>
      </c>
      <c r="AK1111" s="838">
        <f t="shared" si="4314"/>
        <v>28162</v>
      </c>
      <c r="AL1111" s="838">
        <f t="shared" si="4314"/>
        <v>28521</v>
      </c>
      <c r="AM1111" s="838">
        <f t="shared" si="4314"/>
        <v>28865</v>
      </c>
      <c r="AN1111" s="838">
        <f t="shared" ref="AN1111:AQ1111" si="4315">SUM(AN1104:AN1110)</f>
        <v>31462</v>
      </c>
      <c r="AO1111" s="838">
        <f t="shared" si="4315"/>
        <v>31872.765274016641</v>
      </c>
      <c r="AP1111" s="838">
        <f t="shared" si="4315"/>
        <v>32764.505813520242</v>
      </c>
      <c r="AQ1111" s="838">
        <f t="shared" si="4315"/>
        <v>33501.755036249015</v>
      </c>
      <c r="AS1111" s="838"/>
      <c r="AT1111" s="838"/>
      <c r="AU1111" s="838"/>
      <c r="AV1111" s="838"/>
      <c r="AW1111" s="838"/>
      <c r="AX1111" s="838"/>
      <c r="AY1111" s="838">
        <f t="shared" ref="AY1111:BB1111" si="4316">SUM(AY1104:AY1110)</f>
        <v>27161</v>
      </c>
      <c r="AZ1111" s="838">
        <f t="shared" si="4316"/>
        <v>28496</v>
      </c>
      <c r="BA1111" s="838">
        <f t="shared" si="4316"/>
        <v>26957</v>
      </c>
      <c r="BB1111" s="838">
        <f t="shared" si="4316"/>
        <v>27886</v>
      </c>
      <c r="BC1111" s="838">
        <f>SUM(BC1104:BC1110)</f>
        <v>28172</v>
      </c>
      <c r="BD1111" s="838">
        <f t="shared" ref="BD1111:BE1111" si="4317">SUM(BD1104:BD1110)</f>
        <v>27935</v>
      </c>
      <c r="BE1111" s="838">
        <f t="shared" si="4317"/>
        <v>29339</v>
      </c>
      <c r="BG1111" s="838">
        <f t="shared" ref="BG1111" si="4318">SUM(BG1104:BG1110)</f>
        <v>27188</v>
      </c>
      <c r="BH1111" s="838">
        <f t="shared" ref="BH1111:BI1111" si="4319">SUM(BH1104:BH1110)</f>
        <v>29331</v>
      </c>
      <c r="BI1111" s="838">
        <f t="shared" si="4319"/>
        <v>35058</v>
      </c>
      <c r="BJ1111" s="838">
        <f t="shared" ref="BJ1111:BL1111" si="4320">SUM(BJ1104:BJ1110)</f>
        <v>42959</v>
      </c>
      <c r="BK1111" s="838">
        <f t="shared" si="4320"/>
        <v>53409</v>
      </c>
      <c r="BL1111" s="838">
        <f t="shared" si="4320"/>
        <v>69916</v>
      </c>
      <c r="BM1111" s="838">
        <f t="shared" ref="BM1111" si="4321">SUM(BM1104:BM1110)</f>
        <v>83383</v>
      </c>
      <c r="BN1111" s="838">
        <f t="shared" si="4255"/>
        <v>89694</v>
      </c>
      <c r="BO1111" s="838">
        <f t="shared" si="4256"/>
        <v>112443</v>
      </c>
      <c r="BP1111" s="838">
        <f t="shared" si="4257"/>
        <v>129601.02612378589</v>
      </c>
      <c r="BT1111"/>
      <c r="BU1111"/>
      <c r="BV1111"/>
      <c r="BW1111"/>
      <c r="BX1111"/>
      <c r="BY1111"/>
      <c r="BZ1111"/>
      <c r="CA1111"/>
      <c r="CB1111"/>
      <c r="CC1111"/>
    </row>
    <row r="1112" spans="1:81" s="7" customFormat="1">
      <c r="B1112" s="887" t="s">
        <v>113</v>
      </c>
      <c r="D1112" s="946"/>
      <c r="E1112" s="946"/>
      <c r="F1112" s="946"/>
      <c r="G1112" s="946"/>
      <c r="H1112" s="946">
        <f>+H1111/D1111-1</f>
        <v>6.317289423685879E-2</v>
      </c>
      <c r="I1112" s="946">
        <f t="shared" ref="I1112" si="4322">+I1111/E1111-1</f>
        <v>5.5548137267993125E-2</v>
      </c>
      <c r="J1112" s="946">
        <f t="shared" ref="J1112" si="4323">+J1111/F1111-1</f>
        <v>7.1053050820455654E-2</v>
      </c>
      <c r="K1112" s="946">
        <f t="shared" ref="K1112" si="4324">+K1111/G1111-1</f>
        <v>0.12412046158176193</v>
      </c>
      <c r="L1112" s="946">
        <f t="shared" ref="L1112" si="4325">+L1111/H1111-1</f>
        <v>0.14787788533134782</v>
      </c>
      <c r="M1112" s="946">
        <f t="shared" ref="M1112" si="4326">+M1111/I1111-1</f>
        <v>9.7912713472485757E-2</v>
      </c>
      <c r="N1112" s="946">
        <f t="shared" ref="N1112" si="4327">+N1111/J1111-1</f>
        <v>0.23337795626952262</v>
      </c>
      <c r="O1112" s="946">
        <f t="shared" ref="O1112" si="4328">+O1111/K1111-1</f>
        <v>0.29932398597896848</v>
      </c>
      <c r="P1112" s="946">
        <f t="shared" ref="P1112" si="4329">+P1111/L1111-1</f>
        <v>0.29151530877010901</v>
      </c>
      <c r="Q1112" s="946">
        <f t="shared" ref="Q1112" si="4330">+Q1111/M1111-1</f>
        <v>0.18193340246572176</v>
      </c>
      <c r="R1112" s="946">
        <f t="shared" ref="R1112" si="4331">+R1111/N1111-1</f>
        <v>0.2471056439942112</v>
      </c>
      <c r="S1112" s="946">
        <f t="shared" ref="S1112" si="4332">+S1111/O1111-1</f>
        <v>0.19520184988919942</v>
      </c>
      <c r="T1112" s="946">
        <f t="shared" ref="T1112" si="4333">+T1111/P1111-1</f>
        <v>0.27433450527373182</v>
      </c>
      <c r="U1112" s="946">
        <f t="shared" ref="U1112" si="4334">+U1111/Q1111-1</f>
        <v>0.3541626047962565</v>
      </c>
      <c r="V1112" s="946">
        <f t="shared" ref="V1112" si="4335">+V1111/R1111-1</f>
        <v>0.25471424427038003</v>
      </c>
      <c r="W1112" s="946">
        <f t="shared" ref="W1112" si="4336">+W1111/S1111-1</f>
        <v>0.15332527206771474</v>
      </c>
      <c r="X1112" s="946">
        <f t="shared" ref="X1112" si="4337">+X1111/T1111-1</f>
        <v>0.25145830048872764</v>
      </c>
      <c r="Y1112" s="946">
        <f t="shared" ref="Y1112" si="4338">+Y1111/U1111-1</f>
        <v>0.28838816499892017</v>
      </c>
      <c r="Z1112" s="946">
        <f t="shared" ref="Z1112" si="4339">+Z1111/V1111-1</f>
        <v>0.31391136801541419</v>
      </c>
      <c r="AA1112" s="946">
        <f t="shared" ref="AA1112" si="4340">+AA1111/W1111-1</f>
        <v>0.33466135458167323</v>
      </c>
      <c r="AB1112" s="946">
        <f t="shared" ref="AB1112" si="4341">+AB1111/X1111-1</f>
        <v>0.27475434618291761</v>
      </c>
      <c r="AC1112" s="946">
        <f t="shared" ref="AC1112" si="4342">+AC1111/Y1111-1</f>
        <v>0.24305749566966539</v>
      </c>
      <c r="AD1112" s="946">
        <f t="shared" ref="AD1112" si="4343">+AD1111/Z1111-1</f>
        <v>0.19450961989676219</v>
      </c>
      <c r="AE1112" s="946">
        <f t="shared" ref="AE1112" si="4344">+AE1111/AA1111-1</f>
        <v>7.5360041895784269E-2</v>
      </c>
      <c r="AF1112" s="946">
        <f t="shared" ref="AF1112" si="4345">+AF1111/AB1111-1</f>
        <v>6.3247356458147941E-2</v>
      </c>
      <c r="AG1112" s="946">
        <f t="shared" ref="AG1112" si="4346">+AG1111/AC1111-1</f>
        <v>-3.0431069357666152E-2</v>
      </c>
      <c r="AH1112" s="946">
        <f t="shared" ref="AH1112" si="4347">+AH1111/AD1111-1</f>
        <v>9.7623256727558338E-2</v>
      </c>
      <c r="AI1112" s="946">
        <f t="shared" ref="AI1112" si="4348">+AI1111/AE1111-1</f>
        <v>0.18116294925489429</v>
      </c>
      <c r="AJ1112" s="946">
        <f t="shared" ref="AJ1112" si="4349">+AJ1111/AF1111-1</f>
        <v>0.2498838181987173</v>
      </c>
      <c r="AK1112" s="946">
        <f t="shared" ref="AK1112" si="4350">+AK1111/AG1111-1</f>
        <v>0.30560964302271665</v>
      </c>
      <c r="AL1112" s="946">
        <f t="shared" ref="AL1112" si="4351">+AL1111/AH1111-1</f>
        <v>0.2759931997136722</v>
      </c>
      <c r="AM1112" s="946">
        <f t="shared" ref="AM1112" si="4352">+AM1111/AI1111-1</f>
        <v>0.19011297105632052</v>
      </c>
      <c r="AN1112" s="946">
        <f t="shared" ref="AN1112" si="4353">+AN1111/AJ1111-1</f>
        <v>0.16980851459379065</v>
      </c>
      <c r="AO1112" s="946">
        <f t="shared" ref="AO1112" si="4354">+AO1111/AK1111-1</f>
        <v>0.13176497670679077</v>
      </c>
      <c r="AP1112" s="946">
        <f t="shared" ref="AP1112" si="4355">+AP1111/AL1111-1</f>
        <v>0.1487853095445546</v>
      </c>
      <c r="AQ1112" s="946">
        <f t="shared" ref="AQ1112" si="4356">+AQ1111/AM1111-1</f>
        <v>0.16063589247354981</v>
      </c>
      <c r="AT1112" s="946"/>
      <c r="AU1112" s="946"/>
      <c r="AV1112" s="946"/>
      <c r="AW1112" s="946"/>
      <c r="AX1112" s="946"/>
      <c r="AY1112" s="946"/>
      <c r="AZ1112" s="946">
        <f t="shared" ref="AZ1112:BD1112" si="4357">+AZ1111/AY1111-1</f>
        <v>4.9151356724715489E-2</v>
      </c>
      <c r="BA1112" s="946">
        <f t="shared" si="4357"/>
        <v>-5.4007580011229628E-2</v>
      </c>
      <c r="BB1112" s="946">
        <f t="shared" si="4357"/>
        <v>3.4462291798048827E-2</v>
      </c>
      <c r="BC1112" s="946">
        <f t="shared" si="4357"/>
        <v>1.025604245858136E-2</v>
      </c>
      <c r="BD1112" s="946">
        <f t="shared" si="4357"/>
        <v>-8.4126082635240795E-3</v>
      </c>
      <c r="BE1112" s="946">
        <f>+BE1111/BD1111-1</f>
        <v>5.0259531054233086E-2</v>
      </c>
      <c r="BG1112" s="947" t="s">
        <v>273</v>
      </c>
      <c r="BH1112" s="946">
        <f t="shared" ref="BH1112:BI1112" si="4358">+BH1111/BG1111-1</f>
        <v>7.882153891422683E-2</v>
      </c>
      <c r="BI1112" s="946">
        <f t="shared" si="4358"/>
        <v>0.19525416794517736</v>
      </c>
      <c r="BJ1112" s="946">
        <f t="shared" ref="BJ1112" si="4359">+BJ1111/BI1111-1</f>
        <v>0.22536938787152727</v>
      </c>
      <c r="BK1112" s="946">
        <f t="shared" ref="BK1112" si="4360">+BK1111/BJ1111-1</f>
        <v>0.24325519681556829</v>
      </c>
      <c r="BL1112" s="946">
        <f t="shared" ref="BL1112" si="4361">+BL1111/BK1111-1</f>
        <v>0.30906776011533643</v>
      </c>
      <c r="BM1112" s="946">
        <f t="shared" ref="BM1112" si="4362">+BM1111/BL1111-1</f>
        <v>0.19261685451112753</v>
      </c>
      <c r="BN1112" s="946">
        <f t="shared" ref="BN1112" si="4363">+BN1111/BM1111-1</f>
        <v>7.5686890613194446E-2</v>
      </c>
      <c r="BO1112" s="946">
        <f t="shared" ref="BO1112" si="4364">+BO1111/BN1111-1</f>
        <v>0.25362900528463439</v>
      </c>
      <c r="BP1112" s="946">
        <f t="shared" ref="BP1112" si="4365">+BP1111/BO1111-1</f>
        <v>0.15259310160513229</v>
      </c>
      <c r="BT1112"/>
      <c r="BU1112"/>
      <c r="BV1112"/>
      <c r="BW1112"/>
      <c r="BX1112"/>
      <c r="BY1112"/>
      <c r="BZ1112"/>
      <c r="CA1112"/>
      <c r="CB1112"/>
      <c r="CC1112"/>
    </row>
    <row r="1113" spans="1:81" s="948" customFormat="1" ht="10.5">
      <c r="A1113" s="7"/>
      <c r="B1113" s="887" t="s">
        <v>272</v>
      </c>
      <c r="H1113" s="949" t="s">
        <v>273</v>
      </c>
      <c r="I1113" s="949" t="s">
        <v>273</v>
      </c>
      <c r="J1113" s="949" t="s">
        <v>273</v>
      </c>
      <c r="K1113" s="949" t="s">
        <v>273</v>
      </c>
      <c r="L1113" s="950">
        <v>0.15</v>
      </c>
      <c r="M1113" s="950">
        <v>0.1</v>
      </c>
      <c r="N1113" s="950">
        <v>0.2</v>
      </c>
      <c r="O1113" s="950">
        <v>0.24</v>
      </c>
      <c r="P1113" s="950">
        <v>0.28000000000000003</v>
      </c>
      <c r="Q1113" s="950">
        <v>0.18</v>
      </c>
      <c r="R1113" s="950">
        <v>0.27</v>
      </c>
      <c r="S1113" s="950">
        <v>0.24</v>
      </c>
      <c r="T1113" s="950">
        <v>0.32</v>
      </c>
      <c r="U1113" s="950">
        <v>0.39</v>
      </c>
      <c r="V1113" s="950">
        <v>0.28000000000000003</v>
      </c>
      <c r="W1113" s="951">
        <f>+W1112+4%</f>
        <v>0.19332527206771474</v>
      </c>
      <c r="X1113" s="950">
        <v>0.25</v>
      </c>
      <c r="Y1113" s="950">
        <v>0.26</v>
      </c>
      <c r="Z1113" s="950">
        <v>0.27</v>
      </c>
      <c r="AA1113" s="950">
        <v>0.35</v>
      </c>
      <c r="AB1113" s="950">
        <v>0.24</v>
      </c>
      <c r="AC1113" s="950">
        <v>0.24</v>
      </c>
      <c r="AD1113" s="950">
        <v>0.23</v>
      </c>
      <c r="AE1113" s="950">
        <v>0.14000000000000001</v>
      </c>
      <c r="AF1113" s="950">
        <v>0.15</v>
      </c>
      <c r="AG1113" s="950">
        <v>0.06</v>
      </c>
      <c r="AH1113" s="950">
        <v>0.15</v>
      </c>
      <c r="AI1113" s="950">
        <v>0.21</v>
      </c>
      <c r="AJ1113" s="950">
        <v>0.24</v>
      </c>
      <c r="AK1113" s="950">
        <f>+AK1112-3%</f>
        <v>0.27560964302271662</v>
      </c>
      <c r="AL1113" s="950">
        <f>+AL1112-0%</f>
        <v>0.2759931997136722</v>
      </c>
      <c r="AM1113" s="950">
        <f>+AM1112+1%</f>
        <v>0.20011297105632053</v>
      </c>
      <c r="AN1113" s="950">
        <f>+AN1112+0%</f>
        <v>0.16980851459379065</v>
      </c>
      <c r="AO1113" s="948">
        <f t="shared" ref="AO1113:AQ1113" si="4366">+AO1112</f>
        <v>0.13176497670679077</v>
      </c>
      <c r="AP1113" s="948">
        <f t="shared" si="4366"/>
        <v>0.1487853095445546</v>
      </c>
      <c r="AQ1113" s="948">
        <f t="shared" si="4366"/>
        <v>0.16063589247354981</v>
      </c>
      <c r="AZ1113" s="947" t="s">
        <v>273</v>
      </c>
      <c r="BA1113" s="947" t="s">
        <v>273</v>
      </c>
      <c r="BB1113" s="947" t="s">
        <v>273</v>
      </c>
      <c r="BC1113" s="947" t="s">
        <v>273</v>
      </c>
      <c r="BD1113" s="947" t="s">
        <v>273</v>
      </c>
      <c r="BE1113" s="947" t="s">
        <v>273</v>
      </c>
      <c r="BG1113" s="947" t="s">
        <v>273</v>
      </c>
      <c r="BH1113" s="947" t="s">
        <v>273</v>
      </c>
      <c r="BI1113" s="948">
        <f>SUMPRODUCT(L1113:O1113,H1111:K1111)/BH1111</f>
        <v>0.17249565306331185</v>
      </c>
      <c r="BJ1113" s="948">
        <f>SUMPRODUCT(P1113:S1113,L1111:O1111)/BI1111</f>
        <v>0.24103656797307321</v>
      </c>
      <c r="BK1113" s="948">
        <f>SUMPRODUCT(T1113:W1113,P1111:S1111)/BJ1111</f>
        <v>0.29050722782187671</v>
      </c>
      <c r="BL1113" s="948">
        <f>+BL62</f>
        <v>0.28283879982628074</v>
      </c>
      <c r="BM1113" s="948">
        <f>+BM62</f>
        <v>0.21025030036043252</v>
      </c>
      <c r="BN1113" s="948">
        <f>+BN62</f>
        <v>0.14076322511782977</v>
      </c>
      <c r="BO1113" s="948">
        <f>+BO62</f>
        <v>0.24674738555533252</v>
      </c>
      <c r="BT1113" s="1"/>
      <c r="BU1113" s="1"/>
      <c r="BV1113" s="1"/>
      <c r="BW1113" s="1"/>
      <c r="BX1113" s="1"/>
      <c r="BY1113" s="1"/>
      <c r="BZ1113" s="1"/>
      <c r="CA1113" s="1"/>
      <c r="CB1113" s="1"/>
      <c r="CC1113" s="1"/>
    </row>
    <row r="1114" spans="1:81" s="1" customFormat="1" ht="10.5">
      <c r="B1114" s="887" t="s">
        <v>123</v>
      </c>
      <c r="D1114" s="855">
        <f t="shared" ref="D1114:AA1114" si="4367">IFERROR(D1111/D$1058,"n/a ")</f>
        <v>0.30205643232902918</v>
      </c>
      <c r="E1114" s="855">
        <f t="shared" si="4367"/>
        <v>0.29655882469409572</v>
      </c>
      <c r="F1114" s="855">
        <f t="shared" si="4367"/>
        <v>0.29172282381372866</v>
      </c>
      <c r="G1114" s="855">
        <f t="shared" si="4367"/>
        <v>0.30271790065604498</v>
      </c>
      <c r="H1114" s="855">
        <f t="shared" si="4367"/>
        <v>0.30622947829259395</v>
      </c>
      <c r="I1114" s="855">
        <f t="shared" si="4367"/>
        <v>0.30608688918144505</v>
      </c>
      <c r="J1114" s="855">
        <f t="shared" si="4367"/>
        <v>0.28963467172152335</v>
      </c>
      <c r="K1114" s="855">
        <f t="shared" si="4367"/>
        <v>0.31197031829720756</v>
      </c>
      <c r="L1114" s="855">
        <f t="shared" si="4367"/>
        <v>0.3141250305648382</v>
      </c>
      <c r="M1114" s="855">
        <f t="shared" si="4367"/>
        <v>0.30012448993706342</v>
      </c>
      <c r="N1114" s="855">
        <f t="shared" si="4367"/>
        <v>0.30918378761325926</v>
      </c>
      <c r="O1114" s="855">
        <f t="shared" si="4367"/>
        <v>0.3449891972743892</v>
      </c>
      <c r="P1114" s="855">
        <f t="shared" si="4367"/>
        <v>0.34228441754916794</v>
      </c>
      <c r="Q1114" s="855">
        <f t="shared" si="4367"/>
        <v>0.3159126605278556</v>
      </c>
      <c r="R1114" s="855">
        <f t="shared" si="4367"/>
        <v>0.3382617513329626</v>
      </c>
      <c r="S1114" s="855">
        <f t="shared" si="4367"/>
        <v>0.3679152949550672</v>
      </c>
      <c r="T1114" s="855">
        <f t="shared" si="4367"/>
        <v>0.38378460142187265</v>
      </c>
      <c r="U1114" s="855">
        <f t="shared" si="4367"/>
        <v>0.37638866309001245</v>
      </c>
      <c r="V1114" s="855">
        <f t="shared" si="4367"/>
        <v>0.37049199051997372</v>
      </c>
      <c r="W1114" s="855">
        <f t="shared" si="4367"/>
        <v>0.37617332316672364</v>
      </c>
      <c r="X1114" s="855">
        <f t="shared" si="4367"/>
        <v>0.42730257845723207</v>
      </c>
      <c r="Y1114" s="855">
        <f t="shared" si="4367"/>
        <v>0.41547497446373849</v>
      </c>
      <c r="Z1114" s="855">
        <f t="shared" si="4367"/>
        <v>0.40876612477820939</v>
      </c>
      <c r="AA1114" s="855">
        <f t="shared" si="4367"/>
        <v>0.41374154966198645</v>
      </c>
      <c r="AB1114" s="855">
        <f t="shared" ref="AB1114:AE1114" si="4368">IFERROR(AB1111/AB$1058,"n/a ")</f>
        <v>0.44658737339188381</v>
      </c>
      <c r="AC1114" s="855">
        <f t="shared" si="4368"/>
        <v>0.43007655428394681</v>
      </c>
      <c r="AD1114" s="855">
        <f t="shared" si="4368"/>
        <v>0.41256077795786061</v>
      </c>
      <c r="AE1114" s="855">
        <f t="shared" si="4368"/>
        <v>0.3959124650535043</v>
      </c>
      <c r="AF1114" s="855">
        <f t="shared" ref="AF1114:AI1114" si="4369">IFERROR(AF1111/AF$1058,"n/a ")</f>
        <v>0.42931247755476637</v>
      </c>
      <c r="AG1114" s="855">
        <f t="shared" si="4369"/>
        <v>0.4089332094716287</v>
      </c>
      <c r="AH1114" s="855">
        <f t="shared" si="4369"/>
        <v>0.42287681858599618</v>
      </c>
      <c r="AI1114" s="855">
        <f t="shared" si="4369"/>
        <v>0.4316503230169606</v>
      </c>
      <c r="AJ1114" s="855">
        <f t="shared" ref="AJ1114:AM1114" si="4370">IFERROR(AJ1111/AJ$1058,"n/a ")</f>
        <v>0.47587451563246458</v>
      </c>
      <c r="AK1114" s="855">
        <f t="shared" si="4370"/>
        <v>0.45407932924862948</v>
      </c>
      <c r="AL1114" s="855">
        <f t="shared" si="4370"/>
        <v>0.46107213294965887</v>
      </c>
      <c r="AM1114" s="855">
        <f t="shared" si="4370"/>
        <v>0.44594991271030637</v>
      </c>
      <c r="AN1114" s="855">
        <f t="shared" ref="AN1114:AQ1114" si="4371">IFERROR(AN1111/AN$1058,"n/a ")</f>
        <v>0.47971334908896851</v>
      </c>
      <c r="AO1114" s="855">
        <f t="shared" si="4371"/>
        <v>0.46226445246422182</v>
      </c>
      <c r="AP1114" s="855">
        <f t="shared" si="4371"/>
        <v>0.47020530793406384</v>
      </c>
      <c r="AQ1114" s="855">
        <f t="shared" si="4371"/>
        <v>0.45439249032650031</v>
      </c>
      <c r="AS1114" s="855"/>
      <c r="AT1114" s="855"/>
      <c r="AU1114" s="855"/>
      <c r="AV1114" s="855"/>
      <c r="AW1114" s="855"/>
      <c r="AX1114" s="855"/>
      <c r="AY1114" s="855">
        <f t="shared" ref="AY1114:BE1114" si="4372">IFERROR(AY1111/AY$1058,"n/a ")</f>
        <v>0.38833049769097694</v>
      </c>
      <c r="AZ1114" s="855">
        <f t="shared" si="4372"/>
        <v>0.38652794921530592</v>
      </c>
      <c r="BA1114" s="855">
        <f t="shared" si="4372"/>
        <v>0.34627291294685864</v>
      </c>
      <c r="BB1114" s="855">
        <f t="shared" si="4372"/>
        <v>0.32114518673776099</v>
      </c>
      <c r="BC1114" s="855">
        <f t="shared" si="4372"/>
        <v>0.30104723231459712</v>
      </c>
      <c r="BD1114" s="855">
        <f t="shared" si="4372"/>
        <v>0.32741443975621193</v>
      </c>
      <c r="BE1114" s="855">
        <f t="shared" si="4372"/>
        <v>0.32617009449694273</v>
      </c>
      <c r="BG1114" s="855">
        <f t="shared" ref="BG1114:BL1114" si="4373">IFERROR(BG1111/BG$1058,"n/a ")</f>
        <v>0.29826447550299495</v>
      </c>
      <c r="BH1114" s="855">
        <f t="shared" si="4373"/>
        <v>0.30372472067183731</v>
      </c>
      <c r="BI1114" s="855">
        <f t="shared" si="4373"/>
        <v>0.31766944545125048</v>
      </c>
      <c r="BJ1114" s="855">
        <f t="shared" si="4373"/>
        <v>0.3413698020549415</v>
      </c>
      <c r="BK1114" s="855">
        <f t="shared" si="4373"/>
        <v>0.37345033737719818</v>
      </c>
      <c r="BL1114" s="855">
        <f t="shared" si="4373"/>
        <v>0.41594878872971303</v>
      </c>
      <c r="BM1114" s="855">
        <f t="shared" ref="BM1114:BN1114" si="4374">IFERROR(BM1111/BM$1058,"n/a ")</f>
        <v>0.4205527815604983</v>
      </c>
      <c r="BN1114" s="855">
        <f t="shared" si="4374"/>
        <v>0.42325460679989618</v>
      </c>
      <c r="BO1114" s="855">
        <f t="shared" ref="BO1114:BP1114" si="4375">IFERROR(BO1111/BO$1058,"n/a ")</f>
        <v>0.45872259527908554</v>
      </c>
      <c r="BP1114" s="855">
        <f t="shared" si="4375"/>
        <v>0.46628441657065972</v>
      </c>
      <c r="BT1114"/>
      <c r="BU1114"/>
      <c r="BV1114"/>
      <c r="BW1114"/>
      <c r="BX1114"/>
      <c r="BY1114"/>
      <c r="BZ1114"/>
      <c r="CA1114"/>
      <c r="CB1114"/>
      <c r="CC1114"/>
    </row>
    <row r="1115" spans="1:81">
      <c r="B1115" s="878"/>
      <c r="BT1115" s="852"/>
      <c r="BU1115" s="852"/>
      <c r="BV1115" s="852"/>
      <c r="BW1115" s="852"/>
      <c r="BX1115" s="852"/>
      <c r="BY1115" s="852"/>
      <c r="BZ1115" s="852"/>
      <c r="CA1115" s="852"/>
      <c r="CB1115" s="852"/>
      <c r="CC1115" s="852"/>
    </row>
    <row r="1116" spans="1:81" ht="10.5">
      <c r="B1116" s="45" t="s">
        <v>569</v>
      </c>
      <c r="D1116" s="1166"/>
      <c r="E1116" s="1166"/>
      <c r="F1116" s="1166"/>
      <c r="G1116" s="1166"/>
      <c r="H1116" s="1166"/>
      <c r="I1116" s="1166"/>
      <c r="J1116" s="1166"/>
      <c r="K1116" s="1166"/>
      <c r="L1116" s="1166"/>
      <c r="M1116" s="1166"/>
      <c r="N1116" s="1166"/>
      <c r="O1116" s="1166"/>
      <c r="P1116" s="1166"/>
      <c r="Q1116" s="1166"/>
      <c r="R1116" s="1166"/>
      <c r="S1116" s="1166"/>
      <c r="T1116" s="1166"/>
      <c r="U1116" s="1166"/>
      <c r="V1116" s="1166"/>
      <c r="W1116" s="1166"/>
      <c r="X1116" s="1166"/>
      <c r="Y1116" s="1166"/>
      <c r="Z1116" s="1166"/>
      <c r="AA1116" s="1166"/>
      <c r="AB1116" s="1166"/>
      <c r="AC1116" s="1166"/>
      <c r="BT1116" s="1"/>
      <c r="BU1116" s="1"/>
      <c r="BV1116" s="1"/>
      <c r="BW1116" s="1"/>
      <c r="BX1116" s="1"/>
      <c r="BY1116" s="1"/>
      <c r="BZ1116" s="1"/>
      <c r="CA1116" s="1"/>
      <c r="CB1116" s="1"/>
      <c r="CC1116" s="1"/>
    </row>
    <row r="1117" spans="1:81">
      <c r="B1117" s="878" t="s">
        <v>570</v>
      </c>
      <c r="D1117" s="8">
        <v>199</v>
      </c>
      <c r="E1117" s="8">
        <v>200</v>
      </c>
      <c r="F1117" s="8">
        <v>230</v>
      </c>
      <c r="G1117" s="8">
        <v>274</v>
      </c>
      <c r="H1117" s="8">
        <v>293</v>
      </c>
      <c r="I1117" s="8">
        <v>311</v>
      </c>
      <c r="J1117" s="8">
        <v>380</v>
      </c>
      <c r="K1117" s="8">
        <v>403</v>
      </c>
      <c r="L1117" s="8">
        <v>473</v>
      </c>
      <c r="M1117" s="8">
        <v>530</v>
      </c>
      <c r="N1117" s="8">
        <v>575</v>
      </c>
      <c r="O1117" s="8">
        <v>636</v>
      </c>
      <c r="P1117" s="8">
        <v>681</v>
      </c>
      <c r="Q1117" s="8">
        <v>704</v>
      </c>
      <c r="R1117" s="8">
        <v>668</v>
      </c>
      <c r="S1117" s="8">
        <v>709</v>
      </c>
      <c r="T1117" s="8">
        <v>724</v>
      </c>
      <c r="U1117" s="8">
        <v>688</v>
      </c>
      <c r="V1117" s="8">
        <v>673</v>
      </c>
      <c r="W1117" s="8">
        <v>595</v>
      </c>
      <c r="X1117" s="8">
        <v>570</v>
      </c>
      <c r="Y1117" s="8">
        <v>545</v>
      </c>
      <c r="Z1117" s="8">
        <v>519</v>
      </c>
      <c r="AA1117" s="8">
        <v>497</v>
      </c>
      <c r="AB1117" s="8">
        <v>520</v>
      </c>
      <c r="AC1117" s="8">
        <v>503</v>
      </c>
      <c r="AD1117" s="8">
        <v>519</v>
      </c>
      <c r="AE1117" s="8">
        <v>552</v>
      </c>
      <c r="AF1117" s="8">
        <v>641</v>
      </c>
      <c r="AG1117" s="8">
        <v>700</v>
      </c>
      <c r="AH1117" s="8">
        <v>748</v>
      </c>
      <c r="AI1117" s="8">
        <v>905</v>
      </c>
      <c r="AJ1117" s="8">
        <v>1166</v>
      </c>
      <c r="AK1117" s="8">
        <v>734</v>
      </c>
      <c r="AL1117" s="8">
        <v>619</v>
      </c>
      <c r="AM1117" s="8">
        <f t="shared" ref="AM1117:AM1121" si="4376">+BO1117-SUM(AJ1117:AL1117)</f>
        <v>638</v>
      </c>
      <c r="AN1117" s="8">
        <v>681</v>
      </c>
      <c r="AO1117" s="8"/>
      <c r="AP1117" s="8"/>
      <c r="AQ1117" s="8"/>
      <c r="AS1117" s="8"/>
      <c r="AT1117" s="8"/>
      <c r="AU1117" s="8"/>
      <c r="AV1117" s="8"/>
      <c r="AW1117" s="8"/>
      <c r="AX1117" s="8"/>
      <c r="AY1117" s="8"/>
      <c r="AZ1117" s="8"/>
      <c r="BA1117" s="8">
        <v>677</v>
      </c>
      <c r="BB1117" s="8">
        <v>883</v>
      </c>
      <c r="BC1117" s="8">
        <v>766</v>
      </c>
      <c r="BG1117" s="8">
        <v>903</v>
      </c>
      <c r="BH1117" s="8">
        <v>1387</v>
      </c>
      <c r="BI1117" s="8">
        <v>2214</v>
      </c>
      <c r="BJ1117" s="8">
        <v>2762</v>
      </c>
      <c r="BK1117" s="8">
        <v>2680</v>
      </c>
      <c r="BL1117" s="8">
        <v>2131</v>
      </c>
      <c r="BM1117" s="8">
        <v>2094</v>
      </c>
      <c r="BN1117" s="8">
        <v>2994</v>
      </c>
      <c r="BO1117" s="8">
        <v>3157</v>
      </c>
      <c r="BP1117" s="8"/>
    </row>
    <row r="1118" spans="1:81">
      <c r="B1118" s="878" t="s">
        <v>571</v>
      </c>
      <c r="D1118" s="8">
        <v>-249</v>
      </c>
      <c r="E1118" s="8">
        <v>-309</v>
      </c>
      <c r="F1118" s="8">
        <v>-340</v>
      </c>
      <c r="G1118" s="8">
        <v>-345</v>
      </c>
      <c r="H1118" s="8">
        <v>-437</v>
      </c>
      <c r="I1118" s="8">
        <v>-521</v>
      </c>
      <c r="J1118" s="8">
        <v>-609</v>
      </c>
      <c r="K1118" s="8">
        <v>-655</v>
      </c>
      <c r="L1118" s="8">
        <v>-672</v>
      </c>
      <c r="M1118" s="8">
        <v>-698</v>
      </c>
      <c r="N1118" s="8">
        <v>-691</v>
      </c>
      <c r="O1118" s="8">
        <v>-672</v>
      </c>
      <c r="P1118" s="8">
        <v>-674</v>
      </c>
      <c r="Q1118" s="8">
        <v>-672</v>
      </c>
      <c r="R1118" s="8">
        <v>-671</v>
      </c>
      <c r="S1118" s="8">
        <v>-669</v>
      </c>
      <c r="T1118" s="8">
        <v>-637</v>
      </c>
      <c r="U1118" s="8">
        <v>-654</v>
      </c>
      <c r="V1118" s="8">
        <v>-614</v>
      </c>
      <c r="W1118" s="8">
        <v>-686</v>
      </c>
      <c r="X1118" s="8">
        <v>-589</v>
      </c>
      <c r="Y1118" s="8">
        <v>-571</v>
      </c>
      <c r="Z1118" s="8">
        <v>-633</v>
      </c>
      <c r="AA1118" s="8">
        <v>-553</v>
      </c>
      <c r="AB1118" s="8">
        <v>-539</v>
      </c>
      <c r="AC1118" s="8">
        <v>-525</v>
      </c>
      <c r="AD1118" s="8">
        <v>-503</v>
      </c>
      <c r="AE1118" s="8">
        <v>-496</v>
      </c>
      <c r="AF1118" s="8">
        <v>-500</v>
      </c>
      <c r="AG1118" s="8">
        <v>-490</v>
      </c>
      <c r="AH1118" s="8">
        <v>-496</v>
      </c>
      <c r="AI1118" s="8">
        <v>-482</v>
      </c>
      <c r="AJ1118" s="8">
        <v>-525</v>
      </c>
      <c r="AK1118" s="8">
        <v>-909</v>
      </c>
      <c r="AL1118" s="8">
        <v>-800</v>
      </c>
      <c r="AM1118" s="8">
        <f t="shared" si="4376"/>
        <v>-701</v>
      </c>
      <c r="AN1118" s="8">
        <v>-582</v>
      </c>
      <c r="AO1118" s="8"/>
      <c r="AP1118" s="8"/>
      <c r="AQ1118" s="8"/>
      <c r="AS1118" s="8"/>
      <c r="AT1118" s="8"/>
      <c r="AU1118" s="8"/>
      <c r="AV1118" s="8"/>
      <c r="AW1118" s="8"/>
      <c r="AX1118" s="8"/>
      <c r="AY1118" s="8"/>
      <c r="AZ1118" s="8"/>
      <c r="BA1118" s="8">
        <v>-429</v>
      </c>
      <c r="BB1118" s="8">
        <v>-597</v>
      </c>
      <c r="BC1118" s="8">
        <v>-781</v>
      </c>
      <c r="BG1118" s="8">
        <v>-1243</v>
      </c>
      <c r="BH1118" s="8">
        <v>-2222</v>
      </c>
      <c r="BI1118" s="8">
        <v>-2733</v>
      </c>
      <c r="BJ1118" s="8">
        <v>-2686</v>
      </c>
      <c r="BK1118" s="8">
        <v>-2591</v>
      </c>
      <c r="BL1118" s="8">
        <v>-2346</v>
      </c>
      <c r="BM1118" s="8">
        <v>-2063</v>
      </c>
      <c r="BN1118" s="8">
        <v>-1968</v>
      </c>
      <c r="BO1118" s="8">
        <v>-2935</v>
      </c>
      <c r="BP1118" s="8"/>
    </row>
    <row r="1119" spans="1:81">
      <c r="B1119" s="878" t="s">
        <v>572</v>
      </c>
      <c r="D1119" s="8">
        <v>2</v>
      </c>
      <c r="E1119" s="8">
        <v>106</v>
      </c>
      <c r="F1119" s="8">
        <v>85</v>
      </c>
      <c r="G1119" s="8">
        <v>475</v>
      </c>
      <c r="H1119" s="8">
        <v>405</v>
      </c>
      <c r="I1119" s="8">
        <v>698</v>
      </c>
      <c r="J1119" s="8">
        <v>790</v>
      </c>
      <c r="K1119" s="8">
        <v>690</v>
      </c>
      <c r="L1119" s="8">
        <v>573</v>
      </c>
      <c r="M1119" s="8">
        <v>768</v>
      </c>
      <c r="N1119" s="8">
        <v>510</v>
      </c>
      <c r="O1119" s="8">
        <v>548</v>
      </c>
      <c r="P1119" s="8">
        <v>243</v>
      </c>
      <c r="Q1119" s="8">
        <v>94</v>
      </c>
      <c r="R1119" s="8">
        <v>44</v>
      </c>
      <c r="S1119" s="8">
        <v>267</v>
      </c>
      <c r="T1119" s="8">
        <v>-57</v>
      </c>
      <c r="U1119" s="8">
        <v>162</v>
      </c>
      <c r="V1119" s="8">
        <v>-101</v>
      </c>
      <c r="W1119" s="8">
        <v>28</v>
      </c>
      <c r="X1119" s="8">
        <v>125</v>
      </c>
      <c r="Y1119" s="8">
        <v>359</v>
      </c>
      <c r="Z1119" s="8">
        <v>353</v>
      </c>
      <c r="AA1119" s="8">
        <v>395</v>
      </c>
      <c r="AB1119" s="8">
        <v>371</v>
      </c>
      <c r="AC1119" s="8">
        <v>300</v>
      </c>
      <c r="AD1119" s="8">
        <v>-76</v>
      </c>
      <c r="AE1119" s="8">
        <v>-134</v>
      </c>
      <c r="AF1119" s="8">
        <v>13</v>
      </c>
      <c r="AG1119" s="8">
        <v>-15</v>
      </c>
      <c r="AH1119" s="8">
        <v>105</v>
      </c>
      <c r="AI1119" s="8">
        <v>157</v>
      </c>
      <c r="AJ1119" s="8">
        <v>-107</v>
      </c>
      <c r="AK1119" s="8">
        <v>69</v>
      </c>
      <c r="AL1119" s="8">
        <v>-25</v>
      </c>
      <c r="AM1119" s="8">
        <f t="shared" si="4376"/>
        <v>-55</v>
      </c>
      <c r="AN1119" s="8">
        <v>463</v>
      </c>
      <c r="AO1119" s="8"/>
      <c r="AP1119" s="8"/>
      <c r="AQ1119" s="8"/>
      <c r="AS1119" s="8"/>
      <c r="AT1119" s="8"/>
      <c r="AU1119" s="8"/>
      <c r="AV1119" s="8"/>
      <c r="AW1119" s="8"/>
      <c r="AX1119" s="8"/>
      <c r="AY1119" s="8"/>
      <c r="AZ1119" s="8"/>
      <c r="BA1119" s="8">
        <v>116</v>
      </c>
      <c r="BB1119" s="8">
        <v>437</v>
      </c>
      <c r="BC1119" s="8">
        <v>716</v>
      </c>
      <c r="BG1119" s="8">
        <v>668</v>
      </c>
      <c r="BH1119" s="8">
        <v>2583</v>
      </c>
      <c r="BI1119" s="8">
        <v>2399</v>
      </c>
      <c r="BJ1119" s="8">
        <v>648</v>
      </c>
      <c r="BK1119" s="8">
        <v>32</v>
      </c>
      <c r="BL1119" s="8">
        <v>1232</v>
      </c>
      <c r="BM1119" s="8">
        <v>461</v>
      </c>
      <c r="BN1119" s="8">
        <v>260</v>
      </c>
      <c r="BO1119" s="8">
        <v>-118</v>
      </c>
      <c r="BP1119" s="8"/>
    </row>
    <row r="1120" spans="1:81">
      <c r="B1120" s="878" t="s">
        <v>573</v>
      </c>
      <c r="D1120" s="8">
        <v>-103</v>
      </c>
      <c r="E1120" s="8">
        <v>-156</v>
      </c>
      <c r="F1120" s="8">
        <v>-155</v>
      </c>
      <c r="G1120" s="8">
        <v>-29</v>
      </c>
      <c r="H1120" s="8">
        <v>-94</v>
      </c>
      <c r="I1120" s="8">
        <v>-46</v>
      </c>
      <c r="J1120" s="8">
        <v>-200</v>
      </c>
      <c r="K1120" s="8">
        <v>-170</v>
      </c>
      <c r="L1120" s="8">
        <v>-50</v>
      </c>
      <c r="M1120" s="8">
        <v>-84</v>
      </c>
      <c r="N1120" s="8">
        <v>-72</v>
      </c>
      <c r="O1120" s="8">
        <v>19</v>
      </c>
      <c r="P1120" s="8">
        <v>-3</v>
      </c>
      <c r="Q1120" s="8">
        <v>41</v>
      </c>
      <c r="R1120" s="8">
        <v>51</v>
      </c>
      <c r="S1120" s="8">
        <v>55</v>
      </c>
      <c r="T1120" s="8">
        <v>46</v>
      </c>
      <c r="U1120" s="8">
        <v>41</v>
      </c>
      <c r="V1120" s="8">
        <v>49</v>
      </c>
      <c r="W1120" s="8">
        <v>51</v>
      </c>
      <c r="X1120" s="8">
        <v>3</v>
      </c>
      <c r="Y1120" s="8">
        <v>-5</v>
      </c>
      <c r="Z1120" s="8">
        <v>-2</v>
      </c>
      <c r="AA1120" s="8">
        <v>21</v>
      </c>
      <c r="AB1120" s="8">
        <v>-7</v>
      </c>
      <c r="AC1120" s="8">
        <v>7</v>
      </c>
      <c r="AD1120" s="8">
        <v>-29</v>
      </c>
      <c r="AE1120" s="8">
        <v>-23</v>
      </c>
      <c r="AF1120" s="8">
        <v>9</v>
      </c>
      <c r="AG1120" s="8">
        <v>-199</v>
      </c>
      <c r="AH1120" s="8">
        <v>-65</v>
      </c>
      <c r="AI1120" s="8">
        <v>-201</v>
      </c>
      <c r="AJ1120" s="8">
        <v>93</v>
      </c>
      <c r="AK1120" s="8">
        <v>-267</v>
      </c>
      <c r="AL1120" s="8">
        <v>-24</v>
      </c>
      <c r="AM1120" s="8">
        <f t="shared" si="4376"/>
        <v>11</v>
      </c>
      <c r="AN1120" s="8">
        <v>-338</v>
      </c>
      <c r="AO1120" s="8"/>
      <c r="AP1120" s="8"/>
      <c r="AQ1120" s="8"/>
      <c r="AS1120" s="8"/>
      <c r="AT1120" s="8"/>
      <c r="AU1120" s="8"/>
      <c r="AV1120" s="8"/>
      <c r="AW1120" s="8"/>
      <c r="AX1120" s="8"/>
      <c r="AY1120" s="8"/>
      <c r="AZ1120" s="8"/>
      <c r="BA1120" s="8">
        <v>-196</v>
      </c>
      <c r="BB1120" s="8">
        <v>-328</v>
      </c>
      <c r="BC1120" s="8">
        <v>-423</v>
      </c>
      <c r="BG1120" s="8">
        <v>-443</v>
      </c>
      <c r="BH1120" s="8">
        <v>-510</v>
      </c>
      <c r="BI1120" s="8">
        <v>-187</v>
      </c>
      <c r="BJ1120" s="8">
        <v>144</v>
      </c>
      <c r="BK1120" s="8">
        <v>187</v>
      </c>
      <c r="BL1120" s="8">
        <v>17</v>
      </c>
      <c r="BM1120" s="8">
        <v>-52</v>
      </c>
      <c r="BN1120" s="8">
        <v>-456</v>
      </c>
      <c r="BO1120" s="8">
        <v>-187</v>
      </c>
      <c r="BP1120" s="8"/>
    </row>
    <row r="1121" spans="2:81">
      <c r="B1121" s="878" t="s">
        <v>574</v>
      </c>
      <c r="D1121" s="8">
        <v>-36</v>
      </c>
      <c r="E1121" s="8">
        <v>2</v>
      </c>
      <c r="F1121" s="8">
        <v>-18</v>
      </c>
      <c r="G1121" s="8">
        <v>-69</v>
      </c>
      <c r="H1121" s="8">
        <v>-52</v>
      </c>
      <c r="I1121" s="8">
        <v>-82</v>
      </c>
      <c r="J1121" s="8">
        <v>0</v>
      </c>
      <c r="K1121" s="8">
        <v>-30</v>
      </c>
      <c r="L1121" s="8">
        <v>-9</v>
      </c>
      <c r="M1121" s="8">
        <v>-60</v>
      </c>
      <c r="N1121" s="8">
        <v>20</v>
      </c>
      <c r="O1121" s="8">
        <v>-169</v>
      </c>
      <c r="P1121" s="8">
        <v>5</v>
      </c>
      <c r="Q1121" s="8">
        <v>-74</v>
      </c>
      <c r="R1121" s="8">
        <v>37</v>
      </c>
      <c r="S1121" s="8">
        <v>-50</v>
      </c>
      <c r="T1121" s="8">
        <v>-58</v>
      </c>
      <c r="U1121" s="8">
        <v>-24</v>
      </c>
      <c r="V1121" s="8">
        <v>-136</v>
      </c>
      <c r="W1121" s="8">
        <v>27</v>
      </c>
      <c r="X1121" s="8">
        <v>139</v>
      </c>
      <c r="Y1121" s="8">
        <v>42</v>
      </c>
      <c r="Z1121" s="8">
        <v>-55</v>
      </c>
      <c r="AA1121" s="8">
        <v>-72</v>
      </c>
      <c r="AB1121" s="8">
        <v>-65</v>
      </c>
      <c r="AC1121" s="8">
        <v>-13</v>
      </c>
      <c r="AD1121" s="8">
        <v>-74</v>
      </c>
      <c r="AE1121" s="8">
        <v>77</v>
      </c>
      <c r="AF1121" s="8">
        <v>-78</v>
      </c>
      <c r="AG1121" s="8">
        <v>-18</v>
      </c>
      <c r="AH1121" s="8">
        <v>122</v>
      </c>
      <c r="AI1121" s="8">
        <v>155</v>
      </c>
      <c r="AJ1121" s="8">
        <v>-101</v>
      </c>
      <c r="AK1121" s="8">
        <v>36</v>
      </c>
      <c r="AL1121" s="8">
        <v>-138</v>
      </c>
      <c r="AM1121" s="8">
        <f t="shared" si="4376"/>
        <v>-41</v>
      </c>
      <c r="AN1121" s="8">
        <v>176</v>
      </c>
      <c r="AO1121" s="8"/>
      <c r="AP1121" s="8"/>
      <c r="AQ1121" s="8"/>
      <c r="AS1121" s="8"/>
      <c r="AT1121" s="8"/>
      <c r="AU1121" s="8"/>
      <c r="AV1121" s="8"/>
      <c r="AW1121" s="8"/>
      <c r="AX1121" s="8"/>
      <c r="AY1121" s="8"/>
      <c r="AZ1121" s="8"/>
      <c r="BA1121" s="8">
        <v>-74</v>
      </c>
      <c r="BB1121" s="8">
        <v>-165</v>
      </c>
      <c r="BC1121" s="8">
        <v>335</v>
      </c>
      <c r="BG1121" s="8">
        <v>-121</v>
      </c>
      <c r="BH1121" s="8">
        <v>-164</v>
      </c>
      <c r="BI1121" s="8">
        <v>-218</v>
      </c>
      <c r="BJ1121" s="8">
        <v>-82</v>
      </c>
      <c r="BK1121" s="8">
        <v>-191</v>
      </c>
      <c r="BL1121" s="8">
        <v>54</v>
      </c>
      <c r="BM1121" s="8">
        <v>-75</v>
      </c>
      <c r="BN1121" s="8">
        <v>181</v>
      </c>
      <c r="BO1121" s="8">
        <v>-244</v>
      </c>
      <c r="BP1121" s="8"/>
    </row>
    <row r="1122" spans="2:81" ht="11.45">
      <c r="B1122" s="878" t="s">
        <v>575</v>
      </c>
      <c r="D1122" s="10">
        <v>-93</v>
      </c>
      <c r="E1122" s="10">
        <v>-14</v>
      </c>
      <c r="F1122" s="10">
        <v>-49</v>
      </c>
      <c r="G1122" s="10">
        <v>-39</v>
      </c>
      <c r="H1122" s="10">
        <v>-15</v>
      </c>
      <c r="I1122" s="10">
        <v>-174</v>
      </c>
      <c r="J1122" s="10">
        <v>-39</v>
      </c>
      <c r="K1122" s="10">
        <v>-23</v>
      </c>
      <c r="L1122" s="10">
        <v>-39</v>
      </c>
      <c r="M1122" s="10">
        <v>34</v>
      </c>
      <c r="N1122" s="10">
        <v>7</v>
      </c>
      <c r="O1122" s="10">
        <v>-61</v>
      </c>
      <c r="P1122" s="10">
        <v>14</v>
      </c>
      <c r="Q1122" s="10">
        <v>34</v>
      </c>
      <c r="R1122" s="10">
        <v>16</v>
      </c>
      <c r="S1122" s="10">
        <v>-121</v>
      </c>
      <c r="T1122" s="10">
        <v>-18</v>
      </c>
      <c r="U1122" s="10">
        <v>-19</v>
      </c>
      <c r="V1122" s="10">
        <v>-3</v>
      </c>
      <c r="W1122" s="10">
        <v>0</v>
      </c>
      <c r="X1122" s="10">
        <v>0</v>
      </c>
      <c r="Y1122" s="10">
        <v>70</v>
      </c>
      <c r="Z1122" s="10">
        <v>6</v>
      </c>
      <c r="AA1122" s="10">
        <v>22</v>
      </c>
      <c r="AB1122" s="10">
        <v>6</v>
      </c>
      <c r="AC1122" s="10">
        <v>-4</v>
      </c>
      <c r="AD1122" s="10">
        <v>-11</v>
      </c>
      <c r="AE1122" s="10">
        <v>-23</v>
      </c>
      <c r="AF1122" s="10">
        <v>-31</v>
      </c>
      <c r="AG1122" s="10">
        <v>-38</v>
      </c>
      <c r="AH1122" s="10">
        <v>-93</v>
      </c>
      <c r="AI1122" s="10">
        <v>-61</v>
      </c>
      <c r="AJ1122" s="10">
        <v>-137</v>
      </c>
      <c r="AK1122" s="10">
        <v>-169</v>
      </c>
      <c r="AL1122" s="10">
        <v>-486</v>
      </c>
      <c r="AM1122" s="10">
        <f>+BO1122-SUM(AJ1122:AL1122)</f>
        <v>-527</v>
      </c>
      <c r="AN1122" s="10">
        <v>-683</v>
      </c>
      <c r="AO1122" s="10"/>
      <c r="AP1122" s="10"/>
      <c r="AQ1122" s="10"/>
      <c r="AS1122" s="10"/>
      <c r="AT1122" s="10"/>
      <c r="AU1122" s="10"/>
      <c r="AV1122" s="10"/>
      <c r="AW1122" s="10"/>
      <c r="AX1122" s="10"/>
      <c r="AY1122" s="10"/>
      <c r="AZ1122" s="10"/>
      <c r="BA1122" s="10">
        <v>194</v>
      </c>
      <c r="BB1122" s="10">
        <v>-169</v>
      </c>
      <c r="BC1122" s="10">
        <v>-267</v>
      </c>
      <c r="BG1122" s="10">
        <v>-195</v>
      </c>
      <c r="BH1122" s="10">
        <v>-251</v>
      </c>
      <c r="BI1122" s="10">
        <v>-59</v>
      </c>
      <c r="BJ1122" s="10">
        <v>-57</v>
      </c>
      <c r="BK1122" s="10">
        <v>-40</v>
      </c>
      <c r="BL1122" s="10">
        <v>98</v>
      </c>
      <c r="BM1122" s="10">
        <v>-32</v>
      </c>
      <c r="BN1122" s="10">
        <v>-223</v>
      </c>
      <c r="BO1122" s="10">
        <v>-1319</v>
      </c>
      <c r="BP1122" s="10"/>
      <c r="BT1122" s="100"/>
      <c r="BU1122" s="100"/>
      <c r="BV1122" s="100"/>
      <c r="BW1122" s="100"/>
      <c r="BX1122" s="100"/>
      <c r="BY1122" s="100"/>
      <c r="BZ1122" s="100"/>
      <c r="CA1122" s="100"/>
      <c r="CB1122" s="100"/>
      <c r="CC1122" s="100"/>
    </row>
    <row r="1123" spans="2:81" s="1" customFormat="1" ht="10.5">
      <c r="B1123" s="882" t="s">
        <v>576</v>
      </c>
      <c r="D1123" s="838">
        <f>+SUM(D1117:D1122)</f>
        <v>-280</v>
      </c>
      <c r="E1123" s="838">
        <f t="shared" ref="E1123:AN1123" si="4377">+SUM(E1117:E1122)</f>
        <v>-171</v>
      </c>
      <c r="F1123" s="838">
        <f t="shared" si="4377"/>
        <v>-247</v>
      </c>
      <c r="G1123" s="838">
        <f t="shared" si="4377"/>
        <v>267</v>
      </c>
      <c r="H1123" s="838">
        <f t="shared" si="4377"/>
        <v>100</v>
      </c>
      <c r="I1123" s="838">
        <f t="shared" si="4377"/>
        <v>186</v>
      </c>
      <c r="J1123" s="838">
        <f t="shared" si="4377"/>
        <v>322</v>
      </c>
      <c r="K1123" s="838">
        <f t="shared" si="4377"/>
        <v>215</v>
      </c>
      <c r="L1123" s="838">
        <f t="shared" si="4377"/>
        <v>276</v>
      </c>
      <c r="M1123" s="838">
        <f t="shared" si="4377"/>
        <v>490</v>
      </c>
      <c r="N1123" s="838">
        <f t="shared" si="4377"/>
        <v>349</v>
      </c>
      <c r="O1123" s="838">
        <f t="shared" si="4377"/>
        <v>301</v>
      </c>
      <c r="P1123" s="838">
        <f t="shared" si="4377"/>
        <v>266</v>
      </c>
      <c r="Q1123" s="838">
        <f t="shared" si="4377"/>
        <v>127</v>
      </c>
      <c r="R1123" s="838">
        <f t="shared" si="4377"/>
        <v>145</v>
      </c>
      <c r="S1123" s="838">
        <f t="shared" si="4377"/>
        <v>191</v>
      </c>
      <c r="T1123" s="838">
        <f t="shared" si="4377"/>
        <v>0</v>
      </c>
      <c r="U1123" s="838">
        <f t="shared" si="4377"/>
        <v>194</v>
      </c>
      <c r="V1123" s="838">
        <f t="shared" si="4377"/>
        <v>-132</v>
      </c>
      <c r="W1123" s="838">
        <f t="shared" si="4377"/>
        <v>15</v>
      </c>
      <c r="X1123" s="838">
        <f t="shared" si="4377"/>
        <v>248</v>
      </c>
      <c r="Y1123" s="838">
        <f t="shared" si="4377"/>
        <v>440</v>
      </c>
      <c r="Z1123" s="838">
        <f t="shared" si="4377"/>
        <v>188</v>
      </c>
      <c r="AA1123" s="838">
        <f t="shared" si="4377"/>
        <v>310</v>
      </c>
      <c r="AB1123" s="838">
        <f t="shared" si="4377"/>
        <v>286</v>
      </c>
      <c r="AC1123" s="838">
        <f t="shared" si="4377"/>
        <v>268</v>
      </c>
      <c r="AD1123" s="838">
        <f t="shared" si="4377"/>
        <v>-174</v>
      </c>
      <c r="AE1123" s="838">
        <f t="shared" si="4377"/>
        <v>-47</v>
      </c>
      <c r="AF1123" s="838">
        <f t="shared" si="4377"/>
        <v>54</v>
      </c>
      <c r="AG1123" s="838">
        <f t="shared" si="4377"/>
        <v>-60</v>
      </c>
      <c r="AH1123" s="838">
        <f t="shared" si="4377"/>
        <v>321</v>
      </c>
      <c r="AI1123" s="838">
        <f t="shared" si="4377"/>
        <v>473</v>
      </c>
      <c r="AJ1123" s="838">
        <f t="shared" si="4377"/>
        <v>389</v>
      </c>
      <c r="AK1123" s="838">
        <f t="shared" si="4377"/>
        <v>-506</v>
      </c>
      <c r="AL1123" s="838">
        <f t="shared" si="4377"/>
        <v>-854</v>
      </c>
      <c r="AM1123" s="838">
        <f t="shared" si="4377"/>
        <v>-675</v>
      </c>
      <c r="AN1123" s="838">
        <f t="shared" si="4377"/>
        <v>-283</v>
      </c>
      <c r="AO1123" s="838"/>
      <c r="AP1123" s="838"/>
      <c r="AQ1123" s="838"/>
      <c r="AS1123" s="838"/>
      <c r="AT1123" s="838"/>
      <c r="AU1123" s="838"/>
      <c r="AV1123" s="838"/>
      <c r="AW1123" s="838"/>
      <c r="AX1123" s="838"/>
      <c r="AY1123" s="838"/>
      <c r="AZ1123" s="838"/>
      <c r="BA1123" s="838">
        <v>288</v>
      </c>
      <c r="BB1123" s="838">
        <v>61</v>
      </c>
      <c r="BC1123" s="838">
        <v>346</v>
      </c>
      <c r="BG1123" s="838">
        <v>-431</v>
      </c>
      <c r="BH1123" s="838">
        <v>823</v>
      </c>
      <c r="BI1123" s="838">
        <v>1416</v>
      </c>
      <c r="BJ1123" s="838">
        <v>729</v>
      </c>
      <c r="BK1123" s="838">
        <v>77</v>
      </c>
      <c r="BL1123" s="838">
        <v>1186</v>
      </c>
      <c r="BM1123" s="838">
        <v>333</v>
      </c>
      <c r="BN1123" s="838">
        <v>788</v>
      </c>
      <c r="BO1123" s="838">
        <f>+SUM(BO1117:BO1122)</f>
        <v>-1646</v>
      </c>
      <c r="BP1123" s="838"/>
      <c r="BT1123" s="100"/>
      <c r="BU1123" s="100"/>
      <c r="BV1123" s="100"/>
      <c r="BW1123" s="100"/>
      <c r="BX1123" s="100"/>
      <c r="BY1123" s="100"/>
      <c r="BZ1123" s="100"/>
      <c r="CA1123" s="100"/>
      <c r="CB1123" s="100"/>
      <c r="CC1123" s="100"/>
    </row>
    <row r="1124" spans="2:81">
      <c r="B1124" s="878"/>
      <c r="D1124" s="1166"/>
      <c r="E1124" s="1166"/>
      <c r="F1124" s="1166"/>
      <c r="G1124" s="1166"/>
      <c r="H1124" s="1166"/>
      <c r="I1124" s="1166"/>
      <c r="J1124" s="1166"/>
      <c r="K1124" s="1166"/>
      <c r="L1124" s="1166"/>
      <c r="M1124" s="1166"/>
      <c r="N1124" s="1166"/>
      <c r="O1124" s="1166"/>
      <c r="P1124" s="1166"/>
      <c r="Q1124" s="1166"/>
      <c r="R1124" s="1166"/>
      <c r="S1124" s="1166"/>
      <c r="T1124" s="1166"/>
      <c r="U1124" s="1166"/>
      <c r="V1124" s="1166"/>
      <c r="W1124" s="1166"/>
      <c r="X1124" s="1166"/>
      <c r="Y1124" s="1166"/>
      <c r="Z1124" s="1166"/>
      <c r="AA1124" s="1166"/>
      <c r="AB1124" s="1166"/>
      <c r="AC1124" s="1166"/>
      <c r="BT1124" s="100"/>
      <c r="BU1124" s="100"/>
      <c r="BV1124" s="100"/>
      <c r="BW1124" s="100"/>
      <c r="BX1124" s="100"/>
      <c r="BY1124" s="100"/>
      <c r="BZ1124" s="100"/>
      <c r="CA1124" s="100"/>
      <c r="CB1124" s="100"/>
      <c r="CC1124" s="100"/>
    </row>
    <row r="1125" spans="2:81">
      <c r="D1125" s="1166"/>
      <c r="E1125" s="1166"/>
      <c r="F1125" s="1166"/>
      <c r="G1125" s="1166"/>
      <c r="H1125" s="1166"/>
      <c r="I1125" s="1166"/>
      <c r="J1125" s="1166"/>
      <c r="K1125" s="1166"/>
      <c r="L1125" s="1166"/>
      <c r="M1125" s="1166"/>
      <c r="N1125" s="1166"/>
      <c r="O1125" s="1166"/>
      <c r="P1125" s="1166"/>
      <c r="Q1125" s="1166"/>
      <c r="R1125" s="1166"/>
      <c r="S1125" s="1166"/>
      <c r="T1125" s="1166"/>
      <c r="U1125" s="1166"/>
      <c r="V1125" s="1166"/>
      <c r="W1125" s="1166"/>
      <c r="X1125" s="1166"/>
      <c r="Y1125" s="1166"/>
      <c r="Z1125" s="1166"/>
      <c r="AA1125" s="1166"/>
      <c r="AB1125" s="1166"/>
      <c r="AC1125" s="1166"/>
      <c r="AD1125" s="1167"/>
      <c r="AE1125" s="1167"/>
      <c r="AF1125" s="1167"/>
      <c r="BT1125" s="100"/>
      <c r="BU1125" s="100"/>
      <c r="BV1125" s="100"/>
      <c r="BW1125" s="100"/>
      <c r="BX1125" s="100"/>
      <c r="BY1125" s="100"/>
      <c r="BZ1125" s="100"/>
      <c r="CA1125" s="100"/>
      <c r="CB1125" s="100"/>
      <c r="CC1125" s="100"/>
    </row>
    <row r="1126" spans="2:81">
      <c r="B1126" s="878"/>
      <c r="D1126" s="1166"/>
      <c r="E1126" s="1166"/>
      <c r="F1126" s="1166"/>
      <c r="G1126" s="1166"/>
      <c r="H1126" s="1166"/>
      <c r="I1126" s="1166"/>
      <c r="J1126" s="1166"/>
      <c r="K1126" s="1166"/>
      <c r="L1126" s="1166"/>
      <c r="M1126" s="1166"/>
      <c r="N1126" s="1166"/>
      <c r="O1126" s="1166"/>
      <c r="P1126" s="1166"/>
      <c r="Q1126" s="1166"/>
      <c r="R1126" s="1166"/>
      <c r="S1126" s="1166"/>
      <c r="T1126" s="1166"/>
      <c r="U1126" s="1166"/>
      <c r="V1126" s="1166"/>
      <c r="W1126" s="1166"/>
      <c r="X1126" s="1166"/>
      <c r="Y1126" s="1166"/>
      <c r="Z1126" s="1166"/>
      <c r="AA1126" s="1166"/>
      <c r="AB1126" s="1166"/>
      <c r="AC1126" s="1166"/>
      <c r="AD1126" s="1166"/>
      <c r="AE1126" s="1166"/>
      <c r="AF1126" s="1166"/>
      <c r="BT1126" s="852"/>
      <c r="BU1126" s="852"/>
      <c r="BV1126" s="852"/>
      <c r="BW1126" s="852"/>
      <c r="BX1126" s="852"/>
      <c r="BY1126" s="852"/>
      <c r="BZ1126" s="852"/>
      <c r="CA1126" s="852"/>
      <c r="CB1126" s="852"/>
      <c r="CC1126" s="852"/>
    </row>
    <row r="1127" spans="2:81" ht="10.5">
      <c r="B1127" s="878"/>
      <c r="D1127" s="1166"/>
      <c r="E1127" s="1166"/>
      <c r="F1127" s="1166"/>
      <c r="G1127" s="1166"/>
      <c r="H1127" s="1166"/>
      <c r="I1127" s="1166"/>
      <c r="J1127" s="1166"/>
      <c r="K1127" s="1166"/>
      <c r="L1127" s="1166"/>
      <c r="M1127" s="1166"/>
      <c r="N1127" s="1166"/>
      <c r="O1127" s="1166"/>
      <c r="P1127" s="1166"/>
      <c r="Q1127" s="1166"/>
      <c r="R1127" s="1166"/>
      <c r="S1127" s="1166"/>
      <c r="T1127" s="1166"/>
      <c r="U1127" s="1166"/>
      <c r="V1127" s="1166"/>
      <c r="W1127" s="1166"/>
      <c r="X1127" s="1166"/>
      <c r="Y1127" s="1166"/>
      <c r="Z1127" s="1166"/>
      <c r="AA1127" s="1166"/>
      <c r="AB1127" s="1166"/>
      <c r="AC1127" s="1166"/>
      <c r="AD1127" s="1166"/>
      <c r="AE1127" s="1166"/>
      <c r="AF1127" s="1166"/>
      <c r="BT1127" s="1"/>
      <c r="BU1127" s="1"/>
      <c r="BV1127" s="1"/>
      <c r="BW1127" s="1"/>
      <c r="BX1127" s="1"/>
      <c r="BY1127" s="1"/>
      <c r="BZ1127" s="1"/>
      <c r="CA1127" s="1"/>
      <c r="CB1127" s="1"/>
      <c r="CC1127" s="1"/>
    </row>
    <row r="1128" spans="2:81" ht="10.5">
      <c r="B1128" s="878"/>
      <c r="BT1128" s="1"/>
      <c r="BU1128" s="1"/>
      <c r="BV1128" s="1"/>
      <c r="BW1128" s="1"/>
      <c r="BX1128" s="1"/>
      <c r="BY1128" s="1"/>
      <c r="BZ1128" s="1"/>
      <c r="CA1128" s="1"/>
      <c r="CB1128" s="1"/>
      <c r="CC1128" s="1"/>
    </row>
    <row r="1129" spans="2:81" ht="10.5">
      <c r="B1129" s="878"/>
      <c r="BT1129" s="1"/>
      <c r="BU1129" s="1"/>
      <c r="BV1129" s="1"/>
      <c r="BW1129" s="1"/>
      <c r="BX1129" s="1"/>
      <c r="BY1129" s="1"/>
      <c r="BZ1129" s="1"/>
      <c r="CA1129" s="1"/>
      <c r="CB1129" s="1"/>
      <c r="CC1129" s="1"/>
    </row>
    <row r="1130" spans="2:81">
      <c r="B1130" s="878"/>
      <c r="AB1130" s="957"/>
      <c r="AC1130" s="957"/>
      <c r="AD1130" s="957"/>
      <c r="AE1130" s="957"/>
      <c r="AF1130" s="957"/>
      <c r="BT1130" s="100"/>
      <c r="BU1130" s="100"/>
      <c r="BV1130" s="100"/>
      <c r="BW1130" s="100"/>
      <c r="BX1130" s="100"/>
      <c r="BY1130" s="100"/>
      <c r="BZ1130" s="100"/>
      <c r="CA1130" s="100"/>
      <c r="CB1130" s="100"/>
      <c r="CC1130" s="100"/>
    </row>
    <row r="1131" spans="2:81" ht="11.45">
      <c r="B1131" s="878"/>
      <c r="BT1131" s="953"/>
      <c r="BU1131" s="953"/>
      <c r="BV1131" s="953"/>
      <c r="BW1131" s="953"/>
      <c r="BX1131" s="953"/>
      <c r="BY1131" s="953"/>
      <c r="BZ1131" s="953"/>
      <c r="CA1131" s="953"/>
      <c r="CB1131" s="953"/>
      <c r="CC1131" s="953"/>
    </row>
    <row r="1132" spans="2:81" ht="10.5">
      <c r="B1132" s="878"/>
      <c r="BT1132" s="1"/>
      <c r="BU1132" s="1"/>
      <c r="BV1132" s="1"/>
      <c r="BW1132" s="1"/>
      <c r="BX1132" s="1"/>
      <c r="BY1132" s="1"/>
      <c r="BZ1132" s="1"/>
      <c r="CA1132" s="1"/>
      <c r="CB1132" s="1"/>
      <c r="CC1132" s="1"/>
    </row>
    <row r="1133" spans="2:81" ht="10.5">
      <c r="B1133" s="878"/>
      <c r="BT1133" s="1"/>
      <c r="BU1133" s="1"/>
      <c r="BV1133" s="1"/>
      <c r="BW1133" s="1"/>
      <c r="BX1133" s="1"/>
      <c r="BY1133" s="1"/>
      <c r="BZ1133" s="1"/>
      <c r="CA1133" s="1"/>
      <c r="CB1133" s="1"/>
      <c r="CC1133" s="1"/>
    </row>
    <row r="1134" spans="2:81" ht="10.5">
      <c r="B1134" s="878"/>
      <c r="BT1134" s="1"/>
      <c r="BU1134" s="1"/>
      <c r="BV1134" s="1"/>
      <c r="BW1134" s="1"/>
      <c r="BX1134" s="1"/>
      <c r="BY1134" s="1"/>
      <c r="BZ1134" s="1"/>
      <c r="CA1134" s="1"/>
      <c r="CB1134" s="1"/>
      <c r="CC1134" s="1"/>
    </row>
    <row r="1135" spans="2:81">
      <c r="B1135" s="878"/>
      <c r="BT1135" s="3"/>
      <c r="BU1135" s="3"/>
      <c r="BV1135" s="3"/>
      <c r="BW1135" s="3"/>
      <c r="BX1135" s="3"/>
      <c r="BY1135" s="3"/>
      <c r="BZ1135" s="3"/>
      <c r="CA1135" s="3"/>
      <c r="CB1135" s="3"/>
      <c r="CC1135" s="3"/>
    </row>
    <row r="1136" spans="2:81" ht="11.45">
      <c r="B1136" s="878"/>
      <c r="BL1136" s="100"/>
      <c r="BT1136" s="942"/>
      <c r="BU1136" s="942"/>
      <c r="BV1136" s="942"/>
      <c r="BW1136" s="942"/>
      <c r="BX1136" s="942"/>
      <c r="BY1136" s="942"/>
      <c r="BZ1136" s="942"/>
      <c r="CA1136" s="942"/>
      <c r="CB1136" s="942"/>
      <c r="CC1136" s="942"/>
    </row>
    <row r="1137" spans="2:81">
      <c r="B1137" s="878"/>
      <c r="BL1137" s="100"/>
      <c r="BT1137" s="7"/>
      <c r="BU1137" s="7"/>
      <c r="BV1137" s="7"/>
      <c r="BW1137" s="7"/>
      <c r="BX1137" s="7"/>
      <c r="BY1137" s="7"/>
      <c r="BZ1137" s="7"/>
      <c r="CA1137" s="7"/>
      <c r="CB1137" s="7"/>
      <c r="CC1137" s="7"/>
    </row>
    <row r="1138" spans="2:81" ht="10.5">
      <c r="B1138" s="5" t="s">
        <v>577</v>
      </c>
      <c r="C1138" s="4"/>
      <c r="BL1138" s="100"/>
      <c r="BT1138" s="1"/>
      <c r="BU1138" s="1"/>
      <c r="BV1138" s="1"/>
      <c r="BW1138" s="1"/>
      <c r="BX1138" s="1"/>
      <c r="BY1138" s="1"/>
      <c r="BZ1138" s="1"/>
      <c r="CA1138" s="1"/>
      <c r="CB1138" s="1"/>
      <c r="CC1138" s="1"/>
    </row>
    <row r="1139" spans="2:81" ht="10.5">
      <c r="B1139" s="1"/>
      <c r="BL1139" s="100"/>
    </row>
    <row r="1140" spans="2:81" ht="10.5">
      <c r="B1140" s="45" t="s">
        <v>578</v>
      </c>
      <c r="D1140" s="876" t="s">
        <v>404</v>
      </c>
      <c r="E1140" s="877"/>
      <c r="F1140" s="877"/>
      <c r="G1140" s="877"/>
      <c r="AO1140" s="825"/>
      <c r="AQ1140" s="825"/>
      <c r="BL1140" s="100"/>
    </row>
    <row r="1141" spans="2:81">
      <c r="B1141" t="s">
        <v>142</v>
      </c>
      <c r="D1141" s="29">
        <v>4902</v>
      </c>
      <c r="E1141" s="29">
        <v>5018</v>
      </c>
      <c r="F1141" s="29">
        <v>3756</v>
      </c>
      <c r="G1141" s="29">
        <v>3122</v>
      </c>
      <c r="H1141" s="29">
        <v>5667</v>
      </c>
      <c r="I1141" s="29">
        <v>6267</v>
      </c>
      <c r="J1141" s="29">
        <v>5486</v>
      </c>
      <c r="K1141" s="11">
        <f t="shared" ref="K1141:K1157" si="4378">+BH1141-SUM(H1141:J1141)</f>
        <v>8069</v>
      </c>
      <c r="L1141" s="29">
        <v>6576</v>
      </c>
      <c r="M1141" s="29">
        <v>-6302</v>
      </c>
      <c r="N1141" s="29">
        <v>7424</v>
      </c>
      <c r="O1141" s="11">
        <v>8873</v>
      </c>
      <c r="P1141" s="29">
        <v>8824</v>
      </c>
      <c r="Q1141" s="29">
        <v>8420</v>
      </c>
      <c r="R1141" s="29">
        <v>8809</v>
      </c>
      <c r="S1141" s="11">
        <f t="shared" ref="S1141:S1157" si="4379">+BJ1141-SUM(P1141:R1141)</f>
        <v>13187</v>
      </c>
      <c r="T1141" s="29">
        <v>10678</v>
      </c>
      <c r="U1141" s="29">
        <v>11649</v>
      </c>
      <c r="V1141" s="29">
        <v>10752</v>
      </c>
      <c r="W1141" s="29">
        <v>11202</v>
      </c>
      <c r="X1141" s="29">
        <v>13893</v>
      </c>
      <c r="Y1141" s="29">
        <v>15463</v>
      </c>
      <c r="Z1141" s="29">
        <v>15457</v>
      </c>
      <c r="AA1141" s="29">
        <v>16458</v>
      </c>
      <c r="AB1141" s="29">
        <v>20505</v>
      </c>
      <c r="AC1141" s="29">
        <v>18765</v>
      </c>
      <c r="AD1141" s="29">
        <v>16728</v>
      </c>
      <c r="AE1141" s="29">
        <v>16740</v>
      </c>
      <c r="AF1141" s="29">
        <v>17556</v>
      </c>
      <c r="AG1141" s="29">
        <v>16425</v>
      </c>
      <c r="AH1141" s="29">
        <v>18299</v>
      </c>
      <c r="AI1141" s="29">
        <v>20081</v>
      </c>
      <c r="AJ1141" s="29">
        <v>22291</v>
      </c>
      <c r="AK1141" s="29">
        <v>21870</v>
      </c>
      <c r="AL1141" s="29">
        <v>21939</v>
      </c>
      <c r="AM1141" s="29">
        <v>22036</v>
      </c>
      <c r="AN1141" s="29">
        <v>24667</v>
      </c>
      <c r="AO1141" s="825"/>
      <c r="AP1141" s="994"/>
      <c r="AQ1141" s="825"/>
      <c r="AS1141" s="29">
        <v>12254</v>
      </c>
      <c r="AT1141" s="29">
        <v>12599</v>
      </c>
      <c r="AU1141" s="29">
        <v>14065</v>
      </c>
      <c r="AV1141" s="29">
        <v>17681</v>
      </c>
      <c r="AW1141" s="29">
        <v>14569</v>
      </c>
      <c r="AX1141" s="29">
        <v>18760</v>
      </c>
      <c r="AY1141" s="29">
        <v>23150</v>
      </c>
      <c r="AZ1141" s="29">
        <v>16978</v>
      </c>
      <c r="BA1141" s="29">
        <v>21863</v>
      </c>
      <c r="BB1141" s="29">
        <v>22074</v>
      </c>
      <c r="BC1141" s="29">
        <v>12193</v>
      </c>
      <c r="BD1141" s="29">
        <v>16798</v>
      </c>
      <c r="BE1141" s="29">
        <v>21204</v>
      </c>
      <c r="BG1141" s="29">
        <v>20539</v>
      </c>
      <c r="BH1141" s="29">
        <v>25489</v>
      </c>
      <c r="BI1141" s="29">
        <v>16571</v>
      </c>
      <c r="BJ1141" s="29">
        <v>39240</v>
      </c>
      <c r="BK1141" s="11">
        <f t="shared" ref="BK1141:BK1157" si="4380">SUM(T1141:W1141)</f>
        <v>44281</v>
      </c>
      <c r="BL1141" s="11">
        <f>SUM(X1141:AA1141)</f>
        <v>61271</v>
      </c>
      <c r="BM1141" s="11">
        <f>+SUM(AB1141:AE1141)</f>
        <v>72738</v>
      </c>
      <c r="BN1141" s="11">
        <f>+SUM(AF1141:AI1141)</f>
        <v>72361</v>
      </c>
      <c r="BO1141" s="11">
        <f>+SUM(AJ1141:AM1141)</f>
        <v>88136</v>
      </c>
      <c r="BP1141" s="29"/>
    </row>
    <row r="1142" spans="2:81">
      <c r="B1142" t="s">
        <v>579</v>
      </c>
      <c r="D1142" s="29">
        <v>1461</v>
      </c>
      <c r="E1142" s="29">
        <v>1544</v>
      </c>
      <c r="F1142" s="29">
        <v>1707</v>
      </c>
      <c r="G1142" s="29">
        <v>1910</v>
      </c>
      <c r="H1142" s="29">
        <v>1816</v>
      </c>
      <c r="I1142" s="29">
        <v>2166</v>
      </c>
      <c r="J1142" s="29">
        <v>2453</v>
      </c>
      <c r="K1142" s="11">
        <f t="shared" si="4378"/>
        <v>2343</v>
      </c>
      <c r="L1142" s="29">
        <v>2499</v>
      </c>
      <c r="M1142" s="29">
        <v>2536</v>
      </c>
      <c r="N1142" s="29">
        <v>2710</v>
      </c>
      <c r="O1142" s="11">
        <v>2516</v>
      </c>
      <c r="P1142" s="29">
        <v>2837</v>
      </c>
      <c r="Q1142" s="29">
        <v>2995</v>
      </c>
      <c r="R1142" s="29">
        <v>2926</v>
      </c>
      <c r="S1142" s="11">
        <f t="shared" si="4379"/>
        <v>2924</v>
      </c>
      <c r="T1142" s="29">
        <v>2971</v>
      </c>
      <c r="U1142" s="29">
        <v>3203</v>
      </c>
      <c r="V1142" s="29">
        <v>3118</v>
      </c>
      <c r="W1142" s="29">
        <v>3504</v>
      </c>
      <c r="X1142" s="29">
        <v>2645</v>
      </c>
      <c r="Y1142" s="29">
        <v>2761</v>
      </c>
      <c r="Z1142" s="29">
        <v>2936</v>
      </c>
      <c r="AA1142" s="29">
        <v>3344</v>
      </c>
      <c r="AB1142" s="29">
        <v>3212</v>
      </c>
      <c r="AC1142" s="29">
        <v>3496</v>
      </c>
      <c r="AD1142" s="29">
        <v>3773</v>
      </c>
      <c r="AE1142" s="29">
        <v>3979</v>
      </c>
      <c r="AF1142" s="29">
        <v>2790</v>
      </c>
      <c r="AG1142" s="29">
        <v>3648</v>
      </c>
      <c r="AH1142" s="29">
        <v>3549</v>
      </c>
      <c r="AI1142" s="29">
        <v>3874</v>
      </c>
      <c r="AJ1142" s="29">
        <v>3921</v>
      </c>
      <c r="AK1142" s="29">
        <v>5959</v>
      </c>
      <c r="AL1142" s="29">
        <v>6027</v>
      </c>
      <c r="AM1142" s="29">
        <v>6380</v>
      </c>
      <c r="AN1142" s="29">
        <v>7383</v>
      </c>
      <c r="AO1142" s="825"/>
      <c r="AP1142" s="825"/>
      <c r="AQ1142" s="825"/>
      <c r="AS1142" s="29">
        <v>855</v>
      </c>
      <c r="AT1142" s="29">
        <v>903</v>
      </c>
      <c r="AU1142" s="29">
        <v>1440</v>
      </c>
      <c r="AV1142" s="29">
        <v>2056</v>
      </c>
      <c r="AW1142" s="29">
        <v>2562</v>
      </c>
      <c r="AX1142" s="29">
        <v>2673</v>
      </c>
      <c r="AY1142" s="29">
        <v>2766</v>
      </c>
      <c r="AZ1142" s="29">
        <v>2967</v>
      </c>
      <c r="BA1142" s="29">
        <v>3755</v>
      </c>
      <c r="BB1142" s="29">
        <v>5212</v>
      </c>
      <c r="BC1142" s="29">
        <v>5957</v>
      </c>
      <c r="BD1142" s="29">
        <v>6622</v>
      </c>
      <c r="BE1142" s="29">
        <v>8778</v>
      </c>
      <c r="BG1142" s="29">
        <v>6622</v>
      </c>
      <c r="BH1142" s="29">
        <v>8778</v>
      </c>
      <c r="BI1142" s="29">
        <v>10261</v>
      </c>
      <c r="BJ1142" s="29">
        <v>11682</v>
      </c>
      <c r="BK1142" s="11">
        <f t="shared" si="4380"/>
        <v>12796</v>
      </c>
      <c r="BL1142" s="11">
        <f t="shared" ref="BL1142:BL1157" si="4381">SUM(X1142:AA1142)</f>
        <v>11686</v>
      </c>
      <c r="BM1142" s="11">
        <f t="shared" ref="BM1142:BM1157" si="4382">+SUM(AB1142:AE1142)</f>
        <v>14460</v>
      </c>
      <c r="BN1142" s="11">
        <f t="shared" ref="BN1142:BN1183" si="4383">+SUM(AF1142:AI1142)</f>
        <v>13861</v>
      </c>
      <c r="BO1142" s="11">
        <f t="shared" ref="BO1142:BO1183" si="4384">+SUM(AJ1142:AM1142)</f>
        <v>22287</v>
      </c>
      <c r="BP1142" s="29"/>
    </row>
    <row r="1143" spans="2:81">
      <c r="B1143" t="s">
        <v>580</v>
      </c>
      <c r="D1143" s="29">
        <v>101</v>
      </c>
      <c r="E1143" s="29">
        <v>50</v>
      </c>
      <c r="F1143" s="29">
        <v>65</v>
      </c>
      <c r="G1143" s="29">
        <v>-439</v>
      </c>
      <c r="H1143" s="29">
        <v>-311</v>
      </c>
      <c r="I1143" s="29">
        <v>-652</v>
      </c>
      <c r="J1143" s="29">
        <v>-590</v>
      </c>
      <c r="K1143" s="11">
        <f t="shared" si="4378"/>
        <v>-520</v>
      </c>
      <c r="L1143" s="29">
        <v>-523</v>
      </c>
      <c r="M1143" s="29">
        <v>-684</v>
      </c>
      <c r="N1143" s="29">
        <v>-438</v>
      </c>
      <c r="O1143" s="11">
        <v>-567</v>
      </c>
      <c r="P1143" s="29">
        <v>-240</v>
      </c>
      <c r="Q1143" s="29">
        <v>-135</v>
      </c>
      <c r="R1143" s="29">
        <v>-95</v>
      </c>
      <c r="S1143" s="11">
        <f t="shared" si="4379"/>
        <v>-322</v>
      </c>
      <c r="T1143" s="29">
        <v>11</v>
      </c>
      <c r="U1143" s="29">
        <v>-203</v>
      </c>
      <c r="V1143" s="29">
        <v>52</v>
      </c>
      <c r="W1143" s="29">
        <v>-79</v>
      </c>
      <c r="X1143" s="29">
        <v>-128</v>
      </c>
      <c r="Y1143" s="29">
        <v>-354</v>
      </c>
      <c r="Z1143" s="29">
        <v>-351</v>
      </c>
      <c r="AA1143" s="29">
        <v>-416</v>
      </c>
      <c r="AB1143" s="29">
        <v>-364</v>
      </c>
      <c r="AC1143" s="29">
        <v>-307</v>
      </c>
      <c r="AD1143" s="29">
        <v>105</v>
      </c>
      <c r="AE1143" s="29">
        <v>157</v>
      </c>
      <c r="AF1143" s="29">
        <v>-22</v>
      </c>
      <c r="AG1143" s="29">
        <v>214</v>
      </c>
      <c r="AH1143" s="29">
        <v>-40</v>
      </c>
      <c r="AI1143" s="29">
        <v>44</v>
      </c>
      <c r="AJ1143" s="29">
        <v>14</v>
      </c>
      <c r="AK1143" s="29">
        <v>198</v>
      </c>
      <c r="AL1143" s="29">
        <v>49</v>
      </c>
      <c r="AM1143" s="29">
        <v>44</v>
      </c>
      <c r="AN1143" s="29">
        <v>-125</v>
      </c>
      <c r="AO1143" s="825"/>
      <c r="AQ1143" s="825"/>
      <c r="AS1143" s="29">
        <v>-527</v>
      </c>
      <c r="AT1143" s="29">
        <v>-270</v>
      </c>
      <c r="AU1143" s="29">
        <v>-292</v>
      </c>
      <c r="AV1143" s="29">
        <v>-572</v>
      </c>
      <c r="AW1143" s="29">
        <v>683</v>
      </c>
      <c r="AX1143" s="29">
        <v>-208</v>
      </c>
      <c r="AY1143" s="29">
        <v>-362</v>
      </c>
      <c r="AZ1143" s="29">
        <v>-200</v>
      </c>
      <c r="BA1143" s="29">
        <v>80</v>
      </c>
      <c r="BB1143" s="29">
        <v>-109</v>
      </c>
      <c r="BC1143" s="29">
        <v>-443</v>
      </c>
      <c r="BD1143" s="29">
        <v>-223</v>
      </c>
      <c r="BE1143" s="29">
        <v>-2073</v>
      </c>
      <c r="BG1143" s="29">
        <v>-223</v>
      </c>
      <c r="BH1143" s="29">
        <v>-2073</v>
      </c>
      <c r="BI1143" s="29">
        <v>-2212</v>
      </c>
      <c r="BJ1143" s="29">
        <v>-792</v>
      </c>
      <c r="BK1143" s="11">
        <f t="shared" si="4380"/>
        <v>-219</v>
      </c>
      <c r="BL1143" s="11">
        <f t="shared" si="4381"/>
        <v>-1249</v>
      </c>
      <c r="BM1143" s="11">
        <f t="shared" si="4382"/>
        <v>-409</v>
      </c>
      <c r="BN1143" s="11">
        <f t="shared" si="4383"/>
        <v>196</v>
      </c>
      <c r="BO1143" s="11">
        <f t="shared" si="4384"/>
        <v>305</v>
      </c>
      <c r="BP1143" s="29"/>
    </row>
    <row r="1144" spans="2:81">
      <c r="B1144" t="s">
        <v>581</v>
      </c>
      <c r="D1144" s="29">
        <v>0</v>
      </c>
      <c r="E1144" s="29">
        <v>0</v>
      </c>
      <c r="F1144" s="29">
        <v>0</v>
      </c>
      <c r="G1144" s="29">
        <v>630</v>
      </c>
      <c r="H1144" s="29">
        <v>0</v>
      </c>
      <c r="I1144" s="29">
        <v>0</v>
      </c>
      <c r="J1144" s="29">
        <v>0</v>
      </c>
      <c r="K1144" s="11">
        <f t="shared" si="4378"/>
        <v>0</v>
      </c>
      <c r="L1144" s="29">
        <v>0</v>
      </c>
      <c r="M1144" s="29">
        <v>0</v>
      </c>
      <c r="N1144" s="29">
        <v>0</v>
      </c>
      <c r="O1144" s="11">
        <v>0</v>
      </c>
      <c r="P1144" s="29">
        <v>0</v>
      </c>
      <c r="Q1144" s="29">
        <v>0</v>
      </c>
      <c r="R1144" s="29">
        <v>0</v>
      </c>
      <c r="S1144" s="11">
        <f t="shared" si="4379"/>
        <v>0</v>
      </c>
      <c r="T1144" s="29">
        <v>0</v>
      </c>
      <c r="U1144" s="29">
        <v>0</v>
      </c>
      <c r="V1144" s="29">
        <v>0</v>
      </c>
      <c r="W1144" s="29">
        <v>0</v>
      </c>
      <c r="X1144" s="29">
        <v>0</v>
      </c>
      <c r="Y1144" s="29">
        <v>0</v>
      </c>
      <c r="Z1144" s="29">
        <v>0</v>
      </c>
      <c r="AA1144" s="29">
        <v>0</v>
      </c>
      <c r="AB1144" s="29">
        <v>0</v>
      </c>
      <c r="AC1144" s="29">
        <v>0</v>
      </c>
      <c r="AD1144" s="29">
        <v>0</v>
      </c>
      <c r="AE1144" s="29">
        <v>0</v>
      </c>
      <c r="AF1144" s="29">
        <v>0</v>
      </c>
      <c r="AG1144" s="29">
        <v>0</v>
      </c>
      <c r="AH1144" s="29">
        <v>0</v>
      </c>
      <c r="AI1144" s="29">
        <v>0</v>
      </c>
      <c r="AJ1144" s="29">
        <v>0</v>
      </c>
      <c r="AK1144" s="29">
        <v>0</v>
      </c>
      <c r="AL1144" s="29">
        <v>0</v>
      </c>
      <c r="AM1144" s="29">
        <v>0</v>
      </c>
      <c r="AN1144" s="29">
        <v>0</v>
      </c>
      <c r="AO1144" s="825"/>
      <c r="AP1144" s="29"/>
      <c r="AS1144" s="29">
        <v>0</v>
      </c>
      <c r="AT1144" s="29">
        <v>0</v>
      </c>
      <c r="AU1144" s="29">
        <v>0</v>
      </c>
      <c r="AV1144" s="29">
        <v>0</v>
      </c>
      <c r="AW1144" s="29">
        <v>0</v>
      </c>
      <c r="AX1144" s="29">
        <v>0</v>
      </c>
      <c r="AY1144" s="29">
        <v>0</v>
      </c>
      <c r="AZ1144" s="29">
        <v>6193</v>
      </c>
      <c r="BA1144" s="29">
        <v>0</v>
      </c>
      <c r="BB1144" s="29">
        <v>0</v>
      </c>
      <c r="BC1144" s="29">
        <v>7498</v>
      </c>
      <c r="BD1144" s="29">
        <v>630</v>
      </c>
      <c r="BE1144" s="29">
        <v>0</v>
      </c>
      <c r="BG1144" s="29">
        <v>630</v>
      </c>
      <c r="BH1144" s="29">
        <v>0</v>
      </c>
      <c r="BI1144" s="29">
        <v>0</v>
      </c>
      <c r="BJ1144" s="29">
        <v>0</v>
      </c>
      <c r="BK1144" s="11">
        <f t="shared" si="4380"/>
        <v>0</v>
      </c>
      <c r="BL1144" s="11">
        <f t="shared" si="4381"/>
        <v>0</v>
      </c>
      <c r="BM1144" s="11">
        <f t="shared" si="4382"/>
        <v>0</v>
      </c>
      <c r="BN1144" s="11">
        <f t="shared" si="4383"/>
        <v>0</v>
      </c>
      <c r="BO1144" s="11">
        <f t="shared" si="4384"/>
        <v>0</v>
      </c>
      <c r="BP1144" s="29"/>
    </row>
    <row r="1145" spans="2:81">
      <c r="B1145" t="s">
        <v>582</v>
      </c>
      <c r="D1145" s="29">
        <v>674</v>
      </c>
      <c r="E1145" s="29">
        <v>658</v>
      </c>
      <c r="F1145" s="29">
        <v>672</v>
      </c>
      <c r="G1145" s="29">
        <v>664</v>
      </c>
      <c r="H1145" s="29">
        <v>703</v>
      </c>
      <c r="I1145" s="29">
        <v>767</v>
      </c>
      <c r="J1145" s="29">
        <v>883</v>
      </c>
      <c r="K1145" s="11">
        <f t="shared" si="4378"/>
        <v>913</v>
      </c>
      <c r="L1145" s="29">
        <v>973</v>
      </c>
      <c r="M1145" s="29">
        <v>986</v>
      </c>
      <c r="N1145" s="29">
        <v>969</v>
      </c>
      <c r="O1145" s="11">
        <v>1012</v>
      </c>
      <c r="P1145" s="29">
        <v>1107</v>
      </c>
      <c r="Q1145" s="29">
        <v>1183</v>
      </c>
      <c r="R1145" s="29">
        <v>1172</v>
      </c>
      <c r="S1145" s="11">
        <f t="shared" si="4379"/>
        <v>1190</v>
      </c>
      <c r="T1145" s="29">
        <v>1262</v>
      </c>
      <c r="U1145" s="29">
        <v>1340</v>
      </c>
      <c r="V1145" s="29">
        <v>1338</v>
      </c>
      <c r="W1145" s="29">
        <v>1349</v>
      </c>
      <c r="X1145" s="29">
        <v>1456</v>
      </c>
      <c r="Y1145" s="29">
        <v>1566</v>
      </c>
      <c r="Z1145" s="29">
        <v>1525</v>
      </c>
      <c r="AA1145" s="29">
        <v>1571</v>
      </c>
      <c r="AB1145" s="29">
        <v>1702</v>
      </c>
      <c r="AC1145" s="29">
        <v>1897</v>
      </c>
      <c r="AD1145" s="29">
        <v>1906</v>
      </c>
      <c r="AE1145" s="29">
        <v>1997</v>
      </c>
      <c r="AF1145" s="29">
        <v>2192</v>
      </c>
      <c r="AG1145" s="29">
        <v>2538</v>
      </c>
      <c r="AH1145" s="29">
        <v>2465</v>
      </c>
      <c r="AI1145" s="29">
        <v>2416</v>
      </c>
      <c r="AJ1145" s="29">
        <v>2507</v>
      </c>
      <c r="AK1145" s="29">
        <v>2828</v>
      </c>
      <c r="AL1145" s="29">
        <v>2703</v>
      </c>
      <c r="AM1145" s="29">
        <v>2696</v>
      </c>
      <c r="AN1145" s="29">
        <v>2832</v>
      </c>
      <c r="AO1145" s="825"/>
      <c r="AP1145" s="825"/>
      <c r="AQ1145" s="825"/>
      <c r="AS1145" s="29">
        <v>2448</v>
      </c>
      <c r="AT1145" s="29">
        <v>1715</v>
      </c>
      <c r="AU1145" s="29">
        <v>1550</v>
      </c>
      <c r="AV1145" s="29">
        <v>1479</v>
      </c>
      <c r="AW1145" s="29">
        <v>1708</v>
      </c>
      <c r="AX1145" s="29">
        <v>1891</v>
      </c>
      <c r="AY1145" s="29">
        <v>2166</v>
      </c>
      <c r="AZ1145" s="29">
        <v>2244</v>
      </c>
      <c r="BA1145" s="29">
        <v>2406</v>
      </c>
      <c r="BB1145" s="29">
        <v>2446</v>
      </c>
      <c r="BC1145" s="29">
        <v>2574</v>
      </c>
      <c r="BD1145" s="29">
        <v>2668</v>
      </c>
      <c r="BE1145" s="29">
        <v>3266</v>
      </c>
      <c r="BG1145" s="29">
        <v>2668</v>
      </c>
      <c r="BH1145" s="29">
        <v>3266</v>
      </c>
      <c r="BI1145" s="29">
        <v>3940</v>
      </c>
      <c r="BJ1145" s="29">
        <v>4652</v>
      </c>
      <c r="BK1145" s="11">
        <f t="shared" si="4380"/>
        <v>5289</v>
      </c>
      <c r="BL1145" s="11">
        <f t="shared" si="4381"/>
        <v>6118</v>
      </c>
      <c r="BM1145" s="11">
        <f t="shared" si="4382"/>
        <v>7502</v>
      </c>
      <c r="BN1145" s="11">
        <f t="shared" si="4383"/>
        <v>9611</v>
      </c>
      <c r="BO1145" s="11">
        <f t="shared" si="4384"/>
        <v>10734</v>
      </c>
      <c r="BP1145" s="29"/>
    </row>
    <row r="1146" spans="2:81">
      <c r="B1146" t="s">
        <v>583</v>
      </c>
      <c r="D1146" s="29">
        <v>0</v>
      </c>
      <c r="E1146" s="29">
        <v>0</v>
      </c>
      <c r="F1146" s="29">
        <v>0</v>
      </c>
      <c r="G1146" s="29">
        <v>0</v>
      </c>
      <c r="H1146" s="29">
        <v>0</v>
      </c>
      <c r="I1146" s="29">
        <v>0</v>
      </c>
      <c r="J1146" s="29">
        <v>0</v>
      </c>
      <c r="K1146" s="11">
        <f t="shared" si="4378"/>
        <v>0</v>
      </c>
      <c r="L1146" s="29">
        <v>0</v>
      </c>
      <c r="M1146" s="29">
        <v>0</v>
      </c>
      <c r="N1146" s="29">
        <v>0</v>
      </c>
      <c r="O1146" s="11">
        <v>0</v>
      </c>
      <c r="P1146" s="29">
        <v>0</v>
      </c>
      <c r="Q1146" s="29">
        <v>0</v>
      </c>
      <c r="R1146" s="29">
        <v>0</v>
      </c>
      <c r="S1146" s="11">
        <f t="shared" si="4379"/>
        <v>0</v>
      </c>
      <c r="T1146" s="29">
        <v>0</v>
      </c>
      <c r="U1146" s="29">
        <v>0</v>
      </c>
      <c r="V1146" s="29">
        <v>0</v>
      </c>
      <c r="W1146" s="29">
        <v>0</v>
      </c>
      <c r="X1146" s="29">
        <v>0</v>
      </c>
      <c r="Y1146" s="29">
        <v>0</v>
      </c>
      <c r="Z1146" s="29">
        <v>0</v>
      </c>
      <c r="AA1146" s="29">
        <v>0</v>
      </c>
      <c r="AB1146" s="29">
        <v>0</v>
      </c>
      <c r="AC1146" s="29">
        <v>0</v>
      </c>
      <c r="AD1146" s="29">
        <v>0</v>
      </c>
      <c r="AE1146" s="29">
        <v>0</v>
      </c>
      <c r="AF1146" s="29">
        <v>0</v>
      </c>
      <c r="AG1146" s="29">
        <v>0</v>
      </c>
      <c r="AH1146" s="29">
        <v>0</v>
      </c>
      <c r="AI1146" s="29">
        <v>0</v>
      </c>
      <c r="AJ1146" s="29">
        <v>0</v>
      </c>
      <c r="AK1146" s="29"/>
      <c r="AL1146" s="29">
        <v>0</v>
      </c>
      <c r="AM1146" s="29">
        <v>0</v>
      </c>
      <c r="AN1146" s="29">
        <v>0</v>
      </c>
      <c r="AO1146" s="825"/>
      <c r="AS1146" s="29">
        <v>668</v>
      </c>
      <c r="AT1146" s="29">
        <v>-89</v>
      </c>
      <c r="AU1146" s="29">
        <v>-77</v>
      </c>
      <c r="AV1146" s="29">
        <v>-120</v>
      </c>
      <c r="AW1146" s="29">
        <v>-52</v>
      </c>
      <c r="AX1146" s="29">
        <v>-45</v>
      </c>
      <c r="AY1146" s="29">
        <v>-17</v>
      </c>
      <c r="AZ1146" s="29">
        <v>-93</v>
      </c>
      <c r="BA1146" s="29">
        <v>-209</v>
      </c>
      <c r="BB1146" s="29">
        <v>0</v>
      </c>
      <c r="BC1146" s="29">
        <v>0</v>
      </c>
      <c r="BD1146" s="29">
        <v>0</v>
      </c>
      <c r="BE1146" s="29">
        <v>0</v>
      </c>
      <c r="BG1146" s="29">
        <v>0</v>
      </c>
      <c r="BH1146" s="29">
        <v>0</v>
      </c>
      <c r="BI1146" s="29">
        <v>0</v>
      </c>
      <c r="BJ1146" s="29">
        <v>0</v>
      </c>
      <c r="BK1146" s="11">
        <f t="shared" si="4380"/>
        <v>0</v>
      </c>
      <c r="BL1146" s="11">
        <f t="shared" si="4381"/>
        <v>0</v>
      </c>
      <c r="BM1146" s="11">
        <f t="shared" si="4382"/>
        <v>0</v>
      </c>
      <c r="BN1146" s="11">
        <f t="shared" si="4383"/>
        <v>0</v>
      </c>
      <c r="BO1146" s="11">
        <f t="shared" si="4384"/>
        <v>0</v>
      </c>
      <c r="BP1146" s="29"/>
    </row>
    <row r="1147" spans="2:81">
      <c r="B1147" t="s">
        <v>584</v>
      </c>
      <c r="D1147" s="29">
        <v>73</v>
      </c>
      <c r="E1147" s="29">
        <v>-247</v>
      </c>
      <c r="F1147" s="29">
        <v>351</v>
      </c>
      <c r="G1147" s="29">
        <v>155</v>
      </c>
      <c r="H1147" s="29">
        <v>540</v>
      </c>
      <c r="I1147" s="29">
        <v>5</v>
      </c>
      <c r="J1147" s="29">
        <v>-284</v>
      </c>
      <c r="K1147" s="11">
        <f t="shared" si="4378"/>
        <v>-1090</v>
      </c>
      <c r="L1147" s="29">
        <v>-53</v>
      </c>
      <c r="M1147" s="29">
        <v>-2305</v>
      </c>
      <c r="N1147" s="29">
        <v>-396</v>
      </c>
      <c r="O1147" s="11">
        <v>-2389</v>
      </c>
      <c r="P1147" s="29">
        <v>-247</v>
      </c>
      <c r="Q1147" s="29">
        <v>-173</v>
      </c>
      <c r="R1147" s="29">
        <v>-320</v>
      </c>
      <c r="S1147" s="11">
        <f t="shared" si="4379"/>
        <v>-5723</v>
      </c>
      <c r="T1147" s="29">
        <v>-177</v>
      </c>
      <c r="U1147" s="29">
        <v>-53</v>
      </c>
      <c r="V1147" s="29">
        <v>-206</v>
      </c>
      <c r="W1147" s="29">
        <v>447</v>
      </c>
      <c r="X1147" s="29">
        <v>-11</v>
      </c>
      <c r="Y1147" s="29">
        <v>-17</v>
      </c>
      <c r="Z1147" s="29">
        <v>-88</v>
      </c>
      <c r="AA1147" s="29">
        <v>-34</v>
      </c>
      <c r="AB1147" s="29">
        <v>-5970</v>
      </c>
      <c r="AC1147" s="29">
        <v>183</v>
      </c>
      <c r="AD1147" s="29">
        <v>-198</v>
      </c>
      <c r="AE1147" s="29">
        <v>283</v>
      </c>
      <c r="AF1147" s="29">
        <v>-1191</v>
      </c>
      <c r="AG1147" s="29">
        <v>-1305</v>
      </c>
      <c r="AH1147" s="29">
        <v>-1675</v>
      </c>
      <c r="AI1147" s="29">
        <v>-1888</v>
      </c>
      <c r="AJ1147" s="29">
        <v>-568</v>
      </c>
      <c r="AK1147" s="29">
        <v>-1702</v>
      </c>
      <c r="AL1147" s="29">
        <v>-1323</v>
      </c>
      <c r="AM1147" s="29">
        <v>-1145</v>
      </c>
      <c r="AN1147" s="29">
        <v>-1433</v>
      </c>
      <c r="AO1147" s="825"/>
      <c r="AP1147" s="825"/>
      <c r="AQ1147" s="825"/>
      <c r="AS1147" s="29">
        <v>-179</v>
      </c>
      <c r="AT1147" s="29">
        <v>219</v>
      </c>
      <c r="AU1147" s="29">
        <v>421</v>
      </c>
      <c r="AV1147" s="29">
        <v>935</v>
      </c>
      <c r="AW1147" s="29">
        <v>762</v>
      </c>
      <c r="AX1147" s="29">
        <v>-220</v>
      </c>
      <c r="AY1147" s="29">
        <v>2</v>
      </c>
      <c r="AZ1147" s="29">
        <v>954</v>
      </c>
      <c r="BA1147" s="29">
        <v>-19</v>
      </c>
      <c r="BB1147" s="29">
        <v>-331</v>
      </c>
      <c r="BC1147" s="29">
        <v>224</v>
      </c>
      <c r="BD1147" s="29">
        <v>332</v>
      </c>
      <c r="BE1147" s="29">
        <v>-3296</v>
      </c>
      <c r="BG1147" s="29">
        <v>2479</v>
      </c>
      <c r="BH1147" s="29">
        <v>-829</v>
      </c>
      <c r="BI1147" s="29">
        <v>-5143</v>
      </c>
      <c r="BJ1147" s="29">
        <v>-6463</v>
      </c>
      <c r="BK1147" s="11">
        <f t="shared" si="4380"/>
        <v>11</v>
      </c>
      <c r="BL1147" s="11">
        <f t="shared" si="4381"/>
        <v>-150</v>
      </c>
      <c r="BM1147" s="11">
        <f t="shared" si="4382"/>
        <v>-5702</v>
      </c>
      <c r="BN1147" s="11">
        <f t="shared" si="4383"/>
        <v>-6059</v>
      </c>
      <c r="BO1147" s="11">
        <f t="shared" si="4384"/>
        <v>-4738</v>
      </c>
      <c r="BP1147" s="29"/>
      <c r="BT1147" s="852"/>
      <c r="BU1147" s="852"/>
      <c r="BV1147" s="852"/>
      <c r="BW1147" s="852"/>
      <c r="BX1147" s="852"/>
      <c r="BY1147" s="852"/>
      <c r="BZ1147" s="852"/>
      <c r="CA1147" s="852"/>
      <c r="CB1147" s="852"/>
      <c r="CC1147" s="852"/>
    </row>
    <row r="1148" spans="2:81">
      <c r="B1148" t="s">
        <v>585</v>
      </c>
      <c r="D1148" s="29">
        <v>-5</v>
      </c>
      <c r="E1148" s="29">
        <v>56</v>
      </c>
      <c r="F1148" s="29">
        <v>7</v>
      </c>
      <c r="G1148" s="29">
        <v>-99</v>
      </c>
      <c r="H1148" s="29">
        <v>-93</v>
      </c>
      <c r="I1148" s="29">
        <v>-200</v>
      </c>
      <c r="J1148" s="29">
        <v>-387</v>
      </c>
      <c r="K1148" s="11">
        <f t="shared" si="4378"/>
        <v>-237</v>
      </c>
      <c r="L1148" s="29">
        <v>-278</v>
      </c>
      <c r="M1148" s="29">
        <v>-344</v>
      </c>
      <c r="N1148" s="29">
        <v>-213</v>
      </c>
      <c r="O1148" s="11">
        <v>550</v>
      </c>
      <c r="P1148" s="29">
        <v>21</v>
      </c>
      <c r="Q1148" s="29">
        <v>-473</v>
      </c>
      <c r="R1148" s="29">
        <v>-517</v>
      </c>
      <c r="S1148" s="11">
        <f t="shared" si="4379"/>
        <v>-865</v>
      </c>
      <c r="T1148" s="29">
        <v>-333</v>
      </c>
      <c r="U1148" s="29">
        <v>-517</v>
      </c>
      <c r="V1148" s="29">
        <v>124</v>
      </c>
      <c r="W1148" s="29">
        <v>-311</v>
      </c>
      <c r="X1148" s="29">
        <v>-62</v>
      </c>
      <c r="Y1148" s="29">
        <v>-1499</v>
      </c>
      <c r="Z1148" s="29">
        <v>-885</v>
      </c>
      <c r="AA1148" s="29">
        <v>-1013</v>
      </c>
      <c r="AB1148" s="29">
        <v>-598</v>
      </c>
      <c r="AC1148" s="29">
        <v>-908</v>
      </c>
      <c r="AD1148" s="29">
        <v>-724</v>
      </c>
      <c r="AE1148" s="29">
        <v>-575</v>
      </c>
      <c r="AF1148" s="29">
        <v>-666</v>
      </c>
      <c r="AG1148" s="29">
        <v>-65</v>
      </c>
      <c r="AH1148" s="29">
        <v>-554</v>
      </c>
      <c r="AI1148" s="29">
        <v>-1548</v>
      </c>
      <c r="AJ1148" s="29">
        <v>-2013</v>
      </c>
      <c r="AK1148" s="29">
        <v>-1427</v>
      </c>
      <c r="AL1148" s="29">
        <v>-2137</v>
      </c>
      <c r="AM1148" s="29">
        <v>-1240</v>
      </c>
      <c r="AN1148" s="29">
        <v>-1761</v>
      </c>
      <c r="AO1148" s="825"/>
      <c r="AP1148" s="825"/>
      <c r="AQ1148" s="825"/>
      <c r="AS1148" s="29">
        <v>21</v>
      </c>
      <c r="AT1148" s="29">
        <v>-49</v>
      </c>
      <c r="AU1148" s="29">
        <v>-435</v>
      </c>
      <c r="AV1148" s="29">
        <v>-98</v>
      </c>
      <c r="AW1148" s="29">
        <v>-273</v>
      </c>
      <c r="AX1148" s="29">
        <v>-223</v>
      </c>
      <c r="AY1148" s="29">
        <v>62</v>
      </c>
      <c r="AZ1148" s="29">
        <v>-248</v>
      </c>
      <c r="BA1148" s="29">
        <v>-478</v>
      </c>
      <c r="BB1148" s="29">
        <v>-628</v>
      </c>
      <c r="BC1148" s="29">
        <v>346</v>
      </c>
      <c r="BD1148" s="29">
        <v>-41</v>
      </c>
      <c r="BE1148" s="29">
        <v>-539</v>
      </c>
      <c r="BG1148" s="29">
        <v>-1110</v>
      </c>
      <c r="BH1148" s="29">
        <v>-917</v>
      </c>
      <c r="BI1148" s="29">
        <v>-285</v>
      </c>
      <c r="BJ1148" s="29">
        <v>-1834</v>
      </c>
      <c r="BK1148" s="11">
        <f t="shared" si="4380"/>
        <v>-1037</v>
      </c>
      <c r="BL1148" s="11">
        <f t="shared" si="4381"/>
        <v>-3459</v>
      </c>
      <c r="BM1148" s="11">
        <f t="shared" si="4382"/>
        <v>-2805</v>
      </c>
      <c r="BN1148" s="11">
        <f t="shared" si="4383"/>
        <v>-2833</v>
      </c>
      <c r="BO1148" s="11">
        <f t="shared" si="4384"/>
        <v>-6817</v>
      </c>
      <c r="BP1148" s="29"/>
    </row>
    <row r="1149" spans="2:81">
      <c r="B1149" t="s">
        <v>586</v>
      </c>
      <c r="D1149" s="29">
        <v>-116</v>
      </c>
      <c r="E1149" s="29">
        <v>370</v>
      </c>
      <c r="F1149" s="29">
        <v>340</v>
      </c>
      <c r="G1149" s="29">
        <v>-1360</v>
      </c>
      <c r="H1149" s="29">
        <v>443</v>
      </c>
      <c r="I1149" s="29">
        <v>-726</v>
      </c>
      <c r="J1149" s="29">
        <v>284</v>
      </c>
      <c r="K1149" s="11">
        <f t="shared" si="4378"/>
        <v>-119</v>
      </c>
      <c r="L1149" s="29">
        <v>813</v>
      </c>
      <c r="M1149" s="29">
        <v>-612</v>
      </c>
      <c r="N1149" s="29">
        <v>145</v>
      </c>
      <c r="O1149" s="11">
        <v>-366</v>
      </c>
      <c r="P1149" s="29">
        <v>43</v>
      </c>
      <c r="Q1149" s="29">
        <v>-32</v>
      </c>
      <c r="R1149" s="29">
        <v>339</v>
      </c>
      <c r="S1149" s="11">
        <f t="shared" si="4379"/>
        <v>241</v>
      </c>
      <c r="T1149" s="29">
        <v>410</v>
      </c>
      <c r="U1149" s="29">
        <v>425</v>
      </c>
      <c r="V1149" s="29">
        <v>-110</v>
      </c>
      <c r="W1149" s="29">
        <v>623</v>
      </c>
      <c r="X1149" s="29">
        <v>244</v>
      </c>
      <c r="Y1149" s="29">
        <v>893</v>
      </c>
      <c r="Z1149" s="29">
        <v>122</v>
      </c>
      <c r="AA1149" s="29">
        <v>143</v>
      </c>
      <c r="AB1149" s="29">
        <v>250</v>
      </c>
      <c r="AC1149" s="29">
        <v>93</v>
      </c>
      <c r="AD1149" s="29">
        <v>438</v>
      </c>
      <c r="AE1149" s="29">
        <v>44</v>
      </c>
      <c r="AF1149" s="29">
        <v>188</v>
      </c>
      <c r="AG1149" s="29">
        <v>257</v>
      </c>
      <c r="AH1149" s="29">
        <v>6</v>
      </c>
      <c r="AI1149" s="29">
        <v>102</v>
      </c>
      <c r="AJ1149" s="29">
        <v>291</v>
      </c>
      <c r="AK1149" s="29">
        <v>-26</v>
      </c>
      <c r="AL1149" s="29">
        <v>48</v>
      </c>
      <c r="AM1149" s="29">
        <v>436</v>
      </c>
      <c r="AN1149" s="29">
        <v>-33</v>
      </c>
      <c r="AO1149" s="825"/>
      <c r="AQ1149" s="825"/>
      <c r="AS1149" s="29">
        <v>1245</v>
      </c>
      <c r="AT1149" s="29">
        <v>1273</v>
      </c>
      <c r="AU1149" s="29">
        <v>1558</v>
      </c>
      <c r="AV1149" s="29">
        <v>-173</v>
      </c>
      <c r="AW1149" s="29">
        <v>1673</v>
      </c>
      <c r="AX1149" s="29">
        <v>1407</v>
      </c>
      <c r="AY1149" s="29">
        <v>1294</v>
      </c>
      <c r="AZ1149" s="29">
        <v>174</v>
      </c>
      <c r="BA1149" s="29">
        <v>1158</v>
      </c>
      <c r="BB1149" s="29">
        <v>1014</v>
      </c>
      <c r="BC1149" s="29">
        <v>1599</v>
      </c>
      <c r="BD1149" s="29">
        <v>-766</v>
      </c>
      <c r="BE1149" s="29">
        <v>1533</v>
      </c>
      <c r="BG1149" s="29">
        <v>-406</v>
      </c>
      <c r="BH1149" s="29">
        <v>-118</v>
      </c>
      <c r="BI1149" s="29">
        <v>-20</v>
      </c>
      <c r="BJ1149" s="29">
        <v>591</v>
      </c>
      <c r="BK1149" s="11">
        <f t="shared" si="4380"/>
        <v>1348</v>
      </c>
      <c r="BL1149" s="11">
        <f t="shared" si="4381"/>
        <v>1402</v>
      </c>
      <c r="BM1149" s="11">
        <f t="shared" si="4382"/>
        <v>825</v>
      </c>
      <c r="BN1149" s="11">
        <f t="shared" si="4383"/>
        <v>553</v>
      </c>
      <c r="BO1149" s="11">
        <f t="shared" si="4384"/>
        <v>749</v>
      </c>
      <c r="BP1149" s="29"/>
    </row>
    <row r="1150" spans="2:81">
      <c r="B1150" t="s">
        <v>587</v>
      </c>
      <c r="D1150" s="29">
        <v>6376</v>
      </c>
      <c r="E1150" s="29">
        <v>-3118</v>
      </c>
      <c r="F1150" s="29">
        <v>2288</v>
      </c>
      <c r="G1150" s="29">
        <v>-6076</v>
      </c>
      <c r="H1150" s="29">
        <v>7187</v>
      </c>
      <c r="I1150" s="29">
        <v>-2789</v>
      </c>
      <c r="J1150" s="29">
        <v>1415</v>
      </c>
      <c r="K1150" s="11">
        <f t="shared" si="4378"/>
        <v>-7029</v>
      </c>
      <c r="L1150" s="29">
        <v>7949</v>
      </c>
      <c r="M1150" s="29">
        <v>-3908</v>
      </c>
      <c r="N1150" s="29">
        <v>1285</v>
      </c>
      <c r="O1150" s="11">
        <v>-9188</v>
      </c>
      <c r="P1150" s="29">
        <v>9194</v>
      </c>
      <c r="Q1150" s="29">
        <v>-2396</v>
      </c>
      <c r="R1150" s="29">
        <v>460</v>
      </c>
      <c r="S1150" s="11">
        <f t="shared" si="4379"/>
        <v>-10070</v>
      </c>
      <c r="T1150" s="29">
        <v>10090</v>
      </c>
      <c r="U1150" s="29">
        <v>-4203</v>
      </c>
      <c r="V1150" s="29">
        <v>891</v>
      </c>
      <c r="W1150" s="29">
        <v>-9355</v>
      </c>
      <c r="X1150" s="29">
        <v>8843</v>
      </c>
      <c r="Y1150" s="29">
        <v>-4008</v>
      </c>
      <c r="Z1150" s="29">
        <v>290</v>
      </c>
      <c r="AA1150" s="29">
        <v>-11606</v>
      </c>
      <c r="AB1150" s="29">
        <v>10486</v>
      </c>
      <c r="AC1150" s="29">
        <v>-5543</v>
      </c>
      <c r="AD1150" s="29">
        <v>857</v>
      </c>
      <c r="AE1150" s="29">
        <v>-12634</v>
      </c>
      <c r="AF1150" s="29">
        <v>11729</v>
      </c>
      <c r="AG1150" s="29">
        <v>-3164</v>
      </c>
      <c r="AH1150" s="29">
        <v>-1408</v>
      </c>
      <c r="AI1150" s="29">
        <v>-11244</v>
      </c>
      <c r="AJ1150" s="29">
        <v>11034</v>
      </c>
      <c r="AK1150" s="29">
        <v>-2951</v>
      </c>
      <c r="AL1150" s="29">
        <v>-2028</v>
      </c>
      <c r="AM1150" s="29">
        <v>-13246</v>
      </c>
      <c r="AN1150" s="29">
        <v>14037</v>
      </c>
      <c r="AO1150" s="825"/>
      <c r="AP1150" s="825"/>
      <c r="AQ1150" s="825"/>
      <c r="AS1150" s="29">
        <v>-1243</v>
      </c>
      <c r="AT1150" s="29">
        <v>-2071</v>
      </c>
      <c r="AU1150" s="29">
        <v>-1764</v>
      </c>
      <c r="AV1150" s="29">
        <v>-1569</v>
      </c>
      <c r="AW1150" s="29">
        <v>2215</v>
      </c>
      <c r="AX1150" s="29">
        <v>-2238</v>
      </c>
      <c r="AY1150" s="29">
        <v>-1451</v>
      </c>
      <c r="AZ1150" s="29">
        <v>-1156</v>
      </c>
      <c r="BA1150" s="29">
        <v>-1807</v>
      </c>
      <c r="BB1150" s="29">
        <v>-1120</v>
      </c>
      <c r="BC1150" s="29">
        <v>1456</v>
      </c>
      <c r="BD1150" s="29">
        <v>-530</v>
      </c>
      <c r="BE1150" s="29">
        <v>-925</v>
      </c>
      <c r="BG1150" s="29">
        <v>562</v>
      </c>
      <c r="BH1150" s="29">
        <v>-1216</v>
      </c>
      <c r="BI1150" s="29">
        <v>-3862</v>
      </c>
      <c r="BJ1150" s="29">
        <v>-2812</v>
      </c>
      <c r="BK1150" s="11">
        <f t="shared" si="4380"/>
        <v>-2577</v>
      </c>
      <c r="BL1150" s="11">
        <f t="shared" si="4381"/>
        <v>-6481</v>
      </c>
      <c r="BM1150" s="11">
        <f t="shared" si="4382"/>
        <v>-6834</v>
      </c>
      <c r="BN1150" s="11">
        <f t="shared" si="4383"/>
        <v>-4087</v>
      </c>
      <c r="BO1150" s="11">
        <f t="shared" si="4384"/>
        <v>-7191</v>
      </c>
      <c r="BP1150" s="29"/>
    </row>
    <row r="1151" spans="2:81">
      <c r="B1151" t="s">
        <v>588</v>
      </c>
      <c r="D1151" s="29">
        <v>-937</v>
      </c>
      <c r="E1151" s="29">
        <v>1104</v>
      </c>
      <c r="F1151" s="29">
        <v>241</v>
      </c>
      <c r="G1151" s="29">
        <v>192</v>
      </c>
      <c r="H1151" s="29">
        <v>-867</v>
      </c>
      <c r="I1151" s="29">
        <v>1132</v>
      </c>
      <c r="J1151" s="29">
        <v>-16</v>
      </c>
      <c r="K1151" s="11">
        <f t="shared" si="4378"/>
        <v>-199</v>
      </c>
      <c r="L1151" s="29">
        <v>-1023</v>
      </c>
      <c r="M1151" s="29">
        <v>1205</v>
      </c>
      <c r="N1151" s="29">
        <v>-75</v>
      </c>
      <c r="O1151" s="11">
        <v>-572</v>
      </c>
      <c r="P1151" s="29">
        <v>-956</v>
      </c>
      <c r="Q1151" s="29">
        <v>1654</v>
      </c>
      <c r="R1151" s="29">
        <v>12</v>
      </c>
      <c r="S1151" s="11">
        <f t="shared" si="4379"/>
        <v>-113</v>
      </c>
      <c r="T1151" s="29">
        <v>-561</v>
      </c>
      <c r="U1151" s="29">
        <v>799</v>
      </c>
      <c r="V1151" s="29">
        <v>181</v>
      </c>
      <c r="W1151" s="29">
        <v>-251</v>
      </c>
      <c r="X1151" s="29">
        <v>-808</v>
      </c>
      <c r="Y1151" s="29">
        <v>788</v>
      </c>
      <c r="Z1151" s="29">
        <v>-329</v>
      </c>
      <c r="AA1151" s="29">
        <v>-388</v>
      </c>
      <c r="AB1151" s="29">
        <v>-777</v>
      </c>
      <c r="AC1151" s="29">
        <v>394</v>
      </c>
      <c r="AD1151" s="29">
        <v>-279</v>
      </c>
      <c r="AE1151" s="29">
        <v>-461</v>
      </c>
      <c r="AF1151" s="29">
        <v>-543</v>
      </c>
      <c r="AG1151" s="29">
        <v>1305</v>
      </c>
      <c r="AH1151" s="29">
        <v>106</v>
      </c>
      <c r="AI1151" s="29">
        <v>374</v>
      </c>
      <c r="AJ1151" s="29">
        <v>-505</v>
      </c>
      <c r="AK1151" s="29">
        <v>1474</v>
      </c>
      <c r="AL1151" s="29">
        <v>260</v>
      </c>
      <c r="AM1151" s="29">
        <v>55</v>
      </c>
      <c r="AN1151" s="29">
        <v>-373</v>
      </c>
      <c r="AO1151" s="825"/>
      <c r="AQ1151" s="825"/>
      <c r="AS1151" s="29">
        <v>0</v>
      </c>
      <c r="AT1151" s="29">
        <v>0</v>
      </c>
      <c r="AU1151" s="29">
        <v>0</v>
      </c>
      <c r="AV1151" s="29">
        <v>0</v>
      </c>
      <c r="AW1151" s="29">
        <v>255</v>
      </c>
      <c r="AX1151" s="29">
        <v>-44</v>
      </c>
      <c r="AY1151" s="29">
        <v>-561</v>
      </c>
      <c r="AZ1151" s="29">
        <v>184</v>
      </c>
      <c r="BA1151" s="29">
        <v>-802</v>
      </c>
      <c r="BB1151" s="29">
        <v>-161</v>
      </c>
      <c r="BC1151" s="29">
        <v>-272</v>
      </c>
      <c r="BD1151" s="29">
        <v>600</v>
      </c>
      <c r="BE1151" s="29">
        <v>50</v>
      </c>
      <c r="BG1151" s="29">
        <v>600</v>
      </c>
      <c r="BH1151" s="29">
        <v>50</v>
      </c>
      <c r="BI1151" s="29">
        <v>-465</v>
      </c>
      <c r="BJ1151" s="29">
        <v>597</v>
      </c>
      <c r="BK1151" s="11">
        <f t="shared" si="4380"/>
        <v>168</v>
      </c>
      <c r="BL1151" s="11">
        <f t="shared" si="4381"/>
        <v>-737</v>
      </c>
      <c r="BM1151" s="11">
        <f t="shared" si="4382"/>
        <v>-1123</v>
      </c>
      <c r="BN1151" s="11">
        <f t="shared" si="4383"/>
        <v>1242</v>
      </c>
      <c r="BO1151" s="11">
        <f t="shared" si="4384"/>
        <v>1284</v>
      </c>
      <c r="BP1151" s="29"/>
    </row>
    <row r="1152" spans="2:81">
      <c r="B1152" t="s">
        <v>589</v>
      </c>
      <c r="D1152" s="29">
        <v>-135</v>
      </c>
      <c r="E1152" s="29">
        <v>369</v>
      </c>
      <c r="F1152" s="29">
        <v>-129</v>
      </c>
      <c r="G1152" s="29">
        <v>-17</v>
      </c>
      <c r="H1152" s="29">
        <v>-443</v>
      </c>
      <c r="I1152" s="29">
        <v>99</v>
      </c>
      <c r="J1152" s="29">
        <v>-425</v>
      </c>
      <c r="K1152" s="11">
        <f t="shared" si="4378"/>
        <v>850</v>
      </c>
      <c r="L1152" s="29">
        <v>-407</v>
      </c>
      <c r="M1152" s="29">
        <v>938</v>
      </c>
      <c r="N1152" s="29">
        <v>-393</v>
      </c>
      <c r="O1152" s="11">
        <v>1010</v>
      </c>
      <c r="P1152" s="29">
        <v>-395</v>
      </c>
      <c r="Q1152" s="29">
        <v>-440</v>
      </c>
      <c r="R1152" s="29">
        <v>-197</v>
      </c>
      <c r="S1152" s="11">
        <f t="shared" si="4379"/>
        <v>1264</v>
      </c>
      <c r="T1152" s="29">
        <v>-547</v>
      </c>
      <c r="U1152" s="29">
        <v>-7</v>
      </c>
      <c r="V1152" s="29">
        <v>546</v>
      </c>
      <c r="W1152" s="29">
        <v>3026</v>
      </c>
      <c r="X1152" s="29">
        <v>315</v>
      </c>
      <c r="Y1152" s="29">
        <v>33</v>
      </c>
      <c r="Z1152" s="29">
        <v>833</v>
      </c>
      <c r="AA1152" s="29">
        <v>1617</v>
      </c>
      <c r="AB1152" s="29">
        <v>-471</v>
      </c>
      <c r="AC1152" s="29">
        <v>235</v>
      </c>
      <c r="AD1152" s="29">
        <v>520</v>
      </c>
      <c r="AE1152" s="29">
        <v>2659</v>
      </c>
      <c r="AF1152" s="29">
        <v>-1567</v>
      </c>
      <c r="AG1152" s="29">
        <v>-2058</v>
      </c>
      <c r="AH1152" s="29">
        <v>-407</v>
      </c>
      <c r="AI1152" s="29">
        <v>1311</v>
      </c>
      <c r="AJ1152" s="29">
        <v>1214</v>
      </c>
      <c r="AK1152" s="29">
        <v>-2521</v>
      </c>
      <c r="AL1152" s="29">
        <v>648</v>
      </c>
      <c r="AM1152" s="29">
        <v>4204</v>
      </c>
      <c r="AN1152" s="29">
        <v>-916</v>
      </c>
      <c r="AO1152" s="825"/>
      <c r="AQ1152" s="825"/>
      <c r="AS1152" s="29">
        <v>0</v>
      </c>
      <c r="AT1152" s="29">
        <v>0</v>
      </c>
      <c r="AU1152" s="29">
        <v>0</v>
      </c>
      <c r="AV1152" s="29">
        <v>0</v>
      </c>
      <c r="AW1152" s="29">
        <v>-671</v>
      </c>
      <c r="AX1152" s="29">
        <v>844</v>
      </c>
      <c r="AY1152" s="29">
        <v>58</v>
      </c>
      <c r="AZ1152" s="29">
        <v>-31</v>
      </c>
      <c r="BA1152" s="29">
        <v>537</v>
      </c>
      <c r="BB1152" s="29">
        <v>473</v>
      </c>
      <c r="BC1152" s="29">
        <v>-1054</v>
      </c>
      <c r="BD1152" s="29">
        <v>88</v>
      </c>
      <c r="BE1152" s="29">
        <v>81</v>
      </c>
      <c r="BG1152" s="29">
        <v>88</v>
      </c>
      <c r="BH1152" s="29">
        <v>81</v>
      </c>
      <c r="BI1152" s="29">
        <v>1148</v>
      </c>
      <c r="BJ1152" s="29">
        <v>232</v>
      </c>
      <c r="BK1152" s="11">
        <f t="shared" si="4380"/>
        <v>3018</v>
      </c>
      <c r="BL1152" s="11">
        <f t="shared" si="4381"/>
        <v>2798</v>
      </c>
      <c r="BM1152" s="11">
        <f t="shared" si="4382"/>
        <v>2943</v>
      </c>
      <c r="BN1152" s="11">
        <f t="shared" si="4383"/>
        <v>-2721</v>
      </c>
      <c r="BO1152" s="11">
        <f t="shared" si="4384"/>
        <v>3545</v>
      </c>
      <c r="BP1152" s="29"/>
    </row>
    <row r="1153" spans="2:81">
      <c r="B1153" t="s">
        <v>590</v>
      </c>
      <c r="D1153" s="29">
        <v>0</v>
      </c>
      <c r="E1153" s="29">
        <v>0</v>
      </c>
      <c r="F1153" s="29">
        <v>0</v>
      </c>
      <c r="G1153" s="29">
        <v>0</v>
      </c>
      <c r="H1153" s="29">
        <v>0</v>
      </c>
      <c r="I1153" s="29">
        <v>1407</v>
      </c>
      <c r="J1153" s="29">
        <v>1247</v>
      </c>
      <c r="K1153" s="11">
        <f t="shared" si="4378"/>
        <v>-862</v>
      </c>
      <c r="L1153" s="29">
        <v>0</v>
      </c>
      <c r="M1153" s="29">
        <v>16635</v>
      </c>
      <c r="N1153" s="29">
        <v>645</v>
      </c>
      <c r="O1153" s="11">
        <v>903</v>
      </c>
      <c r="P1153" s="29">
        <v>-1091</v>
      </c>
      <c r="Q1153" s="29">
        <v>-64</v>
      </c>
      <c r="R1153" s="29">
        <v>276</v>
      </c>
      <c r="S1153" s="11">
        <f t="shared" si="4379"/>
        <v>3808</v>
      </c>
      <c r="T1153" s="29">
        <v>-3336</v>
      </c>
      <c r="U1153" s="29">
        <v>-471</v>
      </c>
      <c r="V1153" s="29">
        <v>765</v>
      </c>
      <c r="W1153" s="29">
        <v>-589</v>
      </c>
      <c r="X1153" s="29">
        <v>-983</v>
      </c>
      <c r="Y1153" s="29">
        <v>-2368</v>
      </c>
      <c r="Z1153" s="29">
        <v>1074</v>
      </c>
      <c r="AA1153" s="29">
        <v>-32</v>
      </c>
      <c r="AB1153" s="29">
        <v>2653</v>
      </c>
      <c r="AC1153" s="29">
        <v>-2057</v>
      </c>
      <c r="AD1153" s="29">
        <v>1091</v>
      </c>
      <c r="AE1153" s="29">
        <v>-991</v>
      </c>
      <c r="AF1153" s="29">
        <v>410</v>
      </c>
      <c r="AG1153" s="29">
        <v>-2863</v>
      </c>
      <c r="AH1153" s="29">
        <v>1414</v>
      </c>
      <c r="AI1153" s="29">
        <v>681</v>
      </c>
      <c r="AJ1153" s="29">
        <v>1425</v>
      </c>
      <c r="AK1153" s="29">
        <v>-1554</v>
      </c>
      <c r="AL1153" s="29">
        <v>2622</v>
      </c>
      <c r="AM1153" s="29">
        <v>-806</v>
      </c>
      <c r="AN1153" s="29">
        <v>1016</v>
      </c>
      <c r="AO1153" s="825"/>
      <c r="AP1153" s="825"/>
      <c r="AQ1153" s="825"/>
      <c r="AS1153" s="29">
        <v>0</v>
      </c>
      <c r="AT1153" s="29">
        <v>0</v>
      </c>
      <c r="AU1153" s="29">
        <v>0</v>
      </c>
      <c r="AV1153" s="29">
        <v>0</v>
      </c>
      <c r="AW1153" s="29">
        <v>0</v>
      </c>
      <c r="AX1153" s="29">
        <v>0</v>
      </c>
      <c r="AY1153" s="29">
        <v>0</v>
      </c>
      <c r="AZ1153" s="29">
        <v>0</v>
      </c>
      <c r="BA1153" s="29">
        <v>0</v>
      </c>
      <c r="BB1153" s="29">
        <v>0</v>
      </c>
      <c r="BC1153" s="29">
        <v>0</v>
      </c>
      <c r="BD1153" s="29">
        <v>0</v>
      </c>
      <c r="BE1153" s="29">
        <v>0</v>
      </c>
      <c r="BG1153" s="29">
        <v>-298</v>
      </c>
      <c r="BH1153" s="29">
        <v>1792</v>
      </c>
      <c r="BI1153" s="29">
        <v>18183</v>
      </c>
      <c r="BJ1153" s="29">
        <v>2929</v>
      </c>
      <c r="BK1153" s="11">
        <f t="shared" si="4380"/>
        <v>-3631</v>
      </c>
      <c r="BL1153" s="11">
        <f t="shared" si="4381"/>
        <v>-2309</v>
      </c>
      <c r="BM1153" s="11">
        <f t="shared" si="4382"/>
        <v>696</v>
      </c>
      <c r="BN1153" s="11">
        <f t="shared" si="4383"/>
        <v>-358</v>
      </c>
      <c r="BO1153" s="11">
        <f t="shared" si="4384"/>
        <v>1687</v>
      </c>
      <c r="BP1153" s="29"/>
    </row>
    <row r="1154" spans="2:81">
      <c r="B1154" t="s">
        <v>591</v>
      </c>
      <c r="D1154" s="29">
        <v>10423</v>
      </c>
      <c r="E1154" s="29">
        <v>12570</v>
      </c>
      <c r="F1154" s="29">
        <v>13073</v>
      </c>
      <c r="G1154" s="29">
        <v>21006</v>
      </c>
      <c r="H1154" s="29">
        <v>-1807</v>
      </c>
      <c r="I1154" s="29">
        <v>-1077</v>
      </c>
      <c r="J1154" s="29">
        <v>-45</v>
      </c>
      <c r="K1154" s="11">
        <f t="shared" si="4378"/>
        <v>6749</v>
      </c>
      <c r="L1154" s="29">
        <v>-1806</v>
      </c>
      <c r="M1154" s="29">
        <v>-1065</v>
      </c>
      <c r="N1154" s="29">
        <v>91</v>
      </c>
      <c r="O1154" s="11">
        <v>8702</v>
      </c>
      <c r="P1154" s="29">
        <v>-2441</v>
      </c>
      <c r="Q1154" s="29">
        <v>-2122</v>
      </c>
      <c r="R1154" s="29">
        <v>20</v>
      </c>
      <c r="S1154" s="11">
        <f t="shared" si="4379"/>
        <v>9005</v>
      </c>
      <c r="T1154" s="29">
        <v>-2892</v>
      </c>
      <c r="U1154" s="29">
        <v>-2936</v>
      </c>
      <c r="V1154" s="29">
        <v>-736</v>
      </c>
      <c r="W1154" s="29">
        <v>8776</v>
      </c>
      <c r="X1154" s="29">
        <v>-3064</v>
      </c>
      <c r="Y1154" s="29">
        <v>-3227</v>
      </c>
      <c r="Z1154" s="29">
        <v>-473</v>
      </c>
      <c r="AA1154" s="29">
        <v>11397</v>
      </c>
      <c r="AB1154" s="29">
        <v>-2885</v>
      </c>
      <c r="AC1154" s="29">
        <v>-4343</v>
      </c>
      <c r="AD1154" s="29">
        <v>-209</v>
      </c>
      <c r="AE1154" s="29">
        <v>12546</v>
      </c>
      <c r="AF1154" s="29">
        <v>-3322</v>
      </c>
      <c r="AG1154" s="29">
        <v>-5186</v>
      </c>
      <c r="AH1154" s="29">
        <v>-181</v>
      </c>
      <c r="AI1154" s="29">
        <v>14224</v>
      </c>
      <c r="AJ1154" s="29">
        <v>-4126</v>
      </c>
      <c r="AK1154" s="29">
        <v>-5538</v>
      </c>
      <c r="AL1154" s="29">
        <v>-645</v>
      </c>
      <c r="AM1154" s="29">
        <v>15657</v>
      </c>
      <c r="AN1154" s="29">
        <v>-5553</v>
      </c>
      <c r="AO1154" s="825"/>
      <c r="AP1154" s="825"/>
      <c r="AQ1154" s="825"/>
      <c r="AS1154" s="29">
        <v>13831</v>
      </c>
      <c r="AT1154" s="29">
        <v>16453</v>
      </c>
      <c r="AU1154" s="29">
        <v>21032</v>
      </c>
      <c r="AV1154" s="29">
        <v>24532</v>
      </c>
      <c r="AW1154" s="29">
        <v>24409</v>
      </c>
      <c r="AX1154" s="29">
        <v>29374</v>
      </c>
      <c r="AY1154" s="29">
        <v>31227</v>
      </c>
      <c r="AZ1154" s="29">
        <v>36104</v>
      </c>
      <c r="BA1154" s="29">
        <v>44253</v>
      </c>
      <c r="BB1154" s="29">
        <v>44325</v>
      </c>
      <c r="BC1154" s="29">
        <v>45072</v>
      </c>
      <c r="BD1154" s="29">
        <v>57072</v>
      </c>
      <c r="BE1154" s="29">
        <v>67711</v>
      </c>
      <c r="BG1154" s="29">
        <v>2565</v>
      </c>
      <c r="BH1154" s="29">
        <v>3820</v>
      </c>
      <c r="BI1154" s="29">
        <v>5922</v>
      </c>
      <c r="BJ1154" s="29">
        <v>4462</v>
      </c>
      <c r="BK1154" s="11">
        <f t="shared" si="4380"/>
        <v>2212</v>
      </c>
      <c r="BL1154" s="11">
        <f t="shared" si="4381"/>
        <v>4633</v>
      </c>
      <c r="BM1154" s="11">
        <f t="shared" si="4382"/>
        <v>5109</v>
      </c>
      <c r="BN1154" s="11">
        <f t="shared" si="4383"/>
        <v>5535</v>
      </c>
      <c r="BO1154" s="11">
        <f t="shared" si="4384"/>
        <v>5348</v>
      </c>
      <c r="BP1154" s="29"/>
    </row>
    <row r="1155" spans="2:81">
      <c r="B1155" t="s">
        <v>592</v>
      </c>
      <c r="D1155" s="29">
        <v>-11355</v>
      </c>
      <c r="E1155" s="29">
        <v>-11929</v>
      </c>
      <c r="F1155" s="29">
        <v>-12210</v>
      </c>
      <c r="G1155" s="29">
        <v>-13004</v>
      </c>
      <c r="H1155" s="29">
        <v>0</v>
      </c>
      <c r="I1155" s="29">
        <v>0</v>
      </c>
      <c r="J1155" s="29">
        <v>0</v>
      </c>
      <c r="K1155" s="11">
        <f t="shared" si="4378"/>
        <v>0</v>
      </c>
      <c r="L1155" s="29">
        <v>0</v>
      </c>
      <c r="M1155" s="29">
        <v>0</v>
      </c>
      <c r="N1155" s="29">
        <v>0</v>
      </c>
      <c r="O1155" s="11">
        <v>0</v>
      </c>
      <c r="P1155" s="29">
        <v>0</v>
      </c>
      <c r="Q1155" s="29">
        <v>0</v>
      </c>
      <c r="R1155" s="29">
        <v>0</v>
      </c>
      <c r="S1155" s="11">
        <f t="shared" si="4379"/>
        <v>0</v>
      </c>
      <c r="T1155" s="29">
        <v>0</v>
      </c>
      <c r="U1155" s="29">
        <v>0</v>
      </c>
      <c r="V1155" s="29">
        <v>0</v>
      </c>
      <c r="W1155" s="29">
        <v>0</v>
      </c>
      <c r="X1155" s="29">
        <v>0</v>
      </c>
      <c r="Y1155" s="29">
        <v>0</v>
      </c>
      <c r="Z1155" s="29">
        <v>0</v>
      </c>
      <c r="AA1155" s="29">
        <v>0</v>
      </c>
      <c r="AB1155" s="29">
        <v>0</v>
      </c>
      <c r="AC1155" s="29">
        <v>0</v>
      </c>
      <c r="AD1155" s="29">
        <v>0</v>
      </c>
      <c r="AE1155" s="29">
        <v>0</v>
      </c>
      <c r="AF1155" s="29">
        <v>0</v>
      </c>
      <c r="AG1155" s="29">
        <v>0</v>
      </c>
      <c r="AH1155" s="29">
        <v>0</v>
      </c>
      <c r="AI1155" s="29">
        <v>0</v>
      </c>
      <c r="AJ1155" s="29">
        <v>0</v>
      </c>
      <c r="AK1155" s="29">
        <v>0</v>
      </c>
      <c r="AL1155" s="29">
        <v>0</v>
      </c>
      <c r="AM1155" s="29">
        <v>0</v>
      </c>
      <c r="AN1155" s="29">
        <v>0</v>
      </c>
      <c r="AO1155" s="825"/>
      <c r="AP1155" s="825"/>
      <c r="AS1155" s="29">
        <v>-12919</v>
      </c>
      <c r="AT1155" s="29">
        <v>-14729</v>
      </c>
      <c r="AU1155" s="29">
        <v>-19382</v>
      </c>
      <c r="AV1155" s="29">
        <v>-21944</v>
      </c>
      <c r="AW1155" s="29">
        <v>-25426</v>
      </c>
      <c r="AX1155" s="29">
        <v>-28813</v>
      </c>
      <c r="AY1155" s="29">
        <v>-28935</v>
      </c>
      <c r="AZ1155" s="29">
        <v>-33347</v>
      </c>
      <c r="BA1155" s="29">
        <v>-41921</v>
      </c>
      <c r="BB1155" s="29">
        <v>-41739</v>
      </c>
      <c r="BC1155" s="29">
        <v>-44920</v>
      </c>
      <c r="BD1155" s="29">
        <v>-48498</v>
      </c>
      <c r="BE1155" s="29">
        <v>-57735</v>
      </c>
      <c r="BG1155" s="29">
        <v>0</v>
      </c>
      <c r="BH1155" s="29">
        <v>0</v>
      </c>
      <c r="BI1155" s="29">
        <v>0</v>
      </c>
      <c r="BJ1155" s="29">
        <v>0</v>
      </c>
      <c r="BK1155" s="11">
        <f t="shared" si="4380"/>
        <v>0</v>
      </c>
      <c r="BL1155" s="11">
        <f t="shared" si="4381"/>
        <v>0</v>
      </c>
      <c r="BM1155" s="11">
        <f t="shared" si="4382"/>
        <v>0</v>
      </c>
      <c r="BN1155" s="11">
        <f t="shared" si="4383"/>
        <v>0</v>
      </c>
      <c r="BO1155" s="11">
        <f t="shared" si="4384"/>
        <v>0</v>
      </c>
      <c r="BP1155" s="29"/>
      <c r="BT1155" s="852"/>
      <c r="BU1155" s="852"/>
      <c r="BV1155" s="852"/>
      <c r="BW1155" s="852"/>
      <c r="BX1155" s="852"/>
      <c r="BY1155" s="852"/>
      <c r="BZ1155" s="852"/>
      <c r="CA1155" s="852"/>
      <c r="CB1155" s="852"/>
      <c r="CC1155" s="852"/>
    </row>
    <row r="1156" spans="2:81" ht="10.5">
      <c r="B1156" t="s">
        <v>593</v>
      </c>
      <c r="D1156" s="29">
        <v>-2024</v>
      </c>
      <c r="E1156" s="29">
        <v>105</v>
      </c>
      <c r="F1156" s="29">
        <v>626</v>
      </c>
      <c r="G1156" s="29">
        <v>1033</v>
      </c>
      <c r="H1156" s="29">
        <v>-321</v>
      </c>
      <c r="I1156" s="29">
        <v>-1406</v>
      </c>
      <c r="J1156" s="29">
        <v>670</v>
      </c>
      <c r="K1156" s="11">
        <f t="shared" si="4378"/>
        <v>1413</v>
      </c>
      <c r="L1156" s="29">
        <v>-1962</v>
      </c>
      <c r="M1156" s="29">
        <v>441</v>
      </c>
      <c r="N1156" s="29">
        <v>546</v>
      </c>
      <c r="O1156" s="11">
        <v>1773</v>
      </c>
      <c r="P1156" s="29">
        <v>-2322</v>
      </c>
      <c r="Q1156" s="29">
        <v>656</v>
      </c>
      <c r="R1156" s="29">
        <v>649</v>
      </c>
      <c r="S1156" s="11">
        <f t="shared" si="4379"/>
        <v>2436</v>
      </c>
      <c r="T1156" s="29">
        <v>-3320</v>
      </c>
      <c r="U1156" s="29">
        <v>1489</v>
      </c>
      <c r="V1156" s="29">
        <v>695</v>
      </c>
      <c r="W1156" s="29">
        <v>2482</v>
      </c>
      <c r="X1156" s="29">
        <v>-2951</v>
      </c>
      <c r="Y1156" s="29">
        <v>1755</v>
      </c>
      <c r="Z1156" s="29">
        <v>1590</v>
      </c>
      <c r="AA1156" s="29">
        <v>3755</v>
      </c>
      <c r="AB1156" s="29">
        <v>-4143</v>
      </c>
      <c r="AC1156" s="29">
        <v>1745</v>
      </c>
      <c r="AD1156" s="29">
        <v>1287</v>
      </c>
      <c r="AE1156" s="29">
        <v>3455</v>
      </c>
      <c r="AF1156" s="29">
        <v>-4024</v>
      </c>
      <c r="AG1156" s="29">
        <v>1819</v>
      </c>
      <c r="AH1156" s="29">
        <v>1715</v>
      </c>
      <c r="AI1156" s="29">
        <v>2762</v>
      </c>
      <c r="AJ1156" s="29">
        <v>-4106</v>
      </c>
      <c r="AK1156" s="29">
        <v>1518</v>
      </c>
      <c r="AL1156" s="29">
        <v>2803</v>
      </c>
      <c r="AM1156" s="29">
        <v>4652</v>
      </c>
      <c r="AN1156" s="29">
        <v>-5479</v>
      </c>
      <c r="AO1156" s="825"/>
      <c r="AP1156" s="825"/>
      <c r="AQ1156" s="825"/>
      <c r="AS1156" s="29">
        <v>396</v>
      </c>
      <c r="AT1156" s="29">
        <v>-145</v>
      </c>
      <c r="AU1156" s="29">
        <v>-552</v>
      </c>
      <c r="AV1156" s="29">
        <v>-748</v>
      </c>
      <c r="AW1156" s="29">
        <v>-2700</v>
      </c>
      <c r="AX1156" s="29">
        <v>451</v>
      </c>
      <c r="AY1156" s="29">
        <v>-1146</v>
      </c>
      <c r="AZ1156" s="29">
        <v>410</v>
      </c>
      <c r="BA1156" s="29">
        <v>146</v>
      </c>
      <c r="BB1156" s="29">
        <v>1075</v>
      </c>
      <c r="BC1156" s="29">
        <v>-624</v>
      </c>
      <c r="BD1156" s="29">
        <v>-260</v>
      </c>
      <c r="BE1156" s="29">
        <v>386</v>
      </c>
      <c r="BG1156" s="29">
        <v>-179</v>
      </c>
      <c r="BH1156" s="29">
        <v>356</v>
      </c>
      <c r="BI1156" s="29">
        <v>798</v>
      </c>
      <c r="BJ1156" s="29">
        <v>1419</v>
      </c>
      <c r="BK1156" s="11">
        <f t="shared" si="4380"/>
        <v>1346</v>
      </c>
      <c r="BL1156" s="11">
        <f t="shared" si="4381"/>
        <v>4149</v>
      </c>
      <c r="BM1156" s="11">
        <f t="shared" si="4382"/>
        <v>2344</v>
      </c>
      <c r="BN1156" s="11">
        <f t="shared" si="4383"/>
        <v>2272</v>
      </c>
      <c r="BO1156" s="11">
        <f t="shared" si="4384"/>
        <v>4867</v>
      </c>
      <c r="BP1156" s="29"/>
      <c r="BT1156" s="1"/>
      <c r="BU1156" s="1"/>
      <c r="BV1156" s="1"/>
      <c r="BW1156" s="1"/>
      <c r="BX1156" s="1"/>
      <c r="BY1156" s="1"/>
      <c r="BZ1156" s="1"/>
      <c r="CA1156" s="1"/>
      <c r="CB1156" s="1"/>
      <c r="CC1156" s="1"/>
    </row>
    <row r="1157" spans="2:81" ht="11.45">
      <c r="B1157" t="s">
        <v>594</v>
      </c>
      <c r="D1157" s="30">
        <v>-562</v>
      </c>
      <c r="E1157" s="30">
        <v>-932</v>
      </c>
      <c r="F1157" s="30">
        <v>-420</v>
      </c>
      <c r="G1157" s="30">
        <v>747</v>
      </c>
      <c r="H1157" s="30">
        <v>-965</v>
      </c>
      <c r="I1157" s="30">
        <v>1300</v>
      </c>
      <c r="J1157" s="30">
        <v>-31</v>
      </c>
      <c r="K1157" s="34">
        <f t="shared" si="4378"/>
        <v>724</v>
      </c>
      <c r="L1157" s="30">
        <v>-318</v>
      </c>
      <c r="M1157" s="30">
        <v>354</v>
      </c>
      <c r="N1157" s="30">
        <v>-149</v>
      </c>
      <c r="O1157" s="34">
        <v>-839</v>
      </c>
      <c r="P1157" s="30">
        <v>-677</v>
      </c>
      <c r="Q1157" s="30">
        <v>-173</v>
      </c>
      <c r="R1157" s="30">
        <v>-14</v>
      </c>
      <c r="S1157" s="34">
        <f t="shared" si="4379"/>
        <v>-854</v>
      </c>
      <c r="T1157" s="30">
        <v>-438</v>
      </c>
      <c r="U1157" s="30">
        <v>165</v>
      </c>
      <c r="V1157" s="30">
        <v>94</v>
      </c>
      <c r="W1157" s="30">
        <v>-2151</v>
      </c>
      <c r="X1157" s="30">
        <v>-54</v>
      </c>
      <c r="Y1157" s="30">
        <v>730</v>
      </c>
      <c r="Z1157" s="30">
        <v>478</v>
      </c>
      <c r="AA1157" s="30">
        <v>-2086</v>
      </c>
      <c r="AB1157" s="30">
        <v>940</v>
      </c>
      <c r="AC1157" s="30">
        <v>830</v>
      </c>
      <c r="AD1157" s="30">
        <v>91</v>
      </c>
      <c r="AE1157" s="30">
        <v>-2570</v>
      </c>
      <c r="AF1157" s="30">
        <v>-332</v>
      </c>
      <c r="AG1157" s="30">
        <v>-392</v>
      </c>
      <c r="AH1157" s="30">
        <v>1152</v>
      </c>
      <c r="AI1157" s="30">
        <v>-2419</v>
      </c>
      <c r="AJ1157" s="30">
        <v>-796</v>
      </c>
      <c r="AK1157" s="30">
        <v>725</v>
      </c>
      <c r="AL1157" s="30">
        <v>951</v>
      </c>
      <c r="AM1157" s="30">
        <v>-2528</v>
      </c>
      <c r="AN1157" s="30">
        <v>-82</v>
      </c>
      <c r="AO1157" s="825"/>
      <c r="AQ1157" s="825"/>
      <c r="AS1157" s="30">
        <v>-245</v>
      </c>
      <c r="AT1157" s="30">
        <v>-1405</v>
      </c>
      <c r="AU1157" s="30">
        <v>232</v>
      </c>
      <c r="AV1157" s="30">
        <v>153</v>
      </c>
      <c r="AW1157" s="30">
        <v>-677</v>
      </c>
      <c r="AX1157" s="30">
        <v>464</v>
      </c>
      <c r="AY1157" s="30">
        <v>-1259</v>
      </c>
      <c r="AZ1157" s="30">
        <v>493</v>
      </c>
      <c r="BA1157" s="30">
        <v>-129</v>
      </c>
      <c r="BB1157" s="30">
        <v>-29</v>
      </c>
      <c r="BC1157" s="30">
        <v>62</v>
      </c>
      <c r="BD1157" s="30">
        <v>-1167</v>
      </c>
      <c r="BE1157" s="30">
        <v>1066</v>
      </c>
      <c r="BF1157" s="953"/>
      <c r="BG1157" s="30">
        <v>-1212</v>
      </c>
      <c r="BH1157" s="30">
        <v>1028</v>
      </c>
      <c r="BI1157" s="30">
        <v>-952</v>
      </c>
      <c r="BJ1157" s="30">
        <v>-1718</v>
      </c>
      <c r="BK1157" s="34">
        <f t="shared" si="4380"/>
        <v>-2330</v>
      </c>
      <c r="BL1157" s="34">
        <f t="shared" si="4381"/>
        <v>-932</v>
      </c>
      <c r="BM1157" s="34">
        <f t="shared" si="4382"/>
        <v>-709</v>
      </c>
      <c r="BN1157" s="34">
        <f t="shared" si="4383"/>
        <v>-1991</v>
      </c>
      <c r="BO1157" s="34">
        <f t="shared" si="4384"/>
        <v>-1648</v>
      </c>
      <c r="BP1157" s="30"/>
    </row>
    <row r="1158" spans="2:81" s="1" customFormat="1" ht="10.5">
      <c r="B1158" s="837" t="s">
        <v>595</v>
      </c>
      <c r="D1158" s="838">
        <f>SUM(D1141:D1157)</f>
        <v>8876</v>
      </c>
      <c r="E1158" s="838">
        <f t="shared" ref="E1158:G1158" si="4385">SUM(E1141:E1157)</f>
        <v>5618</v>
      </c>
      <c r="F1158" s="838">
        <f t="shared" si="4385"/>
        <v>10367</v>
      </c>
      <c r="G1158" s="838">
        <f t="shared" si="4385"/>
        <v>8464</v>
      </c>
      <c r="H1158" s="838">
        <f t="shared" ref="H1158:AN1158" si="4386">SUM(H1141:H1157)</f>
        <v>11549</v>
      </c>
      <c r="I1158" s="838">
        <f t="shared" si="4386"/>
        <v>6293</v>
      </c>
      <c r="J1158" s="838">
        <f t="shared" si="4386"/>
        <v>10660</v>
      </c>
      <c r="K1158" s="849">
        <f t="shared" si="4386"/>
        <v>11005</v>
      </c>
      <c r="L1158" s="838">
        <f t="shared" si="4386"/>
        <v>12440</v>
      </c>
      <c r="M1158" s="838">
        <f t="shared" si="4386"/>
        <v>7875</v>
      </c>
      <c r="N1158" s="838">
        <f t="shared" si="4386"/>
        <v>12151</v>
      </c>
      <c r="O1158" s="849">
        <f t="shared" si="4386"/>
        <v>11418</v>
      </c>
      <c r="P1158" s="838">
        <f t="shared" si="4386"/>
        <v>13657</v>
      </c>
      <c r="Q1158" s="838">
        <f t="shared" si="4386"/>
        <v>8900</v>
      </c>
      <c r="R1158" s="838">
        <f t="shared" si="4386"/>
        <v>13520</v>
      </c>
      <c r="S1158" s="849">
        <f t="shared" si="4386"/>
        <v>16108</v>
      </c>
      <c r="T1158" s="838">
        <f t="shared" si="4386"/>
        <v>13818</v>
      </c>
      <c r="U1158" s="838">
        <f t="shared" si="4386"/>
        <v>10680</v>
      </c>
      <c r="V1158" s="838">
        <f t="shared" si="4386"/>
        <v>17504</v>
      </c>
      <c r="W1158" s="838">
        <f t="shared" si="4386"/>
        <v>18673</v>
      </c>
      <c r="X1158" s="838">
        <f t="shared" si="4386"/>
        <v>19335</v>
      </c>
      <c r="Y1158" s="838">
        <f t="shared" si="4386"/>
        <v>12516</v>
      </c>
      <c r="Z1158" s="838">
        <f t="shared" si="4386"/>
        <v>22179</v>
      </c>
      <c r="AA1158" s="838">
        <f t="shared" si="4386"/>
        <v>22710</v>
      </c>
      <c r="AB1158" s="838">
        <f t="shared" si="4386"/>
        <v>24540</v>
      </c>
      <c r="AC1158" s="838">
        <f t="shared" si="4386"/>
        <v>14480</v>
      </c>
      <c r="AD1158" s="838">
        <f t="shared" si="4386"/>
        <v>25386</v>
      </c>
      <c r="AE1158" s="838">
        <f t="shared" si="4386"/>
        <v>24629</v>
      </c>
      <c r="AF1158" s="838">
        <f t="shared" si="4386"/>
        <v>23198</v>
      </c>
      <c r="AG1158" s="838">
        <f t="shared" si="4386"/>
        <v>11173</v>
      </c>
      <c r="AH1158" s="838">
        <f t="shared" si="4386"/>
        <v>24441</v>
      </c>
      <c r="AI1158" s="838">
        <f t="shared" si="4386"/>
        <v>28770</v>
      </c>
      <c r="AJ1158" s="838">
        <f t="shared" si="4386"/>
        <v>30583</v>
      </c>
      <c r="AK1158" s="838">
        <f t="shared" si="4386"/>
        <v>18853</v>
      </c>
      <c r="AL1158" s="838">
        <f t="shared" si="4386"/>
        <v>31917</v>
      </c>
      <c r="AM1158" s="838">
        <f t="shared" si="4386"/>
        <v>37195</v>
      </c>
      <c r="AN1158" s="838">
        <f t="shared" si="4386"/>
        <v>34180</v>
      </c>
      <c r="AO1158" s="825"/>
      <c r="AR1158"/>
      <c r="AS1158" s="838">
        <f>SUM(AS1141:AS1157)</f>
        <v>16605</v>
      </c>
      <c r="AT1158" s="838">
        <f t="shared" ref="AT1158:BE1158" si="4387">SUM(AT1141:AT1157)</f>
        <v>14404</v>
      </c>
      <c r="AU1158" s="838">
        <f t="shared" si="4387"/>
        <v>17796</v>
      </c>
      <c r="AV1158" s="838">
        <f t="shared" si="4387"/>
        <v>21612</v>
      </c>
      <c r="AW1158" s="838">
        <f t="shared" si="4387"/>
        <v>19037</v>
      </c>
      <c r="AX1158" s="838">
        <f t="shared" si="4387"/>
        <v>24073</v>
      </c>
      <c r="AY1158" s="838">
        <f t="shared" si="4387"/>
        <v>26994</v>
      </c>
      <c r="AZ1158" s="838">
        <f t="shared" si="4387"/>
        <v>31626</v>
      </c>
      <c r="BA1158" s="838">
        <f t="shared" si="4387"/>
        <v>28833</v>
      </c>
      <c r="BB1158" s="838">
        <f t="shared" si="4387"/>
        <v>32502</v>
      </c>
      <c r="BC1158" s="838">
        <f t="shared" si="4387"/>
        <v>29668</v>
      </c>
      <c r="BD1158" s="838">
        <f t="shared" si="4387"/>
        <v>33325</v>
      </c>
      <c r="BE1158" s="838">
        <f t="shared" si="4387"/>
        <v>39507</v>
      </c>
      <c r="BG1158" s="838">
        <f t="shared" ref="BG1158:BK1158" si="4388">SUM(BG1141:BG1157)</f>
        <v>33325</v>
      </c>
      <c r="BH1158" s="838">
        <f t="shared" si="4388"/>
        <v>39507</v>
      </c>
      <c r="BI1158" s="838">
        <f t="shared" si="4388"/>
        <v>43884</v>
      </c>
      <c r="BJ1158" s="838">
        <f t="shared" si="4388"/>
        <v>52185</v>
      </c>
      <c r="BK1158" s="838">
        <f t="shared" si="4388"/>
        <v>60675</v>
      </c>
      <c r="BL1158" s="849">
        <f>+SUM(BL1141:BL1157)</f>
        <v>76740</v>
      </c>
      <c r="BM1158" s="849">
        <f>+SUM(BM1141:BM1157)</f>
        <v>89035</v>
      </c>
      <c r="BN1158" s="849">
        <f t="shared" si="4383"/>
        <v>87582</v>
      </c>
      <c r="BO1158" s="849">
        <f t="shared" si="4384"/>
        <v>118548</v>
      </c>
      <c r="BP1158" s="838"/>
      <c r="BT1158"/>
      <c r="BU1158"/>
      <c r="BV1158"/>
      <c r="BW1158"/>
      <c r="BX1158"/>
      <c r="BY1158"/>
      <c r="BZ1158"/>
      <c r="CA1158"/>
      <c r="CB1158"/>
      <c r="CC1158"/>
    </row>
    <row r="1159" spans="2:81">
      <c r="K1159" s="100"/>
      <c r="O1159" s="100"/>
      <c r="S1159" s="100"/>
      <c r="AO1159" s="825"/>
      <c r="BL1159" s="100"/>
    </row>
    <row r="1160" spans="2:81" ht="10.5">
      <c r="B1160" s="45" t="s">
        <v>596</v>
      </c>
      <c r="K1160" s="100"/>
      <c r="O1160" s="100"/>
      <c r="S1160" s="100"/>
      <c r="BL1160" s="100"/>
    </row>
    <row r="1161" spans="2:81">
      <c r="B1161" t="s">
        <v>597</v>
      </c>
      <c r="D1161" s="29">
        <v>-1356</v>
      </c>
      <c r="E1161" s="29">
        <v>-2024</v>
      </c>
      <c r="F1161" s="29">
        <v>-2308</v>
      </c>
      <c r="G1161" s="29">
        <v>-2655</v>
      </c>
      <c r="H1161" s="29">
        <v>-2163</v>
      </c>
      <c r="I1161" s="29">
        <v>-1988</v>
      </c>
      <c r="J1161" s="29">
        <v>-1695</v>
      </c>
      <c r="K1161" s="11">
        <v>-2283</v>
      </c>
      <c r="L1161" s="29">
        <v>-2132</v>
      </c>
      <c r="M1161" s="29">
        <v>-2586</v>
      </c>
      <c r="N1161" s="29">
        <v>-2934</v>
      </c>
      <c r="O1161" s="11">
        <v>-3980</v>
      </c>
      <c r="P1161" s="29">
        <v>-3602</v>
      </c>
      <c r="Q1161" s="29">
        <v>-3707</v>
      </c>
      <c r="R1161" s="29">
        <v>-2565</v>
      </c>
      <c r="S1161" s="11">
        <f t="shared" ref="S1161:S1166" si="4389">+BJ1161-SUM(P1161:R1161)</f>
        <v>-4051</v>
      </c>
      <c r="T1161" s="29">
        <v>-3385</v>
      </c>
      <c r="U1161" s="29">
        <v>-3545</v>
      </c>
      <c r="V1161" s="29">
        <v>-3767</v>
      </c>
      <c r="W1161" s="29">
        <v>-4744</v>
      </c>
      <c r="X1161" s="29">
        <v>-4907</v>
      </c>
      <c r="Y1161" s="29">
        <v>-4174</v>
      </c>
      <c r="Z1161" s="29">
        <v>-5089</v>
      </c>
      <c r="AA1161" s="29">
        <v>-6452</v>
      </c>
      <c r="AB1161" s="29">
        <v>-5810</v>
      </c>
      <c r="AC1161" s="29">
        <v>-5865</v>
      </c>
      <c r="AD1161" s="29">
        <v>-5340</v>
      </c>
      <c r="AE1161" s="29">
        <v>-6871</v>
      </c>
      <c r="AF1161" s="29">
        <v>-6283</v>
      </c>
      <c r="AG1161" s="29">
        <v>-6274</v>
      </c>
      <c r="AH1161" s="29">
        <v>-6607</v>
      </c>
      <c r="AI1161" s="29">
        <v>-8943</v>
      </c>
      <c r="AJ1161" s="29">
        <v>-9917</v>
      </c>
      <c r="AK1161" s="29">
        <v>-9735</v>
      </c>
      <c r="AL1161" s="29">
        <v>-10952</v>
      </c>
      <c r="AM1161" s="29">
        <v>-13873</v>
      </c>
      <c r="AN1161" s="29">
        <v>-14923</v>
      </c>
      <c r="AO1161" s="825"/>
      <c r="AP1161" s="825"/>
      <c r="AQ1161" s="825"/>
      <c r="AS1161" s="29">
        <v>-812</v>
      </c>
      <c r="AT1161" s="29">
        <v>-1578</v>
      </c>
      <c r="AU1161" s="29">
        <v>-2264</v>
      </c>
      <c r="AV1161" s="29">
        <v>-3182</v>
      </c>
      <c r="AW1161" s="29">
        <v>-3119</v>
      </c>
      <c r="AX1161" s="29">
        <v>-1977</v>
      </c>
      <c r="AY1161" s="29">
        <v>-2355</v>
      </c>
      <c r="AZ1161" s="29">
        <v>-2305</v>
      </c>
      <c r="BA1161" s="29">
        <v>-4257</v>
      </c>
      <c r="BB1161" s="29">
        <v>-5485</v>
      </c>
      <c r="BC1161" s="29">
        <v>-5944</v>
      </c>
      <c r="BD1161" s="29">
        <v>-8343</v>
      </c>
      <c r="BE1161" s="29">
        <v>-8129</v>
      </c>
      <c r="BG1161" s="29">
        <v>-8343</v>
      </c>
      <c r="BH1161" s="29">
        <v>-8129</v>
      </c>
      <c r="BI1161" s="29">
        <v>-11632</v>
      </c>
      <c r="BJ1161" s="29">
        <v>-13925</v>
      </c>
      <c r="BK1161" s="11">
        <f t="shared" ref="BK1161:BK1166" si="4390">SUM(T1161:W1161)</f>
        <v>-15441</v>
      </c>
      <c r="BL1161" s="11">
        <f t="shared" ref="BL1161:BL1167" si="4391">SUM(X1161:AA1161)</f>
        <v>-20622</v>
      </c>
      <c r="BM1161" s="11">
        <f t="shared" ref="BM1161:BM1166" si="4392">+SUM(AB1161:AE1161)</f>
        <v>-23886</v>
      </c>
      <c r="BN1161" s="11">
        <f t="shared" si="4383"/>
        <v>-28107</v>
      </c>
      <c r="BO1161" s="11">
        <f t="shared" si="4384"/>
        <v>-44477</v>
      </c>
      <c r="BP1161" s="29"/>
    </row>
    <row r="1162" spans="2:81">
      <c r="B1162" t="s">
        <v>598</v>
      </c>
      <c r="D1162" s="29">
        <v>-390</v>
      </c>
      <c r="E1162" s="29">
        <v>-381</v>
      </c>
      <c r="F1162" s="29">
        <v>-559</v>
      </c>
      <c r="G1162" s="29">
        <v>-63</v>
      </c>
      <c r="H1162" s="29">
        <v>-24</v>
      </c>
      <c r="I1162" s="29">
        <v>-24760</v>
      </c>
      <c r="J1162" s="29">
        <v>-802</v>
      </c>
      <c r="K1162" s="11">
        <v>-358</v>
      </c>
      <c r="L1162" s="29">
        <v>-179</v>
      </c>
      <c r="M1162" s="29">
        <v>-27</v>
      </c>
      <c r="N1162" s="29">
        <v>-248</v>
      </c>
      <c r="O1162" s="11">
        <v>-434</v>
      </c>
      <c r="P1162" s="29">
        <v>-245</v>
      </c>
      <c r="Q1162" s="29">
        <v>-1593</v>
      </c>
      <c r="R1162" s="29">
        <v>-269</v>
      </c>
      <c r="S1162" s="11">
        <f t="shared" si="4389"/>
        <v>-281</v>
      </c>
      <c r="T1162" s="29">
        <v>-462</v>
      </c>
      <c r="U1162" s="29">
        <v>-80</v>
      </c>
      <c r="V1162" s="29">
        <v>-329</v>
      </c>
      <c r="W1162" s="29">
        <v>-1650</v>
      </c>
      <c r="X1162" s="29">
        <v>-481</v>
      </c>
      <c r="Y1162" s="29">
        <v>-415</v>
      </c>
      <c r="Z1162" s="29">
        <v>-7512</v>
      </c>
      <c r="AA1162" s="29">
        <v>-501</v>
      </c>
      <c r="AB1162" s="29">
        <v>-1206</v>
      </c>
      <c r="AC1162" s="29">
        <v>-850</v>
      </c>
      <c r="AD1162" s="29">
        <v>-18719</v>
      </c>
      <c r="AE1162" s="29">
        <v>-1263</v>
      </c>
      <c r="AF1162" s="29">
        <v>-349</v>
      </c>
      <c r="AG1162" s="29">
        <v>-679</v>
      </c>
      <c r="AH1162" s="29">
        <v>-301</v>
      </c>
      <c r="AI1162" s="29">
        <v>-341</v>
      </c>
      <c r="AJ1162" s="29">
        <v>-1186</v>
      </c>
      <c r="AK1162" s="29">
        <v>-65029</v>
      </c>
      <c r="AL1162" s="29">
        <v>-1575</v>
      </c>
      <c r="AM1162" s="29">
        <v>-1342</v>
      </c>
      <c r="AN1162" s="29">
        <v>-1849</v>
      </c>
      <c r="AO1162" s="825"/>
      <c r="AP1162" s="825"/>
      <c r="AQ1162" s="825"/>
      <c r="AS1162" s="29">
        <v>-207</v>
      </c>
      <c r="AT1162" s="29">
        <v>-649</v>
      </c>
      <c r="AU1162" s="29">
        <v>-1150</v>
      </c>
      <c r="AV1162" s="29">
        <v>-8053</v>
      </c>
      <c r="AW1162" s="29">
        <v>-868</v>
      </c>
      <c r="AX1162" s="29">
        <v>-245</v>
      </c>
      <c r="AY1162" s="29">
        <v>-71</v>
      </c>
      <c r="AZ1162" s="29">
        <v>-10112</v>
      </c>
      <c r="BA1162" s="29">
        <v>-1584</v>
      </c>
      <c r="BB1162" s="29">
        <v>-5937</v>
      </c>
      <c r="BC1162" s="29">
        <v>-3723</v>
      </c>
      <c r="BD1162" s="29">
        <v>-1393</v>
      </c>
      <c r="BE1162" s="29">
        <v>-25944</v>
      </c>
      <c r="BG1162" s="29">
        <v>-1393</v>
      </c>
      <c r="BH1162" s="29">
        <v>-25944</v>
      </c>
      <c r="BI1162" s="29">
        <v>-888</v>
      </c>
      <c r="BJ1162" s="29">
        <v>-2388</v>
      </c>
      <c r="BK1162" s="11">
        <f t="shared" si="4390"/>
        <v>-2521</v>
      </c>
      <c r="BL1162" s="11">
        <f t="shared" si="4391"/>
        <v>-8909</v>
      </c>
      <c r="BM1162" s="11">
        <f t="shared" si="4392"/>
        <v>-22038</v>
      </c>
      <c r="BN1162" s="11">
        <f t="shared" si="4383"/>
        <v>-1670</v>
      </c>
      <c r="BO1162" s="11">
        <f t="shared" si="4384"/>
        <v>-69132</v>
      </c>
      <c r="BP1162" s="29"/>
    </row>
    <row r="1163" spans="2:81">
      <c r="B1163" t="s">
        <v>599</v>
      </c>
      <c r="D1163" s="29">
        <v>-37570</v>
      </c>
      <c r="E1163" s="29">
        <v>-34750</v>
      </c>
      <c r="F1163" s="29">
        <v>-27341</v>
      </c>
      <c r="G1163" s="29">
        <v>-30097</v>
      </c>
      <c r="H1163" s="29">
        <v>-57181</v>
      </c>
      <c r="I1163" s="29">
        <v>-46775</v>
      </c>
      <c r="J1163" s="29">
        <v>-43918</v>
      </c>
      <c r="K1163" s="11">
        <v>-29031</v>
      </c>
      <c r="L1163" s="29">
        <v>-32961</v>
      </c>
      <c r="M1163" s="29">
        <v>-45154</v>
      </c>
      <c r="N1163" s="29">
        <v>-26885</v>
      </c>
      <c r="O1163" s="11">
        <v>-32380</v>
      </c>
      <c r="P1163" s="29">
        <v>-19551</v>
      </c>
      <c r="Q1163" s="29">
        <v>-16858</v>
      </c>
      <c r="R1163" s="29">
        <v>-5846</v>
      </c>
      <c r="S1163" s="11">
        <f t="shared" si="4389"/>
        <v>-15442</v>
      </c>
      <c r="T1163" s="29">
        <v>-23390</v>
      </c>
      <c r="U1163" s="29">
        <v>-19011</v>
      </c>
      <c r="V1163" s="29">
        <v>-15910</v>
      </c>
      <c r="W1163" s="29">
        <v>-18879</v>
      </c>
      <c r="X1163" s="29">
        <v>-14580</v>
      </c>
      <c r="Y1163" s="29">
        <v>-15092</v>
      </c>
      <c r="Z1163" s="29">
        <v>-18375</v>
      </c>
      <c r="AA1163" s="29">
        <v>-14877</v>
      </c>
      <c r="AB1163" s="29">
        <v>-10309</v>
      </c>
      <c r="AC1163" s="29">
        <v>-2505</v>
      </c>
      <c r="AD1163" s="29">
        <v>-8723</v>
      </c>
      <c r="AE1163" s="29">
        <v>-4919</v>
      </c>
      <c r="AF1163" s="29">
        <v>-5013</v>
      </c>
      <c r="AG1163" s="29">
        <v>-11599</v>
      </c>
      <c r="AH1163" s="29">
        <v>-9063</v>
      </c>
      <c r="AI1163" s="29">
        <v>-11976</v>
      </c>
      <c r="AJ1163" s="29">
        <v>-8460</v>
      </c>
      <c r="AK1163" s="29">
        <v>-4258</v>
      </c>
      <c r="AL1163" s="29">
        <v>-2183</v>
      </c>
      <c r="AM1163" s="29">
        <v>-2831</v>
      </c>
      <c r="AN1163" s="29">
        <v>-1620</v>
      </c>
      <c r="AO1163" s="825"/>
      <c r="AP1163" s="825"/>
      <c r="AQ1163" s="825"/>
      <c r="AS1163" s="29">
        <v>-68045</v>
      </c>
      <c r="AT1163" s="29">
        <v>-51117</v>
      </c>
      <c r="AU1163" s="29">
        <v>-36308</v>
      </c>
      <c r="AV1163" s="29">
        <v>-20954</v>
      </c>
      <c r="AW1163" s="29">
        <v>-36850</v>
      </c>
      <c r="AX1163" s="29">
        <v>-30168</v>
      </c>
      <c r="AY1163" s="29">
        <v>-35993</v>
      </c>
      <c r="AZ1163" s="29">
        <v>-57250</v>
      </c>
      <c r="BA1163" s="29">
        <v>-75396</v>
      </c>
      <c r="BB1163" s="29">
        <v>-72690</v>
      </c>
      <c r="BC1163" s="29">
        <v>-98729</v>
      </c>
      <c r="BD1163" s="29">
        <v>-129758</v>
      </c>
      <c r="BE1163" s="29">
        <v>-176905</v>
      </c>
      <c r="BG1163" s="29">
        <v>-129758</v>
      </c>
      <c r="BH1163" s="29">
        <v>-176905</v>
      </c>
      <c r="BI1163" s="29">
        <v>-137380</v>
      </c>
      <c r="BJ1163" s="29">
        <v>-57697</v>
      </c>
      <c r="BK1163" s="11">
        <f t="shared" si="4390"/>
        <v>-77190</v>
      </c>
      <c r="BL1163" s="11">
        <f t="shared" si="4391"/>
        <v>-62924</v>
      </c>
      <c r="BM1163" s="11">
        <f t="shared" si="4392"/>
        <v>-26456</v>
      </c>
      <c r="BN1163" s="11">
        <f t="shared" si="4383"/>
        <v>-37651</v>
      </c>
      <c r="BO1163" s="11">
        <f t="shared" si="4384"/>
        <v>-17732</v>
      </c>
      <c r="BP1163" s="29"/>
    </row>
    <row r="1164" spans="2:81">
      <c r="B1164" t="s">
        <v>600</v>
      </c>
      <c r="D1164" s="29">
        <v>5686</v>
      </c>
      <c r="E1164" s="29">
        <v>5351</v>
      </c>
      <c r="F1164" s="29">
        <v>5192</v>
      </c>
      <c r="G1164" s="29">
        <v>5825</v>
      </c>
      <c r="H1164" s="29">
        <v>8659</v>
      </c>
      <c r="I1164" s="29">
        <v>8715</v>
      </c>
      <c r="J1164" s="29">
        <v>4860</v>
      </c>
      <c r="K1164" s="11">
        <v>5810</v>
      </c>
      <c r="L1164" s="29">
        <v>5226</v>
      </c>
      <c r="M1164" s="29">
        <v>6352</v>
      </c>
      <c r="N1164" s="29">
        <v>7674</v>
      </c>
      <c r="O1164" s="11">
        <v>7108</v>
      </c>
      <c r="P1164" s="29">
        <v>5214</v>
      </c>
      <c r="Q1164" s="29">
        <v>3782</v>
      </c>
      <c r="R1164" s="29">
        <v>5893</v>
      </c>
      <c r="S1164" s="11">
        <f t="shared" si="4389"/>
        <v>5154</v>
      </c>
      <c r="T1164" s="29">
        <v>19082</v>
      </c>
      <c r="U1164" s="29">
        <v>11230</v>
      </c>
      <c r="V1164" s="29">
        <v>17247</v>
      </c>
      <c r="W1164" s="29">
        <v>18890</v>
      </c>
      <c r="X1164" s="29">
        <v>14266</v>
      </c>
      <c r="Y1164" s="29">
        <v>15264</v>
      </c>
      <c r="Z1164" s="29">
        <v>15016</v>
      </c>
      <c r="AA1164" s="29">
        <v>7246</v>
      </c>
      <c r="AB1164" s="29">
        <v>8862</v>
      </c>
      <c r="AC1164" s="29">
        <v>5253</v>
      </c>
      <c r="AD1164" s="29">
        <v>1099</v>
      </c>
      <c r="AE1164" s="29">
        <v>1237</v>
      </c>
      <c r="AF1164" s="29">
        <v>6662</v>
      </c>
      <c r="AG1164" s="29">
        <v>6928</v>
      </c>
      <c r="AH1164" s="29">
        <v>13154</v>
      </c>
      <c r="AI1164" s="29">
        <v>6766</v>
      </c>
      <c r="AJ1164" s="29">
        <v>15718</v>
      </c>
      <c r="AK1164" s="29">
        <v>4150</v>
      </c>
      <c r="AL1164" s="29">
        <v>3350</v>
      </c>
      <c r="AM1164" s="29">
        <v>1557</v>
      </c>
      <c r="AN1164" s="29">
        <v>2136</v>
      </c>
      <c r="AO1164" s="825"/>
      <c r="AP1164" s="825"/>
      <c r="AQ1164" s="825"/>
      <c r="AS1164" s="29">
        <v>29153</v>
      </c>
      <c r="AT1164" s="29">
        <v>3877</v>
      </c>
      <c r="AU1164" s="29">
        <v>4736</v>
      </c>
      <c r="AV1164" s="29">
        <v>2597</v>
      </c>
      <c r="AW1164" s="29">
        <v>6191</v>
      </c>
      <c r="AX1164" s="29">
        <v>7453</v>
      </c>
      <c r="AY1164" s="29">
        <v>6897</v>
      </c>
      <c r="AZ1164" s="29">
        <v>15575</v>
      </c>
      <c r="BA1164" s="29">
        <v>5130</v>
      </c>
      <c r="BB1164" s="29">
        <v>5272</v>
      </c>
      <c r="BC1164" s="29">
        <v>15013</v>
      </c>
      <c r="BD1164" s="29">
        <v>22054</v>
      </c>
      <c r="BE1164" s="29">
        <v>28044</v>
      </c>
      <c r="BG1164" s="29">
        <v>22054</v>
      </c>
      <c r="BH1164" s="29">
        <v>28044</v>
      </c>
      <c r="BI1164" s="29">
        <v>26360</v>
      </c>
      <c r="BJ1164" s="29">
        <v>20043</v>
      </c>
      <c r="BK1164" s="11">
        <f t="shared" si="4390"/>
        <v>66449</v>
      </c>
      <c r="BL1164" s="11">
        <f t="shared" si="4391"/>
        <v>51792</v>
      </c>
      <c r="BM1164" s="11">
        <f t="shared" si="4392"/>
        <v>16451</v>
      </c>
      <c r="BN1164" s="11">
        <f t="shared" si="4383"/>
        <v>33510</v>
      </c>
      <c r="BO1164" s="11">
        <f t="shared" si="4384"/>
        <v>24775</v>
      </c>
      <c r="BP1164" s="29"/>
    </row>
    <row r="1165" spans="2:81">
      <c r="B1165" t="s">
        <v>601</v>
      </c>
      <c r="D1165" s="29">
        <v>28502</v>
      </c>
      <c r="E1165" s="29">
        <v>28191</v>
      </c>
      <c r="F1165" s="29">
        <v>19599</v>
      </c>
      <c r="G1165" s="29">
        <v>16995</v>
      </c>
      <c r="H1165" s="29">
        <v>32323</v>
      </c>
      <c r="I1165" s="29">
        <v>48987</v>
      </c>
      <c r="J1165" s="29">
        <v>36444</v>
      </c>
      <c r="K1165" s="11">
        <v>18596</v>
      </c>
      <c r="L1165" s="29">
        <v>23036</v>
      </c>
      <c r="M1165" s="29">
        <v>41261</v>
      </c>
      <c r="N1165" s="29">
        <v>26256</v>
      </c>
      <c r="O1165" s="11">
        <v>27024</v>
      </c>
      <c r="P1165" s="29">
        <v>15231</v>
      </c>
      <c r="Q1165" s="29">
        <v>14176</v>
      </c>
      <c r="R1165" s="29">
        <v>1424</v>
      </c>
      <c r="S1165" s="11">
        <f t="shared" si="4389"/>
        <v>7363</v>
      </c>
      <c r="T1165" s="29">
        <v>6379</v>
      </c>
      <c r="U1165" s="29">
        <v>5370</v>
      </c>
      <c r="V1165" s="29">
        <v>2810</v>
      </c>
      <c r="W1165" s="29">
        <v>3162</v>
      </c>
      <c r="X1165" s="29">
        <v>2414</v>
      </c>
      <c r="Y1165" s="29">
        <v>2421</v>
      </c>
      <c r="Z1165" s="29">
        <v>5876</v>
      </c>
      <c r="AA1165" s="29">
        <v>3297</v>
      </c>
      <c r="AB1165" s="29">
        <v>5630</v>
      </c>
      <c r="AC1165" s="29">
        <v>2895</v>
      </c>
      <c r="AD1165" s="29">
        <v>16693</v>
      </c>
      <c r="AE1165" s="29">
        <v>3225</v>
      </c>
      <c r="AF1165" s="29">
        <v>2711</v>
      </c>
      <c r="AG1165" s="29">
        <v>4775</v>
      </c>
      <c r="AH1165" s="29">
        <v>1239</v>
      </c>
      <c r="AI1165" s="29">
        <v>5629</v>
      </c>
      <c r="AJ1165" s="29">
        <v>5330</v>
      </c>
      <c r="AK1165" s="29">
        <v>1600</v>
      </c>
      <c r="AL1165" s="29">
        <v>1941</v>
      </c>
      <c r="AM1165" s="29">
        <v>2023</v>
      </c>
      <c r="AN1165" s="29">
        <v>1968</v>
      </c>
      <c r="AO1165" s="825"/>
      <c r="AP1165" s="825"/>
      <c r="AQ1165" s="825"/>
      <c r="AS1165" s="29">
        <v>54938</v>
      </c>
      <c r="AT1165" s="29">
        <v>54353</v>
      </c>
      <c r="AU1165" s="29">
        <v>41451</v>
      </c>
      <c r="AV1165" s="29">
        <v>25132</v>
      </c>
      <c r="AW1165" s="29">
        <v>19806</v>
      </c>
      <c r="AX1165" s="29">
        <v>15125</v>
      </c>
      <c r="AY1165" s="29">
        <v>15880</v>
      </c>
      <c r="AZ1165" s="29">
        <v>29700</v>
      </c>
      <c r="BA1165" s="29">
        <v>52464</v>
      </c>
      <c r="BB1165" s="29">
        <v>60094</v>
      </c>
      <c r="BC1165" s="29">
        <v>70848</v>
      </c>
      <c r="BD1165" s="29">
        <v>93287</v>
      </c>
      <c r="BE1165" s="29">
        <v>136350</v>
      </c>
      <c r="BG1165" s="29">
        <v>93287</v>
      </c>
      <c r="BH1165" s="29">
        <v>136350</v>
      </c>
      <c r="BI1165" s="29">
        <v>117577</v>
      </c>
      <c r="BJ1165" s="29">
        <v>38194</v>
      </c>
      <c r="BK1165" s="11">
        <f t="shared" si="4390"/>
        <v>17721</v>
      </c>
      <c r="BL1165" s="11">
        <f t="shared" si="4391"/>
        <v>14008</v>
      </c>
      <c r="BM1165" s="11">
        <f t="shared" si="4392"/>
        <v>28443</v>
      </c>
      <c r="BN1165" s="11">
        <f t="shared" si="4383"/>
        <v>14354</v>
      </c>
      <c r="BO1165" s="11">
        <f t="shared" si="4384"/>
        <v>10894</v>
      </c>
      <c r="BP1165" s="29"/>
    </row>
    <row r="1166" spans="2:81" ht="11.45">
      <c r="B1166" t="s">
        <v>575</v>
      </c>
      <c r="D1166" s="30">
        <v>62</v>
      </c>
      <c r="E1166" s="30">
        <v>285</v>
      </c>
      <c r="F1166" s="30">
        <v>-66</v>
      </c>
      <c r="G1166" s="30">
        <v>-78</v>
      </c>
      <c r="H1166" s="30">
        <v>-84</v>
      </c>
      <c r="I1166" s="30">
        <v>1070</v>
      </c>
      <c r="J1166" s="30">
        <v>-1080</v>
      </c>
      <c r="K1166" s="34">
        <v>-103</v>
      </c>
      <c r="L1166" s="30">
        <v>106</v>
      </c>
      <c r="M1166" s="30">
        <v>-177</v>
      </c>
      <c r="N1166" s="30">
        <v>-19</v>
      </c>
      <c r="O1166" s="34">
        <v>-8</v>
      </c>
      <c r="P1166" s="30">
        <v>0</v>
      </c>
      <c r="Q1166" s="30">
        <v>0</v>
      </c>
      <c r="R1166" s="30">
        <v>0</v>
      </c>
      <c r="S1166" s="34">
        <f t="shared" si="4389"/>
        <v>0</v>
      </c>
      <c r="T1166" s="30">
        <v>0</v>
      </c>
      <c r="U1166" s="30">
        <v>0</v>
      </c>
      <c r="V1166" s="30">
        <v>0</v>
      </c>
      <c r="W1166" s="30">
        <v>-1241</v>
      </c>
      <c r="X1166" s="30">
        <v>-2083</v>
      </c>
      <c r="Y1166" s="30">
        <v>327</v>
      </c>
      <c r="Z1166" s="30">
        <v>400</v>
      </c>
      <c r="AA1166" s="30">
        <v>434</v>
      </c>
      <c r="AB1166" s="30">
        <v>-417</v>
      </c>
      <c r="AC1166" s="30">
        <v>-89</v>
      </c>
      <c r="AD1166" s="30">
        <v>-1181</v>
      </c>
      <c r="AE1166" s="30">
        <v>-1138</v>
      </c>
      <c r="AF1166" s="30">
        <v>-860</v>
      </c>
      <c r="AG1166" s="30">
        <v>-301</v>
      </c>
      <c r="AH1166" s="30">
        <v>-1686</v>
      </c>
      <c r="AI1166" s="30">
        <v>-269</v>
      </c>
      <c r="AJ1166" s="30">
        <v>-982</v>
      </c>
      <c r="AK1166" s="30">
        <v>1347</v>
      </c>
      <c r="AL1166" s="30">
        <v>-1281</v>
      </c>
      <c r="AM1166" s="30">
        <v>-382</v>
      </c>
      <c r="AN1166" s="30">
        <v>-913</v>
      </c>
      <c r="AS1166" s="30">
        <v>0</v>
      </c>
      <c r="AT1166" s="30">
        <v>3117</v>
      </c>
      <c r="AU1166" s="30">
        <v>-376</v>
      </c>
      <c r="AV1166" s="30">
        <v>-127</v>
      </c>
      <c r="AW1166" s="30">
        <v>-930</v>
      </c>
      <c r="AX1166" s="30">
        <v>-1502</v>
      </c>
      <c r="AY1166" s="30">
        <v>1026</v>
      </c>
      <c r="AZ1166" s="30">
        <v>-394</v>
      </c>
      <c r="BA1166" s="30">
        <v>-168</v>
      </c>
      <c r="BB1166" s="30">
        <v>-87</v>
      </c>
      <c r="BC1166" s="30">
        <v>-466</v>
      </c>
      <c r="BD1166" s="30">
        <v>203</v>
      </c>
      <c r="BE1166" s="30">
        <v>-197</v>
      </c>
      <c r="BF1166" s="953"/>
      <c r="BG1166" s="30">
        <v>203</v>
      </c>
      <c r="BH1166" s="30">
        <v>-197</v>
      </c>
      <c r="BI1166" s="30">
        <v>-98</v>
      </c>
      <c r="BJ1166" s="30">
        <v>0</v>
      </c>
      <c r="BK1166" s="34">
        <f t="shared" si="4390"/>
        <v>-1241</v>
      </c>
      <c r="BL1166" s="34">
        <f t="shared" si="4391"/>
        <v>-922</v>
      </c>
      <c r="BM1166" s="34">
        <f t="shared" si="4392"/>
        <v>-2825</v>
      </c>
      <c r="BN1166" s="34">
        <f t="shared" si="4383"/>
        <v>-3116</v>
      </c>
      <c r="BO1166" s="34">
        <f t="shared" si="4384"/>
        <v>-1298</v>
      </c>
      <c r="BP1166" s="30"/>
      <c r="BT1166" s="852"/>
      <c r="BU1166" s="852"/>
      <c r="BV1166" s="852"/>
      <c r="BW1166" s="852"/>
      <c r="BX1166" s="852"/>
      <c r="BY1166" s="852"/>
      <c r="BZ1166" s="852"/>
      <c r="CA1166" s="852"/>
      <c r="CB1166" s="852"/>
      <c r="CC1166" s="852"/>
    </row>
    <row r="1167" spans="2:81" s="1" customFormat="1" ht="10.5">
      <c r="B1167" s="837" t="s">
        <v>602</v>
      </c>
      <c r="D1167" s="838">
        <f t="shared" ref="D1167:AN1167" si="4393">SUM(D1161:D1166)</f>
        <v>-5066</v>
      </c>
      <c r="E1167" s="838">
        <f t="shared" si="4393"/>
        <v>-3328</v>
      </c>
      <c r="F1167" s="838">
        <f t="shared" si="4393"/>
        <v>-5483</v>
      </c>
      <c r="G1167" s="838">
        <f t="shared" si="4393"/>
        <v>-10073</v>
      </c>
      <c r="H1167" s="838">
        <f t="shared" si="4393"/>
        <v>-18470</v>
      </c>
      <c r="I1167" s="838">
        <f t="shared" si="4393"/>
        <v>-14751</v>
      </c>
      <c r="J1167" s="838">
        <f t="shared" si="4393"/>
        <v>-6191</v>
      </c>
      <c r="K1167" s="849">
        <f t="shared" si="4393"/>
        <v>-7369</v>
      </c>
      <c r="L1167" s="838">
        <f t="shared" si="4393"/>
        <v>-6904</v>
      </c>
      <c r="M1167" s="838">
        <f t="shared" si="4393"/>
        <v>-331</v>
      </c>
      <c r="N1167" s="838">
        <f t="shared" si="4393"/>
        <v>3844</v>
      </c>
      <c r="O1167" s="849">
        <f t="shared" si="4393"/>
        <v>-2670</v>
      </c>
      <c r="P1167" s="838">
        <f t="shared" si="4393"/>
        <v>-2953</v>
      </c>
      <c r="Q1167" s="838">
        <f t="shared" si="4393"/>
        <v>-4200</v>
      </c>
      <c r="R1167" s="838">
        <f t="shared" si="4393"/>
        <v>-1363</v>
      </c>
      <c r="S1167" s="849">
        <f t="shared" si="4393"/>
        <v>-7257</v>
      </c>
      <c r="T1167" s="838">
        <f t="shared" si="4393"/>
        <v>-1776</v>
      </c>
      <c r="U1167" s="838">
        <f t="shared" si="4393"/>
        <v>-6036</v>
      </c>
      <c r="V1167" s="838">
        <f t="shared" si="4393"/>
        <v>51</v>
      </c>
      <c r="W1167" s="838">
        <f t="shared" si="4393"/>
        <v>-4462</v>
      </c>
      <c r="X1167" s="838">
        <f t="shared" si="4393"/>
        <v>-5371</v>
      </c>
      <c r="Y1167" s="838">
        <f t="shared" si="4393"/>
        <v>-1669</v>
      </c>
      <c r="Z1167" s="838">
        <f t="shared" si="4393"/>
        <v>-9684</v>
      </c>
      <c r="AA1167" s="838">
        <f t="shared" si="4393"/>
        <v>-10853</v>
      </c>
      <c r="AB1167" s="838">
        <f t="shared" si="4393"/>
        <v>-3250</v>
      </c>
      <c r="AC1167" s="838">
        <f t="shared" si="4393"/>
        <v>-1161</v>
      </c>
      <c r="AD1167" s="838">
        <f t="shared" si="4393"/>
        <v>-16171</v>
      </c>
      <c r="AE1167" s="838">
        <f t="shared" si="4393"/>
        <v>-9729</v>
      </c>
      <c r="AF1167" s="838">
        <f t="shared" si="4393"/>
        <v>-3132</v>
      </c>
      <c r="AG1167" s="838">
        <f t="shared" si="4393"/>
        <v>-7150</v>
      </c>
      <c r="AH1167" s="838">
        <f t="shared" si="4393"/>
        <v>-3264</v>
      </c>
      <c r="AI1167" s="838">
        <f t="shared" si="4393"/>
        <v>-9134</v>
      </c>
      <c r="AJ1167" s="838">
        <f t="shared" si="4393"/>
        <v>503</v>
      </c>
      <c r="AK1167" s="838">
        <f t="shared" si="4393"/>
        <v>-71925</v>
      </c>
      <c r="AL1167" s="838">
        <f t="shared" si="4393"/>
        <v>-10700</v>
      </c>
      <c r="AM1167" s="838">
        <f t="shared" si="4393"/>
        <v>-14848</v>
      </c>
      <c r="AN1167" s="838">
        <f t="shared" si="4393"/>
        <v>-15201</v>
      </c>
      <c r="AO1167" s="29"/>
      <c r="AR1167"/>
      <c r="AS1167" s="838">
        <f t="shared" ref="AS1167:BE1167" si="4394">SUM(AS1161:AS1166)</f>
        <v>15027</v>
      </c>
      <c r="AT1167" s="838">
        <f t="shared" si="4394"/>
        <v>8003</v>
      </c>
      <c r="AU1167" s="838">
        <f t="shared" si="4394"/>
        <v>6089</v>
      </c>
      <c r="AV1167" s="838">
        <f t="shared" si="4394"/>
        <v>-4587</v>
      </c>
      <c r="AW1167" s="838">
        <f t="shared" si="4394"/>
        <v>-15770</v>
      </c>
      <c r="AX1167" s="838">
        <f t="shared" si="4394"/>
        <v>-11314</v>
      </c>
      <c r="AY1167" s="838">
        <f t="shared" si="4394"/>
        <v>-14616</v>
      </c>
      <c r="AZ1167" s="838">
        <f t="shared" si="4394"/>
        <v>-24786</v>
      </c>
      <c r="BA1167" s="838">
        <f t="shared" si="4394"/>
        <v>-23811</v>
      </c>
      <c r="BB1167" s="838">
        <f t="shared" si="4394"/>
        <v>-18833</v>
      </c>
      <c r="BC1167" s="838">
        <f t="shared" si="4394"/>
        <v>-23001</v>
      </c>
      <c r="BD1167" s="838">
        <f t="shared" si="4394"/>
        <v>-23950</v>
      </c>
      <c r="BE1167" s="838">
        <f t="shared" si="4394"/>
        <v>-46781</v>
      </c>
      <c r="BG1167" s="838">
        <f>SUM(BG1161:BG1166)</f>
        <v>-23950</v>
      </c>
      <c r="BH1167" s="838">
        <f>SUM(BH1161:BH1166)</f>
        <v>-46781</v>
      </c>
      <c r="BI1167" s="838">
        <f>SUM(BI1161:BI1166)</f>
        <v>-6061</v>
      </c>
      <c r="BJ1167" s="838">
        <f>SUM(BJ1161:BJ1166)</f>
        <v>-15773</v>
      </c>
      <c r="BK1167" s="849">
        <f>SUM(BK1161:BK1166)</f>
        <v>-12223</v>
      </c>
      <c r="BL1167" s="849">
        <f t="shared" si="4391"/>
        <v>-27577</v>
      </c>
      <c r="BM1167" s="849">
        <f>+SUM(BM1161:BM1166)</f>
        <v>-30311</v>
      </c>
      <c r="BN1167" s="849">
        <f t="shared" si="4383"/>
        <v>-22680</v>
      </c>
      <c r="BO1167" s="849">
        <f t="shared" si="4384"/>
        <v>-96970</v>
      </c>
      <c r="BP1167" s="838"/>
      <c r="BT1167"/>
      <c r="BU1167"/>
      <c r="BV1167"/>
      <c r="BW1167"/>
      <c r="BX1167"/>
      <c r="BY1167"/>
      <c r="BZ1167"/>
      <c r="CA1167"/>
      <c r="CB1167"/>
      <c r="CC1167"/>
    </row>
    <row r="1168" spans="2:81">
      <c r="K1168" s="100"/>
      <c r="O1168" s="100"/>
      <c r="S1168" s="100"/>
      <c r="AO1168" s="29"/>
      <c r="BK1168" s="100"/>
      <c r="BL1168" s="100"/>
    </row>
    <row r="1169" spans="2:81" ht="10.5">
      <c r="B1169" s="45" t="s">
        <v>603</v>
      </c>
      <c r="K1169" s="100"/>
      <c r="O1169" s="100"/>
      <c r="S1169" s="100"/>
      <c r="AO1169" s="29"/>
      <c r="AP1169" s="29"/>
      <c r="AQ1169" s="29"/>
      <c r="BK1169" s="100"/>
      <c r="BL1169" s="100"/>
    </row>
    <row r="1170" spans="2:81">
      <c r="B1170" t="s">
        <v>604</v>
      </c>
      <c r="D1170" s="29">
        <v>-1750</v>
      </c>
      <c r="E1170" s="29">
        <v>-121</v>
      </c>
      <c r="F1170" s="29">
        <v>-900</v>
      </c>
      <c r="G1170" s="29">
        <v>-25</v>
      </c>
      <c r="H1170" s="29">
        <v>-225</v>
      </c>
      <c r="I1170" s="29">
        <v>-4118</v>
      </c>
      <c r="J1170" s="29">
        <v>-211</v>
      </c>
      <c r="K1170" s="11">
        <v>-3368</v>
      </c>
      <c r="L1170" s="29">
        <v>-1169</v>
      </c>
      <c r="M1170" s="29">
        <v>-3327</v>
      </c>
      <c r="N1170" s="29">
        <v>-4883</v>
      </c>
      <c r="O1170" s="11">
        <v>-681</v>
      </c>
      <c r="P1170" s="29">
        <v>0</v>
      </c>
      <c r="Q1170" s="29">
        <v>-3000</v>
      </c>
      <c r="R1170" s="29">
        <v>0</v>
      </c>
      <c r="S1170" s="11">
        <f>+BJ1170-SUM(P1170:R1170)</f>
        <v>-1000</v>
      </c>
      <c r="T1170" s="29">
        <v>-2500</v>
      </c>
      <c r="U1170" s="29">
        <v>-18</v>
      </c>
      <c r="V1170" s="29">
        <v>-3000</v>
      </c>
      <c r="W1170" s="29">
        <v>0</v>
      </c>
      <c r="X1170" s="29">
        <v>0</v>
      </c>
      <c r="Y1170" s="29">
        <v>-3250</v>
      </c>
      <c r="Z1170" s="29">
        <v>-500</v>
      </c>
      <c r="AA1170" s="29">
        <v>0</v>
      </c>
      <c r="AB1170" s="29">
        <v>-4826</v>
      </c>
      <c r="AC1170" s="29">
        <v>0</v>
      </c>
      <c r="AD1170" s="29">
        <v>-4197</v>
      </c>
      <c r="AE1170" s="29">
        <v>0</v>
      </c>
      <c r="AF1170" s="29">
        <v>-1000</v>
      </c>
      <c r="AG1170" s="29">
        <v>-750</v>
      </c>
      <c r="AH1170" s="29">
        <v>0</v>
      </c>
      <c r="AI1170" s="29">
        <v>-1000</v>
      </c>
      <c r="AJ1170" s="29">
        <v>-1500</v>
      </c>
      <c r="AK1170" s="29">
        <v>-2916</v>
      </c>
      <c r="AL1170" s="29">
        <v>-11589</v>
      </c>
      <c r="AM1170" s="29">
        <v>-13065</v>
      </c>
      <c r="AN1170" s="29">
        <v>-966</v>
      </c>
      <c r="AO1170" s="29"/>
      <c r="AQ1170" s="825"/>
      <c r="AS1170" s="29">
        <v>0</v>
      </c>
      <c r="AT1170" s="29">
        <v>0</v>
      </c>
      <c r="AU1170" s="29">
        <v>0</v>
      </c>
      <c r="AV1170" s="29">
        <v>0</v>
      </c>
      <c r="AW1170" s="29">
        <v>-228</v>
      </c>
      <c r="AX1170" s="29">
        <v>-2986</v>
      </c>
      <c r="AY1170" s="29">
        <v>-814</v>
      </c>
      <c r="AZ1170" s="29">
        <v>0</v>
      </c>
      <c r="BA1170" s="29">
        <v>-1346</v>
      </c>
      <c r="BB1170" s="29">
        <v>-3888</v>
      </c>
      <c r="BC1170" s="29">
        <v>-1500</v>
      </c>
      <c r="BD1170" s="29">
        <v>-2796</v>
      </c>
      <c r="BE1170" s="29">
        <v>-7922</v>
      </c>
      <c r="BG1170" s="29">
        <v>-2796</v>
      </c>
      <c r="BH1170" s="29">
        <v>-7922</v>
      </c>
      <c r="BI1170" s="29">
        <v>-10060</v>
      </c>
      <c r="BJ1170" s="29">
        <v>-4000</v>
      </c>
      <c r="BK1170" s="11">
        <f t="shared" ref="BK1170:BK1179" si="4395">SUM(T1170:W1170)</f>
        <v>-5518</v>
      </c>
      <c r="BL1170" s="11">
        <f t="shared" ref="BL1170:BL1180" si="4396">SUM(X1170:AA1170)</f>
        <v>-3750</v>
      </c>
      <c r="BM1170" s="11">
        <f t="shared" ref="BM1170:BM1179" si="4397">+SUM(AB1170:AE1170)</f>
        <v>-9023</v>
      </c>
      <c r="BN1170" s="11">
        <f t="shared" si="4383"/>
        <v>-2750</v>
      </c>
      <c r="BO1170" s="11">
        <f t="shared" si="4384"/>
        <v>-29070</v>
      </c>
      <c r="BP1170" s="29"/>
    </row>
    <row r="1171" spans="2:81">
      <c r="B1171" t="s">
        <v>605</v>
      </c>
      <c r="D1171" s="29">
        <v>0</v>
      </c>
      <c r="E1171" s="29">
        <v>0</v>
      </c>
      <c r="F1171" s="29">
        <v>0</v>
      </c>
      <c r="G1171" s="29">
        <v>0</v>
      </c>
      <c r="H1171" s="29">
        <v>0</v>
      </c>
      <c r="I1171" s="29">
        <v>0</v>
      </c>
      <c r="J1171" s="29">
        <v>0</v>
      </c>
      <c r="K1171" s="11">
        <v>0</v>
      </c>
      <c r="L1171" s="29">
        <v>0</v>
      </c>
      <c r="M1171" s="29">
        <v>0</v>
      </c>
      <c r="N1171" s="29">
        <v>0</v>
      </c>
      <c r="O1171" s="11">
        <v>0</v>
      </c>
      <c r="P1171" s="29">
        <v>0</v>
      </c>
      <c r="Q1171" s="29">
        <v>0</v>
      </c>
      <c r="R1171" s="29">
        <v>0</v>
      </c>
      <c r="S1171" s="11">
        <v>0</v>
      </c>
      <c r="T1171" s="29">
        <v>0</v>
      </c>
      <c r="U1171" s="29">
        <v>0</v>
      </c>
      <c r="V1171" s="29">
        <v>0</v>
      </c>
      <c r="W1171" s="29">
        <v>0</v>
      </c>
      <c r="X1171" s="29">
        <v>0</v>
      </c>
      <c r="Y1171" s="29">
        <v>0</v>
      </c>
      <c r="Z1171" s="29">
        <v>0</v>
      </c>
      <c r="AA1171" s="29">
        <v>0</v>
      </c>
      <c r="AB1171" s="29">
        <v>0</v>
      </c>
      <c r="AC1171" s="29">
        <v>0</v>
      </c>
      <c r="AD1171" s="29">
        <v>0</v>
      </c>
      <c r="AE1171" s="29">
        <v>0</v>
      </c>
      <c r="AF1171" s="29">
        <v>0</v>
      </c>
      <c r="AG1171" s="29">
        <v>0</v>
      </c>
      <c r="AH1171" s="29">
        <v>0</v>
      </c>
      <c r="AI1171" s="29">
        <v>0</v>
      </c>
      <c r="AJ1171" s="29">
        <v>18692</v>
      </c>
      <c r="AK1171" s="29">
        <v>-8490</v>
      </c>
      <c r="AL1171" s="29">
        <v>-3810</v>
      </c>
      <c r="AM1171" s="29">
        <v>-1142</v>
      </c>
      <c r="AN1171" s="29">
        <v>-5746</v>
      </c>
      <c r="AO1171" s="29"/>
      <c r="AP1171" s="825"/>
      <c r="AQ1171" s="825"/>
      <c r="AS1171" s="29">
        <v>0</v>
      </c>
      <c r="AT1171" s="29">
        <v>0</v>
      </c>
      <c r="AU1171" s="29">
        <v>0</v>
      </c>
      <c r="AV1171" s="29">
        <v>0</v>
      </c>
      <c r="AW1171" s="29">
        <v>0</v>
      </c>
      <c r="AX1171" s="29">
        <v>0</v>
      </c>
      <c r="AY1171" s="29">
        <v>0</v>
      </c>
      <c r="AZ1171" s="29">
        <v>0</v>
      </c>
      <c r="BA1171" s="29">
        <v>0</v>
      </c>
      <c r="BB1171" s="29">
        <v>0</v>
      </c>
      <c r="BC1171" s="29">
        <v>0</v>
      </c>
      <c r="BD1171" s="29">
        <v>0</v>
      </c>
      <c r="BE1171" s="29">
        <v>0</v>
      </c>
      <c r="BG1171" s="29">
        <v>0</v>
      </c>
      <c r="BH1171" s="29">
        <v>0</v>
      </c>
      <c r="BI1171" s="29">
        <v>0</v>
      </c>
      <c r="BJ1171" s="29">
        <v>0</v>
      </c>
      <c r="BK1171" s="11">
        <v>0</v>
      </c>
      <c r="BL1171" s="11">
        <v>0</v>
      </c>
      <c r="BM1171" s="11">
        <v>0</v>
      </c>
      <c r="BN1171" s="11">
        <v>0</v>
      </c>
      <c r="BO1171" s="11">
        <f t="shared" si="4384"/>
        <v>5250</v>
      </c>
      <c r="BP1171" s="29"/>
    </row>
    <row r="1172" spans="2:81">
      <c r="B1172" t="s">
        <v>606</v>
      </c>
      <c r="C1172" s="29"/>
      <c r="D1172" s="29">
        <v>0</v>
      </c>
      <c r="E1172" s="29">
        <v>0</v>
      </c>
      <c r="F1172" s="29">
        <v>0</v>
      </c>
      <c r="G1172" s="29">
        <v>0</v>
      </c>
      <c r="H1172" s="29">
        <v>0</v>
      </c>
      <c r="I1172" s="29">
        <v>0</v>
      </c>
      <c r="J1172" s="29">
        <v>0</v>
      </c>
      <c r="K1172" s="29">
        <v>0</v>
      </c>
      <c r="L1172" s="29">
        <v>0</v>
      </c>
      <c r="M1172" s="29">
        <v>0</v>
      </c>
      <c r="N1172" s="29">
        <v>0</v>
      </c>
      <c r="O1172" s="29">
        <v>0</v>
      </c>
      <c r="P1172" s="29">
        <v>0</v>
      </c>
      <c r="Q1172" s="29">
        <v>0</v>
      </c>
      <c r="R1172" s="29">
        <v>0</v>
      </c>
      <c r="S1172" s="29">
        <v>0</v>
      </c>
      <c r="T1172" s="29">
        <v>0</v>
      </c>
      <c r="U1172" s="29">
        <v>0</v>
      </c>
      <c r="V1172" s="29">
        <v>0</v>
      </c>
      <c r="W1172" s="29">
        <v>-3417</v>
      </c>
      <c r="X1172" s="29">
        <v>0</v>
      </c>
      <c r="Y1172" s="29">
        <v>0</v>
      </c>
      <c r="Z1172" s="29">
        <v>-1754</v>
      </c>
      <c r="AA1172" s="29">
        <v>0</v>
      </c>
      <c r="AB1172" s="29">
        <v>0</v>
      </c>
      <c r="AC1172" s="29">
        <v>0</v>
      </c>
      <c r="AD1172" s="29">
        <v>0</v>
      </c>
      <c r="AE1172" s="29">
        <v>0</v>
      </c>
      <c r="AF1172" s="29">
        <v>0</v>
      </c>
      <c r="AG1172" s="29">
        <v>0</v>
      </c>
      <c r="AH1172" s="29">
        <v>0</v>
      </c>
      <c r="AI1172" s="29">
        <v>0</v>
      </c>
      <c r="AJ1172" s="29">
        <v>0</v>
      </c>
      <c r="AK1172" s="29">
        <v>0</v>
      </c>
      <c r="AL1172" s="29">
        <v>0</v>
      </c>
      <c r="AM1172" s="29">
        <v>0</v>
      </c>
      <c r="AN1172" s="29">
        <v>0</v>
      </c>
      <c r="AO1172" s="29"/>
      <c r="AP1172" s="29"/>
      <c r="AS1172" s="29">
        <v>0</v>
      </c>
      <c r="AT1172" s="29">
        <v>0</v>
      </c>
      <c r="AU1172" s="29">
        <v>0</v>
      </c>
      <c r="AV1172" s="29">
        <v>0</v>
      </c>
      <c r="AW1172" s="29">
        <v>0</v>
      </c>
      <c r="AX1172" s="29">
        <v>0</v>
      </c>
      <c r="AY1172" s="29">
        <v>0</v>
      </c>
      <c r="AZ1172" s="29">
        <v>0</v>
      </c>
      <c r="BA1172" s="29">
        <v>0</v>
      </c>
      <c r="BB1172" s="29">
        <v>0</v>
      </c>
      <c r="BC1172" s="29">
        <v>0</v>
      </c>
      <c r="BD1172" s="29">
        <v>0</v>
      </c>
      <c r="BE1172" s="29">
        <v>0</v>
      </c>
      <c r="BF1172" s="29"/>
      <c r="BG1172" s="29">
        <v>0</v>
      </c>
      <c r="BH1172" s="29">
        <v>0</v>
      </c>
      <c r="BI1172" s="29">
        <v>0</v>
      </c>
      <c r="BJ1172" s="29">
        <v>0</v>
      </c>
      <c r="BK1172" s="11">
        <f t="shared" si="4395"/>
        <v>-3417</v>
      </c>
      <c r="BL1172" s="11">
        <f t="shared" si="4396"/>
        <v>-1754</v>
      </c>
      <c r="BM1172" s="11">
        <f t="shared" si="4397"/>
        <v>0</v>
      </c>
      <c r="BN1172" s="11">
        <f t="shared" si="4383"/>
        <v>0</v>
      </c>
      <c r="BO1172" s="11">
        <f t="shared" si="4384"/>
        <v>0</v>
      </c>
      <c r="BP1172" s="29"/>
    </row>
    <row r="1173" spans="2:81">
      <c r="B1173" t="s">
        <v>607</v>
      </c>
      <c r="D1173" s="29">
        <v>121</v>
      </c>
      <c r="E1173" s="29">
        <v>13128</v>
      </c>
      <c r="F1173" s="29">
        <v>25</v>
      </c>
      <c r="G1173" s="29">
        <v>610</v>
      </c>
      <c r="H1173" s="29">
        <v>24977</v>
      </c>
      <c r="I1173" s="29">
        <v>17069</v>
      </c>
      <c r="J1173" s="29">
        <v>547</v>
      </c>
      <c r="K1173" s="11">
        <v>1751</v>
      </c>
      <c r="L1173" s="29">
        <v>3954</v>
      </c>
      <c r="M1173" s="29">
        <v>3229</v>
      </c>
      <c r="N1173" s="29">
        <v>0</v>
      </c>
      <c r="O1173" s="11">
        <v>0</v>
      </c>
      <c r="P1173" s="29">
        <v>0</v>
      </c>
      <c r="Q1173" s="29">
        <v>0</v>
      </c>
      <c r="R1173" s="29">
        <v>0</v>
      </c>
      <c r="S1173" s="11">
        <f t="shared" ref="S1173:S1179" si="4398">+BJ1173-SUM(P1173:R1173)</f>
        <v>0</v>
      </c>
      <c r="T1173" s="29">
        <v>0</v>
      </c>
      <c r="U1173" s="29">
        <v>0</v>
      </c>
      <c r="V1173" s="29">
        <v>0</v>
      </c>
      <c r="W1173" s="29">
        <v>0</v>
      </c>
      <c r="X1173" s="29">
        <v>0</v>
      </c>
      <c r="Y1173" s="29">
        <v>0</v>
      </c>
      <c r="Z1173" s="29">
        <v>0</v>
      </c>
      <c r="AA1173" s="29">
        <v>0</v>
      </c>
      <c r="AB1173" s="29">
        <v>0</v>
      </c>
      <c r="AC1173" s="29">
        <v>0</v>
      </c>
      <c r="AD1173" s="29">
        <v>0</v>
      </c>
      <c r="AE1173" s="29">
        <v>0</v>
      </c>
      <c r="AF1173" s="29">
        <v>0</v>
      </c>
      <c r="AG1173" s="29">
        <v>0</v>
      </c>
      <c r="AH1173" s="29">
        <v>0</v>
      </c>
      <c r="AI1173" s="29">
        <v>0</v>
      </c>
      <c r="AJ1173" s="29">
        <v>7073</v>
      </c>
      <c r="AK1173" s="29">
        <v>10773</v>
      </c>
      <c r="AL1173" s="29">
        <v>6352</v>
      </c>
      <c r="AM1173" s="29">
        <v>197</v>
      </c>
      <c r="AN1173" s="29">
        <v>0</v>
      </c>
      <c r="AO1173" s="29"/>
      <c r="AQ1173" s="825"/>
      <c r="AS1173" s="29">
        <v>0</v>
      </c>
      <c r="AT1173" s="29">
        <v>0</v>
      </c>
      <c r="AU1173" s="29">
        <v>0</v>
      </c>
      <c r="AV1173" s="29">
        <v>0</v>
      </c>
      <c r="AW1173" s="29">
        <v>4796</v>
      </c>
      <c r="AX1173" s="29">
        <v>4167</v>
      </c>
      <c r="AY1173" s="29">
        <v>6960</v>
      </c>
      <c r="AZ1173" s="29">
        <v>0</v>
      </c>
      <c r="BA1173" s="29">
        <v>4883</v>
      </c>
      <c r="BB1173" s="29">
        <v>10350</v>
      </c>
      <c r="BC1173" s="29">
        <v>10680</v>
      </c>
      <c r="BD1173" s="29">
        <v>13884</v>
      </c>
      <c r="BE1173" s="29">
        <v>44344</v>
      </c>
      <c r="BG1173" s="29">
        <v>13884</v>
      </c>
      <c r="BH1173" s="29">
        <v>44344</v>
      </c>
      <c r="BI1173" s="29">
        <v>7183</v>
      </c>
      <c r="BJ1173" s="29">
        <v>0</v>
      </c>
      <c r="BK1173" s="11">
        <f t="shared" si="4395"/>
        <v>0</v>
      </c>
      <c r="BL1173" s="11">
        <f t="shared" si="4396"/>
        <v>0</v>
      </c>
      <c r="BM1173" s="11">
        <f t="shared" si="4397"/>
        <v>0</v>
      </c>
      <c r="BN1173" s="11">
        <f t="shared" si="4383"/>
        <v>0</v>
      </c>
      <c r="BO1173" s="11">
        <f t="shared" si="4384"/>
        <v>24395</v>
      </c>
      <c r="BP1173" s="29"/>
      <c r="BT1173" s="852"/>
      <c r="BU1173" s="852"/>
      <c r="BV1173" s="852"/>
      <c r="BW1173" s="852"/>
      <c r="BX1173" s="852"/>
      <c r="BY1173" s="852"/>
      <c r="BZ1173" s="852"/>
      <c r="CA1173" s="852"/>
      <c r="CB1173" s="852"/>
      <c r="CC1173" s="852"/>
    </row>
    <row r="1174" spans="2:81" ht="10.5">
      <c r="B1174" t="s">
        <v>608</v>
      </c>
      <c r="D1174" s="29">
        <v>4890</v>
      </c>
      <c r="E1174" s="29">
        <v>-7031</v>
      </c>
      <c r="F1174" s="29">
        <v>2622</v>
      </c>
      <c r="G1174" s="29">
        <v>6714</v>
      </c>
      <c r="H1174" s="29">
        <v>-3390</v>
      </c>
      <c r="I1174" s="29">
        <v>-3755</v>
      </c>
      <c r="J1174" s="29">
        <v>-1302</v>
      </c>
      <c r="K1174" s="11">
        <v>3484</v>
      </c>
      <c r="L1174" s="29">
        <v>-3710</v>
      </c>
      <c r="M1174" s="29">
        <v>3759</v>
      </c>
      <c r="N1174" s="29">
        <v>-7373</v>
      </c>
      <c r="O1174" s="11">
        <v>0</v>
      </c>
      <c r="P1174" s="29">
        <v>0</v>
      </c>
      <c r="Q1174" s="29">
        <v>0</v>
      </c>
      <c r="R1174" s="29">
        <v>0</v>
      </c>
      <c r="S1174" s="11">
        <f t="shared" si="4398"/>
        <v>0</v>
      </c>
      <c r="T1174" s="29">
        <v>0</v>
      </c>
      <c r="U1174" s="29">
        <v>0</v>
      </c>
      <c r="V1174" s="29">
        <v>0</v>
      </c>
      <c r="W1174" s="29">
        <v>0</v>
      </c>
      <c r="X1174" s="29">
        <v>0</v>
      </c>
      <c r="Y1174" s="29">
        <v>0</v>
      </c>
      <c r="Z1174" s="29">
        <v>0</v>
      </c>
      <c r="AA1174" s="29">
        <v>0</v>
      </c>
      <c r="AB1174" s="29">
        <v>0</v>
      </c>
      <c r="AC1174" s="29">
        <v>0</v>
      </c>
      <c r="AD1174" s="29">
        <v>0</v>
      </c>
      <c r="AE1174" s="29">
        <v>0</v>
      </c>
      <c r="AF1174" s="29">
        <v>0</v>
      </c>
      <c r="AG1174" s="29">
        <v>0</v>
      </c>
      <c r="AH1174" s="29">
        <v>0</v>
      </c>
      <c r="AI1174" s="29">
        <v>0</v>
      </c>
      <c r="AJ1174" s="29">
        <v>0</v>
      </c>
      <c r="AK1174" s="29">
        <v>0</v>
      </c>
      <c r="AL1174" s="29">
        <v>0</v>
      </c>
      <c r="AM1174" s="29">
        <v>0</v>
      </c>
      <c r="AN1174" s="29">
        <v>0</v>
      </c>
      <c r="AO1174" s="29"/>
      <c r="AP1174" s="29"/>
      <c r="AS1174" s="29">
        <v>0</v>
      </c>
      <c r="AT1174" s="29">
        <v>0</v>
      </c>
      <c r="AU1174" s="29">
        <v>0</v>
      </c>
      <c r="AV1174" s="29">
        <v>0</v>
      </c>
      <c r="AW1174" s="29">
        <v>1178</v>
      </c>
      <c r="AX1174" s="29">
        <v>-991</v>
      </c>
      <c r="AY1174" s="29">
        <v>-186</v>
      </c>
      <c r="AZ1174" s="29">
        <v>0</v>
      </c>
      <c r="BA1174" s="29">
        <v>0</v>
      </c>
      <c r="BB1174" s="29">
        <v>500</v>
      </c>
      <c r="BC1174" s="29">
        <v>4481</v>
      </c>
      <c r="BD1174" s="29">
        <v>7195</v>
      </c>
      <c r="BE1174" s="29">
        <v>-4963</v>
      </c>
      <c r="BG1174" s="29">
        <v>7195</v>
      </c>
      <c r="BH1174" s="29">
        <v>-4963</v>
      </c>
      <c r="BI1174" s="29">
        <v>-7324</v>
      </c>
      <c r="BJ1174" s="29">
        <v>0</v>
      </c>
      <c r="BK1174" s="11">
        <f t="shared" si="4395"/>
        <v>0</v>
      </c>
      <c r="BL1174" s="11">
        <f t="shared" si="4396"/>
        <v>0</v>
      </c>
      <c r="BM1174" s="11">
        <f t="shared" si="4397"/>
        <v>0</v>
      </c>
      <c r="BN1174" s="11">
        <f t="shared" si="4383"/>
        <v>0</v>
      </c>
      <c r="BO1174" s="11">
        <f t="shared" si="4384"/>
        <v>0</v>
      </c>
      <c r="BP1174" s="29"/>
      <c r="BT1174" s="1"/>
      <c r="BU1174" s="1"/>
      <c r="BV1174" s="1"/>
      <c r="BW1174" s="1"/>
      <c r="BX1174" s="1"/>
      <c r="BY1174" s="1"/>
      <c r="BZ1174" s="1"/>
      <c r="CA1174" s="1"/>
      <c r="CB1174" s="1"/>
      <c r="CC1174" s="1"/>
    </row>
    <row r="1175" spans="2:81">
      <c r="B1175" t="s">
        <v>609</v>
      </c>
      <c r="D1175" s="29">
        <v>219</v>
      </c>
      <c r="E1175" s="29">
        <v>117</v>
      </c>
      <c r="F1175" s="29">
        <v>159</v>
      </c>
      <c r="G1175" s="29">
        <v>173</v>
      </c>
      <c r="H1175" s="29">
        <v>241</v>
      </c>
      <c r="I1175" s="29">
        <v>131</v>
      </c>
      <c r="J1175" s="29">
        <v>179</v>
      </c>
      <c r="K1175" s="11">
        <v>221</v>
      </c>
      <c r="L1175" s="29">
        <v>307</v>
      </c>
      <c r="M1175" s="29">
        <v>189</v>
      </c>
      <c r="N1175" s="29">
        <v>251</v>
      </c>
      <c r="O1175" s="11">
        <v>255</v>
      </c>
      <c r="P1175" s="29">
        <v>360</v>
      </c>
      <c r="Q1175" s="29">
        <v>200</v>
      </c>
      <c r="R1175" s="29">
        <v>274</v>
      </c>
      <c r="S1175" s="11">
        <f t="shared" si="4398"/>
        <v>308</v>
      </c>
      <c r="T1175" s="29">
        <v>427</v>
      </c>
      <c r="U1175" s="29">
        <v>234</v>
      </c>
      <c r="V1175" s="29">
        <v>342</v>
      </c>
      <c r="W1175" s="29">
        <v>340</v>
      </c>
      <c r="X1175" s="29">
        <v>545</v>
      </c>
      <c r="Y1175" s="29">
        <v>302</v>
      </c>
      <c r="Z1175" s="29">
        <v>396</v>
      </c>
      <c r="AA1175" s="29">
        <v>450</v>
      </c>
      <c r="AB1175" s="29">
        <v>612</v>
      </c>
      <c r="AC1175" s="29">
        <v>291</v>
      </c>
      <c r="AD1175" s="29">
        <v>477</v>
      </c>
      <c r="AE1175" s="29">
        <v>461</v>
      </c>
      <c r="AF1175" s="29">
        <v>575</v>
      </c>
      <c r="AG1175" s="29">
        <v>243</v>
      </c>
      <c r="AH1175" s="29">
        <v>536</v>
      </c>
      <c r="AI1175" s="29">
        <v>512</v>
      </c>
      <c r="AJ1175" s="29">
        <v>685</v>
      </c>
      <c r="AK1175" s="29">
        <v>261</v>
      </c>
      <c r="AL1175" s="29">
        <v>522</v>
      </c>
      <c r="AM1175" s="29">
        <v>534</v>
      </c>
      <c r="AN1175" s="29">
        <v>706</v>
      </c>
      <c r="AO1175" s="29"/>
      <c r="AQ1175" s="825"/>
      <c r="AS1175" s="29">
        <v>3109</v>
      </c>
      <c r="AT1175" s="29">
        <v>2101</v>
      </c>
      <c r="AU1175" s="29">
        <v>6782</v>
      </c>
      <c r="AV1175" s="29">
        <v>3494</v>
      </c>
      <c r="AW1175" s="29">
        <v>579</v>
      </c>
      <c r="AX1175" s="29">
        <v>2311</v>
      </c>
      <c r="AY1175" s="29">
        <v>2422</v>
      </c>
      <c r="AZ1175" s="29">
        <v>1913</v>
      </c>
      <c r="BA1175" s="29">
        <v>931</v>
      </c>
      <c r="BB1175" s="29">
        <v>607</v>
      </c>
      <c r="BC1175" s="29">
        <v>634</v>
      </c>
      <c r="BD1175" s="29">
        <v>668</v>
      </c>
      <c r="BE1175" s="29">
        <v>772</v>
      </c>
      <c r="BG1175" s="29">
        <v>668</v>
      </c>
      <c r="BH1175" s="29">
        <v>772</v>
      </c>
      <c r="BI1175" s="29">
        <v>1002</v>
      </c>
      <c r="BJ1175" s="29">
        <v>1142</v>
      </c>
      <c r="BK1175" s="11">
        <f t="shared" si="4395"/>
        <v>1343</v>
      </c>
      <c r="BL1175" s="11">
        <f t="shared" si="4396"/>
        <v>1693</v>
      </c>
      <c r="BM1175" s="11">
        <f t="shared" si="4397"/>
        <v>1841</v>
      </c>
      <c r="BN1175" s="11">
        <f t="shared" si="4383"/>
        <v>1866</v>
      </c>
      <c r="BO1175" s="11">
        <f t="shared" si="4384"/>
        <v>2002</v>
      </c>
      <c r="BP1175" s="29"/>
    </row>
    <row r="1176" spans="2:81">
      <c r="B1176" t="s">
        <v>610</v>
      </c>
      <c r="D1176" s="29">
        <v>-4757</v>
      </c>
      <c r="E1176" s="29">
        <v>-3678</v>
      </c>
      <c r="F1176" s="29">
        <v>-3857</v>
      </c>
      <c r="G1176" s="29">
        <v>-3677</v>
      </c>
      <c r="H1176" s="29">
        <v>-4362</v>
      </c>
      <c r="I1176" s="29">
        <v>-3599</v>
      </c>
      <c r="J1176" s="29">
        <v>-2062</v>
      </c>
      <c r="K1176" s="11">
        <v>-1765</v>
      </c>
      <c r="L1176" s="29">
        <v>-2570</v>
      </c>
      <c r="M1176" s="29">
        <v>-2008</v>
      </c>
      <c r="N1176" s="29">
        <v>-3781</v>
      </c>
      <c r="O1176" s="11">
        <v>-2362</v>
      </c>
      <c r="P1176" s="29">
        <v>-3744</v>
      </c>
      <c r="Q1176" s="29">
        <v>-6413</v>
      </c>
      <c r="R1176" s="29">
        <v>-4753</v>
      </c>
      <c r="S1176" s="11">
        <f t="shared" si="4398"/>
        <v>-4633</v>
      </c>
      <c r="T1176" s="29">
        <v>-4912</v>
      </c>
      <c r="U1176" s="29">
        <v>-5206</v>
      </c>
      <c r="V1176" s="29">
        <v>-7059</v>
      </c>
      <c r="W1176" s="29">
        <v>-5791</v>
      </c>
      <c r="X1176" s="29">
        <v>-6743</v>
      </c>
      <c r="Y1176" s="29">
        <v>-6535</v>
      </c>
      <c r="Z1176" s="29">
        <v>-6930</v>
      </c>
      <c r="AA1176" s="29">
        <v>-7177</v>
      </c>
      <c r="AB1176" s="29">
        <v>-7684</v>
      </c>
      <c r="AC1176" s="29">
        <v>-7433</v>
      </c>
      <c r="AD1176" s="29">
        <v>-8822</v>
      </c>
      <c r="AE1176" s="29">
        <v>-8757</v>
      </c>
      <c r="AF1176" s="29">
        <v>-5573</v>
      </c>
      <c r="AG1176" s="29">
        <v>-5459</v>
      </c>
      <c r="AH1176" s="29">
        <v>-5509</v>
      </c>
      <c r="AI1176" s="29">
        <v>-5704</v>
      </c>
      <c r="AJ1176" s="29">
        <v>-4831</v>
      </c>
      <c r="AK1176" s="29">
        <v>-4000</v>
      </c>
      <c r="AL1176" s="29">
        <v>-4213</v>
      </c>
      <c r="AM1176" s="29">
        <v>-4210</v>
      </c>
      <c r="AN1176" s="29">
        <v>-4107</v>
      </c>
      <c r="AO1176" s="29"/>
      <c r="AP1176" s="825"/>
      <c r="AQ1176" s="825"/>
      <c r="AR1176" s="29"/>
      <c r="AS1176" s="29">
        <v>-8057</v>
      </c>
      <c r="AT1176" s="29">
        <v>-19207</v>
      </c>
      <c r="AU1176" s="29">
        <v>-27575</v>
      </c>
      <c r="AV1176" s="29">
        <v>-12533</v>
      </c>
      <c r="AW1176" s="29">
        <v>-9353</v>
      </c>
      <c r="AX1176" s="29">
        <v>-11269</v>
      </c>
      <c r="AY1176" s="29">
        <v>-11555</v>
      </c>
      <c r="AZ1176" s="29">
        <v>-5029</v>
      </c>
      <c r="BA1176" s="29">
        <v>-5360</v>
      </c>
      <c r="BB1176" s="29">
        <v>-7316</v>
      </c>
      <c r="BC1176" s="29">
        <v>-14443</v>
      </c>
      <c r="BD1176" s="29">
        <v>-15969</v>
      </c>
      <c r="BE1176" s="29">
        <v>-11788</v>
      </c>
      <c r="BG1176" s="29">
        <v>-15969</v>
      </c>
      <c r="BH1176" s="29">
        <v>-11788</v>
      </c>
      <c r="BI1176" s="29">
        <v>-10721</v>
      </c>
      <c r="BJ1176" s="29">
        <v>-19543</v>
      </c>
      <c r="BK1176" s="11">
        <f t="shared" si="4395"/>
        <v>-22968</v>
      </c>
      <c r="BL1176" s="11">
        <f t="shared" si="4396"/>
        <v>-27385</v>
      </c>
      <c r="BM1176" s="11">
        <f t="shared" si="4397"/>
        <v>-32696</v>
      </c>
      <c r="BN1176" s="11">
        <f t="shared" si="4383"/>
        <v>-22245</v>
      </c>
      <c r="BO1176" s="11">
        <f t="shared" si="4384"/>
        <v>-17254</v>
      </c>
      <c r="BP1176" s="29"/>
    </row>
    <row r="1177" spans="2:81">
      <c r="B1177" t="s">
        <v>611</v>
      </c>
      <c r="D1177" s="29">
        <v>-2475</v>
      </c>
      <c r="E1177" s="29">
        <v>-2868</v>
      </c>
      <c r="F1177" s="29">
        <v>-2842</v>
      </c>
      <c r="G1177" s="29">
        <v>-2821</v>
      </c>
      <c r="H1177" s="29">
        <v>-2800</v>
      </c>
      <c r="I1177" s="29">
        <v>-3024</v>
      </c>
      <c r="J1177" s="29">
        <v>-3012</v>
      </c>
      <c r="K1177" s="11">
        <v>-3009</v>
      </c>
      <c r="L1177" s="29">
        <v>-3003</v>
      </c>
      <c r="M1177" s="29">
        <v>-3238</v>
      </c>
      <c r="N1177" s="29">
        <v>-3232</v>
      </c>
      <c r="O1177" s="11">
        <v>-3226</v>
      </c>
      <c r="P1177" s="29">
        <v>-3220</v>
      </c>
      <c r="Q1177" s="29">
        <v>-3544</v>
      </c>
      <c r="R1177" s="29">
        <v>-3526</v>
      </c>
      <c r="S1177" s="11">
        <f t="shared" si="4398"/>
        <v>-3521</v>
      </c>
      <c r="T1177" s="29">
        <v>-3510</v>
      </c>
      <c r="U1177" s="29">
        <v>-3886</v>
      </c>
      <c r="V1177" s="29">
        <v>-3876</v>
      </c>
      <c r="W1177" s="29">
        <v>-3865</v>
      </c>
      <c r="X1177" s="29">
        <v>-3856</v>
      </c>
      <c r="Y1177" s="29">
        <v>-4230</v>
      </c>
      <c r="Z1177" s="29">
        <v>-4221</v>
      </c>
      <c r="AA1177" s="29">
        <v>-4214</v>
      </c>
      <c r="AB1177" s="29">
        <v>-4206</v>
      </c>
      <c r="AC1177" s="29">
        <v>-4652</v>
      </c>
      <c r="AD1177" s="29">
        <v>-4645</v>
      </c>
      <c r="AE1177" s="29">
        <v>-4632</v>
      </c>
      <c r="AF1177" s="29">
        <v>-4621</v>
      </c>
      <c r="AG1177" s="29">
        <v>-5066</v>
      </c>
      <c r="AH1177" s="29">
        <v>-5059</v>
      </c>
      <c r="AI1177" s="29">
        <v>-5054</v>
      </c>
      <c r="AJ1177" s="29">
        <v>-5051</v>
      </c>
      <c r="AK1177" s="29">
        <v>-5574</v>
      </c>
      <c r="AL1177" s="29">
        <v>-5572</v>
      </c>
      <c r="AM1177" s="29">
        <v>-5574</v>
      </c>
      <c r="AN1177" s="29">
        <v>-5574</v>
      </c>
      <c r="AO1177" s="29"/>
      <c r="AP1177" s="825"/>
      <c r="AQ1177" s="825"/>
      <c r="AR1177" s="29"/>
      <c r="AS1177" s="29">
        <v>-36112</v>
      </c>
      <c r="AT1177" s="29">
        <v>-3545</v>
      </c>
      <c r="AU1177" s="29">
        <v>-3805</v>
      </c>
      <c r="AV1177" s="29">
        <v>-4015</v>
      </c>
      <c r="AW1177" s="29">
        <v>-4468</v>
      </c>
      <c r="AX1177" s="29">
        <v>-4578</v>
      </c>
      <c r="AY1177" s="29">
        <v>-5180</v>
      </c>
      <c r="AZ1177" s="29">
        <v>-6385</v>
      </c>
      <c r="BA1177" s="29">
        <v>-7455</v>
      </c>
      <c r="BB1177" s="29">
        <v>-8879</v>
      </c>
      <c r="BC1177" s="29">
        <v>-9882</v>
      </c>
      <c r="BD1177" s="29">
        <v>-11006</v>
      </c>
      <c r="BE1177" s="29">
        <v>-11845</v>
      </c>
      <c r="BG1177" s="29">
        <v>-11006</v>
      </c>
      <c r="BH1177" s="29">
        <v>-11845</v>
      </c>
      <c r="BI1177" s="29">
        <v>-12699</v>
      </c>
      <c r="BJ1177" s="29">
        <v>-13811</v>
      </c>
      <c r="BK1177" s="11">
        <f t="shared" si="4395"/>
        <v>-15137</v>
      </c>
      <c r="BL1177" s="11">
        <f t="shared" si="4396"/>
        <v>-16521</v>
      </c>
      <c r="BM1177" s="11">
        <f t="shared" si="4397"/>
        <v>-18135</v>
      </c>
      <c r="BN1177" s="11">
        <f t="shared" si="4383"/>
        <v>-19800</v>
      </c>
      <c r="BO1177" s="11">
        <f t="shared" si="4384"/>
        <v>-21771</v>
      </c>
      <c r="BP1177" s="29"/>
    </row>
    <row r="1178" spans="2:81">
      <c r="B1178" t="s">
        <v>612</v>
      </c>
      <c r="D1178" s="29">
        <v>0</v>
      </c>
      <c r="E1178" s="29">
        <v>0</v>
      </c>
      <c r="F1178" s="29">
        <v>0</v>
      </c>
      <c r="G1178" s="29">
        <v>0</v>
      </c>
      <c r="H1178" s="29">
        <v>0</v>
      </c>
      <c r="I1178" s="29">
        <v>0</v>
      </c>
      <c r="J1178" s="29">
        <v>0</v>
      </c>
      <c r="K1178" s="11">
        <v>0</v>
      </c>
      <c r="L1178" s="29">
        <v>0</v>
      </c>
      <c r="M1178" s="29">
        <v>0</v>
      </c>
      <c r="N1178" s="29">
        <v>0</v>
      </c>
      <c r="O1178" s="11">
        <v>0</v>
      </c>
      <c r="P1178" s="29">
        <v>0</v>
      </c>
      <c r="Q1178" s="29">
        <v>0</v>
      </c>
      <c r="R1178" s="29">
        <v>0</v>
      </c>
      <c r="S1178" s="11">
        <f t="shared" si="4398"/>
        <v>0</v>
      </c>
      <c r="T1178" s="29">
        <v>0</v>
      </c>
      <c r="U1178" s="29">
        <v>0</v>
      </c>
      <c r="V1178" s="29">
        <v>0</v>
      </c>
      <c r="W1178" s="29">
        <v>0</v>
      </c>
      <c r="X1178" s="29">
        <v>0</v>
      </c>
      <c r="Y1178" s="29">
        <v>0</v>
      </c>
      <c r="Z1178" s="29">
        <v>0</v>
      </c>
      <c r="AA1178" s="29">
        <v>0</v>
      </c>
      <c r="AB1178" s="29">
        <v>0</v>
      </c>
      <c r="AC1178" s="29">
        <v>0</v>
      </c>
      <c r="AD1178" s="29">
        <v>0</v>
      </c>
      <c r="AE1178" s="29">
        <v>0</v>
      </c>
      <c r="AF1178" s="29">
        <v>0</v>
      </c>
      <c r="AG1178" s="29">
        <v>0</v>
      </c>
      <c r="AH1178" s="29">
        <v>0</v>
      </c>
      <c r="AI1178" s="29">
        <v>0</v>
      </c>
      <c r="AJ1178" s="29">
        <v>0</v>
      </c>
      <c r="AK1178" s="29">
        <v>0</v>
      </c>
      <c r="AL1178" s="29">
        <v>0</v>
      </c>
      <c r="AM1178" s="29">
        <v>0</v>
      </c>
      <c r="AN1178" s="29">
        <v>0</v>
      </c>
      <c r="AO1178" s="29"/>
      <c r="AP1178" s="29"/>
      <c r="AS1178" s="29">
        <v>0</v>
      </c>
      <c r="AT1178" s="29">
        <v>89</v>
      </c>
      <c r="AU1178" s="29">
        <v>77</v>
      </c>
      <c r="AV1178" s="29">
        <v>120</v>
      </c>
      <c r="AW1178" s="29">
        <v>52</v>
      </c>
      <c r="AX1178" s="29">
        <v>45</v>
      </c>
      <c r="AY1178" s="29">
        <v>17</v>
      </c>
      <c r="AZ1178" s="29">
        <v>93</v>
      </c>
      <c r="BA1178" s="29">
        <v>209</v>
      </c>
      <c r="BB1178" s="29">
        <v>0</v>
      </c>
      <c r="BC1178" s="29">
        <v>0</v>
      </c>
      <c r="BD1178" s="29">
        <v>0</v>
      </c>
      <c r="BE1178" s="29">
        <v>0</v>
      </c>
      <c r="BG1178" s="29">
        <v>0</v>
      </c>
      <c r="BH1178" s="29">
        <v>0</v>
      </c>
      <c r="BI1178" s="29">
        <v>0</v>
      </c>
      <c r="BJ1178" s="29">
        <v>0</v>
      </c>
      <c r="BK1178" s="11">
        <f t="shared" si="4395"/>
        <v>0</v>
      </c>
      <c r="BL1178" s="11">
        <f t="shared" si="4396"/>
        <v>0</v>
      </c>
      <c r="BM1178" s="11">
        <f t="shared" si="4397"/>
        <v>0</v>
      </c>
      <c r="BN1178" s="11">
        <f t="shared" si="4383"/>
        <v>0</v>
      </c>
      <c r="BO1178" s="11">
        <f t="shared" si="4384"/>
        <v>0</v>
      </c>
      <c r="BP1178" s="29"/>
    </row>
    <row r="1179" spans="2:81" ht="11.45">
      <c r="B1179" t="s">
        <v>575</v>
      </c>
      <c r="D1179" s="30">
        <v>-178</v>
      </c>
      <c r="E1179" s="30">
        <v>-65</v>
      </c>
      <c r="F1179" s="30">
        <v>-123</v>
      </c>
      <c r="G1179" s="30">
        <v>-3</v>
      </c>
      <c r="H1179" s="30">
        <v>-112</v>
      </c>
      <c r="I1179" s="30">
        <v>312</v>
      </c>
      <c r="J1179" s="30">
        <v>-375</v>
      </c>
      <c r="K1179" s="34">
        <v>-15</v>
      </c>
      <c r="L1179" s="30">
        <v>-150</v>
      </c>
      <c r="M1179" s="30">
        <v>-156</v>
      </c>
      <c r="N1179" s="30">
        <v>-640</v>
      </c>
      <c r="O1179" s="34">
        <v>-25</v>
      </c>
      <c r="P1179" s="30">
        <v>-780</v>
      </c>
      <c r="Q1179" s="30">
        <v>-459</v>
      </c>
      <c r="R1179" s="30">
        <v>404</v>
      </c>
      <c r="S1179" s="34">
        <f t="shared" si="4398"/>
        <v>160</v>
      </c>
      <c r="T1179" s="30">
        <v>286</v>
      </c>
      <c r="U1179" s="30">
        <v>-39</v>
      </c>
      <c r="V1179" s="30">
        <v>-1052</v>
      </c>
      <c r="W1179" s="30">
        <v>471</v>
      </c>
      <c r="X1179" s="30">
        <v>-235</v>
      </c>
      <c r="Y1179" s="30">
        <v>79</v>
      </c>
      <c r="Z1179" s="30">
        <v>-183</v>
      </c>
      <c r="AA1179" s="30">
        <v>-430</v>
      </c>
      <c r="AB1179" s="30">
        <v>-172</v>
      </c>
      <c r="AC1179" s="30">
        <v>-192</v>
      </c>
      <c r="AD1179" s="30">
        <v>-158</v>
      </c>
      <c r="AE1179" s="30">
        <v>-341</v>
      </c>
      <c r="AF1179" s="30">
        <v>-264</v>
      </c>
      <c r="AG1179" s="30">
        <v>-317</v>
      </c>
      <c r="AH1179" s="30">
        <v>-258</v>
      </c>
      <c r="AI1179" s="30">
        <v>-167</v>
      </c>
      <c r="AJ1179" s="30">
        <v>-307</v>
      </c>
      <c r="AK1179" s="30">
        <v>-201</v>
      </c>
      <c r="AL1179" s="30">
        <v>-498</v>
      </c>
      <c r="AM1179" s="30">
        <v>-303</v>
      </c>
      <c r="AN1179" s="30">
        <v>-889</v>
      </c>
      <c r="AO1179" s="29"/>
      <c r="AP1179" s="29"/>
      <c r="AQ1179" s="29"/>
      <c r="AR1179" s="29"/>
      <c r="AS1179" s="30">
        <v>-18</v>
      </c>
      <c r="AT1179" s="30">
        <v>0</v>
      </c>
      <c r="AU1179" s="30">
        <v>-23</v>
      </c>
      <c r="AV1179" s="30">
        <v>0</v>
      </c>
      <c r="AW1179" s="30">
        <v>-19</v>
      </c>
      <c r="AX1179" s="30">
        <v>10</v>
      </c>
      <c r="AY1179" s="30">
        <v>-40</v>
      </c>
      <c r="AZ1179" s="30">
        <v>0</v>
      </c>
      <c r="BA1179" s="30">
        <v>-10</v>
      </c>
      <c r="BB1179" s="30">
        <v>-39</v>
      </c>
      <c r="BC1179" s="30">
        <v>362</v>
      </c>
      <c r="BD1179" s="30">
        <v>-369</v>
      </c>
      <c r="BE1179" s="30">
        <v>-190</v>
      </c>
      <c r="BF1179" s="953"/>
      <c r="BG1179" s="30">
        <v>-369</v>
      </c>
      <c r="BH1179" s="30">
        <v>-190</v>
      </c>
      <c r="BI1179" s="30">
        <v>-971</v>
      </c>
      <c r="BJ1179" s="30">
        <v>-675</v>
      </c>
      <c r="BK1179" s="34">
        <f t="shared" si="4395"/>
        <v>-334</v>
      </c>
      <c r="BL1179" s="34">
        <f t="shared" si="4396"/>
        <v>-769</v>
      </c>
      <c r="BM1179" s="34">
        <f t="shared" si="4397"/>
        <v>-863</v>
      </c>
      <c r="BN1179" s="34">
        <f t="shared" si="4383"/>
        <v>-1006</v>
      </c>
      <c r="BO1179" s="34">
        <f t="shared" si="4384"/>
        <v>-1309</v>
      </c>
      <c r="BP1179" s="30"/>
    </row>
    <row r="1180" spans="2:81" s="1" customFormat="1" ht="10.5">
      <c r="B1180" s="837" t="s">
        <v>613</v>
      </c>
      <c r="D1180" s="838">
        <f t="shared" ref="D1180:AN1180" si="4399">SUM(D1170:D1179)</f>
        <v>-3930</v>
      </c>
      <c r="E1180" s="838">
        <f t="shared" si="4399"/>
        <v>-518</v>
      </c>
      <c r="F1180" s="838">
        <f t="shared" si="4399"/>
        <v>-4916</v>
      </c>
      <c r="G1180" s="838">
        <f t="shared" si="4399"/>
        <v>971</v>
      </c>
      <c r="H1180" s="838">
        <f t="shared" si="4399"/>
        <v>14329</v>
      </c>
      <c r="I1180" s="838">
        <f t="shared" si="4399"/>
        <v>3016</v>
      </c>
      <c r="J1180" s="838">
        <f t="shared" si="4399"/>
        <v>-6236</v>
      </c>
      <c r="K1180" s="849">
        <f t="shared" si="4399"/>
        <v>-2701</v>
      </c>
      <c r="L1180" s="838">
        <f t="shared" si="4399"/>
        <v>-6341</v>
      </c>
      <c r="M1180" s="838">
        <f t="shared" si="4399"/>
        <v>-1552</v>
      </c>
      <c r="N1180" s="838">
        <f t="shared" si="4399"/>
        <v>-19658</v>
      </c>
      <c r="O1180" s="849">
        <f t="shared" si="4399"/>
        <v>-6039</v>
      </c>
      <c r="P1180" s="838">
        <f t="shared" si="4399"/>
        <v>-7384</v>
      </c>
      <c r="Q1180" s="838">
        <f t="shared" si="4399"/>
        <v>-13216</v>
      </c>
      <c r="R1180" s="838">
        <f t="shared" si="4399"/>
        <v>-7601</v>
      </c>
      <c r="S1180" s="849">
        <f t="shared" si="4399"/>
        <v>-8686</v>
      </c>
      <c r="T1180" s="838">
        <f t="shared" si="4399"/>
        <v>-10209</v>
      </c>
      <c r="U1180" s="838">
        <f t="shared" si="4399"/>
        <v>-8915</v>
      </c>
      <c r="V1180" s="838">
        <f t="shared" si="4399"/>
        <v>-14645</v>
      </c>
      <c r="W1180" s="838">
        <f t="shared" si="4399"/>
        <v>-12262</v>
      </c>
      <c r="X1180" s="838">
        <f t="shared" si="4399"/>
        <v>-10289</v>
      </c>
      <c r="Y1180" s="838">
        <f t="shared" si="4399"/>
        <v>-13634</v>
      </c>
      <c r="Z1180" s="838">
        <f t="shared" si="4399"/>
        <v>-13192</v>
      </c>
      <c r="AA1180" s="838">
        <f t="shared" si="4399"/>
        <v>-11371</v>
      </c>
      <c r="AB1180" s="838">
        <f t="shared" si="4399"/>
        <v>-16276</v>
      </c>
      <c r="AC1180" s="838">
        <f t="shared" si="4399"/>
        <v>-11986</v>
      </c>
      <c r="AD1180" s="838">
        <f t="shared" si="4399"/>
        <v>-17345</v>
      </c>
      <c r="AE1180" s="838">
        <f t="shared" si="4399"/>
        <v>-13269</v>
      </c>
      <c r="AF1180" s="838">
        <f t="shared" si="4399"/>
        <v>-10883</v>
      </c>
      <c r="AG1180" s="838">
        <f t="shared" si="4399"/>
        <v>-11349</v>
      </c>
      <c r="AH1180" s="838">
        <f t="shared" si="4399"/>
        <v>-10290</v>
      </c>
      <c r="AI1180" s="838">
        <f t="shared" si="4399"/>
        <v>-11413</v>
      </c>
      <c r="AJ1180" s="838">
        <f t="shared" si="4399"/>
        <v>14761</v>
      </c>
      <c r="AK1180" s="838">
        <f t="shared" si="4399"/>
        <v>-10147</v>
      </c>
      <c r="AL1180" s="838">
        <f t="shared" si="4399"/>
        <v>-18808</v>
      </c>
      <c r="AM1180" s="838">
        <f t="shared" si="4399"/>
        <v>-23563</v>
      </c>
      <c r="AN1180" s="838">
        <f t="shared" si="4399"/>
        <v>-16576</v>
      </c>
      <c r="AO1180" s="29"/>
      <c r="AR1180" s="29"/>
      <c r="AS1180" s="838">
        <f t="shared" ref="AS1180:BE1180" si="4400">SUM(AS1170:AS1179)</f>
        <v>-41078</v>
      </c>
      <c r="AT1180" s="838">
        <f t="shared" si="4400"/>
        <v>-20562</v>
      </c>
      <c r="AU1180" s="838">
        <f t="shared" si="4400"/>
        <v>-24544</v>
      </c>
      <c r="AV1180" s="838">
        <f t="shared" si="4400"/>
        <v>-12934</v>
      </c>
      <c r="AW1180" s="838">
        <f t="shared" si="4400"/>
        <v>-7463</v>
      </c>
      <c r="AX1180" s="838">
        <f t="shared" si="4400"/>
        <v>-13291</v>
      </c>
      <c r="AY1180" s="838">
        <f t="shared" si="4400"/>
        <v>-8376</v>
      </c>
      <c r="AZ1180" s="838">
        <f t="shared" si="4400"/>
        <v>-9408</v>
      </c>
      <c r="BA1180" s="838">
        <f t="shared" si="4400"/>
        <v>-8148</v>
      </c>
      <c r="BB1180" s="838">
        <f t="shared" si="4400"/>
        <v>-8665</v>
      </c>
      <c r="BC1180" s="838">
        <f t="shared" si="4400"/>
        <v>-9668</v>
      </c>
      <c r="BD1180" s="838">
        <f t="shared" si="4400"/>
        <v>-8393</v>
      </c>
      <c r="BE1180" s="838">
        <f t="shared" si="4400"/>
        <v>8408</v>
      </c>
      <c r="BG1180" s="838">
        <f>SUM(BG1170:BG1179)</f>
        <v>-8393</v>
      </c>
      <c r="BH1180" s="838">
        <f>SUM(BH1170:BH1179)</f>
        <v>8408</v>
      </c>
      <c r="BI1180" s="838">
        <f>SUM(BI1170:BI1179)</f>
        <v>-33590</v>
      </c>
      <c r="BJ1180" s="838">
        <f>SUM(BJ1170:BJ1179)</f>
        <v>-36887</v>
      </c>
      <c r="BK1180" s="838">
        <f>SUM(BK1170:BK1179)</f>
        <v>-46031</v>
      </c>
      <c r="BL1180" s="849">
        <f t="shared" si="4396"/>
        <v>-48486</v>
      </c>
      <c r="BM1180" s="849">
        <f>+SUM(BM1170:BM1179)</f>
        <v>-58876</v>
      </c>
      <c r="BN1180" s="849">
        <f t="shared" si="4383"/>
        <v>-43935</v>
      </c>
      <c r="BO1180" s="849">
        <f t="shared" si="4384"/>
        <v>-37757</v>
      </c>
      <c r="BP1180" s="838"/>
    </row>
    <row r="1181" spans="2:81" ht="10.5">
      <c r="K1181" s="100"/>
      <c r="O1181" s="100"/>
      <c r="S1181" s="100"/>
      <c r="AM1181" s="29"/>
      <c r="AN1181" s="29"/>
      <c r="AO1181" s="29"/>
      <c r="AP1181" s="29"/>
      <c r="AQ1181" s="29"/>
      <c r="AR1181" s="29"/>
      <c r="BK1181" s="100"/>
      <c r="BL1181" s="100"/>
      <c r="BT1181" s="1"/>
      <c r="BU1181" s="1"/>
      <c r="BV1181" s="1"/>
      <c r="BW1181" s="1"/>
      <c r="BX1181" s="1"/>
      <c r="BY1181" s="1"/>
      <c r="BZ1181" s="1"/>
      <c r="CA1181" s="1"/>
      <c r="CB1181" s="1"/>
      <c r="CC1181" s="1"/>
    </row>
    <row r="1182" spans="2:81" s="852" customFormat="1" ht="11.45">
      <c r="B1182" t="s">
        <v>614</v>
      </c>
      <c r="D1182" s="939">
        <v>-44</v>
      </c>
      <c r="E1182" s="939">
        <v>-18</v>
      </c>
      <c r="F1182" s="939">
        <v>17</v>
      </c>
      <c r="G1182" s="939">
        <v>-22</v>
      </c>
      <c r="H1182" s="939">
        <v>10</v>
      </c>
      <c r="I1182" s="939">
        <v>-18</v>
      </c>
      <c r="J1182" s="939">
        <v>12</v>
      </c>
      <c r="K1182" s="940">
        <v>15</v>
      </c>
      <c r="L1182" s="939">
        <v>26</v>
      </c>
      <c r="M1182" s="939">
        <v>-17</v>
      </c>
      <c r="N1182" s="939">
        <v>25</v>
      </c>
      <c r="O1182" s="940">
        <v>16</v>
      </c>
      <c r="P1182" s="939">
        <v>-129</v>
      </c>
      <c r="Q1182" s="939">
        <v>17</v>
      </c>
      <c r="R1182" s="939">
        <v>18</v>
      </c>
      <c r="S1182" s="940">
        <f>+BJ1182-SUM(P1182:R1182)</f>
        <v>-21</v>
      </c>
      <c r="T1182" s="939">
        <v>-72</v>
      </c>
      <c r="U1182" s="939">
        <f>-118-V1182-T1182</f>
        <v>18</v>
      </c>
      <c r="V1182" s="939">
        <v>-64</v>
      </c>
      <c r="W1182" s="939">
        <v>-83</v>
      </c>
      <c r="X1182" s="939">
        <v>-46</v>
      </c>
      <c r="Y1182" s="939">
        <v>14</v>
      </c>
      <c r="Z1182" s="939">
        <v>-33</v>
      </c>
      <c r="AA1182" s="939">
        <v>36</v>
      </c>
      <c r="AB1182" s="939">
        <v>-73</v>
      </c>
      <c r="AC1182" s="939">
        <v>106</v>
      </c>
      <c r="AD1182" s="939">
        <v>24</v>
      </c>
      <c r="AE1182" s="939">
        <v>-198</v>
      </c>
      <c r="AF1182" s="939">
        <v>-230</v>
      </c>
      <c r="AG1182" s="939">
        <v>88</v>
      </c>
      <c r="AH1182" s="939">
        <v>29</v>
      </c>
      <c r="AI1182" s="939">
        <v>-81</v>
      </c>
      <c r="AJ1182" s="939">
        <v>-99</v>
      </c>
      <c r="AK1182" s="939">
        <v>72</v>
      </c>
      <c r="AL1182" s="939">
        <v>-80</v>
      </c>
      <c r="AM1182" s="30">
        <v>-103</v>
      </c>
      <c r="AN1182" s="29">
        <v>122</v>
      </c>
      <c r="AO1182" s="29"/>
      <c r="AP1182" s="29"/>
      <c r="AQ1182" s="29"/>
      <c r="AR1182" s="29"/>
      <c r="AS1182" s="939">
        <v>-7</v>
      </c>
      <c r="AT1182" s="939">
        <v>18</v>
      </c>
      <c r="AU1182" s="939">
        <v>56</v>
      </c>
      <c r="AV1182" s="939">
        <v>137</v>
      </c>
      <c r="AW1182" s="939">
        <v>-67</v>
      </c>
      <c r="AX1182" s="939">
        <v>-39</v>
      </c>
      <c r="AY1182" s="939">
        <v>103</v>
      </c>
      <c r="AZ1182" s="939">
        <v>-104</v>
      </c>
      <c r="BA1182" s="939">
        <v>-8</v>
      </c>
      <c r="BB1182" s="939">
        <v>-139</v>
      </c>
      <c r="BC1182" s="939">
        <v>-73</v>
      </c>
      <c r="BD1182" s="939">
        <v>-67</v>
      </c>
      <c r="BE1182" s="939">
        <v>19</v>
      </c>
      <c r="BG1182" s="939">
        <v>-67</v>
      </c>
      <c r="BH1182" s="939">
        <v>19</v>
      </c>
      <c r="BI1182" s="939">
        <v>50</v>
      </c>
      <c r="BJ1182" s="939">
        <v>-115</v>
      </c>
      <c r="BK1182" s="940">
        <f>SUM(T1182:W1182)</f>
        <v>-201</v>
      </c>
      <c r="BL1182" s="940">
        <f t="shared" ref="BL1182:BL1183" si="4401">SUM(X1182:AA1182)</f>
        <v>-29</v>
      </c>
      <c r="BM1182" s="34">
        <f t="shared" ref="BM1182" si="4402">+SUM(AB1182:AE1182)</f>
        <v>-141</v>
      </c>
      <c r="BN1182" s="34">
        <f t="shared" si="4383"/>
        <v>-194</v>
      </c>
      <c r="BO1182" s="34">
        <f t="shared" si="4384"/>
        <v>-210</v>
      </c>
      <c r="BP1182" s="939"/>
      <c r="BT1182"/>
      <c r="BU1182"/>
      <c r="BV1182"/>
      <c r="BW1182"/>
      <c r="BX1182"/>
      <c r="BY1182"/>
      <c r="BZ1182"/>
      <c r="CA1182"/>
      <c r="CB1182"/>
      <c r="CC1182"/>
    </row>
    <row r="1183" spans="2:81" s="1" customFormat="1" ht="10.5">
      <c r="B1183" s="837" t="s">
        <v>615</v>
      </c>
      <c r="D1183" s="838">
        <f t="shared" ref="D1183:AL1183" si="4403">+D1158+D1167+D1180+D1182</f>
        <v>-164</v>
      </c>
      <c r="E1183" s="838">
        <f t="shared" si="4403"/>
        <v>1754</v>
      </c>
      <c r="F1183" s="838">
        <f t="shared" si="4403"/>
        <v>-15</v>
      </c>
      <c r="G1183" s="838">
        <f t="shared" si="4403"/>
        <v>-660</v>
      </c>
      <c r="H1183" s="838">
        <f t="shared" si="4403"/>
        <v>7418</v>
      </c>
      <c r="I1183" s="838">
        <f t="shared" si="4403"/>
        <v>-5460</v>
      </c>
      <c r="J1183" s="838">
        <f t="shared" si="4403"/>
        <v>-1755</v>
      </c>
      <c r="K1183" s="849">
        <f t="shared" si="4403"/>
        <v>950</v>
      </c>
      <c r="L1183" s="838">
        <f t="shared" si="4403"/>
        <v>-779</v>
      </c>
      <c r="M1183" s="838">
        <f t="shared" si="4403"/>
        <v>5975</v>
      </c>
      <c r="N1183" s="838">
        <f t="shared" si="4403"/>
        <v>-3638</v>
      </c>
      <c r="O1183" s="849">
        <f t="shared" si="4403"/>
        <v>2725</v>
      </c>
      <c r="P1183" s="838">
        <f t="shared" si="4403"/>
        <v>3191</v>
      </c>
      <c r="Q1183" s="838">
        <f t="shared" si="4403"/>
        <v>-8499</v>
      </c>
      <c r="R1183" s="838">
        <f t="shared" si="4403"/>
        <v>4574</v>
      </c>
      <c r="S1183" s="849">
        <f t="shared" si="4403"/>
        <v>144</v>
      </c>
      <c r="T1183" s="838">
        <f t="shared" si="4403"/>
        <v>1761</v>
      </c>
      <c r="U1183" s="838">
        <f t="shared" si="4403"/>
        <v>-4253</v>
      </c>
      <c r="V1183" s="838">
        <f t="shared" si="4403"/>
        <v>2846</v>
      </c>
      <c r="W1183" s="838">
        <f t="shared" si="4403"/>
        <v>1866</v>
      </c>
      <c r="X1183" s="838">
        <f t="shared" si="4403"/>
        <v>3629</v>
      </c>
      <c r="Y1183" s="838">
        <f t="shared" si="4403"/>
        <v>-2773</v>
      </c>
      <c r="Z1183" s="838">
        <f t="shared" si="4403"/>
        <v>-730</v>
      </c>
      <c r="AA1183" s="838">
        <f t="shared" si="4403"/>
        <v>522</v>
      </c>
      <c r="AB1183" s="838">
        <f t="shared" si="4403"/>
        <v>4941</v>
      </c>
      <c r="AC1183" s="838">
        <f t="shared" si="4403"/>
        <v>1439</v>
      </c>
      <c r="AD1183" s="838">
        <f t="shared" si="4403"/>
        <v>-8106</v>
      </c>
      <c r="AE1183" s="838">
        <f t="shared" si="4403"/>
        <v>1433</v>
      </c>
      <c r="AF1183" s="838">
        <f t="shared" si="4403"/>
        <v>8953</v>
      </c>
      <c r="AG1183" s="838">
        <f t="shared" si="4403"/>
        <v>-7238</v>
      </c>
      <c r="AH1183" s="838">
        <f t="shared" si="4403"/>
        <v>10916</v>
      </c>
      <c r="AI1183" s="838">
        <f t="shared" si="4403"/>
        <v>8142</v>
      </c>
      <c r="AJ1183" s="838">
        <f t="shared" si="4403"/>
        <v>45748</v>
      </c>
      <c r="AK1183" s="838">
        <f t="shared" si="4403"/>
        <v>-63147</v>
      </c>
      <c r="AL1183" s="838">
        <f t="shared" si="4403"/>
        <v>2329</v>
      </c>
      <c r="AM1183" s="838">
        <f t="shared" ref="AM1183:AN1183" si="4404">+AM1158+AM1167+AM1180+AM1182</f>
        <v>-1319</v>
      </c>
      <c r="AN1183" s="838">
        <f t="shared" si="4404"/>
        <v>2525</v>
      </c>
      <c r="AO1183" s="29"/>
      <c r="AP1183" s="29"/>
      <c r="AQ1183" s="29"/>
      <c r="AR1183" s="29"/>
      <c r="AS1183" s="838">
        <f t="shared" ref="AS1183:BE1183" si="4405">+AS1158+AS1167+AS1180+AS1182</f>
        <v>-9453</v>
      </c>
      <c r="AT1183" s="838">
        <f t="shared" si="4405"/>
        <v>1863</v>
      </c>
      <c r="AU1183" s="838">
        <f t="shared" si="4405"/>
        <v>-603</v>
      </c>
      <c r="AV1183" s="838">
        <f t="shared" si="4405"/>
        <v>4228</v>
      </c>
      <c r="AW1183" s="838">
        <f t="shared" si="4405"/>
        <v>-4263</v>
      </c>
      <c r="AX1183" s="838">
        <f t="shared" si="4405"/>
        <v>-571</v>
      </c>
      <c r="AY1183" s="838">
        <f t="shared" si="4405"/>
        <v>4105</v>
      </c>
      <c r="AZ1183" s="838">
        <f t="shared" si="4405"/>
        <v>-2672</v>
      </c>
      <c r="BA1183" s="838">
        <f t="shared" si="4405"/>
        <v>-3134</v>
      </c>
      <c r="BB1183" s="838">
        <f t="shared" si="4405"/>
        <v>4865</v>
      </c>
      <c r="BC1183" s="838">
        <f t="shared" si="4405"/>
        <v>-3074</v>
      </c>
      <c r="BD1183" s="838">
        <f t="shared" si="4405"/>
        <v>915</v>
      </c>
      <c r="BE1183" s="838">
        <f t="shared" si="4405"/>
        <v>1153</v>
      </c>
      <c r="BG1183" s="838">
        <f>+BG1158+BG1167+BG1180+BG1182</f>
        <v>915</v>
      </c>
      <c r="BH1183" s="838">
        <f>+BH1158+BH1167+BH1180+BH1182</f>
        <v>1153</v>
      </c>
      <c r="BI1183" s="838">
        <f>+BI1158+BI1167+BI1180+BI1182</f>
        <v>4283</v>
      </c>
      <c r="BJ1183" s="838">
        <f>+BJ1158+BJ1167+BJ1180+BJ1182</f>
        <v>-590</v>
      </c>
      <c r="BK1183" s="838">
        <f>+BK1158+BK1167+BK1180+BK1182</f>
        <v>2220</v>
      </c>
      <c r="BL1183" s="849">
        <f t="shared" si="4401"/>
        <v>648</v>
      </c>
      <c r="BM1183" s="838">
        <f>+BM1158+BM1167+BM1180+BM1182</f>
        <v>-293</v>
      </c>
      <c r="BN1183" s="838">
        <f t="shared" si="4383"/>
        <v>20773</v>
      </c>
      <c r="BO1183" s="838">
        <f t="shared" si="4384"/>
        <v>-16389</v>
      </c>
      <c r="BP1183" s="838"/>
      <c r="BT1183" s="3"/>
      <c r="BU1183" s="3"/>
      <c r="BV1183" s="3"/>
      <c r="BW1183" s="3"/>
      <c r="BX1183" s="3"/>
      <c r="BY1183" s="3"/>
      <c r="BZ1183" s="3"/>
      <c r="CA1183" s="3"/>
      <c r="CB1183" s="3"/>
      <c r="CC1183" s="3"/>
    </row>
    <row r="1184" spans="2:81">
      <c r="K1184" s="100"/>
      <c r="O1184" s="100"/>
      <c r="S1184" s="100"/>
      <c r="AN1184" s="29"/>
      <c r="AO1184" s="29"/>
      <c r="AP1184" s="29"/>
      <c r="AQ1184" s="29"/>
      <c r="AR1184" s="29"/>
      <c r="BJ1184" s="8"/>
      <c r="BL1184" s="100"/>
      <c r="BT1184" s="3"/>
      <c r="BU1184" s="3"/>
      <c r="BV1184" s="3"/>
      <c r="BW1184" s="3"/>
      <c r="BX1184" s="3"/>
      <c r="BY1184" s="3"/>
      <c r="BZ1184" s="3"/>
      <c r="CA1184" s="3"/>
      <c r="CB1184" s="3"/>
      <c r="CC1184" s="3"/>
    </row>
    <row r="1185" spans="2:81">
      <c r="B1185" s="954" t="s">
        <v>127</v>
      </c>
      <c r="K1185" s="100"/>
      <c r="O1185" s="100"/>
      <c r="S1185" s="100"/>
      <c r="AN1185" s="29"/>
      <c r="AO1185" s="29"/>
      <c r="AP1185" s="29"/>
      <c r="AQ1185" s="29"/>
      <c r="AR1185" s="29"/>
      <c r="BJ1185" s="8"/>
      <c r="BK1185" s="8"/>
      <c r="BL1185" s="100"/>
      <c r="BT1185" s="3"/>
      <c r="BU1185" s="3"/>
      <c r="BV1185" s="3"/>
      <c r="BW1185" s="3"/>
      <c r="BX1185" s="3"/>
      <c r="BY1185" s="3"/>
      <c r="BZ1185" s="3"/>
      <c r="CA1185" s="3"/>
      <c r="CB1185" s="3"/>
      <c r="CC1185" s="3"/>
    </row>
    <row r="1186" spans="2:81">
      <c r="B1186" s="843" t="s">
        <v>616</v>
      </c>
      <c r="D1186" s="41" t="s">
        <v>273</v>
      </c>
      <c r="E1186" s="41" t="s">
        <v>273</v>
      </c>
      <c r="F1186" s="41" t="s">
        <v>273</v>
      </c>
      <c r="G1186" s="41" t="s">
        <v>273</v>
      </c>
      <c r="H1186" s="41" t="s">
        <v>273</v>
      </c>
      <c r="I1186" s="41" t="s">
        <v>273</v>
      </c>
      <c r="J1186" s="41" t="s">
        <v>273</v>
      </c>
      <c r="K1186" s="955" t="s">
        <v>273</v>
      </c>
      <c r="L1186" s="41" t="s">
        <v>273</v>
      </c>
      <c r="M1186" s="41" t="s">
        <v>273</v>
      </c>
      <c r="N1186" s="41" t="s">
        <v>273</v>
      </c>
      <c r="O1186" s="955" t="s">
        <v>273</v>
      </c>
      <c r="P1186" s="41" t="s">
        <v>273</v>
      </c>
      <c r="Q1186" s="41" t="s">
        <v>273</v>
      </c>
      <c r="R1186" s="41" t="s">
        <v>273</v>
      </c>
      <c r="S1186" s="955" t="s">
        <v>273</v>
      </c>
      <c r="T1186" s="41" t="s">
        <v>273</v>
      </c>
      <c r="U1186" s="41" t="s">
        <v>273</v>
      </c>
      <c r="V1186" s="41" t="s">
        <v>273</v>
      </c>
      <c r="W1186" s="41" t="s">
        <v>273</v>
      </c>
      <c r="X1186" s="41" t="s">
        <v>273</v>
      </c>
      <c r="Y1186" s="41" t="s">
        <v>273</v>
      </c>
      <c r="Z1186" s="41" t="s">
        <v>273</v>
      </c>
      <c r="AA1186" s="41" t="s">
        <v>273</v>
      </c>
      <c r="AB1186" s="41" t="s">
        <v>273</v>
      </c>
      <c r="AC1186" s="41" t="s">
        <v>273</v>
      </c>
      <c r="AD1186" s="41" t="s">
        <v>273</v>
      </c>
      <c r="AE1186" s="41" t="s">
        <v>273</v>
      </c>
      <c r="AF1186" s="41" t="s">
        <v>273</v>
      </c>
      <c r="AG1186" s="41" t="s">
        <v>273</v>
      </c>
      <c r="AH1186" s="41" t="s">
        <v>273</v>
      </c>
      <c r="AI1186" s="41" t="s">
        <v>273</v>
      </c>
      <c r="AJ1186" s="41" t="s">
        <v>273</v>
      </c>
      <c r="AK1186" s="41" t="s">
        <v>273</v>
      </c>
      <c r="AL1186" s="41" t="s">
        <v>273</v>
      </c>
      <c r="AM1186" s="41" t="s">
        <v>273</v>
      </c>
      <c r="AN1186" s="41" t="s">
        <v>273</v>
      </c>
      <c r="AO1186" s="29"/>
      <c r="AP1186" s="29"/>
      <c r="AQ1186" s="29"/>
      <c r="AR1186" s="29"/>
      <c r="AS1186" s="29">
        <v>0</v>
      </c>
      <c r="AT1186" s="29">
        <v>0</v>
      </c>
      <c r="AU1186" s="29">
        <v>0</v>
      </c>
      <c r="AV1186" s="29">
        <v>0</v>
      </c>
      <c r="AW1186" s="29">
        <v>0</v>
      </c>
      <c r="AX1186" s="29">
        <v>145</v>
      </c>
      <c r="AY1186" s="29">
        <v>197</v>
      </c>
      <c r="AZ1186" s="29">
        <v>344</v>
      </c>
      <c r="BA1186" s="29">
        <v>371</v>
      </c>
      <c r="BB1186" s="29">
        <v>509</v>
      </c>
      <c r="BC1186" s="29">
        <v>620</v>
      </c>
      <c r="BD1186" s="29">
        <v>1100</v>
      </c>
      <c r="BE1186" s="29">
        <v>1600</v>
      </c>
      <c r="BG1186" s="8">
        <f>+BD1186</f>
        <v>1100</v>
      </c>
      <c r="BH1186" s="8">
        <f>+BE1186</f>
        <v>1600</v>
      </c>
      <c r="BI1186" s="29">
        <v>2400</v>
      </c>
      <c r="BJ1186" s="29">
        <v>2400</v>
      </c>
      <c r="BK1186" s="956" t="s">
        <v>273</v>
      </c>
      <c r="BL1186" s="956" t="s">
        <v>273</v>
      </c>
      <c r="BM1186" s="956" t="s">
        <v>273</v>
      </c>
      <c r="BN1186" s="956" t="s">
        <v>273</v>
      </c>
      <c r="BO1186" s="956" t="s">
        <v>273</v>
      </c>
      <c r="BP1186" s="8"/>
      <c r="BT1186" s="7"/>
      <c r="BU1186" s="7"/>
      <c r="BV1186" s="7"/>
      <c r="BW1186" s="7"/>
      <c r="BX1186" s="7"/>
      <c r="BY1186" s="7"/>
      <c r="BZ1186" s="7"/>
      <c r="CA1186" s="7"/>
      <c r="CB1186" s="7"/>
      <c r="CC1186" s="7"/>
    </row>
    <row r="1187" spans="2:81">
      <c r="B1187" s="843" t="s">
        <v>617</v>
      </c>
      <c r="D1187" s="41" t="s">
        <v>273</v>
      </c>
      <c r="E1187" s="41" t="s">
        <v>273</v>
      </c>
      <c r="F1187" s="41" t="s">
        <v>273</v>
      </c>
      <c r="G1187" s="41" t="s">
        <v>273</v>
      </c>
      <c r="H1187" s="41" t="s">
        <v>273</v>
      </c>
      <c r="I1187" s="41" t="s">
        <v>273</v>
      </c>
      <c r="J1187" s="41" t="s">
        <v>273</v>
      </c>
      <c r="K1187" s="955" t="s">
        <v>273</v>
      </c>
      <c r="L1187" s="41" t="s">
        <v>273</v>
      </c>
      <c r="M1187" s="41" t="s">
        <v>273</v>
      </c>
      <c r="N1187" s="41" t="s">
        <v>273</v>
      </c>
      <c r="O1187" s="955" t="s">
        <v>273</v>
      </c>
      <c r="P1187" s="41" t="s">
        <v>273</v>
      </c>
      <c r="Q1187" s="41" t="s">
        <v>273</v>
      </c>
      <c r="R1187" s="41" t="s">
        <v>273</v>
      </c>
      <c r="S1187" s="955" t="s">
        <v>273</v>
      </c>
      <c r="T1187" s="41" t="s">
        <v>273</v>
      </c>
      <c r="U1187" s="41" t="s">
        <v>273</v>
      </c>
      <c r="V1187" s="41" t="s">
        <v>273</v>
      </c>
      <c r="W1187" s="41" t="s">
        <v>273</v>
      </c>
      <c r="X1187" s="41" t="s">
        <v>273</v>
      </c>
      <c r="Y1187" s="41" t="s">
        <v>273</v>
      </c>
      <c r="Z1187" s="41" t="s">
        <v>273</v>
      </c>
      <c r="AA1187" s="41" t="s">
        <v>273</v>
      </c>
      <c r="AB1187" s="41" t="s">
        <v>273</v>
      </c>
      <c r="AC1187" s="41" t="s">
        <v>273</v>
      </c>
      <c r="AD1187" s="41" t="s">
        <v>273</v>
      </c>
      <c r="AE1187" s="41" t="s">
        <v>273</v>
      </c>
      <c r="AF1187" s="41" t="s">
        <v>273</v>
      </c>
      <c r="AG1187" s="41" t="s">
        <v>273</v>
      </c>
      <c r="AH1187" s="41" t="s">
        <v>273</v>
      </c>
      <c r="AI1187" s="41" t="s">
        <v>273</v>
      </c>
      <c r="AJ1187" s="41" t="s">
        <v>273</v>
      </c>
      <c r="AK1187" s="41" t="s">
        <v>273</v>
      </c>
      <c r="AL1187" s="41" t="s">
        <v>273</v>
      </c>
      <c r="AM1187" s="41" t="s">
        <v>273</v>
      </c>
      <c r="AN1187" s="41" t="s">
        <v>273</v>
      </c>
      <c r="AO1187" s="29"/>
      <c r="AP1187" s="29"/>
      <c r="AQ1187" s="29"/>
      <c r="AR1187" s="29"/>
      <c r="AS1187" s="29">
        <v>4330</v>
      </c>
      <c r="AT1187" s="29">
        <v>4800</v>
      </c>
      <c r="AU1187" s="29">
        <v>5200</v>
      </c>
      <c r="AV1187" s="29">
        <v>5400</v>
      </c>
      <c r="AW1187" s="29">
        <v>6600</v>
      </c>
      <c r="AX1187" s="29">
        <v>4100</v>
      </c>
      <c r="AY1187" s="29">
        <v>5300</v>
      </c>
      <c r="AZ1187" s="29">
        <v>3500</v>
      </c>
      <c r="BA1187" s="29">
        <v>3900</v>
      </c>
      <c r="BB1187" s="29">
        <v>5500</v>
      </c>
      <c r="BC1187" s="29">
        <v>4400</v>
      </c>
      <c r="BD1187" s="29">
        <v>3900</v>
      </c>
      <c r="BE1187" s="29">
        <v>2400</v>
      </c>
      <c r="BG1187" s="8">
        <f>+BD1187</f>
        <v>3900</v>
      </c>
      <c r="BH1187" s="8">
        <f>+BE1187</f>
        <v>2400</v>
      </c>
      <c r="BI1187" s="29">
        <v>5500</v>
      </c>
      <c r="BJ1187" s="29">
        <v>8400</v>
      </c>
      <c r="BK1187" s="29">
        <v>12500</v>
      </c>
      <c r="BL1187" s="29">
        <v>13400</v>
      </c>
      <c r="BM1187" s="29">
        <v>16000</v>
      </c>
      <c r="BN1187" s="956">
        <v>23100</v>
      </c>
      <c r="BO1187" s="956">
        <v>23400</v>
      </c>
      <c r="BP1187" s="8"/>
    </row>
    <row r="1188" spans="2:81">
      <c r="K1188" s="100"/>
      <c r="O1188" s="100"/>
      <c r="S1188" s="11"/>
      <c r="AM1188" s="29"/>
      <c r="AN1188" s="29"/>
      <c r="AO1188" s="29"/>
      <c r="AP1188" s="29"/>
      <c r="AQ1188" s="29"/>
      <c r="AR1188" s="29"/>
      <c r="BI1188" s="8"/>
      <c r="BK1188" s="8"/>
      <c r="BL1188" s="100"/>
      <c r="BT1188" s="3"/>
      <c r="BU1188" s="3"/>
      <c r="BV1188" s="3"/>
      <c r="BW1188" s="3"/>
      <c r="BX1188" s="3"/>
      <c r="BY1188" s="3"/>
      <c r="BZ1188" s="3"/>
      <c r="CA1188" s="3"/>
      <c r="CB1188" s="3"/>
      <c r="CC1188" s="3"/>
    </row>
    <row r="1189" spans="2:81" s="100" customFormat="1" ht="10.5">
      <c r="B1189" s="958" t="s">
        <v>618</v>
      </c>
      <c r="AM1189" s="29"/>
      <c r="AN1189" s="29"/>
      <c r="AO1189" s="29"/>
      <c r="AP1189" s="29"/>
      <c r="AQ1189" s="29"/>
      <c r="AR1189" s="29"/>
      <c r="BT1189" s="228"/>
      <c r="BU1189" s="3"/>
      <c r="BV1189" s="3"/>
      <c r="BW1189" s="3"/>
      <c r="BX1189" s="3"/>
      <c r="BY1189" s="3"/>
      <c r="BZ1189" s="3"/>
      <c r="CA1189" s="3"/>
      <c r="CB1189" s="3"/>
      <c r="CC1189" s="3"/>
    </row>
    <row r="1190" spans="2:81" s="100" customFormat="1">
      <c r="B1190" s="100" t="s">
        <v>619</v>
      </c>
      <c r="D1190" s="11"/>
      <c r="E1190" s="11"/>
      <c r="F1190" s="11"/>
      <c r="G1190" s="11"/>
      <c r="H1190" s="11">
        <f t="shared" ref="H1190:AN1190" si="4406">+H117</f>
        <v>3953.55</v>
      </c>
      <c r="I1190" s="11">
        <f t="shared" si="4406"/>
        <v>4880.3</v>
      </c>
      <c r="J1190" s="11">
        <f t="shared" si="4406"/>
        <v>4964.1000000000004</v>
      </c>
      <c r="K1190" s="11">
        <f t="shared" si="4406"/>
        <v>4414.6000000000004</v>
      </c>
      <c r="L1190" s="11">
        <f t="shared" si="4406"/>
        <v>4988.6000000000004</v>
      </c>
      <c r="M1190" s="11">
        <f t="shared" si="4406"/>
        <v>5195.8500000000004</v>
      </c>
      <c r="N1190" s="11">
        <f t="shared" si="4406"/>
        <v>6036.39</v>
      </c>
      <c r="O1190" s="11">
        <f t="shared" si="4406"/>
        <v>6853.2000000000007</v>
      </c>
      <c r="P1190" s="11">
        <f t="shared" si="4406"/>
        <v>6611.59</v>
      </c>
      <c r="Q1190" s="11">
        <f t="shared" si="4406"/>
        <v>7299.15</v>
      </c>
      <c r="R1190" s="11">
        <f t="shared" si="4406"/>
        <v>7809.9400000000005</v>
      </c>
      <c r="S1190" s="11">
        <f t="shared" si="4406"/>
        <v>7574.84</v>
      </c>
      <c r="T1190" s="11">
        <f t="shared" si="4406"/>
        <v>8192.94</v>
      </c>
      <c r="U1190" s="11">
        <f t="shared" si="4406"/>
        <v>9830.15</v>
      </c>
      <c r="V1190" s="11">
        <f t="shared" si="4406"/>
        <v>9363.9700000000012</v>
      </c>
      <c r="W1190" s="11">
        <f t="shared" si="4406"/>
        <v>8307.380000000001</v>
      </c>
      <c r="X1190" s="11">
        <f t="shared" si="4406"/>
        <v>9882.9599999999991</v>
      </c>
      <c r="Y1190" s="11">
        <f t="shared" si="4406"/>
        <v>11847.23</v>
      </c>
      <c r="Z1190" s="11">
        <f t="shared" si="4406"/>
        <v>10552.44</v>
      </c>
      <c r="AA1190" s="11">
        <f t="shared" si="4406"/>
        <v>11373.95</v>
      </c>
      <c r="AB1190" s="11">
        <f t="shared" si="4406"/>
        <v>12025.96</v>
      </c>
      <c r="AC1190" s="11">
        <f t="shared" si="4406"/>
        <v>14482.85</v>
      </c>
      <c r="AD1190" s="11">
        <f t="shared" si="4406"/>
        <v>13423.1</v>
      </c>
      <c r="AE1190" s="11">
        <f t="shared" si="4406"/>
        <v>11463.73</v>
      </c>
      <c r="AF1190" s="11">
        <f t="shared" si="4406"/>
        <v>13231.880000000001</v>
      </c>
      <c r="AG1190" s="11">
        <f t="shared" si="4406"/>
        <v>13840.900000000001</v>
      </c>
      <c r="AH1190" s="11">
        <f t="shared" si="4406"/>
        <v>13660.67</v>
      </c>
      <c r="AI1190" s="11">
        <f t="shared" si="4406"/>
        <v>12708.33</v>
      </c>
      <c r="AJ1190" s="11">
        <f t="shared" si="4406"/>
        <v>14275.36</v>
      </c>
      <c r="AK1190" s="11">
        <f t="shared" si="4406"/>
        <v>15912.24</v>
      </c>
      <c r="AL1190" s="11">
        <f t="shared" si="4406"/>
        <v>13354.630000000001</v>
      </c>
      <c r="AM1190" s="11">
        <f t="shared" si="4406"/>
        <v>9090.4837499999994</v>
      </c>
      <c r="AN1190" s="11">
        <f t="shared" si="4406"/>
        <v>11454.477500000001</v>
      </c>
      <c r="AO1190" s="29"/>
      <c r="AP1190" s="29"/>
      <c r="AQ1190" s="29"/>
      <c r="AR1190" s="29"/>
      <c r="AS1190" s="11"/>
      <c r="AT1190" s="11"/>
      <c r="AU1190" s="11">
        <f t="shared" ref="AU1190:BE1190" si="4407">+AU117</f>
        <v>12241.650000000001</v>
      </c>
      <c r="AV1190" s="11">
        <f t="shared" si="4407"/>
        <v>14353.1</v>
      </c>
      <c r="AW1190" s="11">
        <f t="shared" si="4407"/>
        <v>12326.650000000001</v>
      </c>
      <c r="AX1190" s="11">
        <f t="shared" si="4407"/>
        <v>16954.45</v>
      </c>
      <c r="AY1190" s="11">
        <f t="shared" si="4407"/>
        <v>18657.150000000001</v>
      </c>
      <c r="AZ1190" s="11">
        <f t="shared" si="4407"/>
        <v>19701</v>
      </c>
      <c r="BA1190" s="11">
        <f t="shared" si="4407"/>
        <v>17018.25</v>
      </c>
      <c r="BB1190" s="11">
        <f t="shared" si="4407"/>
        <v>17892.550000000003</v>
      </c>
      <c r="BC1190" s="11">
        <f t="shared" si="4407"/>
        <v>18549.7</v>
      </c>
      <c r="BD1190" s="11">
        <f t="shared" si="4407"/>
        <v>18484.95</v>
      </c>
      <c r="BE1190" s="11">
        <f t="shared" si="4407"/>
        <v>19460.849999999999</v>
      </c>
      <c r="BG1190" s="11">
        <f t="shared" ref="BG1190:BO1190" si="4408">+BG117</f>
        <v>15108.85</v>
      </c>
      <c r="BH1190" s="11">
        <f t="shared" si="4408"/>
        <v>18212.550000000003</v>
      </c>
      <c r="BI1190" s="11">
        <f t="shared" si="4408"/>
        <v>23074.04</v>
      </c>
      <c r="BJ1190" s="11">
        <f t="shared" si="4408"/>
        <v>29295.52</v>
      </c>
      <c r="BK1190" s="11">
        <f t="shared" si="4408"/>
        <v>35694.44</v>
      </c>
      <c r="BL1190" s="11">
        <f t="shared" si="4408"/>
        <v>43656.58</v>
      </c>
      <c r="BM1190" s="11">
        <f t="shared" si="4408"/>
        <v>51395.64</v>
      </c>
      <c r="BN1190" s="11">
        <f t="shared" si="4408"/>
        <v>53441.78</v>
      </c>
      <c r="BO1190" s="11">
        <f t="shared" si="4408"/>
        <v>52632.713749999995</v>
      </c>
      <c r="BP1190" s="11"/>
      <c r="BT1190"/>
      <c r="BU1190"/>
      <c r="BV1190"/>
      <c r="BW1190"/>
      <c r="BX1190"/>
      <c r="BY1190"/>
      <c r="BZ1190"/>
      <c r="CA1190"/>
      <c r="CB1190"/>
      <c r="CC1190"/>
    </row>
    <row r="1191" spans="2:81" s="100" customFormat="1">
      <c r="B1191" s="100" t="s">
        <v>144</v>
      </c>
      <c r="D1191" s="11"/>
      <c r="E1191" s="11"/>
      <c r="F1191" s="11"/>
      <c r="G1191" s="11"/>
      <c r="H1191" s="11">
        <f t="shared" ref="H1191:AJ1191" si="4409">+H1145</f>
        <v>703</v>
      </c>
      <c r="I1191" s="11">
        <f t="shared" si="4409"/>
        <v>767</v>
      </c>
      <c r="J1191" s="11">
        <f t="shared" si="4409"/>
        <v>883</v>
      </c>
      <c r="K1191" s="11">
        <f t="shared" si="4409"/>
        <v>913</v>
      </c>
      <c r="L1191" s="11">
        <f t="shared" si="4409"/>
        <v>973</v>
      </c>
      <c r="M1191" s="11">
        <f t="shared" si="4409"/>
        <v>986</v>
      </c>
      <c r="N1191" s="11">
        <f t="shared" si="4409"/>
        <v>969</v>
      </c>
      <c r="O1191" s="11">
        <f t="shared" si="4409"/>
        <v>1012</v>
      </c>
      <c r="P1191" s="11">
        <f t="shared" si="4409"/>
        <v>1107</v>
      </c>
      <c r="Q1191" s="11">
        <f t="shared" si="4409"/>
        <v>1183</v>
      </c>
      <c r="R1191" s="11">
        <f t="shared" si="4409"/>
        <v>1172</v>
      </c>
      <c r="S1191" s="11">
        <f t="shared" si="4409"/>
        <v>1190</v>
      </c>
      <c r="T1191" s="11">
        <f t="shared" si="4409"/>
        <v>1262</v>
      </c>
      <c r="U1191" s="11">
        <f t="shared" si="4409"/>
        <v>1340</v>
      </c>
      <c r="V1191" s="11">
        <f t="shared" si="4409"/>
        <v>1338</v>
      </c>
      <c r="W1191" s="11">
        <f t="shared" si="4409"/>
        <v>1349</v>
      </c>
      <c r="X1191" s="11">
        <f t="shared" si="4409"/>
        <v>1456</v>
      </c>
      <c r="Y1191" s="11">
        <f t="shared" si="4409"/>
        <v>1566</v>
      </c>
      <c r="Z1191" s="11">
        <f t="shared" si="4409"/>
        <v>1525</v>
      </c>
      <c r="AA1191" s="11">
        <f t="shared" si="4409"/>
        <v>1571</v>
      </c>
      <c r="AB1191" s="11">
        <f t="shared" si="4409"/>
        <v>1702</v>
      </c>
      <c r="AC1191" s="11">
        <f t="shared" si="4409"/>
        <v>1897</v>
      </c>
      <c r="AD1191" s="11">
        <f t="shared" si="4409"/>
        <v>1906</v>
      </c>
      <c r="AE1191" s="11">
        <f t="shared" si="4409"/>
        <v>1997</v>
      </c>
      <c r="AF1191" s="11">
        <f t="shared" si="4409"/>
        <v>2192</v>
      </c>
      <c r="AG1191" s="11">
        <f t="shared" si="4409"/>
        <v>2538</v>
      </c>
      <c r="AH1191" s="11">
        <f t="shared" si="4409"/>
        <v>2465</v>
      </c>
      <c r="AI1191" s="11">
        <f t="shared" si="4409"/>
        <v>2416</v>
      </c>
      <c r="AJ1191" s="11">
        <f t="shared" si="4409"/>
        <v>2507</v>
      </c>
      <c r="AK1191" s="11">
        <f t="shared" ref="AK1191:AL1191" si="4410">+AK1145</f>
        <v>2828</v>
      </c>
      <c r="AL1191" s="11">
        <f t="shared" si="4410"/>
        <v>2703</v>
      </c>
      <c r="AM1191" s="11">
        <f t="shared" ref="AM1191:AN1191" si="4411">+AM1145</f>
        <v>2696</v>
      </c>
      <c r="AN1191" s="11">
        <f t="shared" si="4411"/>
        <v>2832</v>
      </c>
      <c r="AO1191" s="29"/>
      <c r="AP1191" s="29"/>
      <c r="AQ1191" s="29"/>
      <c r="AR1191" s="29"/>
      <c r="AS1191" s="11"/>
      <c r="AT1191" s="11"/>
      <c r="AU1191" s="11">
        <f t="shared" ref="AU1191:BE1191" si="4412">+AU1145</f>
        <v>1550</v>
      </c>
      <c r="AV1191" s="11">
        <f t="shared" si="4412"/>
        <v>1479</v>
      </c>
      <c r="AW1191" s="11">
        <f t="shared" si="4412"/>
        <v>1708</v>
      </c>
      <c r="AX1191" s="11">
        <f t="shared" si="4412"/>
        <v>1891</v>
      </c>
      <c r="AY1191" s="11">
        <f t="shared" si="4412"/>
        <v>2166</v>
      </c>
      <c r="AZ1191" s="11">
        <f t="shared" si="4412"/>
        <v>2244</v>
      </c>
      <c r="BA1191" s="11">
        <f t="shared" si="4412"/>
        <v>2406</v>
      </c>
      <c r="BB1191" s="11">
        <f t="shared" si="4412"/>
        <v>2446</v>
      </c>
      <c r="BC1191" s="11">
        <f t="shared" si="4412"/>
        <v>2574</v>
      </c>
      <c r="BD1191" s="11">
        <f t="shared" si="4412"/>
        <v>2668</v>
      </c>
      <c r="BE1191" s="11">
        <f t="shared" si="4412"/>
        <v>3266</v>
      </c>
      <c r="BG1191" s="11">
        <f t="shared" ref="BG1191:BN1191" si="4413">+BG1145</f>
        <v>2668</v>
      </c>
      <c r="BH1191" s="11">
        <f t="shared" si="4413"/>
        <v>3266</v>
      </c>
      <c r="BI1191" s="11">
        <f t="shared" si="4413"/>
        <v>3940</v>
      </c>
      <c r="BJ1191" s="11">
        <f t="shared" si="4413"/>
        <v>4652</v>
      </c>
      <c r="BK1191" s="11">
        <f t="shared" si="4413"/>
        <v>5289</v>
      </c>
      <c r="BL1191" s="11">
        <f t="shared" si="4413"/>
        <v>6118</v>
      </c>
      <c r="BM1191" s="11">
        <f t="shared" si="4413"/>
        <v>7502</v>
      </c>
      <c r="BN1191" s="11">
        <f t="shared" si="4413"/>
        <v>9611</v>
      </c>
      <c r="BO1191" s="11">
        <f t="shared" ref="BO1191" si="4414">+BO1145</f>
        <v>10734</v>
      </c>
      <c r="BP1191" s="11"/>
      <c r="BT1191" s="872"/>
      <c r="BU1191" s="872"/>
      <c r="BV1191" s="872"/>
      <c r="BW1191" s="872"/>
      <c r="BX1191" s="872"/>
      <c r="BY1191" s="872"/>
      <c r="BZ1191" s="872"/>
      <c r="CA1191" s="872"/>
      <c r="CB1191" s="872"/>
      <c r="CC1191" s="872"/>
    </row>
    <row r="1192" spans="2:81" s="100" customFormat="1">
      <c r="B1192" s="100" t="s">
        <v>317</v>
      </c>
      <c r="D1192" s="11"/>
      <c r="E1192" s="11"/>
      <c r="F1192" s="11"/>
      <c r="G1192" s="11"/>
      <c r="H1192" s="857" t="s">
        <v>273</v>
      </c>
      <c r="I1192" s="857" t="s">
        <v>273</v>
      </c>
      <c r="J1192" s="857" t="s">
        <v>273</v>
      </c>
      <c r="K1192" s="857" t="s">
        <v>273</v>
      </c>
      <c r="L1192" s="857" t="s">
        <v>273</v>
      </c>
      <c r="M1192" s="857" t="s">
        <v>273</v>
      </c>
      <c r="N1192" s="857" t="s">
        <v>273</v>
      </c>
      <c r="O1192" s="857" t="s">
        <v>273</v>
      </c>
      <c r="P1192" s="857" t="s">
        <v>273</v>
      </c>
      <c r="Q1192" s="857" t="s">
        <v>273</v>
      </c>
      <c r="R1192" s="857" t="s">
        <v>273</v>
      </c>
      <c r="S1192" s="857" t="s">
        <v>273</v>
      </c>
      <c r="T1192" s="857" t="s">
        <v>273</v>
      </c>
      <c r="U1192" s="857" t="s">
        <v>273</v>
      </c>
      <c r="V1192" s="857" t="s">
        <v>273</v>
      </c>
      <c r="W1192" s="857" t="s">
        <v>273</v>
      </c>
      <c r="X1192" s="857" t="s">
        <v>273</v>
      </c>
      <c r="Y1192" s="857" t="s">
        <v>273</v>
      </c>
      <c r="Z1192" s="857" t="s">
        <v>273</v>
      </c>
      <c r="AA1192" s="857" t="s">
        <v>273</v>
      </c>
      <c r="AB1192" s="857" t="s">
        <v>273</v>
      </c>
      <c r="AC1192" s="857" t="s">
        <v>273</v>
      </c>
      <c r="AD1192" s="857" t="s">
        <v>273</v>
      </c>
      <c r="AE1192" s="857" t="s">
        <v>273</v>
      </c>
      <c r="AF1192" s="857" t="s">
        <v>273</v>
      </c>
      <c r="AG1192" s="857" t="s">
        <v>273</v>
      </c>
      <c r="AH1192" s="857" t="s">
        <v>273</v>
      </c>
      <c r="AI1192" s="857" t="s">
        <v>273</v>
      </c>
      <c r="AJ1192" s="857" t="s">
        <v>273</v>
      </c>
      <c r="AK1192" s="857" t="s">
        <v>273</v>
      </c>
      <c r="AL1192" s="857" t="s">
        <v>273</v>
      </c>
      <c r="AM1192" s="857" t="s">
        <v>273</v>
      </c>
      <c r="AN1192" s="857" t="s">
        <v>273</v>
      </c>
      <c r="AO1192" s="29"/>
      <c r="AP1192" s="29"/>
      <c r="AQ1192" s="29"/>
      <c r="AR1192" s="29"/>
      <c r="AS1192" s="11"/>
      <c r="AT1192" s="11"/>
      <c r="AU1192" s="11">
        <f t="shared" ref="AU1192:BE1192" si="4415">AU122</f>
        <v>1835.3499999999995</v>
      </c>
      <c r="AV1192" s="11">
        <f t="shared" si="4415"/>
        <v>2934.8999999999996</v>
      </c>
      <c r="AW1192" s="11">
        <f t="shared" si="4415"/>
        <v>337.34999999999945</v>
      </c>
      <c r="AX1192" s="11">
        <f t="shared" si="4415"/>
        <v>4654.5499999999993</v>
      </c>
      <c r="AY1192" s="11">
        <f t="shared" si="4415"/>
        <v>4524.8499999999985</v>
      </c>
      <c r="AZ1192" s="11">
        <f t="shared" si="4415"/>
        <v>6461</v>
      </c>
      <c r="BA1192" s="11">
        <f t="shared" si="4415"/>
        <v>5824.75</v>
      </c>
      <c r="BB1192" s="11">
        <f t="shared" si="4415"/>
        <v>4281.4499999999989</v>
      </c>
      <c r="BC1192" s="11">
        <f t="shared" si="4415"/>
        <v>5581.2999999999993</v>
      </c>
      <c r="BD1192" s="11">
        <f t="shared" si="4415"/>
        <v>3703.0499999999993</v>
      </c>
      <c r="BE1192" s="11">
        <f t="shared" si="4415"/>
        <v>5233.1499999999996</v>
      </c>
      <c r="BG1192" s="11">
        <f t="shared" ref="BG1192:BO1192" si="4416">BG122</f>
        <v>5462.15</v>
      </c>
      <c r="BH1192" s="11">
        <f t="shared" si="4416"/>
        <v>8172.4499999999989</v>
      </c>
      <c r="BI1192" s="11">
        <f t="shared" si="4416"/>
        <v>4560.9599999999991</v>
      </c>
      <c r="BJ1192" s="11">
        <f t="shared" si="4416"/>
        <v>774.47999999999956</v>
      </c>
      <c r="BK1192" s="11">
        <f t="shared" si="4416"/>
        <v>-1362.4400000000023</v>
      </c>
      <c r="BL1192" s="11">
        <f t="shared" si="4416"/>
        <v>1531.4199999999983</v>
      </c>
      <c r="BM1192" s="11">
        <f t="shared" si="4416"/>
        <v>1580.3599999999969</v>
      </c>
      <c r="BN1192" s="11">
        <f t="shared" si="4416"/>
        <v>-4098.7799999999988</v>
      </c>
      <c r="BO1192" s="11">
        <f t="shared" si="4416"/>
        <v>-508.71374999999898</v>
      </c>
      <c r="BP1192" s="11"/>
      <c r="BT1192" s="872"/>
      <c r="BU1192" s="872"/>
      <c r="BV1192" s="872"/>
      <c r="BW1192" s="872"/>
      <c r="BX1192" s="872"/>
      <c r="BY1192" s="872"/>
      <c r="BZ1192" s="872"/>
      <c r="CA1192" s="872"/>
      <c r="CB1192" s="872"/>
      <c r="CC1192" s="872"/>
    </row>
    <row r="1193" spans="2:81" s="852" customFormat="1">
      <c r="B1193" t="s">
        <v>200</v>
      </c>
      <c r="D1193" s="939"/>
      <c r="E1193" s="939"/>
      <c r="F1193" s="939"/>
      <c r="G1193" s="939"/>
      <c r="H1193" s="940">
        <f>+H1194-H1191-H1190</f>
        <v>4592.45</v>
      </c>
      <c r="I1193" s="940">
        <f t="shared" ref="I1193:V1193" si="4417">+I1194-I1191-I1190</f>
        <v>-1854.3000000000002</v>
      </c>
      <c r="J1193" s="940">
        <f t="shared" si="4417"/>
        <v>2712.8999999999996</v>
      </c>
      <c r="K1193" s="940">
        <f t="shared" si="4417"/>
        <v>2377.3999999999996</v>
      </c>
      <c r="L1193" s="940">
        <f t="shared" si="4417"/>
        <v>3778.3999999999996</v>
      </c>
      <c r="M1193" s="940">
        <f t="shared" si="4417"/>
        <v>-1606.8500000000004</v>
      </c>
      <c r="N1193" s="940">
        <f t="shared" si="4417"/>
        <v>1645.6099999999997</v>
      </c>
      <c r="O1193" s="940">
        <f t="shared" si="4417"/>
        <v>-547.20000000000073</v>
      </c>
      <c r="P1193" s="940">
        <f t="shared" si="4417"/>
        <v>1638.4099999999999</v>
      </c>
      <c r="Q1193" s="940">
        <f t="shared" si="4417"/>
        <v>-3482.1499999999996</v>
      </c>
      <c r="R1193" s="940">
        <f t="shared" si="4417"/>
        <v>1138.0599999999995</v>
      </c>
      <c r="S1193" s="940">
        <f t="shared" si="4417"/>
        <v>2043.1599999999999</v>
      </c>
      <c r="T1193" s="940">
        <f t="shared" si="4417"/>
        <v>-436.94000000000051</v>
      </c>
      <c r="U1193" s="940">
        <f t="shared" si="4417"/>
        <v>-4990.1499999999996</v>
      </c>
      <c r="V1193" s="940">
        <f t="shared" si="4417"/>
        <v>2902.0299999999988</v>
      </c>
      <c r="W1193" s="940">
        <f t="shared" ref="W1193:X1193" si="4418">+W1194-W1191-W1190</f>
        <v>3216.619999999999</v>
      </c>
      <c r="X1193" s="940">
        <f t="shared" si="4418"/>
        <v>2496.0400000000009</v>
      </c>
      <c r="Y1193" s="940">
        <f t="shared" ref="Y1193:Z1193" si="4419">+Y1194-Y1191-Y1190</f>
        <v>-6297.23</v>
      </c>
      <c r="Z1193" s="940">
        <f t="shared" si="4419"/>
        <v>4101.5599999999995</v>
      </c>
      <c r="AA1193" s="940">
        <f t="shared" ref="AA1193:AB1193" si="4420">+AA1194-AA1191-AA1190</f>
        <v>2465.0499999999993</v>
      </c>
      <c r="AB1193" s="940">
        <f t="shared" si="4420"/>
        <v>3412.0400000000009</v>
      </c>
      <c r="AC1193" s="940">
        <f t="shared" ref="AC1193:AD1193" si="4421">+AC1194-AC1191-AC1190</f>
        <v>-8699.85</v>
      </c>
      <c r="AD1193" s="940">
        <f t="shared" si="4421"/>
        <v>3756.8999999999996</v>
      </c>
      <c r="AE1193" s="940">
        <f t="shared" ref="AE1193:AF1193" si="4422">+AE1194-AE1191-AE1190</f>
        <v>2468.2700000000004</v>
      </c>
      <c r="AF1193" s="940">
        <f t="shared" si="4422"/>
        <v>1174.119999999999</v>
      </c>
      <c r="AG1193" s="940">
        <f t="shared" ref="AG1193:AH1193" si="4423">+AG1194-AG1191-AG1190</f>
        <v>-12005.900000000001</v>
      </c>
      <c r="AH1193" s="940">
        <f t="shared" si="4423"/>
        <v>515.32999999999993</v>
      </c>
      <c r="AI1193" s="940">
        <f t="shared" ref="AI1193:AJ1193" si="4424">+AI1194-AI1191-AI1190</f>
        <v>2945.67</v>
      </c>
      <c r="AJ1193" s="940">
        <f t="shared" si="4424"/>
        <v>2600.6399999999994</v>
      </c>
      <c r="AK1193" s="940">
        <f t="shared" ref="AK1193:AL1193" si="4425">+AK1194-AK1191-AK1190</f>
        <v>-11387.24</v>
      </c>
      <c r="AL1193" s="940">
        <f t="shared" si="4425"/>
        <v>1859.369999999999</v>
      </c>
      <c r="AM1193" s="940">
        <f t="shared" ref="AM1193:AN1193" si="4426">+AM1194-AM1191-AM1190</f>
        <v>6408.5162500000006</v>
      </c>
      <c r="AN1193" s="940">
        <f t="shared" si="4426"/>
        <v>-106.47750000000087</v>
      </c>
      <c r="AO1193" s="29"/>
      <c r="AP1193" s="29"/>
      <c r="AQ1193" s="29"/>
      <c r="AR1193" s="29"/>
      <c r="AS1193" s="939"/>
      <c r="AT1193" s="939"/>
      <c r="AU1193" s="940">
        <f>+AU1194-AU1191-AU1190-AU1192</f>
        <v>-95.000000000000909</v>
      </c>
      <c r="AV1193" s="940">
        <f t="shared" ref="AV1193:BE1193" si="4427">+AV1194-AV1191-AV1190-AV1192</f>
        <v>-337</v>
      </c>
      <c r="AW1193" s="940">
        <f t="shared" si="4427"/>
        <v>1545.9999999999991</v>
      </c>
      <c r="AX1193" s="940">
        <f t="shared" si="4427"/>
        <v>-1404</v>
      </c>
      <c r="AY1193" s="940">
        <f t="shared" si="4427"/>
        <v>-709</v>
      </c>
      <c r="AZ1193" s="940">
        <f t="shared" si="4427"/>
        <v>915</v>
      </c>
      <c r="BA1193" s="940">
        <f t="shared" si="4427"/>
        <v>-673</v>
      </c>
      <c r="BB1193" s="940">
        <f t="shared" si="4427"/>
        <v>2396.9999999999982</v>
      </c>
      <c r="BC1193" s="940">
        <f t="shared" si="4427"/>
        <v>-2981</v>
      </c>
      <c r="BD1193" s="940">
        <f t="shared" si="4427"/>
        <v>-431</v>
      </c>
      <c r="BE1193" s="940">
        <f t="shared" si="4427"/>
        <v>1347.0000000000018</v>
      </c>
      <c r="BG1193" s="940">
        <f>+BG1194-BG1191-BG1190-BG1192</f>
        <v>1186</v>
      </c>
      <c r="BH1193" s="940">
        <f t="shared" ref="BH1193:BJ1193" si="4428">+BH1194-BH1191-BH1190-BH1192</f>
        <v>-344.00000000000182</v>
      </c>
      <c r="BI1193" s="940">
        <f t="shared" si="4428"/>
        <v>-1291</v>
      </c>
      <c r="BJ1193" s="940">
        <f t="shared" si="4428"/>
        <v>563</v>
      </c>
      <c r="BK1193" s="940">
        <f t="shared" ref="BK1193" si="4429">+BK1194-BK1191-BK1190-BK1192</f>
        <v>2054</v>
      </c>
      <c r="BL1193" s="940">
        <f t="shared" ref="BL1193:BM1193" si="4430">+BL1194-BL1191-BL1190</f>
        <v>2765.4199999999983</v>
      </c>
      <c r="BM1193" s="940">
        <f t="shared" si="4430"/>
        <v>937.36000000000058</v>
      </c>
      <c r="BN1193" s="940">
        <f t="shared" ref="BN1193:BO1193" si="4431">+BN1194-BN1191-BN1190</f>
        <v>-7370.7799999999988</v>
      </c>
      <c r="BO1193" s="940">
        <f t="shared" si="4431"/>
        <v>-518.71374999999534</v>
      </c>
      <c r="BP1193" s="939"/>
      <c r="BT1193" s="228"/>
      <c r="BU1193" s="3"/>
      <c r="BV1193" s="3"/>
      <c r="BW1193" s="3"/>
      <c r="BX1193" s="3"/>
      <c r="BY1193" s="3"/>
      <c r="BZ1193" s="3"/>
      <c r="CA1193" s="3"/>
      <c r="CB1193" s="3"/>
      <c r="CC1193" s="3"/>
    </row>
    <row r="1194" spans="2:81" s="1" customFormat="1" ht="10.5">
      <c r="B1194" s="837" t="s">
        <v>147</v>
      </c>
      <c r="D1194" s="838"/>
      <c r="E1194" s="838"/>
      <c r="F1194" s="838"/>
      <c r="G1194" s="838"/>
      <c r="H1194" s="838">
        <f t="shared" ref="H1194:AJ1194" si="4432">+H1158-H1199</f>
        <v>9249</v>
      </c>
      <c r="I1194" s="838">
        <f t="shared" si="4432"/>
        <v>3793</v>
      </c>
      <c r="J1194" s="838">
        <f t="shared" si="4432"/>
        <v>8560</v>
      </c>
      <c r="K1194" s="838">
        <f t="shared" si="4432"/>
        <v>7705</v>
      </c>
      <c r="L1194" s="838">
        <f t="shared" si="4432"/>
        <v>9740</v>
      </c>
      <c r="M1194" s="838">
        <f t="shared" si="4432"/>
        <v>4575</v>
      </c>
      <c r="N1194" s="838">
        <f t="shared" si="4432"/>
        <v>8651</v>
      </c>
      <c r="O1194" s="838">
        <f t="shared" si="4432"/>
        <v>7318</v>
      </c>
      <c r="P1194" s="838">
        <f t="shared" si="4432"/>
        <v>9357</v>
      </c>
      <c r="Q1194" s="838">
        <f t="shared" si="4432"/>
        <v>5000</v>
      </c>
      <c r="R1194" s="838">
        <f t="shared" si="4432"/>
        <v>10120</v>
      </c>
      <c r="S1194" s="838">
        <f t="shared" si="4432"/>
        <v>10808</v>
      </c>
      <c r="T1194" s="838">
        <f t="shared" si="4432"/>
        <v>9018</v>
      </c>
      <c r="U1194" s="838">
        <f t="shared" si="4432"/>
        <v>6180</v>
      </c>
      <c r="V1194" s="838">
        <f t="shared" si="4432"/>
        <v>13604</v>
      </c>
      <c r="W1194" s="838">
        <f t="shared" si="4432"/>
        <v>12873</v>
      </c>
      <c r="X1194" s="838">
        <f t="shared" si="4432"/>
        <v>13835</v>
      </c>
      <c r="Y1194" s="838">
        <f t="shared" si="4432"/>
        <v>7116</v>
      </c>
      <c r="Z1194" s="838">
        <f t="shared" si="4432"/>
        <v>16179</v>
      </c>
      <c r="AA1194" s="838">
        <f t="shared" si="4432"/>
        <v>15410</v>
      </c>
      <c r="AB1194" s="838">
        <f t="shared" si="4432"/>
        <v>17140</v>
      </c>
      <c r="AC1194" s="838">
        <f t="shared" si="4432"/>
        <v>7680</v>
      </c>
      <c r="AD1194" s="838">
        <f t="shared" si="4432"/>
        <v>19086</v>
      </c>
      <c r="AE1194" s="838">
        <f t="shared" si="4432"/>
        <v>15929</v>
      </c>
      <c r="AF1194" s="838">
        <f t="shared" si="4432"/>
        <v>16598</v>
      </c>
      <c r="AG1194" s="838">
        <f t="shared" si="4432"/>
        <v>4373</v>
      </c>
      <c r="AH1194" s="838">
        <f t="shared" si="4432"/>
        <v>16641</v>
      </c>
      <c r="AI1194" s="838">
        <f t="shared" si="4432"/>
        <v>18070</v>
      </c>
      <c r="AJ1194" s="838">
        <f t="shared" si="4432"/>
        <v>19383</v>
      </c>
      <c r="AK1194" s="838">
        <f t="shared" ref="AK1194:AL1194" si="4433">+AK1158-AK1199</f>
        <v>7353</v>
      </c>
      <c r="AL1194" s="838">
        <f t="shared" si="4433"/>
        <v>17917</v>
      </c>
      <c r="AM1194" s="838">
        <f t="shared" ref="AM1194:AN1194" si="4434">+AM1158-AM1199</f>
        <v>18195</v>
      </c>
      <c r="AN1194" s="838">
        <f t="shared" si="4434"/>
        <v>14180</v>
      </c>
      <c r="AO1194" s="29"/>
      <c r="AP1194" s="29"/>
      <c r="AQ1194" s="29"/>
      <c r="AR1194" s="29"/>
      <c r="AS1194" s="838"/>
      <c r="AT1194" s="838"/>
      <c r="AU1194" s="838">
        <f t="shared" ref="AU1194:BE1194" si="4435">+AU1158-AU1199</f>
        <v>15532</v>
      </c>
      <c r="AV1194" s="838">
        <f t="shared" si="4435"/>
        <v>18430</v>
      </c>
      <c r="AW1194" s="838">
        <f t="shared" si="4435"/>
        <v>15918</v>
      </c>
      <c r="AX1194" s="838">
        <f t="shared" si="4435"/>
        <v>22096</v>
      </c>
      <c r="AY1194" s="838">
        <f t="shared" si="4435"/>
        <v>24639</v>
      </c>
      <c r="AZ1194" s="838">
        <f t="shared" si="4435"/>
        <v>29321</v>
      </c>
      <c r="BA1194" s="838">
        <f t="shared" si="4435"/>
        <v>24576</v>
      </c>
      <c r="BB1194" s="838">
        <f t="shared" si="4435"/>
        <v>27017</v>
      </c>
      <c r="BC1194" s="838">
        <f t="shared" si="4435"/>
        <v>23724</v>
      </c>
      <c r="BD1194" s="838">
        <f t="shared" si="4435"/>
        <v>24425</v>
      </c>
      <c r="BE1194" s="838">
        <f t="shared" si="4435"/>
        <v>29307</v>
      </c>
      <c r="BG1194" s="838">
        <f t="shared" ref="BG1194:BN1194" si="4436">+BG1158-BG1199</f>
        <v>24425</v>
      </c>
      <c r="BH1194" s="838">
        <f t="shared" si="4436"/>
        <v>29307</v>
      </c>
      <c r="BI1194" s="838">
        <f t="shared" si="4436"/>
        <v>30284</v>
      </c>
      <c r="BJ1194" s="838">
        <f t="shared" si="4436"/>
        <v>35285</v>
      </c>
      <c r="BK1194" s="838">
        <f t="shared" si="4436"/>
        <v>41675</v>
      </c>
      <c r="BL1194" s="838">
        <f t="shared" si="4436"/>
        <v>52540</v>
      </c>
      <c r="BM1194" s="838">
        <f t="shared" si="4436"/>
        <v>59835</v>
      </c>
      <c r="BN1194" s="838">
        <f t="shared" si="4436"/>
        <v>55682</v>
      </c>
      <c r="BO1194" s="838">
        <f t="shared" ref="BO1194" si="4437">+BO1158-BO1199</f>
        <v>62848</v>
      </c>
      <c r="BP1194" s="838"/>
      <c r="BT1194"/>
      <c r="BU1194"/>
      <c r="BV1194"/>
      <c r="BW1194"/>
      <c r="BX1194"/>
      <c r="BY1194"/>
      <c r="BZ1194"/>
      <c r="CA1194"/>
      <c r="CB1194"/>
      <c r="CC1194"/>
    </row>
    <row r="1195" spans="2:81" s="1" customFormat="1" ht="10.5">
      <c r="B1195" s="837"/>
      <c r="D1195" s="838"/>
      <c r="E1195" s="838"/>
      <c r="F1195" s="838"/>
      <c r="G1195" s="838"/>
      <c r="H1195" s="838"/>
      <c r="I1195" s="838"/>
      <c r="J1195" s="838"/>
      <c r="K1195" s="838"/>
      <c r="L1195" s="838"/>
      <c r="M1195" s="838"/>
      <c r="N1195" s="838"/>
      <c r="O1195" s="838"/>
      <c r="P1195" s="838"/>
      <c r="Q1195" s="838"/>
      <c r="R1195" s="838"/>
      <c r="S1195" s="838"/>
      <c r="T1195" s="838"/>
      <c r="U1195" s="838"/>
      <c r="V1195" s="838"/>
      <c r="W1195" s="838"/>
      <c r="X1195" s="838"/>
      <c r="Y1195" s="838"/>
      <c r="Z1195" s="838"/>
      <c r="AA1195" s="838"/>
      <c r="AB1195" s="838"/>
      <c r="AC1195" s="838"/>
      <c r="AD1195" s="838"/>
      <c r="AE1195" s="838"/>
      <c r="AF1195" s="838"/>
      <c r="AG1195" s="838"/>
      <c r="AH1195" s="838"/>
      <c r="AI1195" s="838"/>
      <c r="AJ1195" s="838"/>
      <c r="AK1195" s="838"/>
      <c r="AL1195" s="838"/>
      <c r="AM1195" s="29"/>
      <c r="AN1195" s="29"/>
      <c r="AO1195" s="29"/>
      <c r="AP1195" s="29"/>
      <c r="AQ1195" s="29"/>
      <c r="AR1195" s="29"/>
      <c r="AS1195" s="838"/>
      <c r="AT1195" s="838"/>
      <c r="AU1195" s="838"/>
      <c r="AV1195" s="838"/>
      <c r="AW1195" s="838"/>
      <c r="AX1195" s="838"/>
      <c r="AY1195" s="838"/>
      <c r="AZ1195" s="838"/>
      <c r="BA1195" s="838"/>
      <c r="BB1195" s="838"/>
      <c r="BC1195" s="838"/>
      <c r="BD1195" s="838"/>
      <c r="BE1195" s="838"/>
      <c r="BG1195" s="838"/>
      <c r="BH1195" s="838"/>
      <c r="BI1195" s="838"/>
      <c r="BJ1195" s="838"/>
      <c r="BK1195" s="838"/>
      <c r="BL1195" s="838"/>
      <c r="BM1195" s="838"/>
      <c r="BN1195" s="838"/>
      <c r="BO1195" s="838"/>
      <c r="BP1195" s="838"/>
      <c r="BT1195"/>
      <c r="BU1195"/>
      <c r="BV1195"/>
      <c r="BW1195"/>
      <c r="BX1195"/>
      <c r="BY1195"/>
      <c r="BZ1195"/>
      <c r="CA1195"/>
      <c r="CB1195"/>
      <c r="CC1195"/>
    </row>
    <row r="1196" spans="2:81" s="1" customFormat="1" ht="10.5">
      <c r="B1196" s="45" t="s">
        <v>133</v>
      </c>
      <c r="D1196" s="838"/>
      <c r="E1196" s="838"/>
      <c r="F1196" s="838"/>
      <c r="G1196" s="838"/>
      <c r="H1196" s="838"/>
      <c r="I1196" s="838"/>
      <c r="J1196" s="838"/>
      <c r="K1196" s="838"/>
      <c r="L1196" s="838"/>
      <c r="M1196" s="838"/>
      <c r="N1196" s="838"/>
      <c r="O1196" s="838"/>
      <c r="P1196" s="838"/>
      <c r="Q1196" s="838"/>
      <c r="R1196" s="838"/>
      <c r="S1196" s="838"/>
      <c r="T1196" s="838"/>
      <c r="U1196" s="838"/>
      <c r="V1196" s="838"/>
      <c r="W1196" s="838"/>
      <c r="X1196" s="838"/>
      <c r="Y1196" s="838"/>
      <c r="Z1196" s="838"/>
      <c r="AA1196" s="838"/>
      <c r="AB1196" s="838"/>
      <c r="AC1196" s="838"/>
      <c r="AD1196" s="838"/>
      <c r="AE1196" s="838"/>
      <c r="AF1196" s="838"/>
      <c r="AG1196" s="838"/>
      <c r="AH1196" s="838"/>
      <c r="AI1196" s="838"/>
      <c r="AJ1196" s="838"/>
      <c r="AK1196" s="838"/>
      <c r="AL1196" s="838"/>
      <c r="AM1196" s="29"/>
      <c r="AN1196" s="29"/>
      <c r="AO1196" s="29"/>
      <c r="AP1196" s="29"/>
      <c r="AQ1196" s="29"/>
      <c r="AR1196" s="29"/>
      <c r="AS1196" s="838"/>
      <c r="AT1196" s="838"/>
      <c r="AU1196" s="838"/>
      <c r="AV1196" s="838"/>
      <c r="AW1196" s="838"/>
      <c r="AX1196" s="838"/>
      <c r="AY1196" s="838"/>
      <c r="AZ1196" s="838"/>
      <c r="BA1196" s="838"/>
      <c r="BB1196" s="838"/>
      <c r="BC1196" s="838"/>
      <c r="BD1196" s="838"/>
      <c r="BE1196" s="838"/>
      <c r="BG1196" s="838"/>
      <c r="BH1196" s="838"/>
      <c r="BI1196" s="838"/>
      <c r="BJ1196" s="838"/>
      <c r="BK1196" s="838"/>
      <c r="BL1196" s="838"/>
      <c r="BM1196" s="838"/>
      <c r="BN1196" s="838"/>
      <c r="BO1196" s="838"/>
      <c r="BP1196" s="838"/>
      <c r="BT1196"/>
      <c r="BU1196"/>
      <c r="BV1196"/>
      <c r="BW1196"/>
      <c r="BX1196"/>
      <c r="BY1196"/>
      <c r="BZ1196"/>
      <c r="CA1196"/>
      <c r="CB1196"/>
      <c r="CC1196"/>
    </row>
    <row r="1197" spans="2:81" s="100" customFormat="1" ht="11.45">
      <c r="B1197" s="100" t="str">
        <f>+B1161</f>
        <v>Additions to property plant and equipment</v>
      </c>
      <c r="D1197" s="11"/>
      <c r="E1197" s="11"/>
      <c r="F1197" s="11"/>
      <c r="G1197" s="11"/>
      <c r="H1197" s="857"/>
      <c r="I1197" s="857"/>
      <c r="J1197" s="857"/>
      <c r="K1197" s="857"/>
      <c r="L1197" s="857"/>
      <c r="M1197" s="857"/>
      <c r="N1197" s="857"/>
      <c r="O1197" s="857"/>
      <c r="P1197" s="857">
        <f>+P1199-P1198</f>
        <v>3602</v>
      </c>
      <c r="Q1197" s="857">
        <f t="shared" ref="Q1197:BM1197" si="4438">+Q1199-Q1198</f>
        <v>3707</v>
      </c>
      <c r="R1197" s="857">
        <f t="shared" si="4438"/>
        <v>2565</v>
      </c>
      <c r="S1197" s="857">
        <f t="shared" si="4438"/>
        <v>4051</v>
      </c>
      <c r="T1197" s="857">
        <f t="shared" si="4438"/>
        <v>3385</v>
      </c>
      <c r="U1197" s="857">
        <f t="shared" si="4438"/>
        <v>3545</v>
      </c>
      <c r="V1197" s="857">
        <f t="shared" si="4438"/>
        <v>3767</v>
      </c>
      <c r="W1197" s="857">
        <f t="shared" si="4438"/>
        <v>4744</v>
      </c>
      <c r="X1197" s="857">
        <f t="shared" si="4438"/>
        <v>4907</v>
      </c>
      <c r="Y1197" s="857">
        <f t="shared" si="4438"/>
        <v>4174</v>
      </c>
      <c r="Z1197" s="857">
        <f t="shared" si="4438"/>
        <v>5089</v>
      </c>
      <c r="AA1197" s="857">
        <f t="shared" si="4438"/>
        <v>6452</v>
      </c>
      <c r="AB1197" s="857">
        <f t="shared" si="4438"/>
        <v>5810</v>
      </c>
      <c r="AC1197" s="857">
        <f t="shared" si="4438"/>
        <v>5865</v>
      </c>
      <c r="AD1197" s="857">
        <f t="shared" si="4438"/>
        <v>5340</v>
      </c>
      <c r="AE1197" s="857">
        <f t="shared" si="4438"/>
        <v>6871</v>
      </c>
      <c r="AF1197" s="857">
        <f t="shared" si="4438"/>
        <v>6283</v>
      </c>
      <c r="AG1197" s="857">
        <f t="shared" ref="AG1197:AH1197" si="4439">+AG1199-AG1198</f>
        <v>6274</v>
      </c>
      <c r="AH1197" s="857">
        <f t="shared" si="4439"/>
        <v>6607</v>
      </c>
      <c r="AI1197" s="857">
        <f t="shared" ref="AI1197:AJ1197" si="4440">+AI1199-AI1198</f>
        <v>8943</v>
      </c>
      <c r="AJ1197" s="857">
        <f t="shared" si="4440"/>
        <v>9917</v>
      </c>
      <c r="AK1197" s="857">
        <f t="shared" ref="AK1197:AL1197" si="4441">+AK1199-AK1198</f>
        <v>9735</v>
      </c>
      <c r="AL1197" s="857">
        <f t="shared" si="4441"/>
        <v>10952</v>
      </c>
      <c r="AM1197" s="857">
        <f t="shared" ref="AM1197:AN1197" si="4442">+AM1199-AM1198</f>
        <v>13873</v>
      </c>
      <c r="AN1197" s="857">
        <f t="shared" si="4442"/>
        <v>14923</v>
      </c>
      <c r="AO1197" s="29"/>
      <c r="AP1197" s="29"/>
      <c r="AQ1197" s="29"/>
      <c r="AR1197" s="29"/>
      <c r="AS1197" s="11">
        <f t="shared" si="4438"/>
        <v>812</v>
      </c>
      <c r="AT1197" s="11">
        <f t="shared" si="4438"/>
        <v>1578</v>
      </c>
      <c r="AU1197" s="11">
        <f t="shared" si="4438"/>
        <v>2264</v>
      </c>
      <c r="AV1197" s="11">
        <f t="shared" si="4438"/>
        <v>3182</v>
      </c>
      <c r="AW1197" s="11">
        <f t="shared" si="4438"/>
        <v>3119</v>
      </c>
      <c r="AX1197" s="11">
        <f t="shared" si="4438"/>
        <v>1977</v>
      </c>
      <c r="AY1197" s="11">
        <f t="shared" si="4438"/>
        <v>2355</v>
      </c>
      <c r="AZ1197" s="11">
        <f t="shared" si="4438"/>
        <v>2305</v>
      </c>
      <c r="BA1197" s="11">
        <f t="shared" si="4438"/>
        <v>4257</v>
      </c>
      <c r="BB1197" s="11">
        <f t="shared" si="4438"/>
        <v>5485</v>
      </c>
      <c r="BC1197" s="11">
        <f t="shared" si="4438"/>
        <v>5944</v>
      </c>
      <c r="BD1197" s="11">
        <f t="shared" si="4438"/>
        <v>8343</v>
      </c>
      <c r="BE1197" s="11">
        <f t="shared" si="4438"/>
        <v>8129</v>
      </c>
      <c r="BG1197" s="11">
        <f t="shared" si="4438"/>
        <v>8343</v>
      </c>
      <c r="BH1197" s="11">
        <f t="shared" si="4438"/>
        <v>8129</v>
      </c>
      <c r="BI1197" s="11">
        <f t="shared" si="4438"/>
        <v>11632</v>
      </c>
      <c r="BJ1197" s="11">
        <f t="shared" si="4438"/>
        <v>13925</v>
      </c>
      <c r="BK1197" s="11">
        <f t="shared" si="4438"/>
        <v>15441</v>
      </c>
      <c r="BL1197" s="11">
        <f t="shared" si="4438"/>
        <v>20622</v>
      </c>
      <c r="BM1197" s="11">
        <f t="shared" si="4438"/>
        <v>23886</v>
      </c>
      <c r="BN1197" s="11">
        <f t="shared" ref="BN1197:BO1197" si="4443">+BN1199-BN1198</f>
        <v>28107</v>
      </c>
      <c r="BO1197" s="11">
        <f t="shared" si="4443"/>
        <v>44477</v>
      </c>
      <c r="BP1197" s="11"/>
      <c r="BT1197" s="953"/>
      <c r="BU1197" s="953"/>
      <c r="BV1197" s="953"/>
      <c r="BW1197" s="953"/>
      <c r="BX1197" s="953"/>
      <c r="BY1197" s="953"/>
      <c r="BZ1197" s="953"/>
      <c r="CA1197" s="953"/>
      <c r="CB1197" s="953"/>
      <c r="CC1197" s="953"/>
    </row>
    <row r="1198" spans="2:81" s="953" customFormat="1" ht="11.45">
      <c r="B1198" t="s">
        <v>620</v>
      </c>
      <c r="D1198" s="34">
        <f t="shared" ref="D1198:AJ1198" si="4444">+D1199-(-D1161)</f>
        <v>144</v>
      </c>
      <c r="E1198" s="34">
        <f t="shared" si="4444"/>
        <v>-24</v>
      </c>
      <c r="F1198" s="34">
        <f t="shared" si="4444"/>
        <v>-8</v>
      </c>
      <c r="G1198" s="34">
        <f t="shared" si="4444"/>
        <v>445</v>
      </c>
      <c r="H1198" s="34">
        <f t="shared" si="4444"/>
        <v>137</v>
      </c>
      <c r="I1198" s="34">
        <f t="shared" si="4444"/>
        <v>512</v>
      </c>
      <c r="J1198" s="34">
        <f t="shared" si="4444"/>
        <v>405</v>
      </c>
      <c r="K1198" s="34">
        <f t="shared" si="4444"/>
        <v>1017</v>
      </c>
      <c r="L1198" s="34">
        <f t="shared" si="4444"/>
        <v>568</v>
      </c>
      <c r="M1198" s="34">
        <f t="shared" si="4444"/>
        <v>714</v>
      </c>
      <c r="N1198" s="34">
        <f t="shared" si="4444"/>
        <v>566</v>
      </c>
      <c r="O1198" s="34">
        <f t="shared" si="4444"/>
        <v>120</v>
      </c>
      <c r="P1198" s="34">
        <f t="shared" si="4444"/>
        <v>698</v>
      </c>
      <c r="Q1198" s="34">
        <f t="shared" si="4444"/>
        <v>193</v>
      </c>
      <c r="R1198" s="34">
        <f t="shared" si="4444"/>
        <v>835</v>
      </c>
      <c r="S1198" s="34">
        <f t="shared" si="4444"/>
        <v>1249</v>
      </c>
      <c r="T1198" s="34">
        <f t="shared" si="4444"/>
        <v>1415</v>
      </c>
      <c r="U1198" s="34">
        <f t="shared" si="4444"/>
        <v>955</v>
      </c>
      <c r="V1198" s="34">
        <f t="shared" si="4444"/>
        <v>133</v>
      </c>
      <c r="W1198" s="34">
        <f t="shared" si="4444"/>
        <v>1056</v>
      </c>
      <c r="X1198" s="34">
        <f t="shared" si="4444"/>
        <v>593</v>
      </c>
      <c r="Y1198" s="34">
        <f t="shared" si="4444"/>
        <v>1226</v>
      </c>
      <c r="Z1198" s="34">
        <f t="shared" si="4444"/>
        <v>911</v>
      </c>
      <c r="AA1198" s="34">
        <f t="shared" si="4444"/>
        <v>848</v>
      </c>
      <c r="AB1198" s="34">
        <f t="shared" si="4444"/>
        <v>1590</v>
      </c>
      <c r="AC1198" s="34">
        <f t="shared" si="4444"/>
        <v>935</v>
      </c>
      <c r="AD1198" s="34">
        <f t="shared" si="4444"/>
        <v>960</v>
      </c>
      <c r="AE1198" s="34">
        <f t="shared" si="4444"/>
        <v>1829</v>
      </c>
      <c r="AF1198" s="34">
        <f t="shared" si="4444"/>
        <v>317</v>
      </c>
      <c r="AG1198" s="34">
        <f t="shared" si="4444"/>
        <v>526</v>
      </c>
      <c r="AH1198" s="34">
        <f t="shared" si="4444"/>
        <v>1193</v>
      </c>
      <c r="AI1198" s="34">
        <f t="shared" si="4444"/>
        <v>1757</v>
      </c>
      <c r="AJ1198" s="34">
        <f t="shared" si="4444"/>
        <v>1283</v>
      </c>
      <c r="AK1198" s="34">
        <f t="shared" ref="AK1198:AL1198" si="4445">+AK1199-(-AK1161)</f>
        <v>1765</v>
      </c>
      <c r="AL1198" s="34">
        <f t="shared" si="4445"/>
        <v>3048</v>
      </c>
      <c r="AM1198" s="34">
        <f t="shared" ref="AM1198:AN1198" si="4446">+AM1199-(-AM1161)</f>
        <v>5127</v>
      </c>
      <c r="AN1198" s="34">
        <f t="shared" si="4446"/>
        <v>5077</v>
      </c>
      <c r="AO1198" s="29"/>
      <c r="AP1198" s="29"/>
      <c r="AQ1198" s="29"/>
      <c r="AR1198" s="29"/>
      <c r="AS1198" s="34">
        <f t="shared" ref="AS1198:BE1198" si="4447">+AS1199-(-AS1161)</f>
        <v>0</v>
      </c>
      <c r="AT1198" s="34">
        <f t="shared" si="4447"/>
        <v>0</v>
      </c>
      <c r="AU1198" s="34">
        <f t="shared" si="4447"/>
        <v>0</v>
      </c>
      <c r="AV1198" s="34">
        <f t="shared" si="4447"/>
        <v>0</v>
      </c>
      <c r="AW1198" s="34">
        <f t="shared" si="4447"/>
        <v>0</v>
      </c>
      <c r="AX1198" s="34">
        <f t="shared" si="4447"/>
        <v>0</v>
      </c>
      <c r="AY1198" s="34">
        <f t="shared" si="4447"/>
        <v>0</v>
      </c>
      <c r="AZ1198" s="34">
        <f t="shared" si="4447"/>
        <v>0</v>
      </c>
      <c r="BA1198" s="34">
        <f t="shared" si="4447"/>
        <v>0</v>
      </c>
      <c r="BB1198" s="34">
        <f t="shared" si="4447"/>
        <v>0</v>
      </c>
      <c r="BC1198" s="34">
        <f t="shared" si="4447"/>
        <v>0</v>
      </c>
      <c r="BD1198" s="34">
        <f t="shared" si="4447"/>
        <v>557</v>
      </c>
      <c r="BE1198" s="34">
        <f t="shared" si="4447"/>
        <v>2071</v>
      </c>
      <c r="BG1198" s="34">
        <f t="shared" ref="BG1198:BN1198" si="4448">+BG1199-(-BG1161)</f>
        <v>557</v>
      </c>
      <c r="BH1198" s="34">
        <f t="shared" si="4448"/>
        <v>2071</v>
      </c>
      <c r="BI1198" s="34">
        <f t="shared" si="4448"/>
        <v>1968</v>
      </c>
      <c r="BJ1198" s="34">
        <f t="shared" si="4448"/>
        <v>2975</v>
      </c>
      <c r="BK1198" s="34">
        <f t="shared" si="4448"/>
        <v>3559</v>
      </c>
      <c r="BL1198" s="34">
        <f t="shared" si="4448"/>
        <v>3578</v>
      </c>
      <c r="BM1198" s="34">
        <f t="shared" si="4448"/>
        <v>5314</v>
      </c>
      <c r="BN1198" s="34">
        <f t="shared" si="4448"/>
        <v>3793</v>
      </c>
      <c r="BO1198" s="34">
        <f t="shared" ref="BO1198" si="4449">+BO1199-(-BO1161)</f>
        <v>11223</v>
      </c>
      <c r="BP1198" s="30"/>
      <c r="BT1198"/>
      <c r="BU1198"/>
      <c r="BV1198"/>
      <c r="BW1198"/>
      <c r="BX1198"/>
      <c r="BY1198"/>
      <c r="BZ1198"/>
      <c r="CA1198"/>
      <c r="CB1198"/>
      <c r="CC1198"/>
    </row>
    <row r="1199" spans="2:81" s="1" customFormat="1" ht="10.5">
      <c r="B1199" s="837" t="s">
        <v>621</v>
      </c>
      <c r="C1199"/>
      <c r="D1199" s="29">
        <v>1500</v>
      </c>
      <c r="E1199" s="29">
        <v>2000</v>
      </c>
      <c r="F1199" s="29">
        <v>2300</v>
      </c>
      <c r="G1199" s="29">
        <v>3100</v>
      </c>
      <c r="H1199" s="29">
        <v>2300</v>
      </c>
      <c r="I1199" s="29">
        <v>2500</v>
      </c>
      <c r="J1199" s="29">
        <v>2100</v>
      </c>
      <c r="K1199" s="11">
        <v>3300</v>
      </c>
      <c r="L1199" s="29">
        <v>2700</v>
      </c>
      <c r="M1199" s="29">
        <v>3300</v>
      </c>
      <c r="N1199" s="29">
        <v>3500</v>
      </c>
      <c r="O1199" s="11">
        <v>4100</v>
      </c>
      <c r="P1199" s="29">
        <v>4300</v>
      </c>
      <c r="Q1199" s="29">
        <v>3900</v>
      </c>
      <c r="R1199" s="29">
        <v>3400</v>
      </c>
      <c r="S1199" s="11">
        <v>5300</v>
      </c>
      <c r="T1199" s="29">
        <v>4800</v>
      </c>
      <c r="U1199" s="29">
        <v>4500</v>
      </c>
      <c r="V1199" s="29">
        <v>3900</v>
      </c>
      <c r="W1199" s="29">
        <v>5800</v>
      </c>
      <c r="X1199" s="29">
        <v>5500</v>
      </c>
      <c r="Y1199" s="29">
        <v>5400</v>
      </c>
      <c r="Z1199" s="29">
        <v>6000</v>
      </c>
      <c r="AA1199" s="29">
        <v>7300</v>
      </c>
      <c r="AB1199" s="29">
        <v>7400</v>
      </c>
      <c r="AC1199" s="29">
        <v>6800</v>
      </c>
      <c r="AD1199" s="29">
        <v>6300</v>
      </c>
      <c r="AE1199" s="29">
        <v>8700</v>
      </c>
      <c r="AF1199" s="29">
        <v>6600</v>
      </c>
      <c r="AG1199" s="29">
        <v>6800</v>
      </c>
      <c r="AH1199" s="29">
        <v>7800</v>
      </c>
      <c r="AI1199" s="29">
        <v>10700</v>
      </c>
      <c r="AJ1199" s="29">
        <v>11200</v>
      </c>
      <c r="AK1199" s="29">
        <v>11500</v>
      </c>
      <c r="AL1199" s="29">
        <v>14000</v>
      </c>
      <c r="AM1199" s="29">
        <v>19000</v>
      </c>
      <c r="AN1199" s="29">
        <v>20000</v>
      </c>
      <c r="AO1199" s="29"/>
      <c r="AP1199" s="29"/>
      <c r="AQ1199" s="29"/>
      <c r="AR1199" s="29"/>
      <c r="AS1199" s="8">
        <f t="shared" ref="AS1199:BC1199" si="4450">-AS1161</f>
        <v>812</v>
      </c>
      <c r="AT1199" s="8">
        <f t="shared" si="4450"/>
        <v>1578</v>
      </c>
      <c r="AU1199" s="8">
        <f t="shared" si="4450"/>
        <v>2264</v>
      </c>
      <c r="AV1199" s="8">
        <f t="shared" si="4450"/>
        <v>3182</v>
      </c>
      <c r="AW1199" s="8">
        <f t="shared" si="4450"/>
        <v>3119</v>
      </c>
      <c r="AX1199" s="8">
        <f t="shared" si="4450"/>
        <v>1977</v>
      </c>
      <c r="AY1199" s="8">
        <f t="shared" si="4450"/>
        <v>2355</v>
      </c>
      <c r="AZ1199" s="8">
        <f t="shared" si="4450"/>
        <v>2305</v>
      </c>
      <c r="BA1199" s="8">
        <f t="shared" si="4450"/>
        <v>4257</v>
      </c>
      <c r="BB1199" s="8">
        <f t="shared" si="4450"/>
        <v>5485</v>
      </c>
      <c r="BC1199" s="8">
        <f t="shared" si="4450"/>
        <v>5944</v>
      </c>
      <c r="BD1199" s="8">
        <f>+SUM(D1199:G1199)</f>
        <v>8900</v>
      </c>
      <c r="BE1199" s="8">
        <f>+SUM(H1199:K1199)</f>
        <v>10200</v>
      </c>
      <c r="BF1199"/>
      <c r="BG1199" s="8">
        <f>+BD1199</f>
        <v>8900</v>
      </c>
      <c r="BH1199" s="8">
        <f>+SUM(H1199:K1199)</f>
        <v>10200</v>
      </c>
      <c r="BI1199" s="29">
        <f>+SUM(L1199:O1199)</f>
        <v>13600</v>
      </c>
      <c r="BJ1199" s="29">
        <f>+SUM(P1199:S1199)</f>
        <v>16900</v>
      </c>
      <c r="BK1199" s="8">
        <f>SUM(T1199:W1199)</f>
        <v>19000</v>
      </c>
      <c r="BL1199" s="11">
        <f>SUM(X1199:AA1199)</f>
        <v>24200</v>
      </c>
      <c r="BM1199" s="8">
        <f>SUM(AB1199:AE1199)</f>
        <v>29200</v>
      </c>
      <c r="BN1199" s="8">
        <f>SUM(AF1199:AI1199)</f>
        <v>31900</v>
      </c>
      <c r="BO1199" s="8">
        <f>+SUM(AJ1199:AM1199)</f>
        <v>55700</v>
      </c>
      <c r="BP1199" s="838"/>
      <c r="BT1199"/>
      <c r="BU1199"/>
      <c r="BV1199"/>
      <c r="BW1199"/>
      <c r="BX1199"/>
      <c r="BY1199"/>
      <c r="BZ1199"/>
      <c r="CA1199"/>
      <c r="CB1199"/>
      <c r="CC1199"/>
    </row>
    <row r="1200" spans="2:81" s="1" customFormat="1" ht="10.5">
      <c r="B1200" s="837"/>
      <c r="D1200" s="838"/>
      <c r="E1200" s="838"/>
      <c r="F1200" s="838"/>
      <c r="G1200" s="838"/>
      <c r="H1200" s="838"/>
      <c r="I1200" s="838"/>
      <c r="J1200" s="838"/>
      <c r="K1200" s="838"/>
      <c r="L1200" s="838"/>
      <c r="M1200" s="838"/>
      <c r="N1200" s="838"/>
      <c r="O1200" s="838"/>
      <c r="P1200" s="838"/>
      <c r="Q1200" s="838"/>
      <c r="R1200" s="838"/>
      <c r="S1200" s="838"/>
      <c r="T1200" s="838"/>
      <c r="U1200" s="838"/>
      <c r="V1200" s="838"/>
      <c r="W1200" s="838"/>
      <c r="X1200" s="838"/>
      <c r="Y1200" s="838"/>
      <c r="Z1200" s="838"/>
      <c r="AA1200" s="838"/>
      <c r="AB1200" s="838"/>
      <c r="AC1200" s="838"/>
      <c r="AD1200" s="838"/>
      <c r="AE1200" s="838"/>
      <c r="AF1200" s="838"/>
      <c r="AG1200" s="838"/>
      <c r="AH1200" s="838"/>
      <c r="AI1200" s="838"/>
      <c r="AJ1200" s="838"/>
      <c r="AK1200" s="838"/>
      <c r="AL1200" s="838"/>
      <c r="AM1200" s="29"/>
      <c r="AN1200" s="29"/>
      <c r="AO1200" s="29"/>
      <c r="AP1200" s="29"/>
      <c r="AQ1200" s="29"/>
      <c r="AR1200" s="29"/>
      <c r="AS1200" s="838"/>
      <c r="AT1200" s="838"/>
      <c r="AU1200" s="838"/>
      <c r="AV1200" s="838"/>
      <c r="AW1200" s="838"/>
      <c r="AX1200" s="838"/>
      <c r="AY1200" s="838"/>
      <c r="AZ1200" s="838"/>
      <c r="BA1200" s="838"/>
      <c r="BB1200" s="838"/>
      <c r="BC1200" s="838"/>
      <c r="BD1200" s="838"/>
      <c r="BE1200" s="838"/>
      <c r="BG1200" s="838"/>
      <c r="BH1200" s="838"/>
      <c r="BI1200" s="838"/>
      <c r="BJ1200" s="838"/>
      <c r="BK1200" s="838"/>
      <c r="BL1200" s="838"/>
      <c r="BM1200" s="838"/>
      <c r="BN1200" s="838"/>
      <c r="BO1200" s="838"/>
      <c r="BP1200" s="838"/>
      <c r="BT1200"/>
      <c r="BU1200"/>
      <c r="BV1200"/>
      <c r="BW1200"/>
      <c r="BX1200"/>
      <c r="BY1200"/>
      <c r="BZ1200"/>
      <c r="CA1200"/>
      <c r="CB1200"/>
      <c r="CC1200"/>
    </row>
    <row r="1201" spans="2:81" s="1" customFormat="1" ht="10.5">
      <c r="B1201" s="847" t="s">
        <v>118</v>
      </c>
      <c r="D1201" s="838"/>
      <c r="E1201" s="838"/>
      <c r="F1201" s="838"/>
      <c r="G1201" s="838"/>
      <c r="H1201" s="838"/>
      <c r="I1201" s="838"/>
      <c r="J1201" s="838"/>
      <c r="K1201" s="838"/>
      <c r="L1201" s="838"/>
      <c r="M1201" s="838"/>
      <c r="N1201" s="838"/>
      <c r="O1201" s="838"/>
      <c r="P1201" s="838"/>
      <c r="Q1201" s="838"/>
      <c r="R1201" s="838"/>
      <c r="S1201" s="838"/>
      <c r="T1201" s="838"/>
      <c r="U1201" s="838"/>
      <c r="V1201" s="838"/>
      <c r="W1201" s="838"/>
      <c r="X1201" s="838"/>
      <c r="Y1201" s="838"/>
      <c r="Z1201" s="838"/>
      <c r="AA1201" s="838"/>
      <c r="AB1201" s="838"/>
      <c r="AC1201" s="838"/>
      <c r="AD1201" s="838"/>
      <c r="AE1201" s="838"/>
      <c r="AF1201" s="838"/>
      <c r="AG1201" s="838"/>
      <c r="AH1201" s="838"/>
      <c r="AI1201" s="838"/>
      <c r="AJ1201" s="838"/>
      <c r="AK1201" s="838"/>
      <c r="AL1201" s="838"/>
      <c r="AM1201" s="29"/>
      <c r="AN1201" s="29"/>
      <c r="AO1201" s="29"/>
      <c r="AP1201" s="29"/>
      <c r="AQ1201" s="29"/>
      <c r="AR1201" s="29"/>
      <c r="AS1201" s="838"/>
      <c r="AT1201" s="838"/>
      <c r="AU1201" s="838"/>
      <c r="AV1201" s="838"/>
      <c r="AW1201" s="838"/>
      <c r="AX1201" s="838"/>
      <c r="AY1201" s="838"/>
      <c r="AZ1201" s="838"/>
      <c r="BA1201" s="838"/>
      <c r="BB1201" s="838"/>
      <c r="BC1201" s="838"/>
      <c r="BD1201" s="838"/>
      <c r="BE1201" s="838"/>
      <c r="BF1201" s="838"/>
      <c r="BG1201" s="849"/>
      <c r="BH1201" s="849"/>
      <c r="BI1201" s="849"/>
      <c r="BJ1201" s="849"/>
      <c r="BK1201" s="849"/>
      <c r="BL1201" s="849"/>
      <c r="BM1201" s="849"/>
      <c r="BN1201" s="849"/>
      <c r="BO1201" s="849"/>
      <c r="BP1201" s="849"/>
      <c r="BT1201" s="3"/>
      <c r="BU1201" s="3"/>
      <c r="BV1201" s="3"/>
      <c r="BW1201" s="3"/>
      <c r="BX1201" s="3"/>
      <c r="BY1201" s="3"/>
      <c r="BZ1201" s="3"/>
      <c r="CA1201" s="3"/>
      <c r="CB1201" s="3"/>
      <c r="CC1201" s="3"/>
    </row>
    <row r="1202" spans="2:81" s="3" customFormat="1">
      <c r="B1202" s="884" t="str">
        <f>+B1197</f>
        <v>Additions to property plant and equipment</v>
      </c>
      <c r="D1202" s="92"/>
      <c r="E1202" s="92"/>
      <c r="F1202" s="92"/>
      <c r="G1202" s="92"/>
      <c r="H1202" s="228">
        <f t="shared" ref="H1202:O1202" si="4451">+H1197/H1183</f>
        <v>0</v>
      </c>
      <c r="I1202" s="228">
        <f t="shared" si="4451"/>
        <v>0</v>
      </c>
      <c r="J1202" s="228">
        <f t="shared" si="4451"/>
        <v>0</v>
      </c>
      <c r="K1202" s="228">
        <f t="shared" si="4451"/>
        <v>0</v>
      </c>
      <c r="L1202" s="228">
        <f t="shared" si="4451"/>
        <v>0</v>
      </c>
      <c r="M1202" s="228">
        <f t="shared" si="4451"/>
        <v>0</v>
      </c>
      <c r="N1202" s="228">
        <f t="shared" si="4451"/>
        <v>0</v>
      </c>
      <c r="O1202" s="228">
        <f t="shared" si="4451"/>
        <v>0</v>
      </c>
      <c r="P1202" s="228">
        <f>+P1197/P$12</f>
        <v>0.1238481639389355</v>
      </c>
      <c r="Q1202" s="228">
        <f t="shared" ref="Q1202:AF1202" si="4452">+Q1197/Q$12</f>
        <v>0.11416340734809523</v>
      </c>
      <c r="R1202" s="228">
        <f t="shared" si="4452"/>
        <v>8.3903045369794899E-2</v>
      </c>
      <c r="S1202" s="228">
        <f t="shared" si="4452"/>
        <v>0.12014710680072367</v>
      </c>
      <c r="T1202" s="228">
        <f t="shared" si="4452"/>
        <v>0.10240508243836031</v>
      </c>
      <c r="U1202" s="228">
        <f t="shared" si="4452"/>
        <v>9.605484203110605E-2</v>
      </c>
      <c r="V1202" s="228">
        <f t="shared" si="4452"/>
        <v>0.10756403300876617</v>
      </c>
      <c r="W1202" s="228">
        <f t="shared" si="4452"/>
        <v>0.12473378381931481</v>
      </c>
      <c r="X1202" s="228">
        <f t="shared" si="4452"/>
        <v>0.13207191688647252</v>
      </c>
      <c r="Y1202" s="228">
        <f t="shared" si="4452"/>
        <v>9.6898504967963595E-2</v>
      </c>
      <c r="Z1202" s="228">
        <f t="shared" si="4452"/>
        <v>0.12202081235313864</v>
      </c>
      <c r="AA1202" s="228">
        <f t="shared" si="4452"/>
        <v>0.13979892529034496</v>
      </c>
      <c r="AB1202" s="228">
        <f t="shared" si="4452"/>
        <v>0.12820795727872542</v>
      </c>
      <c r="AC1202" s="228">
        <f t="shared" si="4452"/>
        <v>0.11338153417878132</v>
      </c>
      <c r="AD1202" s="228">
        <f t="shared" si="4452"/>
        <v>0.10818476499189628</v>
      </c>
      <c r="AE1202" s="228">
        <f t="shared" si="4452"/>
        <v>0.13247855008194351</v>
      </c>
      <c r="AF1202" s="228">
        <f t="shared" si="4452"/>
        <v>0.12535413590838354</v>
      </c>
      <c r="AG1202" s="228">
        <f t="shared" ref="AG1202:AH1202" si="4453">+AG1197/AG$12</f>
        <v>0.11894515327885946</v>
      </c>
      <c r="AH1202" s="228">
        <f t="shared" si="4453"/>
        <v>0.12499763512874359</v>
      </c>
      <c r="AI1202" s="228">
        <f t="shared" ref="AI1202:AJ1202" si="4454">+AI1197/AI$12</f>
        <v>0.15915926604851482</v>
      </c>
      <c r="AJ1202" s="228">
        <f t="shared" si="4454"/>
        <v>0.17546932781287047</v>
      </c>
      <c r="AK1202" s="228">
        <f t="shared" ref="AK1202:AL1202" si="4455">+AK1197/AK$12</f>
        <v>0.15696549500161239</v>
      </c>
      <c r="AL1202" s="228">
        <f t="shared" si="4455"/>
        <v>0.17705066442497333</v>
      </c>
      <c r="AM1202" s="228">
        <f t="shared" ref="AM1202:AN1202" si="4456">+AM1197/AM$12</f>
        <v>0.21433095925965981</v>
      </c>
      <c r="AN1202" s="228">
        <f t="shared" si="4456"/>
        <v>0.22753678432568422</v>
      </c>
      <c r="AO1202" s="29"/>
      <c r="AP1202" s="29"/>
      <c r="AQ1202" s="29"/>
      <c r="AR1202" s="29"/>
      <c r="AS1202" s="228"/>
      <c r="AT1202" s="228"/>
      <c r="AU1202" s="228"/>
      <c r="AV1202" s="228"/>
      <c r="AW1202" s="228"/>
      <c r="AX1202" s="228">
        <f t="shared" ref="AX1202:BD1204" si="4457">+AX1197/AX$12</f>
        <v>3.1640099865565582E-2</v>
      </c>
      <c r="AY1202" s="228">
        <f t="shared" si="4457"/>
        <v>3.3670274366269674E-2</v>
      </c>
      <c r="AZ1202" s="228">
        <f t="shared" si="4457"/>
        <v>3.1265683707933749E-2</v>
      </c>
      <c r="BA1202" s="228">
        <f t="shared" si="4457"/>
        <v>5.4682783336972858E-2</v>
      </c>
      <c r="BB1202" s="228">
        <f t="shared" si="4457"/>
        <v>6.3167229048863904E-2</v>
      </c>
      <c r="BC1202" s="228">
        <f t="shared" si="4457"/>
        <v>6.3517845693524255E-2</v>
      </c>
      <c r="BD1202" s="228">
        <f t="shared" si="4457"/>
        <v>9.7784810126582272E-2</v>
      </c>
      <c r="BE1202" s="228">
        <f t="shared" ref="BE1202" si="4458">+BE1197/BE$12</f>
        <v>9.0372429127292944E-2</v>
      </c>
      <c r="BF1202" s="228"/>
      <c r="BG1202" s="228">
        <f t="shared" ref="BG1202:BM1202" si="4459">+BG1197/BG$12</f>
        <v>9.1526427803497373E-2</v>
      </c>
      <c r="BH1202" s="228">
        <f t="shared" si="4459"/>
        <v>8.4176409066904143E-2</v>
      </c>
      <c r="BI1202" s="228">
        <f t="shared" si="4459"/>
        <v>0.10540050743022834</v>
      </c>
      <c r="BJ1202" s="228">
        <f t="shared" si="4459"/>
        <v>0.11065375110256431</v>
      </c>
      <c r="BK1202" s="228">
        <f t="shared" si="4459"/>
        <v>0.10796769569625564</v>
      </c>
      <c r="BL1202" s="228">
        <f t="shared" si="4459"/>
        <v>0.12268573604302509</v>
      </c>
      <c r="BM1202" s="228">
        <f t="shared" si="4459"/>
        <v>0.12047208352246935</v>
      </c>
      <c r="BN1202" s="228">
        <f t="shared" ref="BN1202:BO1202" si="4460">+BN1197/BN$12</f>
        <v>0.13263336715192411</v>
      </c>
      <c r="BO1202" s="228">
        <f t="shared" si="4460"/>
        <v>0.18144842160230415</v>
      </c>
      <c r="BP1202" s="94"/>
    </row>
    <row r="1203" spans="2:81" s="942" customFormat="1" ht="11.1" customHeight="1">
      <c r="B1203" s="884" t="str">
        <f t="shared" ref="B1203:B1204" si="4461">+B1198</f>
        <v>Assets acquired under capital leases</v>
      </c>
      <c r="D1203" s="846"/>
      <c r="E1203" s="846"/>
      <c r="F1203" s="846"/>
      <c r="G1203" s="846"/>
      <c r="H1203" s="840" t="e">
        <f t="shared" ref="H1203:O1203" si="4462">+H1198/H1184</f>
        <v>#DIV/0!</v>
      </c>
      <c r="I1203" s="840" t="e">
        <f t="shared" si="4462"/>
        <v>#DIV/0!</v>
      </c>
      <c r="J1203" s="840" t="e">
        <f t="shared" si="4462"/>
        <v>#DIV/0!</v>
      </c>
      <c r="K1203" s="840" t="e">
        <f t="shared" si="4462"/>
        <v>#DIV/0!</v>
      </c>
      <c r="L1203" s="840" t="e">
        <f t="shared" si="4462"/>
        <v>#DIV/0!</v>
      </c>
      <c r="M1203" s="840" t="e">
        <f t="shared" si="4462"/>
        <v>#DIV/0!</v>
      </c>
      <c r="N1203" s="840" t="e">
        <f t="shared" si="4462"/>
        <v>#DIV/0!</v>
      </c>
      <c r="O1203" s="840" t="e">
        <f t="shared" si="4462"/>
        <v>#DIV/0!</v>
      </c>
      <c r="P1203" s="840">
        <f t="shared" ref="P1203:AF1203" si="4463">+P1198/P$12</f>
        <v>2.3999449869343971E-2</v>
      </c>
      <c r="Q1203" s="840">
        <f t="shared" si="4463"/>
        <v>5.9437652058760126E-3</v>
      </c>
      <c r="R1203" s="840">
        <f t="shared" si="4463"/>
        <v>2.7313467011219783E-2</v>
      </c>
      <c r="S1203" s="840">
        <f t="shared" si="4463"/>
        <v>3.7043627843521075E-2</v>
      </c>
      <c r="T1203" s="840">
        <f t="shared" si="4463"/>
        <v>4.2807442141884734E-2</v>
      </c>
      <c r="U1203" s="840">
        <f t="shared" si="4463"/>
        <v>2.5876551238281038E-2</v>
      </c>
      <c r="V1203" s="840">
        <f t="shared" si="4463"/>
        <v>3.797721367179692E-3</v>
      </c>
      <c r="W1203" s="840">
        <f t="shared" si="4463"/>
        <v>2.7765361659611389E-2</v>
      </c>
      <c r="X1203" s="840">
        <f t="shared" si="4463"/>
        <v>1.5960596436453679E-2</v>
      </c>
      <c r="Y1203" s="840">
        <f t="shared" si="4463"/>
        <v>2.846132417123224E-2</v>
      </c>
      <c r="Z1203" s="840">
        <f t="shared" si="4463"/>
        <v>2.1843379849422147E-2</v>
      </c>
      <c r="AA1203" s="840">
        <f t="shared" si="4463"/>
        <v>1.8374068296065176E-2</v>
      </c>
      <c r="AB1203" s="840">
        <f t="shared" si="4463"/>
        <v>3.5086170752697661E-2</v>
      </c>
      <c r="AC1203" s="840">
        <f t="shared" si="4463"/>
        <v>1.8075317042994123E-2</v>
      </c>
      <c r="AD1203" s="840">
        <f t="shared" si="4463"/>
        <v>1.9448946515397084E-2</v>
      </c>
      <c r="AE1203" s="840">
        <f t="shared" si="4463"/>
        <v>3.5264629326135159E-2</v>
      </c>
      <c r="AF1203" s="840">
        <f t="shared" si="4463"/>
        <v>6.3245680539483658E-3</v>
      </c>
      <c r="AG1203" s="840">
        <f t="shared" ref="AG1203:AH1203" si="4464">+AG1198/AG$12</f>
        <v>9.9721311164615994E-3</v>
      </c>
      <c r="AH1203" s="840">
        <f t="shared" si="4464"/>
        <v>2.2570331271165599E-2</v>
      </c>
      <c r="AI1203" s="840">
        <f t="shared" ref="AI1203:AJ1203" si="4465">+AI1198/AI$12</f>
        <v>3.1269465553756072E-2</v>
      </c>
      <c r="AJ1203" s="840">
        <f t="shared" si="4465"/>
        <v>2.2701134172019039E-2</v>
      </c>
      <c r="AK1203" s="840">
        <f t="shared" ref="AK1203:AL1203" si="4466">+AK1198/AK$12</f>
        <v>2.8458561754272815E-2</v>
      </c>
      <c r="AL1203" s="840">
        <f t="shared" si="4466"/>
        <v>4.9274144007242393E-2</v>
      </c>
      <c r="AM1203" s="840">
        <f t="shared" ref="AM1203:AN1203" si="4467">+AM1198/AM$12</f>
        <v>7.9209603411250329E-2</v>
      </c>
      <c r="AN1203" s="840">
        <f t="shared" si="4467"/>
        <v>7.7410993367385841E-2</v>
      </c>
      <c r="AO1203" s="29"/>
      <c r="AP1203" s="29"/>
      <c r="AQ1203" s="29"/>
      <c r="AR1203" s="29"/>
      <c r="AS1203" s="840"/>
      <c r="AT1203" s="840"/>
      <c r="AU1203" s="840"/>
      <c r="AV1203" s="840"/>
      <c r="AW1203" s="840"/>
      <c r="AX1203" s="840">
        <f t="shared" si="4457"/>
        <v>0</v>
      </c>
      <c r="AY1203" s="840">
        <f t="shared" si="4457"/>
        <v>0</v>
      </c>
      <c r="AZ1203" s="840">
        <f t="shared" si="4457"/>
        <v>0</v>
      </c>
      <c r="BA1203" s="840">
        <f t="shared" si="4457"/>
        <v>0</v>
      </c>
      <c r="BB1203" s="840">
        <f t="shared" si="4457"/>
        <v>0</v>
      </c>
      <c r="BC1203" s="840">
        <f t="shared" si="4457"/>
        <v>0</v>
      </c>
      <c r="BD1203" s="840">
        <f t="shared" si="4457"/>
        <v>6.5283638068448198E-3</v>
      </c>
      <c r="BE1203" s="840">
        <f t="shared" ref="BE1203" si="4468">+BE1198/BE$12</f>
        <v>2.3023902167871039E-2</v>
      </c>
      <c r="BF1203" s="840"/>
      <c r="BG1203" s="840">
        <f t="shared" ref="BG1203" si="4469">+BG1198/BG$12</f>
        <v>6.1105382100620931E-3</v>
      </c>
      <c r="BH1203" s="840">
        <f t="shared" ref="BH1203:BM1203" si="4470">+BH1198/BH$12</f>
        <v>2.1445361443911733E-2</v>
      </c>
      <c r="BI1203" s="840">
        <f t="shared" si="4470"/>
        <v>1.7832548024646611E-2</v>
      </c>
      <c r="BJ1203" s="840">
        <f t="shared" si="4470"/>
        <v>2.3640568009344977E-2</v>
      </c>
      <c r="BK1203" s="840">
        <f t="shared" si="4470"/>
        <v>2.4885501520819496E-2</v>
      </c>
      <c r="BL1203" s="840">
        <f t="shared" si="4470"/>
        <v>2.1286468992432535E-2</v>
      </c>
      <c r="BM1203" s="840">
        <f t="shared" si="4470"/>
        <v>2.6801835880365159E-2</v>
      </c>
      <c r="BN1203" s="840">
        <f t="shared" ref="BN1203:BO1203" si="4471">+BN1198/BN$12</f>
        <v>1.7898685793832431E-2</v>
      </c>
      <c r="BO1203" s="840">
        <f t="shared" si="4471"/>
        <v>4.5785364022813128E-2</v>
      </c>
      <c r="BP1203" s="943"/>
      <c r="BT1203"/>
      <c r="BU1203"/>
      <c r="BV1203"/>
      <c r="BW1203"/>
      <c r="BX1203"/>
      <c r="BY1203"/>
      <c r="BZ1203"/>
      <c r="CA1203"/>
      <c r="CB1203"/>
      <c r="CC1203"/>
    </row>
    <row r="1204" spans="2:81" s="7" customFormat="1" ht="11.1" customHeight="1">
      <c r="B1204" s="841" t="str">
        <f t="shared" si="4461"/>
        <v>Total Capex</v>
      </c>
      <c r="D1204" s="842" t="e">
        <f t="shared" ref="D1204:O1204" si="4472">+D1199/D1185</f>
        <v>#DIV/0!</v>
      </c>
      <c r="E1204" s="842" t="e">
        <f t="shared" si="4472"/>
        <v>#DIV/0!</v>
      </c>
      <c r="F1204" s="842" t="e">
        <f t="shared" si="4472"/>
        <v>#DIV/0!</v>
      </c>
      <c r="G1204" s="842" t="e">
        <f t="shared" si="4472"/>
        <v>#DIV/0!</v>
      </c>
      <c r="H1204" s="842" t="e">
        <f t="shared" si="4472"/>
        <v>#DIV/0!</v>
      </c>
      <c r="I1204" s="842" t="e">
        <f t="shared" si="4472"/>
        <v>#DIV/0!</v>
      </c>
      <c r="J1204" s="842" t="e">
        <f t="shared" si="4472"/>
        <v>#DIV/0!</v>
      </c>
      <c r="K1204" s="842" t="e">
        <f t="shared" si="4472"/>
        <v>#DIV/0!</v>
      </c>
      <c r="L1204" s="842" t="e">
        <f t="shared" si="4472"/>
        <v>#DIV/0!</v>
      </c>
      <c r="M1204" s="842" t="e">
        <f t="shared" si="4472"/>
        <v>#DIV/0!</v>
      </c>
      <c r="N1204" s="842" t="e">
        <f t="shared" si="4472"/>
        <v>#DIV/0!</v>
      </c>
      <c r="O1204" s="842" t="e">
        <f t="shared" si="4472"/>
        <v>#DIV/0!</v>
      </c>
      <c r="P1204" s="842">
        <f t="shared" ref="P1204:AF1204" si="4473">+P1199/P$12</f>
        <v>0.14784761380827946</v>
      </c>
      <c r="Q1204" s="842">
        <f t="shared" si="4473"/>
        <v>0.12010717255397124</v>
      </c>
      <c r="R1204" s="842">
        <f t="shared" si="4473"/>
        <v>0.11121651238101468</v>
      </c>
      <c r="S1204" s="842">
        <f t="shared" si="4473"/>
        <v>0.15719073464424474</v>
      </c>
      <c r="T1204" s="842">
        <f t="shared" si="4473"/>
        <v>0.14521252458024506</v>
      </c>
      <c r="U1204" s="842">
        <f t="shared" si="4473"/>
        <v>0.12193139326938709</v>
      </c>
      <c r="V1204" s="842">
        <f t="shared" si="4473"/>
        <v>0.11136175437594587</v>
      </c>
      <c r="W1204" s="842">
        <f t="shared" si="4473"/>
        <v>0.15249914547892621</v>
      </c>
      <c r="X1204" s="842">
        <f t="shared" si="4473"/>
        <v>0.14803251332292619</v>
      </c>
      <c r="Y1204" s="842">
        <f t="shared" si="4473"/>
        <v>0.12535982913919583</v>
      </c>
      <c r="Z1204" s="842">
        <f t="shared" si="4473"/>
        <v>0.14386419220256078</v>
      </c>
      <c r="AA1204" s="842">
        <f t="shared" si="4473"/>
        <v>0.15817299358641013</v>
      </c>
      <c r="AB1204" s="842">
        <f t="shared" si="4473"/>
        <v>0.1632941280314231</v>
      </c>
      <c r="AC1204" s="842">
        <f t="shared" si="4473"/>
        <v>0.13145685122177544</v>
      </c>
      <c r="AD1204" s="842">
        <f t="shared" si="4473"/>
        <v>0.12763371150729336</v>
      </c>
      <c r="AE1204" s="842">
        <f t="shared" si="4473"/>
        <v>0.16774317940807867</v>
      </c>
      <c r="AF1204" s="842">
        <f t="shared" si="4473"/>
        <v>0.13167870396233192</v>
      </c>
      <c r="AG1204" s="842">
        <f t="shared" ref="AG1204:AH1204" si="4474">+AG1199/AG$12</f>
        <v>0.12891728439532107</v>
      </c>
      <c r="AH1204" s="842">
        <f t="shared" si="4474"/>
        <v>0.14756796639990918</v>
      </c>
      <c r="AI1204" s="842">
        <f t="shared" ref="AI1204:AJ1204" si="4475">+AI1199/AI$12</f>
        <v>0.19042873160227092</v>
      </c>
      <c r="AJ1204" s="842">
        <f t="shared" si="4475"/>
        <v>0.1981704619848895</v>
      </c>
      <c r="AK1204" s="842">
        <f t="shared" ref="AK1204:AL1204" si="4476">+AK1199/AK$12</f>
        <v>0.18542405675588519</v>
      </c>
      <c r="AL1204" s="842">
        <f t="shared" si="4476"/>
        <v>0.22632480843221572</v>
      </c>
      <c r="AM1204" s="842">
        <f t="shared" ref="AM1204:AN1204" si="4477">+AM1199/AM$12</f>
        <v>0.29354056267091011</v>
      </c>
      <c r="AN1204" s="842">
        <f t="shared" si="4477"/>
        <v>0.30494777769307008</v>
      </c>
      <c r="AO1204" s="29"/>
      <c r="AP1204" s="29"/>
      <c r="AQ1204" s="29"/>
      <c r="AR1204" s="29"/>
      <c r="AS1204" s="842" t="e">
        <f t="shared" ref="AS1204:AW1204" si="4478">+AS1199/AS1185</f>
        <v>#DIV/0!</v>
      </c>
      <c r="AT1204" s="842" t="e">
        <f t="shared" si="4478"/>
        <v>#DIV/0!</v>
      </c>
      <c r="AU1204" s="842" t="e">
        <f t="shared" si="4478"/>
        <v>#DIV/0!</v>
      </c>
      <c r="AV1204" s="842" t="e">
        <f t="shared" si="4478"/>
        <v>#DIV/0!</v>
      </c>
      <c r="AW1204" s="842" t="e">
        <f t="shared" si="4478"/>
        <v>#DIV/0!</v>
      </c>
      <c r="AX1204" s="842">
        <f t="shared" si="4457"/>
        <v>3.1640099865565582E-2</v>
      </c>
      <c r="AY1204" s="842">
        <f t="shared" si="4457"/>
        <v>3.3670274366269674E-2</v>
      </c>
      <c r="AZ1204" s="842">
        <f t="shared" si="4457"/>
        <v>3.1265683707933749E-2</v>
      </c>
      <c r="BA1204" s="842">
        <f t="shared" si="4457"/>
        <v>5.4682783336972858E-2</v>
      </c>
      <c r="BB1204" s="842">
        <f t="shared" si="4457"/>
        <v>6.3167229048863904E-2</v>
      </c>
      <c r="BC1204" s="842">
        <f t="shared" si="4457"/>
        <v>6.3517845693524255E-2</v>
      </c>
      <c r="BD1204" s="842">
        <f t="shared" si="4457"/>
        <v>0.10431317393342709</v>
      </c>
      <c r="BE1204" s="842">
        <f t="shared" ref="BE1204" si="4479">+BE1199/BE$12</f>
        <v>0.11339633129516398</v>
      </c>
      <c r="BF1204" s="842"/>
      <c r="BG1204" s="842">
        <f t="shared" ref="BG1204" si="4480">+BG1199/BG$12</f>
        <v>9.7636966013559465E-2</v>
      </c>
      <c r="BH1204" s="842">
        <f t="shared" ref="BH1204:BM1204" si="4481">+BH1199/BH$12</f>
        <v>0.10562177051081588</v>
      </c>
      <c r="BI1204" s="842">
        <f t="shared" si="4481"/>
        <v>0.12323305545487495</v>
      </c>
      <c r="BJ1204" s="842">
        <f t="shared" si="4481"/>
        <v>0.13429431911190928</v>
      </c>
      <c r="BK1204" s="842">
        <f t="shared" si="4481"/>
        <v>0.13285319721707514</v>
      </c>
      <c r="BL1204" s="842">
        <f t="shared" si="4481"/>
        <v>0.14397220503545763</v>
      </c>
      <c r="BM1204" s="842">
        <f t="shared" si="4481"/>
        <v>0.14727391940283452</v>
      </c>
      <c r="BN1204" s="842">
        <f t="shared" ref="BN1204:BO1204" si="4482">+BN1199/BN$12</f>
        <v>0.15053205294575656</v>
      </c>
      <c r="BO1204" s="842">
        <f t="shared" si="4482"/>
        <v>0.22723378562511728</v>
      </c>
      <c r="BP1204" s="842"/>
      <c r="BT1204"/>
      <c r="BU1204"/>
      <c r="BV1204"/>
      <c r="BW1204"/>
      <c r="BX1204"/>
      <c r="BY1204"/>
      <c r="BZ1204"/>
      <c r="CA1204"/>
      <c r="CB1204"/>
      <c r="CC1204"/>
    </row>
    <row r="1205" spans="2:81" s="1" customFormat="1" ht="11.1" customHeight="1">
      <c r="B1205" s="837"/>
      <c r="D1205" s="838"/>
      <c r="E1205" s="838"/>
      <c r="F1205" s="838"/>
      <c r="G1205" s="838"/>
      <c r="H1205" s="838"/>
      <c r="I1205" s="838"/>
      <c r="J1205" s="838"/>
      <c r="K1205" s="838"/>
      <c r="L1205" s="838"/>
      <c r="M1205" s="838"/>
      <c r="N1205" s="838"/>
      <c r="O1205" s="838"/>
      <c r="P1205" s="838"/>
      <c r="Q1205" s="838"/>
      <c r="R1205" s="838"/>
      <c r="S1205" s="838"/>
      <c r="T1205" s="838"/>
      <c r="U1205" s="838"/>
      <c r="V1205" s="838"/>
      <c r="W1205" s="838"/>
      <c r="X1205" s="838"/>
      <c r="Y1205" s="838"/>
      <c r="Z1205" s="838"/>
      <c r="AA1205" s="838"/>
      <c r="AB1205" s="838"/>
      <c r="AC1205" s="838"/>
      <c r="AD1205" s="838"/>
      <c r="AE1205" s="838"/>
      <c r="AF1205" s="838"/>
      <c r="AG1205" s="838"/>
      <c r="AH1205" s="838"/>
      <c r="AI1205" s="838"/>
      <c r="AJ1205" s="838"/>
      <c r="AK1205" s="838"/>
      <c r="AL1205" s="838"/>
      <c r="AM1205" s="29"/>
      <c r="AN1205" s="29"/>
      <c r="AO1205" s="29"/>
      <c r="AP1205" s="29"/>
      <c r="AQ1205" s="29"/>
      <c r="AR1205" s="29"/>
      <c r="AS1205" s="838"/>
      <c r="AT1205" s="838"/>
      <c r="AU1205" s="838"/>
      <c r="AV1205" s="838"/>
      <c r="AW1205" s="838"/>
      <c r="AX1205" s="838"/>
      <c r="AY1205" s="838"/>
      <c r="AZ1205" s="838"/>
      <c r="BA1205" s="838"/>
      <c r="BB1205" s="838"/>
      <c r="BC1205" s="838"/>
      <c r="BD1205" s="838"/>
      <c r="BE1205" s="838"/>
      <c r="BG1205" s="838"/>
      <c r="BH1205" s="838"/>
      <c r="BI1205" s="838"/>
      <c r="BJ1205" s="838"/>
      <c r="BK1205" s="838"/>
      <c r="BL1205" s="838"/>
      <c r="BM1205" s="838"/>
      <c r="BN1205" s="838"/>
      <c r="BO1205" s="838"/>
      <c r="BP1205" s="838"/>
      <c r="BT1205"/>
      <c r="BU1205"/>
      <c r="BV1205"/>
      <c r="BW1205"/>
      <c r="BX1205"/>
      <c r="BY1205"/>
      <c r="BZ1205"/>
      <c r="CA1205"/>
      <c r="CB1205"/>
      <c r="CC1205"/>
    </row>
    <row r="1206" spans="2:81" ht="11.1" customHeight="1">
      <c r="B1206" s="5" t="s">
        <v>622</v>
      </c>
      <c r="C1206" s="4"/>
      <c r="AL1206" s="29"/>
      <c r="AM1206" s="29"/>
      <c r="AN1206" s="29"/>
      <c r="AO1206" s="29"/>
      <c r="AP1206" s="29"/>
      <c r="AQ1206" s="29"/>
      <c r="AR1206" s="29"/>
      <c r="BL1206" s="100"/>
    </row>
    <row r="1207" spans="2:81" ht="11.1" customHeight="1">
      <c r="B1207" s="1"/>
      <c r="AL1207" s="29"/>
      <c r="AM1207" s="29"/>
      <c r="AN1207" s="29"/>
      <c r="AO1207" s="29"/>
      <c r="AP1207" s="29"/>
      <c r="AQ1207" s="29"/>
      <c r="AR1207" s="29"/>
      <c r="BL1207" s="100"/>
    </row>
    <row r="1208" spans="2:81" ht="11.1" customHeight="1">
      <c r="B1208" s="45" t="s">
        <v>623</v>
      </c>
      <c r="D1208" s="876" t="s">
        <v>624</v>
      </c>
      <c r="E1208" s="877"/>
      <c r="F1208" s="877"/>
      <c r="G1208" s="877"/>
      <c r="H1208" s="877"/>
      <c r="I1208" s="877"/>
      <c r="J1208" s="877"/>
      <c r="AL1208" s="29"/>
      <c r="AM1208" s="29"/>
      <c r="AN1208" s="29"/>
      <c r="AO1208" s="29"/>
      <c r="AP1208" s="29"/>
      <c r="AQ1208" s="29"/>
      <c r="AR1208" s="29"/>
      <c r="BL1208" s="100"/>
    </row>
    <row r="1209" spans="2:81" ht="11.1" customHeight="1">
      <c r="B1209" t="s">
        <v>625</v>
      </c>
      <c r="D1209" s="29">
        <v>5431</v>
      </c>
      <c r="E1209" s="29">
        <v>7185</v>
      </c>
      <c r="F1209" s="29">
        <v>7170</v>
      </c>
      <c r="G1209" s="29">
        <v>6510</v>
      </c>
      <c r="H1209" s="29">
        <v>13928</v>
      </c>
      <c r="I1209" s="29">
        <v>8468</v>
      </c>
      <c r="J1209" s="29">
        <v>6713</v>
      </c>
      <c r="K1209" s="29">
        <v>7663</v>
      </c>
      <c r="L1209" s="29">
        <v>6884</v>
      </c>
      <c r="M1209" s="29">
        <v>12859</v>
      </c>
      <c r="N1209" s="29">
        <v>9221</v>
      </c>
      <c r="O1209" s="29">
        <v>11946</v>
      </c>
      <c r="P1209" s="29">
        <v>15137</v>
      </c>
      <c r="Q1209" s="29">
        <v>6638</v>
      </c>
      <c r="R1209" s="29">
        <v>11212</v>
      </c>
      <c r="S1209" s="29">
        <f>+BJ1209</f>
        <v>11356</v>
      </c>
      <c r="T1209" s="29">
        <v>13117</v>
      </c>
      <c r="U1209" s="29">
        <v>8864</v>
      </c>
      <c r="V1209" s="29">
        <v>11710</v>
      </c>
      <c r="W1209" s="29">
        <v>13576</v>
      </c>
      <c r="X1209" s="29">
        <v>17205</v>
      </c>
      <c r="Y1209" s="29">
        <v>14432</v>
      </c>
      <c r="Z1209" s="29">
        <v>13702</v>
      </c>
      <c r="AA1209" s="29">
        <v>14224</v>
      </c>
      <c r="AB1209" s="29">
        <v>19165</v>
      </c>
      <c r="AC1209" s="29">
        <v>20604</v>
      </c>
      <c r="AD1209" s="29">
        <v>12498</v>
      </c>
      <c r="AE1209" s="29">
        <v>13931</v>
      </c>
      <c r="AF1209" s="29">
        <v>22884</v>
      </c>
      <c r="AG1209" s="29">
        <v>15646</v>
      </c>
      <c r="AH1209" s="29">
        <v>26562</v>
      </c>
      <c r="AI1209" s="29">
        <v>34704</v>
      </c>
      <c r="AJ1209" s="29">
        <v>80452</v>
      </c>
      <c r="AK1209" s="29">
        <v>17305</v>
      </c>
      <c r="AL1209" s="29">
        <v>19634</v>
      </c>
      <c r="AM1209" s="29">
        <v>18315</v>
      </c>
      <c r="AN1209" s="29">
        <v>20840</v>
      </c>
      <c r="AO1209" s="29"/>
      <c r="AP1209" s="29"/>
      <c r="AQ1209" s="29"/>
      <c r="AR1209" s="29"/>
      <c r="AS1209" s="1207"/>
      <c r="AT1209" s="29">
        <v>6714</v>
      </c>
      <c r="AU1209" s="29">
        <v>6111</v>
      </c>
      <c r="AV1209" s="29">
        <v>10339</v>
      </c>
      <c r="AW1209" s="29">
        <v>6076</v>
      </c>
      <c r="AX1209" s="29">
        <v>5505</v>
      </c>
      <c r="AY1209" s="29">
        <v>9610</v>
      </c>
      <c r="AZ1209" s="29">
        <v>6938</v>
      </c>
      <c r="BA1209" s="29">
        <v>3804</v>
      </c>
      <c r="BB1209" s="29">
        <v>8669</v>
      </c>
      <c r="BC1209" s="29">
        <v>5595</v>
      </c>
      <c r="BD1209" s="29">
        <v>6510</v>
      </c>
      <c r="BE1209" s="29">
        <v>7663</v>
      </c>
      <c r="BG1209" s="61">
        <f>+BD1209</f>
        <v>6510</v>
      </c>
      <c r="BH1209" s="29">
        <v>7663</v>
      </c>
      <c r="BI1209" s="29">
        <v>11946</v>
      </c>
      <c r="BJ1209" s="29">
        <v>11356</v>
      </c>
      <c r="BK1209" s="11">
        <f t="shared" ref="BK1209:BK1214" si="4483">+W1209</f>
        <v>13576</v>
      </c>
      <c r="BL1209" s="11">
        <f>+AA1209</f>
        <v>14224</v>
      </c>
      <c r="BM1209" s="11">
        <f>+AE1209</f>
        <v>13931</v>
      </c>
      <c r="BN1209" s="11">
        <f>+AI1209</f>
        <v>34704</v>
      </c>
      <c r="BO1209" s="11">
        <f>+AM1209</f>
        <v>18315</v>
      </c>
      <c r="BP1209" s="29"/>
    </row>
    <row r="1210" spans="2:81" ht="11.1" customHeight="1">
      <c r="B1210" t="s">
        <v>626</v>
      </c>
      <c r="D1210" s="29">
        <v>93924</v>
      </c>
      <c r="E1210" s="29">
        <v>95455</v>
      </c>
      <c r="F1210" s="29">
        <v>98382</v>
      </c>
      <c r="G1210" s="29">
        <v>106730</v>
      </c>
      <c r="H1210" s="29">
        <v>123004</v>
      </c>
      <c r="I1210" s="29">
        <v>114313</v>
      </c>
      <c r="J1210" s="29">
        <v>119305</v>
      </c>
      <c r="K1210" s="29">
        <v>125318</v>
      </c>
      <c r="L1210" s="29">
        <v>131587</v>
      </c>
      <c r="M1210" s="29">
        <v>129921</v>
      </c>
      <c r="N1210" s="29">
        <v>123049</v>
      </c>
      <c r="O1210" s="29">
        <v>121822</v>
      </c>
      <c r="P1210" s="29">
        <v>120743</v>
      </c>
      <c r="Q1210" s="29">
        <v>121024</v>
      </c>
      <c r="R1210" s="29">
        <v>120406</v>
      </c>
      <c r="S1210" s="29">
        <f t="shared" ref="S1210:S1214" si="4484">+BJ1210</f>
        <v>122463</v>
      </c>
      <c r="T1210" s="29">
        <v>123519</v>
      </c>
      <c r="U1210" s="29">
        <v>125389</v>
      </c>
      <c r="V1210" s="29">
        <v>125916</v>
      </c>
      <c r="W1210" s="29">
        <v>122951</v>
      </c>
      <c r="X1210" s="29">
        <v>120772</v>
      </c>
      <c r="Y1210" s="29">
        <v>117536</v>
      </c>
      <c r="Z1210" s="29">
        <v>111705</v>
      </c>
      <c r="AA1210" s="29">
        <v>116110</v>
      </c>
      <c r="AB1210" s="29">
        <v>111450</v>
      </c>
      <c r="AC1210" s="29">
        <v>104765</v>
      </c>
      <c r="AD1210" s="29">
        <v>92195</v>
      </c>
      <c r="AE1210" s="29">
        <v>90826</v>
      </c>
      <c r="AF1210" s="29">
        <v>84378</v>
      </c>
      <c r="AG1210" s="29">
        <v>83862</v>
      </c>
      <c r="AH1210" s="29">
        <v>77865</v>
      </c>
      <c r="AI1210" s="29">
        <v>76558</v>
      </c>
      <c r="AJ1210" s="29">
        <v>63499</v>
      </c>
      <c r="AK1210" s="29">
        <v>63712</v>
      </c>
      <c r="AL1210" s="29">
        <v>60387</v>
      </c>
      <c r="AM1210" s="29">
        <v>57228</v>
      </c>
      <c r="AN1210" s="29">
        <v>57588</v>
      </c>
      <c r="AO1210" s="29"/>
      <c r="AP1210" s="29"/>
      <c r="AQ1210" s="29"/>
      <c r="AR1210" s="29"/>
      <c r="AS1210" s="1207"/>
      <c r="AT1210" s="29">
        <v>27447</v>
      </c>
      <c r="AU1210" s="29">
        <v>17300</v>
      </c>
      <c r="AV1210" s="29">
        <v>13323</v>
      </c>
      <c r="AW1210" s="29">
        <v>25371</v>
      </c>
      <c r="AX1210" s="29">
        <v>31283</v>
      </c>
      <c r="AY1210" s="29">
        <v>43162</v>
      </c>
      <c r="AZ1210" s="29">
        <v>56102</v>
      </c>
      <c r="BA1210" s="29">
        <v>73218</v>
      </c>
      <c r="BB1210" s="29">
        <v>77040</v>
      </c>
      <c r="BC1210" s="29">
        <v>90931</v>
      </c>
      <c r="BD1210" s="29">
        <v>106730</v>
      </c>
      <c r="BE1210" s="29">
        <v>125318</v>
      </c>
      <c r="BG1210" s="61">
        <f t="shared" ref="BG1210:BG1223" si="4485">+BD1210</f>
        <v>106730</v>
      </c>
      <c r="BH1210" s="29">
        <v>125318</v>
      </c>
      <c r="BI1210" s="29">
        <v>121822</v>
      </c>
      <c r="BJ1210" s="29">
        <v>122463</v>
      </c>
      <c r="BK1210" s="11">
        <f t="shared" si="4483"/>
        <v>122951</v>
      </c>
      <c r="BL1210" s="11">
        <f t="shared" ref="BL1210:BL1223" si="4486">+AA1210</f>
        <v>116110</v>
      </c>
      <c r="BM1210" s="11">
        <f t="shared" ref="BM1210:BM1223" si="4487">+AE1210</f>
        <v>90826</v>
      </c>
      <c r="BN1210" s="11">
        <f t="shared" ref="BN1210:BN1248" si="4488">+AI1210</f>
        <v>76558</v>
      </c>
      <c r="BO1210" s="11">
        <f t="shared" ref="BO1210:BO1248" si="4489">+AM1210</f>
        <v>57228</v>
      </c>
      <c r="BP1210" s="29"/>
    </row>
    <row r="1211" spans="2:81" ht="11.1" customHeight="1">
      <c r="B1211" t="s">
        <v>627</v>
      </c>
      <c r="D1211" s="29">
        <v>11444</v>
      </c>
      <c r="E1211" s="29">
        <v>14507</v>
      </c>
      <c r="F1211" s="29">
        <v>12247</v>
      </c>
      <c r="G1211" s="29">
        <v>18277</v>
      </c>
      <c r="H1211" s="29">
        <v>11129</v>
      </c>
      <c r="I1211" s="29">
        <v>14343</v>
      </c>
      <c r="J1211" s="29">
        <v>12882</v>
      </c>
      <c r="K1211" s="29">
        <v>22431</v>
      </c>
      <c r="L1211" s="29">
        <v>14561</v>
      </c>
      <c r="M1211" s="29">
        <v>18428</v>
      </c>
      <c r="N1211" s="29">
        <v>17208</v>
      </c>
      <c r="O1211" s="29">
        <v>26481</v>
      </c>
      <c r="P1211" s="29">
        <v>17390</v>
      </c>
      <c r="Q1211" s="29">
        <v>19680</v>
      </c>
      <c r="R1211" s="29">
        <v>19269</v>
      </c>
      <c r="S1211" s="29">
        <f t="shared" si="4484"/>
        <v>29524</v>
      </c>
      <c r="T1211" s="29">
        <v>19087</v>
      </c>
      <c r="U1211" s="29">
        <v>23525</v>
      </c>
      <c r="V1211" s="29">
        <v>22699</v>
      </c>
      <c r="W1211" s="29">
        <v>32011</v>
      </c>
      <c r="X1211" s="29">
        <v>22851</v>
      </c>
      <c r="Y1211" s="29">
        <v>27312</v>
      </c>
      <c r="Z1211" s="29">
        <v>26322</v>
      </c>
      <c r="AA1211" s="29">
        <v>38043</v>
      </c>
      <c r="AB1211" s="29">
        <v>27349</v>
      </c>
      <c r="AC1211" s="29">
        <v>33520</v>
      </c>
      <c r="AD1211" s="29">
        <v>32613</v>
      </c>
      <c r="AE1211" s="29">
        <v>44261</v>
      </c>
      <c r="AF1211" s="29">
        <v>31279</v>
      </c>
      <c r="AG1211" s="29">
        <v>35833</v>
      </c>
      <c r="AH1211" s="29">
        <v>37420</v>
      </c>
      <c r="AI1211" s="29">
        <v>48688</v>
      </c>
      <c r="AJ1211" s="29">
        <v>36953</v>
      </c>
      <c r="AK1211" s="29">
        <v>42831</v>
      </c>
      <c r="AL1211" s="29">
        <v>44029</v>
      </c>
      <c r="AM1211" s="29">
        <v>56924</v>
      </c>
      <c r="AN1211" s="29">
        <v>44148</v>
      </c>
      <c r="AO1211" s="29"/>
      <c r="AP1211" s="29"/>
      <c r="AQ1211" s="29"/>
      <c r="AR1211" s="29"/>
      <c r="AS1211" s="1207"/>
      <c r="AT1211" s="29">
        <v>9316</v>
      </c>
      <c r="AU1211" s="29">
        <v>11338</v>
      </c>
      <c r="AV1211" s="29">
        <v>13589</v>
      </c>
      <c r="AW1211" s="29">
        <v>11192</v>
      </c>
      <c r="AX1211" s="29">
        <v>13014</v>
      </c>
      <c r="AY1211" s="29">
        <v>14987</v>
      </c>
      <c r="AZ1211" s="29">
        <v>15780</v>
      </c>
      <c r="BA1211" s="29">
        <v>17486</v>
      </c>
      <c r="BB1211" s="29">
        <v>19544</v>
      </c>
      <c r="BC1211" s="29">
        <v>17908</v>
      </c>
      <c r="BD1211" s="29">
        <v>18277</v>
      </c>
      <c r="BE1211" s="29">
        <v>19792</v>
      </c>
      <c r="BG1211" s="61">
        <f t="shared" si="4485"/>
        <v>18277</v>
      </c>
      <c r="BH1211" s="29">
        <v>22431</v>
      </c>
      <c r="BI1211" s="29">
        <v>26481</v>
      </c>
      <c r="BJ1211" s="29">
        <v>29524</v>
      </c>
      <c r="BK1211" s="11">
        <f t="shared" si="4483"/>
        <v>32011</v>
      </c>
      <c r="BL1211" s="11">
        <f t="shared" si="4486"/>
        <v>38043</v>
      </c>
      <c r="BM1211" s="11">
        <f t="shared" si="4487"/>
        <v>44261</v>
      </c>
      <c r="BN1211" s="11">
        <f t="shared" si="4488"/>
        <v>48688</v>
      </c>
      <c r="BO1211" s="11">
        <f t="shared" si="4489"/>
        <v>56924</v>
      </c>
      <c r="BP1211" s="29"/>
      <c r="BT1211" s="852"/>
      <c r="BU1211" s="852"/>
      <c r="BV1211" s="852"/>
      <c r="BW1211" s="852"/>
      <c r="BX1211" s="852"/>
      <c r="BY1211" s="852"/>
      <c r="BZ1211" s="852"/>
      <c r="CA1211" s="852"/>
      <c r="CB1211" s="852"/>
      <c r="CC1211" s="852"/>
    </row>
    <row r="1212" spans="2:81" ht="11.1" customHeight="1">
      <c r="B1212" t="s">
        <v>588</v>
      </c>
      <c r="D1212" s="29">
        <v>3816</v>
      </c>
      <c r="E1212" s="29">
        <v>2702</v>
      </c>
      <c r="F1212" s="29">
        <v>2450</v>
      </c>
      <c r="G1212" s="29">
        <v>2251</v>
      </c>
      <c r="H1212" s="29">
        <v>3122</v>
      </c>
      <c r="I1212" s="29">
        <v>1961</v>
      </c>
      <c r="J1212" s="29">
        <v>1979</v>
      </c>
      <c r="K1212" s="29">
        <v>2181</v>
      </c>
      <c r="L1212" s="29">
        <v>3211</v>
      </c>
      <c r="M1212" s="29">
        <v>2003</v>
      </c>
      <c r="N1212" s="29">
        <v>2084</v>
      </c>
      <c r="O1212" s="29">
        <v>2662</v>
      </c>
      <c r="P1212" s="29">
        <v>3614</v>
      </c>
      <c r="Q1212" s="29">
        <v>1961</v>
      </c>
      <c r="R1212" s="29">
        <v>1951</v>
      </c>
      <c r="S1212" s="29">
        <f t="shared" si="4484"/>
        <v>2063</v>
      </c>
      <c r="T1212" s="29">
        <v>2622</v>
      </c>
      <c r="U1212" s="29">
        <v>1823</v>
      </c>
      <c r="V1212" s="29">
        <v>1644</v>
      </c>
      <c r="W1212" s="29">
        <v>1895</v>
      </c>
      <c r="X1212" s="29">
        <v>2705</v>
      </c>
      <c r="Y1212" s="29">
        <v>1924</v>
      </c>
      <c r="Z1212" s="29">
        <v>2245</v>
      </c>
      <c r="AA1212" s="29">
        <v>2636</v>
      </c>
      <c r="AB1212" s="29">
        <v>3411</v>
      </c>
      <c r="AC1212" s="29">
        <v>3019</v>
      </c>
      <c r="AD1212" s="29">
        <v>3296</v>
      </c>
      <c r="AE1212" s="29">
        <v>3742</v>
      </c>
      <c r="AF1212" s="29">
        <v>4268</v>
      </c>
      <c r="AG1212" s="29">
        <v>2980</v>
      </c>
      <c r="AH1212" s="29">
        <v>2877</v>
      </c>
      <c r="AI1212" s="29">
        <v>2500</v>
      </c>
      <c r="AJ1212" s="29">
        <v>3000</v>
      </c>
      <c r="AK1212" s="29">
        <v>1615</v>
      </c>
      <c r="AL1212" s="29">
        <v>1304</v>
      </c>
      <c r="AM1212" s="29">
        <v>1246</v>
      </c>
      <c r="AN1212" s="29">
        <v>1626</v>
      </c>
      <c r="AO1212" s="29"/>
      <c r="AP1212" s="29"/>
      <c r="AQ1212" s="29"/>
      <c r="AR1212" s="29"/>
      <c r="AS1212" s="1207"/>
      <c r="AT1212" s="29">
        <v>1478</v>
      </c>
      <c r="AU1212" s="29">
        <v>1127</v>
      </c>
      <c r="AV1212" s="29">
        <v>985</v>
      </c>
      <c r="AW1212" s="29">
        <v>717</v>
      </c>
      <c r="AX1212" s="29">
        <v>740</v>
      </c>
      <c r="AY1212" s="29">
        <v>1372</v>
      </c>
      <c r="AZ1212" s="29">
        <v>1137</v>
      </c>
      <c r="BA1212" s="29">
        <v>1938</v>
      </c>
      <c r="BB1212" s="29">
        <v>2660</v>
      </c>
      <c r="BC1212" s="29">
        <v>2902</v>
      </c>
      <c r="BD1212" s="29">
        <v>2251</v>
      </c>
      <c r="BE1212" s="29">
        <v>2181</v>
      </c>
      <c r="BG1212" s="61">
        <f t="shared" si="4485"/>
        <v>2251</v>
      </c>
      <c r="BH1212" s="29">
        <v>2181</v>
      </c>
      <c r="BI1212" s="29">
        <v>2662</v>
      </c>
      <c r="BJ1212" s="29">
        <v>2063</v>
      </c>
      <c r="BK1212" s="11">
        <f t="shared" si="4483"/>
        <v>1895</v>
      </c>
      <c r="BL1212" s="11">
        <f t="shared" si="4486"/>
        <v>2636</v>
      </c>
      <c r="BM1212" s="11">
        <f t="shared" si="4487"/>
        <v>3742</v>
      </c>
      <c r="BN1212" s="11">
        <f t="shared" si="4488"/>
        <v>2500</v>
      </c>
      <c r="BO1212" s="11">
        <f t="shared" si="4489"/>
        <v>1246</v>
      </c>
      <c r="BP1212" s="29"/>
      <c r="BT1212" s="1"/>
      <c r="BU1212" s="1"/>
      <c r="BV1212" s="1"/>
      <c r="BW1212" s="1"/>
      <c r="BX1212" s="1"/>
      <c r="BY1212" s="1"/>
      <c r="BZ1212" s="1"/>
      <c r="CA1212" s="1"/>
      <c r="CB1212" s="1"/>
      <c r="CC1212" s="1"/>
    </row>
    <row r="1213" spans="2:81" ht="11.1" customHeight="1">
      <c r="B1213" t="s">
        <v>584</v>
      </c>
      <c r="D1213" s="29">
        <v>1447</v>
      </c>
      <c r="E1213" s="29">
        <v>1618</v>
      </c>
      <c r="F1213" s="29">
        <v>1574</v>
      </c>
      <c r="G1213" s="29">
        <v>0</v>
      </c>
      <c r="H1213" s="29">
        <v>0</v>
      </c>
      <c r="I1213" s="29">
        <v>0</v>
      </c>
      <c r="J1213" s="29">
        <v>0</v>
      </c>
      <c r="K1213" s="29">
        <v>0</v>
      </c>
      <c r="L1213" s="29">
        <v>0</v>
      </c>
      <c r="M1213" s="29">
        <v>0</v>
      </c>
      <c r="N1213" s="29">
        <v>0</v>
      </c>
      <c r="O1213" s="29">
        <v>0</v>
      </c>
      <c r="P1213" s="29">
        <v>0</v>
      </c>
      <c r="Q1213" s="29">
        <v>0</v>
      </c>
      <c r="R1213" s="29">
        <v>0</v>
      </c>
      <c r="S1213" s="29">
        <f t="shared" si="4484"/>
        <v>0</v>
      </c>
      <c r="T1213" s="29">
        <v>0</v>
      </c>
      <c r="U1213" s="29">
        <v>0</v>
      </c>
      <c r="V1213" s="29">
        <v>0</v>
      </c>
      <c r="W1213" s="29">
        <v>0</v>
      </c>
      <c r="X1213" s="29">
        <v>0</v>
      </c>
      <c r="Y1213" s="29">
        <v>0</v>
      </c>
      <c r="Z1213" s="29">
        <v>0</v>
      </c>
      <c r="AA1213" s="29">
        <v>0</v>
      </c>
      <c r="AB1213" s="29">
        <v>0</v>
      </c>
      <c r="AC1213" s="29">
        <v>0</v>
      </c>
      <c r="AD1213" s="29">
        <v>0</v>
      </c>
      <c r="AE1213" s="29">
        <v>0</v>
      </c>
      <c r="AF1213" s="29">
        <v>0</v>
      </c>
      <c r="AG1213" s="29">
        <v>0</v>
      </c>
      <c r="AH1213" s="29">
        <v>0</v>
      </c>
      <c r="AI1213" s="29">
        <v>0</v>
      </c>
      <c r="AJ1213" s="29">
        <v>0</v>
      </c>
      <c r="AK1213" s="29">
        <v>0</v>
      </c>
      <c r="AL1213" s="29">
        <v>0</v>
      </c>
      <c r="AM1213" s="29">
        <v>0</v>
      </c>
      <c r="AN1213" s="29">
        <v>0</v>
      </c>
      <c r="AO1213" s="29"/>
      <c r="AP1213" s="29"/>
      <c r="AQ1213" s="29"/>
      <c r="AR1213" s="29"/>
      <c r="AS1213" s="1207"/>
      <c r="AT1213" s="29">
        <v>1940</v>
      </c>
      <c r="AU1213" s="29">
        <v>1899</v>
      </c>
      <c r="AV1213" s="29">
        <v>2017</v>
      </c>
      <c r="AW1213" s="29">
        <v>2213</v>
      </c>
      <c r="AX1213" s="29">
        <v>2184</v>
      </c>
      <c r="AY1213" s="29">
        <v>2467</v>
      </c>
      <c r="AZ1213" s="29">
        <v>2035</v>
      </c>
      <c r="BA1213" s="29">
        <v>1632</v>
      </c>
      <c r="BB1213" s="29">
        <v>1941</v>
      </c>
      <c r="BC1213" s="29">
        <v>0</v>
      </c>
      <c r="BD1213" s="29">
        <v>0</v>
      </c>
      <c r="BE1213" s="29">
        <v>0</v>
      </c>
      <c r="BG1213" s="61">
        <f t="shared" si="4485"/>
        <v>0</v>
      </c>
      <c r="BH1213" s="29">
        <v>0</v>
      </c>
      <c r="BI1213" s="29">
        <v>0</v>
      </c>
      <c r="BJ1213" s="29">
        <v>0</v>
      </c>
      <c r="BK1213" s="11">
        <f t="shared" si="4483"/>
        <v>0</v>
      </c>
      <c r="BL1213" s="11">
        <f t="shared" si="4486"/>
        <v>0</v>
      </c>
      <c r="BM1213" s="11">
        <f t="shared" si="4487"/>
        <v>0</v>
      </c>
      <c r="BN1213" s="11">
        <f t="shared" si="4488"/>
        <v>0</v>
      </c>
      <c r="BO1213" s="11">
        <f t="shared" si="4489"/>
        <v>0</v>
      </c>
      <c r="BP1213" s="29"/>
    </row>
    <row r="1214" spans="2:81" s="852" customFormat="1" ht="15.95">
      <c r="B1214" t="s">
        <v>594</v>
      </c>
      <c r="D1214" s="939">
        <v>5594</v>
      </c>
      <c r="E1214" s="939">
        <v>6345</v>
      </c>
      <c r="F1214" s="939">
        <v>6598</v>
      </c>
      <c r="G1214" s="939">
        <v>5892</v>
      </c>
      <c r="H1214" s="939">
        <v>6726</v>
      </c>
      <c r="I1214" s="939">
        <v>5864</v>
      </c>
      <c r="J1214" s="939">
        <v>5434</v>
      </c>
      <c r="K1214" s="939">
        <v>5103</v>
      </c>
      <c r="L1214" s="939">
        <v>4788</v>
      </c>
      <c r="M1214" s="939">
        <v>4422</v>
      </c>
      <c r="N1214" s="939">
        <v>5097</v>
      </c>
      <c r="O1214" s="939">
        <v>6751</v>
      </c>
      <c r="P1214" s="939">
        <v>7311</v>
      </c>
      <c r="Q1214" s="939">
        <v>7571</v>
      </c>
      <c r="R1214" s="939">
        <v>7049</v>
      </c>
      <c r="S1214" s="939">
        <f t="shared" si="4484"/>
        <v>10146</v>
      </c>
      <c r="T1214" s="939">
        <v>7551</v>
      </c>
      <c r="U1214" s="939">
        <v>7473</v>
      </c>
      <c r="V1214" s="939">
        <v>8536</v>
      </c>
      <c r="W1214" s="939">
        <v>11482</v>
      </c>
      <c r="X1214" s="939">
        <v>13544</v>
      </c>
      <c r="Y1214" s="939">
        <v>12769</v>
      </c>
      <c r="Z1214" s="30">
        <v>11640</v>
      </c>
      <c r="AA1214" s="939">
        <v>13393</v>
      </c>
      <c r="AB1214" s="939">
        <v>12951</v>
      </c>
      <c r="AC1214" s="939">
        <v>12280</v>
      </c>
      <c r="AD1214" s="939">
        <v>13320</v>
      </c>
      <c r="AE1214" s="939">
        <v>16924</v>
      </c>
      <c r="AF1214" s="939">
        <v>18003</v>
      </c>
      <c r="AG1214" s="939">
        <v>19502</v>
      </c>
      <c r="AH1214" s="939">
        <v>19165</v>
      </c>
      <c r="AI1214" s="939">
        <v>21807</v>
      </c>
      <c r="AJ1214" s="939">
        <v>23682</v>
      </c>
      <c r="AK1214" s="939">
        <v>21930</v>
      </c>
      <c r="AL1214" s="939">
        <v>21826</v>
      </c>
      <c r="AM1214" s="30">
        <v>26021</v>
      </c>
      <c r="AN1214" s="30">
        <v>25724</v>
      </c>
      <c r="AO1214" s="29"/>
      <c r="AP1214" s="29"/>
      <c r="AQ1214" s="29"/>
      <c r="AR1214" s="29"/>
      <c r="AS1214" s="1207"/>
      <c r="AT1214" s="939">
        <v>2115</v>
      </c>
      <c r="AU1214" s="939">
        <v>2393</v>
      </c>
      <c r="AV1214" s="939">
        <v>2989</v>
      </c>
      <c r="AW1214" s="939">
        <v>3711</v>
      </c>
      <c r="AX1214" s="939">
        <v>2950</v>
      </c>
      <c r="AY1214" s="939">
        <v>3320</v>
      </c>
      <c r="AZ1214" s="939">
        <v>3092</v>
      </c>
      <c r="BA1214" s="939">
        <v>3388</v>
      </c>
      <c r="BB1214" s="939">
        <v>4392</v>
      </c>
      <c r="BC1214" s="939">
        <v>5461</v>
      </c>
      <c r="BD1214" s="939">
        <v>5892</v>
      </c>
      <c r="BE1214" s="939">
        <v>4897</v>
      </c>
      <c r="BG1214" s="1203">
        <f t="shared" si="4485"/>
        <v>5892</v>
      </c>
      <c r="BH1214" s="939">
        <v>5103</v>
      </c>
      <c r="BI1214" s="939">
        <v>6751</v>
      </c>
      <c r="BJ1214" s="939">
        <v>10146</v>
      </c>
      <c r="BK1214" s="940">
        <f t="shared" si="4483"/>
        <v>11482</v>
      </c>
      <c r="BL1214" s="940">
        <f t="shared" si="4486"/>
        <v>13393</v>
      </c>
      <c r="BM1214" s="940">
        <f t="shared" si="4487"/>
        <v>16924</v>
      </c>
      <c r="BN1214" s="940">
        <f t="shared" si="4488"/>
        <v>21807</v>
      </c>
      <c r="BO1214" s="940">
        <f t="shared" si="4489"/>
        <v>26021</v>
      </c>
      <c r="BP1214" s="939"/>
      <c r="BT1214" s="3"/>
      <c r="BU1214" s="3"/>
      <c r="BV1214" s="3"/>
      <c r="BW1214" s="3"/>
      <c r="BX1214" s="3"/>
      <c r="BY1214" s="3"/>
      <c r="BZ1214" s="3"/>
      <c r="CA1214" s="3"/>
      <c r="CB1214" s="3"/>
      <c r="CC1214" s="3"/>
    </row>
    <row r="1215" spans="2:81" ht="11.1" customHeight="1">
      <c r="B1215" s="12" t="s">
        <v>628</v>
      </c>
      <c r="D1215" s="8">
        <f>SUM(D1209:D1214)</f>
        <v>121656</v>
      </c>
      <c r="E1215" s="8">
        <f t="shared" ref="E1215:AJ1215" si="4490">SUM(E1209:E1214)</f>
        <v>127812</v>
      </c>
      <c r="F1215" s="8">
        <f t="shared" si="4490"/>
        <v>128421</v>
      </c>
      <c r="G1215" s="8">
        <f t="shared" si="4490"/>
        <v>139660</v>
      </c>
      <c r="H1215" s="8">
        <f t="shared" si="4490"/>
        <v>157909</v>
      </c>
      <c r="I1215" s="8">
        <f t="shared" si="4490"/>
        <v>144949</v>
      </c>
      <c r="J1215" s="8">
        <f t="shared" si="4490"/>
        <v>146313</v>
      </c>
      <c r="K1215" s="8">
        <f t="shared" si="4490"/>
        <v>162696</v>
      </c>
      <c r="L1215" s="8">
        <f t="shared" si="4490"/>
        <v>161031</v>
      </c>
      <c r="M1215" s="8">
        <f t="shared" si="4490"/>
        <v>167633</v>
      </c>
      <c r="N1215" s="8">
        <f t="shared" si="4490"/>
        <v>156659</v>
      </c>
      <c r="O1215" s="8">
        <f t="shared" si="4490"/>
        <v>169662</v>
      </c>
      <c r="P1215" s="8">
        <f t="shared" si="4490"/>
        <v>164195</v>
      </c>
      <c r="Q1215" s="8">
        <f t="shared" si="4490"/>
        <v>156874</v>
      </c>
      <c r="R1215" s="8">
        <f t="shared" si="4490"/>
        <v>159887</v>
      </c>
      <c r="S1215" s="8">
        <f t="shared" si="4490"/>
        <v>175552</v>
      </c>
      <c r="T1215" s="8">
        <f t="shared" si="4490"/>
        <v>165896</v>
      </c>
      <c r="U1215" s="8">
        <f t="shared" si="4490"/>
        <v>167074</v>
      </c>
      <c r="V1215" s="8">
        <f t="shared" si="4490"/>
        <v>170505</v>
      </c>
      <c r="W1215" s="8">
        <f t="shared" si="4490"/>
        <v>181915</v>
      </c>
      <c r="X1215" s="8">
        <f t="shared" si="4490"/>
        <v>177077</v>
      </c>
      <c r="Y1215" s="8">
        <f t="shared" si="4490"/>
        <v>173973</v>
      </c>
      <c r="Z1215" s="8">
        <f t="shared" si="4490"/>
        <v>165614</v>
      </c>
      <c r="AA1215" s="8">
        <f t="shared" si="4490"/>
        <v>184406</v>
      </c>
      <c r="AB1215" s="8">
        <f t="shared" si="4490"/>
        <v>174326</v>
      </c>
      <c r="AC1215" s="8">
        <f t="shared" si="4490"/>
        <v>174188</v>
      </c>
      <c r="AD1215" s="8">
        <f t="shared" si="4490"/>
        <v>153922</v>
      </c>
      <c r="AE1215" s="8">
        <f t="shared" si="4490"/>
        <v>169684</v>
      </c>
      <c r="AF1215" s="8">
        <f t="shared" si="4490"/>
        <v>160812</v>
      </c>
      <c r="AG1215" s="8">
        <f t="shared" si="4490"/>
        <v>157823</v>
      </c>
      <c r="AH1215" s="8">
        <f t="shared" si="4490"/>
        <v>163889</v>
      </c>
      <c r="AI1215" s="8">
        <f t="shared" si="4490"/>
        <v>184257</v>
      </c>
      <c r="AJ1215" s="8">
        <f t="shared" si="4490"/>
        <v>207586</v>
      </c>
      <c r="AK1215" s="8">
        <v>147393</v>
      </c>
      <c r="AL1215" s="8">
        <f>+SUM(AL1209:AL1214)</f>
        <v>147180</v>
      </c>
      <c r="AM1215" s="8">
        <f>+SUM(AM1209:AM1214)</f>
        <v>159734</v>
      </c>
      <c r="AN1215" s="8">
        <f>+SUM(AN1209:AN1214)</f>
        <v>149926</v>
      </c>
      <c r="AR1215" s="29"/>
      <c r="AS1215" s="1207"/>
      <c r="AT1215" s="8">
        <f t="shared" ref="AT1215:BE1215" si="4491">SUM(AT1209:AT1214)</f>
        <v>49010</v>
      </c>
      <c r="AU1215" s="8">
        <f t="shared" si="4491"/>
        <v>40168</v>
      </c>
      <c r="AV1215" s="8">
        <f t="shared" si="4491"/>
        <v>43242</v>
      </c>
      <c r="AW1215" s="8">
        <f t="shared" si="4491"/>
        <v>49280</v>
      </c>
      <c r="AX1215" s="8">
        <f t="shared" si="4491"/>
        <v>55676</v>
      </c>
      <c r="AY1215" s="8">
        <f t="shared" si="4491"/>
        <v>74918</v>
      </c>
      <c r="AZ1215" s="8">
        <f t="shared" si="4491"/>
        <v>85084</v>
      </c>
      <c r="BA1215" s="8">
        <f t="shared" si="4491"/>
        <v>101466</v>
      </c>
      <c r="BB1215" s="8">
        <f t="shared" si="4491"/>
        <v>114246</v>
      </c>
      <c r="BC1215" s="8">
        <f t="shared" si="4491"/>
        <v>122797</v>
      </c>
      <c r="BD1215" s="8">
        <f t="shared" si="4491"/>
        <v>139660</v>
      </c>
      <c r="BE1215" s="8">
        <f t="shared" si="4491"/>
        <v>159851</v>
      </c>
      <c r="BG1215" s="8">
        <f t="shared" si="4485"/>
        <v>139660</v>
      </c>
      <c r="BH1215" s="8">
        <f t="shared" ref="BH1215" si="4492">SUM(BH1209:BH1214)</f>
        <v>162696</v>
      </c>
      <c r="BI1215" s="8">
        <v>169662</v>
      </c>
      <c r="BJ1215" s="8">
        <f>+SUM(BJ1209:BJ1214)</f>
        <v>175552</v>
      </c>
      <c r="BK1215" s="11">
        <f>+SUM(BK1209:BK1214)</f>
        <v>181915</v>
      </c>
      <c r="BL1215" s="11">
        <f t="shared" si="4486"/>
        <v>184406</v>
      </c>
      <c r="BM1215" s="11">
        <f t="shared" si="4487"/>
        <v>169684</v>
      </c>
      <c r="BN1215" s="11">
        <f t="shared" si="4488"/>
        <v>184257</v>
      </c>
      <c r="BO1215" s="11">
        <f t="shared" si="4489"/>
        <v>159734</v>
      </c>
      <c r="BP1215" s="8"/>
      <c r="BT1215" s="228"/>
      <c r="BU1215" s="3"/>
      <c r="BV1215" s="3"/>
      <c r="BW1215" s="3"/>
      <c r="BX1215" s="3"/>
      <c r="BY1215" s="3"/>
      <c r="BZ1215" s="3"/>
      <c r="CA1215" s="3"/>
      <c r="CB1215" s="3"/>
      <c r="CC1215" s="3"/>
    </row>
    <row r="1216" spans="2:81" ht="11.1" customHeight="1">
      <c r="B1216" t="s">
        <v>629</v>
      </c>
      <c r="D1216" s="29">
        <v>0</v>
      </c>
      <c r="E1216" s="29">
        <v>0</v>
      </c>
      <c r="F1216" s="29">
        <v>0</v>
      </c>
      <c r="G1216" s="29">
        <v>0</v>
      </c>
      <c r="H1216" s="29">
        <v>0</v>
      </c>
      <c r="I1216" s="29">
        <v>0</v>
      </c>
      <c r="J1216" s="29">
        <v>0</v>
      </c>
      <c r="K1216" s="29">
        <v>6555</v>
      </c>
      <c r="L1216" s="29">
        <v>6844</v>
      </c>
      <c r="M1216" s="29">
        <v>6749</v>
      </c>
      <c r="N1216" s="29">
        <v>6859</v>
      </c>
      <c r="O1216" s="29">
        <v>6686</v>
      </c>
      <c r="P1216" s="29">
        <v>6734</v>
      </c>
      <c r="Q1216" s="29">
        <v>6806</v>
      </c>
      <c r="R1216" s="29">
        <v>7121</v>
      </c>
      <c r="S1216" s="29">
        <f t="shared" ref="S1216:S1222" si="4493">+BJ1216</f>
        <v>7379</v>
      </c>
      <c r="T1216" s="29">
        <v>7890</v>
      </c>
      <c r="U1216" s="29">
        <v>8439</v>
      </c>
      <c r="V1216" s="29">
        <v>8448</v>
      </c>
      <c r="W1216" s="29">
        <v>8753</v>
      </c>
      <c r="X1216" s="29">
        <v>9047</v>
      </c>
      <c r="Y1216" s="29">
        <v>10298</v>
      </c>
      <c r="Z1216" s="29">
        <v>10673</v>
      </c>
      <c r="AA1216" s="29">
        <v>11088</v>
      </c>
      <c r="AB1216" s="29">
        <v>11575</v>
      </c>
      <c r="AC1216" s="29">
        <v>12354</v>
      </c>
      <c r="AD1216" s="29">
        <v>12916</v>
      </c>
      <c r="AE1216" s="29">
        <v>13148</v>
      </c>
      <c r="AF1216" s="29">
        <v>13347</v>
      </c>
      <c r="AG1216" s="29">
        <v>13624</v>
      </c>
      <c r="AH1216" s="29">
        <v>13879</v>
      </c>
      <c r="AI1216" s="29">
        <v>14346</v>
      </c>
      <c r="AJ1216" s="29">
        <v>15435</v>
      </c>
      <c r="AK1216" s="29">
        <v>16398</v>
      </c>
      <c r="AL1216" s="29">
        <v>17371</v>
      </c>
      <c r="AM1216" s="29">
        <v>18961</v>
      </c>
      <c r="AN1216" s="29">
        <v>20528</v>
      </c>
      <c r="AO1216" s="29"/>
      <c r="AP1216" s="29"/>
      <c r="AQ1216" s="29"/>
      <c r="AR1216" s="29"/>
      <c r="AS1216" s="1207"/>
      <c r="AT1216" s="29">
        <v>0</v>
      </c>
      <c r="AU1216" s="29">
        <v>0</v>
      </c>
      <c r="AV1216" s="29">
        <v>0</v>
      </c>
      <c r="AW1216" s="29">
        <v>0</v>
      </c>
      <c r="AX1216" s="29">
        <v>0</v>
      </c>
      <c r="AY1216" s="29">
        <v>0</v>
      </c>
      <c r="AZ1216" s="29">
        <v>0</v>
      </c>
      <c r="BA1216" s="29">
        <v>0</v>
      </c>
      <c r="BB1216" s="29">
        <v>0</v>
      </c>
      <c r="BC1216" s="29">
        <v>0</v>
      </c>
      <c r="BD1216" s="29">
        <v>0</v>
      </c>
      <c r="BE1216" s="29">
        <v>0</v>
      </c>
      <c r="BG1216" s="61">
        <f t="shared" si="4485"/>
        <v>0</v>
      </c>
      <c r="BH1216" s="29">
        <v>6555</v>
      </c>
      <c r="BI1216" s="29">
        <v>6686</v>
      </c>
      <c r="BJ1216" s="29">
        <v>7379</v>
      </c>
      <c r="BK1216" s="11">
        <f t="shared" ref="BK1216:BK1222" si="4494">+W1216</f>
        <v>8753</v>
      </c>
      <c r="BL1216" s="11">
        <f t="shared" si="4486"/>
        <v>11088</v>
      </c>
      <c r="BM1216" s="11">
        <f t="shared" si="4487"/>
        <v>13148</v>
      </c>
      <c r="BN1216" s="11">
        <f t="shared" si="4488"/>
        <v>14346</v>
      </c>
      <c r="BO1216" s="11">
        <f t="shared" si="4489"/>
        <v>18961</v>
      </c>
      <c r="BP1216" s="29"/>
      <c r="BT1216" s="228"/>
      <c r="BU1216" s="3"/>
      <c r="BV1216" s="3"/>
      <c r="BW1216" s="3"/>
      <c r="BX1216" s="3"/>
      <c r="BY1216" s="3"/>
      <c r="BZ1216" s="3"/>
      <c r="CA1216" s="3"/>
      <c r="CB1216" s="3"/>
      <c r="CC1216" s="3"/>
    </row>
    <row r="1217" spans="2:81" ht="15.95">
      <c r="B1217" t="s">
        <v>630</v>
      </c>
      <c r="D1217" s="29">
        <v>15046</v>
      </c>
      <c r="E1217" s="29">
        <v>15789</v>
      </c>
      <c r="F1217" s="29">
        <v>16831</v>
      </c>
      <c r="G1217" s="29">
        <v>18356</v>
      </c>
      <c r="H1217" s="29">
        <v>19224</v>
      </c>
      <c r="I1217" s="29">
        <v>21379</v>
      </c>
      <c r="J1217" s="29">
        <v>21962</v>
      </c>
      <c r="K1217" s="29">
        <v>23734</v>
      </c>
      <c r="L1217" s="29">
        <v>24809</v>
      </c>
      <c r="M1217" s="29">
        <v>26304</v>
      </c>
      <c r="N1217" s="29">
        <v>27929</v>
      </c>
      <c r="O1217" s="29">
        <v>29460</v>
      </c>
      <c r="P1217" s="29">
        <v>31430</v>
      </c>
      <c r="Q1217" s="29">
        <v>32717</v>
      </c>
      <c r="R1217" s="29">
        <v>33648</v>
      </c>
      <c r="S1217" s="29">
        <f t="shared" si="4493"/>
        <v>36477</v>
      </c>
      <c r="T1217" s="29">
        <v>38409</v>
      </c>
      <c r="U1217" s="29">
        <v>40522</v>
      </c>
      <c r="V1217" s="29">
        <v>41221</v>
      </c>
      <c r="W1217" s="29">
        <v>44151</v>
      </c>
      <c r="X1217" s="29">
        <v>47927</v>
      </c>
      <c r="Y1217" s="29">
        <v>51737</v>
      </c>
      <c r="Z1217" s="29">
        <v>54945</v>
      </c>
      <c r="AA1217" s="29">
        <v>59715</v>
      </c>
      <c r="AB1217" s="29">
        <v>63772</v>
      </c>
      <c r="AC1217" s="29">
        <v>67214</v>
      </c>
      <c r="AD1217" s="29">
        <v>70298</v>
      </c>
      <c r="AE1217" s="29">
        <v>74398</v>
      </c>
      <c r="AF1217" s="29">
        <v>77037</v>
      </c>
      <c r="AG1217" s="29">
        <v>82755</v>
      </c>
      <c r="AH1217" s="29">
        <v>88132</v>
      </c>
      <c r="AI1217" s="29">
        <v>95641</v>
      </c>
      <c r="AJ1217" s="29">
        <v>102502</v>
      </c>
      <c r="AK1217" s="29">
        <v>112308</v>
      </c>
      <c r="AL1217" s="29">
        <v>121375</v>
      </c>
      <c r="AM1217" s="29">
        <v>135591</v>
      </c>
      <c r="AN1217" s="29">
        <v>152863</v>
      </c>
      <c r="AO1217" s="29"/>
      <c r="AP1217" s="29"/>
      <c r="AQ1217" s="29"/>
      <c r="AR1217" s="29"/>
      <c r="AS1217" s="1207"/>
      <c r="AT1217" s="29">
        <v>3044</v>
      </c>
      <c r="AU1217" s="29">
        <v>4350</v>
      </c>
      <c r="AV1217" s="29">
        <v>6242</v>
      </c>
      <c r="AW1217" s="29">
        <v>7535</v>
      </c>
      <c r="AX1217" s="29">
        <v>7630</v>
      </c>
      <c r="AY1217" s="29">
        <v>8162</v>
      </c>
      <c r="AZ1217" s="29">
        <v>8269</v>
      </c>
      <c r="BA1217" s="29">
        <v>9991</v>
      </c>
      <c r="BB1217" s="29">
        <v>13011</v>
      </c>
      <c r="BC1217" s="29">
        <v>14731</v>
      </c>
      <c r="BD1217" s="29">
        <v>18356</v>
      </c>
      <c r="BE1217" s="29">
        <v>23734</v>
      </c>
      <c r="BG1217" s="61">
        <f t="shared" si="4485"/>
        <v>18356</v>
      </c>
      <c r="BH1217" s="29">
        <v>23734</v>
      </c>
      <c r="BI1217" s="29">
        <v>29460</v>
      </c>
      <c r="BJ1217" s="29">
        <v>36477</v>
      </c>
      <c r="BK1217" s="11">
        <f t="shared" si="4494"/>
        <v>44151</v>
      </c>
      <c r="BL1217" s="11">
        <f t="shared" si="4486"/>
        <v>59715</v>
      </c>
      <c r="BM1217" s="11">
        <f t="shared" si="4487"/>
        <v>74398</v>
      </c>
      <c r="BN1217" s="11">
        <f t="shared" si="4488"/>
        <v>95641</v>
      </c>
      <c r="BO1217" s="11">
        <f t="shared" si="4489"/>
        <v>135591</v>
      </c>
      <c r="BP1217" s="29"/>
      <c r="BT1217" s="840"/>
      <c r="BU1217" s="839"/>
      <c r="BV1217" s="839"/>
      <c r="BW1217" s="839"/>
      <c r="BX1217" s="839"/>
      <c r="BY1217" s="839"/>
      <c r="BZ1217" s="839"/>
      <c r="CA1217" s="839"/>
      <c r="CB1217" s="839"/>
      <c r="CC1217" s="839"/>
    </row>
    <row r="1218" spans="2:81" ht="11.1" customHeight="1">
      <c r="B1218" t="s">
        <v>631</v>
      </c>
      <c r="D1218" s="29">
        <v>11438</v>
      </c>
      <c r="E1218" s="29">
        <v>11514</v>
      </c>
      <c r="F1218" s="29">
        <v>11315</v>
      </c>
      <c r="G1218" s="29">
        <v>10431</v>
      </c>
      <c r="H1218" s="29">
        <v>10486</v>
      </c>
      <c r="I1218" s="29">
        <v>8912</v>
      </c>
      <c r="J1218" s="29">
        <v>7381</v>
      </c>
      <c r="K1218" s="29">
        <v>6023</v>
      </c>
      <c r="L1218" s="29">
        <v>5343</v>
      </c>
      <c r="M1218" s="29">
        <v>3961</v>
      </c>
      <c r="N1218" s="29">
        <v>2818</v>
      </c>
      <c r="O1218" s="29">
        <v>1862</v>
      </c>
      <c r="P1218" s="29">
        <v>2034</v>
      </c>
      <c r="Q1218" s="29">
        <v>2274</v>
      </c>
      <c r="R1218" s="29">
        <v>2403</v>
      </c>
      <c r="S1218" s="29">
        <f t="shared" si="4493"/>
        <v>2649</v>
      </c>
      <c r="T1218" s="29">
        <v>2684</v>
      </c>
      <c r="U1218" s="29">
        <v>2755</v>
      </c>
      <c r="V1218" s="29">
        <v>2660</v>
      </c>
      <c r="W1218" s="29">
        <v>2965</v>
      </c>
      <c r="X1218" s="29">
        <v>3103</v>
      </c>
      <c r="Y1218" s="29">
        <v>3794</v>
      </c>
      <c r="Z1218" s="29">
        <v>5395</v>
      </c>
      <c r="AA1218" s="29">
        <v>5984</v>
      </c>
      <c r="AB1218" s="29">
        <v>6393</v>
      </c>
      <c r="AC1218" s="29">
        <v>6994</v>
      </c>
      <c r="AD1218" s="29">
        <v>6907</v>
      </c>
      <c r="AE1218" s="29">
        <v>6891</v>
      </c>
      <c r="AF1218" s="29">
        <v>6839</v>
      </c>
      <c r="AG1218" s="29">
        <v>7097</v>
      </c>
      <c r="AH1218" s="29">
        <v>9415</v>
      </c>
      <c r="AI1218" s="29">
        <v>9879</v>
      </c>
      <c r="AJ1218" s="29">
        <v>11423</v>
      </c>
      <c r="AK1218" s="29">
        <v>13367</v>
      </c>
      <c r="AL1218" s="29">
        <v>14807</v>
      </c>
      <c r="AM1218" s="29">
        <v>14600</v>
      </c>
      <c r="AN1218" s="29">
        <v>15778</v>
      </c>
      <c r="AO1218" s="29"/>
      <c r="AP1218" s="29"/>
      <c r="AQ1218" s="29"/>
      <c r="AR1218" s="29"/>
      <c r="AS1218" s="1207"/>
      <c r="AT1218" s="29">
        <v>9232</v>
      </c>
      <c r="AU1218" s="29">
        <v>10117</v>
      </c>
      <c r="AV1218" s="29">
        <v>6588</v>
      </c>
      <c r="AW1218" s="29">
        <v>4933</v>
      </c>
      <c r="AX1218" s="29">
        <v>7754</v>
      </c>
      <c r="AY1218" s="29">
        <v>10865</v>
      </c>
      <c r="AZ1218" s="29">
        <v>9776</v>
      </c>
      <c r="BA1218" s="29">
        <v>10844</v>
      </c>
      <c r="BB1218" s="29">
        <v>14597</v>
      </c>
      <c r="BC1218" s="29">
        <v>12053</v>
      </c>
      <c r="BD1218" s="29">
        <v>10431</v>
      </c>
      <c r="BE1218" s="29">
        <v>6023</v>
      </c>
      <c r="BG1218" s="61">
        <f t="shared" si="4485"/>
        <v>10431</v>
      </c>
      <c r="BH1218" s="29">
        <v>6023</v>
      </c>
      <c r="BI1218" s="29">
        <v>1862</v>
      </c>
      <c r="BJ1218" s="29">
        <v>2649</v>
      </c>
      <c r="BK1218" s="11">
        <f t="shared" si="4494"/>
        <v>2965</v>
      </c>
      <c r="BL1218" s="11">
        <f t="shared" si="4486"/>
        <v>5984</v>
      </c>
      <c r="BM1218" s="11">
        <f t="shared" si="4487"/>
        <v>6891</v>
      </c>
      <c r="BN1218" s="11">
        <f t="shared" si="4488"/>
        <v>9879</v>
      </c>
      <c r="BO1218" s="11">
        <f t="shared" si="4489"/>
        <v>14600</v>
      </c>
      <c r="BP1218" s="29"/>
      <c r="BT1218" s="842"/>
      <c r="BU1218" s="7"/>
      <c r="BV1218" s="7"/>
      <c r="BW1218" s="7"/>
      <c r="BX1218" s="7"/>
      <c r="BY1218" s="7"/>
      <c r="BZ1218" s="7"/>
      <c r="CA1218" s="7"/>
      <c r="CB1218" s="7"/>
      <c r="CC1218" s="7"/>
    </row>
    <row r="1219" spans="2:81" ht="11.1" customHeight="1">
      <c r="B1219" t="s">
        <v>584</v>
      </c>
      <c r="D1219" s="29">
        <v>0</v>
      </c>
      <c r="E1219" s="29">
        <v>0</v>
      </c>
      <c r="F1219" s="29">
        <v>0</v>
      </c>
      <c r="G1219" s="29">
        <v>0</v>
      </c>
      <c r="H1219" s="29">
        <v>0</v>
      </c>
      <c r="I1219" s="29">
        <v>0</v>
      </c>
      <c r="J1219" s="29">
        <v>0</v>
      </c>
      <c r="K1219" s="29">
        <v>0</v>
      </c>
      <c r="L1219" s="29">
        <v>0</v>
      </c>
      <c r="M1219" s="29">
        <v>0</v>
      </c>
      <c r="N1219" s="29">
        <v>0</v>
      </c>
      <c r="O1219" s="29">
        <v>0</v>
      </c>
      <c r="P1219" s="29">
        <v>0</v>
      </c>
      <c r="Q1219" s="29">
        <v>0</v>
      </c>
      <c r="R1219" s="29">
        <v>0</v>
      </c>
      <c r="S1219" s="29">
        <f t="shared" si="4493"/>
        <v>0</v>
      </c>
      <c r="T1219" s="29">
        <v>0</v>
      </c>
      <c r="U1219" s="29">
        <v>0</v>
      </c>
      <c r="V1219" s="29">
        <v>0</v>
      </c>
      <c r="W1219" s="29">
        <v>0</v>
      </c>
      <c r="X1219" s="29">
        <v>0</v>
      </c>
      <c r="Y1219" s="29">
        <v>0</v>
      </c>
      <c r="Z1219" s="29">
        <v>0</v>
      </c>
      <c r="AA1219" s="29">
        <v>0</v>
      </c>
      <c r="AB1219" s="29">
        <v>0</v>
      </c>
      <c r="AC1219" s="29">
        <v>0</v>
      </c>
      <c r="AD1219" s="29">
        <v>0</v>
      </c>
      <c r="AE1219" s="29">
        <v>0</v>
      </c>
      <c r="AF1219" s="29">
        <v>0</v>
      </c>
      <c r="AG1219" s="29">
        <v>0</v>
      </c>
      <c r="AH1219" s="29">
        <v>0</v>
      </c>
      <c r="AI1219" s="29">
        <v>0</v>
      </c>
      <c r="AJ1219" s="29">
        <v>0</v>
      </c>
      <c r="AK1219" s="29">
        <v>0</v>
      </c>
      <c r="AL1219" s="29">
        <v>0</v>
      </c>
      <c r="AM1219" s="29">
        <v>0</v>
      </c>
      <c r="AN1219" s="29">
        <v>0</v>
      </c>
      <c r="AO1219" s="29"/>
      <c r="AP1219" s="29"/>
      <c r="AR1219" s="29"/>
      <c r="AS1219" s="1207"/>
      <c r="AT1219" s="29">
        <v>2611</v>
      </c>
      <c r="AU1219" s="29">
        <v>1389</v>
      </c>
      <c r="AV1219" s="29">
        <v>949</v>
      </c>
      <c r="AW1219" s="29">
        <v>279</v>
      </c>
      <c r="AX1219" s="29">
        <v>0</v>
      </c>
      <c r="AY1219" s="29">
        <v>0</v>
      </c>
      <c r="AZ1219" s="29">
        <v>0</v>
      </c>
      <c r="BA1219" s="29">
        <v>0</v>
      </c>
      <c r="BB1219" s="29">
        <v>0</v>
      </c>
      <c r="BC1219" s="29">
        <v>0</v>
      </c>
      <c r="BD1219" s="29">
        <v>0</v>
      </c>
      <c r="BE1219" s="29">
        <v>0</v>
      </c>
      <c r="BG1219" s="61">
        <f t="shared" si="4485"/>
        <v>0</v>
      </c>
      <c r="BH1219" s="29">
        <v>0</v>
      </c>
      <c r="BI1219" s="29">
        <v>0</v>
      </c>
      <c r="BJ1219" s="29">
        <v>0</v>
      </c>
      <c r="BK1219" s="11">
        <f t="shared" si="4494"/>
        <v>0</v>
      </c>
      <c r="BL1219" s="11">
        <f t="shared" si="4486"/>
        <v>0</v>
      </c>
      <c r="BM1219" s="11">
        <f t="shared" si="4487"/>
        <v>0</v>
      </c>
      <c r="BN1219" s="11">
        <f t="shared" si="4488"/>
        <v>0</v>
      </c>
      <c r="BO1219" s="11">
        <f t="shared" si="4489"/>
        <v>0</v>
      </c>
      <c r="BP1219" s="29"/>
    </row>
    <row r="1220" spans="2:81" ht="11.1" customHeight="1">
      <c r="B1220" t="s">
        <v>180</v>
      </c>
      <c r="D1220" s="29">
        <v>17142</v>
      </c>
      <c r="E1220" s="29">
        <v>17436</v>
      </c>
      <c r="F1220" s="29">
        <v>17948</v>
      </c>
      <c r="G1220" s="29">
        <v>17872</v>
      </c>
      <c r="H1220" s="29">
        <v>17907</v>
      </c>
      <c r="I1220" s="29">
        <v>34524</v>
      </c>
      <c r="J1220" s="29">
        <v>34668</v>
      </c>
      <c r="K1220" s="29">
        <v>35122</v>
      </c>
      <c r="L1220" s="29">
        <v>35389</v>
      </c>
      <c r="M1220" s="29">
        <v>35355</v>
      </c>
      <c r="N1220" s="29">
        <v>35582</v>
      </c>
      <c r="O1220" s="29">
        <v>35683</v>
      </c>
      <c r="P1220" s="29">
        <v>35855</v>
      </c>
      <c r="Q1220" s="29">
        <v>41577</v>
      </c>
      <c r="R1220" s="29">
        <v>41861</v>
      </c>
      <c r="S1220" s="29">
        <f t="shared" si="4493"/>
        <v>42026</v>
      </c>
      <c r="T1220" s="29">
        <v>42113</v>
      </c>
      <c r="U1220" s="29">
        <v>42248</v>
      </c>
      <c r="V1220" s="29">
        <v>42064</v>
      </c>
      <c r="W1220" s="29">
        <v>43351</v>
      </c>
      <c r="X1220" s="29">
        <v>43890</v>
      </c>
      <c r="Y1220" s="29">
        <v>44219</v>
      </c>
      <c r="Z1220" s="29">
        <v>49698</v>
      </c>
      <c r="AA1220" s="29">
        <v>49711</v>
      </c>
      <c r="AB1220" s="29">
        <v>50455</v>
      </c>
      <c r="AC1220" s="29">
        <v>50921</v>
      </c>
      <c r="AD1220" s="29">
        <v>67371</v>
      </c>
      <c r="AE1220" s="29">
        <v>67524</v>
      </c>
      <c r="AF1220" s="29">
        <v>67459</v>
      </c>
      <c r="AG1220" s="29">
        <v>67905</v>
      </c>
      <c r="AH1220" s="29">
        <v>67940</v>
      </c>
      <c r="AI1220" s="29">
        <v>67886</v>
      </c>
      <c r="AJ1220" s="29">
        <v>67790</v>
      </c>
      <c r="AK1220" s="29">
        <v>118931</v>
      </c>
      <c r="AL1220" s="29">
        <v>119163</v>
      </c>
      <c r="AM1220" s="29">
        <v>119220</v>
      </c>
      <c r="AN1220" s="29">
        <v>119374</v>
      </c>
      <c r="AO1220" s="29"/>
      <c r="AP1220" s="825"/>
      <c r="AQ1220" s="825"/>
      <c r="AR1220" s="29"/>
      <c r="AS1220" s="1207"/>
      <c r="AT1220" s="29">
        <v>3866</v>
      </c>
      <c r="AU1220" s="29">
        <v>4760</v>
      </c>
      <c r="AV1220" s="29">
        <v>12108</v>
      </c>
      <c r="AW1220" s="29">
        <v>12503</v>
      </c>
      <c r="AX1220" s="29">
        <v>12394</v>
      </c>
      <c r="AY1220" s="29">
        <v>12581</v>
      </c>
      <c r="AZ1220" s="29">
        <v>13452</v>
      </c>
      <c r="BA1220" s="29">
        <v>14655</v>
      </c>
      <c r="BB1220" s="29">
        <v>20127</v>
      </c>
      <c r="BC1220" s="29">
        <v>16939</v>
      </c>
      <c r="BD1220" s="29">
        <v>17872</v>
      </c>
      <c r="BE1220" s="29">
        <v>35122</v>
      </c>
      <c r="BG1220" s="61">
        <f t="shared" si="4485"/>
        <v>17872</v>
      </c>
      <c r="BH1220" s="29">
        <v>35122</v>
      </c>
      <c r="BI1220" s="29">
        <v>35683</v>
      </c>
      <c r="BJ1220" s="29">
        <v>42026</v>
      </c>
      <c r="BK1220" s="11">
        <f t="shared" si="4494"/>
        <v>43351</v>
      </c>
      <c r="BL1220" s="11">
        <f t="shared" si="4486"/>
        <v>49711</v>
      </c>
      <c r="BM1220" s="11">
        <f t="shared" si="4487"/>
        <v>67524</v>
      </c>
      <c r="BN1220" s="11">
        <f t="shared" si="4488"/>
        <v>67886</v>
      </c>
      <c r="BO1220" s="11">
        <f t="shared" si="4489"/>
        <v>119220</v>
      </c>
      <c r="BP1220" s="29"/>
      <c r="BT1220" s="100"/>
      <c r="BU1220" s="100"/>
      <c r="BV1220" s="100"/>
      <c r="BW1220" s="100"/>
      <c r="BX1220" s="100"/>
      <c r="BY1220" s="100"/>
      <c r="BZ1220" s="100"/>
      <c r="CA1220" s="100"/>
      <c r="CB1220" s="100"/>
      <c r="CC1220" s="100"/>
    </row>
    <row r="1221" spans="2:81" ht="11.1" customHeight="1">
      <c r="B1221" t="s">
        <v>632</v>
      </c>
      <c r="D1221" s="29">
        <v>4745</v>
      </c>
      <c r="E1221" s="29">
        <v>4619</v>
      </c>
      <c r="F1221" s="29">
        <v>4459</v>
      </c>
      <c r="G1221" s="29">
        <v>3733</v>
      </c>
      <c r="H1221" s="29">
        <v>3522</v>
      </c>
      <c r="I1221" s="29">
        <v>11001</v>
      </c>
      <c r="J1221" s="29">
        <v>10547</v>
      </c>
      <c r="K1221" s="29">
        <v>10106</v>
      </c>
      <c r="L1221" s="29">
        <v>9598</v>
      </c>
      <c r="M1221" s="29">
        <v>9034</v>
      </c>
      <c r="N1221" s="29">
        <v>8544</v>
      </c>
      <c r="O1221" s="29">
        <v>8053</v>
      </c>
      <c r="P1221" s="29">
        <v>7579</v>
      </c>
      <c r="Q1221" s="29">
        <v>8482</v>
      </c>
      <c r="R1221" s="29">
        <v>8103</v>
      </c>
      <c r="S1221" s="29">
        <f t="shared" si="4493"/>
        <v>7750</v>
      </c>
      <c r="T1221" s="29">
        <v>7508</v>
      </c>
      <c r="U1221" s="29">
        <v>7126</v>
      </c>
      <c r="V1221" s="29">
        <v>6855</v>
      </c>
      <c r="W1221" s="29">
        <v>7038</v>
      </c>
      <c r="X1221" s="29">
        <v>6923</v>
      </c>
      <c r="Y1221" s="29">
        <v>6555</v>
      </c>
      <c r="Z1221" s="29">
        <v>8127</v>
      </c>
      <c r="AA1221" s="29">
        <v>7800</v>
      </c>
      <c r="AB1221" s="29">
        <v>7794</v>
      </c>
      <c r="AC1221" s="29">
        <v>7462</v>
      </c>
      <c r="AD1221" s="29">
        <v>11348</v>
      </c>
      <c r="AE1221" s="29">
        <v>11298</v>
      </c>
      <c r="AF1221" s="29">
        <v>10808</v>
      </c>
      <c r="AG1221" s="29">
        <v>10354</v>
      </c>
      <c r="AH1221" s="29">
        <v>9879</v>
      </c>
      <c r="AI1221" s="29">
        <v>9366</v>
      </c>
      <c r="AJ1221" s="29">
        <v>8895</v>
      </c>
      <c r="AK1221" s="29">
        <v>29896</v>
      </c>
      <c r="AL1221" s="29">
        <v>28828</v>
      </c>
      <c r="AM1221" s="29">
        <v>27597</v>
      </c>
      <c r="AN1221" s="29">
        <v>26751</v>
      </c>
      <c r="AO1221" s="29"/>
      <c r="AP1221" s="29"/>
      <c r="AQ1221" s="29"/>
      <c r="AR1221" s="29"/>
      <c r="AS1221" s="1207"/>
      <c r="AT1221" s="29">
        <v>539</v>
      </c>
      <c r="AU1221" s="29">
        <v>878</v>
      </c>
      <c r="AV1221" s="29">
        <v>1973</v>
      </c>
      <c r="AW1221" s="29">
        <v>1759</v>
      </c>
      <c r="AX1221" s="29">
        <v>1158</v>
      </c>
      <c r="AY1221" s="29">
        <v>744</v>
      </c>
      <c r="AZ1221" s="29">
        <v>3170</v>
      </c>
      <c r="BA1221" s="29">
        <v>3083</v>
      </c>
      <c r="BB1221" s="29">
        <v>6981</v>
      </c>
      <c r="BC1221" s="29">
        <v>4835</v>
      </c>
      <c r="BD1221" s="29">
        <v>3733</v>
      </c>
      <c r="BE1221" s="29">
        <v>10106</v>
      </c>
      <c r="BG1221" s="61">
        <f t="shared" si="4485"/>
        <v>3733</v>
      </c>
      <c r="BH1221" s="29">
        <v>10106</v>
      </c>
      <c r="BI1221" s="29">
        <v>8053</v>
      </c>
      <c r="BJ1221" s="29">
        <v>7750</v>
      </c>
      <c r="BK1221" s="11">
        <f t="shared" si="4494"/>
        <v>7038</v>
      </c>
      <c r="BL1221" s="11">
        <f t="shared" si="4486"/>
        <v>7800</v>
      </c>
      <c r="BM1221" s="11">
        <f t="shared" si="4487"/>
        <v>11298</v>
      </c>
      <c r="BN1221" s="11">
        <f t="shared" si="4488"/>
        <v>9366</v>
      </c>
      <c r="BO1221" s="11">
        <f t="shared" si="4489"/>
        <v>27597</v>
      </c>
      <c r="BP1221" s="29"/>
      <c r="BT1221" s="100"/>
      <c r="BU1221" s="100"/>
      <c r="BV1221" s="100"/>
      <c r="BW1221" s="100"/>
      <c r="BX1221" s="100"/>
      <c r="BY1221" s="100"/>
      <c r="BZ1221" s="100"/>
      <c r="CA1221" s="100"/>
      <c r="CB1221" s="100"/>
      <c r="CC1221" s="100"/>
    </row>
    <row r="1222" spans="2:81" s="852" customFormat="1" ht="11.1" customHeight="1">
      <c r="B1222" t="s">
        <v>585</v>
      </c>
      <c r="D1222" s="939">
        <v>2869</v>
      </c>
      <c r="E1222" s="939">
        <v>2928</v>
      </c>
      <c r="F1222" s="939">
        <v>2895</v>
      </c>
      <c r="G1222" s="939">
        <v>3416</v>
      </c>
      <c r="H1222" s="939">
        <v>3476</v>
      </c>
      <c r="I1222" s="939">
        <v>3845</v>
      </c>
      <c r="J1222" s="939">
        <v>4146</v>
      </c>
      <c r="K1222" s="939">
        <v>6250</v>
      </c>
      <c r="L1222" s="939">
        <v>6083</v>
      </c>
      <c r="M1222" s="939">
        <v>6967</v>
      </c>
      <c r="N1222" s="939">
        <v>7106</v>
      </c>
      <c r="O1222" s="939">
        <v>7442</v>
      </c>
      <c r="P1222" s="939">
        <v>9792</v>
      </c>
      <c r="Q1222" s="939">
        <v>10129</v>
      </c>
      <c r="R1222" s="939">
        <v>10258</v>
      </c>
      <c r="S1222" s="939">
        <f t="shared" si="4493"/>
        <v>14723</v>
      </c>
      <c r="T1222" s="939">
        <v>14455</v>
      </c>
      <c r="U1222" s="939">
        <v>14630</v>
      </c>
      <c r="V1222" s="939">
        <v>13696</v>
      </c>
      <c r="W1222" s="939">
        <v>13138</v>
      </c>
      <c r="X1222" s="939">
        <v>13034</v>
      </c>
      <c r="Y1222" s="939">
        <v>13561</v>
      </c>
      <c r="Z1222" s="939">
        <v>14427</v>
      </c>
      <c r="AA1222" s="939">
        <v>15075</v>
      </c>
      <c r="AB1222" s="939">
        <v>21103</v>
      </c>
      <c r="AC1222" s="939">
        <v>21256</v>
      </c>
      <c r="AD1222" s="30">
        <v>21845</v>
      </c>
      <c r="AE1222" s="30">
        <v>21897</v>
      </c>
      <c r="AF1222" s="30">
        <v>23482</v>
      </c>
      <c r="AG1222" s="30">
        <v>24994</v>
      </c>
      <c r="AH1222" s="30">
        <v>26954</v>
      </c>
      <c r="AI1222" s="30">
        <v>30601</v>
      </c>
      <c r="AJ1222" s="30">
        <v>32154</v>
      </c>
      <c r="AK1222" s="30">
        <v>32265</v>
      </c>
      <c r="AL1222" s="30">
        <v>35551</v>
      </c>
      <c r="AM1222" s="30">
        <v>36460</v>
      </c>
      <c r="AN1222" s="30">
        <v>37793</v>
      </c>
      <c r="AO1222" s="29"/>
      <c r="AP1222" s="29"/>
      <c r="AQ1222" s="29"/>
      <c r="AR1222" s="29"/>
      <c r="AS1222" s="1207"/>
      <c r="AT1222" s="939">
        <v>1295</v>
      </c>
      <c r="AU1222" s="939">
        <v>1509</v>
      </c>
      <c r="AV1222" s="939">
        <v>1691</v>
      </c>
      <c r="AW1222" s="939">
        <v>1599</v>
      </c>
      <c r="AX1222" s="939">
        <v>1501</v>
      </c>
      <c r="AY1222" s="939">
        <v>1434</v>
      </c>
      <c r="AZ1222" s="939">
        <v>1520</v>
      </c>
      <c r="BA1222" s="939">
        <v>2392</v>
      </c>
      <c r="BB1222" s="939">
        <v>3422</v>
      </c>
      <c r="BC1222" s="939">
        <v>3117</v>
      </c>
      <c r="BD1222" s="939">
        <v>3416</v>
      </c>
      <c r="BE1222" s="939">
        <v>6250</v>
      </c>
      <c r="BG1222" s="1203">
        <f t="shared" si="4485"/>
        <v>3416</v>
      </c>
      <c r="BH1222" s="939">
        <v>6250</v>
      </c>
      <c r="BI1222" s="939">
        <v>7442</v>
      </c>
      <c r="BJ1222" s="939">
        <v>14723</v>
      </c>
      <c r="BK1222" s="940">
        <f t="shared" si="4494"/>
        <v>13138</v>
      </c>
      <c r="BL1222" s="940">
        <f t="shared" si="4486"/>
        <v>15075</v>
      </c>
      <c r="BM1222" s="940">
        <f t="shared" si="4487"/>
        <v>21897</v>
      </c>
      <c r="BN1222" s="940">
        <f t="shared" si="4488"/>
        <v>30601</v>
      </c>
      <c r="BO1222" s="940">
        <f t="shared" si="4489"/>
        <v>36460</v>
      </c>
      <c r="BP1222" s="939"/>
      <c r="BT1222" s="100"/>
      <c r="BU1222" s="100"/>
      <c r="BV1222" s="100"/>
      <c r="BW1222" s="100"/>
      <c r="BX1222" s="100"/>
      <c r="BY1222" s="100"/>
      <c r="BZ1222" s="100"/>
      <c r="CA1222" s="100"/>
      <c r="CB1222" s="100"/>
      <c r="CC1222" s="100"/>
    </row>
    <row r="1223" spans="2:81" s="1" customFormat="1" ht="11.1" customHeight="1">
      <c r="B1223" s="837" t="s">
        <v>633</v>
      </c>
      <c r="D1223" s="838">
        <f t="shared" ref="D1223:Q1223" si="4495">SUM(D1216:D1222)+D1215</f>
        <v>172896</v>
      </c>
      <c r="E1223" s="838">
        <f t="shared" si="4495"/>
        <v>180098</v>
      </c>
      <c r="F1223" s="838">
        <f t="shared" si="4495"/>
        <v>181869</v>
      </c>
      <c r="G1223" s="838">
        <f t="shared" si="4495"/>
        <v>193468</v>
      </c>
      <c r="H1223" s="838">
        <f t="shared" si="4495"/>
        <v>212524</v>
      </c>
      <c r="I1223" s="838">
        <f t="shared" si="4495"/>
        <v>224610</v>
      </c>
      <c r="J1223" s="838">
        <f t="shared" si="4495"/>
        <v>225017</v>
      </c>
      <c r="K1223" s="838">
        <f t="shared" si="4495"/>
        <v>250486</v>
      </c>
      <c r="L1223" s="838">
        <f t="shared" si="4495"/>
        <v>249097</v>
      </c>
      <c r="M1223" s="838">
        <f t="shared" si="4495"/>
        <v>256003</v>
      </c>
      <c r="N1223" s="838">
        <f t="shared" si="4495"/>
        <v>245497</v>
      </c>
      <c r="O1223" s="838">
        <f t="shared" si="4495"/>
        <v>258848</v>
      </c>
      <c r="P1223" s="838">
        <f t="shared" si="4495"/>
        <v>257619</v>
      </c>
      <c r="Q1223" s="838">
        <f t="shared" si="4495"/>
        <v>258859</v>
      </c>
      <c r="R1223" s="838">
        <f t="shared" ref="R1223:T1223" si="4496">SUM(R1216:R1222)+R1215</f>
        <v>263281</v>
      </c>
      <c r="S1223" s="838">
        <f t="shared" si="4496"/>
        <v>286556</v>
      </c>
      <c r="T1223" s="838">
        <f t="shared" si="4496"/>
        <v>278955</v>
      </c>
      <c r="U1223" s="838">
        <f t="shared" ref="U1223" si="4497">SUM(U1216:U1222)+U1215</f>
        <v>282794</v>
      </c>
      <c r="V1223" s="838">
        <f t="shared" ref="V1223:AN1223" si="4498">SUM(V1216:V1222)+V1215</f>
        <v>285449</v>
      </c>
      <c r="W1223" s="838">
        <f t="shared" si="4498"/>
        <v>301311</v>
      </c>
      <c r="X1223" s="838">
        <f t="shared" si="4498"/>
        <v>301001</v>
      </c>
      <c r="Y1223" s="838">
        <f t="shared" si="4498"/>
        <v>304137</v>
      </c>
      <c r="Z1223" s="838">
        <f t="shared" si="4498"/>
        <v>308879</v>
      </c>
      <c r="AA1223" s="838">
        <f t="shared" si="4498"/>
        <v>333779</v>
      </c>
      <c r="AB1223" s="838">
        <f t="shared" si="4498"/>
        <v>335418</v>
      </c>
      <c r="AC1223" s="838">
        <f t="shared" si="4498"/>
        <v>340389</v>
      </c>
      <c r="AD1223" s="838">
        <f t="shared" si="4498"/>
        <v>344607</v>
      </c>
      <c r="AE1223" s="838">
        <f t="shared" si="4498"/>
        <v>364840</v>
      </c>
      <c r="AF1223" s="838">
        <f t="shared" si="4498"/>
        <v>359784</v>
      </c>
      <c r="AG1223" s="838">
        <f t="shared" si="4498"/>
        <v>364552</v>
      </c>
      <c r="AH1223" s="838">
        <f t="shared" si="4498"/>
        <v>380088</v>
      </c>
      <c r="AI1223" s="838">
        <f t="shared" si="4498"/>
        <v>411976</v>
      </c>
      <c r="AJ1223" s="838">
        <f t="shared" si="4498"/>
        <v>445785</v>
      </c>
      <c r="AK1223" s="838">
        <f t="shared" si="4498"/>
        <v>470558</v>
      </c>
      <c r="AL1223" s="838">
        <f t="shared" si="4498"/>
        <v>484275</v>
      </c>
      <c r="AM1223" s="838">
        <f t="shared" si="4498"/>
        <v>512163</v>
      </c>
      <c r="AN1223" s="838">
        <f t="shared" si="4498"/>
        <v>523013</v>
      </c>
      <c r="AO1223" s="29"/>
      <c r="AP1223" s="29"/>
      <c r="AQ1223" s="29"/>
      <c r="AR1223" s="29"/>
      <c r="AS1223" s="1207"/>
      <c r="AT1223" s="838">
        <f t="shared" ref="AT1223:BE1223" si="4499">SUM(AT1216:AT1222)+AT1215</f>
        <v>69597</v>
      </c>
      <c r="AU1223" s="838">
        <f t="shared" si="4499"/>
        <v>63171</v>
      </c>
      <c r="AV1223" s="838">
        <f t="shared" si="4499"/>
        <v>72793</v>
      </c>
      <c r="AW1223" s="838">
        <f t="shared" si="4499"/>
        <v>77888</v>
      </c>
      <c r="AX1223" s="838">
        <f t="shared" si="4499"/>
        <v>86113</v>
      </c>
      <c r="AY1223" s="838">
        <f t="shared" si="4499"/>
        <v>108704</v>
      </c>
      <c r="AZ1223" s="838">
        <f t="shared" si="4499"/>
        <v>121271</v>
      </c>
      <c r="BA1223" s="838">
        <f t="shared" si="4499"/>
        <v>142431</v>
      </c>
      <c r="BB1223" s="838">
        <f t="shared" si="4499"/>
        <v>172384</v>
      </c>
      <c r="BC1223" s="838">
        <f t="shared" si="4499"/>
        <v>174472</v>
      </c>
      <c r="BD1223" s="838">
        <f t="shared" si="4499"/>
        <v>193468</v>
      </c>
      <c r="BE1223" s="838">
        <f t="shared" si="4499"/>
        <v>241086</v>
      </c>
      <c r="BG1223" s="838">
        <f t="shared" si="4485"/>
        <v>193468</v>
      </c>
      <c r="BH1223" s="838">
        <f>SUM(BH1216:BH1222)+BH1215</f>
        <v>250486</v>
      </c>
      <c r="BI1223" s="838">
        <v>258848</v>
      </c>
      <c r="BJ1223" s="838">
        <f>SUM(BJ1216:BJ1222,BJ1215)</f>
        <v>286556</v>
      </c>
      <c r="BK1223" s="849">
        <f>SUM(BK1216:BK1222,BK1215)</f>
        <v>301311</v>
      </c>
      <c r="BL1223" s="849">
        <f t="shared" si="4486"/>
        <v>333779</v>
      </c>
      <c r="BM1223" s="849">
        <f t="shared" si="4487"/>
        <v>364840</v>
      </c>
      <c r="BN1223" s="849">
        <f t="shared" si="4488"/>
        <v>411976</v>
      </c>
      <c r="BO1223" s="849">
        <f t="shared" si="4489"/>
        <v>512163</v>
      </c>
      <c r="BP1223" s="838"/>
      <c r="BT1223" s="1003"/>
      <c r="BU1223" s="1003"/>
      <c r="BV1223" s="1003"/>
      <c r="BW1223" s="1003"/>
      <c r="BX1223" s="1003"/>
      <c r="BY1223" s="1003"/>
      <c r="BZ1223" s="1003"/>
      <c r="CA1223" s="1003"/>
      <c r="CB1223" s="1003"/>
      <c r="CC1223" s="1003"/>
    </row>
    <row r="1224" spans="2:81" ht="11.1" customHeight="1">
      <c r="AL1224" s="29"/>
      <c r="AM1224" s="29"/>
      <c r="AN1224" s="29"/>
      <c r="AO1224" s="29"/>
      <c r="AP1224" s="29"/>
      <c r="AQ1224" s="29"/>
      <c r="AR1224" s="29"/>
      <c r="AS1224" s="1207"/>
      <c r="BK1224" s="100"/>
      <c r="BL1224" s="100"/>
      <c r="BM1224" s="100"/>
      <c r="BN1224" s="100"/>
      <c r="BO1224" s="100"/>
      <c r="BT1224" s="102"/>
      <c r="BU1224" s="102"/>
      <c r="BV1224" s="102"/>
      <c r="BW1224" s="102"/>
      <c r="BX1224" s="102"/>
      <c r="BY1224" s="102"/>
      <c r="BZ1224" s="102"/>
      <c r="CA1224" s="102"/>
      <c r="CB1224" s="102"/>
      <c r="CC1224" s="102"/>
    </row>
    <row r="1225" spans="2:81" ht="11.1" customHeight="1">
      <c r="B1225" s="45" t="s">
        <v>634</v>
      </c>
      <c r="AL1225" s="29"/>
      <c r="AM1225" s="29"/>
      <c r="AN1225" s="29"/>
      <c r="AR1225" s="29"/>
      <c r="AS1225" s="1207"/>
      <c r="BK1225" s="100"/>
      <c r="BL1225" s="100"/>
      <c r="BM1225" s="100"/>
      <c r="BN1225" s="100"/>
      <c r="BO1225" s="100"/>
    </row>
    <row r="1226" spans="2:81" ht="11.1" customHeight="1">
      <c r="B1226" t="s">
        <v>589</v>
      </c>
      <c r="D1226" s="29">
        <v>6630</v>
      </c>
      <c r="E1226" s="29">
        <v>6936</v>
      </c>
      <c r="F1226" s="29">
        <v>6759</v>
      </c>
      <c r="G1226" s="29">
        <v>6898</v>
      </c>
      <c r="H1226" s="29">
        <v>6296</v>
      </c>
      <c r="I1226" s="29">
        <v>6580</v>
      </c>
      <c r="J1226" s="29">
        <v>6217</v>
      </c>
      <c r="K1226" s="29">
        <v>7390</v>
      </c>
      <c r="L1226" s="29">
        <v>6866</v>
      </c>
      <c r="M1226" s="29">
        <v>7850</v>
      </c>
      <c r="N1226" s="29">
        <v>7623</v>
      </c>
      <c r="O1226" s="29">
        <v>8617</v>
      </c>
      <c r="P1226" s="29">
        <v>8511</v>
      </c>
      <c r="Q1226" s="29">
        <v>7563</v>
      </c>
      <c r="R1226" s="29">
        <v>7544</v>
      </c>
      <c r="S1226" s="29">
        <f t="shared" ref="S1226:S1233" si="4500">+BJ1226</f>
        <v>9382</v>
      </c>
      <c r="T1226" s="29">
        <v>8574</v>
      </c>
      <c r="U1226" s="29">
        <v>8811</v>
      </c>
      <c r="V1226" s="29">
        <v>9246</v>
      </c>
      <c r="W1226" s="29">
        <v>12530</v>
      </c>
      <c r="X1226" s="29">
        <v>12509</v>
      </c>
      <c r="Y1226" s="29">
        <v>12770</v>
      </c>
      <c r="Z1226" s="29">
        <v>13412</v>
      </c>
      <c r="AA1226" s="29">
        <v>15163</v>
      </c>
      <c r="AB1226" s="29">
        <v>14832</v>
      </c>
      <c r="AC1226" s="29">
        <v>15314</v>
      </c>
      <c r="AD1226" s="29">
        <v>16085</v>
      </c>
      <c r="AE1226" s="29">
        <v>19000</v>
      </c>
      <c r="AF1226" s="29">
        <v>16609</v>
      </c>
      <c r="AG1226" s="29">
        <v>15354</v>
      </c>
      <c r="AH1226" s="29">
        <v>15305</v>
      </c>
      <c r="AI1226" s="29">
        <v>18095</v>
      </c>
      <c r="AJ1226" s="29">
        <v>19307</v>
      </c>
      <c r="AK1226" s="29">
        <v>17695</v>
      </c>
      <c r="AL1226" s="29">
        <v>18087</v>
      </c>
      <c r="AM1226" s="29">
        <v>21996</v>
      </c>
      <c r="AN1226" s="29">
        <v>22768</v>
      </c>
      <c r="AO1226" s="952"/>
      <c r="AP1226" s="952"/>
      <c r="AQ1226" s="952"/>
      <c r="AR1226" s="29"/>
      <c r="AS1226" s="1207"/>
      <c r="AT1226" s="29">
        <v>2909</v>
      </c>
      <c r="AU1226" s="29">
        <v>3247</v>
      </c>
      <c r="AV1226" s="29">
        <v>4034</v>
      </c>
      <c r="AW1226" s="29">
        <v>3324</v>
      </c>
      <c r="AX1226" s="29">
        <v>4025</v>
      </c>
      <c r="AY1226" s="29">
        <v>4197</v>
      </c>
      <c r="AZ1226" s="29">
        <v>4175</v>
      </c>
      <c r="BA1226" s="29">
        <v>4828</v>
      </c>
      <c r="BB1226" s="29">
        <v>7432</v>
      </c>
      <c r="BC1226" s="29">
        <v>6591</v>
      </c>
      <c r="BD1226" s="29">
        <v>6898</v>
      </c>
      <c r="BE1226" s="29">
        <v>7390</v>
      </c>
      <c r="BG1226" s="61">
        <f t="shared" ref="BG1226:BG1248" si="4501">+BD1226</f>
        <v>6898</v>
      </c>
      <c r="BH1226" s="29">
        <v>7390</v>
      </c>
      <c r="BI1226" s="29">
        <v>8617</v>
      </c>
      <c r="BJ1226" s="29">
        <v>9382</v>
      </c>
      <c r="BK1226" s="11">
        <f t="shared" ref="BK1226:BK1233" si="4502">+W1226</f>
        <v>12530</v>
      </c>
      <c r="BL1226" s="11">
        <f t="shared" ref="BL1226:BL1241" si="4503">+AA1226</f>
        <v>15163</v>
      </c>
      <c r="BM1226" s="11">
        <f t="shared" ref="BM1226:BM1248" si="4504">+AE1226</f>
        <v>19000</v>
      </c>
      <c r="BN1226" s="11">
        <f t="shared" si="4488"/>
        <v>18095</v>
      </c>
      <c r="BO1226" s="11">
        <f t="shared" si="4489"/>
        <v>21996</v>
      </c>
      <c r="BP1226" s="29"/>
      <c r="BT1226" s="100"/>
      <c r="BU1226" s="100"/>
      <c r="BV1226" s="100"/>
      <c r="BW1226" s="100"/>
      <c r="BX1226" s="100"/>
      <c r="BY1226" s="100"/>
      <c r="BZ1226" s="100"/>
      <c r="CA1226" s="100"/>
      <c r="CB1226" s="100"/>
      <c r="CC1226" s="100"/>
    </row>
    <row r="1227" spans="2:81" ht="11.1" customHeight="1">
      <c r="B1227" t="s">
        <v>635</v>
      </c>
      <c r="D1227" s="29">
        <v>3450</v>
      </c>
      <c r="E1227" s="29">
        <v>3649</v>
      </c>
      <c r="F1227" s="29">
        <v>4276</v>
      </c>
      <c r="G1227" s="29">
        <v>5264</v>
      </c>
      <c r="H1227" s="29">
        <v>3621</v>
      </c>
      <c r="I1227" s="29">
        <v>3982</v>
      </c>
      <c r="J1227" s="29">
        <v>4604</v>
      </c>
      <c r="K1227" s="29">
        <v>5819</v>
      </c>
      <c r="L1227" s="29">
        <v>4108</v>
      </c>
      <c r="M1227" s="29">
        <v>4427</v>
      </c>
      <c r="N1227" s="29">
        <v>5149</v>
      </c>
      <c r="O1227" s="29">
        <v>6103</v>
      </c>
      <c r="P1227" s="29">
        <v>4271</v>
      </c>
      <c r="Q1227" s="29">
        <v>4624</v>
      </c>
      <c r="R1227" s="29">
        <v>5764</v>
      </c>
      <c r="S1227" s="29">
        <f t="shared" si="4500"/>
        <v>6830</v>
      </c>
      <c r="T1227" s="29">
        <v>4676</v>
      </c>
      <c r="U1227" s="29">
        <v>5421</v>
      </c>
      <c r="V1227" s="29">
        <v>6254</v>
      </c>
      <c r="W1227" s="29">
        <v>7874</v>
      </c>
      <c r="X1227" s="29">
        <v>6497</v>
      </c>
      <c r="Y1227" s="29">
        <v>6838</v>
      </c>
      <c r="Z1227" s="29">
        <v>8032</v>
      </c>
      <c r="AA1227" s="29">
        <v>10057</v>
      </c>
      <c r="AB1227" s="29">
        <v>6894</v>
      </c>
      <c r="AC1227" s="29">
        <v>4998</v>
      </c>
      <c r="AD1227" s="29">
        <v>9067</v>
      </c>
      <c r="AE1227" s="29">
        <v>10661</v>
      </c>
      <c r="AF1227" s="29">
        <v>7405</v>
      </c>
      <c r="AG1227" s="29">
        <v>9030</v>
      </c>
      <c r="AH1227" s="29">
        <v>10411</v>
      </c>
      <c r="AI1227" s="29">
        <v>11009</v>
      </c>
      <c r="AJ1227" s="29">
        <v>6990</v>
      </c>
      <c r="AK1227" s="29">
        <v>8813</v>
      </c>
      <c r="AL1227" s="29">
        <v>10432</v>
      </c>
      <c r="AM1227" s="29">
        <v>12564</v>
      </c>
      <c r="AN1227" s="29">
        <v>8326</v>
      </c>
      <c r="AO1227" s="29"/>
      <c r="AP1227" s="29"/>
      <c r="AQ1227" s="29"/>
      <c r="AR1227" s="29"/>
      <c r="AS1227" s="1207"/>
      <c r="AT1227" s="29">
        <v>1938</v>
      </c>
      <c r="AU1227" s="29">
        <v>2325</v>
      </c>
      <c r="AV1227" s="29">
        <v>2934</v>
      </c>
      <c r="AW1227" s="29">
        <v>3156</v>
      </c>
      <c r="AX1227" s="29">
        <v>3283</v>
      </c>
      <c r="AY1227" s="29">
        <v>3575</v>
      </c>
      <c r="AZ1227" s="29">
        <v>3875</v>
      </c>
      <c r="BA1227" s="29">
        <v>4117</v>
      </c>
      <c r="BB1227" s="29">
        <v>4797</v>
      </c>
      <c r="BC1227" s="29">
        <v>5096</v>
      </c>
      <c r="BD1227" s="29">
        <v>5264</v>
      </c>
      <c r="BE1227" s="29">
        <v>5819</v>
      </c>
      <c r="BG1227" s="61">
        <f t="shared" si="4501"/>
        <v>5264</v>
      </c>
      <c r="BH1227" s="29">
        <v>5819</v>
      </c>
      <c r="BI1227" s="29">
        <v>6103</v>
      </c>
      <c r="BJ1227" s="29">
        <v>6830</v>
      </c>
      <c r="BK1227" s="11">
        <f t="shared" si="4502"/>
        <v>7874</v>
      </c>
      <c r="BL1227" s="11">
        <f t="shared" si="4503"/>
        <v>10057</v>
      </c>
      <c r="BM1227" s="11">
        <f t="shared" si="4504"/>
        <v>10661</v>
      </c>
      <c r="BN1227" s="11">
        <f t="shared" si="4488"/>
        <v>11009</v>
      </c>
      <c r="BO1227" s="11">
        <f t="shared" si="4489"/>
        <v>12564</v>
      </c>
      <c r="BP1227" s="29"/>
      <c r="BT1227" s="100"/>
      <c r="BU1227" s="100"/>
      <c r="BV1227" s="100"/>
      <c r="BW1227" s="100"/>
      <c r="BX1227" s="100"/>
      <c r="BY1227" s="100"/>
      <c r="BZ1227" s="100"/>
      <c r="CA1227" s="100"/>
      <c r="CB1227" s="100"/>
      <c r="CC1227" s="100"/>
    </row>
    <row r="1228" spans="2:81" ht="11.1" customHeight="1">
      <c r="B1228" t="s">
        <v>636</v>
      </c>
      <c r="D1228" s="29">
        <v>9998</v>
      </c>
      <c r="E1228" s="29">
        <v>3000</v>
      </c>
      <c r="F1228" s="29">
        <v>5498</v>
      </c>
      <c r="G1228" s="29">
        <v>12904</v>
      </c>
      <c r="H1228" s="29">
        <v>14536</v>
      </c>
      <c r="I1228" s="29">
        <v>25065</v>
      </c>
      <c r="J1228" s="29">
        <v>7187</v>
      </c>
      <c r="K1228" s="29">
        <v>9072</v>
      </c>
      <c r="L1228" s="29">
        <v>8170</v>
      </c>
      <c r="M1228" s="29">
        <v>12466</v>
      </c>
      <c r="N1228" s="29">
        <v>230</v>
      </c>
      <c r="O1228" s="29">
        <v>0</v>
      </c>
      <c r="P1228" s="29">
        <v>0</v>
      </c>
      <c r="Q1228" s="29">
        <v>0</v>
      </c>
      <c r="R1228" s="29">
        <v>0</v>
      </c>
      <c r="S1228" s="29">
        <f t="shared" si="4500"/>
        <v>0</v>
      </c>
      <c r="T1228" s="29">
        <v>0</v>
      </c>
      <c r="U1228" s="29">
        <v>0</v>
      </c>
      <c r="V1228" s="29">
        <v>0</v>
      </c>
      <c r="W1228" s="29">
        <v>0</v>
      </c>
      <c r="X1228" s="29">
        <v>0</v>
      </c>
      <c r="Y1228" s="29">
        <v>0</v>
      </c>
      <c r="Z1228" s="29">
        <v>0</v>
      </c>
      <c r="AA1228" s="29">
        <v>0</v>
      </c>
      <c r="AB1228" s="29">
        <v>0</v>
      </c>
      <c r="AC1228" s="29">
        <v>0</v>
      </c>
      <c r="AD1228" s="29">
        <v>0</v>
      </c>
      <c r="AE1228" s="29">
        <v>0</v>
      </c>
      <c r="AF1228" s="29">
        <v>0</v>
      </c>
      <c r="AG1228" s="29">
        <v>0</v>
      </c>
      <c r="AH1228" s="29">
        <v>0</v>
      </c>
      <c r="AI1228" s="29">
        <v>0</v>
      </c>
      <c r="AJ1228" s="29">
        <v>25808</v>
      </c>
      <c r="AK1228" s="29">
        <v>27041</v>
      </c>
      <c r="AL1228" s="29">
        <v>20535</v>
      </c>
      <c r="AM1228" s="29">
        <v>6693</v>
      </c>
      <c r="AN1228" s="29">
        <v>0</v>
      </c>
      <c r="AO1228" s="29"/>
      <c r="AP1228" s="29"/>
      <c r="AQ1228" s="29"/>
      <c r="AR1228" s="29"/>
      <c r="AS1228" s="1207"/>
      <c r="AT1228" s="29">
        <v>0</v>
      </c>
      <c r="AU1228" s="29">
        <v>0</v>
      </c>
      <c r="AV1228" s="29">
        <v>0</v>
      </c>
      <c r="AW1228" s="29">
        <v>2000</v>
      </c>
      <c r="AX1228" s="29">
        <v>1000</v>
      </c>
      <c r="AY1228" s="29">
        <v>0</v>
      </c>
      <c r="AZ1228" s="29">
        <v>0</v>
      </c>
      <c r="BA1228" s="29">
        <v>0</v>
      </c>
      <c r="BB1228" s="29">
        <v>2000</v>
      </c>
      <c r="BC1228" s="29">
        <v>4985</v>
      </c>
      <c r="BD1228" s="29">
        <v>12904</v>
      </c>
      <c r="BE1228" s="29">
        <v>9072</v>
      </c>
      <c r="BG1228" s="61">
        <f t="shared" si="4501"/>
        <v>12904</v>
      </c>
      <c r="BH1228" s="29">
        <v>9072</v>
      </c>
      <c r="BI1228" s="29">
        <v>0</v>
      </c>
      <c r="BJ1228" s="29">
        <v>0</v>
      </c>
      <c r="BK1228" s="11">
        <f t="shared" si="4502"/>
        <v>0</v>
      </c>
      <c r="BL1228" s="11">
        <f t="shared" si="4503"/>
        <v>0</v>
      </c>
      <c r="BM1228" s="11">
        <f t="shared" si="4504"/>
        <v>0</v>
      </c>
      <c r="BN1228" s="11">
        <f t="shared" si="4488"/>
        <v>0</v>
      </c>
      <c r="BO1228" s="11">
        <f t="shared" si="4489"/>
        <v>6693</v>
      </c>
      <c r="BP1228" s="29"/>
      <c r="BT1228" s="100"/>
      <c r="BU1228" s="100"/>
      <c r="BV1228" s="100"/>
      <c r="BW1228" s="100"/>
      <c r="BX1228" s="100"/>
      <c r="BY1228" s="100"/>
      <c r="BZ1228" s="100"/>
      <c r="CA1228" s="100"/>
      <c r="CB1228" s="100"/>
      <c r="CC1228" s="100"/>
    </row>
    <row r="1229" spans="2:81" ht="11.1" customHeight="1">
      <c r="B1229" t="s">
        <v>637</v>
      </c>
      <c r="D1229" s="29">
        <v>750</v>
      </c>
      <c r="E1229" s="29">
        <v>750</v>
      </c>
      <c r="F1229" s="29">
        <v>0</v>
      </c>
      <c r="G1229" s="29">
        <v>0</v>
      </c>
      <c r="H1229" s="29">
        <v>0</v>
      </c>
      <c r="I1229" s="29">
        <v>599</v>
      </c>
      <c r="J1229" s="29">
        <v>599</v>
      </c>
      <c r="K1229" s="29">
        <v>1049</v>
      </c>
      <c r="L1229" s="29">
        <v>1050</v>
      </c>
      <c r="M1229" s="29">
        <v>3446</v>
      </c>
      <c r="N1229" s="29">
        <v>3447</v>
      </c>
      <c r="O1229" s="29">
        <v>3998</v>
      </c>
      <c r="P1229" s="29">
        <v>6497</v>
      </c>
      <c r="Q1229" s="29">
        <v>3516</v>
      </c>
      <c r="R1229" s="29">
        <v>6515</v>
      </c>
      <c r="S1229" s="29">
        <f t="shared" si="4500"/>
        <v>5516</v>
      </c>
      <c r="T1229" s="29">
        <v>3017</v>
      </c>
      <c r="U1229" s="29">
        <v>6247</v>
      </c>
      <c r="V1229" s="29">
        <v>3748</v>
      </c>
      <c r="W1229" s="29">
        <v>3749</v>
      </c>
      <c r="X1229" s="29">
        <v>5714</v>
      </c>
      <c r="Y1229" s="29">
        <v>5387</v>
      </c>
      <c r="Z1229" s="29">
        <v>8051</v>
      </c>
      <c r="AA1229" s="29">
        <v>8072</v>
      </c>
      <c r="AB1229" s="29">
        <v>3249</v>
      </c>
      <c r="AC1229" s="29">
        <v>7782</v>
      </c>
      <c r="AD1229" s="29">
        <v>1749</v>
      </c>
      <c r="AE1229" s="29">
        <v>2749</v>
      </c>
      <c r="AF1229" s="29">
        <v>3248</v>
      </c>
      <c r="AG1229" s="29">
        <v>3997</v>
      </c>
      <c r="AH1229" s="29">
        <v>6245</v>
      </c>
      <c r="AI1229" s="29">
        <v>5247</v>
      </c>
      <c r="AJ1229" s="29">
        <v>3748</v>
      </c>
      <c r="AK1229" s="29">
        <v>2250</v>
      </c>
      <c r="AL1229" s="29">
        <v>2249</v>
      </c>
      <c r="AM1229" s="29">
        <v>2249</v>
      </c>
      <c r="AN1229" s="29">
        <v>2249</v>
      </c>
      <c r="AO1229" s="29"/>
      <c r="AP1229" s="29"/>
      <c r="AQ1229" s="29"/>
      <c r="AR1229" s="29"/>
      <c r="AS1229" s="1207"/>
      <c r="AT1229" s="29">
        <v>0</v>
      </c>
      <c r="AU1229" s="29">
        <v>0</v>
      </c>
      <c r="AV1229" s="29">
        <v>0</v>
      </c>
      <c r="AW1229" s="29">
        <v>0</v>
      </c>
      <c r="AX1229" s="29">
        <v>0</v>
      </c>
      <c r="AY1229" s="29">
        <v>0</v>
      </c>
      <c r="AZ1229" s="29">
        <v>1231</v>
      </c>
      <c r="BA1229" s="29">
        <v>2999</v>
      </c>
      <c r="BB1229" s="29">
        <v>0</v>
      </c>
      <c r="BC1229" s="29">
        <v>2499</v>
      </c>
      <c r="BD1229" s="29">
        <v>0</v>
      </c>
      <c r="BE1229" s="29">
        <v>1049</v>
      </c>
      <c r="BG1229" s="61">
        <f t="shared" si="4501"/>
        <v>0</v>
      </c>
      <c r="BH1229" s="29">
        <v>1049</v>
      </c>
      <c r="BI1229" s="29">
        <v>3998</v>
      </c>
      <c r="BJ1229" s="29">
        <v>5516</v>
      </c>
      <c r="BK1229" s="11">
        <f t="shared" si="4502"/>
        <v>3749</v>
      </c>
      <c r="BL1229" s="11">
        <f t="shared" si="4503"/>
        <v>8072</v>
      </c>
      <c r="BM1229" s="11">
        <f t="shared" si="4504"/>
        <v>2749</v>
      </c>
      <c r="BN1229" s="11">
        <f t="shared" si="4488"/>
        <v>5247</v>
      </c>
      <c r="BO1229" s="11">
        <f t="shared" si="4489"/>
        <v>2249</v>
      </c>
      <c r="BP1229" s="29"/>
      <c r="BT1229" s="1003"/>
      <c r="BU1229" s="1003"/>
      <c r="BV1229" s="1003"/>
      <c r="BW1229" s="1003"/>
      <c r="BX1229" s="1003"/>
      <c r="BY1229" s="1003"/>
      <c r="BZ1229" s="1003"/>
      <c r="CA1229" s="1003"/>
      <c r="CB1229" s="1003"/>
      <c r="CC1229" s="1003"/>
    </row>
    <row r="1230" spans="2:81" ht="11.1" customHeight="1">
      <c r="B1230" t="s">
        <v>638</v>
      </c>
      <c r="D1230" s="29">
        <v>607</v>
      </c>
      <c r="E1230" s="29">
        <v>493</v>
      </c>
      <c r="F1230" s="29">
        <v>685</v>
      </c>
      <c r="G1230" s="29">
        <v>580</v>
      </c>
      <c r="H1230" s="29">
        <v>720</v>
      </c>
      <c r="I1230" s="29">
        <v>508</v>
      </c>
      <c r="J1230" s="29">
        <v>654</v>
      </c>
      <c r="K1230" s="29">
        <v>718</v>
      </c>
      <c r="L1230" s="29">
        <v>920</v>
      </c>
      <c r="M1230" s="29">
        <v>788</v>
      </c>
      <c r="N1230" s="29">
        <v>814</v>
      </c>
      <c r="O1230" s="29">
        <v>2121</v>
      </c>
      <c r="P1230" s="29">
        <v>2341</v>
      </c>
      <c r="Q1230" s="29">
        <v>2033</v>
      </c>
      <c r="R1230" s="29">
        <v>1950</v>
      </c>
      <c r="S1230" s="29">
        <f t="shared" si="4500"/>
        <v>5665</v>
      </c>
      <c r="T1230" s="29">
        <v>3440</v>
      </c>
      <c r="U1230" s="29">
        <v>2687</v>
      </c>
      <c r="V1230" s="29">
        <v>3296</v>
      </c>
      <c r="W1230" s="29">
        <v>2130</v>
      </c>
      <c r="X1230" s="29">
        <v>2384</v>
      </c>
      <c r="Y1230" s="29">
        <v>1562</v>
      </c>
      <c r="Z1230" s="29">
        <v>2165</v>
      </c>
      <c r="AA1230" s="29">
        <v>2174</v>
      </c>
      <c r="AB1230" s="29">
        <v>6272</v>
      </c>
      <c r="AC1230" s="29">
        <v>3731</v>
      </c>
      <c r="AD1230" s="29">
        <v>4646</v>
      </c>
      <c r="AE1230" s="29">
        <v>4067</v>
      </c>
      <c r="AF1230" s="29">
        <v>6729</v>
      </c>
      <c r="AG1230" s="29">
        <v>3553</v>
      </c>
      <c r="AH1230" s="29">
        <v>4163</v>
      </c>
      <c r="AI1230" s="29">
        <v>4152</v>
      </c>
      <c r="AJ1230" s="29">
        <v>8035</v>
      </c>
      <c r="AK1230" s="29">
        <v>5787</v>
      </c>
      <c r="AL1230" s="29">
        <v>7311</v>
      </c>
      <c r="AM1230" s="29">
        <v>5017</v>
      </c>
      <c r="AN1230" s="29">
        <v>9717</v>
      </c>
      <c r="AO1230" s="29"/>
      <c r="AP1230" s="29"/>
      <c r="AQ1230" s="29"/>
      <c r="AR1230" s="29"/>
      <c r="AS1230" s="1207"/>
      <c r="AT1230" s="29">
        <v>1557</v>
      </c>
      <c r="AU1230" s="29">
        <v>1040</v>
      </c>
      <c r="AV1230" s="29">
        <v>3248</v>
      </c>
      <c r="AW1230" s="29">
        <v>725</v>
      </c>
      <c r="AX1230" s="29">
        <v>1074</v>
      </c>
      <c r="AY1230" s="29">
        <v>580</v>
      </c>
      <c r="AZ1230" s="29">
        <v>789</v>
      </c>
      <c r="BA1230" s="29">
        <v>592</v>
      </c>
      <c r="BB1230" s="29">
        <v>782</v>
      </c>
      <c r="BC1230" s="29">
        <v>606</v>
      </c>
      <c r="BD1230" s="29">
        <v>580</v>
      </c>
      <c r="BE1230" s="29">
        <v>718</v>
      </c>
      <c r="BG1230" s="61">
        <f t="shared" si="4501"/>
        <v>580</v>
      </c>
      <c r="BH1230" s="29">
        <v>718</v>
      </c>
      <c r="BI1230" s="29">
        <v>2121</v>
      </c>
      <c r="BJ1230" s="29">
        <v>5665</v>
      </c>
      <c r="BK1230" s="11">
        <f t="shared" si="4502"/>
        <v>2130</v>
      </c>
      <c r="BL1230" s="11">
        <f t="shared" si="4503"/>
        <v>2174</v>
      </c>
      <c r="BM1230" s="11">
        <f t="shared" si="4504"/>
        <v>4067</v>
      </c>
      <c r="BN1230" s="11">
        <f t="shared" si="4488"/>
        <v>4152</v>
      </c>
      <c r="BO1230" s="11">
        <f t="shared" si="4489"/>
        <v>5017</v>
      </c>
      <c r="BP1230" s="29"/>
      <c r="BT1230" s="102"/>
      <c r="BU1230" s="102"/>
      <c r="BV1230" s="102"/>
      <c r="BW1230" s="102"/>
      <c r="BX1230" s="102"/>
      <c r="BY1230" s="102"/>
      <c r="BZ1230" s="102"/>
      <c r="CA1230" s="102"/>
      <c r="CB1230" s="102"/>
      <c r="CC1230" s="102"/>
    </row>
    <row r="1231" spans="2:81" ht="11.1" customHeight="1">
      <c r="B1231" t="s">
        <v>639</v>
      </c>
      <c r="D1231" s="29">
        <v>21603</v>
      </c>
      <c r="E1231" s="29">
        <v>20929</v>
      </c>
      <c r="F1231" s="29">
        <v>20876</v>
      </c>
      <c r="G1231" s="29">
        <v>27468</v>
      </c>
      <c r="H1231" s="29">
        <v>26304</v>
      </c>
      <c r="I1231" s="29">
        <v>26085</v>
      </c>
      <c r="J1231" s="29">
        <v>26518</v>
      </c>
      <c r="K1231" s="29">
        <v>24013</v>
      </c>
      <c r="L1231" s="29">
        <v>22778</v>
      </c>
      <c r="M1231" s="29">
        <v>21309</v>
      </c>
      <c r="N1231" s="29">
        <v>21370</v>
      </c>
      <c r="O1231" s="29">
        <v>28905</v>
      </c>
      <c r="P1231" s="29">
        <v>26704</v>
      </c>
      <c r="Q1231" s="29">
        <v>24285</v>
      </c>
      <c r="R1231" s="29">
        <v>24251</v>
      </c>
      <c r="S1231" s="29">
        <f t="shared" si="4500"/>
        <v>32676</v>
      </c>
      <c r="T1231" s="29">
        <v>29904</v>
      </c>
      <c r="U1231" s="29">
        <v>27343</v>
      </c>
      <c r="V1231" s="29">
        <v>27012</v>
      </c>
      <c r="W1231" s="29">
        <v>36000</v>
      </c>
      <c r="X1231" s="29">
        <v>33476</v>
      </c>
      <c r="Y1231" s="29">
        <v>30402</v>
      </c>
      <c r="Z1231" s="29">
        <v>30083</v>
      </c>
      <c r="AA1231" s="29">
        <v>41525</v>
      </c>
      <c r="AB1231" s="29">
        <v>38465</v>
      </c>
      <c r="AC1231" s="29">
        <v>34001</v>
      </c>
      <c r="AD1231" s="29">
        <v>34027</v>
      </c>
      <c r="AE1231" s="29">
        <v>45538</v>
      </c>
      <c r="AF1231" s="29">
        <v>41340</v>
      </c>
      <c r="AG1231" s="29">
        <v>36982</v>
      </c>
      <c r="AH1231" s="29">
        <v>36903</v>
      </c>
      <c r="AI1231" s="29">
        <v>50901</v>
      </c>
      <c r="AJ1231" s="29">
        <v>46429</v>
      </c>
      <c r="AK1231" s="29">
        <v>43068</v>
      </c>
      <c r="AL1231" s="29">
        <v>41888</v>
      </c>
      <c r="AM1231" s="29">
        <v>57582</v>
      </c>
      <c r="AN1231" s="29">
        <v>53026</v>
      </c>
      <c r="AO1231" s="29"/>
      <c r="AP1231" s="29"/>
      <c r="AQ1231" s="29"/>
      <c r="AR1231" s="29"/>
      <c r="AS1231" s="1207"/>
      <c r="AT1231" s="29">
        <v>9138</v>
      </c>
      <c r="AU1231" s="29">
        <v>10779</v>
      </c>
      <c r="AV1231" s="29">
        <v>13397</v>
      </c>
      <c r="AW1231" s="29">
        <v>13003</v>
      </c>
      <c r="AX1231" s="29">
        <v>13652</v>
      </c>
      <c r="AY1231" s="29">
        <v>15722</v>
      </c>
      <c r="AZ1231" s="29">
        <v>18653</v>
      </c>
      <c r="BA1231" s="29">
        <v>20639</v>
      </c>
      <c r="BB1231" s="29">
        <v>23150</v>
      </c>
      <c r="BC1231" s="29">
        <v>23223</v>
      </c>
      <c r="BD1231" s="29">
        <v>27468</v>
      </c>
      <c r="BE1231" s="29">
        <v>34102</v>
      </c>
      <c r="BG1231" s="61">
        <f t="shared" si="4501"/>
        <v>27468</v>
      </c>
      <c r="BH1231" s="29">
        <v>24013</v>
      </c>
      <c r="BI1231" s="29">
        <v>28905</v>
      </c>
      <c r="BJ1231" s="29">
        <v>32676</v>
      </c>
      <c r="BK1231" s="11">
        <f t="shared" si="4502"/>
        <v>36000</v>
      </c>
      <c r="BL1231" s="11">
        <f t="shared" si="4503"/>
        <v>41525</v>
      </c>
      <c r="BM1231" s="11">
        <f t="shared" si="4504"/>
        <v>45538</v>
      </c>
      <c r="BN1231" s="11">
        <f t="shared" si="4488"/>
        <v>50901</v>
      </c>
      <c r="BO1231" s="11">
        <f t="shared" si="4489"/>
        <v>57582</v>
      </c>
      <c r="BP1231" s="29"/>
    </row>
    <row r="1232" spans="2:81" ht="11.1" customHeight="1">
      <c r="B1232" t="s">
        <v>593</v>
      </c>
      <c r="D1232" s="29">
        <v>6207</v>
      </c>
      <c r="E1232" s="29">
        <v>6447</v>
      </c>
      <c r="F1232" s="29">
        <v>5887</v>
      </c>
      <c r="G1232" s="29">
        <v>5949</v>
      </c>
      <c r="H1232" s="29">
        <v>7123</v>
      </c>
      <c r="I1232" s="29">
        <v>6688</v>
      </c>
      <c r="J1232" s="29">
        <v>6025</v>
      </c>
      <c r="K1232" s="29">
        <v>7684</v>
      </c>
      <c r="L1232" s="29">
        <v>7520</v>
      </c>
      <c r="M1232" s="29">
        <v>7787</v>
      </c>
      <c r="N1232" s="29">
        <v>7500</v>
      </c>
      <c r="O1232" s="29">
        <v>8744</v>
      </c>
      <c r="P1232" s="29">
        <v>7953</v>
      </c>
      <c r="Q1232" s="29">
        <v>8297</v>
      </c>
      <c r="R1232" s="29">
        <v>7837</v>
      </c>
      <c r="S1232" s="29">
        <f t="shared" si="4500"/>
        <v>9351</v>
      </c>
      <c r="T1232" s="29">
        <v>8507</v>
      </c>
      <c r="U1232" s="29">
        <v>9131</v>
      </c>
      <c r="V1232" s="29">
        <v>9151</v>
      </c>
      <c r="W1232" s="29">
        <v>10027</v>
      </c>
      <c r="X1232" s="29">
        <v>9476</v>
      </c>
      <c r="Y1232" s="29">
        <v>10527</v>
      </c>
      <c r="Z1232" s="29">
        <v>10450</v>
      </c>
      <c r="AA1232" s="29">
        <v>11666</v>
      </c>
      <c r="AB1232" s="29">
        <v>10816</v>
      </c>
      <c r="AC1232" s="29">
        <v>11684</v>
      </c>
      <c r="AD1232" s="29">
        <v>11865</v>
      </c>
      <c r="AE1232" s="29">
        <v>13067</v>
      </c>
      <c r="AF1232" s="29">
        <v>12058</v>
      </c>
      <c r="AG1232" s="29">
        <v>12802</v>
      </c>
      <c r="AH1232" s="29">
        <v>12664</v>
      </c>
      <c r="AI1232" s="29">
        <v>14745</v>
      </c>
      <c r="AJ1232" s="29">
        <v>14475</v>
      </c>
      <c r="AK1232" s="29">
        <v>16362</v>
      </c>
      <c r="AL1232" s="29">
        <v>18023</v>
      </c>
      <c r="AM1232" s="29">
        <v>19185</v>
      </c>
      <c r="AN1232" s="29">
        <v>19114</v>
      </c>
      <c r="AO1232" s="29"/>
      <c r="AP1232" s="29"/>
      <c r="AQ1232" s="29"/>
      <c r="AR1232" s="29"/>
      <c r="AS1232" s="1207"/>
      <c r="AT1232" s="29">
        <v>3783</v>
      </c>
      <c r="AU1232" s="29">
        <v>3622</v>
      </c>
      <c r="AV1232" s="29">
        <v>3659</v>
      </c>
      <c r="AW1232" s="29">
        <v>3142</v>
      </c>
      <c r="AX1232" s="29">
        <v>2931</v>
      </c>
      <c r="AY1232" s="29">
        <v>3492</v>
      </c>
      <c r="AZ1232" s="29">
        <v>3151</v>
      </c>
      <c r="BA1232" s="29">
        <v>3597</v>
      </c>
      <c r="BB1232" s="29">
        <v>6906</v>
      </c>
      <c r="BC1232" s="29">
        <v>6555</v>
      </c>
      <c r="BD1232" s="29">
        <v>5949</v>
      </c>
      <c r="BE1232" s="29">
        <v>6280</v>
      </c>
      <c r="BG1232" s="61">
        <f t="shared" si="4501"/>
        <v>5949</v>
      </c>
      <c r="BH1232" s="29">
        <v>7684</v>
      </c>
      <c r="BI1232" s="29">
        <v>8744</v>
      </c>
      <c r="BJ1232" s="29">
        <v>9351</v>
      </c>
      <c r="BK1232" s="11">
        <f t="shared" si="4502"/>
        <v>10027</v>
      </c>
      <c r="BL1232" s="11">
        <f t="shared" si="4503"/>
        <v>11666</v>
      </c>
      <c r="BM1232" s="11">
        <f t="shared" si="4504"/>
        <v>13067</v>
      </c>
      <c r="BN1232" s="11">
        <f t="shared" si="4488"/>
        <v>14745</v>
      </c>
      <c r="BO1232" s="11">
        <f t="shared" si="4489"/>
        <v>19185</v>
      </c>
      <c r="BP1232" s="29"/>
      <c r="BT1232" s="100"/>
      <c r="BU1232" s="100"/>
      <c r="BV1232" s="100"/>
      <c r="BW1232" s="100"/>
      <c r="BX1232" s="100"/>
      <c r="BY1232" s="100"/>
      <c r="BZ1232" s="100"/>
      <c r="CA1232" s="100"/>
      <c r="CB1232" s="100"/>
      <c r="CC1232" s="100"/>
    </row>
    <row r="1233" spans="2:81" s="852" customFormat="1" ht="11.1" customHeight="1">
      <c r="B1233" t="s">
        <v>640</v>
      </c>
      <c r="D1233" s="939">
        <v>154</v>
      </c>
      <c r="E1233" s="939">
        <v>439</v>
      </c>
      <c r="F1233" s="939">
        <v>373</v>
      </c>
      <c r="G1233" s="939">
        <v>294</v>
      </c>
      <c r="H1233" s="939">
        <v>210</v>
      </c>
      <c r="I1233" s="939">
        <v>1280</v>
      </c>
      <c r="J1233" s="939">
        <v>201</v>
      </c>
      <c r="K1233" s="939">
        <v>0</v>
      </c>
      <c r="L1233" s="939">
        <v>203</v>
      </c>
      <c r="M1233" s="939">
        <v>26</v>
      </c>
      <c r="N1233" s="939">
        <v>0</v>
      </c>
      <c r="O1233" s="939">
        <v>0</v>
      </c>
      <c r="P1233" s="939">
        <v>0</v>
      </c>
      <c r="Q1233" s="939">
        <v>0</v>
      </c>
      <c r="R1233" s="939">
        <v>0</v>
      </c>
      <c r="S1233" s="939">
        <f t="shared" si="4500"/>
        <v>0</v>
      </c>
      <c r="T1233" s="939">
        <v>0</v>
      </c>
      <c r="U1233" s="939">
        <v>0</v>
      </c>
      <c r="V1233" s="939">
        <v>0</v>
      </c>
      <c r="W1233" s="939">
        <v>0</v>
      </c>
      <c r="X1233" s="939">
        <v>0</v>
      </c>
      <c r="Y1233" s="939">
        <v>0</v>
      </c>
      <c r="Z1233" s="939">
        <v>0</v>
      </c>
      <c r="AA1233" s="939">
        <v>0</v>
      </c>
      <c r="AB1233" s="939">
        <v>0</v>
      </c>
      <c r="AC1233" s="939">
        <v>0</v>
      </c>
      <c r="AD1233" s="939">
        <v>0</v>
      </c>
      <c r="AE1233" s="939">
        <v>0</v>
      </c>
      <c r="AF1233" s="939">
        <v>0</v>
      </c>
      <c r="AG1233" s="939">
        <v>0</v>
      </c>
      <c r="AH1233" s="30">
        <v>0</v>
      </c>
      <c r="AI1233" s="30">
        <v>0</v>
      </c>
      <c r="AJ1233" s="30">
        <v>0</v>
      </c>
      <c r="AK1233" s="30">
        <v>0</v>
      </c>
      <c r="AL1233" s="30">
        <v>0</v>
      </c>
      <c r="AM1233" s="30">
        <v>0</v>
      </c>
      <c r="AN1233" s="30">
        <v>0</v>
      </c>
      <c r="AO1233" s="29"/>
      <c r="AR1233" s="29"/>
      <c r="AS1233" s="1207"/>
      <c r="AT1233" s="939">
        <v>3117</v>
      </c>
      <c r="AU1233" s="939">
        <v>2741</v>
      </c>
      <c r="AV1233" s="939">
        <v>2614</v>
      </c>
      <c r="AW1233" s="939">
        <v>1684</v>
      </c>
      <c r="AX1233" s="939">
        <v>182</v>
      </c>
      <c r="AY1233" s="939">
        <v>1208</v>
      </c>
      <c r="AZ1233" s="939">
        <v>814</v>
      </c>
      <c r="BA1233" s="939">
        <v>645</v>
      </c>
      <c r="BB1233" s="939">
        <v>558</v>
      </c>
      <c r="BC1233" s="939">
        <v>92</v>
      </c>
      <c r="BD1233" s="939">
        <v>294</v>
      </c>
      <c r="BE1233" s="939">
        <v>97</v>
      </c>
      <c r="BG1233" s="58">
        <f t="shared" si="4501"/>
        <v>294</v>
      </c>
      <c r="BH1233" s="939">
        <v>0</v>
      </c>
      <c r="BI1233" s="939">
        <v>0</v>
      </c>
      <c r="BJ1233" s="939">
        <v>0</v>
      </c>
      <c r="BK1233" s="940">
        <f t="shared" si="4502"/>
        <v>0</v>
      </c>
      <c r="BL1233" s="940">
        <f t="shared" si="4503"/>
        <v>0</v>
      </c>
      <c r="BM1233" s="940">
        <f t="shared" si="4504"/>
        <v>0</v>
      </c>
      <c r="BN1233" s="940">
        <f t="shared" si="4488"/>
        <v>0</v>
      </c>
      <c r="BO1233" s="940">
        <f t="shared" si="4489"/>
        <v>0</v>
      </c>
      <c r="BP1233" s="939"/>
      <c r="BT1233" s="100"/>
      <c r="BU1233" s="100"/>
      <c r="BV1233" s="100"/>
      <c r="BW1233" s="100"/>
      <c r="BX1233" s="100"/>
      <c r="BY1233" s="100"/>
      <c r="BZ1233" s="100"/>
      <c r="CA1233" s="100"/>
      <c r="CB1233" s="100"/>
      <c r="CC1233" s="100"/>
    </row>
    <row r="1234" spans="2:81" ht="11.1" customHeight="1">
      <c r="B1234" s="12" t="s">
        <v>641</v>
      </c>
      <c r="D1234" s="8">
        <f>SUM(D1226:D1233)</f>
        <v>49399</v>
      </c>
      <c r="E1234" s="8">
        <f t="shared" ref="E1234:AL1234" si="4505">SUM(E1226:E1233)</f>
        <v>42643</v>
      </c>
      <c r="F1234" s="8">
        <f t="shared" si="4505"/>
        <v>44354</v>
      </c>
      <c r="G1234" s="8">
        <f t="shared" si="4505"/>
        <v>59357</v>
      </c>
      <c r="H1234" s="8">
        <f t="shared" si="4505"/>
        <v>58810</v>
      </c>
      <c r="I1234" s="8">
        <f t="shared" si="4505"/>
        <v>70787</v>
      </c>
      <c r="J1234" s="8">
        <f t="shared" si="4505"/>
        <v>52005</v>
      </c>
      <c r="K1234" s="8">
        <f t="shared" si="4505"/>
        <v>55745</v>
      </c>
      <c r="L1234" s="8">
        <f t="shared" si="4505"/>
        <v>51615</v>
      </c>
      <c r="M1234" s="8">
        <f t="shared" si="4505"/>
        <v>58099</v>
      </c>
      <c r="N1234" s="8">
        <f t="shared" si="4505"/>
        <v>46133</v>
      </c>
      <c r="O1234" s="8">
        <f t="shared" si="4505"/>
        <v>58488</v>
      </c>
      <c r="P1234" s="8">
        <f t="shared" si="4505"/>
        <v>56277</v>
      </c>
      <c r="Q1234" s="8">
        <f t="shared" si="4505"/>
        <v>50318</v>
      </c>
      <c r="R1234" s="8">
        <f t="shared" si="4505"/>
        <v>53861</v>
      </c>
      <c r="S1234" s="8">
        <f t="shared" si="4505"/>
        <v>69420</v>
      </c>
      <c r="T1234" s="8">
        <f t="shared" si="4505"/>
        <v>58118</v>
      </c>
      <c r="U1234" s="8">
        <f t="shared" si="4505"/>
        <v>59640</v>
      </c>
      <c r="V1234" s="8">
        <f t="shared" si="4505"/>
        <v>58707</v>
      </c>
      <c r="W1234" s="8">
        <f t="shared" si="4505"/>
        <v>72310</v>
      </c>
      <c r="X1234" s="8">
        <f t="shared" si="4505"/>
        <v>70056</v>
      </c>
      <c r="Y1234" s="8">
        <f t="shared" si="4505"/>
        <v>67486</v>
      </c>
      <c r="Z1234" s="8">
        <f t="shared" si="4505"/>
        <v>72193</v>
      </c>
      <c r="AA1234" s="8">
        <f t="shared" si="4505"/>
        <v>88657</v>
      </c>
      <c r="AB1234" s="8">
        <f t="shared" si="4505"/>
        <v>80528</v>
      </c>
      <c r="AC1234" s="8">
        <f t="shared" si="4505"/>
        <v>77510</v>
      </c>
      <c r="AD1234" s="8">
        <f t="shared" si="4505"/>
        <v>77439</v>
      </c>
      <c r="AE1234" s="8">
        <f t="shared" si="4505"/>
        <v>95082</v>
      </c>
      <c r="AF1234" s="8">
        <f t="shared" si="4505"/>
        <v>87389</v>
      </c>
      <c r="AG1234" s="8">
        <f t="shared" si="4505"/>
        <v>81718</v>
      </c>
      <c r="AH1234" s="8">
        <f t="shared" si="4505"/>
        <v>85691</v>
      </c>
      <c r="AI1234" s="8">
        <f t="shared" si="4505"/>
        <v>104149</v>
      </c>
      <c r="AJ1234" s="8">
        <f t="shared" si="4505"/>
        <v>124792</v>
      </c>
      <c r="AK1234" s="8">
        <f t="shared" si="4505"/>
        <v>121016</v>
      </c>
      <c r="AL1234" s="8">
        <f t="shared" si="4505"/>
        <v>118525</v>
      </c>
      <c r="AM1234" s="8">
        <f t="shared" ref="AM1234:AN1234" si="4506">SUM(AM1226:AM1233)</f>
        <v>125286</v>
      </c>
      <c r="AN1234" s="8">
        <f t="shared" si="4506"/>
        <v>115200</v>
      </c>
      <c r="AR1234" s="29"/>
      <c r="AS1234" s="1207"/>
      <c r="AT1234" s="8">
        <f t="shared" ref="AT1234:BE1234" si="4507">SUM(AT1226:AT1233)</f>
        <v>22442</v>
      </c>
      <c r="AU1234" s="8">
        <f t="shared" si="4507"/>
        <v>23754</v>
      </c>
      <c r="AV1234" s="8">
        <f t="shared" si="4507"/>
        <v>29886</v>
      </c>
      <c r="AW1234" s="8">
        <f t="shared" si="4507"/>
        <v>27034</v>
      </c>
      <c r="AX1234" s="8">
        <f t="shared" si="4507"/>
        <v>26147</v>
      </c>
      <c r="AY1234" s="8">
        <f t="shared" si="4507"/>
        <v>28774</v>
      </c>
      <c r="AZ1234" s="8">
        <f t="shared" si="4507"/>
        <v>32688</v>
      </c>
      <c r="BA1234" s="8">
        <f t="shared" si="4507"/>
        <v>37417</v>
      </c>
      <c r="BB1234" s="8">
        <f t="shared" si="4507"/>
        <v>45625</v>
      </c>
      <c r="BC1234" s="8">
        <f t="shared" si="4507"/>
        <v>49647</v>
      </c>
      <c r="BD1234" s="8">
        <f t="shared" si="4507"/>
        <v>59357</v>
      </c>
      <c r="BE1234" s="8">
        <f t="shared" si="4507"/>
        <v>64527</v>
      </c>
      <c r="BG1234" s="8">
        <f t="shared" si="4501"/>
        <v>59357</v>
      </c>
      <c r="BH1234" s="8">
        <f t="shared" ref="BH1234" si="4508">SUM(BH1226:BH1233)</f>
        <v>55745</v>
      </c>
      <c r="BI1234" s="8">
        <v>58488</v>
      </c>
      <c r="BJ1234" s="8">
        <f>SUM(BJ1226:BJ1233)</f>
        <v>69420</v>
      </c>
      <c r="BK1234" s="11">
        <f>SUM(BK1226:BK1233)</f>
        <v>72310</v>
      </c>
      <c r="BL1234" s="11">
        <f t="shared" si="4503"/>
        <v>88657</v>
      </c>
      <c r="BM1234" s="11">
        <f t="shared" si="4504"/>
        <v>95082</v>
      </c>
      <c r="BN1234" s="11">
        <f t="shared" si="4488"/>
        <v>104149</v>
      </c>
      <c r="BO1234" s="11">
        <f t="shared" si="4489"/>
        <v>125286</v>
      </c>
      <c r="BP1234" s="8"/>
      <c r="BT1234" s="100"/>
      <c r="BU1234" s="100"/>
      <c r="BV1234" s="100"/>
      <c r="BW1234" s="100"/>
      <c r="BX1234" s="100"/>
      <c r="BY1234" s="100"/>
      <c r="BZ1234" s="100"/>
      <c r="CA1234" s="100"/>
      <c r="CB1234" s="100"/>
      <c r="CC1234" s="100"/>
    </row>
    <row r="1235" spans="2:81" ht="11.1" customHeight="1">
      <c r="B1235" t="s">
        <v>642</v>
      </c>
      <c r="D1235" s="29">
        <v>27819</v>
      </c>
      <c r="E1235" s="29">
        <v>40679</v>
      </c>
      <c r="F1235" s="29">
        <v>40896</v>
      </c>
      <c r="G1235" s="29">
        <v>40557</v>
      </c>
      <c r="H1235" s="29">
        <v>60154</v>
      </c>
      <c r="I1235" s="29">
        <v>59306</v>
      </c>
      <c r="J1235" s="29">
        <v>76222</v>
      </c>
      <c r="K1235" s="29">
        <v>76073</v>
      </c>
      <c r="L1235" s="29">
        <v>76255</v>
      </c>
      <c r="M1235" s="29">
        <v>73348</v>
      </c>
      <c r="N1235" s="29">
        <v>73480</v>
      </c>
      <c r="O1235" s="29">
        <v>72242</v>
      </c>
      <c r="P1235" s="29">
        <v>69733</v>
      </c>
      <c r="Q1235" s="29">
        <v>69653</v>
      </c>
      <c r="R1235" s="29">
        <v>66585</v>
      </c>
      <c r="S1235" s="29">
        <f t="shared" ref="S1235:S1240" si="4509">+BJ1235</f>
        <v>66662</v>
      </c>
      <c r="T1235" s="29">
        <v>66478</v>
      </c>
      <c r="U1235" s="29">
        <v>63361</v>
      </c>
      <c r="V1235" s="29">
        <v>62862</v>
      </c>
      <c r="W1235" s="29">
        <v>59578</v>
      </c>
      <c r="X1235" s="29">
        <v>57055</v>
      </c>
      <c r="Y1235" s="29">
        <v>55136</v>
      </c>
      <c r="Z1235" s="29">
        <v>50007</v>
      </c>
      <c r="AA1235" s="29">
        <v>50074</v>
      </c>
      <c r="AB1235" s="29">
        <v>50039</v>
      </c>
      <c r="AC1235" s="29">
        <v>48260</v>
      </c>
      <c r="AD1235" s="29">
        <v>48177</v>
      </c>
      <c r="AE1235" s="29">
        <v>47032</v>
      </c>
      <c r="AF1235" s="29">
        <v>45374</v>
      </c>
      <c r="AG1235" s="29">
        <v>44119</v>
      </c>
      <c r="AH1235" s="29">
        <v>41965</v>
      </c>
      <c r="AI1235" s="29">
        <v>41990</v>
      </c>
      <c r="AJ1235" s="29">
        <v>41946</v>
      </c>
      <c r="AK1235" s="29">
        <v>44928</v>
      </c>
      <c r="AL1235" s="29">
        <v>42658</v>
      </c>
      <c r="AM1235" s="29">
        <v>42688</v>
      </c>
      <c r="AN1235" s="29">
        <v>42868</v>
      </c>
      <c r="AO1235" s="29"/>
      <c r="AP1235" s="29"/>
      <c r="AQ1235" s="29"/>
      <c r="AR1235" s="29"/>
      <c r="AS1235" s="1207"/>
      <c r="AT1235" s="29">
        <v>0</v>
      </c>
      <c r="AU1235" s="29">
        <v>0</v>
      </c>
      <c r="AV1235" s="29">
        <v>0</v>
      </c>
      <c r="AW1235" s="29">
        <v>3746</v>
      </c>
      <c r="AX1235" s="29">
        <v>4939</v>
      </c>
      <c r="AY1235" s="29">
        <v>11921</v>
      </c>
      <c r="AZ1235" s="29">
        <v>10713</v>
      </c>
      <c r="BA1235" s="29">
        <v>12601</v>
      </c>
      <c r="BB1235" s="29">
        <v>20645</v>
      </c>
      <c r="BC1235" s="29">
        <v>27808</v>
      </c>
      <c r="BD1235" s="29">
        <v>40557</v>
      </c>
      <c r="BE1235" s="29">
        <v>76073</v>
      </c>
      <c r="BG1235" s="61">
        <f t="shared" si="4501"/>
        <v>40557</v>
      </c>
      <c r="BH1235" s="29">
        <v>76073</v>
      </c>
      <c r="BI1235" s="29">
        <v>72242</v>
      </c>
      <c r="BJ1235" s="29">
        <v>66662</v>
      </c>
      <c r="BK1235" s="11">
        <f t="shared" ref="BK1235:BK1240" si="4510">+W1235</f>
        <v>59578</v>
      </c>
      <c r="BL1235" s="11">
        <f t="shared" si="4503"/>
        <v>50074</v>
      </c>
      <c r="BM1235" s="11">
        <f t="shared" si="4504"/>
        <v>47032</v>
      </c>
      <c r="BN1235" s="11">
        <f t="shared" si="4488"/>
        <v>41990</v>
      </c>
      <c r="BO1235" s="11">
        <f t="shared" si="4489"/>
        <v>42688</v>
      </c>
      <c r="BP1235" s="29"/>
      <c r="BT1235" s="1003"/>
      <c r="BU1235" s="1003"/>
      <c r="BV1235" s="1003"/>
      <c r="BW1235" s="1003"/>
      <c r="BX1235" s="1003"/>
      <c r="BY1235" s="1003"/>
      <c r="BZ1235" s="1003"/>
      <c r="CA1235" s="1003"/>
      <c r="CB1235" s="1003"/>
      <c r="CC1235" s="1003"/>
    </row>
    <row r="1236" spans="2:81" ht="11.1" customHeight="1">
      <c r="B1236" t="s">
        <v>643</v>
      </c>
      <c r="D1236" s="29">
        <v>0</v>
      </c>
      <c r="E1236" s="29">
        <v>0</v>
      </c>
      <c r="F1236" s="29">
        <v>0</v>
      </c>
      <c r="G1236" s="29">
        <v>0</v>
      </c>
      <c r="H1236" s="29">
        <v>0</v>
      </c>
      <c r="I1236" s="29">
        <v>0</v>
      </c>
      <c r="J1236" s="29">
        <v>0</v>
      </c>
      <c r="K1236" s="29">
        <v>5372</v>
      </c>
      <c r="L1236" s="29">
        <v>5768</v>
      </c>
      <c r="M1236" s="29">
        <v>5640</v>
      </c>
      <c r="N1236" s="29">
        <v>5751</v>
      </c>
      <c r="O1236" s="29">
        <v>5568</v>
      </c>
      <c r="P1236" s="29">
        <v>5652</v>
      </c>
      <c r="Q1236" s="29">
        <v>5683</v>
      </c>
      <c r="R1236" s="29">
        <v>5972</v>
      </c>
      <c r="S1236" s="29">
        <f t="shared" si="4509"/>
        <v>6188</v>
      </c>
      <c r="T1236" s="29">
        <v>6659</v>
      </c>
      <c r="U1236" s="29">
        <v>7172</v>
      </c>
      <c r="V1236" s="29">
        <v>7248</v>
      </c>
      <c r="W1236" s="29">
        <v>7671</v>
      </c>
      <c r="X1236" s="29">
        <v>7753</v>
      </c>
      <c r="Y1236" s="29">
        <v>8875</v>
      </c>
      <c r="Z1236" s="29">
        <v>9272</v>
      </c>
      <c r="AA1236" s="29">
        <v>9629</v>
      </c>
      <c r="AB1236" s="29">
        <v>14346</v>
      </c>
      <c r="AC1236" s="29">
        <v>26121</v>
      </c>
      <c r="AD1236" s="29">
        <v>11357</v>
      </c>
      <c r="AE1236" s="29">
        <v>11489</v>
      </c>
      <c r="AF1236" s="29">
        <v>11660</v>
      </c>
      <c r="AG1236" s="29">
        <v>11998</v>
      </c>
      <c r="AH1236" s="29">
        <v>12312</v>
      </c>
      <c r="AI1236" s="29">
        <v>12728</v>
      </c>
      <c r="AJ1236" s="29">
        <v>13487</v>
      </c>
      <c r="AK1236" s="29">
        <v>14155</v>
      </c>
      <c r="AL1236" s="29">
        <v>14469</v>
      </c>
      <c r="AM1236" s="29">
        <v>15497</v>
      </c>
      <c r="AN1236" s="29">
        <v>16361</v>
      </c>
      <c r="AO1236" s="29"/>
      <c r="AP1236" s="29"/>
      <c r="AQ1236" s="29"/>
      <c r="AR1236" s="29"/>
      <c r="AS1236" s="1207"/>
      <c r="AT1236" s="29">
        <v>0</v>
      </c>
      <c r="AU1236" s="29">
        <v>0</v>
      </c>
      <c r="AV1236" s="29">
        <v>0</v>
      </c>
      <c r="AW1236" s="29">
        <v>0</v>
      </c>
      <c r="AX1236" s="29">
        <v>0</v>
      </c>
      <c r="AY1236" s="29">
        <v>0</v>
      </c>
      <c r="AZ1236" s="29">
        <v>0</v>
      </c>
      <c r="BA1236" s="29">
        <v>0</v>
      </c>
      <c r="BB1236" s="29">
        <v>0</v>
      </c>
      <c r="BC1236" s="29">
        <v>0</v>
      </c>
      <c r="BD1236" s="29">
        <v>0</v>
      </c>
      <c r="BE1236" s="29">
        <v>0</v>
      </c>
      <c r="BG1236" s="61">
        <f t="shared" si="4501"/>
        <v>0</v>
      </c>
      <c r="BH1236" s="29">
        <v>5372</v>
      </c>
      <c r="BI1236" s="29">
        <v>5568</v>
      </c>
      <c r="BJ1236" s="29">
        <v>6188</v>
      </c>
      <c r="BK1236" s="11">
        <f t="shared" si="4510"/>
        <v>7671</v>
      </c>
      <c r="BL1236" s="11">
        <f t="shared" si="4503"/>
        <v>9629</v>
      </c>
      <c r="BM1236" s="11">
        <f t="shared" si="4504"/>
        <v>11489</v>
      </c>
      <c r="BN1236" s="11">
        <f t="shared" si="4488"/>
        <v>12728</v>
      </c>
      <c r="BO1236" s="11">
        <f t="shared" si="4489"/>
        <v>15497</v>
      </c>
      <c r="BP1236" s="29"/>
      <c r="BT1236" s="102"/>
      <c r="BU1236" s="102"/>
      <c r="BV1236" s="102"/>
      <c r="BW1236" s="102"/>
      <c r="BX1236" s="102"/>
      <c r="BY1236" s="102"/>
      <c r="BZ1236" s="102"/>
      <c r="CA1236" s="102"/>
      <c r="CB1236" s="102"/>
      <c r="CC1236" s="102"/>
    </row>
    <row r="1237" spans="2:81" ht="11.1" customHeight="1">
      <c r="B1237" t="s">
        <v>644</v>
      </c>
      <c r="D1237" s="29">
        <v>2784</v>
      </c>
      <c r="E1237" s="29">
        <v>4102</v>
      </c>
      <c r="F1237" s="29">
        <v>5017</v>
      </c>
      <c r="G1237" s="29">
        <v>6441</v>
      </c>
      <c r="H1237" s="29">
        <v>7284</v>
      </c>
      <c r="I1237" s="29">
        <v>8595</v>
      </c>
      <c r="J1237" s="29">
        <v>9215</v>
      </c>
      <c r="K1237" s="29">
        <v>2643</v>
      </c>
      <c r="L1237" s="29">
        <v>2126</v>
      </c>
      <c r="M1237" s="29">
        <v>2500</v>
      </c>
      <c r="N1237" s="29">
        <v>2585</v>
      </c>
      <c r="O1237" s="29">
        <v>3815</v>
      </c>
      <c r="P1237" s="29">
        <v>3538</v>
      </c>
      <c r="Q1237" s="29">
        <v>3799</v>
      </c>
      <c r="R1237" s="29">
        <v>3884</v>
      </c>
      <c r="S1237" s="29">
        <f t="shared" si="4509"/>
        <v>4530</v>
      </c>
      <c r="T1237" s="29">
        <v>4122</v>
      </c>
      <c r="U1237" s="29">
        <v>3878</v>
      </c>
      <c r="V1237" s="29">
        <v>3385</v>
      </c>
      <c r="W1237" s="29">
        <v>3180</v>
      </c>
      <c r="X1237" s="29">
        <v>2829</v>
      </c>
      <c r="Y1237" s="29">
        <v>2985</v>
      </c>
      <c r="Z1237" s="29">
        <v>2631</v>
      </c>
      <c r="AA1237" s="29">
        <v>2616</v>
      </c>
      <c r="AB1237" s="29">
        <v>2550</v>
      </c>
      <c r="AC1237" s="29">
        <v>2768</v>
      </c>
      <c r="AD1237" s="29">
        <v>2769</v>
      </c>
      <c r="AE1237" s="29">
        <v>2870</v>
      </c>
      <c r="AF1237" s="29">
        <v>2549</v>
      </c>
      <c r="AG1237" s="29">
        <v>2644</v>
      </c>
      <c r="AH1237" s="29">
        <v>2698</v>
      </c>
      <c r="AI1237" s="29">
        <v>2912</v>
      </c>
      <c r="AJ1237" s="29">
        <v>2759</v>
      </c>
      <c r="AK1237" s="29">
        <v>2966</v>
      </c>
      <c r="AL1237" s="29">
        <v>2945</v>
      </c>
      <c r="AM1237" s="29">
        <v>2602</v>
      </c>
      <c r="AN1237" s="29">
        <v>2663</v>
      </c>
      <c r="AO1237" s="29"/>
      <c r="AP1237" s="29"/>
      <c r="AQ1237" s="29"/>
      <c r="AR1237" s="29"/>
      <c r="AS1237" s="1207"/>
      <c r="AT1237" s="29">
        <v>1764</v>
      </c>
      <c r="AU1237" s="29">
        <v>1867</v>
      </c>
      <c r="AV1237" s="29">
        <v>1900</v>
      </c>
      <c r="AW1237" s="29">
        <v>1281</v>
      </c>
      <c r="AX1237" s="29">
        <v>1178</v>
      </c>
      <c r="AY1237" s="29">
        <v>1398</v>
      </c>
      <c r="AZ1237" s="29">
        <v>1406</v>
      </c>
      <c r="BA1237" s="29">
        <v>1760</v>
      </c>
      <c r="BB1237" s="29">
        <v>2008</v>
      </c>
      <c r="BC1237" s="29">
        <v>2095</v>
      </c>
      <c r="BD1237" s="29">
        <v>6441</v>
      </c>
      <c r="BE1237" s="29">
        <v>10377</v>
      </c>
      <c r="BG1237" s="61">
        <f t="shared" si="4501"/>
        <v>6441</v>
      </c>
      <c r="BH1237" s="29">
        <v>2643</v>
      </c>
      <c r="BI1237" s="29">
        <v>3815</v>
      </c>
      <c r="BJ1237" s="29">
        <v>4530</v>
      </c>
      <c r="BK1237" s="11">
        <f t="shared" si="4510"/>
        <v>3180</v>
      </c>
      <c r="BL1237" s="11">
        <f t="shared" si="4503"/>
        <v>2616</v>
      </c>
      <c r="BM1237" s="11">
        <f t="shared" si="4504"/>
        <v>2870</v>
      </c>
      <c r="BN1237" s="11">
        <f t="shared" si="4488"/>
        <v>2912</v>
      </c>
      <c r="BO1237" s="11">
        <f t="shared" si="4489"/>
        <v>2602</v>
      </c>
      <c r="BP1237" s="29"/>
    </row>
    <row r="1238" spans="2:81" ht="11.1" customHeight="1">
      <c r="B1238" t="s">
        <v>584</v>
      </c>
      <c r="D1238" s="29">
        <v>2169</v>
      </c>
      <c r="E1238" s="29">
        <v>2194</v>
      </c>
      <c r="F1238" s="29">
        <v>2674</v>
      </c>
      <c r="G1238" s="29">
        <v>1476</v>
      </c>
      <c r="H1238" s="29">
        <v>1564</v>
      </c>
      <c r="I1238" s="29">
        <v>1133</v>
      </c>
      <c r="J1238" s="29">
        <v>465</v>
      </c>
      <c r="K1238" s="29">
        <v>5734</v>
      </c>
      <c r="L1238" s="29">
        <v>5513</v>
      </c>
      <c r="M1238" s="29">
        <v>3186</v>
      </c>
      <c r="N1238" s="29">
        <v>2417</v>
      </c>
      <c r="O1238" s="29">
        <v>541</v>
      </c>
      <c r="P1238" s="29">
        <v>1977</v>
      </c>
      <c r="Q1238" s="29">
        <v>2062</v>
      </c>
      <c r="R1238" s="29">
        <v>1838</v>
      </c>
      <c r="S1238" s="29">
        <f t="shared" si="4509"/>
        <v>233</v>
      </c>
      <c r="T1238" s="29">
        <v>234</v>
      </c>
      <c r="U1238" s="29">
        <v>222</v>
      </c>
      <c r="V1238" s="29">
        <v>185</v>
      </c>
      <c r="W1238" s="29">
        <v>204</v>
      </c>
      <c r="X1238" s="29">
        <v>187</v>
      </c>
      <c r="Y1238" s="29">
        <v>174</v>
      </c>
      <c r="Z1238" s="29">
        <v>173</v>
      </c>
      <c r="AA1238" s="29">
        <v>198</v>
      </c>
      <c r="AB1238" s="29">
        <v>212</v>
      </c>
      <c r="AC1238" s="29">
        <v>199</v>
      </c>
      <c r="AD1238" s="29">
        <v>304</v>
      </c>
      <c r="AE1238" s="29">
        <v>230</v>
      </c>
      <c r="AF1238" s="29">
        <v>223</v>
      </c>
      <c r="AG1238" s="29">
        <v>289</v>
      </c>
      <c r="AH1238" s="29">
        <v>302</v>
      </c>
      <c r="AI1238" s="29">
        <v>433</v>
      </c>
      <c r="AJ1238" s="29">
        <v>470</v>
      </c>
      <c r="AK1238" s="29">
        <v>2548</v>
      </c>
      <c r="AL1238" s="29">
        <v>2469</v>
      </c>
      <c r="AM1238" s="29">
        <v>2618</v>
      </c>
      <c r="AN1238" s="29">
        <v>2581</v>
      </c>
      <c r="AO1238" s="29"/>
      <c r="AP1238" s="29"/>
      <c r="AQ1238" s="29"/>
      <c r="AR1238" s="29"/>
      <c r="AS1238" s="1207"/>
      <c r="AT1238" s="29">
        <v>0</v>
      </c>
      <c r="AU1238" s="29">
        <v>0</v>
      </c>
      <c r="AV1238" s="29">
        <v>0</v>
      </c>
      <c r="AW1238" s="29">
        <v>0</v>
      </c>
      <c r="AX1238" s="29">
        <v>229</v>
      </c>
      <c r="AY1238" s="29">
        <v>1456</v>
      </c>
      <c r="AZ1238" s="29">
        <v>1893</v>
      </c>
      <c r="BA1238" s="29">
        <v>1709</v>
      </c>
      <c r="BB1238" s="29">
        <v>2728</v>
      </c>
      <c r="BC1238" s="29">
        <v>1295</v>
      </c>
      <c r="BD1238" s="29">
        <v>1476</v>
      </c>
      <c r="BE1238" s="29">
        <v>531</v>
      </c>
      <c r="BG1238" s="61">
        <f t="shared" si="4501"/>
        <v>1476</v>
      </c>
      <c r="BH1238" s="29">
        <v>5734</v>
      </c>
      <c r="BI1238" s="29">
        <v>541</v>
      </c>
      <c r="BJ1238" s="29">
        <v>233</v>
      </c>
      <c r="BK1238" s="11">
        <f t="shared" si="4510"/>
        <v>204</v>
      </c>
      <c r="BL1238" s="11">
        <f t="shared" si="4503"/>
        <v>198</v>
      </c>
      <c r="BM1238" s="11">
        <f t="shared" si="4504"/>
        <v>230</v>
      </c>
      <c r="BN1238" s="11">
        <f t="shared" si="4488"/>
        <v>433</v>
      </c>
      <c r="BO1238" s="11">
        <f t="shared" si="4489"/>
        <v>2618</v>
      </c>
      <c r="BP1238" s="29"/>
      <c r="BT1238" s="3"/>
      <c r="BU1238" s="3"/>
      <c r="BV1238" s="3"/>
      <c r="BW1238" s="3"/>
      <c r="BX1238" s="3"/>
      <c r="BY1238" s="3"/>
      <c r="BZ1238" s="3"/>
      <c r="CA1238" s="3"/>
      <c r="CB1238" s="3"/>
      <c r="CC1238" s="3"/>
    </row>
    <row r="1239" spans="2:81" ht="11.1" customHeight="1">
      <c r="B1239" t="s">
        <v>586</v>
      </c>
      <c r="D1239" s="29">
        <v>13280</v>
      </c>
      <c r="E1239" s="29">
        <v>13700</v>
      </c>
      <c r="F1239" s="29">
        <v>14122</v>
      </c>
      <c r="G1239" s="29">
        <v>13640</v>
      </c>
      <c r="H1239" s="29">
        <v>14340</v>
      </c>
      <c r="I1239" s="29">
        <v>15980</v>
      </c>
      <c r="J1239" s="29">
        <v>17381</v>
      </c>
      <c r="K1239" s="29">
        <v>3549</v>
      </c>
      <c r="L1239" s="29">
        <v>18173</v>
      </c>
      <c r="M1239" s="29">
        <v>4820</v>
      </c>
      <c r="N1239" s="29">
        <v>5223</v>
      </c>
      <c r="O1239" s="29">
        <v>5211</v>
      </c>
      <c r="P1239" s="29">
        <v>5539</v>
      </c>
      <c r="Q1239" s="29">
        <v>6055</v>
      </c>
      <c r="R1239" s="29">
        <v>6763</v>
      </c>
      <c r="S1239" s="29">
        <f t="shared" si="4509"/>
        <v>7581</v>
      </c>
      <c r="T1239" s="29">
        <v>8826</v>
      </c>
      <c r="U1239" s="29">
        <v>9658</v>
      </c>
      <c r="V1239" s="29">
        <v>9673</v>
      </c>
      <c r="W1239" s="29">
        <v>10632</v>
      </c>
      <c r="X1239" s="29">
        <v>11525</v>
      </c>
      <c r="Y1239" s="29">
        <v>12544</v>
      </c>
      <c r="Z1239" s="29">
        <v>12941</v>
      </c>
      <c r="AA1239" s="29">
        <v>13427</v>
      </c>
      <c r="AB1239" s="29">
        <v>10050</v>
      </c>
      <c r="AC1239" s="29">
        <v>10774</v>
      </c>
      <c r="AD1239" s="29">
        <v>15154</v>
      </c>
      <c r="AE1239" s="29">
        <v>15526</v>
      </c>
      <c r="AF1239" s="29">
        <v>15311</v>
      </c>
      <c r="AG1239" s="29">
        <v>16479</v>
      </c>
      <c r="AH1239" s="29">
        <v>17437</v>
      </c>
      <c r="AI1239" s="29">
        <v>17981</v>
      </c>
      <c r="AJ1239" s="29">
        <v>18634</v>
      </c>
      <c r="AK1239" s="29">
        <v>20787</v>
      </c>
      <c r="AL1239" s="29">
        <v>23271</v>
      </c>
      <c r="AM1239" s="29">
        <v>27064</v>
      </c>
      <c r="AN1239" s="29">
        <v>24452</v>
      </c>
      <c r="AO1239" s="29"/>
      <c r="AP1239" s="29"/>
      <c r="AQ1239" s="29"/>
      <c r="AR1239" s="29"/>
      <c r="AS1239" s="1207"/>
      <c r="AT1239" s="29">
        <v>5287</v>
      </c>
      <c r="AU1239" s="29">
        <v>6453</v>
      </c>
      <c r="AV1239" s="29">
        <v>4721</v>
      </c>
      <c r="AW1239" s="29">
        <v>6269</v>
      </c>
      <c r="AX1239" s="29">
        <v>7445</v>
      </c>
      <c r="AY1239" s="29">
        <v>8072</v>
      </c>
      <c r="AZ1239" s="29">
        <v>8208</v>
      </c>
      <c r="BA1239" s="29">
        <v>10000</v>
      </c>
      <c r="BB1239" s="29">
        <v>11594</v>
      </c>
      <c r="BC1239" s="29">
        <v>13544</v>
      </c>
      <c r="BD1239" s="29">
        <v>13640</v>
      </c>
      <c r="BE1239" s="29">
        <v>17184</v>
      </c>
      <c r="BG1239" s="61">
        <f t="shared" si="4501"/>
        <v>13640</v>
      </c>
      <c r="BH1239" s="29">
        <v>3549</v>
      </c>
      <c r="BI1239" s="29">
        <v>5211</v>
      </c>
      <c r="BJ1239" s="29">
        <v>7581</v>
      </c>
      <c r="BK1239" s="11">
        <f t="shared" si="4510"/>
        <v>10632</v>
      </c>
      <c r="BL1239" s="11">
        <f t="shared" si="4503"/>
        <v>13427</v>
      </c>
      <c r="BM1239" s="11">
        <f t="shared" si="4504"/>
        <v>15526</v>
      </c>
      <c r="BN1239" s="11">
        <f t="shared" si="4488"/>
        <v>17981</v>
      </c>
      <c r="BO1239" s="11">
        <f t="shared" si="4489"/>
        <v>27064</v>
      </c>
      <c r="BP1239" s="29"/>
      <c r="BT1239" s="228"/>
      <c r="BU1239" s="3"/>
      <c r="BV1239" s="3"/>
      <c r="BW1239" s="3"/>
      <c r="BX1239" s="3"/>
      <c r="BY1239" s="3"/>
      <c r="BZ1239" s="3"/>
      <c r="CA1239" s="3"/>
      <c r="CB1239" s="3"/>
      <c r="CC1239" s="3"/>
    </row>
    <row r="1240" spans="2:81" s="852" customFormat="1" ht="11.1" customHeight="1">
      <c r="B1240" t="s">
        <v>645</v>
      </c>
      <c r="D1240" s="939">
        <v>0</v>
      </c>
      <c r="E1240" s="939">
        <v>0</v>
      </c>
      <c r="F1240" s="939">
        <v>0</v>
      </c>
      <c r="G1240" s="939">
        <v>0</v>
      </c>
      <c r="H1240" s="939">
        <v>0</v>
      </c>
      <c r="I1240" s="939">
        <v>0</v>
      </c>
      <c r="J1240" s="939">
        <v>0</v>
      </c>
      <c r="K1240" s="939">
        <v>13485</v>
      </c>
      <c r="L1240" s="939">
        <v>0</v>
      </c>
      <c r="M1240" s="939">
        <v>30050</v>
      </c>
      <c r="N1240" s="939">
        <v>30669</v>
      </c>
      <c r="O1240" s="939">
        <v>30265</v>
      </c>
      <c r="P1240" s="939">
        <v>28936</v>
      </c>
      <c r="Q1240" s="939">
        <v>29161</v>
      </c>
      <c r="R1240" s="939">
        <v>29514</v>
      </c>
      <c r="S1240" s="939">
        <f t="shared" si="4509"/>
        <v>29612</v>
      </c>
      <c r="T1240" s="939">
        <v>28457</v>
      </c>
      <c r="U1240" s="939">
        <v>28754</v>
      </c>
      <c r="V1240" s="939">
        <v>28888</v>
      </c>
      <c r="W1240" s="939">
        <v>29432</v>
      </c>
      <c r="X1240" s="939">
        <v>28204</v>
      </c>
      <c r="Y1240" s="939">
        <v>26701</v>
      </c>
      <c r="Z1240" s="939">
        <v>27157</v>
      </c>
      <c r="AA1240" s="939">
        <v>27190</v>
      </c>
      <c r="AB1240" s="30">
        <v>25715</v>
      </c>
      <c r="AC1240" s="30">
        <v>14747</v>
      </c>
      <c r="AD1240" s="30">
        <v>26483</v>
      </c>
      <c r="AE1240" s="30">
        <v>26069</v>
      </c>
      <c r="AF1240" s="30">
        <v>23712</v>
      </c>
      <c r="AG1240" s="30">
        <v>24169</v>
      </c>
      <c r="AH1240" s="30">
        <v>25000</v>
      </c>
      <c r="AI1240" s="30">
        <v>25560</v>
      </c>
      <c r="AJ1240" s="30">
        <v>22983</v>
      </c>
      <c r="AK1240" s="30">
        <v>25890</v>
      </c>
      <c r="AL1240" s="30">
        <v>26786</v>
      </c>
      <c r="AM1240" s="30">
        <v>27931</v>
      </c>
      <c r="AN1240" s="30">
        <v>31165</v>
      </c>
      <c r="AO1240" s="29"/>
      <c r="AP1240" s="29"/>
      <c r="AQ1240" s="29"/>
      <c r="AR1240" s="29"/>
      <c r="AS1240" s="1207"/>
      <c r="AT1240" s="939">
        <v>0</v>
      </c>
      <c r="AU1240" s="939">
        <v>0</v>
      </c>
      <c r="AV1240" s="939">
        <v>0</v>
      </c>
      <c r="AW1240" s="939">
        <v>0</v>
      </c>
      <c r="AX1240" s="939">
        <v>0</v>
      </c>
      <c r="AY1240" s="939">
        <v>0</v>
      </c>
      <c r="AZ1240" s="939">
        <v>0</v>
      </c>
      <c r="BA1240" s="939">
        <v>0</v>
      </c>
      <c r="BB1240" s="939">
        <v>0</v>
      </c>
      <c r="BC1240" s="939">
        <v>0</v>
      </c>
      <c r="BD1240" s="939">
        <v>0</v>
      </c>
      <c r="BE1240" s="939">
        <v>0</v>
      </c>
      <c r="BG1240" s="58">
        <f t="shared" si="4501"/>
        <v>0</v>
      </c>
      <c r="BH1240" s="939">
        <v>13485</v>
      </c>
      <c r="BI1240" s="939">
        <v>30265</v>
      </c>
      <c r="BJ1240" s="939">
        <v>29612</v>
      </c>
      <c r="BK1240" s="940">
        <f t="shared" si="4510"/>
        <v>29432</v>
      </c>
      <c r="BL1240" s="940">
        <f t="shared" si="4503"/>
        <v>27190</v>
      </c>
      <c r="BM1240" s="940">
        <f t="shared" si="4504"/>
        <v>26069</v>
      </c>
      <c r="BN1240" s="940">
        <f t="shared" si="4488"/>
        <v>25560</v>
      </c>
      <c r="BO1240" s="940">
        <f t="shared" si="4489"/>
        <v>27931</v>
      </c>
      <c r="BP1240" s="939"/>
      <c r="BT1240" s="228"/>
      <c r="BU1240" s="3"/>
      <c r="BV1240" s="3"/>
      <c r="BW1240" s="3"/>
      <c r="BX1240" s="3"/>
      <c r="BY1240" s="3"/>
      <c r="BZ1240" s="3"/>
      <c r="CA1240" s="3"/>
      <c r="CB1240" s="3"/>
      <c r="CC1240" s="3"/>
    </row>
    <row r="1241" spans="2:81" s="1" customFormat="1" ht="11.1" customHeight="1">
      <c r="B1241" s="837" t="s">
        <v>646</v>
      </c>
      <c r="D1241" s="838">
        <f t="shared" ref="D1241:Q1241" si="4511">SUM(D1235:D1240)+D1234</f>
        <v>95451</v>
      </c>
      <c r="E1241" s="838">
        <f t="shared" si="4511"/>
        <v>103318</v>
      </c>
      <c r="F1241" s="838">
        <f t="shared" si="4511"/>
        <v>107063</v>
      </c>
      <c r="G1241" s="838">
        <f t="shared" si="4511"/>
        <v>121471</v>
      </c>
      <c r="H1241" s="838">
        <f t="shared" si="4511"/>
        <v>142152</v>
      </c>
      <c r="I1241" s="838">
        <f t="shared" si="4511"/>
        <v>155801</v>
      </c>
      <c r="J1241" s="838">
        <f t="shared" si="4511"/>
        <v>155288</v>
      </c>
      <c r="K1241" s="838">
        <f t="shared" si="4511"/>
        <v>162601</v>
      </c>
      <c r="L1241" s="838">
        <f t="shared" si="4511"/>
        <v>159450</v>
      </c>
      <c r="M1241" s="838">
        <f t="shared" si="4511"/>
        <v>177643</v>
      </c>
      <c r="N1241" s="838">
        <f t="shared" si="4511"/>
        <v>166258</v>
      </c>
      <c r="O1241" s="838">
        <f t="shared" si="4511"/>
        <v>176130</v>
      </c>
      <c r="P1241" s="838">
        <f t="shared" si="4511"/>
        <v>171652</v>
      </c>
      <c r="Q1241" s="838">
        <f t="shared" si="4511"/>
        <v>166731</v>
      </c>
      <c r="R1241" s="838">
        <f t="shared" ref="R1241:T1241" si="4512">SUM(R1235:R1240)+R1234</f>
        <v>168417</v>
      </c>
      <c r="S1241" s="838">
        <f t="shared" si="4512"/>
        <v>184226</v>
      </c>
      <c r="T1241" s="838">
        <f t="shared" si="4512"/>
        <v>172894</v>
      </c>
      <c r="U1241" s="838">
        <f t="shared" ref="U1241" si="4513">SUM(U1235:U1240)+U1234</f>
        <v>172685</v>
      </c>
      <c r="V1241" s="838">
        <f t="shared" ref="V1241:AN1241" si="4514">SUM(V1235:V1240)+V1234</f>
        <v>170948</v>
      </c>
      <c r="W1241" s="838">
        <f t="shared" si="4514"/>
        <v>183007</v>
      </c>
      <c r="X1241" s="838">
        <f t="shared" si="4514"/>
        <v>177609</v>
      </c>
      <c r="Y1241" s="838">
        <f t="shared" si="4514"/>
        <v>173901</v>
      </c>
      <c r="Z1241" s="838">
        <f t="shared" si="4514"/>
        <v>174374</v>
      </c>
      <c r="AA1241" s="838">
        <f t="shared" si="4514"/>
        <v>191791</v>
      </c>
      <c r="AB1241" s="838">
        <f t="shared" si="4514"/>
        <v>183440</v>
      </c>
      <c r="AC1241" s="838">
        <f t="shared" si="4514"/>
        <v>180379</v>
      </c>
      <c r="AD1241" s="838">
        <f t="shared" si="4514"/>
        <v>181683</v>
      </c>
      <c r="AE1241" s="838">
        <f t="shared" si="4514"/>
        <v>198298</v>
      </c>
      <c r="AF1241" s="838">
        <f t="shared" si="4514"/>
        <v>186218</v>
      </c>
      <c r="AG1241" s="838">
        <f t="shared" si="4514"/>
        <v>181416</v>
      </c>
      <c r="AH1241" s="838">
        <f t="shared" si="4514"/>
        <v>185405</v>
      </c>
      <c r="AI1241" s="838">
        <f t="shared" si="4514"/>
        <v>205753</v>
      </c>
      <c r="AJ1241" s="838">
        <f t="shared" si="4514"/>
        <v>225071</v>
      </c>
      <c r="AK1241" s="838">
        <f t="shared" si="4514"/>
        <v>232290</v>
      </c>
      <c r="AL1241" s="838">
        <f t="shared" si="4514"/>
        <v>231123</v>
      </c>
      <c r="AM1241" s="838">
        <f t="shared" si="4514"/>
        <v>243686</v>
      </c>
      <c r="AN1241" s="838">
        <f t="shared" si="4514"/>
        <v>235290</v>
      </c>
      <c r="AR1241" s="29"/>
      <c r="AS1241" s="1207"/>
      <c r="AT1241" s="838">
        <f t="shared" ref="AT1241:BE1241" si="4515">SUM(AT1235:AT1240)+AT1234</f>
        <v>29493</v>
      </c>
      <c r="AU1241" s="838">
        <f t="shared" si="4515"/>
        <v>32074</v>
      </c>
      <c r="AV1241" s="838">
        <f t="shared" si="4515"/>
        <v>36507</v>
      </c>
      <c r="AW1241" s="838">
        <f t="shared" si="4515"/>
        <v>38330</v>
      </c>
      <c r="AX1241" s="838">
        <f t="shared" si="4515"/>
        <v>39938</v>
      </c>
      <c r="AY1241" s="838">
        <f t="shared" si="4515"/>
        <v>51621</v>
      </c>
      <c r="AZ1241" s="838">
        <f t="shared" si="4515"/>
        <v>54908</v>
      </c>
      <c r="BA1241" s="838">
        <f t="shared" si="4515"/>
        <v>63487</v>
      </c>
      <c r="BB1241" s="838">
        <f t="shared" si="4515"/>
        <v>82600</v>
      </c>
      <c r="BC1241" s="838">
        <f t="shared" si="4515"/>
        <v>94389</v>
      </c>
      <c r="BD1241" s="838">
        <f t="shared" si="4515"/>
        <v>121471</v>
      </c>
      <c r="BE1241" s="838">
        <f t="shared" si="4515"/>
        <v>168692</v>
      </c>
      <c r="BG1241" s="838">
        <f t="shared" si="4501"/>
        <v>121471</v>
      </c>
      <c r="BH1241" s="838">
        <f>SUM(BH1235:BH1240)+BH1234</f>
        <v>162601</v>
      </c>
      <c r="BI1241" s="838">
        <f>SUM(BI1235:BI1240)+BI1234</f>
        <v>176130</v>
      </c>
      <c r="BJ1241" s="838">
        <f>SUM(BJ1235:BJ1240)+BJ1234</f>
        <v>184226</v>
      </c>
      <c r="BK1241" s="849">
        <f>SUM(BK1235:BK1240)+BK1234</f>
        <v>183007</v>
      </c>
      <c r="BL1241" s="849">
        <f t="shared" si="4503"/>
        <v>191791</v>
      </c>
      <c r="BM1241" s="849">
        <f t="shared" si="4504"/>
        <v>198298</v>
      </c>
      <c r="BN1241" s="849">
        <f t="shared" si="4488"/>
        <v>205753</v>
      </c>
      <c r="BO1241" s="849">
        <f t="shared" si="4489"/>
        <v>243686</v>
      </c>
      <c r="BP1241" s="838"/>
      <c r="BT1241" s="840"/>
      <c r="BU1241" s="839"/>
      <c r="BV1241" s="839"/>
      <c r="BW1241" s="839"/>
      <c r="BX1241" s="839"/>
      <c r="BY1241" s="839"/>
      <c r="BZ1241" s="839"/>
      <c r="CA1241" s="839"/>
      <c r="CB1241" s="839"/>
      <c r="CC1241" s="839"/>
    </row>
    <row r="1242" spans="2:81" ht="11.1" customHeight="1">
      <c r="AL1242" s="29"/>
      <c r="AM1242" s="29"/>
      <c r="AN1242" s="29"/>
      <c r="AO1242" s="29"/>
      <c r="AR1242" s="29"/>
      <c r="AS1242" s="1207"/>
      <c r="BG1242" s="61">
        <f t="shared" si="4501"/>
        <v>0</v>
      </c>
      <c r="BK1242" s="100"/>
      <c r="BL1242" s="100"/>
      <c r="BM1242" s="100"/>
      <c r="BN1242" s="100"/>
      <c r="BO1242" s="100"/>
      <c r="BT1242" s="842"/>
      <c r="BU1242" s="7"/>
      <c r="BV1242" s="7"/>
      <c r="BW1242" s="7"/>
      <c r="BX1242" s="7"/>
      <c r="BY1242" s="7"/>
      <c r="BZ1242" s="7"/>
      <c r="CA1242" s="7"/>
      <c r="CB1242" s="7"/>
      <c r="CC1242" s="7"/>
    </row>
    <row r="1243" spans="2:81" ht="11.1" customHeight="1">
      <c r="B1243" s="45" t="s">
        <v>647</v>
      </c>
      <c r="AL1243" s="29"/>
      <c r="AM1243" s="29"/>
      <c r="AN1243" s="29"/>
      <c r="AO1243" s="29"/>
      <c r="AR1243" s="29"/>
      <c r="AS1243" s="1207"/>
      <c r="BG1243" s="61">
        <f t="shared" si="4501"/>
        <v>0</v>
      </c>
      <c r="BK1243" s="100"/>
      <c r="BL1243" s="100"/>
      <c r="BM1243" s="100"/>
      <c r="BN1243" s="100"/>
      <c r="BO1243" s="100"/>
    </row>
    <row r="1244" spans="2:81" ht="11.1" customHeight="1">
      <c r="B1244" t="s">
        <v>648</v>
      </c>
      <c r="D1244" s="29">
        <v>68093</v>
      </c>
      <c r="E1244" s="29">
        <v>68279</v>
      </c>
      <c r="F1244" s="29">
        <v>68012</v>
      </c>
      <c r="G1244" s="29">
        <v>68178</v>
      </c>
      <c r="H1244" s="29">
        <v>67747</v>
      </c>
      <c r="I1244" s="29">
        <v>68177</v>
      </c>
      <c r="J1244" s="29">
        <v>68554</v>
      </c>
      <c r="K1244" s="29">
        <v>69315</v>
      </c>
      <c r="L1244" s="29">
        <v>69419</v>
      </c>
      <c r="M1244" s="29">
        <v>70192</v>
      </c>
      <c r="N1244" s="29">
        <v>70418</v>
      </c>
      <c r="O1244" s="29">
        <v>71223</v>
      </c>
      <c r="P1244" s="29">
        <v>71303</v>
      </c>
      <c r="Q1244" s="29">
        <v>77556</v>
      </c>
      <c r="R1244" s="29">
        <v>77791</v>
      </c>
      <c r="S1244" s="29">
        <f t="shared" ref="S1244:S1246" si="4516">+BJ1244</f>
        <v>78520</v>
      </c>
      <c r="T1244" s="29">
        <v>78882</v>
      </c>
      <c r="U1244" s="29">
        <v>79625</v>
      </c>
      <c r="V1244" s="29">
        <v>79813</v>
      </c>
      <c r="W1244" s="29">
        <v>80552</v>
      </c>
      <c r="X1244" s="29">
        <v>81089</v>
      </c>
      <c r="Y1244" s="29">
        <v>81896</v>
      </c>
      <c r="Z1244" s="29">
        <v>82308</v>
      </c>
      <c r="AA1244" s="29">
        <v>83111</v>
      </c>
      <c r="AB1244" s="29">
        <v>83751</v>
      </c>
      <c r="AC1244" s="29">
        <v>84528</v>
      </c>
      <c r="AD1244" s="29">
        <v>85767</v>
      </c>
      <c r="AE1244" s="29">
        <v>86939</v>
      </c>
      <c r="AF1244" s="29">
        <v>88535</v>
      </c>
      <c r="AG1244" s="29">
        <v>90225</v>
      </c>
      <c r="AH1244" s="29">
        <v>92093</v>
      </c>
      <c r="AI1244" s="29">
        <v>93718</v>
      </c>
      <c r="AJ1244" s="29">
        <v>95508</v>
      </c>
      <c r="AK1244" s="29">
        <v>97480</v>
      </c>
      <c r="AL1244" s="29">
        <v>99193</v>
      </c>
      <c r="AM1244" s="29">
        <v>100923</v>
      </c>
      <c r="AN1244" s="29">
        <v>102976</v>
      </c>
      <c r="AO1244" s="29"/>
      <c r="AP1244" s="1324"/>
      <c r="AQ1244" s="1324"/>
      <c r="AR1244" s="29"/>
      <c r="AS1244" s="1207"/>
      <c r="AT1244" s="29">
        <v>59005</v>
      </c>
      <c r="AU1244" s="29">
        <v>60557</v>
      </c>
      <c r="AV1244" s="29">
        <v>62849</v>
      </c>
      <c r="AW1244" s="29">
        <v>62382</v>
      </c>
      <c r="AX1244" s="29">
        <v>62856</v>
      </c>
      <c r="AY1244" s="29">
        <v>63415</v>
      </c>
      <c r="AZ1244" s="29">
        <v>65797</v>
      </c>
      <c r="BA1244" s="29">
        <v>67306</v>
      </c>
      <c r="BB1244" s="29">
        <v>68366</v>
      </c>
      <c r="BC1244" s="29">
        <v>68465</v>
      </c>
      <c r="BD1244" s="29">
        <v>68178</v>
      </c>
      <c r="BE1244" s="29">
        <v>69315</v>
      </c>
      <c r="BG1244" s="61">
        <f t="shared" si="4501"/>
        <v>68178</v>
      </c>
      <c r="BH1244" s="29">
        <v>69315</v>
      </c>
      <c r="BI1244" s="29">
        <v>71223</v>
      </c>
      <c r="BJ1244" s="29">
        <v>78520</v>
      </c>
      <c r="BK1244" s="11">
        <f>+W1244</f>
        <v>80552</v>
      </c>
      <c r="BL1244" s="11">
        <f t="shared" ref="BL1244:BL1248" si="4517">+AA1244</f>
        <v>83111</v>
      </c>
      <c r="BM1244" s="11">
        <f t="shared" si="4504"/>
        <v>86939</v>
      </c>
      <c r="BN1244" s="11">
        <f t="shared" si="4488"/>
        <v>93718</v>
      </c>
      <c r="BO1244" s="11">
        <f t="shared" si="4489"/>
        <v>100923</v>
      </c>
      <c r="BP1244" s="29"/>
    </row>
    <row r="1245" spans="2:81" ht="11.1" customHeight="1">
      <c r="B1245" t="s">
        <v>649</v>
      </c>
      <c r="D1245" s="29">
        <v>7614</v>
      </c>
      <c r="E1245" s="29">
        <v>6728</v>
      </c>
      <c r="F1245" s="29">
        <v>4954</v>
      </c>
      <c r="G1245" s="29">
        <v>2282</v>
      </c>
      <c r="H1245" s="29">
        <v>944</v>
      </c>
      <c r="I1245" s="29">
        <v>120</v>
      </c>
      <c r="J1245" s="29">
        <v>531</v>
      </c>
      <c r="K1245" s="29">
        <v>17769</v>
      </c>
      <c r="L1245" s="29">
        <v>19702</v>
      </c>
      <c r="M1245" s="29">
        <v>8567</v>
      </c>
      <c r="N1245" s="29">
        <v>9974</v>
      </c>
      <c r="O1245" s="29">
        <v>13682</v>
      </c>
      <c r="P1245" s="29">
        <v>17279</v>
      </c>
      <c r="Q1245" s="29">
        <v>16585</v>
      </c>
      <c r="R1245" s="29">
        <v>18338</v>
      </c>
      <c r="S1245" s="29">
        <f t="shared" si="4516"/>
        <v>24150</v>
      </c>
      <c r="T1245" s="29">
        <v>27240</v>
      </c>
      <c r="U1245" s="29">
        <v>30739</v>
      </c>
      <c r="V1245" s="29">
        <v>32012</v>
      </c>
      <c r="W1245" s="29">
        <v>34566</v>
      </c>
      <c r="X1245" s="29">
        <v>39193</v>
      </c>
      <c r="Y1245" s="29">
        <v>44973</v>
      </c>
      <c r="Z1245" s="29">
        <v>50735</v>
      </c>
      <c r="AA1245" s="29">
        <v>57055</v>
      </c>
      <c r="AB1245" s="29">
        <v>66944</v>
      </c>
      <c r="AC1245" s="29">
        <v>75045</v>
      </c>
      <c r="AD1245" s="29">
        <v>79633</v>
      </c>
      <c r="AE1245" s="29">
        <v>84281</v>
      </c>
      <c r="AF1245" s="29">
        <v>92374</v>
      </c>
      <c r="AG1245" s="29">
        <v>99368</v>
      </c>
      <c r="AH1245" s="29">
        <v>108234</v>
      </c>
      <c r="AI1245" s="29">
        <v>118848</v>
      </c>
      <c r="AJ1245" s="29">
        <v>132143</v>
      </c>
      <c r="AK1245" s="29">
        <v>145737</v>
      </c>
      <c r="AL1245" s="29">
        <v>159394</v>
      </c>
      <c r="AM1245" s="29">
        <v>173144</v>
      </c>
      <c r="AN1245" s="29">
        <v>188929</v>
      </c>
      <c r="AO1245" s="29"/>
      <c r="AP1245" s="29"/>
      <c r="AQ1245" s="29"/>
      <c r="AR1245" s="29"/>
      <c r="AS1245" s="1207"/>
      <c r="AT1245" s="29">
        <v>-18901</v>
      </c>
      <c r="AU1245" s="29">
        <v>-29460</v>
      </c>
      <c r="AV1245" s="29">
        <v>-26563</v>
      </c>
      <c r="AW1245" s="29">
        <v>-22824</v>
      </c>
      <c r="AX1245" s="29">
        <v>-16681</v>
      </c>
      <c r="AY1245" s="29">
        <v>-6332</v>
      </c>
      <c r="AZ1245" s="29">
        <v>-856</v>
      </c>
      <c r="BA1245" s="29">
        <v>9895</v>
      </c>
      <c r="BB1245" s="29">
        <v>17710</v>
      </c>
      <c r="BC1245" s="29">
        <v>9096</v>
      </c>
      <c r="BD1245" s="29">
        <v>2282</v>
      </c>
      <c r="BE1245" s="29">
        <v>2648</v>
      </c>
      <c r="BG1245" s="61">
        <f t="shared" si="4501"/>
        <v>2282</v>
      </c>
      <c r="BH1245" s="29">
        <v>17769</v>
      </c>
      <c r="BI1245" s="29">
        <v>13682</v>
      </c>
      <c r="BJ1245" s="29">
        <v>24150</v>
      </c>
      <c r="BK1245" s="11">
        <f>+W1245</f>
        <v>34566</v>
      </c>
      <c r="BL1245" s="11">
        <f t="shared" si="4517"/>
        <v>57055</v>
      </c>
      <c r="BM1245" s="11">
        <f t="shared" si="4504"/>
        <v>84281</v>
      </c>
      <c r="BN1245" s="11">
        <f t="shared" si="4488"/>
        <v>118848</v>
      </c>
      <c r="BO1245" s="11">
        <f t="shared" si="4489"/>
        <v>173144</v>
      </c>
      <c r="BP1245" s="29"/>
    </row>
    <row r="1246" spans="2:81" ht="11.1" customHeight="1">
      <c r="B1246" t="s">
        <v>650</v>
      </c>
      <c r="D1246" s="30">
        <v>1738</v>
      </c>
      <c r="E1246" s="30">
        <v>1773</v>
      </c>
      <c r="F1246" s="30">
        <v>1840</v>
      </c>
      <c r="G1246" s="30">
        <v>1537</v>
      </c>
      <c r="H1246" s="30">
        <v>1681</v>
      </c>
      <c r="I1246" s="30">
        <v>512</v>
      </c>
      <c r="J1246" s="30">
        <v>644</v>
      </c>
      <c r="K1246" s="30">
        <v>627</v>
      </c>
      <c r="L1246" s="30">
        <v>526</v>
      </c>
      <c r="M1246" s="30">
        <v>-399</v>
      </c>
      <c r="N1246" s="30">
        <v>-1153</v>
      </c>
      <c r="O1246" s="30">
        <v>-2187</v>
      </c>
      <c r="P1246" s="30">
        <v>-2615</v>
      </c>
      <c r="Q1246" s="30">
        <v>-2013</v>
      </c>
      <c r="R1246" s="30">
        <v>-1265</v>
      </c>
      <c r="S1246" s="30">
        <f t="shared" si="4516"/>
        <v>-340</v>
      </c>
      <c r="T1246" s="30">
        <v>-61</v>
      </c>
      <c r="U1246" s="30">
        <v>-255</v>
      </c>
      <c r="V1246" s="30">
        <v>2676</v>
      </c>
      <c r="W1246" s="30">
        <v>3186</v>
      </c>
      <c r="X1246" s="30">
        <v>3110</v>
      </c>
      <c r="Y1246" s="30">
        <v>3367</v>
      </c>
      <c r="Z1246" s="30">
        <v>1462</v>
      </c>
      <c r="AA1246" s="30">
        <v>1822</v>
      </c>
      <c r="AB1246" s="30">
        <v>1283</v>
      </c>
      <c r="AC1246" s="30">
        <v>437</v>
      </c>
      <c r="AD1246" s="30">
        <v>-2476</v>
      </c>
      <c r="AE1246" s="30">
        <v>-4678</v>
      </c>
      <c r="AF1246" s="30">
        <v>-7343</v>
      </c>
      <c r="AG1246" s="30">
        <v>-6457</v>
      </c>
      <c r="AH1246" s="30">
        <v>-5644</v>
      </c>
      <c r="AI1246" s="30">
        <v>-6343</v>
      </c>
      <c r="AJ1246" s="30">
        <v>-6937</v>
      </c>
      <c r="AK1246" s="30">
        <v>-4949</v>
      </c>
      <c r="AL1246" s="30">
        <v>-5435</v>
      </c>
      <c r="AM1246" s="30">
        <v>-5590</v>
      </c>
      <c r="AN1246" s="30">
        <v>-4182</v>
      </c>
      <c r="AO1246" s="29"/>
      <c r="AP1246" s="29"/>
      <c r="AQ1246" s="29"/>
      <c r="AR1246" s="29"/>
      <c r="AS1246" s="1207"/>
      <c r="AT1246" s="30">
        <v>0</v>
      </c>
      <c r="AU1246" s="30">
        <v>0</v>
      </c>
      <c r="AV1246" s="30">
        <v>0</v>
      </c>
      <c r="AW1246" s="30">
        <v>0</v>
      </c>
      <c r="AX1246" s="30">
        <v>0</v>
      </c>
      <c r="AY1246" s="30">
        <v>0</v>
      </c>
      <c r="AZ1246" s="30">
        <v>1422</v>
      </c>
      <c r="BA1246" s="30">
        <v>1743</v>
      </c>
      <c r="BB1246" s="30">
        <v>3708</v>
      </c>
      <c r="BC1246" s="30">
        <v>2522</v>
      </c>
      <c r="BD1246" s="30">
        <v>1537</v>
      </c>
      <c r="BE1246" s="30">
        <v>431</v>
      </c>
      <c r="BF1246" s="953"/>
      <c r="BG1246" s="58">
        <f t="shared" si="4501"/>
        <v>1537</v>
      </c>
      <c r="BH1246" s="30">
        <v>627</v>
      </c>
      <c r="BI1246" s="30">
        <v>-2187</v>
      </c>
      <c r="BJ1246" s="30">
        <v>-340</v>
      </c>
      <c r="BK1246" s="34">
        <f>+W1246</f>
        <v>3186</v>
      </c>
      <c r="BL1246" s="34">
        <f t="shared" si="4517"/>
        <v>1822</v>
      </c>
      <c r="BM1246" s="34">
        <f t="shared" si="4504"/>
        <v>-4678</v>
      </c>
      <c r="BN1246" s="34">
        <f t="shared" si="4488"/>
        <v>-6343</v>
      </c>
      <c r="BO1246" s="34">
        <f t="shared" si="4489"/>
        <v>-5590</v>
      </c>
      <c r="BP1246" s="30"/>
    </row>
    <row r="1247" spans="2:81" s="1" customFormat="1" ht="11.1" customHeight="1">
      <c r="B1247" s="837" t="s">
        <v>651</v>
      </c>
      <c r="D1247" s="959">
        <f>SUM(D1244:D1246)</f>
        <v>77445</v>
      </c>
      <c r="E1247" s="959">
        <f t="shared" ref="E1247:O1247" si="4518">SUM(E1244:E1246)</f>
        <v>76780</v>
      </c>
      <c r="F1247" s="959">
        <f t="shared" si="4518"/>
        <v>74806</v>
      </c>
      <c r="G1247" s="959">
        <f t="shared" si="4518"/>
        <v>71997</v>
      </c>
      <c r="H1247" s="959">
        <f t="shared" si="4518"/>
        <v>70372</v>
      </c>
      <c r="I1247" s="959">
        <f t="shared" si="4518"/>
        <v>68809</v>
      </c>
      <c r="J1247" s="959">
        <f t="shared" si="4518"/>
        <v>69729</v>
      </c>
      <c r="K1247" s="959">
        <f t="shared" si="4518"/>
        <v>87711</v>
      </c>
      <c r="L1247" s="959">
        <f t="shared" si="4518"/>
        <v>89647</v>
      </c>
      <c r="M1247" s="959">
        <f t="shared" si="4518"/>
        <v>78360</v>
      </c>
      <c r="N1247" s="959">
        <f t="shared" si="4518"/>
        <v>79239</v>
      </c>
      <c r="O1247" s="959">
        <f t="shared" si="4518"/>
        <v>82718</v>
      </c>
      <c r="P1247" s="959">
        <f t="shared" ref="P1247:Q1247" si="4519">SUM(P1244:P1246)</f>
        <v>85967</v>
      </c>
      <c r="Q1247" s="959">
        <f t="shared" si="4519"/>
        <v>92128</v>
      </c>
      <c r="R1247" s="959">
        <f t="shared" ref="R1247:T1247" si="4520">SUM(R1244:R1246)</f>
        <v>94864</v>
      </c>
      <c r="S1247" s="959">
        <f t="shared" si="4520"/>
        <v>102330</v>
      </c>
      <c r="T1247" s="959">
        <f t="shared" si="4520"/>
        <v>106061</v>
      </c>
      <c r="U1247" s="959">
        <f t="shared" ref="U1247:V1247" si="4521">SUM(U1244:U1246)</f>
        <v>110109</v>
      </c>
      <c r="V1247" s="959">
        <f t="shared" si="4521"/>
        <v>114501</v>
      </c>
      <c r="W1247" s="959">
        <f t="shared" ref="W1247:X1247" si="4522">SUM(W1244:W1246)</f>
        <v>118304</v>
      </c>
      <c r="X1247" s="959">
        <f t="shared" si="4522"/>
        <v>123392</v>
      </c>
      <c r="Y1247" s="959">
        <f t="shared" ref="Y1247:Z1247" si="4523">SUM(Y1244:Y1246)</f>
        <v>130236</v>
      </c>
      <c r="Z1247" s="959">
        <f t="shared" si="4523"/>
        <v>134505</v>
      </c>
      <c r="AA1247" s="959">
        <f t="shared" ref="AA1247:AC1247" si="4524">SUM(AA1244:AA1246)</f>
        <v>141988</v>
      </c>
      <c r="AB1247" s="959">
        <f t="shared" si="4524"/>
        <v>151978</v>
      </c>
      <c r="AC1247" s="959">
        <f t="shared" si="4524"/>
        <v>160010</v>
      </c>
      <c r="AD1247" s="959">
        <f t="shared" ref="AD1247:AE1247" si="4525">SUM(AD1244:AD1246)</f>
        <v>162924</v>
      </c>
      <c r="AE1247" s="959">
        <f t="shared" si="4525"/>
        <v>166542</v>
      </c>
      <c r="AF1247" s="959">
        <f t="shared" ref="AF1247:AG1247" si="4526">SUM(AF1244:AF1246)</f>
        <v>173566</v>
      </c>
      <c r="AG1247" s="959">
        <f t="shared" si="4526"/>
        <v>183136</v>
      </c>
      <c r="AH1247" s="959">
        <f t="shared" ref="AH1247:AI1247" si="4527">SUM(AH1244:AH1246)</f>
        <v>194683</v>
      </c>
      <c r="AI1247" s="959">
        <f t="shared" si="4527"/>
        <v>206223</v>
      </c>
      <c r="AJ1247" s="959">
        <f t="shared" ref="AJ1247:AK1247" si="4528">SUM(AJ1244:AJ1246)</f>
        <v>220714</v>
      </c>
      <c r="AK1247" s="959">
        <f t="shared" si="4528"/>
        <v>238268</v>
      </c>
      <c r="AL1247" s="959">
        <f t="shared" ref="AL1247:AM1247" si="4529">SUM(AL1244:AL1246)</f>
        <v>253152</v>
      </c>
      <c r="AM1247" s="959">
        <f t="shared" si="4529"/>
        <v>268477</v>
      </c>
      <c r="AN1247" s="959">
        <f t="shared" ref="AN1247" si="4530">SUM(AN1244:AN1246)</f>
        <v>287723</v>
      </c>
      <c r="AO1247" s="29"/>
      <c r="AP1247" s="29"/>
      <c r="AQ1247" s="29"/>
      <c r="AR1247" s="29"/>
      <c r="AS1247" s="997"/>
      <c r="AT1247" s="959">
        <f t="shared" ref="AT1247:BE1247" si="4531">SUM(AT1244:AT1246)</f>
        <v>40104</v>
      </c>
      <c r="AU1247" s="959">
        <f t="shared" si="4531"/>
        <v>31097</v>
      </c>
      <c r="AV1247" s="959">
        <f t="shared" si="4531"/>
        <v>36286</v>
      </c>
      <c r="AW1247" s="959">
        <f t="shared" si="4531"/>
        <v>39558</v>
      </c>
      <c r="AX1247" s="959">
        <f t="shared" si="4531"/>
        <v>46175</v>
      </c>
      <c r="AY1247" s="959">
        <f t="shared" si="4531"/>
        <v>57083</v>
      </c>
      <c r="AZ1247" s="959">
        <f t="shared" si="4531"/>
        <v>66363</v>
      </c>
      <c r="BA1247" s="959">
        <f t="shared" si="4531"/>
        <v>78944</v>
      </c>
      <c r="BB1247" s="959">
        <f t="shared" si="4531"/>
        <v>89784</v>
      </c>
      <c r="BC1247" s="959">
        <f t="shared" si="4531"/>
        <v>80083</v>
      </c>
      <c r="BD1247" s="959">
        <f t="shared" si="4531"/>
        <v>71997</v>
      </c>
      <c r="BE1247" s="959">
        <f t="shared" si="4531"/>
        <v>72394</v>
      </c>
      <c r="BF1247" s="102"/>
      <c r="BG1247" s="959">
        <f t="shared" si="4501"/>
        <v>71997</v>
      </c>
      <c r="BH1247" s="959">
        <f t="shared" ref="BH1247" si="4532">SUM(BH1244:BH1246)</f>
        <v>87711</v>
      </c>
      <c r="BI1247" s="959">
        <f t="shared" ref="BI1247:BJ1247" si="4533">SUM(BI1244:BI1246)</f>
        <v>82718</v>
      </c>
      <c r="BJ1247" s="959">
        <f t="shared" si="4533"/>
        <v>102330</v>
      </c>
      <c r="BK1247" s="959">
        <f t="shared" ref="BK1247" si="4534">SUM(BK1244:BK1246)</f>
        <v>118304</v>
      </c>
      <c r="BL1247" s="959">
        <f t="shared" si="4517"/>
        <v>141988</v>
      </c>
      <c r="BM1247" s="959">
        <f t="shared" si="4504"/>
        <v>166542</v>
      </c>
      <c r="BN1247" s="959">
        <f t="shared" si="4488"/>
        <v>206223</v>
      </c>
      <c r="BO1247" s="959">
        <f t="shared" si="4489"/>
        <v>268477</v>
      </c>
      <c r="BP1247" s="959"/>
      <c r="BT1247"/>
      <c r="BU1247"/>
      <c r="BV1247"/>
      <c r="BW1247"/>
      <c r="BX1247"/>
      <c r="BY1247"/>
      <c r="BZ1247"/>
      <c r="CA1247"/>
      <c r="CB1247"/>
      <c r="CC1247"/>
    </row>
    <row r="1248" spans="2:81" s="1" customFormat="1" ht="11.1" customHeight="1">
      <c r="B1248" s="1" t="s">
        <v>652</v>
      </c>
      <c r="D1248" s="838">
        <f>+D1241+D1247</f>
        <v>172896</v>
      </c>
      <c r="E1248" s="838">
        <f t="shared" ref="E1248:O1248" si="4535">+E1241+E1247</f>
        <v>180098</v>
      </c>
      <c r="F1248" s="838">
        <f t="shared" si="4535"/>
        <v>181869</v>
      </c>
      <c r="G1248" s="838">
        <f t="shared" si="4535"/>
        <v>193468</v>
      </c>
      <c r="H1248" s="838">
        <f t="shared" si="4535"/>
        <v>212524</v>
      </c>
      <c r="I1248" s="838">
        <f t="shared" si="4535"/>
        <v>224610</v>
      </c>
      <c r="J1248" s="838">
        <f t="shared" si="4535"/>
        <v>225017</v>
      </c>
      <c r="K1248" s="838">
        <f t="shared" si="4535"/>
        <v>250312</v>
      </c>
      <c r="L1248" s="838">
        <f t="shared" si="4535"/>
        <v>249097</v>
      </c>
      <c r="M1248" s="838">
        <f t="shared" si="4535"/>
        <v>256003</v>
      </c>
      <c r="N1248" s="838">
        <f t="shared" si="4535"/>
        <v>245497</v>
      </c>
      <c r="O1248" s="838">
        <f t="shared" si="4535"/>
        <v>258848</v>
      </c>
      <c r="P1248" s="838">
        <f t="shared" ref="P1248:Q1248" si="4536">+P1241+P1247</f>
        <v>257619</v>
      </c>
      <c r="Q1248" s="838">
        <f t="shared" si="4536"/>
        <v>258859</v>
      </c>
      <c r="R1248" s="838">
        <f t="shared" ref="R1248:T1248" si="4537">+R1241+R1247</f>
        <v>263281</v>
      </c>
      <c r="S1248" s="838">
        <f t="shared" si="4537"/>
        <v>286556</v>
      </c>
      <c r="T1248" s="838">
        <f t="shared" si="4537"/>
        <v>278955</v>
      </c>
      <c r="U1248" s="838">
        <f t="shared" ref="U1248:V1248" si="4538">+U1241+U1247</f>
        <v>282794</v>
      </c>
      <c r="V1248" s="838">
        <f t="shared" si="4538"/>
        <v>285449</v>
      </c>
      <c r="W1248" s="838">
        <f t="shared" ref="W1248:X1248" si="4539">+W1241+W1247</f>
        <v>301311</v>
      </c>
      <c r="X1248" s="838">
        <f t="shared" si="4539"/>
        <v>301001</v>
      </c>
      <c r="Y1248" s="838">
        <f t="shared" ref="Y1248:Z1248" si="4540">+Y1241+Y1247</f>
        <v>304137</v>
      </c>
      <c r="Z1248" s="838">
        <f t="shared" si="4540"/>
        <v>308879</v>
      </c>
      <c r="AA1248" s="838">
        <f t="shared" ref="AA1248:AC1248" si="4541">+AA1241+AA1247</f>
        <v>333779</v>
      </c>
      <c r="AB1248" s="838">
        <f t="shared" si="4541"/>
        <v>335418</v>
      </c>
      <c r="AC1248" s="838">
        <f t="shared" si="4541"/>
        <v>340389</v>
      </c>
      <c r="AD1248" s="838">
        <f t="shared" ref="AD1248:AE1248" si="4542">+AD1241+AD1247</f>
        <v>344607</v>
      </c>
      <c r="AE1248" s="838">
        <f t="shared" si="4542"/>
        <v>364840</v>
      </c>
      <c r="AF1248" s="838">
        <f t="shared" ref="AF1248:AG1248" si="4543">+AF1241+AF1247</f>
        <v>359784</v>
      </c>
      <c r="AG1248" s="838">
        <f t="shared" si="4543"/>
        <v>364552</v>
      </c>
      <c r="AH1248" s="838">
        <f t="shared" ref="AH1248:AI1248" si="4544">+AH1241+AH1247</f>
        <v>380088</v>
      </c>
      <c r="AI1248" s="838">
        <f t="shared" si="4544"/>
        <v>411976</v>
      </c>
      <c r="AJ1248" s="838">
        <f t="shared" ref="AJ1248:AK1248" si="4545">+AJ1241+AJ1247</f>
        <v>445785</v>
      </c>
      <c r="AK1248" s="838">
        <f t="shared" si="4545"/>
        <v>470558</v>
      </c>
      <c r="AL1248" s="838">
        <f t="shared" ref="AL1248:AM1248" si="4546">+AL1241+AL1247</f>
        <v>484275</v>
      </c>
      <c r="AM1248" s="838">
        <f t="shared" si="4546"/>
        <v>512163</v>
      </c>
      <c r="AN1248" s="838">
        <f t="shared" ref="AN1248" si="4547">+AN1241+AN1247</f>
        <v>523013</v>
      </c>
      <c r="AO1248" s="29"/>
      <c r="AP1248" s="29"/>
      <c r="AQ1248" s="29"/>
      <c r="AR1248" s="29"/>
      <c r="AS1248" s="997"/>
      <c r="AT1248" s="838">
        <f t="shared" ref="AT1248:BE1248" si="4548">+AT1241+AT1247</f>
        <v>69597</v>
      </c>
      <c r="AU1248" s="838">
        <f t="shared" si="4548"/>
        <v>63171</v>
      </c>
      <c r="AV1248" s="838">
        <f t="shared" si="4548"/>
        <v>72793</v>
      </c>
      <c r="AW1248" s="838">
        <f t="shared" si="4548"/>
        <v>77888</v>
      </c>
      <c r="AX1248" s="838">
        <f t="shared" si="4548"/>
        <v>86113</v>
      </c>
      <c r="AY1248" s="838">
        <f t="shared" si="4548"/>
        <v>108704</v>
      </c>
      <c r="AZ1248" s="838">
        <f t="shared" si="4548"/>
        <v>121271</v>
      </c>
      <c r="BA1248" s="838">
        <f t="shared" si="4548"/>
        <v>142431</v>
      </c>
      <c r="BB1248" s="838">
        <f t="shared" si="4548"/>
        <v>172384</v>
      </c>
      <c r="BC1248" s="838">
        <f t="shared" si="4548"/>
        <v>174472</v>
      </c>
      <c r="BD1248" s="838">
        <f t="shared" si="4548"/>
        <v>193468</v>
      </c>
      <c r="BE1248" s="838">
        <f t="shared" si="4548"/>
        <v>241086</v>
      </c>
      <c r="BG1248" s="838">
        <f t="shared" si="4501"/>
        <v>193468</v>
      </c>
      <c r="BH1248" s="838">
        <f t="shared" ref="BH1248" si="4549">+BH1241+BH1247</f>
        <v>250312</v>
      </c>
      <c r="BI1248" s="838">
        <f t="shared" ref="BI1248:BJ1248" si="4550">+BI1241+BI1247</f>
        <v>258848</v>
      </c>
      <c r="BJ1248" s="838">
        <f t="shared" si="4550"/>
        <v>286556</v>
      </c>
      <c r="BK1248" s="849">
        <f t="shared" ref="BK1248" si="4551">+BK1241+BK1247</f>
        <v>301311</v>
      </c>
      <c r="BL1248" s="849">
        <f t="shared" si="4517"/>
        <v>333779</v>
      </c>
      <c r="BM1248" s="849">
        <f t="shared" si="4504"/>
        <v>364840</v>
      </c>
      <c r="BN1248" s="849">
        <f t="shared" si="4488"/>
        <v>411976</v>
      </c>
      <c r="BO1248" s="849">
        <f t="shared" si="4489"/>
        <v>512163</v>
      </c>
      <c r="BP1248" s="838"/>
      <c r="BT1248"/>
      <c r="BU1248"/>
      <c r="BV1248"/>
      <c r="BW1248"/>
      <c r="BX1248"/>
      <c r="BY1248"/>
      <c r="BZ1248"/>
      <c r="CA1248"/>
      <c r="CB1248"/>
      <c r="CC1248"/>
    </row>
    <row r="1249" spans="2:81" ht="11.1" customHeight="1">
      <c r="AL1249" s="29"/>
      <c r="AM1249" s="29"/>
      <c r="AN1249" s="29"/>
      <c r="AO1249" s="29"/>
      <c r="AP1249" s="29"/>
      <c r="AQ1249" s="29"/>
      <c r="AR1249" s="29"/>
      <c r="BK1249" s="100"/>
      <c r="BL1249" s="100"/>
    </row>
    <row r="1250" spans="2:81" s="3" customFormat="1" ht="11.1" customHeight="1">
      <c r="B1250" s="1226" t="s">
        <v>653</v>
      </c>
      <c r="AL1250" s="40"/>
      <c r="AM1250" s="40"/>
      <c r="AN1250" s="40"/>
      <c r="AO1250" s="40"/>
      <c r="AP1250" s="40"/>
      <c r="AQ1250" s="40"/>
      <c r="AR1250" s="40"/>
      <c r="BK1250" s="872"/>
      <c r="BL1250" s="872"/>
      <c r="BT1250"/>
      <c r="BU1250"/>
      <c r="BV1250"/>
      <c r="BW1250"/>
      <c r="BX1250"/>
      <c r="BY1250"/>
      <c r="BZ1250"/>
      <c r="CA1250"/>
      <c r="CB1250"/>
      <c r="CC1250"/>
    </row>
    <row r="1251" spans="2:81" s="3" customFormat="1" ht="11.1" customHeight="1">
      <c r="B1251" s="3" t="s">
        <v>593</v>
      </c>
      <c r="D1251" s="40"/>
      <c r="E1251" s="40"/>
      <c r="F1251" s="40"/>
      <c r="G1251" s="40"/>
      <c r="H1251" s="40"/>
      <c r="I1251" s="40"/>
      <c r="J1251" s="40"/>
      <c r="K1251" s="40">
        <v>113</v>
      </c>
      <c r="L1251" s="40"/>
      <c r="M1251" s="40">
        <v>156</v>
      </c>
      <c r="N1251" s="40">
        <v>181</v>
      </c>
      <c r="O1251" s="40">
        <v>176</v>
      </c>
      <c r="P1251" s="40">
        <v>203</v>
      </c>
      <c r="Q1251" s="40">
        <v>245</v>
      </c>
      <c r="R1251" s="40">
        <v>282</v>
      </c>
      <c r="S1251" s="40">
        <v>317</v>
      </c>
      <c r="T1251" s="40">
        <v>404</v>
      </c>
      <c r="U1251" s="40">
        <v>464</v>
      </c>
      <c r="V1251" s="40">
        <v>470</v>
      </c>
      <c r="W1251" s="40">
        <v>540</v>
      </c>
      <c r="X1251" s="40">
        <v>596</v>
      </c>
      <c r="Y1251" s="40">
        <v>699</v>
      </c>
      <c r="Z1251" s="40">
        <v>753</v>
      </c>
      <c r="AA1251" s="40">
        <v>791</v>
      </c>
      <c r="AB1251" s="40">
        <v>882</v>
      </c>
      <c r="AC1251" s="40">
        <v>944</v>
      </c>
      <c r="AD1251" s="40">
        <v>988</v>
      </c>
      <c r="AE1251" s="40">
        <v>1060</v>
      </c>
      <c r="AF1251" s="40">
        <v>1055</v>
      </c>
      <c r="AG1251" s="40">
        <v>1105</v>
      </c>
      <c r="AH1251" s="40">
        <v>1153</v>
      </c>
      <c r="AI1251" s="40">
        <v>1197</v>
      </c>
      <c r="AJ1251" s="40">
        <v>1577</v>
      </c>
      <c r="AK1251" s="40">
        <v>1691</v>
      </c>
      <c r="AL1251" s="40">
        <v>1869</v>
      </c>
      <c r="AM1251" s="40">
        <v>2349</v>
      </c>
      <c r="AN1251" s="40">
        <v>2504</v>
      </c>
      <c r="AO1251" s="40"/>
      <c r="AP1251" s="40"/>
      <c r="AQ1251" s="40"/>
      <c r="AR1251" s="40"/>
      <c r="AS1251" s="1227"/>
      <c r="AT1251" s="40"/>
      <c r="AU1251" s="40"/>
      <c r="AV1251" s="40"/>
      <c r="AW1251" s="40"/>
      <c r="AX1251" s="40"/>
      <c r="AY1251" s="40"/>
      <c r="AZ1251" s="40"/>
      <c r="BA1251" s="40"/>
      <c r="BB1251" s="40"/>
      <c r="BC1251" s="40"/>
      <c r="BD1251" s="40"/>
      <c r="BE1251" s="40"/>
      <c r="BG1251" s="1228"/>
      <c r="BH1251" s="40">
        <f>+K1251</f>
        <v>113</v>
      </c>
      <c r="BI1251" s="40">
        <f>+O1251</f>
        <v>176</v>
      </c>
      <c r="BJ1251" s="40">
        <f>+S1251</f>
        <v>317</v>
      </c>
      <c r="BK1251" s="94">
        <f>+W1251</f>
        <v>540</v>
      </c>
      <c r="BL1251" s="94">
        <f t="shared" ref="BL1251" si="4552">+AA1251</f>
        <v>791</v>
      </c>
      <c r="BM1251" s="94">
        <f t="shared" ref="BM1251" si="4553">+AE1251</f>
        <v>1060</v>
      </c>
      <c r="BN1251" s="94">
        <f t="shared" ref="BN1251" si="4554">+AI1251</f>
        <v>1197</v>
      </c>
      <c r="BO1251" s="94">
        <f>+AM1251</f>
        <v>2349</v>
      </c>
      <c r="BP1251" s="40"/>
      <c r="BT1251"/>
      <c r="BU1251"/>
      <c r="BV1251"/>
      <c r="BW1251"/>
      <c r="BX1251"/>
      <c r="BY1251"/>
      <c r="BZ1251"/>
      <c r="CA1251"/>
      <c r="CB1251"/>
      <c r="CC1251"/>
    </row>
    <row r="1252" spans="2:81" s="3" customFormat="1" ht="11.1" customHeight="1">
      <c r="B1252" s="3" t="s">
        <v>586</v>
      </c>
      <c r="D1252" s="1229"/>
      <c r="E1252" s="1229"/>
      <c r="F1252" s="1229"/>
      <c r="G1252" s="1229"/>
      <c r="H1252" s="1229"/>
      <c r="I1252" s="1229"/>
      <c r="J1252" s="1229"/>
      <c r="K1252" s="1229">
        <v>2425</v>
      </c>
      <c r="L1252" s="1229"/>
      <c r="M1252" s="1229">
        <v>3746</v>
      </c>
      <c r="N1252" s="1229">
        <v>4150</v>
      </c>
      <c r="O1252" s="1229">
        <v>4125</v>
      </c>
      <c r="P1252" s="1229">
        <v>4471</v>
      </c>
      <c r="Q1252" s="1229">
        <v>4965</v>
      </c>
      <c r="R1252" s="1229">
        <v>5528</v>
      </c>
      <c r="S1252" s="1229">
        <v>6257</v>
      </c>
      <c r="T1252" s="1229">
        <v>7461</v>
      </c>
      <c r="U1252" s="1229">
        <v>8287</v>
      </c>
      <c r="V1252" s="1229">
        <v>8140</v>
      </c>
      <c r="W1252" s="1229">
        <v>8956</v>
      </c>
      <c r="X1252" s="1229">
        <v>9571</v>
      </c>
      <c r="Y1252" s="1229">
        <v>10819</v>
      </c>
      <c r="Z1252" s="1229">
        <v>11301</v>
      </c>
      <c r="AA1252" s="1229">
        <v>11750</v>
      </c>
      <c r="AB1252" s="1229">
        <v>12666</v>
      </c>
      <c r="AC1252" s="1229">
        <v>13251</v>
      </c>
      <c r="AD1252" s="1229">
        <v>13551</v>
      </c>
      <c r="AE1252" s="1229">
        <v>13842</v>
      </c>
      <c r="AF1252" s="1229">
        <v>13575</v>
      </c>
      <c r="AG1252" s="1229">
        <v>14479</v>
      </c>
      <c r="AH1252" s="1229">
        <v>15310</v>
      </c>
      <c r="AI1252" s="1229">
        <v>15870</v>
      </c>
      <c r="AJ1252" s="1229">
        <v>16577</v>
      </c>
      <c r="AK1252" s="1229">
        <v>18506</v>
      </c>
      <c r="AL1252" s="1229">
        <v>21036</v>
      </c>
      <c r="AM1252" s="1229">
        <v>24796</v>
      </c>
      <c r="AN1252" s="1229">
        <v>28847</v>
      </c>
      <c r="AO1252" s="40"/>
      <c r="AP1252" s="40"/>
      <c r="AQ1252" s="40"/>
      <c r="AR1252" s="40"/>
      <c r="AS1252" s="1227"/>
      <c r="AT1252" s="1229"/>
      <c r="AU1252" s="1229"/>
      <c r="AV1252" s="1229"/>
      <c r="AW1252" s="1229"/>
      <c r="AX1252" s="1229"/>
      <c r="AY1252" s="1229"/>
      <c r="AZ1252" s="1229"/>
      <c r="BA1252" s="1229"/>
      <c r="BB1252" s="1229"/>
      <c r="BC1252" s="1229"/>
      <c r="BD1252" s="1229"/>
      <c r="BE1252" s="1229"/>
      <c r="BF1252" s="942"/>
      <c r="BG1252" s="1230"/>
      <c r="BH1252" s="1229">
        <f t="shared" ref="BH1252" si="4555">+K1252</f>
        <v>2425</v>
      </c>
      <c r="BI1252" s="1229">
        <f t="shared" ref="BI1252" si="4556">+O1252</f>
        <v>4125</v>
      </c>
      <c r="BJ1252" s="1229">
        <f t="shared" ref="BJ1252" si="4557">+S1252</f>
        <v>6257</v>
      </c>
      <c r="BK1252" s="943">
        <f t="shared" ref="BK1252" si="4558">+W1252</f>
        <v>8956</v>
      </c>
      <c r="BL1252" s="943">
        <f t="shared" ref="BL1252" si="4559">+AA1252</f>
        <v>11750</v>
      </c>
      <c r="BM1252" s="943">
        <f t="shared" ref="BM1252" si="4560">+AE1252</f>
        <v>13842</v>
      </c>
      <c r="BN1252" s="943">
        <f t="shared" ref="BN1252" si="4561">+AI1252</f>
        <v>15870</v>
      </c>
      <c r="BO1252" s="943">
        <f t="shared" ref="BO1252:BO1253" si="4562">+AM1252</f>
        <v>24796</v>
      </c>
      <c r="BP1252" s="1229"/>
      <c r="BT1252"/>
      <c r="BU1252"/>
      <c r="BV1252"/>
      <c r="BW1252"/>
      <c r="BX1252"/>
      <c r="BY1252"/>
      <c r="BZ1252"/>
      <c r="CA1252"/>
      <c r="CB1252"/>
      <c r="CC1252"/>
    </row>
    <row r="1253" spans="2:81" s="7" customFormat="1" ht="11.1" customHeight="1">
      <c r="B1253" s="1138" t="s">
        <v>654</v>
      </c>
      <c r="D1253" s="1231"/>
      <c r="E1253" s="1231"/>
      <c r="F1253" s="1231"/>
      <c r="G1253" s="1231"/>
      <c r="H1253" s="1231"/>
      <c r="I1253" s="1231"/>
      <c r="J1253" s="1231"/>
      <c r="K1253" s="938">
        <f t="shared" ref="K1253:M1253" si="4563">+SUM(K1251:K1252)</f>
        <v>2538</v>
      </c>
      <c r="L1253" s="938"/>
      <c r="M1253" s="938">
        <f t="shared" si="4563"/>
        <v>3902</v>
      </c>
      <c r="N1253" s="938">
        <f t="shared" ref="N1253" si="4564">+SUM(N1251:N1252)</f>
        <v>4331</v>
      </c>
      <c r="O1253" s="938">
        <f t="shared" ref="O1253" si="4565">+SUM(O1251:O1252)</f>
        <v>4301</v>
      </c>
      <c r="P1253" s="938">
        <f t="shared" ref="P1253" si="4566">+SUM(P1251:P1252)</f>
        <v>4674</v>
      </c>
      <c r="Q1253" s="938">
        <f t="shared" ref="Q1253" si="4567">+SUM(Q1251:Q1252)</f>
        <v>5210</v>
      </c>
      <c r="R1253" s="938">
        <f t="shared" ref="R1253" si="4568">+SUM(R1251:R1252)</f>
        <v>5810</v>
      </c>
      <c r="S1253" s="938">
        <f t="shared" ref="S1253" si="4569">+SUM(S1251:S1252)</f>
        <v>6574</v>
      </c>
      <c r="T1253" s="938">
        <f t="shared" ref="T1253" si="4570">+SUM(T1251:T1252)</f>
        <v>7865</v>
      </c>
      <c r="U1253" s="938">
        <f t="shared" ref="U1253" si="4571">+SUM(U1251:U1252)</f>
        <v>8751</v>
      </c>
      <c r="V1253" s="938">
        <f t="shared" ref="V1253" si="4572">+SUM(V1251:V1252)</f>
        <v>8610</v>
      </c>
      <c r="W1253" s="938">
        <f t="shared" ref="W1253" si="4573">+SUM(W1251:W1252)</f>
        <v>9496</v>
      </c>
      <c r="X1253" s="938">
        <f t="shared" ref="X1253" si="4574">+SUM(X1251:X1252)</f>
        <v>10167</v>
      </c>
      <c r="Y1253" s="938">
        <f t="shared" ref="Y1253" si="4575">+SUM(Y1251:Y1252)</f>
        <v>11518</v>
      </c>
      <c r="Z1253" s="938">
        <f t="shared" ref="Z1253" si="4576">+SUM(Z1251:Z1252)</f>
        <v>12054</v>
      </c>
      <c r="AA1253" s="938">
        <f t="shared" ref="AA1253" si="4577">+SUM(AA1251:AA1252)</f>
        <v>12541</v>
      </c>
      <c r="AB1253" s="938">
        <f t="shared" ref="AB1253" si="4578">+SUM(AB1251:AB1252)</f>
        <v>13548</v>
      </c>
      <c r="AC1253" s="938">
        <f t="shared" ref="AC1253" si="4579">+SUM(AC1251:AC1252)</f>
        <v>14195</v>
      </c>
      <c r="AD1253" s="938">
        <f t="shared" ref="AD1253" si="4580">+SUM(AD1251:AD1252)</f>
        <v>14539</v>
      </c>
      <c r="AE1253" s="938">
        <f t="shared" ref="AE1253" si="4581">+SUM(AE1251:AE1252)</f>
        <v>14902</v>
      </c>
      <c r="AF1253" s="938">
        <f t="shared" ref="AF1253" si="4582">+SUM(AF1251:AF1252)</f>
        <v>14630</v>
      </c>
      <c r="AG1253" s="938">
        <f t="shared" ref="AG1253" si="4583">+SUM(AG1251:AG1252)</f>
        <v>15584</v>
      </c>
      <c r="AH1253" s="938">
        <f t="shared" ref="AH1253" si="4584">+SUM(AH1251:AH1252)</f>
        <v>16463</v>
      </c>
      <c r="AI1253" s="938">
        <f t="shared" ref="AI1253" si="4585">+SUM(AI1251:AI1252)</f>
        <v>17067</v>
      </c>
      <c r="AJ1253" s="938">
        <f t="shared" ref="AJ1253" si="4586">+SUM(AJ1251:AJ1252)</f>
        <v>18154</v>
      </c>
      <c r="AK1253" s="938">
        <f t="shared" ref="AK1253" si="4587">+SUM(AK1251:AK1252)</f>
        <v>20197</v>
      </c>
      <c r="AL1253" s="938">
        <f t="shared" ref="AL1253:AN1253" si="4588">+SUM(AL1251:AL1252)</f>
        <v>22905</v>
      </c>
      <c r="AM1253" s="938">
        <f t="shared" si="4588"/>
        <v>27145</v>
      </c>
      <c r="AN1253" s="938">
        <f t="shared" si="4588"/>
        <v>31351</v>
      </c>
      <c r="AO1253" s="40"/>
      <c r="AP1253" s="40"/>
      <c r="AQ1253" s="40"/>
      <c r="AR1253" s="40"/>
      <c r="AS1253" s="1232"/>
      <c r="AT1253" s="1231"/>
      <c r="AU1253" s="1231"/>
      <c r="AV1253" s="1231"/>
      <c r="AW1253" s="1231"/>
      <c r="AX1253" s="1231"/>
      <c r="AY1253" s="1231"/>
      <c r="AZ1253" s="1231"/>
      <c r="BA1253" s="1231"/>
      <c r="BB1253" s="1231"/>
      <c r="BC1253" s="1231"/>
      <c r="BD1253" s="1231"/>
      <c r="BE1253" s="1231"/>
      <c r="BF1253" s="1162"/>
      <c r="BG1253" s="1231"/>
      <c r="BH1253" s="938">
        <f>+SUM(BH1251:BH1252)</f>
        <v>2538</v>
      </c>
      <c r="BI1253" s="938">
        <f t="shared" ref="BI1253:BN1253" si="4589">+SUM(BI1251:BI1252)</f>
        <v>4301</v>
      </c>
      <c r="BJ1253" s="938">
        <f t="shared" si="4589"/>
        <v>6574</v>
      </c>
      <c r="BK1253" s="938">
        <f t="shared" si="4589"/>
        <v>9496</v>
      </c>
      <c r="BL1253" s="938">
        <f t="shared" si="4589"/>
        <v>12541</v>
      </c>
      <c r="BM1253" s="938">
        <f t="shared" si="4589"/>
        <v>14902</v>
      </c>
      <c r="BN1253" s="938">
        <f t="shared" si="4589"/>
        <v>17067</v>
      </c>
      <c r="BO1253" s="938">
        <f t="shared" si="4562"/>
        <v>27145</v>
      </c>
      <c r="BP1253" s="1231"/>
      <c r="BT1253"/>
      <c r="BU1253"/>
      <c r="BV1253"/>
      <c r="BW1253"/>
      <c r="BX1253"/>
      <c r="BY1253"/>
      <c r="BZ1253"/>
      <c r="CA1253"/>
      <c r="CB1253"/>
      <c r="CC1253"/>
    </row>
    <row r="1254" spans="2:81" ht="11.1" customHeight="1">
      <c r="AL1254" s="29"/>
      <c r="AM1254" s="29"/>
      <c r="AN1254" s="29"/>
      <c r="AO1254" s="29"/>
      <c r="AP1254" s="29"/>
      <c r="AQ1254" s="29"/>
      <c r="AR1254" s="29"/>
      <c r="BK1254" s="100"/>
      <c r="BL1254" s="100"/>
    </row>
    <row r="1255" spans="2:81" s="3" customFormat="1" ht="11.1" customHeight="1">
      <c r="B1255" s="13" t="s">
        <v>655</v>
      </c>
      <c r="D1255" s="40"/>
      <c r="E1255" s="40"/>
      <c r="F1255" s="40"/>
      <c r="G1255" s="40"/>
      <c r="H1255" s="40">
        <v>12</v>
      </c>
      <c r="I1255" s="40">
        <v>15</v>
      </c>
      <c r="J1255" s="40">
        <v>19</v>
      </c>
      <c r="K1255" s="40">
        <v>22</v>
      </c>
      <c r="L1255" s="40">
        <v>30</v>
      </c>
      <c r="M1255" s="40">
        <v>44</v>
      </c>
      <c r="N1255" s="40">
        <v>47</v>
      </c>
      <c r="O1255" s="40">
        <v>54</v>
      </c>
      <c r="P1255" s="40">
        <v>55</v>
      </c>
      <c r="Q1255" s="40">
        <v>59</v>
      </c>
      <c r="R1255" s="40">
        <v>65</v>
      </c>
      <c r="S1255" s="40">
        <v>68</v>
      </c>
      <c r="T1255" s="40">
        <v>78</v>
      </c>
      <c r="U1255" s="40">
        <v>84</v>
      </c>
      <c r="V1255" s="40">
        <v>87</v>
      </c>
      <c r="W1255" s="40">
        <v>87</v>
      </c>
      <c r="X1255" s="40">
        <v>92</v>
      </c>
      <c r="Y1255" s="40">
        <v>94</v>
      </c>
      <c r="Z1255" s="40">
        <v>100</v>
      </c>
      <c r="AA1255" s="40">
        <v>100</v>
      </c>
      <c r="AB1255" s="40">
        <v>104</v>
      </c>
      <c r="AC1255" s="40">
        <v>107</v>
      </c>
      <c r="AD1255" s="40">
        <v>109</v>
      </c>
      <c r="AE1255" s="40">
        <v>109</v>
      </c>
      <c r="AF1255" s="40">
        <v>113</v>
      </c>
      <c r="AG1255" s="40">
        <v>119</v>
      </c>
      <c r="AH1255" s="40">
        <v>132</v>
      </c>
      <c r="AI1255" s="40">
        <v>137</v>
      </c>
      <c r="AJ1255" s="40">
        <v>149</v>
      </c>
      <c r="AK1255" s="40">
        <v>168</v>
      </c>
      <c r="AL1255" s="40">
        <v>190</v>
      </c>
      <c r="AM1255" s="40">
        <f>+BO1255-SUM(AJ1255:AL1255)</f>
        <v>227</v>
      </c>
      <c r="AN1255" s="40">
        <v>275</v>
      </c>
      <c r="AO1255" s="40"/>
      <c r="AP1255" s="40"/>
      <c r="AQ1255" s="40"/>
      <c r="AR1255" s="40"/>
      <c r="AS1255" s="1227"/>
      <c r="AT1255" s="40"/>
      <c r="AU1255" s="40"/>
      <c r="AV1255" s="40"/>
      <c r="AW1255" s="40"/>
      <c r="AX1255" s="40"/>
      <c r="AY1255" s="40"/>
      <c r="AZ1255" s="40"/>
      <c r="BA1255" s="40"/>
      <c r="BB1255" s="40"/>
      <c r="BC1255" s="40"/>
      <c r="BD1255" s="40"/>
      <c r="BE1255" s="40"/>
      <c r="BG1255" s="1228"/>
      <c r="BH1255" s="40">
        <f>+SUM(H1255:K1255)</f>
        <v>68</v>
      </c>
      <c r="BI1255" s="40">
        <f>+SUM(L1255:O1255)</f>
        <v>175</v>
      </c>
      <c r="BJ1255" s="40">
        <f>+SUM(P1255:S1255)</f>
        <v>247</v>
      </c>
      <c r="BK1255" s="11">
        <f t="shared" ref="BK1255" si="4590">SUM(T1255:W1255)</f>
        <v>336</v>
      </c>
      <c r="BL1255" s="11">
        <f t="shared" ref="BL1255" si="4591">SUM(X1255:AA1255)</f>
        <v>386</v>
      </c>
      <c r="BM1255" s="11">
        <f t="shared" ref="BM1255" si="4592">+SUM(AB1255:AE1255)</f>
        <v>429</v>
      </c>
      <c r="BN1255" s="11">
        <f t="shared" ref="BN1255" si="4593">+SUM(AF1255:AI1255)</f>
        <v>501</v>
      </c>
      <c r="BO1255" s="94">
        <v>734</v>
      </c>
      <c r="BP1255" s="40"/>
      <c r="BT1255"/>
      <c r="BU1255"/>
      <c r="BV1255"/>
      <c r="BW1255"/>
      <c r="BX1255"/>
      <c r="BY1255"/>
      <c r="BZ1255"/>
      <c r="CA1255"/>
      <c r="CB1255"/>
      <c r="CC1255"/>
    </row>
    <row r="1256" spans="2:81" s="3" customFormat="1">
      <c r="B1256" s="15" t="s">
        <v>140</v>
      </c>
      <c r="D1256" s="228"/>
      <c r="E1256" s="228"/>
      <c r="F1256" s="228"/>
      <c r="G1256" s="228"/>
      <c r="H1256" s="228"/>
      <c r="I1256" s="228"/>
      <c r="J1256" s="228"/>
      <c r="K1256" s="228"/>
      <c r="L1256" s="228"/>
      <c r="M1256" s="228"/>
      <c r="N1256" s="228">
        <f t="shared" ref="N1256:AK1256" si="4594">+N1255/AVERAGE(M1253:N1253)*4</f>
        <v>4.5669865176727803E-2</v>
      </c>
      <c r="O1256" s="228">
        <f t="shared" si="4594"/>
        <v>5.0046339202965709E-2</v>
      </c>
      <c r="P1256" s="228">
        <f t="shared" si="4594"/>
        <v>4.9025069637883008E-2</v>
      </c>
      <c r="Q1256" s="228">
        <f t="shared" si="4594"/>
        <v>4.775394577094294E-2</v>
      </c>
      <c r="R1256" s="228">
        <f t="shared" si="4594"/>
        <v>4.7186932849364795E-2</v>
      </c>
      <c r="S1256" s="228">
        <f t="shared" si="4594"/>
        <v>4.3927648578811367E-2</v>
      </c>
      <c r="T1256" s="228">
        <f t="shared" si="4594"/>
        <v>4.3216289216704756E-2</v>
      </c>
      <c r="U1256" s="228">
        <f t="shared" si="4594"/>
        <v>4.0442946557534908E-2</v>
      </c>
      <c r="V1256" s="228">
        <f t="shared" si="4594"/>
        <v>4.0089856575082079E-2</v>
      </c>
      <c r="W1256" s="228">
        <f t="shared" si="4594"/>
        <v>3.8440296034463715E-2</v>
      </c>
      <c r="X1256" s="228">
        <f t="shared" si="4594"/>
        <v>3.7430707420027465E-2</v>
      </c>
      <c r="Y1256" s="228">
        <f t="shared" si="4594"/>
        <v>3.4678349089232188E-2</v>
      </c>
      <c r="Z1256" s="228">
        <f t="shared" si="4594"/>
        <v>3.3938571186153066E-2</v>
      </c>
      <c r="AA1256" s="228">
        <f t="shared" si="4594"/>
        <v>3.2526936369180727E-2</v>
      </c>
      <c r="AB1256" s="228">
        <f t="shared" si="4594"/>
        <v>3.1890835217907927E-2</v>
      </c>
      <c r="AC1256" s="228">
        <f t="shared" si="4594"/>
        <v>3.085462999675594E-2</v>
      </c>
      <c r="AD1256" s="228">
        <f t="shared" si="4594"/>
        <v>3.0347323727987749E-2</v>
      </c>
      <c r="AE1256" s="228">
        <f t="shared" si="4594"/>
        <v>2.9618559152202711E-2</v>
      </c>
      <c r="AF1256" s="228">
        <f t="shared" si="4594"/>
        <v>3.0610862792902614E-2</v>
      </c>
      <c r="AG1256" s="228">
        <f t="shared" si="4594"/>
        <v>3.1508572185079763E-2</v>
      </c>
      <c r="AH1256" s="228">
        <f t="shared" si="4594"/>
        <v>3.2951602334071829E-2</v>
      </c>
      <c r="AI1256" s="228">
        <f t="shared" si="4594"/>
        <v>3.2687145839546676E-2</v>
      </c>
      <c r="AJ1256" s="228">
        <f t="shared" si="4594"/>
        <v>3.3843445671616366E-2</v>
      </c>
      <c r="AK1256" s="228">
        <f t="shared" si="4594"/>
        <v>3.5044718521029437E-2</v>
      </c>
      <c r="AL1256" s="228">
        <f>+AL1255/AVERAGE(AK1253:AL1253)*4</f>
        <v>3.5265184910212986E-2</v>
      </c>
      <c r="AM1256" s="228">
        <f>+AM1255/AVERAGE(AL1253:AM1253)*4</f>
        <v>3.6283716283716287E-2</v>
      </c>
      <c r="AN1256" s="228">
        <f>+AN1255/AVERAGE(AM1253:AN1253)*4</f>
        <v>3.7609409190371992E-2</v>
      </c>
      <c r="AO1256" s="228"/>
      <c r="AP1256" s="228"/>
      <c r="AQ1256" s="228"/>
      <c r="AR1256" s="228"/>
      <c r="AS1256" s="228"/>
      <c r="AT1256" s="228"/>
      <c r="AU1256" s="228"/>
      <c r="AV1256" s="228"/>
      <c r="AW1256" s="228"/>
      <c r="AX1256" s="228"/>
      <c r="AY1256" s="228"/>
      <c r="AZ1256" s="228"/>
      <c r="BA1256" s="228"/>
      <c r="BB1256" s="228"/>
      <c r="BC1256" s="228"/>
      <c r="BD1256" s="228"/>
      <c r="BE1256" s="228"/>
      <c r="BF1256" s="228"/>
      <c r="BG1256" s="228"/>
      <c r="BH1256" s="228"/>
      <c r="BI1256" s="228">
        <f t="shared" ref="BI1256:BM1256" si="4595">+BI1255/AVERAGE(BH1253:BI1253)</f>
        <v>5.1177072671443197E-2</v>
      </c>
      <c r="BJ1256" s="228">
        <f t="shared" si="4595"/>
        <v>4.5425287356321842E-2</v>
      </c>
      <c r="BK1256" s="228">
        <f t="shared" si="4595"/>
        <v>4.1817050404480395E-2</v>
      </c>
      <c r="BL1256" s="228">
        <f t="shared" si="4595"/>
        <v>3.5031991650406137E-2</v>
      </c>
      <c r="BM1256" s="228">
        <f t="shared" si="4595"/>
        <v>3.1264803410705824E-2</v>
      </c>
      <c r="BN1256" s="228">
        <f>+BN1255/AVERAGE(BM1253:BN1253)</f>
        <v>3.1342863398917703E-2</v>
      </c>
      <c r="BO1256" s="228">
        <f>+BO1255/AVERAGE(BN1253:BO1253)</f>
        <v>3.320365511625803E-2</v>
      </c>
      <c r="BP1256" s="228"/>
      <c r="BQ1256" s="228"/>
      <c r="BR1256" s="228"/>
      <c r="BS1256" s="228"/>
      <c r="BT1256"/>
      <c r="BU1256"/>
      <c r="BV1256"/>
      <c r="BW1256"/>
      <c r="BX1256"/>
      <c r="BY1256"/>
      <c r="BZ1256"/>
      <c r="CA1256"/>
      <c r="CB1256"/>
      <c r="CC1256"/>
    </row>
    <row r="1257" spans="2:81" ht="11.1" customHeight="1">
      <c r="B1257" s="12"/>
      <c r="AL1257" s="29"/>
      <c r="AM1257" s="29"/>
      <c r="AN1257" s="29"/>
      <c r="AO1257" s="29"/>
      <c r="AP1257" s="29"/>
      <c r="AQ1257" s="29"/>
      <c r="AR1257" s="29"/>
      <c r="BK1257" s="100"/>
      <c r="BL1257" s="100"/>
    </row>
    <row r="1258" spans="2:81" s="872" customFormat="1">
      <c r="B1258" s="875" t="s">
        <v>656</v>
      </c>
      <c r="D1258" s="94">
        <f t="shared" ref="D1258:AN1258" si="4596">+D137-D1253</f>
        <v>38567</v>
      </c>
      <c r="E1258" s="94">
        <f t="shared" si="4596"/>
        <v>44429</v>
      </c>
      <c r="F1258" s="94">
        <f t="shared" si="4596"/>
        <v>46394</v>
      </c>
      <c r="G1258" s="94">
        <f t="shared" si="4596"/>
        <v>53461</v>
      </c>
      <c r="H1258" s="94">
        <f t="shared" si="4596"/>
        <v>74690</v>
      </c>
      <c r="I1258" s="94">
        <f t="shared" si="4596"/>
        <v>84970</v>
      </c>
      <c r="J1258" s="94">
        <f t="shared" si="4596"/>
        <v>84008</v>
      </c>
      <c r="K1258" s="94">
        <f t="shared" si="4596"/>
        <v>91566</v>
      </c>
      <c r="L1258" s="94">
        <f t="shared" si="4596"/>
        <v>91243</v>
      </c>
      <c r="M1258" s="94">
        <f t="shared" si="4596"/>
        <v>94900</v>
      </c>
      <c r="N1258" s="94">
        <f t="shared" si="4596"/>
        <v>82908</v>
      </c>
      <c r="O1258" s="94">
        <f t="shared" si="4596"/>
        <v>81808</v>
      </c>
      <c r="P1258" s="94">
        <f t="shared" si="4596"/>
        <v>81882</v>
      </c>
      <c r="Q1258" s="94">
        <f t="shared" si="4596"/>
        <v>78852</v>
      </c>
      <c r="R1258" s="94">
        <f t="shared" si="4596"/>
        <v>79072</v>
      </c>
      <c r="S1258" s="94">
        <f t="shared" si="4596"/>
        <v>78366</v>
      </c>
      <c r="T1258" s="94">
        <f t="shared" si="4596"/>
        <v>76154</v>
      </c>
      <c r="U1258" s="94">
        <f t="shared" si="4596"/>
        <v>76780</v>
      </c>
      <c r="V1258" s="94">
        <f t="shared" si="4596"/>
        <v>73858</v>
      </c>
      <c r="W1258" s="94">
        <f t="shared" si="4596"/>
        <v>70998</v>
      </c>
      <c r="X1258" s="94">
        <f t="shared" si="4596"/>
        <v>70522</v>
      </c>
      <c r="Y1258" s="94">
        <f t="shared" si="4596"/>
        <v>69398</v>
      </c>
      <c r="Z1258" s="94">
        <f t="shared" si="4596"/>
        <v>67330</v>
      </c>
      <c r="AA1258" s="94">
        <f t="shared" si="4596"/>
        <v>67775</v>
      </c>
      <c r="AB1258" s="94">
        <f t="shared" si="4596"/>
        <v>67634</v>
      </c>
      <c r="AC1258" s="94">
        <f t="shared" si="4596"/>
        <v>82163</v>
      </c>
      <c r="AD1258" s="94">
        <f t="shared" si="4596"/>
        <v>61283</v>
      </c>
      <c r="AE1258" s="94">
        <f t="shared" si="4596"/>
        <v>61270</v>
      </c>
      <c r="AF1258" s="94">
        <f t="shared" si="4596"/>
        <v>60282</v>
      </c>
      <c r="AG1258" s="94">
        <f t="shared" si="4596"/>
        <v>60114</v>
      </c>
      <c r="AH1258" s="94">
        <f t="shared" si="4596"/>
        <v>60522</v>
      </c>
      <c r="AI1258" s="94">
        <f t="shared" si="4596"/>
        <v>59965</v>
      </c>
      <c r="AJ1258" s="94">
        <f t="shared" si="4596"/>
        <v>84989</v>
      </c>
      <c r="AK1258" s="94">
        <f t="shared" si="4596"/>
        <v>88374</v>
      </c>
      <c r="AL1258" s="94">
        <f t="shared" si="4596"/>
        <v>79911</v>
      </c>
      <c r="AM1258" s="94">
        <f t="shared" si="4596"/>
        <v>67127</v>
      </c>
      <c r="AN1258" s="94">
        <f t="shared" si="4596"/>
        <v>61478</v>
      </c>
      <c r="AO1258" s="94"/>
      <c r="AP1258" s="94"/>
      <c r="AQ1258" s="94"/>
      <c r="BG1258" s="94"/>
      <c r="BH1258" s="94">
        <f t="shared" ref="BH1258:BO1258" si="4597">+BH137-BH1253</f>
        <v>91566</v>
      </c>
      <c r="BI1258" s="94">
        <f t="shared" si="4597"/>
        <v>81808</v>
      </c>
      <c r="BJ1258" s="94">
        <f t="shared" si="4597"/>
        <v>78366</v>
      </c>
      <c r="BK1258" s="94">
        <f t="shared" si="4597"/>
        <v>70998</v>
      </c>
      <c r="BL1258" s="94">
        <f t="shared" si="4597"/>
        <v>67775</v>
      </c>
      <c r="BM1258" s="94">
        <f t="shared" si="4597"/>
        <v>61270</v>
      </c>
      <c r="BN1258" s="94">
        <f t="shared" si="4597"/>
        <v>59965</v>
      </c>
      <c r="BO1258" s="94">
        <f t="shared" si="4597"/>
        <v>67127</v>
      </c>
      <c r="BP1258" s="94"/>
      <c r="BT1258"/>
      <c r="BU1258"/>
      <c r="BV1258"/>
      <c r="BW1258"/>
      <c r="BX1258"/>
      <c r="BY1258"/>
      <c r="BZ1258"/>
      <c r="CA1258"/>
      <c r="CB1258"/>
      <c r="CC1258"/>
    </row>
    <row r="1259" spans="2:81" s="872" customFormat="1">
      <c r="B1259" s="875" t="s">
        <v>657</v>
      </c>
      <c r="D1259" s="94">
        <f t="shared" ref="D1259:AK1259" si="4598">+D1118*-1-D1255</f>
        <v>249</v>
      </c>
      <c r="E1259" s="94">
        <f t="shared" si="4598"/>
        <v>309</v>
      </c>
      <c r="F1259" s="94">
        <f t="shared" si="4598"/>
        <v>340</v>
      </c>
      <c r="G1259" s="94">
        <f t="shared" si="4598"/>
        <v>345</v>
      </c>
      <c r="H1259" s="94">
        <f t="shared" si="4598"/>
        <v>425</v>
      </c>
      <c r="I1259" s="94">
        <f t="shared" si="4598"/>
        <v>506</v>
      </c>
      <c r="J1259" s="94">
        <f t="shared" si="4598"/>
        <v>590</v>
      </c>
      <c r="K1259" s="94">
        <f t="shared" si="4598"/>
        <v>633</v>
      </c>
      <c r="L1259" s="94">
        <f t="shared" si="4598"/>
        <v>642</v>
      </c>
      <c r="M1259" s="94">
        <f t="shared" si="4598"/>
        <v>654</v>
      </c>
      <c r="N1259" s="94">
        <f t="shared" si="4598"/>
        <v>644</v>
      </c>
      <c r="O1259" s="94">
        <f t="shared" si="4598"/>
        <v>618</v>
      </c>
      <c r="P1259" s="94">
        <f t="shared" si="4598"/>
        <v>619</v>
      </c>
      <c r="Q1259" s="94">
        <f t="shared" si="4598"/>
        <v>613</v>
      </c>
      <c r="R1259" s="94">
        <f t="shared" si="4598"/>
        <v>606</v>
      </c>
      <c r="S1259" s="94">
        <f t="shared" si="4598"/>
        <v>601</v>
      </c>
      <c r="T1259" s="94">
        <f t="shared" si="4598"/>
        <v>559</v>
      </c>
      <c r="U1259" s="94">
        <f t="shared" si="4598"/>
        <v>570</v>
      </c>
      <c r="V1259" s="94">
        <f t="shared" si="4598"/>
        <v>527</v>
      </c>
      <c r="W1259" s="94">
        <f t="shared" si="4598"/>
        <v>599</v>
      </c>
      <c r="X1259" s="94">
        <f t="shared" si="4598"/>
        <v>497</v>
      </c>
      <c r="Y1259" s="94">
        <f t="shared" si="4598"/>
        <v>477</v>
      </c>
      <c r="Z1259" s="94">
        <f t="shared" si="4598"/>
        <v>533</v>
      </c>
      <c r="AA1259" s="94">
        <f t="shared" si="4598"/>
        <v>453</v>
      </c>
      <c r="AB1259" s="94">
        <f t="shared" si="4598"/>
        <v>435</v>
      </c>
      <c r="AC1259" s="94">
        <f t="shared" si="4598"/>
        <v>418</v>
      </c>
      <c r="AD1259" s="94">
        <f t="shared" si="4598"/>
        <v>394</v>
      </c>
      <c r="AE1259" s="94">
        <f t="shared" si="4598"/>
        <v>387</v>
      </c>
      <c r="AF1259" s="94">
        <f t="shared" si="4598"/>
        <v>387</v>
      </c>
      <c r="AG1259" s="94">
        <f t="shared" si="4598"/>
        <v>371</v>
      </c>
      <c r="AH1259" s="94">
        <f t="shared" si="4598"/>
        <v>364</v>
      </c>
      <c r="AI1259" s="94">
        <f t="shared" si="4598"/>
        <v>345</v>
      </c>
      <c r="AJ1259" s="94">
        <f t="shared" si="4598"/>
        <v>376</v>
      </c>
      <c r="AK1259" s="94">
        <f t="shared" si="4598"/>
        <v>741</v>
      </c>
      <c r="AL1259" s="94">
        <f>+AL1118*-1-AL1255</f>
        <v>610</v>
      </c>
      <c r="AM1259" s="94">
        <f t="shared" ref="AM1259" si="4599">+AM1118*-1-AM1255</f>
        <v>474</v>
      </c>
      <c r="AN1259" s="94">
        <f t="shared" ref="AN1259" si="4600">+AN1118*-1-AN1255</f>
        <v>307</v>
      </c>
      <c r="AO1259" s="94"/>
      <c r="AP1259" s="94"/>
      <c r="AQ1259" s="94"/>
      <c r="BG1259" s="94"/>
      <c r="BH1259" s="94">
        <f t="shared" ref="BH1259:BN1259" si="4601">+BH1118*-1-BH1255</f>
        <v>2154</v>
      </c>
      <c r="BI1259" s="94">
        <f t="shared" si="4601"/>
        <v>2558</v>
      </c>
      <c r="BJ1259" s="94">
        <f t="shared" si="4601"/>
        <v>2439</v>
      </c>
      <c r="BK1259" s="94">
        <f t="shared" si="4601"/>
        <v>2255</v>
      </c>
      <c r="BL1259" s="94">
        <f t="shared" si="4601"/>
        <v>1960</v>
      </c>
      <c r="BM1259" s="94">
        <f t="shared" si="4601"/>
        <v>1634</v>
      </c>
      <c r="BN1259" s="94">
        <f t="shared" si="4601"/>
        <v>1467</v>
      </c>
      <c r="BO1259" s="94">
        <f t="shared" ref="BO1259" si="4602">+BO1118*-1-BO1255</f>
        <v>2201</v>
      </c>
      <c r="BP1259" s="94"/>
      <c r="BT1259"/>
      <c r="BU1259"/>
      <c r="BV1259"/>
      <c r="BW1259"/>
      <c r="BX1259"/>
      <c r="BY1259"/>
      <c r="BZ1259"/>
      <c r="CA1259"/>
      <c r="CB1259"/>
      <c r="CC1259"/>
    </row>
    <row r="1260" spans="2:81" s="3" customFormat="1">
      <c r="B1260" s="15" t="s">
        <v>140</v>
      </c>
      <c r="D1260" s="228"/>
      <c r="E1260" s="228">
        <f t="shared" ref="E1260:AJ1260" si="4603">+E1259/AVERAGE(D1258:E1258)*4</f>
        <v>2.9784567930984624E-2</v>
      </c>
      <c r="F1260" s="228">
        <f t="shared" si="4603"/>
        <v>2.9948361097959769E-2</v>
      </c>
      <c r="G1260" s="228">
        <f t="shared" si="4603"/>
        <v>2.7640078113264233E-2</v>
      </c>
      <c r="H1260" s="228">
        <f t="shared" si="4603"/>
        <v>2.653120147326201E-2</v>
      </c>
      <c r="I1260" s="228">
        <f t="shared" si="4603"/>
        <v>2.5353876988600775E-2</v>
      </c>
      <c r="J1260" s="228">
        <f t="shared" si="4603"/>
        <v>2.7932630283232136E-2</v>
      </c>
      <c r="K1260" s="228">
        <f t="shared" si="4603"/>
        <v>2.8842539328146538E-2</v>
      </c>
      <c r="L1260" s="228">
        <f t="shared" si="4603"/>
        <v>2.8094896859563807E-2</v>
      </c>
      <c r="M1260" s="228">
        <f t="shared" si="4603"/>
        <v>2.8107422787856648E-2</v>
      </c>
      <c r="N1260" s="228">
        <f t="shared" si="4603"/>
        <v>2.8975074237379647E-2</v>
      </c>
      <c r="O1260" s="228">
        <f t="shared" si="4603"/>
        <v>3.0015299060200586E-2</v>
      </c>
      <c r="P1260" s="228">
        <f t="shared" si="4603"/>
        <v>3.0252306188527093E-2</v>
      </c>
      <c r="Q1260" s="228">
        <f t="shared" si="4603"/>
        <v>3.0510035213458259E-2</v>
      </c>
      <c r="R1260" s="228">
        <f t="shared" si="4603"/>
        <v>3.0698310579772549E-2</v>
      </c>
      <c r="S1260" s="228">
        <f t="shared" si="4603"/>
        <v>3.0539005830866755E-2</v>
      </c>
      <c r="T1260" s="228">
        <f t="shared" si="4603"/>
        <v>2.8941237380274397E-2</v>
      </c>
      <c r="U1260" s="228">
        <f t="shared" si="4603"/>
        <v>2.9816783710620267E-2</v>
      </c>
      <c r="V1260" s="228">
        <f t="shared" si="4603"/>
        <v>2.7987625964232134E-2</v>
      </c>
      <c r="W1260" s="228">
        <f t="shared" si="4603"/>
        <v>3.3081128845197989E-2</v>
      </c>
      <c r="X1260" s="228">
        <f t="shared" si="4603"/>
        <v>2.8094968908988129E-2</v>
      </c>
      <c r="Y1260" s="228">
        <f t="shared" si="4603"/>
        <v>2.7272727272727271E-2</v>
      </c>
      <c r="Z1260" s="228">
        <f t="shared" si="4603"/>
        <v>3.1186004329764202E-2</v>
      </c>
      <c r="AA1260" s="228">
        <f t="shared" si="4603"/>
        <v>2.6823581658709891E-2</v>
      </c>
      <c r="AB1260" s="228">
        <f t="shared" si="4603"/>
        <v>2.569991654912155E-2</v>
      </c>
      <c r="AC1260" s="228">
        <f t="shared" si="4603"/>
        <v>2.2323544530264292E-2</v>
      </c>
      <c r="AD1260" s="228">
        <f t="shared" si="4603"/>
        <v>2.1973425539924433E-2</v>
      </c>
      <c r="AE1260" s="228">
        <f t="shared" si="4603"/>
        <v>2.5262539472717928E-2</v>
      </c>
      <c r="AF1260" s="228">
        <f t="shared" si="4603"/>
        <v>2.5470580492299593E-2</v>
      </c>
      <c r="AG1260" s="228">
        <f t="shared" si="4603"/>
        <v>2.4651981793415063E-2</v>
      </c>
      <c r="AH1260" s="228">
        <f t="shared" si="4603"/>
        <v>2.4138731390298086E-2</v>
      </c>
      <c r="AI1260" s="228">
        <f t="shared" si="4603"/>
        <v>2.2907035613800659E-2</v>
      </c>
      <c r="AJ1260" s="228">
        <f t="shared" si="4603"/>
        <v>2.0751410792389308E-2</v>
      </c>
      <c r="AK1260" s="228">
        <f>+AK1259/AVERAGE(AJ1258:AK1258)*4</f>
        <v>3.4194147540132551E-2</v>
      </c>
      <c r="AL1260" s="228">
        <f>+AL1259/AVERAGE(AK1258:AL1258)*4</f>
        <v>2.8998425290429924E-2</v>
      </c>
      <c r="AM1260" s="228">
        <f t="shared" ref="AM1260:AN1260" si="4604">+AM1259/AVERAGE(AL1258:AM1258)*4</f>
        <v>2.5789251758048939E-2</v>
      </c>
      <c r="AN1260" s="228">
        <f t="shared" si="4604"/>
        <v>1.9097235721783755E-2</v>
      </c>
      <c r="AO1260" s="228"/>
      <c r="AP1260" s="228"/>
      <c r="AQ1260" s="228"/>
      <c r="AR1260" s="228"/>
      <c r="AS1260" s="228"/>
      <c r="AT1260" s="228"/>
      <c r="AU1260" s="228"/>
      <c r="AV1260" s="228"/>
      <c r="AW1260" s="228"/>
      <c r="AX1260" s="228"/>
      <c r="AY1260" s="228"/>
      <c r="AZ1260" s="228"/>
      <c r="BA1260" s="228"/>
      <c r="BB1260" s="228"/>
      <c r="BC1260" s="228"/>
      <c r="BD1260" s="228"/>
      <c r="BE1260" s="228"/>
      <c r="BF1260" s="228"/>
      <c r="BG1260" s="228"/>
      <c r="BH1260" s="228"/>
      <c r="BI1260" s="228">
        <f t="shared" ref="BI1260:BM1260" si="4605">+BI1259/AVERAGE(BH1258:BI1258)</f>
        <v>2.9508461476345935E-2</v>
      </c>
      <c r="BJ1260" s="228">
        <f t="shared" si="4605"/>
        <v>3.0454380860813864E-2</v>
      </c>
      <c r="BK1260" s="228">
        <f t="shared" si="4605"/>
        <v>3.0194692161431134E-2</v>
      </c>
      <c r="BL1260" s="228">
        <f t="shared" si="4605"/>
        <v>2.8247569772217939E-2</v>
      </c>
      <c r="BM1260" s="228">
        <f t="shared" si="4605"/>
        <v>2.5324499205703437E-2</v>
      </c>
      <c r="BN1260" s="228">
        <f>+BN1259/AVERAGE(BM1258:BN1258)</f>
        <v>2.4200932074071018E-2</v>
      </c>
      <c r="BO1260" s="228">
        <f t="shared" ref="BO1260" si="4606">+BO1259/AVERAGE(BN1258:BO1258)</f>
        <v>3.4636326440688633E-2</v>
      </c>
      <c r="BP1260" s="228"/>
      <c r="BQ1260" s="228"/>
      <c r="BR1260" s="228"/>
      <c r="BS1260" s="228"/>
      <c r="BT1260"/>
      <c r="BU1260"/>
      <c r="BV1260"/>
      <c r="BW1260"/>
      <c r="BX1260"/>
      <c r="BY1260"/>
      <c r="BZ1260"/>
      <c r="CA1260"/>
      <c r="CB1260"/>
      <c r="CC1260"/>
    </row>
    <row r="1261" spans="2:81" ht="11.1" customHeight="1">
      <c r="AL1261" s="29"/>
      <c r="AM1261" s="29"/>
      <c r="AN1261" s="29"/>
      <c r="AO1261" s="29"/>
      <c r="AP1261" s="29"/>
      <c r="AQ1261" s="29"/>
      <c r="AR1261" s="29"/>
      <c r="BK1261" s="100"/>
      <c r="BL1261" s="100"/>
    </row>
    <row r="1262" spans="2:81" ht="10.5">
      <c r="B1262" s="5" t="s">
        <v>169</v>
      </c>
      <c r="C1262" s="4"/>
      <c r="D1262" s="8"/>
      <c r="E1262" s="8"/>
      <c r="F1262" s="8"/>
      <c r="G1262" s="8"/>
      <c r="H1262" s="8"/>
      <c r="I1262" s="8"/>
      <c r="J1262" s="8"/>
      <c r="K1262" s="8"/>
      <c r="L1262" s="8"/>
      <c r="M1262" s="8"/>
      <c r="N1262" s="8"/>
      <c r="O1262" s="8"/>
      <c r="P1262" s="8"/>
      <c r="Q1262" s="8"/>
      <c r="R1262" s="8"/>
      <c r="S1262" s="8"/>
      <c r="T1262" s="8"/>
      <c r="U1262" s="8"/>
      <c r="V1262" s="8"/>
      <c r="W1262" s="8"/>
      <c r="X1262" s="8"/>
      <c r="Y1262" s="8"/>
      <c r="Z1262" s="8"/>
      <c r="AA1262" s="8"/>
      <c r="AB1262" s="8"/>
      <c r="AC1262" s="8"/>
      <c r="AD1262" s="8"/>
      <c r="AE1262" s="8"/>
      <c r="AF1262" s="8"/>
      <c r="AG1262" s="8"/>
      <c r="AH1262" s="8"/>
      <c r="AI1262" s="8"/>
      <c r="AJ1262" s="8"/>
      <c r="AK1262" s="8"/>
      <c r="AL1262" s="8"/>
      <c r="AM1262" s="8"/>
      <c r="AN1262" s="8"/>
      <c r="AO1262" s="8"/>
      <c r="AP1262" s="8"/>
      <c r="AQ1262" s="8"/>
      <c r="AS1262" s="8"/>
      <c r="AT1262" s="8"/>
      <c r="AU1262" s="8"/>
      <c r="AV1262" s="8"/>
      <c r="AW1262" s="8"/>
      <c r="AX1262" s="8"/>
      <c r="AY1262" s="8"/>
      <c r="AZ1262" s="8"/>
      <c r="BA1262" s="8"/>
      <c r="BB1262" s="8"/>
      <c r="BC1262" s="8"/>
      <c r="BD1262" s="8"/>
      <c r="BE1262" s="8"/>
      <c r="BG1262" s="8"/>
      <c r="BH1262" s="8"/>
      <c r="BI1262" s="8"/>
      <c r="BJ1262" s="8"/>
      <c r="BK1262" s="8"/>
      <c r="BL1262" s="8"/>
      <c r="BM1262" s="8"/>
      <c r="BN1262" s="8"/>
      <c r="BO1262" s="8"/>
      <c r="BP1262" s="8"/>
      <c r="BQ1262" s="8"/>
    </row>
    <row r="1263" spans="2:81">
      <c r="B1263" t="s">
        <v>658</v>
      </c>
      <c r="D1263" s="8">
        <f t="shared" ref="D1263:AM1263" si="4607">+D1211+D1212+D1214-D1226-D1227-D1231-D1232</f>
        <v>-17036</v>
      </c>
      <c r="E1263" s="8">
        <f t="shared" si="4607"/>
        <v>-14407</v>
      </c>
      <c r="F1263" s="8">
        <f t="shared" si="4607"/>
        <v>-16503</v>
      </c>
      <c r="G1263" s="8">
        <f t="shared" si="4607"/>
        <v>-19159</v>
      </c>
      <c r="H1263" s="8">
        <f t="shared" si="4607"/>
        <v>-22367</v>
      </c>
      <c r="I1263" s="8">
        <f t="shared" si="4607"/>
        <v>-21167</v>
      </c>
      <c r="J1263" s="8">
        <f t="shared" si="4607"/>
        <v>-23069</v>
      </c>
      <c r="K1263" s="8">
        <f t="shared" si="4607"/>
        <v>-15191</v>
      </c>
      <c r="L1263" s="8">
        <f t="shared" si="4607"/>
        <v>-18712</v>
      </c>
      <c r="M1263" s="8">
        <f t="shared" si="4607"/>
        <v>-16520</v>
      </c>
      <c r="N1263" s="8">
        <f t="shared" si="4607"/>
        <v>-17253</v>
      </c>
      <c r="O1263" s="8">
        <f t="shared" si="4607"/>
        <v>-16475</v>
      </c>
      <c r="P1263" s="8">
        <f t="shared" si="4607"/>
        <v>-19124</v>
      </c>
      <c r="Q1263" s="8">
        <f t="shared" si="4607"/>
        <v>-15557</v>
      </c>
      <c r="R1263" s="8">
        <f t="shared" si="4607"/>
        <v>-17127</v>
      </c>
      <c r="S1263" s="8">
        <f t="shared" si="4607"/>
        <v>-16506</v>
      </c>
      <c r="T1263" s="8">
        <f t="shared" si="4607"/>
        <v>-22401</v>
      </c>
      <c r="U1263" s="8">
        <f t="shared" si="4607"/>
        <v>-17885</v>
      </c>
      <c r="V1263" s="8">
        <f t="shared" si="4607"/>
        <v>-18784</v>
      </c>
      <c r="W1263" s="8">
        <f t="shared" si="4607"/>
        <v>-21043</v>
      </c>
      <c r="X1263" s="8">
        <f t="shared" si="4607"/>
        <v>-22858</v>
      </c>
      <c r="Y1263" s="8">
        <f t="shared" si="4607"/>
        <v>-18532</v>
      </c>
      <c r="Z1263" s="8">
        <f t="shared" si="4607"/>
        <v>-21770</v>
      </c>
      <c r="AA1263" s="8">
        <f t="shared" si="4607"/>
        <v>-24339</v>
      </c>
      <c r="AB1263" s="8">
        <f t="shared" si="4607"/>
        <v>-27296</v>
      </c>
      <c r="AC1263" s="8">
        <f t="shared" si="4607"/>
        <v>-17178</v>
      </c>
      <c r="AD1263" s="8">
        <f t="shared" si="4607"/>
        <v>-21815</v>
      </c>
      <c r="AE1263" s="8">
        <f t="shared" si="4607"/>
        <v>-23339</v>
      </c>
      <c r="AF1263" s="8">
        <f t="shared" si="4607"/>
        <v>-23862</v>
      </c>
      <c r="AG1263" s="8">
        <f t="shared" si="4607"/>
        <v>-15853</v>
      </c>
      <c r="AH1263" s="8">
        <f t="shared" si="4607"/>
        <v>-15821</v>
      </c>
      <c r="AI1263" s="8">
        <f t="shared" si="4607"/>
        <v>-21755</v>
      </c>
      <c r="AJ1263" s="8">
        <f t="shared" si="4607"/>
        <v>-23566</v>
      </c>
      <c r="AK1263" s="8">
        <f t="shared" si="4607"/>
        <v>-19562</v>
      </c>
      <c r="AL1263" s="8">
        <f t="shared" si="4607"/>
        <v>-21271</v>
      </c>
      <c r="AM1263" s="8">
        <f t="shared" si="4607"/>
        <v>-27136</v>
      </c>
      <c r="AN1263" s="8">
        <f t="shared" ref="AN1263" si="4608">+AN1211+AN1212+AN1214-AN1226-AN1227-AN1231-AN1232</f>
        <v>-31736</v>
      </c>
      <c r="AO1263" s="8"/>
      <c r="AP1263" s="8"/>
      <c r="AQ1263" s="8"/>
      <c r="AR1263" s="8"/>
      <c r="AS1263" s="8">
        <f t="shared" ref="AS1263:BH1263" si="4609">+AS1215-AS1234-AS1209-AS1210</f>
        <v>0</v>
      </c>
      <c r="AT1263" s="8">
        <f t="shared" si="4609"/>
        <v>-7593</v>
      </c>
      <c r="AU1263" s="8">
        <f t="shared" si="4609"/>
        <v>-6997</v>
      </c>
      <c r="AV1263" s="8">
        <f t="shared" si="4609"/>
        <v>-10306</v>
      </c>
      <c r="AW1263" s="8">
        <f t="shared" si="4609"/>
        <v>-9201</v>
      </c>
      <c r="AX1263" s="8">
        <f t="shared" si="4609"/>
        <v>-7259</v>
      </c>
      <c r="AY1263" s="8">
        <f t="shared" si="4609"/>
        <v>-6628</v>
      </c>
      <c r="AZ1263" s="8">
        <f t="shared" si="4609"/>
        <v>-10644</v>
      </c>
      <c r="BA1263" s="8">
        <f t="shared" si="4609"/>
        <v>-12973</v>
      </c>
      <c r="BB1263" s="8">
        <f t="shared" si="4609"/>
        <v>-17088</v>
      </c>
      <c r="BC1263" s="8">
        <f t="shared" si="4609"/>
        <v>-23376</v>
      </c>
      <c r="BD1263" s="8">
        <f t="shared" si="4609"/>
        <v>-32937</v>
      </c>
      <c r="BE1263" s="8">
        <f t="shared" si="4609"/>
        <v>-37657</v>
      </c>
      <c r="BF1263" s="8">
        <f t="shared" si="4609"/>
        <v>0</v>
      </c>
      <c r="BG1263" s="8">
        <f t="shared" si="4609"/>
        <v>-32937</v>
      </c>
      <c r="BH1263" s="8">
        <f t="shared" si="4609"/>
        <v>-26030</v>
      </c>
      <c r="BI1263" s="8">
        <f t="shared" ref="BI1263:BN1263" si="4610">+BI1211+BI1212+BI1214-BI1226-BI1227-BI1231-BI1232</f>
        <v>-16475</v>
      </c>
      <c r="BJ1263" s="8">
        <f t="shared" si="4610"/>
        <v>-16506</v>
      </c>
      <c r="BK1263" s="8">
        <f t="shared" si="4610"/>
        <v>-21043</v>
      </c>
      <c r="BL1263" s="8">
        <f t="shared" si="4610"/>
        <v>-24339</v>
      </c>
      <c r="BM1263" s="8">
        <f t="shared" si="4610"/>
        <v>-23339</v>
      </c>
      <c r="BN1263" s="8">
        <f t="shared" si="4610"/>
        <v>-21755</v>
      </c>
      <c r="BO1263" s="8">
        <f>+BO1211+BO1212+BO1214-BO1226-BO1227-BO1231-BO1232</f>
        <v>-27136</v>
      </c>
      <c r="BP1263" s="8"/>
      <c r="BQ1263" s="8"/>
    </row>
    <row r="1264" spans="2:81" s="953" customFormat="1" ht="11.45">
      <c r="B1264" t="s">
        <v>659</v>
      </c>
      <c r="D1264" s="10">
        <f t="shared" ref="D1264:AM1264" si="4611">+D1217+D1220+D1221+D1216+D1222</f>
        <v>39802</v>
      </c>
      <c r="E1264" s="10">
        <f t="shared" si="4611"/>
        <v>40772</v>
      </c>
      <c r="F1264" s="10">
        <f t="shared" si="4611"/>
        <v>42133</v>
      </c>
      <c r="G1264" s="10">
        <f t="shared" si="4611"/>
        <v>43377</v>
      </c>
      <c r="H1264" s="10">
        <f t="shared" si="4611"/>
        <v>44129</v>
      </c>
      <c r="I1264" s="10">
        <f t="shared" si="4611"/>
        <v>70749</v>
      </c>
      <c r="J1264" s="10">
        <f t="shared" si="4611"/>
        <v>71323</v>
      </c>
      <c r="K1264" s="10">
        <f t="shared" si="4611"/>
        <v>81767</v>
      </c>
      <c r="L1264" s="10">
        <f t="shared" si="4611"/>
        <v>82723</v>
      </c>
      <c r="M1264" s="10">
        <f t="shared" si="4611"/>
        <v>84409</v>
      </c>
      <c r="N1264" s="10">
        <f t="shared" si="4611"/>
        <v>86020</v>
      </c>
      <c r="O1264" s="10">
        <f t="shared" si="4611"/>
        <v>87324</v>
      </c>
      <c r="P1264" s="10">
        <f t="shared" si="4611"/>
        <v>91390</v>
      </c>
      <c r="Q1264" s="10">
        <f t="shared" si="4611"/>
        <v>99711</v>
      </c>
      <c r="R1264" s="10">
        <f t="shared" si="4611"/>
        <v>100991</v>
      </c>
      <c r="S1264" s="10">
        <f t="shared" si="4611"/>
        <v>108355</v>
      </c>
      <c r="T1264" s="10">
        <f t="shared" si="4611"/>
        <v>110375</v>
      </c>
      <c r="U1264" s="10">
        <f t="shared" si="4611"/>
        <v>112965</v>
      </c>
      <c r="V1264" s="10">
        <f t="shared" si="4611"/>
        <v>112284</v>
      </c>
      <c r="W1264" s="10">
        <f t="shared" si="4611"/>
        <v>116431</v>
      </c>
      <c r="X1264" s="10">
        <f t="shared" si="4611"/>
        <v>120821</v>
      </c>
      <c r="Y1264" s="10">
        <f t="shared" si="4611"/>
        <v>126370</v>
      </c>
      <c r="Z1264" s="10">
        <f t="shared" si="4611"/>
        <v>137870</v>
      </c>
      <c r="AA1264" s="10">
        <f t="shared" si="4611"/>
        <v>143389</v>
      </c>
      <c r="AB1264" s="10">
        <f t="shared" si="4611"/>
        <v>154699</v>
      </c>
      <c r="AC1264" s="10">
        <f t="shared" si="4611"/>
        <v>159207</v>
      </c>
      <c r="AD1264" s="10">
        <f t="shared" si="4611"/>
        <v>183778</v>
      </c>
      <c r="AE1264" s="10">
        <f t="shared" si="4611"/>
        <v>188265</v>
      </c>
      <c r="AF1264" s="10">
        <f t="shared" si="4611"/>
        <v>192133</v>
      </c>
      <c r="AG1264" s="10">
        <f t="shared" si="4611"/>
        <v>199632</v>
      </c>
      <c r="AH1264" s="10">
        <f t="shared" si="4611"/>
        <v>206784</v>
      </c>
      <c r="AI1264" s="10">
        <f t="shared" si="4611"/>
        <v>217840</v>
      </c>
      <c r="AJ1264" s="10">
        <f t="shared" si="4611"/>
        <v>226776</v>
      </c>
      <c r="AK1264" s="10">
        <f t="shared" si="4611"/>
        <v>309798</v>
      </c>
      <c r="AL1264" s="10">
        <f t="shared" si="4611"/>
        <v>322288</v>
      </c>
      <c r="AM1264" s="10">
        <f t="shared" si="4611"/>
        <v>337829</v>
      </c>
      <c r="AN1264" s="10">
        <f t="shared" ref="AN1264" si="4612">+AN1217+AN1220+AN1221+AN1216+AN1222</f>
        <v>357309</v>
      </c>
      <c r="AO1264" s="10"/>
      <c r="AP1264" s="10"/>
      <c r="AQ1264" s="10"/>
      <c r="AR1264" s="10"/>
      <c r="AS1264" s="10">
        <f t="shared" ref="AS1264:BO1264" si="4613">+AS1217+AS1220+AS1221+AS1216+AS1222</f>
        <v>0</v>
      </c>
      <c r="AT1264" s="10">
        <f t="shared" si="4613"/>
        <v>8744</v>
      </c>
      <c r="AU1264" s="10">
        <f t="shared" si="4613"/>
        <v>11497</v>
      </c>
      <c r="AV1264" s="10">
        <f t="shared" si="4613"/>
        <v>22014</v>
      </c>
      <c r="AW1264" s="10">
        <f t="shared" si="4613"/>
        <v>23396</v>
      </c>
      <c r="AX1264" s="10">
        <f t="shared" si="4613"/>
        <v>22683</v>
      </c>
      <c r="AY1264" s="10">
        <f t="shared" si="4613"/>
        <v>22921</v>
      </c>
      <c r="AZ1264" s="10">
        <f t="shared" si="4613"/>
        <v>26411</v>
      </c>
      <c r="BA1264" s="10">
        <f t="shared" si="4613"/>
        <v>30121</v>
      </c>
      <c r="BB1264" s="10">
        <f t="shared" si="4613"/>
        <v>43541</v>
      </c>
      <c r="BC1264" s="10">
        <f t="shared" si="4613"/>
        <v>39622</v>
      </c>
      <c r="BD1264" s="10">
        <f t="shared" si="4613"/>
        <v>43377</v>
      </c>
      <c r="BE1264" s="10">
        <f t="shared" si="4613"/>
        <v>75212</v>
      </c>
      <c r="BF1264" s="10">
        <f t="shared" si="4613"/>
        <v>0</v>
      </c>
      <c r="BG1264" s="10">
        <f t="shared" si="4613"/>
        <v>43377</v>
      </c>
      <c r="BH1264" s="10">
        <f t="shared" si="4613"/>
        <v>81767</v>
      </c>
      <c r="BI1264" s="10">
        <f t="shared" si="4613"/>
        <v>87324</v>
      </c>
      <c r="BJ1264" s="10">
        <f t="shared" si="4613"/>
        <v>108355</v>
      </c>
      <c r="BK1264" s="10">
        <f t="shared" si="4613"/>
        <v>116431</v>
      </c>
      <c r="BL1264" s="10">
        <f t="shared" si="4613"/>
        <v>143389</v>
      </c>
      <c r="BM1264" s="10">
        <f t="shared" si="4613"/>
        <v>188265</v>
      </c>
      <c r="BN1264" s="10">
        <f t="shared" si="4613"/>
        <v>217840</v>
      </c>
      <c r="BO1264" s="10">
        <f t="shared" si="4613"/>
        <v>337829</v>
      </c>
      <c r="BP1264" s="10"/>
      <c r="BT1264"/>
      <c r="BU1264"/>
      <c r="BV1264"/>
      <c r="BW1264"/>
      <c r="BX1264"/>
      <c r="BY1264"/>
      <c r="BZ1264"/>
      <c r="CA1264"/>
      <c r="CB1264"/>
      <c r="CC1264"/>
    </row>
    <row r="1265" spans="2:81">
      <c r="B1265" s="12" t="s">
        <v>337</v>
      </c>
      <c r="C1265" s="8"/>
      <c r="D1265" s="8">
        <f t="shared" ref="D1265:AL1265" si="4614">+SUM(D1263:D1264)</f>
        <v>22766</v>
      </c>
      <c r="E1265" s="8">
        <f t="shared" si="4614"/>
        <v>26365</v>
      </c>
      <c r="F1265" s="8">
        <f t="shared" si="4614"/>
        <v>25630</v>
      </c>
      <c r="G1265" s="8">
        <f t="shared" si="4614"/>
        <v>24218</v>
      </c>
      <c r="H1265" s="8">
        <f t="shared" si="4614"/>
        <v>21762</v>
      </c>
      <c r="I1265" s="8">
        <f t="shared" si="4614"/>
        <v>49582</v>
      </c>
      <c r="J1265" s="8">
        <f t="shared" si="4614"/>
        <v>48254</v>
      </c>
      <c r="K1265" s="8">
        <f t="shared" si="4614"/>
        <v>66576</v>
      </c>
      <c r="L1265" s="8">
        <f t="shared" si="4614"/>
        <v>64011</v>
      </c>
      <c r="M1265" s="8">
        <f t="shared" si="4614"/>
        <v>67889</v>
      </c>
      <c r="N1265" s="8">
        <f t="shared" si="4614"/>
        <v>68767</v>
      </c>
      <c r="O1265" s="8">
        <f t="shared" si="4614"/>
        <v>70849</v>
      </c>
      <c r="P1265" s="8">
        <f t="shared" si="4614"/>
        <v>72266</v>
      </c>
      <c r="Q1265" s="8">
        <f t="shared" si="4614"/>
        <v>84154</v>
      </c>
      <c r="R1265" s="8">
        <f t="shared" si="4614"/>
        <v>83864</v>
      </c>
      <c r="S1265" s="8">
        <f t="shared" si="4614"/>
        <v>91849</v>
      </c>
      <c r="T1265" s="8">
        <f t="shared" si="4614"/>
        <v>87974</v>
      </c>
      <c r="U1265" s="8">
        <f t="shared" si="4614"/>
        <v>95080</v>
      </c>
      <c r="V1265" s="8">
        <f t="shared" si="4614"/>
        <v>93500</v>
      </c>
      <c r="W1265" s="8">
        <f t="shared" si="4614"/>
        <v>95388</v>
      </c>
      <c r="X1265" s="8">
        <f t="shared" si="4614"/>
        <v>97963</v>
      </c>
      <c r="Y1265" s="8">
        <f t="shared" si="4614"/>
        <v>107838</v>
      </c>
      <c r="Z1265" s="8">
        <f t="shared" si="4614"/>
        <v>116100</v>
      </c>
      <c r="AA1265" s="8">
        <f t="shared" si="4614"/>
        <v>119050</v>
      </c>
      <c r="AB1265" s="8">
        <f t="shared" si="4614"/>
        <v>127403</v>
      </c>
      <c r="AC1265" s="8">
        <f t="shared" si="4614"/>
        <v>142029</v>
      </c>
      <c r="AD1265" s="8">
        <f t="shared" si="4614"/>
        <v>161963</v>
      </c>
      <c r="AE1265" s="8">
        <f t="shared" si="4614"/>
        <v>164926</v>
      </c>
      <c r="AF1265" s="8">
        <f t="shared" si="4614"/>
        <v>168271</v>
      </c>
      <c r="AG1265" s="8">
        <f t="shared" si="4614"/>
        <v>183779</v>
      </c>
      <c r="AH1265" s="8">
        <f t="shared" si="4614"/>
        <v>190963</v>
      </c>
      <c r="AI1265" s="8">
        <f t="shared" si="4614"/>
        <v>196085</v>
      </c>
      <c r="AJ1265" s="8">
        <f t="shared" si="4614"/>
        <v>203210</v>
      </c>
      <c r="AK1265" s="8">
        <f t="shared" si="4614"/>
        <v>290236</v>
      </c>
      <c r="AL1265" s="8">
        <f t="shared" si="4614"/>
        <v>301017</v>
      </c>
      <c r="AM1265" s="8">
        <f>+SUM(AM1263:AM1264)</f>
        <v>310693</v>
      </c>
      <c r="AN1265" s="8">
        <f t="shared" ref="AN1265" si="4615">+SUM(AN1263:AN1264)</f>
        <v>325573</v>
      </c>
      <c r="AO1265" s="8"/>
      <c r="AP1265" s="8"/>
      <c r="AQ1265" s="8"/>
      <c r="AR1265" s="8"/>
      <c r="AS1265" s="8">
        <f t="shared" ref="AS1265" si="4616">+SUM(AS1263:AS1264)</f>
        <v>0</v>
      </c>
      <c r="AT1265" s="8">
        <f t="shared" ref="AT1265" si="4617">+SUM(AT1263:AT1264)</f>
        <v>1151</v>
      </c>
      <c r="AU1265" s="8">
        <f t="shared" ref="AU1265" si="4618">+SUM(AU1263:AU1264)</f>
        <v>4500</v>
      </c>
      <c r="AV1265" s="8">
        <f t="shared" ref="AV1265" si="4619">+SUM(AV1263:AV1264)</f>
        <v>11708</v>
      </c>
      <c r="AW1265" s="8">
        <f t="shared" ref="AW1265" si="4620">+SUM(AW1263:AW1264)</f>
        <v>14195</v>
      </c>
      <c r="AX1265" s="8">
        <f t="shared" ref="AX1265" si="4621">+SUM(AX1263:AX1264)</f>
        <v>15424</v>
      </c>
      <c r="AY1265" s="8">
        <f t="shared" ref="AY1265" si="4622">+SUM(AY1263:AY1264)</f>
        <v>16293</v>
      </c>
      <c r="AZ1265" s="8">
        <f t="shared" ref="AZ1265" si="4623">+SUM(AZ1263:AZ1264)</f>
        <v>15767</v>
      </c>
      <c r="BA1265" s="8">
        <f t="shared" ref="BA1265" si="4624">+SUM(BA1263:BA1264)</f>
        <v>17148</v>
      </c>
      <c r="BB1265" s="8">
        <f t="shared" ref="BB1265" si="4625">+SUM(BB1263:BB1264)</f>
        <v>26453</v>
      </c>
      <c r="BC1265" s="8">
        <f t="shared" ref="BC1265" si="4626">+SUM(BC1263:BC1264)</f>
        <v>16246</v>
      </c>
      <c r="BD1265" s="8">
        <f t="shared" ref="BD1265" si="4627">+SUM(BD1263:BD1264)</f>
        <v>10440</v>
      </c>
      <c r="BE1265" s="8">
        <f t="shared" ref="BE1265" si="4628">+SUM(BE1263:BE1264)</f>
        <v>37555</v>
      </c>
      <c r="BF1265" s="8">
        <f t="shared" ref="BF1265" si="4629">+SUM(BF1263:BF1264)</f>
        <v>0</v>
      </c>
      <c r="BG1265" s="8">
        <f t="shared" ref="BG1265" si="4630">+SUM(BG1263:BG1264)</f>
        <v>10440</v>
      </c>
      <c r="BH1265" s="8">
        <f t="shared" ref="BH1265" si="4631">+SUM(BH1263:BH1264)</f>
        <v>55737</v>
      </c>
      <c r="BI1265" s="8">
        <f t="shared" ref="BI1265" si="4632">+SUM(BI1263:BI1264)</f>
        <v>70849</v>
      </c>
      <c r="BJ1265" s="8">
        <f t="shared" ref="BJ1265" si="4633">+SUM(BJ1263:BJ1264)</f>
        <v>91849</v>
      </c>
      <c r="BK1265" s="8">
        <f t="shared" ref="BK1265" si="4634">+SUM(BK1263:BK1264)</f>
        <v>95388</v>
      </c>
      <c r="BL1265" s="8">
        <f t="shared" ref="BL1265" si="4635">+SUM(BL1263:BL1264)</f>
        <v>119050</v>
      </c>
      <c r="BM1265" s="8">
        <f t="shared" ref="BM1265" si="4636">+SUM(BM1263:BM1264)</f>
        <v>164926</v>
      </c>
      <c r="BN1265" s="8">
        <f t="shared" ref="BN1265" si="4637">+SUM(BN1263:BN1264)</f>
        <v>196085</v>
      </c>
      <c r="BO1265" s="8">
        <f t="shared" ref="BO1265" si="4638">+SUM(BO1263:BO1264)</f>
        <v>310693</v>
      </c>
      <c r="BP1265" s="8"/>
      <c r="BT1265" s="852"/>
      <c r="BU1265" s="852"/>
      <c r="BV1265" s="852"/>
      <c r="BW1265" s="852"/>
      <c r="BX1265" s="852"/>
      <c r="BY1265" s="852"/>
      <c r="BZ1265" s="852"/>
      <c r="CA1265" s="852"/>
      <c r="CB1265" s="852"/>
      <c r="CC1265" s="852"/>
    </row>
    <row r="1266" spans="2:81">
      <c r="B1266" t="s">
        <v>660</v>
      </c>
      <c r="D1266" s="8"/>
      <c r="E1266" s="8"/>
      <c r="F1266" s="8"/>
      <c r="G1266" s="8"/>
      <c r="H1266" s="8"/>
      <c r="I1266" s="8"/>
      <c r="J1266" s="8"/>
      <c r="K1266" s="8"/>
      <c r="L1266" s="8"/>
      <c r="M1266" s="8"/>
      <c r="N1266" s="8"/>
      <c r="O1266" s="8"/>
      <c r="P1266" s="8"/>
      <c r="Q1266" s="8"/>
      <c r="R1266" s="8"/>
      <c r="S1266" s="8"/>
      <c r="T1266" s="8">
        <f t="shared" ref="T1266" si="4639">AVERAGE(S1265:T1265)</f>
        <v>89911.5</v>
      </c>
      <c r="U1266" s="8">
        <f t="shared" ref="U1266" si="4640">AVERAGE(T1265:U1265)</f>
        <v>91527</v>
      </c>
      <c r="V1266" s="8">
        <f t="shared" ref="V1266" si="4641">AVERAGE(U1265:V1265)</f>
        <v>94290</v>
      </c>
      <c r="W1266" s="8">
        <f t="shared" ref="W1266" si="4642">AVERAGE(V1265:W1265)</f>
        <v>94444</v>
      </c>
      <c r="X1266" s="8">
        <f t="shared" ref="X1266" si="4643">AVERAGE(W1265:X1265)</f>
        <v>96675.5</v>
      </c>
      <c r="Y1266" s="8">
        <f t="shared" ref="Y1266" si="4644">AVERAGE(X1265:Y1265)</f>
        <v>102900.5</v>
      </c>
      <c r="Z1266" s="8">
        <f t="shared" ref="Z1266" si="4645">AVERAGE(Y1265:Z1265)</f>
        <v>111969</v>
      </c>
      <c r="AA1266" s="8">
        <f t="shared" ref="AA1266" si="4646">AVERAGE(Z1265:AA1265)</f>
        <v>117575</v>
      </c>
      <c r="AB1266" s="8">
        <f t="shared" ref="AB1266" si="4647">AVERAGE(AA1265:AB1265)</f>
        <v>123226.5</v>
      </c>
      <c r="AC1266" s="8">
        <f t="shared" ref="AC1266" si="4648">AVERAGE(AB1265:AC1265)</f>
        <v>134716</v>
      </c>
      <c r="AD1266" s="8">
        <f t="shared" ref="AD1266" si="4649">AVERAGE(AC1265:AD1265)</f>
        <v>151996</v>
      </c>
      <c r="AE1266" s="8">
        <f t="shared" ref="AE1266" si="4650">AVERAGE(AD1265:AE1265)</f>
        <v>163444.5</v>
      </c>
      <c r="AF1266" s="8">
        <f t="shared" ref="AF1266" si="4651">AVERAGE(AE1265:AF1265)</f>
        <v>166598.5</v>
      </c>
      <c r="AG1266" s="8">
        <f t="shared" ref="AG1266" si="4652">AVERAGE(AF1265:AG1265)</f>
        <v>176025</v>
      </c>
      <c r="AH1266" s="8">
        <f t="shared" ref="AH1266" si="4653">AVERAGE(AG1265:AH1265)</f>
        <v>187371</v>
      </c>
      <c r="AI1266" s="8">
        <f t="shared" ref="AI1266" si="4654">AVERAGE(AH1265:AI1265)</f>
        <v>193524</v>
      </c>
      <c r="AJ1266" s="8">
        <f t="shared" ref="AJ1266" si="4655">AVERAGE(AI1265:AJ1265)</f>
        <v>199647.5</v>
      </c>
      <c r="AK1266" s="8">
        <f t="shared" ref="AK1266" si="4656">AVERAGE(AJ1265:AK1265)</f>
        <v>246723</v>
      </c>
      <c r="AL1266" s="8">
        <f t="shared" ref="AL1266" si="4657">AVERAGE(AK1265:AL1265)</f>
        <v>295626.5</v>
      </c>
      <c r="AM1266" s="8">
        <f t="shared" ref="AM1266" si="4658">AVERAGE(AL1265:AM1265)</f>
        <v>305855</v>
      </c>
      <c r="AN1266" s="8">
        <f t="shared" ref="AN1266" si="4659">AVERAGE(AM1265:AN1265)</f>
        <v>318133</v>
      </c>
      <c r="AO1266" s="8"/>
      <c r="AP1266" s="8"/>
      <c r="AQ1266" s="8"/>
      <c r="AS1266" s="8"/>
      <c r="AT1266" s="8"/>
      <c r="AU1266" s="8">
        <f t="shared" ref="AU1266" si="4660">AVERAGE(AT1265:AU1265)</f>
        <v>2825.5</v>
      </c>
      <c r="AV1266" s="8">
        <f t="shared" ref="AV1266" si="4661">AVERAGE(AU1265:AV1265)</f>
        <v>8104</v>
      </c>
      <c r="AW1266" s="8">
        <f t="shared" ref="AW1266" si="4662">AVERAGE(AV1265:AW1265)</f>
        <v>12951.5</v>
      </c>
      <c r="AX1266" s="8">
        <f t="shared" ref="AX1266" si="4663">AVERAGE(AW1265:AX1265)</f>
        <v>14809.5</v>
      </c>
      <c r="AY1266" s="8">
        <f t="shared" ref="AY1266" si="4664">AVERAGE(AX1265:AY1265)</f>
        <v>15858.5</v>
      </c>
      <c r="AZ1266" s="8">
        <f t="shared" ref="AZ1266" si="4665">AVERAGE(AY1265:AZ1265)</f>
        <v>16030</v>
      </c>
      <c r="BA1266" s="8">
        <f t="shared" ref="BA1266" si="4666">AVERAGE(AZ1265:BA1265)</f>
        <v>16457.5</v>
      </c>
      <c r="BB1266" s="8">
        <f t="shared" ref="BB1266" si="4667">AVERAGE(BA1265:BB1265)</f>
        <v>21800.5</v>
      </c>
      <c r="BC1266" s="8">
        <f t="shared" ref="BC1266" si="4668">AVERAGE(BB1265:BC1265)</f>
        <v>21349.5</v>
      </c>
      <c r="BD1266" s="8">
        <f t="shared" ref="BD1266" si="4669">AVERAGE(BC1265:BD1265)</f>
        <v>13343</v>
      </c>
      <c r="BE1266" s="8">
        <f t="shared" ref="BE1266" si="4670">AVERAGE(BD1265:BE1265)</f>
        <v>23997.5</v>
      </c>
      <c r="BF1266" s="8">
        <f t="shared" ref="BF1266" si="4671">AVERAGE(BE1265:BF1265)</f>
        <v>18777.5</v>
      </c>
      <c r="BG1266" s="8">
        <f t="shared" ref="BG1266" si="4672">AVERAGE(BF1265:BG1265)</f>
        <v>5220</v>
      </c>
      <c r="BH1266" s="8">
        <f t="shared" ref="BH1266:BN1266" si="4673">AVERAGE(BG1265:BH1265)</f>
        <v>33088.5</v>
      </c>
      <c r="BI1266" s="8">
        <f t="shared" si="4673"/>
        <v>63293</v>
      </c>
      <c r="BJ1266" s="8">
        <f t="shared" si="4673"/>
        <v>81349</v>
      </c>
      <c r="BK1266" s="8">
        <f t="shared" si="4673"/>
        <v>93618.5</v>
      </c>
      <c r="BL1266" s="8">
        <f t="shared" si="4673"/>
        <v>107219</v>
      </c>
      <c r="BM1266" s="8">
        <f t="shared" si="4673"/>
        <v>141988</v>
      </c>
      <c r="BN1266" s="8">
        <f t="shared" si="4673"/>
        <v>180505.5</v>
      </c>
      <c r="BO1266" s="8">
        <f>AVERAGE(BN1265:BO1265)</f>
        <v>253389</v>
      </c>
      <c r="BP1266" s="8"/>
      <c r="BQ1266" s="8"/>
    </row>
    <row r="1267" spans="2:81">
      <c r="B1267" s="1218" t="s">
        <v>186</v>
      </c>
      <c r="D1267" s="8">
        <f t="shared" ref="D1267:AN1267" si="4674">+D49</f>
        <v>6316</v>
      </c>
      <c r="E1267" s="8">
        <f t="shared" si="4674"/>
        <v>7489</v>
      </c>
      <c r="F1267" s="8">
        <f t="shared" si="4674"/>
        <v>6277</v>
      </c>
      <c r="G1267" s="8">
        <f t="shared" si="4674"/>
        <v>7106</v>
      </c>
      <c r="H1267" s="8">
        <f t="shared" si="4674"/>
        <v>6715</v>
      </c>
      <c r="I1267" s="8">
        <f t="shared" si="4674"/>
        <v>7905</v>
      </c>
      <c r="J1267" s="8">
        <f t="shared" si="4674"/>
        <v>6723</v>
      </c>
      <c r="K1267" s="8">
        <f t="shared" si="4674"/>
        <v>7988</v>
      </c>
      <c r="L1267" s="8">
        <f t="shared" si="4674"/>
        <v>7708</v>
      </c>
      <c r="M1267" s="8">
        <f t="shared" si="4674"/>
        <v>8679</v>
      </c>
      <c r="N1267" s="8">
        <f t="shared" si="4674"/>
        <v>8292</v>
      </c>
      <c r="O1267" s="8">
        <f t="shared" si="4674"/>
        <v>10379</v>
      </c>
      <c r="P1267" s="8">
        <f t="shared" si="4674"/>
        <v>9955</v>
      </c>
      <c r="Q1267" s="8">
        <f t="shared" si="4674"/>
        <v>10258</v>
      </c>
      <c r="R1267" s="8">
        <f t="shared" si="4674"/>
        <v>10341</v>
      </c>
      <c r="S1267" s="8">
        <f t="shared" si="4674"/>
        <v>12405</v>
      </c>
      <c r="T1267" s="8">
        <f t="shared" si="4674"/>
        <v>12686</v>
      </c>
      <c r="U1267" s="8">
        <f t="shared" si="4674"/>
        <v>13891</v>
      </c>
      <c r="V1267" s="8">
        <f t="shared" si="4674"/>
        <v>12975</v>
      </c>
      <c r="W1267" s="8">
        <f t="shared" si="4674"/>
        <v>13407</v>
      </c>
      <c r="X1267" s="8">
        <f t="shared" si="4674"/>
        <v>15876</v>
      </c>
      <c r="Y1267" s="8">
        <f t="shared" si="4674"/>
        <v>17897</v>
      </c>
      <c r="Z1267" s="8">
        <f t="shared" si="4674"/>
        <v>17048</v>
      </c>
      <c r="AA1267" s="8">
        <f t="shared" si="4674"/>
        <v>19095</v>
      </c>
      <c r="AB1267" s="8">
        <f t="shared" si="4674"/>
        <v>20238</v>
      </c>
      <c r="AC1267" s="8">
        <f t="shared" si="4674"/>
        <v>22247</v>
      </c>
      <c r="AD1267" s="8">
        <f t="shared" si="4674"/>
        <v>20364</v>
      </c>
      <c r="AE1267" s="8">
        <f t="shared" si="4674"/>
        <v>20534</v>
      </c>
      <c r="AF1267" s="8">
        <f t="shared" si="4674"/>
        <v>21518</v>
      </c>
      <c r="AG1267" s="8">
        <f t="shared" si="4674"/>
        <v>21570</v>
      </c>
      <c r="AH1267" s="8">
        <f t="shared" si="4674"/>
        <v>22352</v>
      </c>
      <c r="AI1267" s="8">
        <f t="shared" si="4674"/>
        <v>24254</v>
      </c>
      <c r="AJ1267" s="8">
        <f t="shared" si="4674"/>
        <v>26895</v>
      </c>
      <c r="AK1267" s="8">
        <f t="shared" si="4674"/>
        <v>28162</v>
      </c>
      <c r="AL1267" s="8">
        <f t="shared" si="4674"/>
        <v>28521</v>
      </c>
      <c r="AM1267" s="8">
        <f t="shared" si="4674"/>
        <v>28865</v>
      </c>
      <c r="AN1267" s="8">
        <f t="shared" si="4674"/>
        <v>31462</v>
      </c>
      <c r="AO1267" s="8"/>
      <c r="AP1267" s="8"/>
      <c r="AQ1267" s="8"/>
      <c r="AS1267" s="8">
        <f t="shared" ref="AS1267:BO1267" si="4675">+AS49</f>
        <v>14576</v>
      </c>
      <c r="AT1267" s="8">
        <f t="shared" si="4675"/>
        <v>16380</v>
      </c>
      <c r="AU1267" s="8">
        <f t="shared" si="4675"/>
        <v>18438</v>
      </c>
      <c r="AV1267" s="8">
        <f t="shared" si="4675"/>
        <v>22271</v>
      </c>
      <c r="AW1267" s="8">
        <f t="shared" si="4675"/>
        <v>20363</v>
      </c>
      <c r="AX1267" s="8">
        <f t="shared" si="4675"/>
        <v>24098</v>
      </c>
      <c r="AY1267" s="8">
        <f t="shared" si="4675"/>
        <v>27161</v>
      </c>
      <c r="AZ1267" s="8">
        <f t="shared" si="4675"/>
        <v>27956</v>
      </c>
      <c r="BA1267" s="8">
        <f t="shared" si="4675"/>
        <v>27497</v>
      </c>
      <c r="BB1267" s="8">
        <f t="shared" si="4675"/>
        <v>27886</v>
      </c>
      <c r="BC1267" s="8">
        <f t="shared" si="4675"/>
        <v>28172</v>
      </c>
      <c r="BD1267" s="8">
        <f t="shared" si="4675"/>
        <v>21292</v>
      </c>
      <c r="BE1267" s="8">
        <f t="shared" si="4675"/>
        <v>22632</v>
      </c>
      <c r="BF1267">
        <f t="shared" si="4675"/>
        <v>0</v>
      </c>
      <c r="BG1267" s="8">
        <f t="shared" si="4675"/>
        <v>27188</v>
      </c>
      <c r="BH1267" s="8">
        <f t="shared" si="4675"/>
        <v>29331</v>
      </c>
      <c r="BI1267" s="8">
        <f t="shared" si="4675"/>
        <v>35058</v>
      </c>
      <c r="BJ1267" s="8">
        <f t="shared" si="4675"/>
        <v>42959</v>
      </c>
      <c r="BK1267" s="8">
        <f t="shared" si="4675"/>
        <v>52959</v>
      </c>
      <c r="BL1267" s="8">
        <f t="shared" si="4675"/>
        <v>69916</v>
      </c>
      <c r="BM1267" s="8">
        <f t="shared" si="4675"/>
        <v>83383</v>
      </c>
      <c r="BN1267" s="8">
        <f t="shared" si="4675"/>
        <v>89694</v>
      </c>
      <c r="BO1267" s="8">
        <f t="shared" si="4675"/>
        <v>112443</v>
      </c>
      <c r="BP1267" s="8"/>
    </row>
    <row r="1268" spans="2:81" s="3" customFormat="1">
      <c r="B1268" s="13" t="s">
        <v>661</v>
      </c>
      <c r="C1268" s="228"/>
      <c r="D1268" s="228">
        <f t="shared" ref="D1268:AL1268" si="4676">+SUM(A1267:D1267)/AVERAGE(A1265:D1265)</f>
        <v>0.27743125713783712</v>
      </c>
      <c r="E1268" s="228">
        <f t="shared" si="4676"/>
        <v>0.56196698622051255</v>
      </c>
      <c r="F1268" s="228">
        <f t="shared" si="4676"/>
        <v>0.8058479688607697</v>
      </c>
      <c r="G1268" s="228">
        <f t="shared" si="4676"/>
        <v>1.0987381161660554</v>
      </c>
      <c r="H1268" s="228">
        <f t="shared" si="4676"/>
        <v>1.1262873181934168</v>
      </c>
      <c r="I1268" s="228">
        <f t="shared" si="4676"/>
        <v>0.92425242590269985</v>
      </c>
      <c r="J1268" s="228">
        <f t="shared" si="4676"/>
        <v>0.79126105579351391</v>
      </c>
      <c r="K1268" s="228">
        <f t="shared" si="4676"/>
        <v>0.63018466595765255</v>
      </c>
      <c r="L1268" s="228">
        <f t="shared" si="4676"/>
        <v>0.53101482775377262</v>
      </c>
      <c r="M1268" s="228">
        <f t="shared" si="4676"/>
        <v>0.50416244477769223</v>
      </c>
      <c r="N1268" s="228">
        <f t="shared" si="4676"/>
        <v>0.4889482605718391</v>
      </c>
      <c r="O1268" s="228">
        <f t="shared" si="4676"/>
        <v>0.51647785029243209</v>
      </c>
      <c r="P1268" s="228">
        <f t="shared" si="4676"/>
        <v>0.53336478762988304</v>
      </c>
      <c r="Q1268" s="228">
        <f t="shared" si="4676"/>
        <v>0.52539555999945953</v>
      </c>
      <c r="R1268" s="228">
        <f t="shared" si="4676"/>
        <v>0.52624440351875246</v>
      </c>
      <c r="S1268" s="228">
        <f t="shared" si="4676"/>
        <v>0.51737105316243792</v>
      </c>
      <c r="T1268" s="228">
        <f t="shared" si="4676"/>
        <v>0.52541247294022264</v>
      </c>
      <c r="U1268" s="228">
        <f t="shared" si="4676"/>
        <v>0.54991679836774288</v>
      </c>
      <c r="V1268" s="228">
        <f t="shared" si="4676"/>
        <v>0.56413221390705293</v>
      </c>
      <c r="W1268" s="228">
        <f t="shared" si="4676"/>
        <v>0.56954041221480767</v>
      </c>
      <c r="X1268" s="228">
        <f t="shared" si="4676"/>
        <v>0.58805386313234587</v>
      </c>
      <c r="Y1268" s="228">
        <f t="shared" si="4676"/>
        <v>0.60964455558680375</v>
      </c>
      <c r="Z1268" s="228">
        <f t="shared" si="4676"/>
        <v>0.61566923642847049</v>
      </c>
      <c r="AA1268" s="228">
        <f t="shared" si="4676"/>
        <v>0.63422920006984906</v>
      </c>
      <c r="AB1268" s="228">
        <f t="shared" si="4676"/>
        <v>0.63162773097274394</v>
      </c>
      <c r="AC1268" s="228">
        <f t="shared" si="4676"/>
        <v>0.62331196911502984</v>
      </c>
      <c r="AD1268" s="228">
        <f t="shared" si="4676"/>
        <v>0.59547457057471687</v>
      </c>
      <c r="AE1268" s="228">
        <f t="shared" si="4676"/>
        <v>0.55931620721054598</v>
      </c>
      <c r="AF1268" s="228">
        <f t="shared" si="4676"/>
        <v>0.53147810147381702</v>
      </c>
      <c r="AG1268" s="228">
        <f t="shared" si="4676"/>
        <v>0.49480733909821056</v>
      </c>
      <c r="AH1268" s="228">
        <f t="shared" si="4676"/>
        <v>0.48577066668173385</v>
      </c>
      <c r="AI1268" s="228">
        <f t="shared" si="4676"/>
        <v>0.48542412508219479</v>
      </c>
      <c r="AJ1268" s="228">
        <f t="shared" si="4676"/>
        <v>0.49129951152205903</v>
      </c>
      <c r="AK1268" s="228">
        <f t="shared" si="4676"/>
        <v>0.46184528230743194</v>
      </c>
      <c r="AL1268" s="228">
        <f t="shared" si="4676"/>
        <v>0.43544381493880158</v>
      </c>
      <c r="AM1268" s="228">
        <f>+SUM(AJ1267:AM1267)/AVERAGE(AJ1266:AM1266)</f>
        <v>0.42923237251062174</v>
      </c>
      <c r="AN1268" s="228">
        <f t="shared" ref="AN1268" si="4677">+SUM(AK1267:AN1267)/AVERAGE(AK1266:AN1266)</f>
        <v>0.40129036406700463</v>
      </c>
      <c r="AO1268" s="228"/>
      <c r="AP1268" s="228"/>
      <c r="AQ1268" s="228"/>
      <c r="AR1268" s="228"/>
      <c r="AS1268" s="228"/>
      <c r="AT1268" s="228"/>
      <c r="AU1268" s="228">
        <f t="shared" ref="AU1268:BN1268" si="4678">+AU1267/AU1266</f>
        <v>6.5255706954521324</v>
      </c>
      <c r="AV1268" s="228">
        <f t="shared" si="4678"/>
        <v>2.7481490621915103</v>
      </c>
      <c r="AW1268" s="228">
        <f t="shared" si="4678"/>
        <v>1.5722503184959271</v>
      </c>
      <c r="AX1268" s="228">
        <f t="shared" si="4678"/>
        <v>1.6271987575542726</v>
      </c>
      <c r="AY1268" s="228">
        <f t="shared" si="4678"/>
        <v>1.7127092726298199</v>
      </c>
      <c r="AZ1268" s="228">
        <f t="shared" si="4678"/>
        <v>1.7439800374298191</v>
      </c>
      <c r="BA1268" s="228">
        <f t="shared" si="4678"/>
        <v>1.6707883943490809</v>
      </c>
      <c r="BB1268" s="228">
        <f t="shared" si="4678"/>
        <v>1.2791449737391345</v>
      </c>
      <c r="BC1268" s="228">
        <f t="shared" si="4678"/>
        <v>1.3195625190285487</v>
      </c>
      <c r="BD1268" s="228">
        <f t="shared" si="4678"/>
        <v>1.5957430862624598</v>
      </c>
      <c r="BE1268" s="228">
        <f t="shared" si="4678"/>
        <v>0.94309823939993753</v>
      </c>
      <c r="BF1268" s="228">
        <f t="shared" si="4678"/>
        <v>0</v>
      </c>
      <c r="BG1268" s="228">
        <f t="shared" si="4678"/>
        <v>5.208429118773946</v>
      </c>
      <c r="BH1268" s="228">
        <f t="shared" si="4678"/>
        <v>0.88644090847273227</v>
      </c>
      <c r="BI1268" s="228">
        <f t="shared" si="4678"/>
        <v>0.5539001153366091</v>
      </c>
      <c r="BJ1268" s="228">
        <f t="shared" si="4678"/>
        <v>0.52808270538052093</v>
      </c>
      <c r="BK1268" s="228">
        <f t="shared" si="4678"/>
        <v>0.56568947376853929</v>
      </c>
      <c r="BL1268" s="228">
        <f t="shared" si="4678"/>
        <v>0.6520859176078867</v>
      </c>
      <c r="BM1268" s="228">
        <f t="shared" si="4678"/>
        <v>0.58725385243823425</v>
      </c>
      <c r="BN1268" s="228">
        <f t="shared" si="4678"/>
        <v>0.49690452645487254</v>
      </c>
      <c r="BO1268" s="228">
        <f>+BO1267/BO1266</f>
        <v>0.44375643773013035</v>
      </c>
      <c r="BP1268" s="228"/>
      <c r="BT1268"/>
      <c r="BU1268"/>
      <c r="BV1268"/>
      <c r="BW1268"/>
      <c r="BX1268"/>
      <c r="BY1268"/>
      <c r="BZ1268"/>
      <c r="CA1268"/>
      <c r="CB1268"/>
      <c r="CC1268"/>
    </row>
    <row r="1269" spans="2:81" s="3" customFormat="1" hidden="1" outlineLevel="1">
      <c r="B1269" s="15" t="s">
        <v>662</v>
      </c>
      <c r="D1269" s="228"/>
      <c r="E1269" s="228"/>
      <c r="F1269" s="228"/>
      <c r="G1269" s="228"/>
      <c r="H1269" s="228"/>
      <c r="I1269" s="228"/>
      <c r="J1269" s="228"/>
      <c r="K1269" s="228"/>
      <c r="L1269" s="228"/>
      <c r="M1269" s="228"/>
      <c r="N1269" s="228"/>
      <c r="O1269" s="228"/>
      <c r="P1269" s="228"/>
      <c r="Q1269" s="228"/>
      <c r="R1269" s="228"/>
      <c r="S1269" s="228"/>
      <c r="T1269" s="228">
        <f t="shared" ref="T1269:AL1269" si="4679">(T1267-P1267)/(T1266-P1266)*4</f>
        <v>0.12149725007368356</v>
      </c>
      <c r="U1269" s="228">
        <f t="shared" si="4679"/>
        <v>0.15877282113474711</v>
      </c>
      <c r="V1269" s="228">
        <f t="shared" si="4679"/>
        <v>0.11174037543748011</v>
      </c>
      <c r="W1269" s="228">
        <f t="shared" si="4679"/>
        <v>4.2437846766337724E-2</v>
      </c>
      <c r="X1269" s="228">
        <f t="shared" si="4679"/>
        <v>1.8864577173270254</v>
      </c>
      <c r="Y1269" s="228">
        <f t="shared" si="4679"/>
        <v>1.4088890842748494</v>
      </c>
      <c r="Z1269" s="228">
        <f t="shared" si="4679"/>
        <v>0.92154533627467616</v>
      </c>
      <c r="AA1269" s="228">
        <f t="shared" si="4679"/>
        <v>0.98361506203795768</v>
      </c>
      <c r="AB1269" s="228">
        <f t="shared" si="4679"/>
        <v>0.65715038981582619</v>
      </c>
      <c r="AC1269" s="228">
        <f t="shared" si="4679"/>
        <v>0.5469032389872861</v>
      </c>
      <c r="AD1269" s="228">
        <f t="shared" si="4679"/>
        <v>0.33137632098333625</v>
      </c>
      <c r="AE1269" s="228">
        <f t="shared" si="4679"/>
        <v>0.1254864343409019</v>
      </c>
      <c r="AF1269" s="228">
        <f t="shared" si="4679"/>
        <v>0.11804851055980817</v>
      </c>
      <c r="AG1269" s="228">
        <f t="shared" si="4679"/>
        <v>-6.5554721731341845E-2</v>
      </c>
      <c r="AH1269" s="228">
        <f t="shared" si="4679"/>
        <v>0.22479151943462897</v>
      </c>
      <c r="AI1269" s="228">
        <f t="shared" si="4679"/>
        <v>0.49468907395402184</v>
      </c>
      <c r="AJ1269" s="228">
        <f t="shared" si="4679"/>
        <v>0.65079124935701538</v>
      </c>
      <c r="AK1269" s="228">
        <f t="shared" si="4679"/>
        <v>0.37296670344281307</v>
      </c>
      <c r="AL1269" s="228">
        <f t="shared" si="4679"/>
        <v>0.22794222926317831</v>
      </c>
      <c r="AM1269" s="228">
        <f>(AM1267-AI1267)/(AM1266-AI1266)*4</f>
        <v>0.16419332152299898</v>
      </c>
      <c r="AN1269" s="228">
        <f t="shared" ref="AN1269" si="4680">(AN1267-AJ1267)/(AN1266-AJ1266)*4</f>
        <v>0.15417920336243676</v>
      </c>
      <c r="AO1269" s="228"/>
      <c r="AP1269" s="228"/>
      <c r="AQ1269" s="228"/>
      <c r="AR1269" s="228"/>
      <c r="AS1269" s="228"/>
      <c r="AT1269" s="228"/>
      <c r="AU1269" s="228"/>
      <c r="AV1269" s="228"/>
      <c r="AW1269" s="228"/>
      <c r="AX1269" s="228"/>
      <c r="AY1269" s="228"/>
      <c r="AZ1269" s="228"/>
      <c r="BA1269" s="228"/>
      <c r="BB1269" s="228"/>
      <c r="BC1269" s="228"/>
      <c r="BD1269" s="228"/>
      <c r="BE1269" s="228"/>
      <c r="BF1269" s="228"/>
      <c r="BG1269" s="829"/>
      <c r="BH1269" s="228"/>
      <c r="BI1269" s="228">
        <f t="shared" ref="BI1269:BN1269" si="4681">(BI1267-BH1267)/(BI1266-BH1266)</f>
        <v>0.18960750881491167</v>
      </c>
      <c r="BJ1269" s="228">
        <f t="shared" si="4681"/>
        <v>0.43758307487815684</v>
      </c>
      <c r="BK1269" s="228">
        <f t="shared" si="4681"/>
        <v>0.81502913729165816</v>
      </c>
      <c r="BL1269" s="228">
        <f t="shared" si="4681"/>
        <v>1.2467923973383332</v>
      </c>
      <c r="BM1269" s="228">
        <f t="shared" si="4681"/>
        <v>0.38732779199861944</v>
      </c>
      <c r="BN1269" s="228">
        <f t="shared" si="4681"/>
        <v>0.16384760173946908</v>
      </c>
      <c r="BO1269" s="228">
        <f>(BO1267-BN1267)/(BO1266-BN1266)</f>
        <v>0.31212825948259892</v>
      </c>
      <c r="BP1269" s="228"/>
      <c r="BT1269"/>
      <c r="BU1269"/>
      <c r="BV1269"/>
      <c r="BW1269"/>
      <c r="BX1269"/>
      <c r="BY1269"/>
      <c r="BZ1269"/>
      <c r="CA1269"/>
      <c r="CB1269"/>
      <c r="CC1269"/>
    </row>
    <row r="1270" spans="2:81" collapsed="1">
      <c r="D1270" s="8"/>
      <c r="E1270" s="8"/>
      <c r="F1270" s="8"/>
      <c r="G1270" s="8"/>
      <c r="H1270" s="8"/>
      <c r="I1270" s="8"/>
      <c r="J1270" s="8"/>
      <c r="K1270" s="8"/>
      <c r="L1270" s="8"/>
      <c r="M1270" s="8"/>
      <c r="N1270" s="8"/>
      <c r="O1270" s="8"/>
      <c r="P1270" s="8"/>
      <c r="Q1270" s="8"/>
      <c r="R1270" s="8"/>
      <c r="S1270" s="8"/>
      <c r="T1270" s="8"/>
      <c r="U1270" s="8"/>
      <c r="V1270" s="8"/>
      <c r="W1270" s="8"/>
      <c r="X1270" s="8"/>
      <c r="Y1270" s="8"/>
      <c r="Z1270" s="8"/>
      <c r="AA1270" s="8"/>
      <c r="AB1270" s="8"/>
      <c r="AC1270" s="8"/>
      <c r="AD1270" s="8"/>
      <c r="AE1270" s="8"/>
      <c r="AF1270" s="8"/>
      <c r="AG1270" s="8"/>
      <c r="AH1270" s="8"/>
      <c r="AI1270" s="8"/>
      <c r="AJ1270" s="8"/>
      <c r="AK1270" s="8"/>
      <c r="AL1270" s="8"/>
      <c r="AM1270" s="8"/>
      <c r="AN1270" s="8"/>
      <c r="AO1270" s="8"/>
      <c r="AP1270" s="8"/>
      <c r="AQ1270" s="8"/>
      <c r="AS1270" s="8"/>
      <c r="AT1270" s="8"/>
      <c r="AU1270" s="8"/>
      <c r="AV1270" s="8"/>
      <c r="AW1270" s="8"/>
      <c r="AX1270" s="8"/>
      <c r="AY1270" s="8"/>
      <c r="AZ1270" s="8"/>
      <c r="BA1270" s="8"/>
      <c r="BB1270" s="8"/>
      <c r="BC1270" s="8"/>
      <c r="BD1270" s="8"/>
      <c r="BE1270" s="8"/>
      <c r="BG1270" s="8"/>
      <c r="BH1270" s="8"/>
      <c r="BI1270" s="8"/>
      <c r="BJ1270" s="8"/>
      <c r="BK1270" s="8"/>
      <c r="BL1270" s="8"/>
      <c r="BM1270" s="8"/>
      <c r="BN1270" s="8"/>
      <c r="BO1270" s="8"/>
      <c r="BP1270" s="8"/>
      <c r="BQ1270" s="8"/>
    </row>
    <row r="1271" spans="2:81">
      <c r="B1271" t="s">
        <v>663</v>
      </c>
      <c r="D1271" s="8">
        <f t="shared" ref="D1271:AN1271" si="4682">+D139+D1247</f>
        <v>16657</v>
      </c>
      <c r="E1271" s="8">
        <f t="shared" si="4682"/>
        <v>18569</v>
      </c>
      <c r="F1271" s="8">
        <f t="shared" si="4682"/>
        <v>15648</v>
      </c>
      <c r="G1271" s="8">
        <f t="shared" si="4682"/>
        <v>12218</v>
      </c>
      <c r="H1271" s="8">
        <f t="shared" si="4682"/>
        <v>8130</v>
      </c>
      <c r="I1271" s="8">
        <f t="shared" si="4682"/>
        <v>30998</v>
      </c>
      <c r="J1271" s="8">
        <f t="shared" si="4682"/>
        <v>27719</v>
      </c>
      <c r="K1271" s="8">
        <f t="shared" si="4682"/>
        <v>48834</v>
      </c>
      <c r="L1271" s="8">
        <f t="shared" si="4682"/>
        <v>42419</v>
      </c>
      <c r="M1271" s="8">
        <f t="shared" si="4682"/>
        <v>34382</v>
      </c>
      <c r="N1271" s="8">
        <f t="shared" si="4682"/>
        <v>34208</v>
      </c>
      <c r="O1271" s="8">
        <f t="shared" si="4682"/>
        <v>35059</v>
      </c>
      <c r="P1271" s="8">
        <f t="shared" si="4682"/>
        <v>36643</v>
      </c>
      <c r="Q1271" s="8">
        <f t="shared" si="4682"/>
        <v>48528</v>
      </c>
      <c r="R1271" s="8">
        <f t="shared" si="4682"/>
        <v>48128</v>
      </c>
      <c r="S1271" s="8">
        <f t="shared" si="4682"/>
        <v>53451</v>
      </c>
      <c r="T1271" s="8">
        <f t="shared" si="4682"/>
        <v>53444</v>
      </c>
      <c r="U1271" s="8">
        <f t="shared" si="4682"/>
        <v>61387</v>
      </c>
      <c r="V1271" s="8">
        <f t="shared" si="4682"/>
        <v>59343</v>
      </c>
      <c r="W1271" s="8">
        <f t="shared" si="4682"/>
        <v>62271</v>
      </c>
      <c r="X1271" s="8">
        <f t="shared" si="4682"/>
        <v>66104</v>
      </c>
      <c r="Y1271" s="8">
        <f t="shared" si="4682"/>
        <v>79184</v>
      </c>
      <c r="Z1271" s="8">
        <f t="shared" si="4682"/>
        <v>88482</v>
      </c>
      <c r="AA1271" s="8">
        <f t="shared" si="4682"/>
        <v>91970</v>
      </c>
      <c r="AB1271" s="8">
        <f t="shared" si="4682"/>
        <v>102545</v>
      </c>
      <c r="AC1271" s="8">
        <f t="shared" si="4682"/>
        <v>130999</v>
      </c>
      <c r="AD1271" s="8">
        <f t="shared" si="4682"/>
        <v>134053</v>
      </c>
      <c r="AE1271" s="8">
        <f t="shared" si="4682"/>
        <v>137957</v>
      </c>
      <c r="AF1271" s="8">
        <f t="shared" si="4682"/>
        <v>141216</v>
      </c>
      <c r="AG1271" s="8">
        <f t="shared" si="4682"/>
        <v>159326</v>
      </c>
      <c r="AH1271" s="8">
        <f t="shared" si="4682"/>
        <v>167241</v>
      </c>
      <c r="AI1271" s="8">
        <f t="shared" si="4682"/>
        <v>171993</v>
      </c>
      <c r="AJ1271" s="8">
        <f t="shared" si="4682"/>
        <v>179906</v>
      </c>
      <c r="AK1271" s="8">
        <f t="shared" si="4682"/>
        <v>265822</v>
      </c>
      <c r="AL1271" s="8">
        <f t="shared" si="4682"/>
        <v>275947</v>
      </c>
      <c r="AM1271" s="8">
        <f t="shared" si="4682"/>
        <v>287206</v>
      </c>
      <c r="AN1271" s="8">
        <f t="shared" si="4682"/>
        <v>302124</v>
      </c>
      <c r="AO1271" s="8"/>
      <c r="AP1271" s="8"/>
      <c r="AQ1271" s="8"/>
      <c r="AS1271" s="8"/>
      <c r="AT1271" s="8">
        <f t="shared" ref="AT1271:BO1271" si="4683">+AT139+AT1247</f>
        <v>5943</v>
      </c>
      <c r="AU1271" s="8">
        <f t="shared" si="4683"/>
        <v>7686</v>
      </c>
      <c r="AV1271" s="8">
        <f t="shared" si="4683"/>
        <v>12624</v>
      </c>
      <c r="AW1271" s="8">
        <f t="shared" si="4683"/>
        <v>13857</v>
      </c>
      <c r="AX1271" s="8">
        <f t="shared" si="4683"/>
        <v>15326</v>
      </c>
      <c r="AY1271" s="8">
        <f t="shared" si="4683"/>
        <v>16232</v>
      </c>
      <c r="AZ1271" s="8">
        <f t="shared" si="4683"/>
        <v>15267</v>
      </c>
      <c r="BA1271" s="8">
        <f t="shared" si="4683"/>
        <v>17522</v>
      </c>
      <c r="BB1271" s="8">
        <f t="shared" si="4683"/>
        <v>26720</v>
      </c>
      <c r="BC1271" s="8">
        <f t="shared" si="4683"/>
        <v>18849</v>
      </c>
      <c r="BD1271" s="8">
        <f t="shared" si="4683"/>
        <v>12218</v>
      </c>
      <c r="BE1271" s="8">
        <f t="shared" si="4683"/>
        <v>25607</v>
      </c>
      <c r="BF1271">
        <f t="shared" si="4683"/>
        <v>0</v>
      </c>
      <c r="BG1271" s="8">
        <f t="shared" si="4683"/>
        <v>12218</v>
      </c>
      <c r="BH1271" s="8">
        <f t="shared" si="4683"/>
        <v>48834</v>
      </c>
      <c r="BI1271" s="8">
        <f t="shared" si="4683"/>
        <v>35059</v>
      </c>
      <c r="BJ1271" s="8">
        <f t="shared" si="4683"/>
        <v>53451</v>
      </c>
      <c r="BK1271" s="8">
        <f t="shared" si="4683"/>
        <v>62271</v>
      </c>
      <c r="BL1271" s="8">
        <f t="shared" si="4683"/>
        <v>91970</v>
      </c>
      <c r="BM1271" s="8">
        <f t="shared" si="4683"/>
        <v>137957</v>
      </c>
      <c r="BN1271" s="8">
        <f t="shared" si="4683"/>
        <v>171993</v>
      </c>
      <c r="BO1271" s="8">
        <f t="shared" si="4683"/>
        <v>287206</v>
      </c>
      <c r="BP1271" s="8"/>
      <c r="BQ1271" s="8"/>
    </row>
    <row r="1272" spans="2:81">
      <c r="D1272" s="8"/>
      <c r="E1272" s="8"/>
      <c r="F1272" s="8"/>
      <c r="G1272" s="8"/>
      <c r="H1272" s="8"/>
      <c r="I1272" s="8"/>
      <c r="J1272" s="8"/>
      <c r="K1272" s="8"/>
      <c r="L1272" s="8"/>
      <c r="M1272" s="8"/>
      <c r="N1272" s="8"/>
      <c r="O1272" s="8"/>
      <c r="P1272" s="8"/>
      <c r="Q1272" s="8"/>
      <c r="R1272" s="8"/>
      <c r="S1272" s="8"/>
      <c r="T1272" s="8"/>
      <c r="U1272" s="8"/>
      <c r="V1272" s="8"/>
      <c r="W1272" s="8"/>
      <c r="X1272" s="8"/>
      <c r="Y1272" s="8"/>
      <c r="Z1272" s="8"/>
      <c r="AA1272" s="8"/>
      <c r="AB1272" s="8"/>
      <c r="AC1272" s="8"/>
      <c r="AD1272" s="8"/>
      <c r="AE1272" s="8"/>
      <c r="AF1272" s="8"/>
      <c r="AG1272" s="8"/>
      <c r="AH1272" s="8"/>
      <c r="AI1272" s="8"/>
      <c r="AJ1272" s="8"/>
      <c r="AK1272" s="8"/>
      <c r="AL1272" s="8"/>
      <c r="AM1272" s="8"/>
      <c r="AN1272" s="8"/>
      <c r="AO1272" s="8"/>
      <c r="AP1272" s="8"/>
      <c r="AQ1272" s="8"/>
      <c r="AS1272" s="8"/>
      <c r="AT1272" s="8"/>
      <c r="AU1272" s="8"/>
      <c r="AV1272" s="8"/>
      <c r="AW1272" s="8"/>
      <c r="AX1272" s="8"/>
      <c r="AY1272" s="8"/>
      <c r="AZ1272" s="8"/>
      <c r="BA1272" s="8"/>
      <c r="BB1272" s="8"/>
      <c r="BC1272" s="8"/>
      <c r="BD1272" s="8"/>
      <c r="BE1272" s="8"/>
      <c r="BG1272" s="8"/>
      <c r="BH1272" s="8"/>
      <c r="BI1272" s="8"/>
      <c r="BJ1272" s="8"/>
      <c r="BK1272" s="8"/>
      <c r="BL1272" s="8"/>
      <c r="BM1272" s="8"/>
      <c r="BN1272" s="8"/>
      <c r="BO1272" s="8"/>
      <c r="BP1272" s="8"/>
      <c r="BQ1272" s="8"/>
    </row>
    <row r="1273" spans="2:81" ht="10.5">
      <c r="B1273" s="5" t="s">
        <v>664</v>
      </c>
      <c r="C1273" s="4"/>
      <c r="U1273" s="8"/>
      <c r="V1273" s="8"/>
      <c r="W1273" s="8"/>
      <c r="X1273" s="8"/>
      <c r="Y1273" s="8"/>
      <c r="Z1273" s="8"/>
      <c r="AA1273" s="8"/>
      <c r="AB1273" s="8"/>
      <c r="AC1273" s="8"/>
      <c r="AD1273" s="8"/>
      <c r="AE1273" s="8"/>
      <c r="AF1273" s="8"/>
      <c r="AG1273" s="8"/>
      <c r="AH1273" s="8"/>
      <c r="AI1273" s="8"/>
      <c r="AJ1273" s="8"/>
      <c r="AK1273" s="8"/>
      <c r="AL1273" s="8"/>
      <c r="AM1273" s="8"/>
      <c r="AN1273" s="8"/>
      <c r="AO1273" s="8"/>
      <c r="AP1273" s="8"/>
      <c r="AQ1273" s="8"/>
      <c r="AS1273" s="8"/>
      <c r="AT1273" s="8"/>
      <c r="AU1273" s="8"/>
      <c r="AV1273" s="8"/>
      <c r="AW1273" s="8"/>
      <c r="AX1273" s="8"/>
      <c r="AY1273" s="8"/>
      <c r="AZ1273" s="8"/>
      <c r="BA1273" s="8"/>
      <c r="BB1273" s="8"/>
      <c r="BC1273" s="8"/>
      <c r="BD1273" s="8"/>
      <c r="BE1273" s="8"/>
      <c r="BG1273" s="8"/>
      <c r="BH1273" s="8"/>
      <c r="BI1273" s="8"/>
      <c r="BJ1273" s="8"/>
      <c r="BK1273" s="8"/>
      <c r="BL1273" s="8"/>
      <c r="BM1273" s="8"/>
      <c r="BN1273" s="8"/>
      <c r="BO1273" s="8"/>
      <c r="BP1273" s="8"/>
      <c r="BQ1273" s="8"/>
    </row>
    <row r="1274" spans="2:81">
      <c r="U1274" s="8"/>
      <c r="V1274" s="8"/>
      <c r="W1274" s="8"/>
      <c r="X1274" s="8"/>
      <c r="Y1274" s="8"/>
      <c r="Z1274" s="8"/>
      <c r="AA1274" s="8"/>
      <c r="AB1274" s="8"/>
      <c r="AC1274" s="8"/>
      <c r="AD1274" s="8"/>
      <c r="AE1274" s="8"/>
      <c r="AF1274" s="8"/>
      <c r="AG1274" s="8"/>
      <c r="AH1274" s="8"/>
      <c r="AI1274" s="8"/>
      <c r="AJ1274" s="8"/>
      <c r="AK1274" s="8"/>
      <c r="AL1274" s="8"/>
      <c r="AM1274" s="8"/>
      <c r="AN1274" s="8"/>
      <c r="AO1274" s="8"/>
      <c r="AP1274" s="8"/>
      <c r="AQ1274" s="8"/>
      <c r="AS1274" s="8"/>
      <c r="AT1274" s="8"/>
      <c r="AU1274" s="8"/>
      <c r="AV1274" s="8"/>
      <c r="AW1274" s="8"/>
      <c r="AX1274" s="8"/>
      <c r="AY1274" s="8"/>
      <c r="AZ1274" s="8"/>
      <c r="BA1274" s="8"/>
      <c r="BB1274" s="8"/>
      <c r="BC1274" s="8"/>
      <c r="BD1274" s="8"/>
      <c r="BE1274" s="8"/>
      <c r="BG1274" s="8"/>
      <c r="BH1274" s="8"/>
      <c r="BI1274" s="8"/>
      <c r="BJ1274" s="8"/>
      <c r="BK1274" s="8"/>
      <c r="BL1274" s="8"/>
      <c r="BM1274" s="8"/>
      <c r="BN1274" s="8"/>
      <c r="BO1274" s="8"/>
      <c r="BP1274" s="8"/>
      <c r="BQ1274" s="8"/>
    </row>
    <row r="1275" spans="2:81" ht="10.5">
      <c r="B1275" s="45" t="s">
        <v>665</v>
      </c>
      <c r="U1275" s="8"/>
      <c r="V1275" s="8"/>
      <c r="W1275" s="8"/>
      <c r="X1275" s="8"/>
      <c r="Y1275" s="8"/>
      <c r="Z1275" s="8"/>
      <c r="AA1275" s="8"/>
      <c r="AB1275" s="8"/>
      <c r="AC1275" s="8"/>
      <c r="AD1275" s="8"/>
      <c r="AE1275" s="8"/>
      <c r="AF1275" s="8"/>
      <c r="AG1275" s="8"/>
      <c r="AH1275" s="8"/>
      <c r="AI1275" s="8"/>
      <c r="AJ1275" s="8"/>
      <c r="AK1275" s="8"/>
      <c r="AL1275" s="8"/>
      <c r="AM1275" s="8"/>
      <c r="AN1275" s="8"/>
      <c r="AO1275" s="8"/>
      <c r="AP1275" s="8"/>
      <c r="AQ1275" s="8"/>
      <c r="AS1275" s="8"/>
      <c r="AT1275" s="8"/>
      <c r="AU1275" s="8"/>
      <c r="AV1275" s="8"/>
      <c r="AW1275" s="8"/>
      <c r="AX1275" s="8"/>
      <c r="AY1275" s="8"/>
      <c r="AZ1275" s="8"/>
      <c r="BA1275" s="8"/>
      <c r="BB1275" s="8"/>
      <c r="BC1275" s="8"/>
      <c r="BD1275" s="8"/>
      <c r="BE1275" s="8"/>
      <c r="BG1275" s="8"/>
      <c r="BH1275" s="8"/>
      <c r="BI1275" s="8"/>
      <c r="BJ1275" s="8"/>
      <c r="BK1275" s="8"/>
      <c r="BL1275" s="8"/>
      <c r="BM1275" s="8"/>
      <c r="BN1275" s="8"/>
      <c r="BO1275" s="8"/>
      <c r="BP1275" s="8"/>
      <c r="BQ1275" s="8"/>
    </row>
    <row r="1276" spans="2:81">
      <c r="B1276" t="s">
        <v>340</v>
      </c>
      <c r="D1276" s="29"/>
      <c r="E1276" s="29"/>
      <c r="F1276" s="29"/>
      <c r="G1276" s="29"/>
      <c r="H1276" s="29"/>
      <c r="I1276" s="29"/>
      <c r="J1276" s="29"/>
      <c r="K1276" s="29"/>
      <c r="L1276" s="29"/>
      <c r="M1276" s="29"/>
      <c r="N1276" s="29"/>
      <c r="O1276" s="29"/>
      <c r="P1276" s="29"/>
      <c r="Q1276" s="29"/>
      <c r="R1276" s="29"/>
      <c r="S1276" s="29"/>
      <c r="T1276" s="29"/>
      <c r="U1276" s="29"/>
      <c r="V1276" s="8"/>
      <c r="W1276" s="8"/>
      <c r="X1276" s="8"/>
      <c r="Y1276" s="8"/>
      <c r="Z1276" s="8"/>
      <c r="AA1276" s="8"/>
      <c r="AB1276" s="8"/>
      <c r="AC1276" s="8"/>
      <c r="AD1276" s="8"/>
      <c r="AE1276" s="8"/>
      <c r="AF1276" s="8"/>
      <c r="AG1276" s="8"/>
      <c r="AH1276" s="8"/>
      <c r="AI1276" s="8"/>
      <c r="AJ1276" s="8"/>
      <c r="AK1276" s="8"/>
      <c r="AL1276" s="8"/>
      <c r="AM1276" s="29">
        <v>43599</v>
      </c>
      <c r="AN1276" s="29">
        <v>40429</v>
      </c>
      <c r="AO1276" s="8"/>
      <c r="AP1276" s="8"/>
      <c r="AQ1276" s="8"/>
      <c r="AS1276" s="8"/>
      <c r="AT1276" s="8"/>
      <c r="AU1276" s="8"/>
      <c r="AV1276" s="8"/>
      <c r="AW1276" s="8"/>
      <c r="AX1276" s="8"/>
      <c r="AY1276" s="8"/>
      <c r="AZ1276" s="8"/>
      <c r="BA1276" s="8"/>
      <c r="BB1276" s="8"/>
      <c r="BC1276" s="8"/>
      <c r="BD1276" s="8"/>
      <c r="BE1276" s="8"/>
      <c r="BG1276" s="8"/>
      <c r="BH1276" s="8"/>
      <c r="BI1276" s="8"/>
      <c r="BJ1276" s="8"/>
      <c r="BK1276" s="8"/>
      <c r="BL1276" s="8"/>
      <c r="BM1276" s="8"/>
      <c r="BN1276" s="8"/>
      <c r="BO1276" s="8"/>
      <c r="BP1276" s="8"/>
      <c r="BQ1276" s="8"/>
    </row>
    <row r="1277" spans="2:81">
      <c r="B1277" t="s">
        <v>342</v>
      </c>
      <c r="D1277" s="29"/>
      <c r="E1277" s="29"/>
      <c r="F1277" s="29"/>
      <c r="G1277" s="29"/>
      <c r="H1277" s="29"/>
      <c r="I1277" s="29"/>
      <c r="J1277" s="29"/>
      <c r="K1277" s="29"/>
      <c r="L1277" s="29"/>
      <c r="M1277" s="29"/>
      <c r="N1277" s="29"/>
      <c r="O1277" s="29"/>
      <c r="P1277" s="29"/>
      <c r="Q1277" s="29"/>
      <c r="R1277" s="29"/>
      <c r="S1277" s="29"/>
      <c r="T1277" s="29"/>
      <c r="U1277" s="29"/>
      <c r="V1277" s="8"/>
      <c r="W1277" s="8"/>
      <c r="X1277" s="8"/>
      <c r="Y1277" s="8"/>
      <c r="Z1277" s="8"/>
      <c r="AA1277" s="8"/>
      <c r="AB1277" s="8"/>
      <c r="AC1277" s="8"/>
      <c r="AD1277" s="8"/>
      <c r="AE1277" s="8"/>
      <c r="AF1277" s="8"/>
      <c r="AG1277" s="8"/>
      <c r="AH1277" s="8"/>
      <c r="AI1277" s="8"/>
      <c r="AJ1277" s="8"/>
      <c r="AK1277" s="8"/>
      <c r="AL1277" s="8"/>
      <c r="AM1277" s="29">
        <v>13683</v>
      </c>
      <c r="AN1277" s="29">
        <v>12397</v>
      </c>
      <c r="AO1277" s="8"/>
      <c r="AP1277" s="8"/>
      <c r="AQ1277" s="8"/>
      <c r="AS1277" s="8"/>
      <c r="AT1277" s="8"/>
      <c r="AU1277" s="8"/>
      <c r="AV1277" s="8"/>
      <c r="AW1277" s="8"/>
      <c r="AX1277" s="8"/>
      <c r="AY1277" s="8"/>
      <c r="AZ1277" s="8"/>
      <c r="BA1277" s="8"/>
      <c r="BB1277" s="8"/>
      <c r="BC1277" s="8"/>
      <c r="BD1277" s="8"/>
      <c r="BE1277" s="8"/>
      <c r="BG1277" s="8"/>
      <c r="BH1277" s="8"/>
      <c r="BI1277" s="8"/>
      <c r="BJ1277" s="8"/>
      <c r="BK1277" s="8"/>
      <c r="BL1277" s="8"/>
      <c r="BM1277" s="8"/>
      <c r="BN1277" s="8"/>
      <c r="BO1277" s="8"/>
      <c r="BP1277" s="8"/>
      <c r="BQ1277" s="8"/>
    </row>
    <row r="1278" spans="2:81">
      <c r="B1278" t="s">
        <v>344</v>
      </c>
      <c r="C1278" s="852"/>
      <c r="D1278" s="939"/>
      <c r="E1278" s="939"/>
      <c r="F1278" s="939"/>
      <c r="G1278" s="939"/>
      <c r="H1278" s="939"/>
      <c r="I1278" s="939"/>
      <c r="J1278" s="939"/>
      <c r="K1278" s="939"/>
      <c r="L1278" s="939"/>
      <c r="M1278" s="939"/>
      <c r="N1278" s="939"/>
      <c r="O1278" s="939"/>
      <c r="P1278" s="939"/>
      <c r="Q1278" s="939"/>
      <c r="R1278" s="939"/>
      <c r="S1278" s="939"/>
      <c r="T1278" s="939"/>
      <c r="U1278" s="939"/>
      <c r="V1278" s="8"/>
      <c r="W1278" s="8"/>
      <c r="X1278" s="8"/>
      <c r="Y1278" s="8"/>
      <c r="Z1278" s="8"/>
      <c r="AA1278" s="8"/>
      <c r="AB1278" s="8"/>
      <c r="AC1278" s="8"/>
      <c r="AD1278" s="8"/>
      <c r="AE1278" s="8"/>
      <c r="AF1278" s="8"/>
      <c r="AG1278" s="8"/>
      <c r="AH1278" s="8"/>
      <c r="AI1278" s="8"/>
      <c r="AJ1278" s="8"/>
      <c r="AK1278" s="8"/>
      <c r="AL1278" s="8"/>
      <c r="AM1278" s="939">
        <v>2902</v>
      </c>
      <c r="AN1278" s="939">
        <v>2863</v>
      </c>
      <c r="AO1278" s="8"/>
      <c r="AP1278" s="8"/>
      <c r="AQ1278" s="8"/>
      <c r="AS1278" s="8"/>
      <c r="AT1278" s="8"/>
      <c r="AU1278" s="8"/>
      <c r="AV1278" s="8"/>
      <c r="AW1278" s="8"/>
      <c r="AX1278" s="8"/>
      <c r="AY1278" s="8"/>
      <c r="AZ1278" s="8"/>
      <c r="BA1278" s="8"/>
      <c r="BB1278" s="8"/>
      <c r="BC1278" s="8"/>
      <c r="BD1278" s="8"/>
      <c r="BE1278" s="8"/>
      <c r="BG1278" s="8"/>
      <c r="BH1278" s="8"/>
      <c r="BI1278" s="8"/>
      <c r="BJ1278" s="8"/>
      <c r="BK1278" s="8"/>
      <c r="BL1278" s="8"/>
      <c r="BM1278" s="8"/>
      <c r="BN1278" s="8"/>
      <c r="BO1278" s="8"/>
      <c r="BP1278" s="8"/>
      <c r="BQ1278" s="8"/>
    </row>
    <row r="1279" spans="2:81" ht="10.5">
      <c r="B1279" s="837" t="s">
        <v>666</v>
      </c>
      <c r="C1279" s="838"/>
      <c r="D1279" s="838">
        <f t="shared" ref="D1279:AK1279" si="4684">+D1237+D1231</f>
        <v>24387</v>
      </c>
      <c r="E1279" s="838">
        <f t="shared" si="4684"/>
        <v>25031</v>
      </c>
      <c r="F1279" s="838">
        <f t="shared" si="4684"/>
        <v>25893</v>
      </c>
      <c r="G1279" s="838">
        <f t="shared" si="4684"/>
        <v>33909</v>
      </c>
      <c r="H1279" s="838">
        <f t="shared" si="4684"/>
        <v>33588</v>
      </c>
      <c r="I1279" s="838">
        <f t="shared" si="4684"/>
        <v>34680</v>
      </c>
      <c r="J1279" s="838">
        <f t="shared" si="4684"/>
        <v>35733</v>
      </c>
      <c r="K1279" s="838">
        <f t="shared" si="4684"/>
        <v>26656</v>
      </c>
      <c r="L1279" s="838">
        <f t="shared" si="4684"/>
        <v>24904</v>
      </c>
      <c r="M1279" s="838">
        <f t="shared" si="4684"/>
        <v>23809</v>
      </c>
      <c r="N1279" s="838">
        <f t="shared" si="4684"/>
        <v>23955</v>
      </c>
      <c r="O1279" s="838">
        <f t="shared" si="4684"/>
        <v>32720</v>
      </c>
      <c r="P1279" s="838">
        <f t="shared" si="4684"/>
        <v>30242</v>
      </c>
      <c r="Q1279" s="838">
        <f t="shared" si="4684"/>
        <v>28084</v>
      </c>
      <c r="R1279" s="838">
        <f t="shared" si="4684"/>
        <v>28135</v>
      </c>
      <c r="S1279" s="838">
        <f t="shared" si="4684"/>
        <v>37206</v>
      </c>
      <c r="T1279" s="838">
        <f t="shared" si="4684"/>
        <v>34026</v>
      </c>
      <c r="U1279" s="838">
        <f t="shared" si="4684"/>
        <v>31221</v>
      </c>
      <c r="V1279" s="838">
        <f t="shared" si="4684"/>
        <v>30397</v>
      </c>
      <c r="W1279" s="838">
        <f t="shared" si="4684"/>
        <v>39180</v>
      </c>
      <c r="X1279" s="838">
        <f t="shared" si="4684"/>
        <v>36305</v>
      </c>
      <c r="Y1279" s="838">
        <f t="shared" si="4684"/>
        <v>33387</v>
      </c>
      <c r="Z1279" s="838">
        <f t="shared" si="4684"/>
        <v>32714</v>
      </c>
      <c r="AA1279" s="838">
        <f t="shared" si="4684"/>
        <v>44141</v>
      </c>
      <c r="AB1279" s="838">
        <f t="shared" si="4684"/>
        <v>41015</v>
      </c>
      <c r="AC1279" s="838">
        <f t="shared" si="4684"/>
        <v>36769</v>
      </c>
      <c r="AD1279" s="838">
        <f t="shared" si="4684"/>
        <v>36796</v>
      </c>
      <c r="AE1279" s="838">
        <f t="shared" si="4684"/>
        <v>48408</v>
      </c>
      <c r="AF1279" s="838">
        <f t="shared" si="4684"/>
        <v>43889</v>
      </c>
      <c r="AG1279" s="838">
        <f t="shared" si="4684"/>
        <v>39626</v>
      </c>
      <c r="AH1279" s="838">
        <f t="shared" si="4684"/>
        <v>39601</v>
      </c>
      <c r="AI1279" s="838">
        <f t="shared" si="4684"/>
        <v>53813</v>
      </c>
      <c r="AJ1279" s="838">
        <f t="shared" si="4684"/>
        <v>49188</v>
      </c>
      <c r="AK1279" s="838">
        <f t="shared" si="4684"/>
        <v>46034</v>
      </c>
      <c r="AL1279" s="838">
        <f>+AL1237+AL1231</f>
        <v>44833</v>
      </c>
      <c r="AM1279" s="838">
        <f t="shared" ref="AM1279:AN1279" si="4685">SUM(AM1276:AM1278)</f>
        <v>60184</v>
      </c>
      <c r="AN1279" s="838">
        <f t="shared" si="4685"/>
        <v>55689</v>
      </c>
      <c r="AO1279" s="8"/>
      <c r="AP1279" s="8"/>
      <c r="AQ1279" s="8"/>
      <c r="AS1279" s="8"/>
      <c r="AT1279" s="8"/>
      <c r="AU1279" s="8"/>
      <c r="AV1279" s="8"/>
      <c r="AW1279" s="8"/>
      <c r="AX1279" s="8"/>
      <c r="AY1279" s="8"/>
      <c r="AZ1279" s="8"/>
      <c r="BA1279" s="8"/>
      <c r="BB1279" s="8"/>
      <c r="BC1279" s="8"/>
      <c r="BD1279" s="8"/>
      <c r="BE1279" s="8"/>
      <c r="BG1279" s="8"/>
      <c r="BH1279" s="838">
        <f t="shared" ref="BH1279:BO1279" si="4686">+BH1237+BH1231</f>
        <v>26656</v>
      </c>
      <c r="BI1279" s="838">
        <f t="shared" si="4686"/>
        <v>32720</v>
      </c>
      <c r="BJ1279" s="838">
        <f t="shared" si="4686"/>
        <v>37206</v>
      </c>
      <c r="BK1279" s="838">
        <f t="shared" si="4686"/>
        <v>39180</v>
      </c>
      <c r="BL1279" s="838">
        <f t="shared" si="4686"/>
        <v>44141</v>
      </c>
      <c r="BM1279" s="838">
        <f t="shared" si="4686"/>
        <v>48408</v>
      </c>
      <c r="BN1279" s="838">
        <f t="shared" si="4686"/>
        <v>53813</v>
      </c>
      <c r="BO1279" s="838">
        <f t="shared" si="4686"/>
        <v>60184</v>
      </c>
      <c r="BP1279" s="8"/>
      <c r="BQ1279" s="8"/>
    </row>
    <row r="1280" spans="2:81">
      <c r="V1280" s="8"/>
      <c r="W1280" s="8"/>
      <c r="X1280" s="8"/>
      <c r="Y1280" s="8"/>
      <c r="Z1280" s="8"/>
      <c r="AA1280" s="8"/>
      <c r="AB1280" s="8"/>
      <c r="AC1280" s="8"/>
      <c r="AD1280" s="8"/>
      <c r="AE1280" s="8"/>
      <c r="AF1280" s="8"/>
      <c r="AG1280" s="8"/>
      <c r="AH1280" s="8"/>
      <c r="AI1280" s="8"/>
      <c r="AJ1280" s="8"/>
      <c r="AK1280" s="8"/>
      <c r="AL1280" s="8"/>
      <c r="AO1280" s="8"/>
      <c r="AP1280" s="8"/>
      <c r="AQ1280" s="8"/>
      <c r="AS1280" s="8"/>
      <c r="AT1280" s="8"/>
      <c r="AU1280" s="8"/>
      <c r="AV1280" s="8"/>
      <c r="AW1280" s="8"/>
      <c r="AX1280" s="8"/>
      <c r="AY1280" s="8"/>
      <c r="AZ1280" s="8"/>
      <c r="BA1280" s="8"/>
      <c r="BB1280" s="8"/>
      <c r="BC1280" s="8"/>
      <c r="BD1280" s="8"/>
      <c r="BE1280" s="8"/>
      <c r="BG1280" s="8"/>
      <c r="BH1280" s="8"/>
      <c r="BI1280" s="8"/>
      <c r="BJ1280" s="8"/>
      <c r="BK1280" s="8"/>
      <c r="BL1280" s="8"/>
      <c r="BM1280" s="8"/>
      <c r="BN1280" s="8"/>
      <c r="BO1280" s="8"/>
      <c r="BP1280" s="8"/>
      <c r="BQ1280" s="8"/>
    </row>
    <row r="1281" spans="2:69">
      <c r="B1281" s="24" t="s">
        <v>113</v>
      </c>
      <c r="C1281" s="3"/>
      <c r="D1281" s="3"/>
      <c r="E1281" s="3"/>
      <c r="F1281" s="3"/>
      <c r="G1281" s="3"/>
      <c r="H1281" s="3"/>
      <c r="I1281" s="3"/>
      <c r="J1281" s="3"/>
      <c r="K1281" s="3"/>
      <c r="L1281" s="3"/>
      <c r="M1281" s="3"/>
      <c r="N1281" s="3"/>
      <c r="O1281" s="3"/>
      <c r="P1281" s="3"/>
      <c r="Q1281" s="3"/>
      <c r="R1281" s="3"/>
      <c r="S1281" s="3"/>
      <c r="T1281" s="3"/>
      <c r="U1281" s="3"/>
      <c r="V1281" s="8"/>
      <c r="W1281" s="8"/>
      <c r="X1281" s="8"/>
      <c r="Y1281" s="8"/>
      <c r="Z1281" s="8"/>
      <c r="AA1281" s="8"/>
      <c r="AB1281" s="8"/>
      <c r="AC1281" s="8"/>
      <c r="AD1281" s="8"/>
      <c r="AE1281" s="8"/>
      <c r="AF1281" s="8"/>
      <c r="AG1281" s="8"/>
      <c r="AH1281" s="8"/>
      <c r="AI1281" s="8"/>
      <c r="AJ1281" s="8"/>
      <c r="AK1281" s="8"/>
      <c r="AL1281" s="8"/>
      <c r="AM1281" s="3"/>
      <c r="AN1281" s="3"/>
      <c r="AO1281" s="8"/>
      <c r="AP1281" s="8"/>
      <c r="AQ1281" s="8"/>
      <c r="AS1281" s="8"/>
      <c r="AT1281" s="8"/>
      <c r="AU1281" s="8"/>
      <c r="AV1281" s="8"/>
      <c r="AW1281" s="8"/>
      <c r="AX1281" s="8"/>
      <c r="AY1281" s="8"/>
      <c r="AZ1281" s="8"/>
      <c r="BA1281" s="8"/>
      <c r="BB1281" s="8"/>
      <c r="BC1281" s="8"/>
      <c r="BD1281" s="8"/>
      <c r="BE1281" s="8"/>
      <c r="BG1281" s="8"/>
      <c r="BH1281" s="8"/>
      <c r="BI1281" s="8"/>
      <c r="BJ1281" s="8"/>
      <c r="BK1281" s="8"/>
      <c r="BL1281" s="8"/>
      <c r="BM1281" s="8"/>
      <c r="BN1281" s="8"/>
      <c r="BO1281" s="8"/>
      <c r="BP1281" s="8"/>
      <c r="BQ1281" s="8"/>
    </row>
    <row r="1282" spans="2:69">
      <c r="B1282" s="13" t="str">
        <f>+B1276</f>
        <v>Productivity and Business Processes</v>
      </c>
      <c r="C1282" s="3"/>
      <c r="D1282" s="228"/>
      <c r="E1282" s="228"/>
      <c r="F1282" s="228"/>
      <c r="G1282" s="228"/>
      <c r="H1282" s="228"/>
      <c r="I1282" s="228"/>
      <c r="J1282" s="228"/>
      <c r="K1282" s="228"/>
      <c r="L1282" s="228"/>
      <c r="M1282" s="228"/>
      <c r="N1282" s="228"/>
      <c r="O1282" s="228"/>
      <c r="P1282" s="228"/>
      <c r="Q1282" s="228"/>
      <c r="R1282" s="228"/>
      <c r="S1282" s="228"/>
      <c r="T1282" s="228"/>
      <c r="U1282" s="228"/>
      <c r="V1282" s="8"/>
      <c r="W1282" s="8"/>
      <c r="X1282" s="8"/>
      <c r="Y1282" s="8"/>
      <c r="Z1282" s="8"/>
      <c r="AA1282" s="8"/>
      <c r="AB1282" s="8"/>
      <c r="AC1282" s="8"/>
      <c r="AD1282" s="8"/>
      <c r="AE1282" s="8"/>
      <c r="AF1282" s="8"/>
      <c r="AG1282" s="8"/>
      <c r="AH1282" s="8"/>
      <c r="AI1282" s="8"/>
      <c r="AJ1282" s="8"/>
      <c r="AK1282" s="8"/>
      <c r="AL1282" s="8"/>
      <c r="AM1282" s="228" t="str">
        <f t="shared" ref="AM1282:AM1285" si="4687">+IFERROR(AM1276/AI1276-1,"n/a ")</f>
        <v xml:space="preserve">n/a </v>
      </c>
      <c r="AN1282" s="228" t="str">
        <f t="shared" ref="AN1282:AN1285" si="4688">+IFERROR(AN1276/AJ1276-1,"n/a ")</f>
        <v xml:space="preserve">n/a </v>
      </c>
      <c r="AO1282" s="8"/>
      <c r="AP1282" s="8"/>
      <c r="AQ1282" s="8"/>
      <c r="AS1282" s="8"/>
      <c r="AT1282" s="8"/>
      <c r="AU1282" s="8"/>
      <c r="AV1282" s="8"/>
      <c r="AW1282" s="8"/>
      <c r="AX1282" s="8"/>
      <c r="AY1282" s="8"/>
      <c r="AZ1282" s="8"/>
      <c r="BA1282" s="8"/>
      <c r="BB1282" s="8"/>
      <c r="BC1282" s="8"/>
      <c r="BD1282" s="8"/>
      <c r="BE1282" s="8"/>
      <c r="BG1282" s="8"/>
      <c r="BH1282" s="8"/>
      <c r="BI1282" s="8"/>
      <c r="BJ1282" s="8"/>
      <c r="BK1282" s="8"/>
      <c r="BL1282" s="8"/>
      <c r="BM1282" s="8"/>
      <c r="BN1282" s="8"/>
      <c r="BO1282" s="8"/>
      <c r="BP1282" s="8"/>
      <c r="BQ1282" s="8"/>
    </row>
    <row r="1283" spans="2:69">
      <c r="B1283" s="13" t="str">
        <f t="shared" ref="B1283:B1285" si="4689">+B1277</f>
        <v>Intelligent Cloud</v>
      </c>
      <c r="C1283" s="3"/>
      <c r="D1283" s="228"/>
      <c r="E1283" s="228"/>
      <c r="F1283" s="228"/>
      <c r="G1283" s="228"/>
      <c r="H1283" s="228"/>
      <c r="I1283" s="228"/>
      <c r="J1283" s="228"/>
      <c r="K1283" s="228"/>
      <c r="L1283" s="228"/>
      <c r="M1283" s="228"/>
      <c r="N1283" s="228"/>
      <c r="O1283" s="228"/>
      <c r="P1283" s="228"/>
      <c r="Q1283" s="228"/>
      <c r="R1283" s="228"/>
      <c r="S1283" s="228"/>
      <c r="T1283" s="228"/>
      <c r="U1283" s="228"/>
      <c r="V1283" s="8"/>
      <c r="W1283" s="8"/>
      <c r="X1283" s="8"/>
      <c r="Y1283" s="8"/>
      <c r="Z1283" s="8"/>
      <c r="AA1283" s="8"/>
      <c r="AB1283" s="8"/>
      <c r="AC1283" s="8"/>
      <c r="AD1283" s="8"/>
      <c r="AE1283" s="8"/>
      <c r="AF1283" s="8"/>
      <c r="AG1283" s="8"/>
      <c r="AH1283" s="8"/>
      <c r="AI1283" s="8"/>
      <c r="AJ1283" s="8"/>
      <c r="AK1283" s="8"/>
      <c r="AL1283" s="8"/>
      <c r="AM1283" s="228" t="str">
        <f t="shared" si="4687"/>
        <v xml:space="preserve">n/a </v>
      </c>
      <c r="AN1283" s="228" t="str">
        <f t="shared" si="4688"/>
        <v xml:space="preserve">n/a </v>
      </c>
      <c r="AO1283" s="8"/>
      <c r="AP1283" s="8"/>
      <c r="AQ1283" s="8"/>
      <c r="AS1283" s="8"/>
      <c r="AT1283" s="8"/>
      <c r="AU1283" s="8"/>
      <c r="AV1283" s="8"/>
      <c r="AW1283" s="8"/>
      <c r="AX1283" s="8"/>
      <c r="AY1283" s="8"/>
      <c r="AZ1283" s="8"/>
      <c r="BA1283" s="8"/>
      <c r="BB1283" s="8"/>
      <c r="BC1283" s="8"/>
      <c r="BD1283" s="8"/>
      <c r="BE1283" s="8"/>
      <c r="BG1283" s="8"/>
      <c r="BH1283" s="8"/>
      <c r="BI1283" s="8"/>
      <c r="BJ1283" s="8"/>
      <c r="BK1283" s="8"/>
      <c r="BL1283" s="8"/>
      <c r="BM1283" s="8"/>
      <c r="BN1283" s="8"/>
      <c r="BO1283" s="8"/>
      <c r="BP1283" s="8"/>
      <c r="BQ1283" s="8"/>
    </row>
    <row r="1284" spans="2:69" ht="11.45">
      <c r="B1284" s="13" t="str">
        <f t="shared" si="4689"/>
        <v>More Personal Computing</v>
      </c>
      <c r="C1284" s="839"/>
      <c r="D1284" s="840"/>
      <c r="E1284" s="840"/>
      <c r="F1284" s="840"/>
      <c r="G1284" s="840"/>
      <c r="H1284" s="840"/>
      <c r="I1284" s="840"/>
      <c r="J1284" s="840"/>
      <c r="K1284" s="840"/>
      <c r="L1284" s="840"/>
      <c r="M1284" s="840"/>
      <c r="N1284" s="840"/>
      <c r="O1284" s="840"/>
      <c r="P1284" s="840"/>
      <c r="Q1284" s="840"/>
      <c r="R1284" s="840"/>
      <c r="S1284" s="840"/>
      <c r="T1284" s="840"/>
      <c r="U1284" s="840"/>
      <c r="V1284" s="8"/>
      <c r="W1284" s="8"/>
      <c r="X1284" s="8"/>
      <c r="Y1284" s="8"/>
      <c r="Z1284" s="8"/>
      <c r="AA1284" s="8"/>
      <c r="AB1284" s="8"/>
      <c r="AC1284" s="8"/>
      <c r="AD1284" s="8"/>
      <c r="AE1284" s="8"/>
      <c r="AF1284" s="8"/>
      <c r="AG1284" s="8"/>
      <c r="AH1284" s="8"/>
      <c r="AI1284" s="8"/>
      <c r="AJ1284" s="8"/>
      <c r="AK1284" s="8"/>
      <c r="AL1284" s="8"/>
      <c r="AM1284" s="840" t="str">
        <f t="shared" si="4687"/>
        <v xml:space="preserve">n/a </v>
      </c>
      <c r="AN1284" s="840" t="str">
        <f t="shared" si="4688"/>
        <v xml:space="preserve">n/a </v>
      </c>
      <c r="AO1284" s="8"/>
      <c r="AP1284" s="8"/>
      <c r="AQ1284" s="8"/>
      <c r="AS1284" s="8"/>
      <c r="AT1284" s="8"/>
      <c r="AU1284" s="8"/>
      <c r="AV1284" s="8"/>
      <c r="AW1284" s="8"/>
      <c r="AX1284" s="8"/>
      <c r="AY1284" s="8"/>
      <c r="AZ1284" s="8"/>
      <c r="BA1284" s="8"/>
      <c r="BB1284" s="8"/>
      <c r="BC1284" s="8"/>
      <c r="BD1284" s="8"/>
      <c r="BE1284" s="8"/>
      <c r="BG1284" s="8"/>
      <c r="BH1284" s="8"/>
      <c r="BI1284" s="8"/>
      <c r="BJ1284" s="8"/>
      <c r="BK1284" s="8"/>
      <c r="BL1284" s="8"/>
      <c r="BM1284" s="8"/>
      <c r="BN1284" s="8"/>
      <c r="BO1284" s="8"/>
      <c r="BP1284" s="8"/>
      <c r="BQ1284" s="8"/>
    </row>
    <row r="1285" spans="2:69">
      <c r="B1285" s="841" t="str">
        <f t="shared" si="4689"/>
        <v>Total uneaerned revenue</v>
      </c>
      <c r="C1285" s="7"/>
      <c r="D1285" s="842"/>
      <c r="E1285" s="842"/>
      <c r="F1285" s="842"/>
      <c r="G1285" s="842"/>
      <c r="H1285" s="842"/>
      <c r="I1285" s="842"/>
      <c r="J1285" s="842"/>
      <c r="K1285" s="842"/>
      <c r="L1285" s="842"/>
      <c r="M1285" s="842"/>
      <c r="N1285" s="842"/>
      <c r="O1285" s="842"/>
      <c r="P1285" s="842"/>
      <c r="Q1285" s="842"/>
      <c r="R1285" s="842"/>
      <c r="S1285" s="842"/>
      <c r="T1285" s="842">
        <f t="shared" ref="T1285" si="4690">+IFERROR(T1279/P1279-1,"n/a ")</f>
        <v>0.12512399973546717</v>
      </c>
      <c r="U1285" s="842">
        <f t="shared" ref="U1285" si="4691">+IFERROR(U1279/Q1279-1,"n/a ")</f>
        <v>0.11170061244836926</v>
      </c>
      <c r="V1285" s="842">
        <f t="shared" ref="V1285" si="4692">+IFERROR(V1279/R1279-1,"n/a ")</f>
        <v>8.0398080682424045E-2</v>
      </c>
      <c r="W1285" s="842">
        <f t="shared" ref="W1285" si="4693">+IFERROR(W1279/S1279-1,"n/a ")</f>
        <v>5.3055958716336171E-2</v>
      </c>
      <c r="X1285" s="842">
        <f t="shared" ref="X1285" si="4694">+IFERROR(X1279/T1279-1,"n/a ")</f>
        <v>6.6978193146417508E-2</v>
      </c>
      <c r="Y1285" s="842">
        <f t="shared" ref="Y1285" si="4695">+IFERROR(Y1279/U1279-1,"n/a ")</f>
        <v>6.9376381281829547E-2</v>
      </c>
      <c r="Z1285" s="842">
        <f t="shared" ref="Z1285" si="4696">+IFERROR(Z1279/V1279-1,"n/a ")</f>
        <v>7.6224627430338421E-2</v>
      </c>
      <c r="AA1285" s="842">
        <f t="shared" ref="AA1285" si="4697">+IFERROR(AA1279/W1279-1,"n/a ")</f>
        <v>0.12662072485962228</v>
      </c>
      <c r="AB1285" s="842">
        <f t="shared" ref="AB1285" si="4698">+IFERROR(AB1279/X1279-1,"n/a ")</f>
        <v>0.1297341963916816</v>
      </c>
      <c r="AC1285" s="842">
        <f t="shared" ref="AC1285" si="4699">+IFERROR(AC1279/Y1279-1,"n/a ")</f>
        <v>0.10129691197172552</v>
      </c>
      <c r="AD1285" s="842">
        <f t="shared" ref="AD1285" si="4700">+IFERROR(AD1279/Z1279-1,"n/a ")</f>
        <v>0.12477838234395056</v>
      </c>
      <c r="AE1285" s="842">
        <f t="shared" ref="AE1285" si="4701">+IFERROR(AE1279/AA1279-1,"n/a ")</f>
        <v>9.666749733807567E-2</v>
      </c>
      <c r="AF1285" s="842">
        <f t="shared" ref="AF1285" si="4702">+IFERROR(AF1279/AB1279-1,"n/a ")</f>
        <v>7.0071924905522387E-2</v>
      </c>
      <c r="AG1285" s="842">
        <f t="shared" ref="AG1285" si="4703">+IFERROR(AG1279/AC1279-1,"n/a ")</f>
        <v>7.7701324485300205E-2</v>
      </c>
      <c r="AH1285" s="842">
        <f t="shared" ref="AH1285" si="4704">+IFERROR(AH1279/AD1279-1,"n/a ")</f>
        <v>7.6231112077399743E-2</v>
      </c>
      <c r="AI1285" s="842">
        <f t="shared" ref="AI1285" si="4705">+IFERROR(AI1279/AE1279-1,"n/a ")</f>
        <v>0.11165509833085441</v>
      </c>
      <c r="AJ1285" s="842">
        <f t="shared" ref="AJ1285" si="4706">+IFERROR(AJ1279/AF1279-1,"n/a ")</f>
        <v>0.12073640319897927</v>
      </c>
      <c r="AK1285" s="842">
        <f t="shared" ref="AK1285" si="4707">+IFERROR(AK1279/AG1279-1,"n/a ")</f>
        <v>0.16171200726795543</v>
      </c>
      <c r="AL1285" s="842">
        <f t="shared" ref="AL1285" si="4708">+IFERROR(AL1279/AH1279-1,"n/a ")</f>
        <v>0.13211787581121692</v>
      </c>
      <c r="AM1285" s="842">
        <f t="shared" si="4687"/>
        <v>0.11839146674595358</v>
      </c>
      <c r="AN1285" s="842">
        <f t="shared" si="4688"/>
        <v>0.13216638204440101</v>
      </c>
      <c r="AO1285" s="8"/>
      <c r="AP1285" s="8"/>
      <c r="AQ1285" s="8"/>
      <c r="AS1285" s="8"/>
      <c r="AT1285" s="8"/>
      <c r="AU1285" s="8"/>
      <c r="AV1285" s="8"/>
      <c r="AW1285" s="8"/>
      <c r="AX1285" s="8"/>
      <c r="AY1285" s="8"/>
      <c r="AZ1285" s="8"/>
      <c r="BA1285" s="8"/>
      <c r="BB1285" s="8"/>
      <c r="BC1285" s="8"/>
      <c r="BD1285" s="8"/>
      <c r="BE1285" s="8"/>
      <c r="BG1285" s="8"/>
      <c r="BH1285" s="8"/>
      <c r="BI1285" s="842">
        <f t="shared" ref="BI1285:BN1285" si="4709">+BI1279/BH1279-1</f>
        <v>0.22749099639855941</v>
      </c>
      <c r="BJ1285" s="842">
        <f t="shared" si="4709"/>
        <v>0.13710268948655258</v>
      </c>
      <c r="BK1285" s="842">
        <f t="shared" si="4709"/>
        <v>5.3055958716336171E-2</v>
      </c>
      <c r="BL1285" s="842">
        <f t="shared" si="4709"/>
        <v>0.12662072485962228</v>
      </c>
      <c r="BM1285" s="842">
        <f t="shared" si="4709"/>
        <v>9.666749733807567E-2</v>
      </c>
      <c r="BN1285" s="842">
        <f t="shared" si="4709"/>
        <v>0.11165509833085441</v>
      </c>
      <c r="BO1285" s="842">
        <f>+BO1279/BN1279-1</f>
        <v>0.11839146674595358</v>
      </c>
      <c r="BP1285" s="8"/>
      <c r="BQ1285" s="8"/>
    </row>
    <row r="1286" spans="2:69">
      <c r="V1286" s="8"/>
      <c r="W1286" s="8"/>
      <c r="X1286" s="8"/>
      <c r="Y1286" s="8"/>
      <c r="Z1286" s="8"/>
      <c r="AA1286" s="8"/>
      <c r="AB1286" s="8"/>
      <c r="AC1286" s="8"/>
      <c r="AD1286" s="8"/>
      <c r="AE1286" s="8"/>
      <c r="AF1286" s="8"/>
      <c r="AG1286" s="8"/>
      <c r="AH1286" s="8"/>
      <c r="AI1286" s="8"/>
      <c r="AJ1286" s="8"/>
      <c r="AK1286" s="8"/>
      <c r="AL1286" s="8"/>
      <c r="AO1286" s="8"/>
      <c r="AP1286" s="8"/>
      <c r="AQ1286" s="8"/>
      <c r="AS1286" s="8"/>
      <c r="AT1286" s="8"/>
      <c r="AU1286" s="8"/>
      <c r="AV1286" s="8"/>
      <c r="AW1286" s="8"/>
      <c r="AX1286" s="8"/>
      <c r="AY1286" s="8"/>
      <c r="AZ1286" s="8"/>
      <c r="BA1286" s="8"/>
      <c r="BB1286" s="8"/>
      <c r="BC1286" s="8"/>
      <c r="BD1286" s="8"/>
      <c r="BE1286" s="8"/>
      <c r="BG1286" s="8"/>
      <c r="BH1286" s="8"/>
      <c r="BI1286" s="8"/>
      <c r="BJ1286" s="8"/>
      <c r="BK1286" s="8"/>
      <c r="BL1286" s="8"/>
      <c r="BM1286" s="8"/>
      <c r="BN1286" s="8"/>
      <c r="BO1286" s="8"/>
      <c r="BP1286" s="8"/>
      <c r="BQ1286" s="8"/>
    </row>
    <row r="1287" spans="2:69" ht="10.5">
      <c r="B1287" s="958" t="s">
        <v>667</v>
      </c>
      <c r="C1287" s="100"/>
      <c r="D1287" s="100"/>
      <c r="E1287" s="100"/>
      <c r="F1287" s="100"/>
      <c r="G1287" s="100"/>
      <c r="H1287" s="100"/>
      <c r="I1287" s="100"/>
      <c r="J1287" s="100"/>
      <c r="K1287" s="100"/>
      <c r="L1287" s="100"/>
      <c r="M1287" s="100"/>
      <c r="N1287" s="100"/>
      <c r="O1287" s="100"/>
      <c r="P1287" s="100"/>
      <c r="Q1287" s="100"/>
      <c r="R1287" s="100"/>
      <c r="S1287" s="100"/>
      <c r="T1287" s="100"/>
      <c r="U1287" s="100"/>
      <c r="V1287" s="8"/>
      <c r="W1287" s="8"/>
      <c r="X1287" s="8"/>
      <c r="Y1287" s="8"/>
      <c r="Z1287" s="8"/>
      <c r="AA1287" s="8"/>
      <c r="AB1287" s="8"/>
      <c r="AC1287" s="8"/>
      <c r="AD1287" s="8"/>
      <c r="AE1287" s="8"/>
      <c r="AF1287" s="8"/>
      <c r="AG1287" s="8"/>
      <c r="AH1287" s="8"/>
      <c r="AI1287" s="8"/>
      <c r="AJ1287" s="8"/>
      <c r="AK1287" s="8"/>
      <c r="AL1287" s="8"/>
      <c r="AM1287" s="100"/>
      <c r="AN1287" s="100"/>
      <c r="AO1287" s="8"/>
      <c r="AP1287" s="8"/>
      <c r="AQ1287" s="8"/>
      <c r="AS1287" s="8"/>
      <c r="AT1287" s="8"/>
      <c r="AU1287" s="8"/>
      <c r="AV1287" s="8"/>
      <c r="AW1287" s="8"/>
      <c r="AX1287" s="8"/>
      <c r="AY1287" s="8"/>
      <c r="AZ1287" s="8"/>
      <c r="BA1287" s="8"/>
      <c r="BB1287" s="8"/>
      <c r="BC1287" s="8"/>
      <c r="BD1287" s="8"/>
      <c r="BE1287" s="8"/>
      <c r="BG1287" s="8"/>
      <c r="BH1287" s="8"/>
      <c r="BI1287" s="8"/>
      <c r="BJ1287" s="8"/>
      <c r="BK1287" s="8"/>
      <c r="BL1287" s="8"/>
      <c r="BM1287" s="8"/>
      <c r="BN1287" s="8"/>
      <c r="BO1287" s="8"/>
      <c r="BP1287" s="8"/>
      <c r="BQ1287" s="8"/>
    </row>
    <row r="1288" spans="2:69">
      <c r="B1288" s="100" t="s">
        <v>340</v>
      </c>
      <c r="C1288" s="100"/>
      <c r="D1288" s="11"/>
      <c r="E1288" s="11"/>
      <c r="F1288" s="11"/>
      <c r="G1288" s="11"/>
      <c r="H1288" s="11"/>
      <c r="I1288" s="11"/>
      <c r="J1288" s="11"/>
      <c r="K1288" s="11"/>
      <c r="L1288" s="11"/>
      <c r="M1288" s="11"/>
      <c r="N1288" s="11"/>
      <c r="O1288" s="11"/>
      <c r="P1288" s="11"/>
      <c r="Q1288" s="11"/>
      <c r="R1288" s="11"/>
      <c r="S1288" s="11"/>
      <c r="T1288" s="11"/>
      <c r="U1288" s="11"/>
      <c r="V1288" s="8"/>
      <c r="W1288" s="8"/>
      <c r="X1288" s="8"/>
      <c r="Y1288" s="8"/>
      <c r="Z1288" s="8"/>
      <c r="AA1288" s="8"/>
      <c r="AB1288" s="8"/>
      <c r="AC1288" s="8"/>
      <c r="AD1288" s="8"/>
      <c r="AE1288" s="8"/>
      <c r="AF1288" s="8"/>
      <c r="AG1288" s="8"/>
      <c r="AH1288" s="8"/>
      <c r="AI1288" s="8"/>
      <c r="AJ1288" s="8"/>
      <c r="AK1288" s="8"/>
      <c r="AL1288" s="8"/>
      <c r="AM1288" s="11"/>
      <c r="AN1288" s="11">
        <f t="shared" ref="AN1288:AN1291" si="4710">+AN1276-AM1276</f>
        <v>-3170</v>
      </c>
      <c r="AO1288" s="8"/>
      <c r="AP1288" s="8"/>
      <c r="AQ1288" s="8"/>
      <c r="AS1288" s="8"/>
      <c r="AT1288" s="8"/>
      <c r="AU1288" s="8"/>
      <c r="AV1288" s="8"/>
      <c r="AW1288" s="8"/>
      <c r="AX1288" s="8"/>
      <c r="AY1288" s="8"/>
      <c r="AZ1288" s="8"/>
      <c r="BA1288" s="8"/>
      <c r="BB1288" s="8"/>
      <c r="BC1288" s="8"/>
      <c r="BD1288" s="8"/>
      <c r="BE1288" s="8"/>
      <c r="BG1288" s="8"/>
      <c r="BH1288" s="8"/>
      <c r="BI1288" s="8"/>
      <c r="BJ1288" s="8"/>
      <c r="BK1288" s="8"/>
      <c r="BL1288" s="8"/>
      <c r="BM1288" s="8"/>
      <c r="BN1288" s="8"/>
      <c r="BO1288" s="8"/>
      <c r="BP1288" s="8"/>
      <c r="BQ1288" s="8"/>
    </row>
    <row r="1289" spans="2:69">
      <c r="B1289" s="100" t="s">
        <v>342</v>
      </c>
      <c r="C1289" s="100"/>
      <c r="D1289" s="11"/>
      <c r="E1289" s="11"/>
      <c r="F1289" s="11"/>
      <c r="G1289" s="11"/>
      <c r="H1289" s="11"/>
      <c r="I1289" s="11"/>
      <c r="J1289" s="11"/>
      <c r="K1289" s="11"/>
      <c r="L1289" s="11"/>
      <c r="M1289" s="11"/>
      <c r="N1289" s="11"/>
      <c r="O1289" s="11"/>
      <c r="P1289" s="11"/>
      <c r="Q1289" s="11"/>
      <c r="R1289" s="11"/>
      <c r="S1289" s="11"/>
      <c r="T1289" s="11"/>
      <c r="U1289" s="11"/>
      <c r="V1289" s="8"/>
      <c r="W1289" s="8"/>
      <c r="X1289" s="8"/>
      <c r="Y1289" s="8"/>
      <c r="Z1289" s="8"/>
      <c r="AA1289" s="8"/>
      <c r="AB1289" s="8"/>
      <c r="AC1289" s="8"/>
      <c r="AD1289" s="8"/>
      <c r="AE1289" s="8"/>
      <c r="AF1289" s="8"/>
      <c r="AG1289" s="8"/>
      <c r="AH1289" s="8"/>
      <c r="AI1289" s="8"/>
      <c r="AJ1289" s="8"/>
      <c r="AK1289" s="8"/>
      <c r="AL1289" s="8"/>
      <c r="AM1289" s="11"/>
      <c r="AN1289" s="11">
        <f t="shared" si="4710"/>
        <v>-1286</v>
      </c>
      <c r="AO1289" s="8"/>
      <c r="AP1289" s="8"/>
      <c r="AQ1289" s="8"/>
      <c r="AS1289" s="8"/>
      <c r="AT1289" s="8"/>
      <c r="AU1289" s="8"/>
      <c r="AV1289" s="8"/>
      <c r="AW1289" s="8"/>
      <c r="AX1289" s="8"/>
      <c r="AY1289" s="8"/>
      <c r="AZ1289" s="8"/>
      <c r="BA1289" s="8"/>
      <c r="BB1289" s="8"/>
      <c r="BC1289" s="8"/>
      <c r="BD1289" s="8"/>
      <c r="BE1289" s="8"/>
      <c r="BG1289" s="8"/>
      <c r="BH1289" s="8"/>
      <c r="BI1289" s="8"/>
      <c r="BJ1289" s="8"/>
      <c r="BK1289" s="8"/>
      <c r="BL1289" s="8"/>
      <c r="BM1289" s="8"/>
      <c r="BN1289" s="8"/>
      <c r="BO1289" s="8"/>
      <c r="BP1289" s="8"/>
      <c r="BQ1289" s="8"/>
    </row>
    <row r="1290" spans="2:69">
      <c r="B1290" s="100" t="s">
        <v>344</v>
      </c>
      <c r="C1290" s="1003"/>
      <c r="D1290" s="940"/>
      <c r="E1290" s="940"/>
      <c r="F1290" s="940"/>
      <c r="G1290" s="940"/>
      <c r="H1290" s="940"/>
      <c r="I1290" s="940"/>
      <c r="J1290" s="940"/>
      <c r="K1290" s="940"/>
      <c r="L1290" s="940"/>
      <c r="M1290" s="940"/>
      <c r="N1290" s="940"/>
      <c r="O1290" s="940"/>
      <c r="P1290" s="940"/>
      <c r="Q1290" s="940"/>
      <c r="R1290" s="940"/>
      <c r="S1290" s="940"/>
      <c r="T1290" s="940"/>
      <c r="U1290" s="940"/>
      <c r="V1290" s="8"/>
      <c r="W1290" s="8"/>
      <c r="X1290" s="8"/>
      <c r="Y1290" s="8"/>
      <c r="Z1290" s="8"/>
      <c r="AA1290" s="8"/>
      <c r="AB1290" s="8"/>
      <c r="AC1290" s="8"/>
      <c r="AD1290" s="8"/>
      <c r="AE1290" s="8"/>
      <c r="AF1290" s="8"/>
      <c r="AG1290" s="8"/>
      <c r="AH1290" s="8"/>
      <c r="AI1290" s="8"/>
      <c r="AJ1290" s="8"/>
      <c r="AK1290" s="8"/>
      <c r="AL1290" s="8"/>
      <c r="AM1290" s="940"/>
      <c r="AN1290" s="940">
        <f t="shared" si="4710"/>
        <v>-39</v>
      </c>
      <c r="AO1290" s="8"/>
      <c r="AP1290" s="8"/>
      <c r="AQ1290" s="8"/>
      <c r="AS1290" s="8"/>
      <c r="AT1290" s="8"/>
      <c r="AU1290" s="8"/>
      <c r="AV1290" s="8"/>
      <c r="AW1290" s="8"/>
      <c r="AX1290" s="8"/>
      <c r="AY1290" s="8"/>
      <c r="AZ1290" s="8"/>
      <c r="BA1290" s="8"/>
      <c r="BB1290" s="8"/>
      <c r="BC1290" s="8"/>
      <c r="BD1290" s="8"/>
      <c r="BE1290" s="8"/>
      <c r="BG1290" s="8"/>
      <c r="BH1290" s="8"/>
      <c r="BI1290" s="8"/>
      <c r="BJ1290" s="8"/>
      <c r="BK1290" s="8"/>
      <c r="BL1290" s="8"/>
      <c r="BM1290" s="8"/>
      <c r="BN1290" s="8"/>
      <c r="BO1290" s="8"/>
      <c r="BP1290" s="8"/>
      <c r="BQ1290" s="8"/>
    </row>
    <row r="1291" spans="2:69" ht="10.5">
      <c r="B1291" s="873" t="s">
        <v>668</v>
      </c>
      <c r="C1291" s="102"/>
      <c r="D1291" s="849"/>
      <c r="E1291" s="849"/>
      <c r="F1291" s="849"/>
      <c r="G1291" s="849"/>
      <c r="H1291" s="849"/>
      <c r="I1291" s="849"/>
      <c r="J1291" s="849"/>
      <c r="K1291" s="849"/>
      <c r="L1291" s="849"/>
      <c r="M1291" s="849"/>
      <c r="N1291" s="849"/>
      <c r="O1291" s="849"/>
      <c r="P1291" s="849"/>
      <c r="Q1291" s="849"/>
      <c r="R1291" s="849"/>
      <c r="S1291" s="849"/>
      <c r="T1291" s="849">
        <f t="shared" ref="T1291" si="4711">+T1279-S1279</f>
        <v>-3180</v>
      </c>
      <c r="U1291" s="849">
        <f t="shared" ref="U1291" si="4712">+U1279-T1279</f>
        <v>-2805</v>
      </c>
      <c r="V1291" s="849">
        <f t="shared" ref="V1291" si="4713">+V1279-U1279</f>
        <v>-824</v>
      </c>
      <c r="W1291" s="849">
        <f t="shared" ref="W1291" si="4714">+W1279-V1279</f>
        <v>8783</v>
      </c>
      <c r="X1291" s="849">
        <f t="shared" ref="X1291" si="4715">+X1279-W1279</f>
        <v>-2875</v>
      </c>
      <c r="Y1291" s="849">
        <f t="shared" ref="Y1291" si="4716">+Y1279-X1279</f>
        <v>-2918</v>
      </c>
      <c r="Z1291" s="849">
        <f t="shared" ref="Z1291" si="4717">+Z1279-Y1279</f>
        <v>-673</v>
      </c>
      <c r="AA1291" s="849">
        <f t="shared" ref="AA1291" si="4718">+AA1279-Z1279</f>
        <v>11427</v>
      </c>
      <c r="AB1291" s="849">
        <f t="shared" ref="AB1291" si="4719">+AB1279-AA1279</f>
        <v>-3126</v>
      </c>
      <c r="AC1291" s="849">
        <f t="shared" ref="AC1291" si="4720">+AC1279-AB1279</f>
        <v>-4246</v>
      </c>
      <c r="AD1291" s="849">
        <f t="shared" ref="AD1291" si="4721">+AD1279-AC1279</f>
        <v>27</v>
      </c>
      <c r="AE1291" s="849">
        <f t="shared" ref="AE1291" si="4722">+AE1279-AD1279</f>
        <v>11612</v>
      </c>
      <c r="AF1291" s="849">
        <f t="shared" ref="AF1291" si="4723">+AF1279-AE1279</f>
        <v>-4519</v>
      </c>
      <c r="AG1291" s="849">
        <f t="shared" ref="AG1291" si="4724">+AG1279-AF1279</f>
        <v>-4263</v>
      </c>
      <c r="AH1291" s="849">
        <f t="shared" ref="AH1291" si="4725">+AH1279-AG1279</f>
        <v>-25</v>
      </c>
      <c r="AI1291" s="849">
        <f t="shared" ref="AI1291" si="4726">+AI1279-AH1279</f>
        <v>14212</v>
      </c>
      <c r="AJ1291" s="849">
        <f t="shared" ref="AJ1291" si="4727">+AJ1279-AI1279</f>
        <v>-4625</v>
      </c>
      <c r="AK1291" s="849">
        <f t="shared" ref="AK1291" si="4728">+AK1279-AJ1279</f>
        <v>-3154</v>
      </c>
      <c r="AL1291" s="849">
        <f t="shared" ref="AL1291" si="4729">+AL1279-AK1279</f>
        <v>-1201</v>
      </c>
      <c r="AM1291" s="849">
        <f t="shared" ref="AM1291" si="4730">+AM1279-AL1279</f>
        <v>15351</v>
      </c>
      <c r="AN1291" s="849">
        <f t="shared" si="4710"/>
        <v>-4495</v>
      </c>
      <c r="AO1291" s="8"/>
      <c r="AP1291" s="8"/>
      <c r="AQ1291" s="8"/>
      <c r="AS1291" s="8"/>
      <c r="AT1291" s="8"/>
      <c r="AU1291" s="8"/>
      <c r="AV1291" s="8"/>
      <c r="AW1291" s="8"/>
      <c r="AX1291" s="8"/>
      <c r="AY1291" s="8"/>
      <c r="AZ1291" s="8"/>
      <c r="BA1291" s="8"/>
      <c r="BB1291" s="8"/>
      <c r="BC1291" s="8"/>
      <c r="BD1291" s="8"/>
      <c r="BE1291" s="8"/>
      <c r="BG1291" s="8"/>
      <c r="BH1291" s="8"/>
      <c r="BI1291" s="849">
        <f t="shared" ref="BI1291" si="4731">+BI1279-BH1279</f>
        <v>6064</v>
      </c>
      <c r="BJ1291" s="849">
        <f t="shared" ref="BJ1291" si="4732">+BJ1279-BI1279</f>
        <v>4486</v>
      </c>
      <c r="BK1291" s="849">
        <f t="shared" ref="BK1291" si="4733">+BK1279-BJ1279</f>
        <v>1974</v>
      </c>
      <c r="BL1291" s="849">
        <f t="shared" ref="BL1291" si="4734">+BL1279-BK1279</f>
        <v>4961</v>
      </c>
      <c r="BM1291" s="849">
        <f t="shared" ref="BM1291" si="4735">+BM1279-BL1279</f>
        <v>4267</v>
      </c>
      <c r="BN1291" s="849">
        <f t="shared" ref="BN1291" si="4736">+BN1279-BM1279</f>
        <v>5405</v>
      </c>
      <c r="BO1291" s="849">
        <f t="shared" ref="BO1291" si="4737">+BO1279-BN1279</f>
        <v>6371</v>
      </c>
      <c r="BP1291" s="8"/>
      <c r="BQ1291" s="8"/>
    </row>
    <row r="1292" spans="2:69">
      <c r="V1292" s="8"/>
      <c r="W1292" s="8"/>
      <c r="X1292" s="8"/>
      <c r="Y1292" s="8"/>
      <c r="Z1292" s="8"/>
      <c r="AA1292" s="8"/>
      <c r="AB1292" s="8"/>
      <c r="AC1292" s="8"/>
      <c r="AD1292" s="8"/>
      <c r="AE1292" s="8"/>
      <c r="AF1292" s="8"/>
      <c r="AG1292" s="8"/>
      <c r="AH1292" s="8"/>
      <c r="AI1292" s="8"/>
      <c r="AJ1292" s="8"/>
      <c r="AK1292" s="8"/>
      <c r="AL1292" s="8"/>
      <c r="AO1292" s="8"/>
      <c r="AP1292" s="8"/>
      <c r="AQ1292" s="8"/>
      <c r="AS1292" s="8"/>
      <c r="AT1292" s="8"/>
      <c r="AU1292" s="8"/>
      <c r="AV1292" s="8"/>
      <c r="AW1292" s="8"/>
      <c r="AX1292" s="8"/>
      <c r="AY1292" s="8"/>
      <c r="AZ1292" s="8"/>
      <c r="BA1292" s="8"/>
      <c r="BB1292" s="8"/>
      <c r="BC1292" s="8"/>
      <c r="BD1292" s="8"/>
      <c r="BE1292" s="8"/>
      <c r="BG1292" s="8"/>
      <c r="BH1292" s="8"/>
      <c r="BI1292" s="8"/>
      <c r="BJ1292" s="8"/>
      <c r="BK1292" s="8"/>
      <c r="BL1292" s="8"/>
      <c r="BM1292" s="8"/>
      <c r="BN1292" s="8"/>
      <c r="BO1292" s="8"/>
      <c r="BP1292" s="8"/>
      <c r="BQ1292" s="8"/>
    </row>
    <row r="1293" spans="2:69" ht="10.5">
      <c r="B1293" s="958" t="s">
        <v>86</v>
      </c>
      <c r="C1293" s="100"/>
      <c r="D1293" s="100"/>
      <c r="E1293" s="100"/>
      <c r="F1293" s="100"/>
      <c r="G1293" s="100"/>
      <c r="H1293" s="100"/>
      <c r="I1293" s="100"/>
      <c r="J1293" s="100"/>
      <c r="K1293" s="100"/>
      <c r="L1293" s="100"/>
      <c r="M1293" s="100"/>
      <c r="N1293" s="100"/>
      <c r="O1293" s="100"/>
      <c r="P1293" s="100"/>
      <c r="Q1293" s="100"/>
      <c r="R1293" s="100"/>
      <c r="S1293" s="100"/>
      <c r="T1293" s="100"/>
      <c r="U1293" s="100"/>
      <c r="V1293" s="8"/>
      <c r="W1293" s="8"/>
      <c r="X1293" s="8"/>
      <c r="Y1293" s="8"/>
      <c r="Z1293" s="8"/>
      <c r="AA1293" s="8"/>
      <c r="AB1293" s="8"/>
      <c r="AC1293" s="8"/>
      <c r="AD1293" s="8"/>
      <c r="AE1293" s="8"/>
      <c r="AF1293" s="8"/>
      <c r="AG1293" s="8"/>
      <c r="AH1293" s="8"/>
      <c r="AI1293" s="8"/>
      <c r="AJ1293" s="8"/>
      <c r="AK1293" s="8"/>
      <c r="AL1293" s="8"/>
      <c r="AM1293" s="100"/>
      <c r="AN1293" s="100"/>
      <c r="AO1293" s="8"/>
      <c r="AP1293" s="8"/>
      <c r="AQ1293" s="8"/>
      <c r="AS1293" s="8"/>
      <c r="AT1293" s="8"/>
      <c r="AU1293" s="8"/>
      <c r="AV1293" s="8"/>
      <c r="AW1293" s="8"/>
      <c r="AX1293" s="8"/>
      <c r="AY1293" s="8"/>
      <c r="AZ1293" s="8"/>
      <c r="BA1293" s="8"/>
      <c r="BB1293" s="8"/>
      <c r="BC1293" s="8"/>
      <c r="BD1293" s="8"/>
      <c r="BE1293" s="8"/>
      <c r="BG1293" s="8"/>
      <c r="BH1293" s="8"/>
      <c r="BI1293" s="8"/>
      <c r="BJ1293" s="8"/>
      <c r="BK1293" s="8"/>
      <c r="BL1293" s="8"/>
      <c r="BM1293" s="8"/>
      <c r="BN1293" s="8"/>
      <c r="BO1293" s="8"/>
      <c r="BP1293" s="8"/>
      <c r="BQ1293" s="8"/>
    </row>
    <row r="1294" spans="2:69">
      <c r="B1294" s="100" t="s">
        <v>340</v>
      </c>
      <c r="C1294" s="100"/>
      <c r="D1294" s="11"/>
      <c r="E1294" s="11"/>
      <c r="F1294" s="11"/>
      <c r="G1294" s="11"/>
      <c r="H1294" s="11"/>
      <c r="I1294" s="11"/>
      <c r="J1294" s="11"/>
      <c r="K1294" s="11"/>
      <c r="L1294" s="11"/>
      <c r="M1294" s="11"/>
      <c r="N1294" s="11"/>
      <c r="O1294" s="11"/>
      <c r="P1294" s="11"/>
      <c r="Q1294" s="11"/>
      <c r="R1294" s="11"/>
      <c r="S1294" s="11"/>
      <c r="T1294" s="11"/>
      <c r="U1294" s="11"/>
      <c r="V1294" s="8"/>
      <c r="W1294" s="8"/>
      <c r="X1294" s="8"/>
      <c r="Y1294" s="8"/>
      <c r="Z1294" s="8"/>
      <c r="AA1294" s="8"/>
      <c r="AB1294" s="8"/>
      <c r="AC1294" s="8"/>
      <c r="AD1294" s="11"/>
      <c r="AE1294" s="11"/>
      <c r="AF1294" s="11">
        <f t="shared" ref="AF1294:AN1294" si="4738">+AF152</f>
        <v>22074</v>
      </c>
      <c r="AG1294" s="11">
        <f t="shared" si="4738"/>
        <v>22602</v>
      </c>
      <c r="AH1294" s="11">
        <f t="shared" si="4738"/>
        <v>23926</v>
      </c>
      <c r="AI1294" s="11">
        <f t="shared" si="4738"/>
        <v>25549</v>
      </c>
      <c r="AJ1294" s="11">
        <f t="shared" si="4738"/>
        <v>25226</v>
      </c>
      <c r="AK1294" s="11">
        <f t="shared" si="4738"/>
        <v>25854</v>
      </c>
      <c r="AL1294" s="11">
        <f t="shared" si="4738"/>
        <v>27113</v>
      </c>
      <c r="AM1294" s="11">
        <f t="shared" si="4738"/>
        <v>28627</v>
      </c>
      <c r="AN1294" s="11">
        <f t="shared" si="4738"/>
        <v>28317</v>
      </c>
      <c r="AO1294" s="8"/>
      <c r="AP1294" s="8"/>
      <c r="AQ1294" s="8"/>
      <c r="AS1294" s="8"/>
      <c r="AT1294" s="8"/>
      <c r="AU1294" s="8"/>
      <c r="AV1294" s="8"/>
      <c r="AW1294" s="8"/>
      <c r="AX1294" s="8"/>
      <c r="AY1294" s="8"/>
      <c r="AZ1294" s="8"/>
      <c r="BA1294" s="8"/>
      <c r="BB1294" s="8"/>
      <c r="BC1294" s="8"/>
      <c r="BD1294" s="8"/>
      <c r="BE1294" s="8"/>
      <c r="BG1294" s="8"/>
      <c r="BH1294" s="8"/>
      <c r="BI1294" s="8"/>
      <c r="BJ1294" s="8"/>
      <c r="BK1294" s="8"/>
      <c r="BL1294" s="8"/>
      <c r="BM1294" s="11"/>
      <c r="BN1294" s="11">
        <f t="shared" ref="BN1294:BO1296" si="4739">+BN152</f>
        <v>94151</v>
      </c>
      <c r="BO1294" s="11">
        <f t="shared" si="4739"/>
        <v>106820</v>
      </c>
      <c r="BP1294" s="8"/>
      <c r="BQ1294" s="8"/>
    </row>
    <row r="1295" spans="2:69">
      <c r="B1295" s="100" t="s">
        <v>342</v>
      </c>
      <c r="C1295" s="100"/>
      <c r="D1295" s="11"/>
      <c r="E1295" s="11"/>
      <c r="F1295" s="11"/>
      <c r="G1295" s="11"/>
      <c r="H1295" s="11"/>
      <c r="I1295" s="11"/>
      <c r="J1295" s="11"/>
      <c r="K1295" s="11"/>
      <c r="L1295" s="11"/>
      <c r="M1295" s="11"/>
      <c r="N1295" s="11"/>
      <c r="O1295" s="11"/>
      <c r="P1295" s="11"/>
      <c r="Q1295" s="11"/>
      <c r="R1295" s="11"/>
      <c r="S1295" s="11"/>
      <c r="T1295" s="11"/>
      <c r="U1295" s="11"/>
      <c r="V1295" s="8"/>
      <c r="W1295" s="8"/>
      <c r="X1295" s="8"/>
      <c r="Y1295" s="8"/>
      <c r="Z1295" s="8"/>
      <c r="AA1295" s="8"/>
      <c r="AB1295" s="8"/>
      <c r="AC1295" s="8"/>
      <c r="AD1295" s="11"/>
      <c r="AE1295" s="11"/>
      <c r="AF1295" s="11">
        <f t="shared" ref="AF1295:AN1295" si="4740">+AF153</f>
        <v>16885</v>
      </c>
      <c r="AG1295" s="11">
        <f t="shared" si="4740"/>
        <v>17926</v>
      </c>
      <c r="AH1295" s="11">
        <f t="shared" si="4740"/>
        <v>18244</v>
      </c>
      <c r="AI1295" s="11">
        <f t="shared" si="4740"/>
        <v>19889</v>
      </c>
      <c r="AJ1295" s="11">
        <f t="shared" si="4740"/>
        <v>20013</v>
      </c>
      <c r="AK1295" s="11">
        <f t="shared" si="4740"/>
        <v>21525</v>
      </c>
      <c r="AL1295" s="11">
        <f t="shared" si="4740"/>
        <v>22141</v>
      </c>
      <c r="AM1295" s="11">
        <f t="shared" si="4740"/>
        <v>23785</v>
      </c>
      <c r="AN1295" s="11">
        <f t="shared" si="4740"/>
        <v>24092</v>
      </c>
      <c r="AO1295" s="8"/>
      <c r="AP1295" s="8"/>
      <c r="AQ1295" s="8"/>
      <c r="AS1295" s="8"/>
      <c r="AT1295" s="8"/>
      <c r="AU1295" s="8"/>
      <c r="AV1295" s="8"/>
      <c r="AW1295" s="8"/>
      <c r="AX1295" s="8"/>
      <c r="AY1295" s="8"/>
      <c r="AZ1295" s="8"/>
      <c r="BA1295" s="8"/>
      <c r="BB1295" s="8"/>
      <c r="BC1295" s="8"/>
      <c r="BD1295" s="8"/>
      <c r="BE1295" s="8"/>
      <c r="BG1295" s="8"/>
      <c r="BH1295" s="8"/>
      <c r="BI1295" s="8"/>
      <c r="BJ1295" s="8"/>
      <c r="BK1295" s="8"/>
      <c r="BL1295" s="8"/>
      <c r="BM1295" s="11"/>
      <c r="BN1295" s="11">
        <f t="shared" si="4739"/>
        <v>72944</v>
      </c>
      <c r="BO1295" s="11">
        <f t="shared" si="4739"/>
        <v>87464</v>
      </c>
      <c r="BP1295" s="8"/>
      <c r="BQ1295" s="8"/>
    </row>
    <row r="1296" spans="2:69">
      <c r="B1296" s="100" t="s">
        <v>344</v>
      </c>
      <c r="C1296" s="1003"/>
      <c r="D1296" s="940"/>
      <c r="E1296" s="940"/>
      <c r="F1296" s="940"/>
      <c r="G1296" s="940"/>
      <c r="H1296" s="940"/>
      <c r="I1296" s="940"/>
      <c r="J1296" s="940"/>
      <c r="K1296" s="940"/>
      <c r="L1296" s="940"/>
      <c r="M1296" s="940"/>
      <c r="N1296" s="940"/>
      <c r="O1296" s="940"/>
      <c r="P1296" s="940"/>
      <c r="Q1296" s="940"/>
      <c r="R1296" s="940"/>
      <c r="S1296" s="940"/>
      <c r="T1296" s="940"/>
      <c r="U1296" s="940"/>
      <c r="V1296" s="8"/>
      <c r="W1296" s="8"/>
      <c r="X1296" s="8"/>
      <c r="Y1296" s="8"/>
      <c r="Z1296" s="8"/>
      <c r="AA1296" s="8"/>
      <c r="AB1296" s="8"/>
      <c r="AC1296" s="8"/>
      <c r="AD1296" s="940"/>
      <c r="AE1296" s="940"/>
      <c r="AF1296" s="940">
        <f t="shared" ref="AF1296:AN1296" si="4741">+AF154</f>
        <v>11163</v>
      </c>
      <c r="AG1296" s="940">
        <f t="shared" si="4741"/>
        <v>12219</v>
      </c>
      <c r="AH1296" s="940">
        <f t="shared" si="4741"/>
        <v>10687</v>
      </c>
      <c r="AI1296" s="940">
        <f t="shared" si="4741"/>
        <v>10751</v>
      </c>
      <c r="AJ1296" s="940">
        <f t="shared" si="4741"/>
        <v>11278</v>
      </c>
      <c r="AK1296" s="940">
        <f t="shared" si="4741"/>
        <v>14641</v>
      </c>
      <c r="AL1296" s="940">
        <f t="shared" si="4741"/>
        <v>12604</v>
      </c>
      <c r="AM1296" s="940">
        <f t="shared" si="4741"/>
        <v>12315</v>
      </c>
      <c r="AN1296" s="940">
        <f t="shared" si="4741"/>
        <v>13176</v>
      </c>
      <c r="AO1296" s="8"/>
      <c r="AP1296" s="8"/>
      <c r="AQ1296" s="8"/>
      <c r="AS1296" s="8"/>
      <c r="AT1296" s="8"/>
      <c r="AU1296" s="8"/>
      <c r="AV1296" s="8"/>
      <c r="AW1296" s="8"/>
      <c r="AX1296" s="8"/>
      <c r="AY1296" s="8"/>
      <c r="AZ1296" s="8"/>
      <c r="BA1296" s="8"/>
      <c r="BB1296" s="8"/>
      <c r="BC1296" s="8"/>
      <c r="BD1296" s="8"/>
      <c r="BE1296" s="8"/>
      <c r="BG1296" s="8"/>
      <c r="BH1296" s="8"/>
      <c r="BI1296" s="8"/>
      <c r="BJ1296" s="8"/>
      <c r="BK1296" s="8"/>
      <c r="BL1296" s="8"/>
      <c r="BM1296" s="940"/>
      <c r="BN1296" s="940">
        <f t="shared" si="4739"/>
        <v>44820</v>
      </c>
      <c r="BO1296" s="940">
        <f t="shared" si="4739"/>
        <v>50838</v>
      </c>
      <c r="BP1296" s="8"/>
      <c r="BQ1296" s="8"/>
    </row>
    <row r="1297" spans="2:69" ht="10.5">
      <c r="B1297" s="873" t="s">
        <v>523</v>
      </c>
      <c r="C1297" s="849"/>
      <c r="D1297" s="849">
        <f t="shared" ref="D1297:AE1297" si="4742">+D12</f>
        <v>20910</v>
      </c>
      <c r="E1297" s="849">
        <f t="shared" si="4742"/>
        <v>25253</v>
      </c>
      <c r="F1297" s="849">
        <f t="shared" si="4742"/>
        <v>21517</v>
      </c>
      <c r="G1297" s="849">
        <f t="shared" si="4742"/>
        <v>23474</v>
      </c>
      <c r="H1297" s="849">
        <f t="shared" si="4742"/>
        <v>21928</v>
      </c>
      <c r="I1297" s="849">
        <f t="shared" si="4742"/>
        <v>25826</v>
      </c>
      <c r="J1297" s="849">
        <f t="shared" si="4742"/>
        <v>23212</v>
      </c>
      <c r="K1297" s="849">
        <f t="shared" si="4742"/>
        <v>25605</v>
      </c>
      <c r="L1297" s="849">
        <f t="shared" si="4742"/>
        <v>24538</v>
      </c>
      <c r="M1297" s="849">
        <f t="shared" si="4742"/>
        <v>28918</v>
      </c>
      <c r="N1297" s="849">
        <f t="shared" si="4742"/>
        <v>26819</v>
      </c>
      <c r="O1297" s="849">
        <f t="shared" si="4742"/>
        <v>30085</v>
      </c>
      <c r="P1297" s="849">
        <f t="shared" si="4742"/>
        <v>29084</v>
      </c>
      <c r="Q1297" s="849">
        <f t="shared" si="4742"/>
        <v>32471</v>
      </c>
      <c r="R1297" s="849">
        <f t="shared" si="4742"/>
        <v>30571</v>
      </c>
      <c r="S1297" s="849">
        <f t="shared" si="4742"/>
        <v>33717</v>
      </c>
      <c r="T1297" s="849">
        <f t="shared" si="4742"/>
        <v>33055</v>
      </c>
      <c r="U1297" s="849">
        <f t="shared" si="4742"/>
        <v>36906</v>
      </c>
      <c r="V1297" s="849">
        <f t="shared" si="4742"/>
        <v>35021</v>
      </c>
      <c r="W1297" s="849">
        <f t="shared" si="4742"/>
        <v>38033</v>
      </c>
      <c r="X1297" s="849">
        <f t="shared" si="4742"/>
        <v>37154</v>
      </c>
      <c r="Y1297" s="849">
        <f t="shared" si="4742"/>
        <v>43076</v>
      </c>
      <c r="Z1297" s="849">
        <f t="shared" si="4742"/>
        <v>41706</v>
      </c>
      <c r="AA1297" s="849">
        <f t="shared" si="4742"/>
        <v>46152</v>
      </c>
      <c r="AB1297" s="849">
        <f t="shared" si="4742"/>
        <v>45317</v>
      </c>
      <c r="AC1297" s="849">
        <f t="shared" si="4742"/>
        <v>51728</v>
      </c>
      <c r="AD1297" s="849">
        <f t="shared" si="4742"/>
        <v>49360</v>
      </c>
      <c r="AE1297" s="849">
        <f t="shared" si="4742"/>
        <v>51865</v>
      </c>
      <c r="AF1297" s="849">
        <f t="shared" ref="AF1297:AM1297" si="4743">SUM(AF1294:AF1296)</f>
        <v>50122</v>
      </c>
      <c r="AG1297" s="849">
        <f t="shared" si="4743"/>
        <v>52747</v>
      </c>
      <c r="AH1297" s="849">
        <f t="shared" si="4743"/>
        <v>52857</v>
      </c>
      <c r="AI1297" s="849">
        <f t="shared" si="4743"/>
        <v>56189</v>
      </c>
      <c r="AJ1297" s="849">
        <f t="shared" si="4743"/>
        <v>56517</v>
      </c>
      <c r="AK1297" s="849">
        <f t="shared" si="4743"/>
        <v>62020</v>
      </c>
      <c r="AL1297" s="849">
        <f t="shared" si="4743"/>
        <v>61858</v>
      </c>
      <c r="AM1297" s="849">
        <f t="shared" si="4743"/>
        <v>64727</v>
      </c>
      <c r="AN1297" s="849">
        <f t="shared" ref="AN1297" si="4744">SUM(AN1294:AN1296)</f>
        <v>65585</v>
      </c>
      <c r="AO1297" s="8"/>
      <c r="AP1297" s="8"/>
      <c r="AQ1297" s="8"/>
      <c r="AS1297" s="8"/>
      <c r="AT1297" s="8"/>
      <c r="AU1297" s="8"/>
      <c r="AV1297" s="8"/>
      <c r="AW1297" s="8"/>
      <c r="AX1297" s="8"/>
      <c r="AY1297" s="8"/>
      <c r="AZ1297" s="8"/>
      <c r="BA1297" s="8"/>
      <c r="BB1297" s="8"/>
      <c r="BC1297" s="8"/>
      <c r="BD1297" s="8"/>
      <c r="BE1297" s="8"/>
      <c r="BG1297" s="8"/>
      <c r="BH1297" s="849">
        <f t="shared" ref="BH1297:BN1297" si="4745">+BH12</f>
        <v>96571</v>
      </c>
      <c r="BI1297" s="849">
        <f t="shared" si="4745"/>
        <v>110360</v>
      </c>
      <c r="BJ1297" s="849">
        <f t="shared" si="4745"/>
        <v>125843</v>
      </c>
      <c r="BK1297" s="849">
        <f t="shared" si="4745"/>
        <v>143015</v>
      </c>
      <c r="BL1297" s="849">
        <f t="shared" si="4745"/>
        <v>168088</v>
      </c>
      <c r="BM1297" s="849">
        <f t="shared" si="4745"/>
        <v>198270</v>
      </c>
      <c r="BN1297" s="849">
        <f t="shared" si="4745"/>
        <v>211915</v>
      </c>
      <c r="BO1297" s="849">
        <f t="shared" ref="BO1297" si="4746">SUM(BO1294:BO1296)</f>
        <v>245122</v>
      </c>
      <c r="BP1297" s="8"/>
      <c r="BQ1297" s="8"/>
    </row>
    <row r="1298" spans="2:69">
      <c r="V1298" s="8"/>
      <c r="W1298" s="8"/>
      <c r="X1298" s="8"/>
      <c r="Y1298" s="8"/>
      <c r="Z1298" s="8"/>
      <c r="AA1298" s="8"/>
      <c r="AB1298" s="8"/>
      <c r="AC1298" s="8"/>
      <c r="AD1298" s="8"/>
      <c r="AE1298" s="8"/>
      <c r="AF1298" s="8"/>
      <c r="AG1298" s="8"/>
      <c r="AH1298" s="8"/>
      <c r="AI1298" s="8"/>
      <c r="AJ1298" s="8"/>
      <c r="AK1298" s="8"/>
      <c r="AL1298" s="8"/>
      <c r="AO1298" s="8"/>
      <c r="AP1298" s="8"/>
      <c r="AQ1298" s="8"/>
      <c r="AS1298" s="8"/>
      <c r="AT1298" s="8"/>
      <c r="AU1298" s="8"/>
      <c r="AV1298" s="8"/>
      <c r="AW1298" s="8"/>
      <c r="AX1298" s="8"/>
      <c r="AY1298" s="8"/>
      <c r="AZ1298" s="8"/>
      <c r="BA1298" s="8"/>
      <c r="BB1298" s="8"/>
      <c r="BC1298" s="8"/>
      <c r="BD1298" s="8"/>
      <c r="BE1298" s="8"/>
      <c r="BG1298" s="8"/>
      <c r="BH1298" s="8"/>
      <c r="BI1298" s="8"/>
      <c r="BJ1298" s="8"/>
      <c r="BK1298" s="8"/>
      <c r="BL1298" s="8"/>
      <c r="BM1298" s="8"/>
      <c r="BN1298" s="8"/>
      <c r="BO1298" s="8"/>
      <c r="BP1298" s="8"/>
      <c r="BQ1298" s="8"/>
    </row>
    <row r="1299" spans="2:69" ht="10.5">
      <c r="B1299" s="958" t="s">
        <v>669</v>
      </c>
      <c r="C1299" s="100"/>
      <c r="D1299" s="100"/>
      <c r="E1299" s="100"/>
      <c r="F1299" s="100"/>
      <c r="G1299" s="100"/>
      <c r="H1299" s="100"/>
      <c r="I1299" s="100"/>
      <c r="J1299" s="100"/>
      <c r="K1299" s="100"/>
      <c r="L1299" s="100"/>
      <c r="M1299" s="100"/>
      <c r="N1299" s="100"/>
      <c r="O1299" s="100"/>
      <c r="P1299" s="100"/>
      <c r="Q1299" s="100"/>
      <c r="R1299" s="100"/>
      <c r="S1299" s="100"/>
      <c r="T1299" s="100"/>
      <c r="U1299" s="100"/>
      <c r="V1299" s="8"/>
      <c r="W1299" s="8"/>
      <c r="X1299" s="8"/>
      <c r="Y1299" s="8"/>
      <c r="Z1299" s="8"/>
      <c r="AA1299" s="8"/>
      <c r="AB1299" s="8"/>
      <c r="AC1299" s="8"/>
      <c r="AD1299" s="8"/>
      <c r="AE1299" s="8"/>
      <c r="AF1299" s="8"/>
      <c r="AG1299" s="8"/>
      <c r="AH1299" s="8"/>
      <c r="AI1299" s="8"/>
      <c r="AJ1299" s="8"/>
      <c r="AK1299" s="8"/>
      <c r="AL1299" s="8"/>
      <c r="AM1299" s="100"/>
      <c r="AN1299" s="100"/>
      <c r="AO1299" s="8"/>
      <c r="AP1299" s="8"/>
      <c r="AQ1299" s="8"/>
      <c r="AS1299" s="8"/>
      <c r="AT1299" s="8"/>
      <c r="AU1299" s="8"/>
      <c r="AV1299" s="8"/>
      <c r="AW1299" s="8"/>
      <c r="AX1299" s="8"/>
      <c r="AY1299" s="8"/>
      <c r="AZ1299" s="8"/>
      <c r="BA1299" s="8"/>
      <c r="BB1299" s="8"/>
      <c r="BC1299" s="8"/>
      <c r="BD1299" s="8"/>
      <c r="BE1299" s="8"/>
      <c r="BG1299" s="8"/>
      <c r="BH1299" s="8"/>
      <c r="BI1299" s="8"/>
      <c r="BJ1299" s="8"/>
      <c r="BK1299" s="8"/>
      <c r="BL1299" s="8"/>
      <c r="BM1299" s="8"/>
      <c r="BN1299" s="8"/>
      <c r="BO1299" s="8"/>
      <c r="BP1299" s="8"/>
      <c r="BQ1299" s="8"/>
    </row>
    <row r="1300" spans="2:69">
      <c r="B1300" s="100" t="s">
        <v>340</v>
      </c>
      <c r="C1300" s="100"/>
      <c r="D1300" s="11"/>
      <c r="E1300" s="11"/>
      <c r="F1300" s="11"/>
      <c r="G1300" s="11"/>
      <c r="H1300" s="11"/>
      <c r="I1300" s="11"/>
      <c r="J1300" s="11"/>
      <c r="K1300" s="11"/>
      <c r="L1300" s="11"/>
      <c r="M1300" s="11"/>
      <c r="N1300" s="11"/>
      <c r="O1300" s="11"/>
      <c r="P1300" s="11"/>
      <c r="Q1300" s="11"/>
      <c r="R1300" s="11"/>
      <c r="S1300" s="11"/>
      <c r="T1300" s="11"/>
      <c r="U1300" s="11"/>
      <c r="V1300" s="8"/>
      <c r="W1300" s="8"/>
      <c r="X1300" s="8"/>
      <c r="Y1300" s="8"/>
      <c r="Z1300" s="8"/>
      <c r="AA1300" s="8"/>
      <c r="AB1300" s="8"/>
      <c r="AC1300" s="8"/>
      <c r="AD1300" s="8"/>
      <c r="AE1300" s="8"/>
      <c r="AF1300" s="8"/>
      <c r="AG1300" s="8"/>
      <c r="AH1300" s="8"/>
      <c r="AI1300" s="8"/>
      <c r="AJ1300" s="8"/>
      <c r="AK1300" s="8"/>
      <c r="AL1300" s="8"/>
      <c r="AM1300" s="11"/>
      <c r="AN1300" s="11">
        <f t="shared" ref="AM1300:AN1303" si="4747">+AN1294+AN1288</f>
        <v>25147</v>
      </c>
      <c r="AO1300" s="8"/>
      <c r="AP1300" s="8"/>
      <c r="AQ1300" s="8"/>
      <c r="AS1300" s="8"/>
      <c r="AT1300" s="8"/>
      <c r="AU1300" s="8"/>
      <c r="AV1300" s="8"/>
      <c r="AW1300" s="8"/>
      <c r="AX1300" s="8"/>
      <c r="AY1300" s="8"/>
      <c r="AZ1300" s="8"/>
      <c r="BA1300" s="8"/>
      <c r="BB1300" s="8"/>
      <c r="BC1300" s="8"/>
      <c r="BD1300" s="8"/>
      <c r="BE1300" s="8"/>
      <c r="BG1300" s="8"/>
      <c r="BH1300" s="8"/>
      <c r="BI1300" s="8"/>
      <c r="BJ1300" s="8"/>
      <c r="BK1300" s="8"/>
      <c r="BL1300" s="8"/>
      <c r="BM1300" s="8"/>
      <c r="BN1300" s="8"/>
      <c r="BO1300" s="11"/>
      <c r="BP1300" s="8"/>
      <c r="BQ1300" s="8"/>
    </row>
    <row r="1301" spans="2:69">
      <c r="B1301" s="100" t="s">
        <v>342</v>
      </c>
      <c r="C1301" s="100"/>
      <c r="D1301" s="11"/>
      <c r="E1301" s="11"/>
      <c r="F1301" s="11"/>
      <c r="G1301" s="11"/>
      <c r="H1301" s="11"/>
      <c r="I1301" s="11"/>
      <c r="J1301" s="11"/>
      <c r="K1301" s="11"/>
      <c r="L1301" s="11"/>
      <c r="M1301" s="11"/>
      <c r="N1301" s="11"/>
      <c r="O1301" s="11"/>
      <c r="P1301" s="11"/>
      <c r="Q1301" s="11"/>
      <c r="R1301" s="11"/>
      <c r="S1301" s="11"/>
      <c r="T1301" s="11"/>
      <c r="U1301" s="11"/>
      <c r="V1301" s="8"/>
      <c r="W1301" s="8"/>
      <c r="X1301" s="8"/>
      <c r="Y1301" s="8"/>
      <c r="Z1301" s="8"/>
      <c r="AA1301" s="8"/>
      <c r="AB1301" s="8"/>
      <c r="AC1301" s="8"/>
      <c r="AD1301" s="8"/>
      <c r="AE1301" s="8"/>
      <c r="AF1301" s="8"/>
      <c r="AG1301" s="8"/>
      <c r="AH1301" s="8"/>
      <c r="AI1301" s="8"/>
      <c r="AJ1301" s="8"/>
      <c r="AK1301" s="8"/>
      <c r="AL1301" s="8"/>
      <c r="AM1301" s="11"/>
      <c r="AN1301" s="11">
        <f t="shared" si="4747"/>
        <v>22806</v>
      </c>
      <c r="AO1301" s="8"/>
      <c r="AP1301" s="8"/>
      <c r="AQ1301" s="8"/>
      <c r="AS1301" s="8"/>
      <c r="AT1301" s="8"/>
      <c r="AU1301" s="8"/>
      <c r="AV1301" s="8"/>
      <c r="AW1301" s="8"/>
      <c r="AX1301" s="8"/>
      <c r="AY1301" s="8"/>
      <c r="AZ1301" s="8"/>
      <c r="BA1301" s="8"/>
      <c r="BB1301" s="8"/>
      <c r="BC1301" s="8"/>
      <c r="BD1301" s="8"/>
      <c r="BE1301" s="8"/>
      <c r="BG1301" s="8"/>
      <c r="BH1301" s="8"/>
      <c r="BI1301" s="8"/>
      <c r="BJ1301" s="8"/>
      <c r="BK1301" s="8"/>
      <c r="BL1301" s="8"/>
      <c r="BM1301" s="8"/>
      <c r="BN1301" s="8"/>
      <c r="BO1301" s="11"/>
      <c r="BP1301" s="8"/>
      <c r="BQ1301" s="8"/>
    </row>
    <row r="1302" spans="2:69">
      <c r="B1302" s="100" t="s">
        <v>344</v>
      </c>
      <c r="C1302" s="1003"/>
      <c r="D1302" s="940"/>
      <c r="E1302" s="940"/>
      <c r="F1302" s="940"/>
      <c r="G1302" s="940"/>
      <c r="H1302" s="940"/>
      <c r="I1302" s="940"/>
      <c r="J1302" s="940"/>
      <c r="K1302" s="940"/>
      <c r="L1302" s="940"/>
      <c r="M1302" s="940"/>
      <c r="N1302" s="940"/>
      <c r="O1302" s="940"/>
      <c r="P1302" s="940"/>
      <c r="Q1302" s="940"/>
      <c r="R1302" s="940"/>
      <c r="S1302" s="940"/>
      <c r="T1302" s="940"/>
      <c r="U1302" s="940"/>
      <c r="V1302" s="8"/>
      <c r="W1302" s="8"/>
      <c r="X1302" s="8"/>
      <c r="Y1302" s="8"/>
      <c r="Z1302" s="8"/>
      <c r="AA1302" s="8"/>
      <c r="AB1302" s="8"/>
      <c r="AC1302" s="8"/>
      <c r="AD1302" s="8"/>
      <c r="AE1302" s="8"/>
      <c r="AF1302" s="8"/>
      <c r="AG1302" s="8"/>
      <c r="AH1302" s="8"/>
      <c r="AI1302" s="8"/>
      <c r="AJ1302" s="8"/>
      <c r="AK1302" s="8"/>
      <c r="AL1302" s="8"/>
      <c r="AM1302" s="940"/>
      <c r="AN1302" s="940">
        <f t="shared" si="4747"/>
        <v>13137</v>
      </c>
      <c r="AO1302" s="8"/>
      <c r="AP1302" s="8"/>
      <c r="AQ1302" s="8"/>
      <c r="AS1302" s="8"/>
      <c r="AT1302" s="8"/>
      <c r="AU1302" s="8"/>
      <c r="AV1302" s="8"/>
      <c r="AW1302" s="8"/>
      <c r="AX1302" s="8"/>
      <c r="AY1302" s="8"/>
      <c r="AZ1302" s="8"/>
      <c r="BA1302" s="8"/>
      <c r="BB1302" s="8"/>
      <c r="BC1302" s="8"/>
      <c r="BD1302" s="8"/>
      <c r="BE1302" s="8"/>
      <c r="BG1302" s="8"/>
      <c r="BH1302" s="8"/>
      <c r="BI1302" s="8"/>
      <c r="BJ1302" s="8"/>
      <c r="BK1302" s="8"/>
      <c r="BL1302" s="8"/>
      <c r="BM1302" s="8"/>
      <c r="BN1302" s="8"/>
      <c r="BO1302" s="940"/>
      <c r="BP1302" s="8"/>
      <c r="BQ1302" s="8"/>
    </row>
    <row r="1303" spans="2:69" ht="10.5">
      <c r="B1303" s="873" t="s">
        <v>670</v>
      </c>
      <c r="C1303" s="849"/>
      <c r="D1303" s="849">
        <f t="shared" ref="D1303:AL1303" si="4748">+D1297+D1291</f>
        <v>20910</v>
      </c>
      <c r="E1303" s="849">
        <f t="shared" si="4748"/>
        <v>25253</v>
      </c>
      <c r="F1303" s="849">
        <f t="shared" si="4748"/>
        <v>21517</v>
      </c>
      <c r="G1303" s="849">
        <f t="shared" si="4748"/>
        <v>23474</v>
      </c>
      <c r="H1303" s="849">
        <f t="shared" si="4748"/>
        <v>21928</v>
      </c>
      <c r="I1303" s="849">
        <f t="shared" si="4748"/>
        <v>25826</v>
      </c>
      <c r="J1303" s="849">
        <f t="shared" si="4748"/>
        <v>23212</v>
      </c>
      <c r="K1303" s="849">
        <f t="shared" si="4748"/>
        <v>25605</v>
      </c>
      <c r="L1303" s="849">
        <f t="shared" si="4748"/>
        <v>24538</v>
      </c>
      <c r="M1303" s="849">
        <f t="shared" si="4748"/>
        <v>28918</v>
      </c>
      <c r="N1303" s="849">
        <f t="shared" si="4748"/>
        <v>26819</v>
      </c>
      <c r="O1303" s="849">
        <f t="shared" si="4748"/>
        <v>30085</v>
      </c>
      <c r="P1303" s="849">
        <f t="shared" si="4748"/>
        <v>29084</v>
      </c>
      <c r="Q1303" s="849">
        <f t="shared" si="4748"/>
        <v>32471</v>
      </c>
      <c r="R1303" s="849">
        <f t="shared" si="4748"/>
        <v>30571</v>
      </c>
      <c r="S1303" s="849">
        <f t="shared" si="4748"/>
        <v>33717</v>
      </c>
      <c r="T1303" s="849">
        <f t="shared" si="4748"/>
        <v>29875</v>
      </c>
      <c r="U1303" s="849">
        <f t="shared" si="4748"/>
        <v>34101</v>
      </c>
      <c r="V1303" s="849">
        <f t="shared" si="4748"/>
        <v>34197</v>
      </c>
      <c r="W1303" s="849">
        <f t="shared" si="4748"/>
        <v>46816</v>
      </c>
      <c r="X1303" s="849">
        <f t="shared" si="4748"/>
        <v>34279</v>
      </c>
      <c r="Y1303" s="849">
        <f t="shared" si="4748"/>
        <v>40158</v>
      </c>
      <c r="Z1303" s="849">
        <f t="shared" si="4748"/>
        <v>41033</v>
      </c>
      <c r="AA1303" s="849">
        <f t="shared" si="4748"/>
        <v>57579</v>
      </c>
      <c r="AB1303" s="849">
        <f t="shared" si="4748"/>
        <v>42191</v>
      </c>
      <c r="AC1303" s="849">
        <f t="shared" si="4748"/>
        <v>47482</v>
      </c>
      <c r="AD1303" s="849">
        <f t="shared" si="4748"/>
        <v>49387</v>
      </c>
      <c r="AE1303" s="849">
        <f t="shared" si="4748"/>
        <v>63477</v>
      </c>
      <c r="AF1303" s="849">
        <f t="shared" si="4748"/>
        <v>45603</v>
      </c>
      <c r="AG1303" s="849">
        <f t="shared" si="4748"/>
        <v>48484</v>
      </c>
      <c r="AH1303" s="849">
        <f t="shared" si="4748"/>
        <v>52832</v>
      </c>
      <c r="AI1303" s="849">
        <f t="shared" si="4748"/>
        <v>70401</v>
      </c>
      <c r="AJ1303" s="849">
        <f t="shared" si="4748"/>
        <v>51892</v>
      </c>
      <c r="AK1303" s="849">
        <f t="shared" si="4748"/>
        <v>58866</v>
      </c>
      <c r="AL1303" s="849">
        <f t="shared" si="4748"/>
        <v>60657</v>
      </c>
      <c r="AM1303" s="849">
        <f t="shared" si="4747"/>
        <v>80078</v>
      </c>
      <c r="AN1303" s="849">
        <f t="shared" si="4747"/>
        <v>61090</v>
      </c>
      <c r="AO1303" s="8"/>
      <c r="AP1303" s="8"/>
      <c r="AQ1303" s="8"/>
      <c r="AS1303" s="8"/>
      <c r="AT1303" s="8"/>
      <c r="AU1303" s="8"/>
      <c r="AV1303" s="8"/>
      <c r="AW1303" s="8"/>
      <c r="AX1303" s="8"/>
      <c r="AY1303" s="8"/>
      <c r="AZ1303" s="8"/>
      <c r="BA1303" s="8"/>
      <c r="BB1303" s="8"/>
      <c r="BC1303" s="8"/>
      <c r="BD1303" s="8"/>
      <c r="BE1303" s="8"/>
      <c r="BG1303" s="8"/>
      <c r="BH1303" s="849">
        <f t="shared" ref="BH1303:BN1303" si="4749">+BH1297+BH1291</f>
        <v>96571</v>
      </c>
      <c r="BI1303" s="849">
        <f t="shared" si="4749"/>
        <v>116424</v>
      </c>
      <c r="BJ1303" s="849">
        <f t="shared" si="4749"/>
        <v>130329</v>
      </c>
      <c r="BK1303" s="849">
        <f t="shared" si="4749"/>
        <v>144989</v>
      </c>
      <c r="BL1303" s="849">
        <f t="shared" si="4749"/>
        <v>173049</v>
      </c>
      <c r="BM1303" s="849">
        <f t="shared" si="4749"/>
        <v>202537</v>
      </c>
      <c r="BN1303" s="849">
        <f t="shared" si="4749"/>
        <v>217320</v>
      </c>
      <c r="BO1303" s="849">
        <f t="shared" ref="BO1303" si="4750">+BO1297+BO1291</f>
        <v>251493</v>
      </c>
      <c r="BP1303" s="8"/>
      <c r="BQ1303" s="8"/>
    </row>
    <row r="1304" spans="2:69">
      <c r="V1304" s="8"/>
      <c r="W1304" s="8"/>
      <c r="X1304" s="8"/>
      <c r="Y1304" s="8"/>
      <c r="Z1304" s="8"/>
      <c r="AA1304" s="8"/>
      <c r="AB1304" s="8"/>
      <c r="AC1304" s="8"/>
      <c r="AD1304" s="8"/>
      <c r="AE1304" s="8"/>
      <c r="AF1304" s="8"/>
      <c r="AG1304" s="8"/>
      <c r="AH1304" s="8"/>
      <c r="AI1304" s="8"/>
      <c r="AJ1304" s="8"/>
      <c r="AK1304" s="8"/>
      <c r="AL1304" s="8"/>
      <c r="AO1304" s="8"/>
      <c r="AP1304" s="8"/>
      <c r="AQ1304" s="8"/>
      <c r="AS1304" s="8"/>
      <c r="AT1304" s="8"/>
      <c r="AU1304" s="8"/>
      <c r="AV1304" s="8"/>
      <c r="AW1304" s="8"/>
      <c r="AX1304" s="8"/>
      <c r="AY1304" s="8"/>
      <c r="AZ1304" s="8"/>
      <c r="BA1304" s="8"/>
      <c r="BB1304" s="8"/>
      <c r="BC1304" s="8"/>
      <c r="BD1304" s="8"/>
      <c r="BE1304" s="8"/>
      <c r="BG1304" s="8"/>
      <c r="BH1304" s="8"/>
      <c r="BI1304" s="8"/>
      <c r="BJ1304" s="8"/>
      <c r="BK1304" s="8"/>
      <c r="BL1304" s="8"/>
      <c r="BM1304" s="8"/>
      <c r="BN1304" s="8"/>
      <c r="BO1304" s="8"/>
      <c r="BP1304" s="8"/>
      <c r="BQ1304" s="8"/>
    </row>
    <row r="1305" spans="2:69">
      <c r="B1305" s="24" t="s">
        <v>113</v>
      </c>
      <c r="C1305" s="3"/>
      <c r="D1305" s="3"/>
      <c r="E1305" s="3"/>
      <c r="F1305" s="3"/>
      <c r="G1305" s="3"/>
      <c r="H1305" s="3"/>
      <c r="I1305" s="3"/>
      <c r="J1305" s="3"/>
      <c r="K1305" s="3"/>
      <c r="L1305" s="3"/>
      <c r="M1305" s="3"/>
      <c r="N1305" s="3"/>
      <c r="O1305" s="3"/>
      <c r="P1305" s="3"/>
      <c r="Q1305" s="3"/>
      <c r="R1305" s="3"/>
      <c r="S1305" s="3"/>
      <c r="T1305" s="3"/>
      <c r="U1305" s="3"/>
      <c r="V1305" s="8"/>
      <c r="W1305" s="8"/>
      <c r="X1305" s="8"/>
      <c r="Y1305" s="8"/>
      <c r="Z1305" s="8"/>
      <c r="AA1305" s="8"/>
      <c r="AB1305" s="8"/>
      <c r="AC1305" s="8"/>
      <c r="AD1305" s="8"/>
      <c r="AE1305" s="8"/>
      <c r="AF1305" s="8"/>
      <c r="AG1305" s="8"/>
      <c r="AH1305" s="8"/>
      <c r="AI1305" s="8"/>
      <c r="AJ1305" s="8"/>
      <c r="AK1305" s="8"/>
      <c r="AL1305" s="8"/>
      <c r="AM1305" s="3"/>
      <c r="AN1305" s="3"/>
      <c r="AO1305" s="8"/>
      <c r="AP1305" s="8"/>
      <c r="AQ1305" s="8"/>
      <c r="AS1305" s="8"/>
      <c r="AT1305" s="8"/>
      <c r="AU1305" s="8"/>
      <c r="AV1305" s="8"/>
      <c r="AW1305" s="8"/>
      <c r="AX1305" s="8"/>
      <c r="AY1305" s="8"/>
      <c r="AZ1305" s="8"/>
      <c r="BA1305" s="8"/>
      <c r="BB1305" s="8"/>
      <c r="BC1305" s="8"/>
      <c r="BD1305" s="8"/>
      <c r="BE1305" s="8"/>
      <c r="BG1305" s="8"/>
      <c r="BH1305" s="8"/>
      <c r="BI1305" s="8"/>
      <c r="BJ1305" s="8"/>
      <c r="BK1305" s="8"/>
      <c r="BL1305" s="8"/>
      <c r="BM1305" s="8"/>
      <c r="BN1305" s="8"/>
      <c r="BO1305" s="8"/>
      <c r="BP1305" s="8"/>
      <c r="BQ1305" s="8"/>
    </row>
    <row r="1306" spans="2:69">
      <c r="B1306" s="13" t="str">
        <f>+B1300</f>
        <v>Productivity and Business Processes</v>
      </c>
      <c r="C1306" s="3"/>
      <c r="D1306" s="228"/>
      <c r="E1306" s="228"/>
      <c r="F1306" s="228"/>
      <c r="G1306" s="228"/>
      <c r="H1306" s="228"/>
      <c r="I1306" s="228"/>
      <c r="J1306" s="228"/>
      <c r="K1306" s="228"/>
      <c r="L1306" s="228"/>
      <c r="M1306" s="228"/>
      <c r="N1306" s="228"/>
      <c r="O1306" s="228"/>
      <c r="P1306" s="228"/>
      <c r="Q1306" s="228"/>
      <c r="R1306" s="228"/>
      <c r="S1306" s="228"/>
      <c r="T1306" s="228"/>
      <c r="U1306" s="228"/>
      <c r="V1306" s="8"/>
      <c r="W1306" s="8"/>
      <c r="X1306" s="8"/>
      <c r="Y1306" s="8"/>
      <c r="Z1306" s="8"/>
      <c r="AA1306" s="8"/>
      <c r="AB1306" s="8"/>
      <c r="AC1306" s="8"/>
      <c r="AD1306" s="8"/>
      <c r="AE1306" s="8"/>
      <c r="AF1306" s="8"/>
      <c r="AG1306" s="8"/>
      <c r="AH1306" s="8"/>
      <c r="AI1306" s="8"/>
      <c r="AJ1306" s="8"/>
      <c r="AK1306" s="8"/>
      <c r="AL1306" s="8"/>
      <c r="AM1306" s="228"/>
      <c r="AN1306" s="228"/>
      <c r="AO1306" s="8"/>
      <c r="AP1306" s="8"/>
      <c r="AQ1306" s="8"/>
      <c r="AS1306" s="8"/>
      <c r="AT1306" s="8"/>
      <c r="AU1306" s="8"/>
      <c r="AV1306" s="8"/>
      <c r="AW1306" s="8"/>
      <c r="AX1306" s="8"/>
      <c r="AY1306" s="8"/>
      <c r="AZ1306" s="8"/>
      <c r="BA1306" s="8"/>
      <c r="BB1306" s="8"/>
      <c r="BC1306" s="8"/>
      <c r="BD1306" s="8"/>
      <c r="BE1306" s="8"/>
      <c r="BG1306" s="8"/>
      <c r="BH1306" s="8"/>
      <c r="BI1306" s="8"/>
      <c r="BJ1306" s="8"/>
      <c r="BK1306" s="8"/>
      <c r="BL1306" s="8"/>
      <c r="BM1306" s="8"/>
      <c r="BN1306" s="8"/>
      <c r="BO1306" s="8"/>
      <c r="BP1306" s="8"/>
      <c r="BQ1306" s="8"/>
    </row>
    <row r="1307" spans="2:69">
      <c r="B1307" s="13" t="str">
        <f t="shared" ref="B1307:B1309" si="4751">+B1301</f>
        <v>Intelligent Cloud</v>
      </c>
      <c r="C1307" s="3"/>
      <c r="D1307" s="228"/>
      <c r="E1307" s="228"/>
      <c r="F1307" s="228"/>
      <c r="G1307" s="228"/>
      <c r="H1307" s="228"/>
      <c r="I1307" s="228"/>
      <c r="J1307" s="228"/>
      <c r="K1307" s="228"/>
      <c r="L1307" s="228"/>
      <c r="M1307" s="228"/>
      <c r="N1307" s="228"/>
      <c r="O1307" s="228"/>
      <c r="P1307" s="228"/>
      <c r="Q1307" s="228"/>
      <c r="R1307" s="228"/>
      <c r="S1307" s="228"/>
      <c r="T1307" s="228"/>
      <c r="U1307" s="228"/>
      <c r="V1307" s="8"/>
      <c r="W1307" s="8"/>
      <c r="X1307" s="8"/>
      <c r="Y1307" s="8"/>
      <c r="Z1307" s="8"/>
      <c r="AA1307" s="8"/>
      <c r="AB1307" s="8"/>
      <c r="AC1307" s="8"/>
      <c r="AD1307" s="8"/>
      <c r="AE1307" s="8"/>
      <c r="AF1307" s="8"/>
      <c r="AG1307" s="8"/>
      <c r="AH1307" s="8"/>
      <c r="AI1307" s="8"/>
      <c r="AJ1307" s="8"/>
      <c r="AK1307" s="8"/>
      <c r="AL1307" s="8"/>
      <c r="AM1307" s="228"/>
      <c r="AN1307" s="228"/>
      <c r="AO1307" s="8"/>
      <c r="AP1307" s="8"/>
      <c r="AQ1307" s="8"/>
      <c r="AS1307" s="8"/>
      <c r="AT1307" s="8"/>
      <c r="AU1307" s="8"/>
      <c r="AV1307" s="8"/>
      <c r="AW1307" s="8"/>
      <c r="AX1307" s="8"/>
      <c r="AY1307" s="8"/>
      <c r="AZ1307" s="8"/>
      <c r="BA1307" s="8"/>
      <c r="BB1307" s="8"/>
      <c r="BC1307" s="8"/>
      <c r="BD1307" s="8"/>
      <c r="BE1307" s="8"/>
      <c r="BG1307" s="8"/>
      <c r="BH1307" s="8"/>
      <c r="BI1307" s="8"/>
      <c r="BJ1307" s="8"/>
      <c r="BK1307" s="8"/>
      <c r="BL1307" s="8"/>
      <c r="BM1307" s="8"/>
      <c r="BN1307" s="8"/>
      <c r="BO1307" s="8"/>
      <c r="BP1307" s="8"/>
      <c r="BQ1307" s="8"/>
    </row>
    <row r="1308" spans="2:69" ht="11.45">
      <c r="B1308" s="13" t="str">
        <f t="shared" si="4751"/>
        <v>More Personal Computing</v>
      </c>
      <c r="C1308" s="839"/>
      <c r="D1308" s="840"/>
      <c r="E1308" s="840"/>
      <c r="F1308" s="840"/>
      <c r="G1308" s="840"/>
      <c r="H1308" s="840"/>
      <c r="I1308" s="840"/>
      <c r="J1308" s="840"/>
      <c r="K1308" s="840"/>
      <c r="L1308" s="840"/>
      <c r="M1308" s="840"/>
      <c r="N1308" s="840"/>
      <c r="O1308" s="840"/>
      <c r="P1308" s="840"/>
      <c r="Q1308" s="840"/>
      <c r="R1308" s="840"/>
      <c r="S1308" s="840"/>
      <c r="T1308" s="840"/>
      <c r="U1308" s="840"/>
      <c r="V1308" s="8"/>
      <c r="W1308" s="8"/>
      <c r="X1308" s="8"/>
      <c r="Y1308" s="8"/>
      <c r="Z1308" s="8"/>
      <c r="AA1308" s="8"/>
      <c r="AB1308" s="8"/>
      <c r="AC1308" s="8"/>
      <c r="AD1308" s="8"/>
      <c r="AE1308" s="8"/>
      <c r="AF1308" s="8"/>
      <c r="AG1308" s="8"/>
      <c r="AH1308" s="8"/>
      <c r="AI1308" s="8"/>
      <c r="AJ1308" s="8"/>
      <c r="AK1308" s="8"/>
      <c r="AL1308" s="8"/>
      <c r="AM1308" s="840"/>
      <c r="AN1308" s="840"/>
      <c r="AO1308" s="8"/>
      <c r="AP1308" s="8"/>
      <c r="AQ1308" s="8"/>
      <c r="AS1308" s="8"/>
      <c r="AT1308" s="8"/>
      <c r="AU1308" s="8"/>
      <c r="AV1308" s="8"/>
      <c r="AW1308" s="8"/>
      <c r="AX1308" s="8"/>
      <c r="AY1308" s="8"/>
      <c r="AZ1308" s="8"/>
      <c r="BA1308" s="8"/>
      <c r="BB1308" s="8"/>
      <c r="BC1308" s="8"/>
      <c r="BD1308" s="8"/>
      <c r="BE1308" s="8"/>
      <c r="BG1308" s="8"/>
      <c r="BH1308" s="8"/>
      <c r="BI1308" s="8"/>
      <c r="BJ1308" s="8"/>
      <c r="BK1308" s="8"/>
      <c r="BL1308" s="8"/>
      <c r="BM1308" s="8"/>
      <c r="BN1308" s="8"/>
      <c r="BO1308" s="8"/>
      <c r="BP1308" s="8"/>
      <c r="BQ1308" s="8"/>
    </row>
    <row r="1309" spans="2:69">
      <c r="B1309" s="841" t="str">
        <f t="shared" si="4751"/>
        <v>Total billings</v>
      </c>
      <c r="C1309" s="7"/>
      <c r="D1309" s="842"/>
      <c r="E1309" s="842"/>
      <c r="F1309" s="842"/>
      <c r="G1309" s="842"/>
      <c r="H1309" s="842"/>
      <c r="I1309" s="842"/>
      <c r="J1309" s="842"/>
      <c r="K1309" s="842"/>
      <c r="L1309" s="842"/>
      <c r="M1309" s="842"/>
      <c r="N1309" s="842"/>
      <c r="O1309" s="842"/>
      <c r="P1309" s="842"/>
      <c r="Q1309" s="842"/>
      <c r="R1309" s="842"/>
      <c r="S1309" s="842"/>
      <c r="T1309" s="842">
        <f t="shared" ref="T1309" si="4752">+IFERROR(T1303/P1303-1,"n/a ")</f>
        <v>2.7197084307523101E-2</v>
      </c>
      <c r="U1309" s="842">
        <f t="shared" ref="U1309" si="4753">+IFERROR(U1303/Q1303-1,"n/a ")</f>
        <v>5.0198638785377669E-2</v>
      </c>
      <c r="V1309" s="842">
        <f t="shared" ref="V1309" si="4754">+IFERROR(V1303/R1303-1,"n/a ")</f>
        <v>0.11860913938045869</v>
      </c>
      <c r="W1309" s="842">
        <f t="shared" ref="W1309" si="4755">+IFERROR(W1303/S1303-1,"n/a ")</f>
        <v>0.38849838360470978</v>
      </c>
      <c r="X1309" s="842">
        <f t="shared" ref="X1309" si="4756">+IFERROR(X1303/T1303-1,"n/a ")</f>
        <v>0.14741422594142262</v>
      </c>
      <c r="Y1309" s="842">
        <f t="shared" ref="Y1309" si="4757">+IFERROR(Y1303/U1303-1,"n/a ")</f>
        <v>0.17761942465030356</v>
      </c>
      <c r="Z1309" s="842">
        <f t="shared" ref="Z1309" si="4758">+IFERROR(Z1303/V1303-1,"n/a ")</f>
        <v>0.19990057607392453</v>
      </c>
      <c r="AA1309" s="842">
        <f t="shared" ref="AA1309" si="4759">+IFERROR(AA1303/W1303-1,"n/a ")</f>
        <v>0.22990003417634997</v>
      </c>
      <c r="AB1309" s="842">
        <f t="shared" ref="AB1309" si="4760">+IFERROR(AB1303/X1303-1,"n/a ")</f>
        <v>0.23081186732401759</v>
      </c>
      <c r="AC1309" s="842">
        <f t="shared" ref="AC1309" si="4761">+IFERROR(AC1303/Y1303-1,"n/a ")</f>
        <v>0.18237960057771807</v>
      </c>
      <c r="AD1309" s="842">
        <f t="shared" ref="AD1309" si="4762">+IFERROR(AD1303/Z1303-1,"n/a ")</f>
        <v>0.20359223064362819</v>
      </c>
      <c r="AE1309" s="842">
        <f t="shared" ref="AE1309" si="4763">+IFERROR(AE1303/AA1303-1,"n/a ")</f>
        <v>0.10243317876309077</v>
      </c>
      <c r="AF1309" s="842">
        <f t="shared" ref="AF1309" si="4764">+IFERROR(AF1303/AB1303-1,"n/a ")</f>
        <v>8.0870327795027341E-2</v>
      </c>
      <c r="AG1309" s="842">
        <f t="shared" ref="AG1309" si="4765">+IFERROR(AG1303/AC1303-1,"n/a ")</f>
        <v>2.1102733667495155E-2</v>
      </c>
      <c r="AH1309" s="842">
        <f t="shared" ref="AH1309" si="4766">+IFERROR(AH1303/AD1303-1,"n/a ")</f>
        <v>6.9755198736509705E-2</v>
      </c>
      <c r="AI1309" s="842">
        <f t="shared" ref="AI1309" si="4767">+IFERROR(AI1303/AE1303-1,"n/a ")</f>
        <v>0.10907887896403423</v>
      </c>
      <c r="AJ1309" s="842">
        <f t="shared" ref="AJ1309" si="4768">+IFERROR(AJ1303/AF1303-1,"n/a ")</f>
        <v>0.13790759379865358</v>
      </c>
      <c r="AK1309" s="842">
        <f t="shared" ref="AK1309" si="4769">+IFERROR(AK1303/AG1303-1,"n/a ")</f>
        <v>0.2141324973187031</v>
      </c>
      <c r="AL1309" s="842">
        <f t="shared" ref="AL1309" si="4770">+IFERROR(AL1303/AH1303-1,"n/a ")</f>
        <v>0.14811099333737121</v>
      </c>
      <c r="AM1309" s="842">
        <f t="shared" ref="AM1309" si="4771">+IFERROR(AM1303/AI1303-1,"n/a ")</f>
        <v>0.13745543387167802</v>
      </c>
      <c r="AN1309" s="842">
        <f t="shared" ref="AN1309" si="4772">+IFERROR(AN1303/AJ1303-1,"n/a ")</f>
        <v>0.17725275572342558</v>
      </c>
      <c r="AO1309" s="8"/>
      <c r="AP1309" s="8"/>
      <c r="AQ1309" s="8"/>
      <c r="AS1309" s="8"/>
      <c r="AT1309" s="8"/>
      <c r="AU1309" s="8"/>
      <c r="AV1309" s="8"/>
      <c r="AW1309" s="8"/>
      <c r="AX1309" s="8"/>
      <c r="AY1309" s="8"/>
      <c r="AZ1309" s="8"/>
      <c r="BA1309" s="8"/>
      <c r="BB1309" s="8"/>
      <c r="BC1309" s="8"/>
      <c r="BD1309" s="8"/>
      <c r="BE1309" s="8"/>
      <c r="BG1309" s="8"/>
      <c r="BH1309" s="8"/>
      <c r="BI1309" s="842">
        <f t="shared" ref="BI1309:BN1309" si="4773">+BI1303/BH1303-1</f>
        <v>0.20557931470110069</v>
      </c>
      <c r="BJ1309" s="842">
        <f t="shared" si="4773"/>
        <v>0.11943413729128016</v>
      </c>
      <c r="BK1309" s="842">
        <f t="shared" si="4773"/>
        <v>0.11248455831012283</v>
      </c>
      <c r="BL1309" s="842">
        <f t="shared" si="4773"/>
        <v>0.19353192311140854</v>
      </c>
      <c r="BM1309" s="842">
        <f t="shared" si="4773"/>
        <v>0.17040260273101837</v>
      </c>
      <c r="BN1309" s="842">
        <f t="shared" si="4773"/>
        <v>7.2989132849800242E-2</v>
      </c>
      <c r="BO1309" s="842">
        <f>+BO1303/BN1303-1</f>
        <v>0.15724737713970183</v>
      </c>
      <c r="BP1309" s="8"/>
      <c r="BQ1309" s="8"/>
    </row>
    <row r="1310" spans="2:69">
      <c r="D1310" s="8"/>
      <c r="E1310" s="8"/>
      <c r="F1310" s="8"/>
      <c r="G1310" s="8"/>
      <c r="H1310" s="8"/>
      <c r="I1310" s="8"/>
      <c r="J1310" s="8"/>
      <c r="K1310" s="8"/>
      <c r="L1310" s="8"/>
      <c r="M1310" s="8"/>
      <c r="N1310" s="8"/>
      <c r="O1310" s="8"/>
      <c r="P1310" s="8"/>
      <c r="Q1310" s="8"/>
      <c r="R1310" s="8"/>
      <c r="S1310" s="8"/>
      <c r="T1310" s="8"/>
      <c r="U1310" s="8"/>
      <c r="V1310" s="8"/>
      <c r="W1310" s="8"/>
      <c r="X1310" s="8"/>
      <c r="Y1310" s="8"/>
      <c r="Z1310" s="8"/>
      <c r="AA1310" s="8"/>
      <c r="AB1310" s="8"/>
      <c r="AC1310" s="8"/>
      <c r="AD1310" s="8"/>
      <c r="AE1310" s="8"/>
      <c r="AF1310" s="8"/>
      <c r="AG1310" s="8"/>
      <c r="AH1310" s="8"/>
      <c r="AI1310" s="8"/>
      <c r="AJ1310" s="8"/>
      <c r="AK1310" s="8"/>
      <c r="AL1310" s="8"/>
      <c r="AM1310" s="8"/>
      <c r="AN1310" s="8"/>
      <c r="AO1310" s="8"/>
      <c r="AP1310" s="8"/>
      <c r="AQ1310" s="8"/>
      <c r="AS1310" s="8"/>
      <c r="AT1310" s="8"/>
      <c r="AU1310" s="8"/>
      <c r="AV1310" s="8"/>
      <c r="AW1310" s="8"/>
      <c r="AX1310" s="8"/>
      <c r="AY1310" s="8"/>
      <c r="AZ1310" s="8"/>
      <c r="BA1310" s="8"/>
      <c r="BB1310" s="8"/>
      <c r="BC1310" s="8"/>
      <c r="BD1310" s="8"/>
      <c r="BE1310" s="8"/>
      <c r="BG1310" s="8"/>
      <c r="BH1310" s="8"/>
      <c r="BI1310" s="8"/>
      <c r="BJ1310" s="8"/>
      <c r="BK1310" s="8"/>
      <c r="BL1310" s="8"/>
      <c r="BM1310" s="8"/>
      <c r="BN1310" s="8"/>
      <c r="BO1310" s="8"/>
      <c r="BP1310" s="8"/>
      <c r="BQ1310" s="8"/>
    </row>
    <row r="1311" spans="2:69" ht="11.1" hidden="1" customHeight="1" outlineLevel="1">
      <c r="B1311" s="5" t="s">
        <v>671</v>
      </c>
      <c r="C1311" s="4"/>
      <c r="AL1311" s="29"/>
      <c r="AM1311" s="29"/>
      <c r="AN1311" s="29"/>
      <c r="AO1311" s="29"/>
      <c r="AP1311" s="29"/>
      <c r="AQ1311" s="29"/>
      <c r="AR1311" s="29"/>
      <c r="BK1311" s="100"/>
      <c r="BL1311" s="100"/>
    </row>
    <row r="1312" spans="2:69" ht="11.1" hidden="1" customHeight="1" outlineLevel="1">
      <c r="AL1312" s="29"/>
      <c r="AM1312" s="29"/>
      <c r="AN1312" s="29"/>
      <c r="AO1312" s="29"/>
      <c r="AP1312" s="29"/>
      <c r="AQ1312" s="29"/>
      <c r="AR1312" s="29"/>
      <c r="BK1312" s="100"/>
      <c r="BL1312" s="100"/>
    </row>
    <row r="1313" spans="2:81" ht="11.1" hidden="1" customHeight="1" outlineLevel="2">
      <c r="B1313" s="45" t="s">
        <v>665</v>
      </c>
      <c r="AL1313" s="29"/>
      <c r="AM1313" s="29"/>
      <c r="AN1313" s="29"/>
      <c r="AO1313" s="29"/>
      <c r="AP1313" s="29"/>
      <c r="AQ1313" s="29"/>
      <c r="AR1313" s="29"/>
    </row>
    <row r="1314" spans="2:81" ht="11.1" hidden="1" customHeight="1" outlineLevel="2">
      <c r="B1314" t="s">
        <v>340</v>
      </c>
      <c r="D1314" s="29">
        <v>8718</v>
      </c>
      <c r="E1314" s="29">
        <v>8257</v>
      </c>
      <c r="F1314" s="29">
        <v>8006</v>
      </c>
      <c r="G1314" s="29">
        <v>10673</v>
      </c>
      <c r="H1314" s="29">
        <v>9656</v>
      </c>
      <c r="I1314" s="29">
        <v>9839</v>
      </c>
      <c r="J1314" s="29">
        <v>9697</v>
      </c>
      <c r="K1314" s="29">
        <v>12692</v>
      </c>
      <c r="L1314" s="29">
        <v>11808</v>
      </c>
      <c r="M1314" s="29">
        <v>11290</v>
      </c>
      <c r="N1314" s="29">
        <v>11185</v>
      </c>
      <c r="O1314" s="29">
        <v>14864</v>
      </c>
      <c r="P1314" s="29">
        <v>13753</v>
      </c>
      <c r="Q1314" s="29">
        <v>12635</v>
      </c>
      <c r="R1314" s="29">
        <v>12679</v>
      </c>
      <c r="S1314" s="29">
        <v>16831</v>
      </c>
      <c r="T1314" s="29">
        <v>15560</v>
      </c>
      <c r="U1314" s="29">
        <v>14266</v>
      </c>
      <c r="V1314" s="29">
        <v>14077</v>
      </c>
      <c r="W1314" s="29">
        <v>18643</v>
      </c>
      <c r="X1314" s="29">
        <v>17675</v>
      </c>
      <c r="Y1314" s="29">
        <v>16225</v>
      </c>
      <c r="Z1314" s="29">
        <v>16169</v>
      </c>
      <c r="AA1314" s="29">
        <v>22120</v>
      </c>
      <c r="AB1314" s="29">
        <v>20565</v>
      </c>
      <c r="AC1314" s="29">
        <v>18494</v>
      </c>
      <c r="AD1314" s="29">
        <v>18578</v>
      </c>
      <c r="AE1314" s="29">
        <v>24558</v>
      </c>
      <c r="AF1314" s="29">
        <v>22405</v>
      </c>
      <c r="AG1314" s="29">
        <v>20120</v>
      </c>
      <c r="AH1314" s="29">
        <v>20504</v>
      </c>
      <c r="AI1314" s="29">
        <v>27572</v>
      </c>
      <c r="AJ1314" s="29">
        <v>25316</v>
      </c>
      <c r="AK1314" s="29">
        <v>22591</v>
      </c>
      <c r="AL1314" s="29">
        <v>22929</v>
      </c>
      <c r="AM1314" s="29">
        <v>30879</v>
      </c>
      <c r="AN1314" s="29"/>
      <c r="AO1314" s="29"/>
      <c r="AP1314" s="29"/>
      <c r="AQ1314" s="29"/>
      <c r="AR1314" s="29"/>
      <c r="BG1314" s="8">
        <f>+SUM(D1314:G1314)</f>
        <v>35654</v>
      </c>
      <c r="BH1314" s="8">
        <f>+SUM(H1314:K1314)</f>
        <v>41884</v>
      </c>
      <c r="BI1314" s="8">
        <f>+SUM(L1314:O1314)</f>
        <v>49147</v>
      </c>
      <c r="BJ1314" s="8">
        <f>+SUM(P1314:S1314)</f>
        <v>55898</v>
      </c>
      <c r="BK1314" s="8">
        <f>SUM(T1314:W1314)</f>
        <v>62546</v>
      </c>
      <c r="BL1314" s="8">
        <f>SUM(X1314:AA1314)</f>
        <v>72189</v>
      </c>
      <c r="BM1314" s="8">
        <f>SUM(AB1314:AE1314)</f>
        <v>82195</v>
      </c>
      <c r="BN1314" s="8">
        <f>+SUM(AF1314:AI1314)</f>
        <v>90601</v>
      </c>
      <c r="BO1314" s="8">
        <f>+SUM(AJ1314:AM1314)</f>
        <v>101715</v>
      </c>
      <c r="BP1314" s="8"/>
    </row>
    <row r="1315" spans="2:81" ht="11.1" hidden="1" customHeight="1" outlineLevel="2">
      <c r="B1315" t="s">
        <v>342</v>
      </c>
      <c r="D1315" s="29">
        <v>7107</v>
      </c>
      <c r="E1315" s="29">
        <v>6702</v>
      </c>
      <c r="F1315" s="29">
        <v>6679</v>
      </c>
      <c r="G1315" s="29">
        <v>8913</v>
      </c>
      <c r="H1315" s="29">
        <v>8057</v>
      </c>
      <c r="I1315" s="29">
        <v>7676</v>
      </c>
      <c r="J1315" s="29">
        <v>7735</v>
      </c>
      <c r="K1315" s="29">
        <v>11152</v>
      </c>
      <c r="L1315" s="29">
        <v>10156</v>
      </c>
      <c r="M1315" s="29">
        <v>9759</v>
      </c>
      <c r="N1315" s="29">
        <v>9987</v>
      </c>
      <c r="O1315" s="29">
        <v>14706</v>
      </c>
      <c r="P1315" s="29">
        <v>13298</v>
      </c>
      <c r="Q1315" s="29">
        <v>12551</v>
      </c>
      <c r="R1315" s="29">
        <v>12531</v>
      </c>
      <c r="S1315" s="29">
        <v>16988</v>
      </c>
      <c r="T1315" s="29">
        <v>15255</v>
      </c>
      <c r="U1315" s="29">
        <v>13766</v>
      </c>
      <c r="V1315" s="29">
        <v>12984</v>
      </c>
      <c r="W1315" s="29">
        <v>16620</v>
      </c>
      <c r="X1315" s="29">
        <v>15039</v>
      </c>
      <c r="Y1315" s="29">
        <v>13786</v>
      </c>
      <c r="Z1315" s="29">
        <v>13098</v>
      </c>
      <c r="AA1315" s="29">
        <v>17710</v>
      </c>
      <c r="AB1315" s="29">
        <v>16117</v>
      </c>
      <c r="AC1315" s="29">
        <v>14549</v>
      </c>
      <c r="AD1315" s="29">
        <v>14524</v>
      </c>
      <c r="AE1315" s="29">
        <v>19371</v>
      </c>
      <c r="AF1315" s="29">
        <v>17294</v>
      </c>
      <c r="AG1315" s="29">
        <v>15822</v>
      </c>
      <c r="AH1315" s="29">
        <v>15552</v>
      </c>
      <c r="AI1315" s="29">
        <v>21563</v>
      </c>
      <c r="AJ1315" s="29">
        <v>19471</v>
      </c>
      <c r="AK1315" s="29">
        <v>17696</v>
      </c>
      <c r="AL1315" s="29">
        <v>16696</v>
      </c>
      <c r="AM1315" s="29">
        <v>23117</v>
      </c>
      <c r="AN1315" s="29"/>
      <c r="AO1315" s="29"/>
      <c r="AP1315" s="29"/>
      <c r="AQ1315" s="29"/>
      <c r="AR1315" s="29"/>
      <c r="BG1315" s="8">
        <f>+SUM(D1315:G1315)</f>
        <v>29401</v>
      </c>
      <c r="BH1315" s="8">
        <f>+SUM(H1315:K1315)</f>
        <v>34620</v>
      </c>
      <c r="BI1315" s="8">
        <f>+SUM(L1315:O1315)</f>
        <v>44608</v>
      </c>
      <c r="BJ1315" s="8">
        <f>+SUM(P1315:S1315)</f>
        <v>55368</v>
      </c>
      <c r="BK1315" s="8">
        <f>SUM(T1315:W1315)</f>
        <v>58625</v>
      </c>
      <c r="BL1315" s="8">
        <f t="shared" ref="BL1315:BL1316" si="4774">SUM(X1315:AA1315)</f>
        <v>59633</v>
      </c>
      <c r="BM1315" s="8">
        <f t="shared" ref="BM1315:BM1317" si="4775">SUM(AB1315:AE1315)</f>
        <v>64561</v>
      </c>
      <c r="BN1315" s="8">
        <f t="shared" ref="BN1315:BN1317" si="4776">+SUM(AF1315:AI1315)</f>
        <v>70231</v>
      </c>
      <c r="BO1315" s="8">
        <f t="shared" ref="BO1315:BO1317" si="4777">+SUM(AJ1315:AM1315)</f>
        <v>76980</v>
      </c>
      <c r="BP1315" s="8"/>
    </row>
    <row r="1316" spans="2:81" s="852" customFormat="1" ht="11.1" hidden="1" customHeight="1" outlineLevel="2">
      <c r="B1316" t="s">
        <v>344</v>
      </c>
      <c r="D1316" s="939">
        <v>2366</v>
      </c>
      <c r="E1316" s="939">
        <v>2393</v>
      </c>
      <c r="F1316" s="939">
        <v>2427</v>
      </c>
      <c r="G1316" s="939">
        <v>2607</v>
      </c>
      <c r="H1316" s="939">
        <v>2657</v>
      </c>
      <c r="I1316" s="939">
        <v>2476</v>
      </c>
      <c r="J1316" s="939">
        <v>2472</v>
      </c>
      <c r="K1316" s="939">
        <v>2812</v>
      </c>
      <c r="L1316" s="939">
        <v>2940</v>
      </c>
      <c r="M1316" s="939">
        <v>2760</v>
      </c>
      <c r="N1316" s="939">
        <v>2783</v>
      </c>
      <c r="O1316" s="939">
        <v>3150</v>
      </c>
      <c r="P1316" s="939">
        <v>3191</v>
      </c>
      <c r="Q1316" s="939">
        <v>2898</v>
      </c>
      <c r="R1316" s="939">
        <v>2925</v>
      </c>
      <c r="S1316" s="939">
        <v>3387</v>
      </c>
      <c r="T1316" s="939">
        <v>3211</v>
      </c>
      <c r="U1316" s="939">
        <v>3189</v>
      </c>
      <c r="V1316" s="939">
        <v>3336</v>
      </c>
      <c r="W1316" s="939">
        <v>3917</v>
      </c>
      <c r="X1316" s="939">
        <v>3591</v>
      </c>
      <c r="Y1316" s="939">
        <v>3376</v>
      </c>
      <c r="Z1316" s="939">
        <v>3447</v>
      </c>
      <c r="AA1316" s="939">
        <v>4311</v>
      </c>
      <c r="AB1316" s="939">
        <v>4333</v>
      </c>
      <c r="AC1316" s="939">
        <v>3726</v>
      </c>
      <c r="AD1316" s="939">
        <v>3694</v>
      </c>
      <c r="AE1316" s="939">
        <v>4479</v>
      </c>
      <c r="AF1316" s="939">
        <v>4190</v>
      </c>
      <c r="AG1316" s="939">
        <v>3684</v>
      </c>
      <c r="AH1316" s="939">
        <v>3545</v>
      </c>
      <c r="AI1316" s="939">
        <v>4678</v>
      </c>
      <c r="AJ1316" s="939">
        <v>4401</v>
      </c>
      <c r="AK1316" s="939">
        <v>5747</v>
      </c>
      <c r="AL1316" s="939">
        <v>5208</v>
      </c>
      <c r="AM1316" s="939">
        <v>6188</v>
      </c>
      <c r="AN1316" s="29"/>
      <c r="AO1316" s="29"/>
      <c r="AP1316" s="29"/>
      <c r="AQ1316" s="29"/>
      <c r="AR1316" s="29"/>
      <c r="AS1316" s="939"/>
      <c r="AT1316" s="939"/>
      <c r="AU1316" s="939"/>
      <c r="AV1316" s="939"/>
      <c r="AW1316" s="939"/>
      <c r="AX1316" s="939"/>
      <c r="AY1316" s="939"/>
      <c r="AZ1316" s="939"/>
      <c r="BA1316" s="939"/>
      <c r="BB1316" s="939"/>
      <c r="BC1316" s="939"/>
      <c r="BD1316" s="939"/>
      <c r="BE1316" s="939"/>
      <c r="BG1316" s="940">
        <f>+SUM(D1316:G1316)</f>
        <v>9793</v>
      </c>
      <c r="BH1316" s="940">
        <f>+SUM(H1316:K1316)</f>
        <v>10417</v>
      </c>
      <c r="BI1316" s="940">
        <f>+SUM(L1316:O1316)</f>
        <v>11633</v>
      </c>
      <c r="BJ1316" s="940">
        <f>+SUM(P1316:S1316)</f>
        <v>12401</v>
      </c>
      <c r="BK1316" s="940">
        <f>SUM(T1316:W1316)</f>
        <v>13653</v>
      </c>
      <c r="BL1316" s="940">
        <f t="shared" si="4774"/>
        <v>14725</v>
      </c>
      <c r="BM1316" s="940">
        <f t="shared" si="4775"/>
        <v>16232</v>
      </c>
      <c r="BN1316" s="940">
        <f t="shared" si="4776"/>
        <v>16097</v>
      </c>
      <c r="BO1316" s="940">
        <f t="shared" si="4777"/>
        <v>21544</v>
      </c>
      <c r="BP1316" s="939"/>
      <c r="BT1316"/>
      <c r="BU1316"/>
      <c r="BV1316"/>
      <c r="BW1316"/>
      <c r="BX1316"/>
      <c r="BY1316"/>
      <c r="BZ1316"/>
      <c r="CA1316"/>
      <c r="CB1316"/>
      <c r="CC1316"/>
    </row>
    <row r="1317" spans="2:81" s="1" customFormat="1" ht="10.5" hidden="1" outlineLevel="2">
      <c r="B1317" s="837" t="s">
        <v>666</v>
      </c>
      <c r="D1317" s="838">
        <f>SUM(D1314:D1316)</f>
        <v>18191</v>
      </c>
      <c r="E1317" s="838">
        <f t="shared" ref="E1317:O1317" si="4778">SUM(E1314:E1316)</f>
        <v>17352</v>
      </c>
      <c r="F1317" s="838">
        <f t="shared" si="4778"/>
        <v>17112</v>
      </c>
      <c r="G1317" s="838">
        <f t="shared" si="4778"/>
        <v>22193</v>
      </c>
      <c r="H1317" s="838">
        <f t="shared" si="4778"/>
        <v>20370</v>
      </c>
      <c r="I1317" s="838">
        <f t="shared" si="4778"/>
        <v>19991</v>
      </c>
      <c r="J1317" s="838">
        <f t="shared" si="4778"/>
        <v>19904</v>
      </c>
      <c r="K1317" s="838">
        <f t="shared" si="4778"/>
        <v>26656</v>
      </c>
      <c r="L1317" s="838">
        <f t="shared" si="4778"/>
        <v>24904</v>
      </c>
      <c r="M1317" s="838">
        <f t="shared" si="4778"/>
        <v>23809</v>
      </c>
      <c r="N1317" s="838">
        <f t="shared" si="4778"/>
        <v>23955</v>
      </c>
      <c r="O1317" s="838">
        <f t="shared" si="4778"/>
        <v>32720</v>
      </c>
      <c r="P1317" s="838">
        <f t="shared" ref="P1317:V1317" si="4779">SUM(P1314:P1316)</f>
        <v>30242</v>
      </c>
      <c r="Q1317" s="838">
        <f t="shared" si="4779"/>
        <v>28084</v>
      </c>
      <c r="R1317" s="838">
        <f t="shared" si="4779"/>
        <v>28135</v>
      </c>
      <c r="S1317" s="838">
        <f t="shared" si="4779"/>
        <v>37206</v>
      </c>
      <c r="T1317" s="838">
        <f t="shared" si="4779"/>
        <v>34026</v>
      </c>
      <c r="U1317" s="838">
        <f t="shared" si="4779"/>
        <v>31221</v>
      </c>
      <c r="V1317" s="838">
        <f t="shared" si="4779"/>
        <v>30397</v>
      </c>
      <c r="W1317" s="838">
        <f t="shared" ref="W1317:X1317" si="4780">SUM(W1314:W1316)</f>
        <v>39180</v>
      </c>
      <c r="X1317" s="838">
        <f t="shared" si="4780"/>
        <v>36305</v>
      </c>
      <c r="Y1317" s="838">
        <f t="shared" ref="Y1317:Z1317" si="4781">SUM(Y1314:Y1316)</f>
        <v>33387</v>
      </c>
      <c r="Z1317" s="838">
        <f t="shared" si="4781"/>
        <v>32714</v>
      </c>
      <c r="AA1317" s="838">
        <f t="shared" ref="AA1317:AB1317" si="4782">SUM(AA1314:AA1316)</f>
        <v>44141</v>
      </c>
      <c r="AB1317" s="838">
        <f t="shared" si="4782"/>
        <v>41015</v>
      </c>
      <c r="AC1317" s="838">
        <f t="shared" ref="AC1317:AD1317" si="4783">SUM(AC1314:AC1316)</f>
        <v>36769</v>
      </c>
      <c r="AD1317" s="838">
        <f t="shared" si="4783"/>
        <v>36796</v>
      </c>
      <c r="AE1317" s="838">
        <f t="shared" ref="AE1317:AF1317" si="4784">SUM(AE1314:AE1316)</f>
        <v>48408</v>
      </c>
      <c r="AF1317" s="838">
        <f t="shared" si="4784"/>
        <v>43889</v>
      </c>
      <c r="AG1317" s="838">
        <f t="shared" ref="AG1317:AH1317" si="4785">SUM(AG1314:AG1316)</f>
        <v>39626</v>
      </c>
      <c r="AH1317" s="838">
        <f t="shared" si="4785"/>
        <v>39601</v>
      </c>
      <c r="AI1317" s="838">
        <f t="shared" ref="AI1317:AJ1317" si="4786">SUM(AI1314:AI1316)</f>
        <v>53813</v>
      </c>
      <c r="AJ1317" s="838">
        <f t="shared" si="4786"/>
        <v>49188</v>
      </c>
      <c r="AK1317" s="838">
        <f t="shared" ref="AK1317:AL1317" si="4787">SUM(AK1314:AK1316)</f>
        <v>46034</v>
      </c>
      <c r="AL1317" s="838">
        <f t="shared" si="4787"/>
        <v>44833</v>
      </c>
      <c r="AM1317" s="838">
        <f t="shared" ref="AM1317" si="4788">SUM(AM1314:AM1316)</f>
        <v>60184</v>
      </c>
      <c r="AN1317" s="29"/>
      <c r="AO1317" s="29"/>
      <c r="AP1317" s="29"/>
      <c r="AQ1317" s="29"/>
      <c r="AR1317" s="29"/>
      <c r="AS1317" s="838"/>
      <c r="AT1317" s="838"/>
      <c r="AU1317" s="838"/>
      <c r="AV1317" s="838"/>
      <c r="AW1317" s="838"/>
      <c r="AX1317" s="838"/>
      <c r="AY1317" s="838"/>
      <c r="AZ1317" s="838"/>
      <c r="BA1317" s="838"/>
      <c r="BB1317" s="838"/>
      <c r="BC1317" s="838"/>
      <c r="BD1317" s="838"/>
      <c r="BE1317" s="838"/>
      <c r="BG1317" s="838">
        <f>+SUM(D1317:G1317)</f>
        <v>74848</v>
      </c>
      <c r="BH1317" s="838">
        <f>+SUM(H1317:K1317)</f>
        <v>86921</v>
      </c>
      <c r="BI1317" s="838">
        <f>+SUM(L1317:O1317)</f>
        <v>105388</v>
      </c>
      <c r="BJ1317" s="838">
        <f>SUM(BJ1314:BJ1316)</f>
        <v>123667</v>
      </c>
      <c r="BK1317" s="838">
        <f>SUM(BK1314:BK1316)</f>
        <v>134824</v>
      </c>
      <c r="BL1317" s="838">
        <f t="shared" ref="BL1317" si="4789">SUM(BL1314:BL1316)</f>
        <v>146547</v>
      </c>
      <c r="BM1317" s="838">
        <f t="shared" si="4775"/>
        <v>162988</v>
      </c>
      <c r="BN1317" s="838">
        <f t="shared" si="4776"/>
        <v>176929</v>
      </c>
      <c r="BO1317" s="838">
        <f t="shared" si="4777"/>
        <v>200239</v>
      </c>
      <c r="BP1317" s="838"/>
      <c r="BT1317"/>
      <c r="BU1317"/>
      <c r="BV1317"/>
      <c r="BW1317"/>
      <c r="BX1317"/>
      <c r="BY1317"/>
      <c r="BZ1317"/>
      <c r="CA1317"/>
      <c r="CB1317"/>
      <c r="CC1317"/>
    </row>
    <row r="1318" spans="2:81" hidden="1" outlineLevel="2">
      <c r="V1318" s="29"/>
      <c r="W1318" s="29"/>
      <c r="X1318" s="29"/>
      <c r="Y1318" s="29"/>
      <c r="Z1318" s="29"/>
      <c r="AA1318" s="29"/>
      <c r="AB1318" s="29"/>
      <c r="AC1318" s="29"/>
      <c r="AD1318" s="29"/>
      <c r="AE1318" s="29"/>
      <c r="AF1318" s="29"/>
      <c r="AG1318" s="29"/>
      <c r="AH1318" s="29"/>
      <c r="AI1318" s="29"/>
      <c r="AJ1318" s="29"/>
      <c r="AK1318" s="29"/>
      <c r="AL1318" s="29"/>
      <c r="AM1318" s="29"/>
      <c r="AN1318" s="29"/>
      <c r="AO1318" s="29"/>
      <c r="AP1318" s="29"/>
      <c r="AQ1318" s="29"/>
      <c r="AR1318" s="29"/>
    </row>
    <row r="1319" spans="2:81" s="3" customFormat="1" hidden="1" outlineLevel="2">
      <c r="B1319" s="24" t="s">
        <v>113</v>
      </c>
      <c r="AN1319" s="29"/>
      <c r="AO1319" s="29"/>
      <c r="AP1319" s="29"/>
      <c r="AQ1319" s="29"/>
      <c r="AR1319" s="29"/>
      <c r="BT1319"/>
      <c r="BU1319"/>
      <c r="BV1319"/>
      <c r="BW1319"/>
      <c r="BX1319"/>
      <c r="BY1319"/>
      <c r="BZ1319"/>
      <c r="CA1319"/>
      <c r="CB1319"/>
      <c r="CC1319"/>
    </row>
    <row r="1320" spans="2:81" s="3" customFormat="1" hidden="1" outlineLevel="2">
      <c r="B1320" s="13" t="str">
        <f>+B1314</f>
        <v>Productivity and Business Processes</v>
      </c>
      <c r="D1320" s="228"/>
      <c r="E1320" s="228"/>
      <c r="F1320" s="228"/>
      <c r="G1320" s="228"/>
      <c r="H1320" s="228">
        <f>+IFERROR(H1314/D1314-1,"n/a ")</f>
        <v>0.10759348474420749</v>
      </c>
      <c r="I1320" s="228">
        <f t="shared" ref="I1320:O1323" si="4790">+IFERROR(I1314/E1314-1,"n/a ")</f>
        <v>0.19159501029429582</v>
      </c>
      <c r="J1320" s="228">
        <f t="shared" si="4790"/>
        <v>0.21121658755933059</v>
      </c>
      <c r="K1320" s="228">
        <f t="shared" si="4790"/>
        <v>0.18916893094725018</v>
      </c>
      <c r="L1320" s="228">
        <f t="shared" si="4790"/>
        <v>0.22286661143330577</v>
      </c>
      <c r="M1320" s="228">
        <f t="shared" si="4790"/>
        <v>0.14747433682284794</v>
      </c>
      <c r="N1320" s="228">
        <f t="shared" si="4790"/>
        <v>0.15344952047024862</v>
      </c>
      <c r="O1320" s="228">
        <f t="shared" si="4790"/>
        <v>0.1711314213677908</v>
      </c>
      <c r="P1320" s="228">
        <f t="shared" ref="P1320:P1323" si="4791">+IFERROR(P1314/L1314-1,"n/a ")</f>
        <v>0.1647188346883468</v>
      </c>
      <c r="Q1320" s="228">
        <f t="shared" ref="Q1320:Q1323" si="4792">+IFERROR(Q1314/M1314-1,"n/a ")</f>
        <v>0.11913197519929142</v>
      </c>
      <c r="R1320" s="228">
        <f t="shared" ref="R1320:R1323" si="4793">+IFERROR(R1314/N1314-1,"n/a ")</f>
        <v>0.13357174787662052</v>
      </c>
      <c r="S1320" s="228">
        <f t="shared" ref="S1320:S1323" si="4794">+IFERROR(S1314/O1314-1,"n/a ")</f>
        <v>0.13233315392895584</v>
      </c>
      <c r="T1320" s="228">
        <f t="shared" ref="T1320:T1323" si="4795">+IFERROR(T1314/P1314-1,"n/a ")</f>
        <v>0.13138951501490581</v>
      </c>
      <c r="U1320" s="228">
        <f t="shared" ref="U1320:U1323" si="4796">+IFERROR(U1314/Q1314-1,"n/a ")</f>
        <v>0.12908587257617721</v>
      </c>
      <c r="V1320" s="228">
        <f t="shared" ref="V1320:V1323" si="4797">+IFERROR(V1314/R1314-1,"n/a ")</f>
        <v>0.11026106159791782</v>
      </c>
      <c r="W1320" s="228">
        <f t="shared" ref="W1320:W1323" si="4798">+IFERROR(W1314/S1314-1,"n/a ")</f>
        <v>0.10765848731507344</v>
      </c>
      <c r="X1320" s="228">
        <f t="shared" ref="X1320:X1323" si="4799">+IFERROR(X1314/T1314-1,"n/a ")</f>
        <v>0.13592544987146526</v>
      </c>
      <c r="Y1320" s="228">
        <f t="shared" ref="Y1320:Y1323" si="4800">+IFERROR(Y1314/U1314-1,"n/a ")</f>
        <v>0.13731950091125755</v>
      </c>
      <c r="Z1320" s="228">
        <f t="shared" ref="Z1320:Z1323" si="4801">+IFERROR(Z1314/V1314-1,"n/a ")</f>
        <v>0.14861120977481002</v>
      </c>
      <c r="AA1320" s="228">
        <f t="shared" ref="AA1320:AA1323" si="4802">+IFERROR(AA1314/W1314-1,"n/a ")</f>
        <v>0.1865043179745749</v>
      </c>
      <c r="AB1320" s="228">
        <f t="shared" ref="AB1320:AB1323" si="4803">+IFERROR(AB1314/X1314-1,"n/a ")</f>
        <v>0.16350777934936356</v>
      </c>
      <c r="AC1320" s="228">
        <f t="shared" ref="AC1320:AC1323" si="4804">+IFERROR(AC1314/Y1314-1,"n/a ")</f>
        <v>0.13984591679506941</v>
      </c>
      <c r="AD1320" s="228">
        <f t="shared" ref="AD1320:AD1323" si="4805">+IFERROR(AD1314/Z1314-1,"n/a ")</f>
        <v>0.14898880573937778</v>
      </c>
      <c r="AE1320" s="228">
        <f t="shared" ref="AE1320:AE1323" si="4806">+IFERROR(AE1314/AA1314-1,"n/a ")</f>
        <v>0.11021699819168163</v>
      </c>
      <c r="AF1320" s="228">
        <f t="shared" ref="AF1320:AF1323" si="4807">+IFERROR(AF1314/AB1314-1,"n/a ")</f>
        <v>8.9472404570872799E-2</v>
      </c>
      <c r="AG1320" s="228">
        <f t="shared" ref="AG1320:AG1323" si="4808">+IFERROR(AG1314/AC1314-1,"n/a ")</f>
        <v>8.7920406618362756E-2</v>
      </c>
      <c r="AH1320" s="228">
        <f t="shared" ref="AH1320:AH1323" si="4809">+IFERROR(AH1314/AD1314-1,"n/a ")</f>
        <v>0.10367100871999146</v>
      </c>
      <c r="AI1320" s="228">
        <f t="shared" ref="AI1320:AI1323" si="4810">+IFERROR(AI1314/AE1314-1,"n/a ")</f>
        <v>0.12272986399543928</v>
      </c>
      <c r="AJ1320" s="228">
        <f t="shared" ref="AJ1320:AJ1323" si="4811">+IFERROR(AJ1314/AF1314-1,"n/a ")</f>
        <v>0.12992635572416877</v>
      </c>
      <c r="AK1320" s="228">
        <f t="shared" ref="AK1320:AK1323" si="4812">+IFERROR(AK1314/AG1314-1,"n/a ")</f>
        <v>0.12281312127236577</v>
      </c>
      <c r="AL1320" s="228">
        <f t="shared" ref="AL1320:AL1323" si="4813">+IFERROR(AL1314/AH1314-1,"n/a ")</f>
        <v>0.11826960593055014</v>
      </c>
      <c r="AM1320" s="228">
        <f t="shared" ref="AM1320:AM1323" si="4814">+IFERROR(AM1314/AI1314-1,"n/a ")</f>
        <v>0.1199405193674743</v>
      </c>
      <c r="AN1320" s="29"/>
      <c r="AO1320" s="29"/>
      <c r="AP1320" s="29"/>
      <c r="AQ1320" s="29"/>
      <c r="AR1320" s="29"/>
      <c r="AS1320" s="228"/>
      <c r="AT1320" s="228"/>
      <c r="AU1320" s="228"/>
      <c r="AV1320" s="228"/>
      <c r="AW1320" s="228"/>
      <c r="AX1320" s="228"/>
      <c r="AY1320" s="228"/>
      <c r="AZ1320" s="228"/>
      <c r="BA1320" s="228"/>
      <c r="BB1320" s="228"/>
      <c r="BC1320" s="228"/>
      <c r="BD1320" s="228"/>
      <c r="BE1320" s="228"/>
      <c r="BF1320" s="228"/>
      <c r="BG1320" s="228"/>
      <c r="BH1320" s="228">
        <f>+IFERROR(BH1314/BG1314-1,"n/a ")</f>
        <v>0.17473495259998884</v>
      </c>
      <c r="BI1320" s="228">
        <f>+IFERROR(BI1314/BH1314-1,"n/a ")</f>
        <v>0.17340750644637581</v>
      </c>
      <c r="BJ1320" s="228">
        <f t="shared" ref="BJ1320:BJ1323" si="4815">+IFERROR(BJ1314/BI1314-1,"n/a ")</f>
        <v>0.13736341994424883</v>
      </c>
      <c r="BK1320" s="228">
        <f t="shared" ref="BK1320:BK1323" si="4816">+IFERROR(BK1314/BJ1314-1,"n/a ")</f>
        <v>0.11893090987155186</v>
      </c>
      <c r="BL1320" s="228">
        <f t="shared" ref="BL1320:BL1323" si="4817">+IFERROR(BL1314/BK1314-1,"n/a ")</f>
        <v>0.15417452754772487</v>
      </c>
      <c r="BM1320" s="228">
        <f t="shared" ref="BM1320:BM1323" si="4818">+IFERROR(BM1314/BL1314-1,"n/a ")</f>
        <v>0.13860837523722447</v>
      </c>
      <c r="BN1320" s="228">
        <f t="shared" ref="BN1320:BN1323" si="4819">+IFERROR(BN1314/BM1314-1,"n/a ")</f>
        <v>0.10226899446438353</v>
      </c>
      <c r="BO1320" s="228">
        <f t="shared" ref="BO1320:BO1323" si="4820">+IFERROR(BO1314/BN1314-1,"n/a ")</f>
        <v>0.12266972770719975</v>
      </c>
      <c r="BP1320" s="228"/>
      <c r="BQ1320" s="228"/>
      <c r="BR1320" s="228"/>
      <c r="BS1320" s="228"/>
      <c r="BT1320"/>
      <c r="BU1320"/>
      <c r="BV1320"/>
      <c r="BW1320"/>
      <c r="BX1320"/>
      <c r="BY1320"/>
      <c r="BZ1320"/>
      <c r="CA1320"/>
      <c r="CB1320"/>
      <c r="CC1320"/>
    </row>
    <row r="1321" spans="2:81" s="3" customFormat="1" hidden="1" outlineLevel="2">
      <c r="B1321" s="13" t="str">
        <f t="shared" ref="B1321:B1323" si="4821">+B1315</f>
        <v>Intelligent Cloud</v>
      </c>
      <c r="D1321" s="228"/>
      <c r="E1321" s="228"/>
      <c r="F1321" s="228"/>
      <c r="G1321" s="228"/>
      <c r="H1321" s="228">
        <f t="shared" ref="H1321:H1323" si="4822">+IFERROR(H1315/D1315-1,"n/a ")</f>
        <v>0.13367102856338819</v>
      </c>
      <c r="I1321" s="228">
        <f t="shared" si="4790"/>
        <v>0.14532975231274237</v>
      </c>
      <c r="J1321" s="228">
        <f t="shared" si="4790"/>
        <v>0.15810750112292249</v>
      </c>
      <c r="K1321" s="228">
        <f t="shared" si="4790"/>
        <v>0.25120610344440708</v>
      </c>
      <c r="L1321" s="228">
        <f t="shared" si="4790"/>
        <v>0.2605188035248851</v>
      </c>
      <c r="M1321" s="228">
        <f t="shared" si="4790"/>
        <v>0.27136529442417934</v>
      </c>
      <c r="N1321" s="228">
        <f t="shared" si="4790"/>
        <v>0.29114414996767946</v>
      </c>
      <c r="O1321" s="228">
        <f t="shared" si="4790"/>
        <v>0.31868723098995688</v>
      </c>
      <c r="P1321" s="228">
        <f t="shared" si="4791"/>
        <v>0.30937376920047255</v>
      </c>
      <c r="Q1321" s="228">
        <f t="shared" si="4792"/>
        <v>0.28609488677118566</v>
      </c>
      <c r="R1321" s="228">
        <f t="shared" si="4793"/>
        <v>0.25473115049564443</v>
      </c>
      <c r="S1321" s="228">
        <f t="shared" si="4794"/>
        <v>0.1551747586019312</v>
      </c>
      <c r="T1321" s="228">
        <f t="shared" si="4795"/>
        <v>0.1471649872161227</v>
      </c>
      <c r="U1321" s="228">
        <f t="shared" si="4796"/>
        <v>9.6805035455342248E-2</v>
      </c>
      <c r="V1321" s="228">
        <f t="shared" si="4797"/>
        <v>3.6150347139095151E-2</v>
      </c>
      <c r="W1321" s="228">
        <f t="shared" si="4798"/>
        <v>-2.1662349894042809E-2</v>
      </c>
      <c r="X1321" s="228">
        <f t="shared" si="4799"/>
        <v>-1.415929203539823E-2</v>
      </c>
      <c r="Y1321" s="228">
        <f t="shared" si="4800"/>
        <v>1.4528548597994018E-3</v>
      </c>
      <c r="Z1321" s="228">
        <f t="shared" si="4801"/>
        <v>8.7800369685766544E-3</v>
      </c>
      <c r="AA1321" s="228">
        <f t="shared" si="4802"/>
        <v>6.5583634175691907E-2</v>
      </c>
      <c r="AB1321" s="228">
        <f t="shared" si="4803"/>
        <v>7.1680297892147138E-2</v>
      </c>
      <c r="AC1321" s="228">
        <f t="shared" si="4804"/>
        <v>5.5346003191643733E-2</v>
      </c>
      <c r="AD1321" s="228">
        <f t="shared" si="4805"/>
        <v>0.10887158344785464</v>
      </c>
      <c r="AE1321" s="228">
        <f t="shared" si="4806"/>
        <v>9.3788819875776364E-2</v>
      </c>
      <c r="AF1321" s="228">
        <f t="shared" si="4807"/>
        <v>7.3028479245517142E-2</v>
      </c>
      <c r="AG1321" s="228">
        <f t="shared" si="4808"/>
        <v>8.7497422503264755E-2</v>
      </c>
      <c r="AH1321" s="228">
        <f t="shared" si="4809"/>
        <v>7.0779399614431249E-2</v>
      </c>
      <c r="AI1321" s="228">
        <f t="shared" si="4810"/>
        <v>0.11315884569717616</v>
      </c>
      <c r="AJ1321" s="228">
        <f t="shared" si="4811"/>
        <v>0.12588180871978727</v>
      </c>
      <c r="AK1321" s="228">
        <f t="shared" si="4812"/>
        <v>0.11844267475666803</v>
      </c>
      <c r="AL1321" s="228">
        <f t="shared" si="4813"/>
        <v>7.3559670781893072E-2</v>
      </c>
      <c r="AM1321" s="228">
        <f t="shared" si="4814"/>
        <v>7.2067894077818551E-2</v>
      </c>
      <c r="AN1321" s="29"/>
      <c r="AO1321" s="29"/>
      <c r="AP1321" s="29"/>
      <c r="AQ1321" s="29"/>
      <c r="AR1321" s="29"/>
      <c r="AS1321" s="228"/>
      <c r="AT1321" s="228"/>
      <c r="AU1321" s="228"/>
      <c r="AV1321" s="228"/>
      <c r="AW1321" s="228"/>
      <c r="AX1321" s="228"/>
      <c r="AY1321" s="228"/>
      <c r="AZ1321" s="228"/>
      <c r="BA1321" s="228"/>
      <c r="BB1321" s="228"/>
      <c r="BC1321" s="228"/>
      <c r="BD1321" s="228"/>
      <c r="BE1321" s="228"/>
      <c r="BF1321" s="228"/>
      <c r="BG1321" s="228"/>
      <c r="BH1321" s="228">
        <f t="shared" ref="BH1321:BI1323" si="4823">+IFERROR(BH1315/BG1315-1,"n/a ")</f>
        <v>0.17751096901465946</v>
      </c>
      <c r="BI1321" s="228">
        <f t="shared" si="4823"/>
        <v>0.28850375505488146</v>
      </c>
      <c r="BJ1321" s="228">
        <f t="shared" si="4815"/>
        <v>0.24121233859397417</v>
      </c>
      <c r="BK1321" s="228">
        <f t="shared" si="4816"/>
        <v>5.8824591821990957E-2</v>
      </c>
      <c r="BL1321" s="228">
        <f t="shared" si="4817"/>
        <v>1.7194029850746251E-2</v>
      </c>
      <c r="BM1321" s="228">
        <f t="shared" si="4818"/>
        <v>8.2638807371757217E-2</v>
      </c>
      <c r="BN1321" s="228">
        <f t="shared" si="4819"/>
        <v>8.7823918464707829E-2</v>
      </c>
      <c r="BO1321" s="228">
        <f t="shared" si="4820"/>
        <v>9.6097165069556123E-2</v>
      </c>
      <c r="BP1321" s="228"/>
      <c r="BQ1321" s="228"/>
      <c r="BR1321" s="228"/>
      <c r="BS1321" s="228"/>
      <c r="BT1321"/>
      <c r="BU1321"/>
      <c r="BV1321"/>
      <c r="BW1321"/>
      <c r="BX1321"/>
      <c r="BY1321"/>
      <c r="BZ1321"/>
      <c r="CA1321"/>
      <c r="CB1321"/>
      <c r="CC1321"/>
    </row>
    <row r="1322" spans="2:81" s="839" customFormat="1" ht="11.45" hidden="1" outlineLevel="2">
      <c r="B1322" s="13" t="str">
        <f t="shared" si="4821"/>
        <v>More Personal Computing</v>
      </c>
      <c r="D1322" s="840"/>
      <c r="E1322" s="840"/>
      <c r="F1322" s="840"/>
      <c r="G1322" s="840"/>
      <c r="H1322" s="840">
        <f t="shared" si="4822"/>
        <v>0.1229923922231615</v>
      </c>
      <c r="I1322" s="840">
        <f t="shared" si="4790"/>
        <v>3.4684496447973334E-2</v>
      </c>
      <c r="J1322" s="840">
        <f t="shared" si="4790"/>
        <v>1.8541409147095234E-2</v>
      </c>
      <c r="K1322" s="840">
        <f t="shared" si="4790"/>
        <v>7.8634445723053226E-2</v>
      </c>
      <c r="L1322" s="840">
        <f t="shared" si="4790"/>
        <v>0.10651110274745945</v>
      </c>
      <c r="M1322" s="840">
        <f t="shared" si="4790"/>
        <v>0.1147011308562198</v>
      </c>
      <c r="N1322" s="840">
        <f t="shared" si="4790"/>
        <v>0.1258090614886731</v>
      </c>
      <c r="O1322" s="840">
        <f t="shared" si="4790"/>
        <v>0.12019914651493591</v>
      </c>
      <c r="P1322" s="840">
        <f t="shared" si="4791"/>
        <v>8.5374149659863896E-2</v>
      </c>
      <c r="Q1322" s="840">
        <f t="shared" si="4792"/>
        <v>5.0000000000000044E-2</v>
      </c>
      <c r="R1322" s="840">
        <f t="shared" si="4793"/>
        <v>5.1024074739489667E-2</v>
      </c>
      <c r="S1322" s="840">
        <f t="shared" si="4794"/>
        <v>7.5238095238095326E-2</v>
      </c>
      <c r="T1322" s="840">
        <f t="shared" si="4795"/>
        <v>6.2676277029145577E-3</v>
      </c>
      <c r="U1322" s="840">
        <f t="shared" si="4796"/>
        <v>0.10041407867494834</v>
      </c>
      <c r="V1322" s="840">
        <f t="shared" si="4797"/>
        <v>0.14051282051282055</v>
      </c>
      <c r="W1322" s="840">
        <f t="shared" si="4798"/>
        <v>0.15648066135222916</v>
      </c>
      <c r="X1322" s="840">
        <f t="shared" si="4799"/>
        <v>0.11834319526627213</v>
      </c>
      <c r="Y1322" s="840">
        <f t="shared" si="4800"/>
        <v>5.8639071809344578E-2</v>
      </c>
      <c r="Z1322" s="840">
        <f t="shared" si="4801"/>
        <v>3.3273381294963933E-2</v>
      </c>
      <c r="AA1322" s="840">
        <f t="shared" si="4802"/>
        <v>0.100587184069441</v>
      </c>
      <c r="AB1322" s="840">
        <f t="shared" si="4803"/>
        <v>0.20662768031189094</v>
      </c>
      <c r="AC1322" s="840">
        <f t="shared" si="4804"/>
        <v>0.10367298578199047</v>
      </c>
      <c r="AD1322" s="840">
        <f t="shared" si="4805"/>
        <v>7.1656512909776593E-2</v>
      </c>
      <c r="AE1322" s="840">
        <f t="shared" si="4806"/>
        <v>3.8970076548364707E-2</v>
      </c>
      <c r="AF1322" s="840">
        <f t="shared" si="4807"/>
        <v>-3.3002538656819791E-2</v>
      </c>
      <c r="AG1322" s="840">
        <f t="shared" si="4808"/>
        <v>-1.1272141706924366E-2</v>
      </c>
      <c r="AH1322" s="840">
        <f t="shared" si="4809"/>
        <v>-4.0335679480238196E-2</v>
      </c>
      <c r="AI1322" s="840">
        <f t="shared" si="4810"/>
        <v>4.4429560169680693E-2</v>
      </c>
      <c r="AJ1322" s="840">
        <f t="shared" si="4811"/>
        <v>5.0357995226730345E-2</v>
      </c>
      <c r="AK1322" s="840">
        <f t="shared" si="4812"/>
        <v>0.55998914223669916</v>
      </c>
      <c r="AL1322" s="840">
        <f t="shared" si="4813"/>
        <v>0.46911142454160792</v>
      </c>
      <c r="AM1322" s="840">
        <f t="shared" si="4814"/>
        <v>0.32278751603249245</v>
      </c>
      <c r="AN1322" s="29"/>
      <c r="AO1322" s="29"/>
      <c r="AP1322" s="29"/>
      <c r="AQ1322" s="29"/>
      <c r="AR1322" s="29"/>
      <c r="AS1322" s="840"/>
      <c r="AT1322" s="840"/>
      <c r="AU1322" s="840"/>
      <c r="AV1322" s="840"/>
      <c r="AW1322" s="840"/>
      <c r="AX1322" s="840"/>
      <c r="AY1322" s="840"/>
      <c r="AZ1322" s="840"/>
      <c r="BA1322" s="840"/>
      <c r="BB1322" s="840"/>
      <c r="BC1322" s="840"/>
      <c r="BD1322" s="840"/>
      <c r="BE1322" s="840"/>
      <c r="BF1322" s="840"/>
      <c r="BG1322" s="840"/>
      <c r="BH1322" s="840">
        <f t="shared" si="4823"/>
        <v>6.3718982947003067E-2</v>
      </c>
      <c r="BI1322" s="840">
        <f t="shared" si="4823"/>
        <v>0.11673226456753394</v>
      </c>
      <c r="BJ1322" s="840">
        <f t="shared" si="4815"/>
        <v>6.6019083641364995E-2</v>
      </c>
      <c r="BK1322" s="840">
        <f t="shared" si="4816"/>
        <v>0.10095960003225546</v>
      </c>
      <c r="BL1322" s="840">
        <f t="shared" si="4817"/>
        <v>7.8517541932175972E-2</v>
      </c>
      <c r="BM1322" s="840">
        <f t="shared" si="4818"/>
        <v>0.1023429541595926</v>
      </c>
      <c r="BN1322" s="840">
        <f t="shared" si="4819"/>
        <v>-8.3169048792508526E-3</v>
      </c>
      <c r="BO1322" s="840">
        <f t="shared" si="4820"/>
        <v>0.3383860346648444</v>
      </c>
      <c r="BP1322" s="840"/>
      <c r="BQ1322" s="840"/>
      <c r="BR1322" s="840"/>
      <c r="BS1322" s="840"/>
      <c r="BT1322"/>
      <c r="BU1322"/>
      <c r="BV1322"/>
      <c r="BW1322"/>
      <c r="BX1322"/>
      <c r="BY1322"/>
      <c r="BZ1322"/>
      <c r="CA1322"/>
      <c r="CB1322"/>
      <c r="CC1322"/>
    </row>
    <row r="1323" spans="2:81" s="7" customFormat="1" hidden="1" outlineLevel="2">
      <c r="B1323" s="841" t="str">
        <f t="shared" si="4821"/>
        <v>Total uneaerned revenue</v>
      </c>
      <c r="D1323" s="842"/>
      <c r="E1323" s="842"/>
      <c r="F1323" s="842"/>
      <c r="G1323" s="842"/>
      <c r="H1323" s="842">
        <f t="shared" si="4822"/>
        <v>0.11978450882304426</v>
      </c>
      <c r="I1323" s="842">
        <f t="shared" si="4790"/>
        <v>0.15208621484555085</v>
      </c>
      <c r="J1323" s="842">
        <f t="shared" si="4790"/>
        <v>0.16316035530621775</v>
      </c>
      <c r="K1323" s="842">
        <f t="shared" si="4790"/>
        <v>0.20109944577118921</v>
      </c>
      <c r="L1323" s="842">
        <f t="shared" si="4790"/>
        <v>0.22258222876779588</v>
      </c>
      <c r="M1323" s="842">
        <f t="shared" si="4790"/>
        <v>0.19098594367465349</v>
      </c>
      <c r="N1323" s="842">
        <f t="shared" si="4790"/>
        <v>0.20352692926045024</v>
      </c>
      <c r="O1323" s="842">
        <f t="shared" si="4790"/>
        <v>0.22749099639855941</v>
      </c>
      <c r="P1323" s="842">
        <f t="shared" si="4791"/>
        <v>0.21434307741728231</v>
      </c>
      <c r="Q1323" s="842">
        <f t="shared" si="4792"/>
        <v>0.17955395018690412</v>
      </c>
      <c r="R1323" s="842">
        <f t="shared" si="4793"/>
        <v>0.17449384262158207</v>
      </c>
      <c r="S1323" s="842">
        <f t="shared" si="4794"/>
        <v>0.13710268948655258</v>
      </c>
      <c r="T1323" s="842">
        <f t="shared" si="4795"/>
        <v>0.12512399973546717</v>
      </c>
      <c r="U1323" s="842">
        <f t="shared" si="4796"/>
        <v>0.11170061244836926</v>
      </c>
      <c r="V1323" s="842">
        <f t="shared" si="4797"/>
        <v>8.0398080682424045E-2</v>
      </c>
      <c r="W1323" s="842">
        <f t="shared" si="4798"/>
        <v>5.3055958716336171E-2</v>
      </c>
      <c r="X1323" s="842">
        <f t="shared" si="4799"/>
        <v>6.6978193146417508E-2</v>
      </c>
      <c r="Y1323" s="842">
        <f t="shared" si="4800"/>
        <v>6.9376381281829547E-2</v>
      </c>
      <c r="Z1323" s="842">
        <f t="shared" si="4801"/>
        <v>7.6224627430338421E-2</v>
      </c>
      <c r="AA1323" s="842">
        <f t="shared" si="4802"/>
        <v>0.12662072485962228</v>
      </c>
      <c r="AB1323" s="842">
        <f t="shared" si="4803"/>
        <v>0.1297341963916816</v>
      </c>
      <c r="AC1323" s="842">
        <f t="shared" si="4804"/>
        <v>0.10129691197172552</v>
      </c>
      <c r="AD1323" s="842">
        <f t="shared" si="4805"/>
        <v>0.12477838234395056</v>
      </c>
      <c r="AE1323" s="842">
        <f t="shared" si="4806"/>
        <v>9.666749733807567E-2</v>
      </c>
      <c r="AF1323" s="842">
        <f t="shared" si="4807"/>
        <v>7.0071924905522387E-2</v>
      </c>
      <c r="AG1323" s="842">
        <f t="shared" si="4808"/>
        <v>7.7701324485300205E-2</v>
      </c>
      <c r="AH1323" s="842">
        <f t="shared" si="4809"/>
        <v>7.6231112077399743E-2</v>
      </c>
      <c r="AI1323" s="842">
        <f t="shared" si="4810"/>
        <v>0.11165509833085441</v>
      </c>
      <c r="AJ1323" s="842">
        <f t="shared" si="4811"/>
        <v>0.12073640319897927</v>
      </c>
      <c r="AK1323" s="842">
        <f t="shared" si="4812"/>
        <v>0.16171200726795543</v>
      </c>
      <c r="AL1323" s="842">
        <f t="shared" si="4813"/>
        <v>0.13211787581121692</v>
      </c>
      <c r="AM1323" s="842">
        <f t="shared" si="4814"/>
        <v>0.11839146674595358</v>
      </c>
      <c r="AN1323" s="29"/>
      <c r="AO1323" s="29"/>
      <c r="AP1323" s="29"/>
      <c r="AQ1323" s="29"/>
      <c r="AR1323" s="29"/>
      <c r="AS1323" s="842"/>
      <c r="AT1323" s="842"/>
      <c r="AU1323" s="842"/>
      <c r="AV1323" s="842"/>
      <c r="AW1323" s="842"/>
      <c r="AX1323" s="842"/>
      <c r="AY1323" s="842"/>
      <c r="AZ1323" s="842"/>
      <c r="BA1323" s="842"/>
      <c r="BB1323" s="842"/>
      <c r="BC1323" s="842"/>
      <c r="BD1323" s="842"/>
      <c r="BE1323" s="842"/>
      <c r="BF1323" s="842"/>
      <c r="BG1323" s="842"/>
      <c r="BH1323" s="842">
        <f t="shared" si="4823"/>
        <v>0.16130023514322356</v>
      </c>
      <c r="BI1323" s="842">
        <f t="shared" si="4823"/>
        <v>0.21245728880247583</v>
      </c>
      <c r="BJ1323" s="842">
        <f t="shared" si="4815"/>
        <v>0.17344479447375405</v>
      </c>
      <c r="BK1323" s="842">
        <f t="shared" si="4816"/>
        <v>9.021808566553724E-2</v>
      </c>
      <c r="BL1323" s="842">
        <f t="shared" si="4817"/>
        <v>8.6950394588500624E-2</v>
      </c>
      <c r="BM1323" s="842">
        <f t="shared" si="4818"/>
        <v>0.11218926351272973</v>
      </c>
      <c r="BN1323" s="842">
        <f t="shared" si="4819"/>
        <v>8.5533904336515532E-2</v>
      </c>
      <c r="BO1323" s="842">
        <f t="shared" si="4820"/>
        <v>0.13174776322705717</v>
      </c>
      <c r="BP1323" s="842"/>
      <c r="BQ1323" s="842"/>
      <c r="BR1323" s="842"/>
      <c r="BS1323" s="842"/>
      <c r="BT1323"/>
      <c r="BU1323"/>
      <c r="BV1323"/>
      <c r="BW1323"/>
      <c r="BX1323"/>
      <c r="BY1323"/>
      <c r="BZ1323"/>
      <c r="CA1323"/>
      <c r="CB1323"/>
      <c r="CC1323"/>
    </row>
    <row r="1324" spans="2:81" hidden="1" outlineLevel="2">
      <c r="AN1324" s="29"/>
      <c r="AO1324" s="29"/>
      <c r="AP1324" s="29"/>
      <c r="AQ1324" s="29"/>
      <c r="AR1324" s="29"/>
    </row>
    <row r="1325" spans="2:81" s="100" customFormat="1" ht="10.5" hidden="1" outlineLevel="2" collapsed="1">
      <c r="B1325" s="958" t="s">
        <v>667</v>
      </c>
      <c r="AN1325" s="29"/>
      <c r="AO1325" s="29"/>
      <c r="AP1325" s="29"/>
      <c r="AQ1325" s="29"/>
      <c r="AR1325" s="29"/>
      <c r="BT1325"/>
      <c r="BU1325"/>
      <c r="BV1325"/>
      <c r="BW1325"/>
      <c r="BX1325"/>
      <c r="BY1325"/>
      <c r="BZ1325"/>
      <c r="CA1325"/>
      <c r="CB1325"/>
      <c r="CC1325"/>
    </row>
    <row r="1326" spans="2:81" s="100" customFormat="1" hidden="1" outlineLevel="2">
      <c r="B1326" s="100" t="s">
        <v>340</v>
      </c>
      <c r="D1326" s="11"/>
      <c r="E1326" s="11"/>
      <c r="F1326" s="11"/>
      <c r="G1326" s="11"/>
      <c r="H1326" s="11">
        <f t="shared" ref="H1326:AE1326" si="4824">+H1314-G1314</f>
        <v>-1017</v>
      </c>
      <c r="I1326" s="11">
        <f t="shared" si="4824"/>
        <v>183</v>
      </c>
      <c r="J1326" s="11">
        <f t="shared" si="4824"/>
        <v>-142</v>
      </c>
      <c r="K1326" s="11">
        <f t="shared" si="4824"/>
        <v>2995</v>
      </c>
      <c r="L1326" s="11">
        <f t="shared" si="4824"/>
        <v>-884</v>
      </c>
      <c r="M1326" s="11">
        <f t="shared" si="4824"/>
        <v>-518</v>
      </c>
      <c r="N1326" s="11">
        <f t="shared" si="4824"/>
        <v>-105</v>
      </c>
      <c r="O1326" s="11">
        <f t="shared" si="4824"/>
        <v>3679</v>
      </c>
      <c r="P1326" s="11">
        <f t="shared" si="4824"/>
        <v>-1111</v>
      </c>
      <c r="Q1326" s="11">
        <f t="shared" si="4824"/>
        <v>-1118</v>
      </c>
      <c r="R1326" s="11">
        <f t="shared" si="4824"/>
        <v>44</v>
      </c>
      <c r="S1326" s="11">
        <f t="shared" si="4824"/>
        <v>4152</v>
      </c>
      <c r="T1326" s="11">
        <f t="shared" si="4824"/>
        <v>-1271</v>
      </c>
      <c r="U1326" s="11">
        <f t="shared" si="4824"/>
        <v>-1294</v>
      </c>
      <c r="V1326" s="11">
        <f t="shared" si="4824"/>
        <v>-189</v>
      </c>
      <c r="W1326" s="11">
        <f t="shared" si="4824"/>
        <v>4566</v>
      </c>
      <c r="X1326" s="11">
        <f t="shared" si="4824"/>
        <v>-968</v>
      </c>
      <c r="Y1326" s="11">
        <f t="shared" si="4824"/>
        <v>-1450</v>
      </c>
      <c r="Z1326" s="11">
        <f t="shared" si="4824"/>
        <v>-56</v>
      </c>
      <c r="AA1326" s="11">
        <f t="shared" si="4824"/>
        <v>5951</v>
      </c>
      <c r="AB1326" s="11">
        <f t="shared" si="4824"/>
        <v>-1555</v>
      </c>
      <c r="AC1326" s="11">
        <f t="shared" si="4824"/>
        <v>-2071</v>
      </c>
      <c r="AD1326" s="11">
        <f t="shared" si="4824"/>
        <v>84</v>
      </c>
      <c r="AE1326" s="11">
        <f t="shared" si="4824"/>
        <v>5980</v>
      </c>
      <c r="AF1326" s="11">
        <f>+AF1314-AE1314</f>
        <v>-2153</v>
      </c>
      <c r="AG1326" s="11">
        <f t="shared" ref="AG1326:AG1329" si="4825">+AG1314-AF1314</f>
        <v>-2285</v>
      </c>
      <c r="AH1326" s="11">
        <f t="shared" ref="AH1326:AH1329" si="4826">+AH1314-AG1314</f>
        <v>384</v>
      </c>
      <c r="AI1326" s="11">
        <f t="shared" ref="AI1326:AI1329" si="4827">+AI1314-AH1314</f>
        <v>7068</v>
      </c>
      <c r="AJ1326" s="11">
        <f t="shared" ref="AJ1326:AJ1329" si="4828">+AJ1314-AI1314</f>
        <v>-2256</v>
      </c>
      <c r="AK1326" s="11">
        <f t="shared" ref="AK1326:AK1329" si="4829">+AK1314-AJ1314</f>
        <v>-2725</v>
      </c>
      <c r="AL1326" s="11">
        <f t="shared" ref="AL1326:AL1329" si="4830">+AL1314-AK1314</f>
        <v>338</v>
      </c>
      <c r="AM1326" s="11">
        <f t="shared" ref="AM1326:AM1329" si="4831">+AM1314-AL1314</f>
        <v>7950</v>
      </c>
      <c r="AN1326" s="29"/>
      <c r="AO1326" s="29"/>
      <c r="AP1326" s="29"/>
      <c r="AQ1326" s="29"/>
      <c r="AR1326" s="29"/>
      <c r="BG1326" s="11"/>
      <c r="BH1326" s="11">
        <f t="shared" ref="BH1326:BM1326" si="4832">+BH1314-BG1314</f>
        <v>6230</v>
      </c>
      <c r="BI1326" s="11">
        <f t="shared" si="4832"/>
        <v>7263</v>
      </c>
      <c r="BJ1326" s="11">
        <f t="shared" si="4832"/>
        <v>6751</v>
      </c>
      <c r="BK1326" s="11">
        <f t="shared" si="4832"/>
        <v>6648</v>
      </c>
      <c r="BL1326" s="11">
        <f t="shared" si="4832"/>
        <v>9643</v>
      </c>
      <c r="BM1326" s="11">
        <f t="shared" si="4832"/>
        <v>10006</v>
      </c>
      <c r="BN1326" s="11">
        <f t="shared" ref="BN1326:BN1329" si="4833">+BN1314-BM1314</f>
        <v>8406</v>
      </c>
      <c r="BO1326" s="11">
        <f t="shared" ref="BO1326:BO1329" si="4834">+BO1314-BN1314</f>
        <v>11114</v>
      </c>
      <c r="BP1326" s="11"/>
      <c r="BT1326"/>
      <c r="BU1326"/>
      <c r="BV1326"/>
      <c r="BW1326"/>
      <c r="BX1326"/>
      <c r="BY1326"/>
      <c r="BZ1326"/>
      <c r="CA1326"/>
      <c r="CB1326"/>
      <c r="CC1326"/>
    </row>
    <row r="1327" spans="2:81" s="100" customFormat="1" hidden="1" outlineLevel="2">
      <c r="B1327" s="100" t="s">
        <v>342</v>
      </c>
      <c r="D1327" s="11"/>
      <c r="E1327" s="11"/>
      <c r="F1327" s="11"/>
      <c r="G1327" s="11"/>
      <c r="H1327" s="11">
        <f t="shared" ref="H1327:AF1327" si="4835">+H1315-G1315</f>
        <v>-856</v>
      </c>
      <c r="I1327" s="11">
        <f t="shared" si="4835"/>
        <v>-381</v>
      </c>
      <c r="J1327" s="11">
        <f t="shared" si="4835"/>
        <v>59</v>
      </c>
      <c r="K1327" s="11">
        <f t="shared" si="4835"/>
        <v>3417</v>
      </c>
      <c r="L1327" s="11">
        <f t="shared" si="4835"/>
        <v>-996</v>
      </c>
      <c r="M1327" s="11">
        <f t="shared" si="4835"/>
        <v>-397</v>
      </c>
      <c r="N1327" s="11">
        <f t="shared" si="4835"/>
        <v>228</v>
      </c>
      <c r="O1327" s="11">
        <f t="shared" si="4835"/>
        <v>4719</v>
      </c>
      <c r="P1327" s="11">
        <f t="shared" si="4835"/>
        <v>-1408</v>
      </c>
      <c r="Q1327" s="11">
        <f t="shared" si="4835"/>
        <v>-747</v>
      </c>
      <c r="R1327" s="11">
        <f t="shared" si="4835"/>
        <v>-20</v>
      </c>
      <c r="S1327" s="11">
        <f t="shared" si="4835"/>
        <v>4457</v>
      </c>
      <c r="T1327" s="11">
        <f t="shared" si="4835"/>
        <v>-1733</v>
      </c>
      <c r="U1327" s="11">
        <f t="shared" si="4835"/>
        <v>-1489</v>
      </c>
      <c r="V1327" s="11">
        <f t="shared" si="4835"/>
        <v>-782</v>
      </c>
      <c r="W1327" s="11">
        <f t="shared" si="4835"/>
        <v>3636</v>
      </c>
      <c r="X1327" s="11">
        <f t="shared" si="4835"/>
        <v>-1581</v>
      </c>
      <c r="Y1327" s="11">
        <f t="shared" si="4835"/>
        <v>-1253</v>
      </c>
      <c r="Z1327" s="11">
        <f t="shared" si="4835"/>
        <v>-688</v>
      </c>
      <c r="AA1327" s="11">
        <f t="shared" si="4835"/>
        <v>4612</v>
      </c>
      <c r="AB1327" s="11">
        <f t="shared" si="4835"/>
        <v>-1593</v>
      </c>
      <c r="AC1327" s="11">
        <f t="shared" si="4835"/>
        <v>-1568</v>
      </c>
      <c r="AD1327" s="11">
        <f t="shared" si="4835"/>
        <v>-25</v>
      </c>
      <c r="AE1327" s="11">
        <f t="shared" si="4835"/>
        <v>4847</v>
      </c>
      <c r="AF1327" s="11">
        <f t="shared" si="4835"/>
        <v>-2077</v>
      </c>
      <c r="AG1327" s="11">
        <f t="shared" si="4825"/>
        <v>-1472</v>
      </c>
      <c r="AH1327" s="11">
        <f t="shared" si="4826"/>
        <v>-270</v>
      </c>
      <c r="AI1327" s="11">
        <f t="shared" si="4827"/>
        <v>6011</v>
      </c>
      <c r="AJ1327" s="11">
        <f t="shared" si="4828"/>
        <v>-2092</v>
      </c>
      <c r="AK1327" s="11">
        <f t="shared" si="4829"/>
        <v>-1775</v>
      </c>
      <c r="AL1327" s="11">
        <f t="shared" si="4830"/>
        <v>-1000</v>
      </c>
      <c r="AM1327" s="11">
        <f t="shared" si="4831"/>
        <v>6421</v>
      </c>
      <c r="AN1327" s="29"/>
      <c r="AO1327" s="29"/>
      <c r="AP1327" s="29"/>
      <c r="AQ1327" s="29"/>
      <c r="AR1327" s="29"/>
      <c r="BG1327" s="11"/>
      <c r="BH1327" s="11">
        <f t="shared" ref="BH1327:BM1327" si="4836">+BH1315-BG1315</f>
        <v>5219</v>
      </c>
      <c r="BI1327" s="11">
        <f t="shared" si="4836"/>
        <v>9988</v>
      </c>
      <c r="BJ1327" s="11">
        <f t="shared" si="4836"/>
        <v>10760</v>
      </c>
      <c r="BK1327" s="11">
        <f t="shared" si="4836"/>
        <v>3257</v>
      </c>
      <c r="BL1327" s="11">
        <f t="shared" si="4836"/>
        <v>1008</v>
      </c>
      <c r="BM1327" s="11">
        <f t="shared" si="4836"/>
        <v>4928</v>
      </c>
      <c r="BN1327" s="11">
        <f t="shared" si="4833"/>
        <v>5670</v>
      </c>
      <c r="BO1327" s="11">
        <f t="shared" si="4834"/>
        <v>6749</v>
      </c>
      <c r="BP1327" s="11"/>
      <c r="BT1327"/>
      <c r="BU1327"/>
      <c r="BV1327"/>
      <c r="BW1327"/>
      <c r="BX1327"/>
      <c r="BY1327"/>
      <c r="BZ1327"/>
      <c r="CA1327"/>
      <c r="CB1327"/>
      <c r="CC1327"/>
    </row>
    <row r="1328" spans="2:81" s="1003" customFormat="1" hidden="1" outlineLevel="2">
      <c r="B1328" s="100" t="s">
        <v>344</v>
      </c>
      <c r="D1328" s="940"/>
      <c r="E1328" s="940"/>
      <c r="F1328" s="940"/>
      <c r="G1328" s="940"/>
      <c r="H1328" s="940">
        <f t="shared" ref="H1328:AF1328" si="4837">+H1316-G1316</f>
        <v>50</v>
      </c>
      <c r="I1328" s="940">
        <f t="shared" si="4837"/>
        <v>-181</v>
      </c>
      <c r="J1328" s="940">
        <f t="shared" si="4837"/>
        <v>-4</v>
      </c>
      <c r="K1328" s="940">
        <f t="shared" si="4837"/>
        <v>340</v>
      </c>
      <c r="L1328" s="940">
        <f t="shared" si="4837"/>
        <v>128</v>
      </c>
      <c r="M1328" s="940">
        <f t="shared" si="4837"/>
        <v>-180</v>
      </c>
      <c r="N1328" s="940">
        <f t="shared" si="4837"/>
        <v>23</v>
      </c>
      <c r="O1328" s="940">
        <f t="shared" si="4837"/>
        <v>367</v>
      </c>
      <c r="P1328" s="940">
        <f t="shared" si="4837"/>
        <v>41</v>
      </c>
      <c r="Q1328" s="940">
        <f t="shared" si="4837"/>
        <v>-293</v>
      </c>
      <c r="R1328" s="940">
        <f t="shared" si="4837"/>
        <v>27</v>
      </c>
      <c r="S1328" s="940">
        <f t="shared" si="4837"/>
        <v>462</v>
      </c>
      <c r="T1328" s="940">
        <f t="shared" si="4837"/>
        <v>-176</v>
      </c>
      <c r="U1328" s="940">
        <f t="shared" si="4837"/>
        <v>-22</v>
      </c>
      <c r="V1328" s="940">
        <f t="shared" si="4837"/>
        <v>147</v>
      </c>
      <c r="W1328" s="940">
        <f t="shared" si="4837"/>
        <v>581</v>
      </c>
      <c r="X1328" s="940">
        <f t="shared" si="4837"/>
        <v>-326</v>
      </c>
      <c r="Y1328" s="940">
        <f t="shared" si="4837"/>
        <v>-215</v>
      </c>
      <c r="Z1328" s="940">
        <f t="shared" si="4837"/>
        <v>71</v>
      </c>
      <c r="AA1328" s="940">
        <f t="shared" si="4837"/>
        <v>864</v>
      </c>
      <c r="AB1328" s="940">
        <f t="shared" si="4837"/>
        <v>22</v>
      </c>
      <c r="AC1328" s="940">
        <f t="shared" si="4837"/>
        <v>-607</v>
      </c>
      <c r="AD1328" s="940">
        <f t="shared" si="4837"/>
        <v>-32</v>
      </c>
      <c r="AE1328" s="940">
        <f t="shared" si="4837"/>
        <v>785</v>
      </c>
      <c r="AF1328" s="940">
        <f t="shared" si="4837"/>
        <v>-289</v>
      </c>
      <c r="AG1328" s="940">
        <f t="shared" si="4825"/>
        <v>-506</v>
      </c>
      <c r="AH1328" s="940">
        <f t="shared" si="4826"/>
        <v>-139</v>
      </c>
      <c r="AI1328" s="940">
        <f t="shared" si="4827"/>
        <v>1133</v>
      </c>
      <c r="AJ1328" s="940">
        <f t="shared" si="4828"/>
        <v>-277</v>
      </c>
      <c r="AK1328" s="940">
        <f t="shared" si="4829"/>
        <v>1346</v>
      </c>
      <c r="AL1328" s="940">
        <f t="shared" si="4830"/>
        <v>-539</v>
      </c>
      <c r="AM1328" s="940">
        <f t="shared" si="4831"/>
        <v>980</v>
      </c>
      <c r="AN1328" s="29"/>
      <c r="AO1328" s="29"/>
      <c r="AP1328" s="29"/>
      <c r="AQ1328" s="29"/>
      <c r="AR1328" s="29"/>
      <c r="AS1328" s="940"/>
      <c r="AT1328" s="940"/>
      <c r="AU1328" s="940"/>
      <c r="AV1328" s="940"/>
      <c r="AW1328" s="940"/>
      <c r="AX1328" s="940"/>
      <c r="AY1328" s="940"/>
      <c r="AZ1328" s="940"/>
      <c r="BA1328" s="940"/>
      <c r="BB1328" s="940"/>
      <c r="BC1328" s="940"/>
      <c r="BD1328" s="940"/>
      <c r="BE1328" s="940"/>
      <c r="BG1328" s="940"/>
      <c r="BH1328" s="940">
        <f t="shared" ref="BH1328:BM1328" si="4838">+BH1316-BG1316</f>
        <v>624</v>
      </c>
      <c r="BI1328" s="940">
        <f t="shared" si="4838"/>
        <v>1216</v>
      </c>
      <c r="BJ1328" s="940">
        <f t="shared" si="4838"/>
        <v>768</v>
      </c>
      <c r="BK1328" s="940">
        <f t="shared" si="4838"/>
        <v>1252</v>
      </c>
      <c r="BL1328" s="940">
        <f t="shared" si="4838"/>
        <v>1072</v>
      </c>
      <c r="BM1328" s="940">
        <f t="shared" si="4838"/>
        <v>1507</v>
      </c>
      <c r="BN1328" s="940">
        <f t="shared" si="4833"/>
        <v>-135</v>
      </c>
      <c r="BO1328" s="940">
        <f t="shared" si="4834"/>
        <v>5447</v>
      </c>
      <c r="BP1328" s="940"/>
      <c r="BT1328"/>
      <c r="BU1328"/>
      <c r="BV1328"/>
      <c r="BW1328"/>
      <c r="BX1328"/>
      <c r="BY1328"/>
      <c r="BZ1328"/>
      <c r="CA1328"/>
      <c r="CB1328"/>
      <c r="CC1328"/>
    </row>
    <row r="1329" spans="2:81" s="102" customFormat="1" ht="10.5" hidden="1" outlineLevel="2">
      <c r="B1329" s="873" t="s">
        <v>668</v>
      </c>
      <c r="D1329" s="849"/>
      <c r="E1329" s="849"/>
      <c r="F1329" s="849"/>
      <c r="G1329" s="849"/>
      <c r="H1329" s="849">
        <f t="shared" ref="H1329:AF1329" si="4839">+H1317-G1317</f>
        <v>-1823</v>
      </c>
      <c r="I1329" s="849">
        <f t="shared" si="4839"/>
        <v>-379</v>
      </c>
      <c r="J1329" s="849">
        <f t="shared" si="4839"/>
        <v>-87</v>
      </c>
      <c r="K1329" s="849">
        <f t="shared" si="4839"/>
        <v>6752</v>
      </c>
      <c r="L1329" s="849">
        <f t="shared" si="4839"/>
        <v>-1752</v>
      </c>
      <c r="M1329" s="849">
        <f t="shared" si="4839"/>
        <v>-1095</v>
      </c>
      <c r="N1329" s="849">
        <f t="shared" si="4839"/>
        <v>146</v>
      </c>
      <c r="O1329" s="849">
        <f t="shared" si="4839"/>
        <v>8765</v>
      </c>
      <c r="P1329" s="849">
        <f t="shared" si="4839"/>
        <v>-2478</v>
      </c>
      <c r="Q1329" s="849">
        <f t="shared" si="4839"/>
        <v>-2158</v>
      </c>
      <c r="R1329" s="849">
        <f t="shared" si="4839"/>
        <v>51</v>
      </c>
      <c r="S1329" s="849">
        <f t="shared" si="4839"/>
        <v>9071</v>
      </c>
      <c r="T1329" s="849">
        <f t="shared" si="4839"/>
        <v>-3180</v>
      </c>
      <c r="U1329" s="849">
        <f t="shared" si="4839"/>
        <v>-2805</v>
      </c>
      <c r="V1329" s="849">
        <f t="shared" si="4839"/>
        <v>-824</v>
      </c>
      <c r="W1329" s="849">
        <f t="shared" si="4839"/>
        <v>8783</v>
      </c>
      <c r="X1329" s="849">
        <f t="shared" si="4839"/>
        <v>-2875</v>
      </c>
      <c r="Y1329" s="849">
        <f t="shared" si="4839"/>
        <v>-2918</v>
      </c>
      <c r="Z1329" s="849">
        <f t="shared" si="4839"/>
        <v>-673</v>
      </c>
      <c r="AA1329" s="849">
        <f t="shared" si="4839"/>
        <v>11427</v>
      </c>
      <c r="AB1329" s="849">
        <f t="shared" si="4839"/>
        <v>-3126</v>
      </c>
      <c r="AC1329" s="849">
        <f t="shared" si="4839"/>
        <v>-4246</v>
      </c>
      <c r="AD1329" s="849">
        <f t="shared" si="4839"/>
        <v>27</v>
      </c>
      <c r="AE1329" s="849">
        <f t="shared" si="4839"/>
        <v>11612</v>
      </c>
      <c r="AF1329" s="849">
        <f t="shared" si="4839"/>
        <v>-4519</v>
      </c>
      <c r="AG1329" s="849">
        <f t="shared" si="4825"/>
        <v>-4263</v>
      </c>
      <c r="AH1329" s="849">
        <f t="shared" si="4826"/>
        <v>-25</v>
      </c>
      <c r="AI1329" s="849">
        <f t="shared" si="4827"/>
        <v>14212</v>
      </c>
      <c r="AJ1329" s="849">
        <f t="shared" si="4828"/>
        <v>-4625</v>
      </c>
      <c r="AK1329" s="849">
        <f t="shared" si="4829"/>
        <v>-3154</v>
      </c>
      <c r="AL1329" s="849">
        <f t="shared" si="4830"/>
        <v>-1201</v>
      </c>
      <c r="AM1329" s="849">
        <f t="shared" si="4831"/>
        <v>15351</v>
      </c>
      <c r="AN1329" s="29"/>
      <c r="AO1329" s="29"/>
      <c r="AP1329" s="29"/>
      <c r="AQ1329" s="29"/>
      <c r="AR1329" s="29"/>
      <c r="AS1329" s="849"/>
      <c r="AT1329" s="849"/>
      <c r="AU1329" s="849"/>
      <c r="AV1329" s="849"/>
      <c r="AW1329" s="849"/>
      <c r="AX1329" s="849"/>
      <c r="AY1329" s="849"/>
      <c r="AZ1329" s="849"/>
      <c r="BA1329" s="849"/>
      <c r="BB1329" s="849"/>
      <c r="BC1329" s="849"/>
      <c r="BD1329" s="849"/>
      <c r="BE1329" s="849"/>
      <c r="BG1329" s="849"/>
      <c r="BH1329" s="849">
        <f t="shared" ref="BH1329:BM1329" si="4840">+BH1317-BG1317</f>
        <v>12073</v>
      </c>
      <c r="BI1329" s="849">
        <f t="shared" si="4840"/>
        <v>18467</v>
      </c>
      <c r="BJ1329" s="849">
        <f t="shared" si="4840"/>
        <v>18279</v>
      </c>
      <c r="BK1329" s="849">
        <f t="shared" si="4840"/>
        <v>11157</v>
      </c>
      <c r="BL1329" s="849">
        <f t="shared" si="4840"/>
        <v>11723</v>
      </c>
      <c r="BM1329" s="849">
        <f t="shared" si="4840"/>
        <v>16441</v>
      </c>
      <c r="BN1329" s="849">
        <f t="shared" si="4833"/>
        <v>13941</v>
      </c>
      <c r="BO1329" s="849">
        <f t="shared" si="4834"/>
        <v>23310</v>
      </c>
      <c r="BP1329" s="849"/>
      <c r="BT1329"/>
      <c r="BU1329"/>
      <c r="BV1329"/>
      <c r="BW1329"/>
      <c r="BX1329"/>
      <c r="BY1329"/>
      <c r="BZ1329"/>
      <c r="CA1329"/>
      <c r="CB1329"/>
      <c r="CC1329"/>
    </row>
    <row r="1330" spans="2:81" hidden="1" outlineLevel="2">
      <c r="AA1330" s="8"/>
      <c r="AB1330" s="8"/>
      <c r="AC1330" s="8"/>
      <c r="AD1330" s="8"/>
      <c r="AE1330" s="8"/>
      <c r="AF1330" s="8"/>
      <c r="AN1330" s="29"/>
      <c r="AO1330" s="29"/>
      <c r="AP1330" s="29"/>
      <c r="AQ1330" s="29"/>
      <c r="AR1330" s="29"/>
    </row>
    <row r="1331" spans="2:81" s="100" customFormat="1" ht="10.5" hidden="1" outlineLevel="2">
      <c r="B1331" s="958" t="s">
        <v>86</v>
      </c>
      <c r="AN1331" s="29"/>
      <c r="AO1331" s="29"/>
      <c r="AP1331" s="29"/>
      <c r="AQ1331" s="29"/>
      <c r="AR1331" s="29"/>
      <c r="BT1331"/>
      <c r="BU1331"/>
      <c r="BV1331"/>
      <c r="BW1331"/>
      <c r="BX1331"/>
      <c r="BY1331"/>
      <c r="BZ1331"/>
      <c r="CA1331"/>
      <c r="CB1331"/>
      <c r="CC1331"/>
    </row>
    <row r="1332" spans="2:81" s="100" customFormat="1" hidden="1" outlineLevel="2">
      <c r="B1332" s="100" t="s">
        <v>340</v>
      </c>
      <c r="D1332" s="11"/>
      <c r="E1332" s="11"/>
      <c r="F1332" s="11"/>
      <c r="G1332" s="11"/>
      <c r="H1332" s="11">
        <f t="shared" ref="H1332:AM1332" si="4841">+H223</f>
        <v>6436</v>
      </c>
      <c r="I1332" s="11">
        <f t="shared" si="4841"/>
        <v>7179</v>
      </c>
      <c r="J1332" s="11">
        <f t="shared" si="4841"/>
        <v>7707</v>
      </c>
      <c r="K1332" s="11">
        <f t="shared" si="4841"/>
        <v>8548</v>
      </c>
      <c r="L1332" s="11">
        <f t="shared" si="4841"/>
        <v>8238</v>
      </c>
      <c r="M1332" s="11">
        <f t="shared" si="4841"/>
        <v>8953</v>
      </c>
      <c r="N1332" s="11">
        <f t="shared" si="4841"/>
        <v>9006</v>
      </c>
      <c r="O1332" s="11">
        <f t="shared" si="4841"/>
        <v>9668</v>
      </c>
      <c r="P1332" s="11">
        <f t="shared" si="4841"/>
        <v>9771</v>
      </c>
      <c r="Q1332" s="11">
        <f t="shared" si="4841"/>
        <v>10100</v>
      </c>
      <c r="R1332" s="11">
        <f t="shared" si="4841"/>
        <v>10242</v>
      </c>
      <c r="S1332" s="11">
        <f t="shared" si="4841"/>
        <v>11047</v>
      </c>
      <c r="T1332" s="11">
        <f t="shared" si="4841"/>
        <v>11077</v>
      </c>
      <c r="U1332" s="11">
        <f t="shared" si="4841"/>
        <v>11826</v>
      </c>
      <c r="V1332" s="11">
        <f t="shared" si="4841"/>
        <v>11743</v>
      </c>
      <c r="W1332" s="11">
        <f t="shared" si="4841"/>
        <v>11752</v>
      </c>
      <c r="X1332" s="11">
        <f t="shared" si="4841"/>
        <v>12319</v>
      </c>
      <c r="Y1332" s="11">
        <f t="shared" si="4841"/>
        <v>13353</v>
      </c>
      <c r="Z1332" s="11">
        <f t="shared" si="4841"/>
        <v>13552</v>
      </c>
      <c r="AA1332" s="11">
        <f t="shared" si="4841"/>
        <v>14691</v>
      </c>
      <c r="AB1332" s="11">
        <f t="shared" si="4841"/>
        <v>15039</v>
      </c>
      <c r="AC1332" s="11">
        <f t="shared" si="4841"/>
        <v>15936</v>
      </c>
      <c r="AD1332" s="11">
        <f t="shared" si="4841"/>
        <v>15789</v>
      </c>
      <c r="AE1332" s="11">
        <f t="shared" si="4841"/>
        <v>16600</v>
      </c>
      <c r="AF1332" s="11">
        <f t="shared" si="4841"/>
        <v>16465</v>
      </c>
      <c r="AG1332" s="11">
        <f t="shared" si="4841"/>
        <v>17002</v>
      </c>
      <c r="AH1332" s="11">
        <f t="shared" si="4841"/>
        <v>17516</v>
      </c>
      <c r="AI1332" s="11">
        <f t="shared" si="4841"/>
        <v>18291</v>
      </c>
      <c r="AJ1332" s="11">
        <f t="shared" si="4841"/>
        <v>18592</v>
      </c>
      <c r="AK1332" s="11">
        <f t="shared" si="4841"/>
        <v>19249</v>
      </c>
      <c r="AL1332" s="11">
        <f t="shared" si="4841"/>
        <v>19570</v>
      </c>
      <c r="AM1332" s="11">
        <f t="shared" si="4841"/>
        <v>20317</v>
      </c>
      <c r="AN1332" s="29"/>
      <c r="AO1332" s="29"/>
      <c r="AP1332" s="29"/>
      <c r="AQ1332" s="29"/>
      <c r="AR1332" s="29"/>
      <c r="BG1332" s="11"/>
      <c r="BH1332" s="11">
        <f t="shared" ref="BH1332:BO1334" si="4842">+BH223</f>
        <v>29870</v>
      </c>
      <c r="BI1332" s="11">
        <f t="shared" si="4842"/>
        <v>35865</v>
      </c>
      <c r="BJ1332" s="11">
        <f t="shared" si="4842"/>
        <v>41160</v>
      </c>
      <c r="BK1332" s="11">
        <f t="shared" si="4842"/>
        <v>46398</v>
      </c>
      <c r="BL1332" s="11">
        <f t="shared" si="4842"/>
        <v>53915</v>
      </c>
      <c r="BM1332" s="11">
        <f t="shared" si="4842"/>
        <v>63364</v>
      </c>
      <c r="BN1332" s="11">
        <f t="shared" si="4842"/>
        <v>69274</v>
      </c>
      <c r="BO1332" s="11">
        <f t="shared" si="4842"/>
        <v>77728</v>
      </c>
      <c r="BP1332" s="11"/>
      <c r="BT1332"/>
      <c r="BU1332"/>
      <c r="BV1332"/>
      <c r="BW1332"/>
      <c r="BX1332"/>
      <c r="BY1332"/>
      <c r="BZ1332"/>
      <c r="CA1332"/>
      <c r="CB1332"/>
      <c r="CC1332"/>
    </row>
    <row r="1333" spans="2:81" s="100" customFormat="1" hidden="1" outlineLevel="2">
      <c r="B1333" s="100" t="s">
        <v>342</v>
      </c>
      <c r="D1333" s="11"/>
      <c r="E1333" s="11"/>
      <c r="F1333" s="11"/>
      <c r="G1333" s="11"/>
      <c r="H1333" s="11">
        <f t="shared" ref="H1333:AM1333" si="4843">+H224</f>
        <v>6097</v>
      </c>
      <c r="I1333" s="11">
        <f t="shared" si="4843"/>
        <v>6758</v>
      </c>
      <c r="J1333" s="11">
        <f t="shared" si="4843"/>
        <v>6730</v>
      </c>
      <c r="K1333" s="11">
        <f t="shared" si="4843"/>
        <v>7822</v>
      </c>
      <c r="L1333" s="11">
        <f t="shared" si="4843"/>
        <v>6922</v>
      </c>
      <c r="M1333" s="11">
        <f t="shared" si="4843"/>
        <v>7795</v>
      </c>
      <c r="N1333" s="11">
        <f t="shared" si="4843"/>
        <v>7896</v>
      </c>
      <c r="O1333" s="11">
        <f t="shared" si="4843"/>
        <v>9606</v>
      </c>
      <c r="P1333" s="11">
        <f t="shared" si="4843"/>
        <v>8567</v>
      </c>
      <c r="Q1333" s="11">
        <f t="shared" si="4843"/>
        <v>9378</v>
      </c>
      <c r="R1333" s="11">
        <f t="shared" si="4843"/>
        <v>9649</v>
      </c>
      <c r="S1333" s="11">
        <f t="shared" si="4843"/>
        <v>11391</v>
      </c>
      <c r="T1333" s="11">
        <f t="shared" si="4843"/>
        <v>10845</v>
      </c>
      <c r="U1333" s="11">
        <f t="shared" si="4843"/>
        <v>11869</v>
      </c>
      <c r="V1333" s="11">
        <f t="shared" si="4843"/>
        <v>12281</v>
      </c>
      <c r="W1333" s="11">
        <f t="shared" si="4843"/>
        <v>13371</v>
      </c>
      <c r="X1333" s="11">
        <f t="shared" si="4843"/>
        <v>12986</v>
      </c>
      <c r="Y1333" s="11">
        <f t="shared" si="4843"/>
        <v>14601</v>
      </c>
      <c r="Z1333" s="11">
        <f t="shared" si="4843"/>
        <v>15118</v>
      </c>
      <c r="AA1333" s="11">
        <f t="shared" si="4843"/>
        <v>17375</v>
      </c>
      <c r="AB1333" s="11">
        <f t="shared" si="4843"/>
        <v>16964</v>
      </c>
      <c r="AC1333" s="11">
        <f t="shared" si="4843"/>
        <v>18327</v>
      </c>
      <c r="AD1333" s="11">
        <f t="shared" si="4843"/>
        <v>19051</v>
      </c>
      <c r="AE1333" s="11">
        <f t="shared" si="4843"/>
        <v>20909</v>
      </c>
      <c r="AF1333" s="11">
        <f t="shared" si="4843"/>
        <v>20325</v>
      </c>
      <c r="AG1333" s="11">
        <f t="shared" si="4843"/>
        <v>21508</v>
      </c>
      <c r="AH1333" s="11">
        <f t="shared" si="4843"/>
        <v>22081</v>
      </c>
      <c r="AI1333" s="11">
        <f t="shared" si="4843"/>
        <v>23993</v>
      </c>
      <c r="AJ1333" s="11">
        <f t="shared" si="4843"/>
        <v>24259</v>
      </c>
      <c r="AK1333" s="11">
        <f t="shared" si="4843"/>
        <v>25880</v>
      </c>
      <c r="AL1333" s="11">
        <f t="shared" si="4843"/>
        <v>26708</v>
      </c>
      <c r="AM1333" s="11">
        <f t="shared" si="4843"/>
        <v>28515</v>
      </c>
      <c r="AN1333" s="29"/>
      <c r="AO1333" s="29"/>
      <c r="AP1333" s="29"/>
      <c r="AQ1333" s="29"/>
      <c r="AR1333" s="29"/>
      <c r="BG1333" s="11"/>
      <c r="BH1333" s="11">
        <f t="shared" si="4842"/>
        <v>27407</v>
      </c>
      <c r="BI1333" s="11">
        <f t="shared" si="4842"/>
        <v>32219</v>
      </c>
      <c r="BJ1333" s="11">
        <f t="shared" si="4842"/>
        <v>38985</v>
      </c>
      <c r="BK1333" s="11">
        <f t="shared" si="4842"/>
        <v>48366</v>
      </c>
      <c r="BL1333" s="11">
        <f t="shared" si="4842"/>
        <v>60080</v>
      </c>
      <c r="BM1333" s="11">
        <f t="shared" si="4842"/>
        <v>75251</v>
      </c>
      <c r="BN1333" s="11">
        <f t="shared" si="4842"/>
        <v>87907</v>
      </c>
      <c r="BO1333" s="11">
        <f t="shared" si="4842"/>
        <v>105362</v>
      </c>
      <c r="BP1333" s="11"/>
      <c r="BT1333"/>
      <c r="BU1333"/>
      <c r="BV1333"/>
      <c r="BW1333"/>
      <c r="BX1333"/>
      <c r="BY1333"/>
      <c r="BZ1333"/>
      <c r="CA1333"/>
      <c r="CB1333"/>
      <c r="CC1333"/>
    </row>
    <row r="1334" spans="2:81" s="1003" customFormat="1" hidden="1" outlineLevel="2">
      <c r="B1334" s="100" t="s">
        <v>344</v>
      </c>
      <c r="D1334" s="940"/>
      <c r="E1334" s="940"/>
      <c r="F1334" s="940"/>
      <c r="G1334" s="940"/>
      <c r="H1334" s="940">
        <f t="shared" ref="H1334:AM1334" si="4844">+H225</f>
        <v>9395</v>
      </c>
      <c r="I1334" s="940">
        <f t="shared" si="4844"/>
        <v>11889</v>
      </c>
      <c r="J1334" s="940">
        <f t="shared" si="4844"/>
        <v>8775</v>
      </c>
      <c r="K1334" s="940">
        <f t="shared" si="4844"/>
        <v>9235</v>
      </c>
      <c r="L1334" s="940">
        <f t="shared" si="4844"/>
        <v>9378</v>
      </c>
      <c r="M1334" s="940">
        <f t="shared" si="4844"/>
        <v>12170</v>
      </c>
      <c r="N1334" s="940">
        <f t="shared" si="4844"/>
        <v>9917</v>
      </c>
      <c r="O1334" s="940">
        <f t="shared" si="4844"/>
        <v>10811</v>
      </c>
      <c r="P1334" s="940">
        <f t="shared" si="4844"/>
        <v>10746</v>
      </c>
      <c r="Q1334" s="940">
        <f t="shared" si="4844"/>
        <v>12993</v>
      </c>
      <c r="R1334" s="940">
        <f t="shared" si="4844"/>
        <v>10680</v>
      </c>
      <c r="S1334" s="940">
        <f t="shared" si="4844"/>
        <v>11279</v>
      </c>
      <c r="T1334" s="940">
        <f t="shared" si="4844"/>
        <v>11133</v>
      </c>
      <c r="U1334" s="940">
        <f t="shared" si="4844"/>
        <v>13211</v>
      </c>
      <c r="V1334" s="940">
        <f t="shared" si="4844"/>
        <v>10997</v>
      </c>
      <c r="W1334" s="940">
        <f t="shared" si="4844"/>
        <v>12910</v>
      </c>
      <c r="X1334" s="940">
        <f t="shared" si="4844"/>
        <v>11849</v>
      </c>
      <c r="Y1334" s="940">
        <f t="shared" si="4844"/>
        <v>15122</v>
      </c>
      <c r="Z1334" s="940">
        <f t="shared" si="4844"/>
        <v>13036</v>
      </c>
      <c r="AA1334" s="940">
        <f t="shared" si="4844"/>
        <v>14086</v>
      </c>
      <c r="AB1334" s="940">
        <f t="shared" si="4844"/>
        <v>13314</v>
      </c>
      <c r="AC1334" s="940">
        <f t="shared" si="4844"/>
        <v>17465</v>
      </c>
      <c r="AD1334" s="940">
        <f t="shared" si="4844"/>
        <v>14520</v>
      </c>
      <c r="AE1334" s="940">
        <f t="shared" si="4844"/>
        <v>14356</v>
      </c>
      <c r="AF1334" s="940">
        <f t="shared" si="4844"/>
        <v>13332</v>
      </c>
      <c r="AG1334" s="940">
        <f t="shared" si="4844"/>
        <v>14237</v>
      </c>
      <c r="AH1334" s="940">
        <f t="shared" si="4844"/>
        <v>13260</v>
      </c>
      <c r="AI1334" s="940">
        <f t="shared" si="4844"/>
        <v>13905</v>
      </c>
      <c r="AJ1334" s="940">
        <f t="shared" si="4844"/>
        <v>13666</v>
      </c>
      <c r="AK1334" s="940">
        <f t="shared" si="4844"/>
        <v>16891</v>
      </c>
      <c r="AL1334" s="940">
        <f t="shared" si="4844"/>
        <v>15580</v>
      </c>
      <c r="AM1334" s="940">
        <f t="shared" si="4844"/>
        <v>15895</v>
      </c>
      <c r="AN1334" s="29"/>
      <c r="AO1334" s="29"/>
      <c r="AP1334" s="29"/>
      <c r="AQ1334" s="29"/>
      <c r="AR1334" s="29"/>
      <c r="AS1334" s="940"/>
      <c r="AT1334" s="940"/>
      <c r="AU1334" s="940"/>
      <c r="AV1334" s="940"/>
      <c r="AW1334" s="940"/>
      <c r="AX1334" s="940"/>
      <c r="AY1334" s="940"/>
      <c r="AZ1334" s="940"/>
      <c r="BA1334" s="940"/>
      <c r="BB1334" s="940"/>
      <c r="BC1334" s="940"/>
      <c r="BD1334" s="940"/>
      <c r="BE1334" s="940"/>
      <c r="BG1334" s="940"/>
      <c r="BH1334" s="940">
        <f t="shared" si="4842"/>
        <v>39294</v>
      </c>
      <c r="BI1334" s="940">
        <f t="shared" si="4842"/>
        <v>42276</v>
      </c>
      <c r="BJ1334" s="940">
        <f t="shared" si="4842"/>
        <v>45698</v>
      </c>
      <c r="BK1334" s="940">
        <f t="shared" si="4842"/>
        <v>48251</v>
      </c>
      <c r="BL1334" s="940">
        <f t="shared" si="4842"/>
        <v>54093</v>
      </c>
      <c r="BM1334" s="940">
        <f t="shared" si="4842"/>
        <v>59655</v>
      </c>
      <c r="BN1334" s="940">
        <f t="shared" si="4842"/>
        <v>54734</v>
      </c>
      <c r="BO1334" s="940">
        <f t="shared" si="4842"/>
        <v>62032</v>
      </c>
      <c r="BP1334" s="940"/>
      <c r="BT1334"/>
      <c r="BU1334"/>
      <c r="BV1334"/>
      <c r="BW1334"/>
      <c r="BX1334"/>
      <c r="BY1334"/>
      <c r="BZ1334"/>
      <c r="CA1334"/>
      <c r="CB1334"/>
      <c r="CC1334"/>
    </row>
    <row r="1335" spans="2:81" s="102" customFormat="1" ht="10.5" hidden="1" outlineLevel="2">
      <c r="B1335" s="873" t="s">
        <v>523</v>
      </c>
      <c r="D1335" s="849"/>
      <c r="E1335" s="849"/>
      <c r="F1335" s="849"/>
      <c r="G1335" s="849"/>
      <c r="H1335" s="849">
        <f>SUM(H1332:H1334)</f>
        <v>21928</v>
      </c>
      <c r="I1335" s="849">
        <f t="shared" ref="I1335:AF1335" si="4845">SUM(I1332:I1334)</f>
        <v>25826</v>
      </c>
      <c r="J1335" s="849">
        <f t="shared" si="4845"/>
        <v>23212</v>
      </c>
      <c r="K1335" s="849">
        <f t="shared" si="4845"/>
        <v>25605</v>
      </c>
      <c r="L1335" s="849">
        <f t="shared" si="4845"/>
        <v>24538</v>
      </c>
      <c r="M1335" s="849">
        <f t="shared" si="4845"/>
        <v>28918</v>
      </c>
      <c r="N1335" s="849">
        <f t="shared" si="4845"/>
        <v>26819</v>
      </c>
      <c r="O1335" s="849">
        <f t="shared" si="4845"/>
        <v>30085</v>
      </c>
      <c r="P1335" s="849">
        <f t="shared" si="4845"/>
        <v>29084</v>
      </c>
      <c r="Q1335" s="849">
        <f t="shared" si="4845"/>
        <v>32471</v>
      </c>
      <c r="R1335" s="849">
        <f t="shared" si="4845"/>
        <v>30571</v>
      </c>
      <c r="S1335" s="849">
        <f t="shared" si="4845"/>
        <v>33717</v>
      </c>
      <c r="T1335" s="849">
        <f t="shared" si="4845"/>
        <v>33055</v>
      </c>
      <c r="U1335" s="849">
        <f t="shared" si="4845"/>
        <v>36906</v>
      </c>
      <c r="V1335" s="849">
        <f t="shared" si="4845"/>
        <v>35021</v>
      </c>
      <c r="W1335" s="849">
        <f t="shared" si="4845"/>
        <v>38033</v>
      </c>
      <c r="X1335" s="849">
        <f t="shared" si="4845"/>
        <v>37154</v>
      </c>
      <c r="Y1335" s="849">
        <f t="shared" si="4845"/>
        <v>43076</v>
      </c>
      <c r="Z1335" s="849">
        <f t="shared" si="4845"/>
        <v>41706</v>
      </c>
      <c r="AA1335" s="849">
        <f t="shared" si="4845"/>
        <v>46152</v>
      </c>
      <c r="AB1335" s="849">
        <f t="shared" si="4845"/>
        <v>45317</v>
      </c>
      <c r="AC1335" s="849">
        <f t="shared" si="4845"/>
        <v>51728</v>
      </c>
      <c r="AD1335" s="849">
        <f t="shared" si="4845"/>
        <v>49360</v>
      </c>
      <c r="AE1335" s="849">
        <f t="shared" si="4845"/>
        <v>51865</v>
      </c>
      <c r="AF1335" s="849">
        <f t="shared" si="4845"/>
        <v>50122</v>
      </c>
      <c r="AG1335" s="849">
        <f t="shared" ref="AG1335:AH1335" si="4846">SUM(AG1332:AG1334)</f>
        <v>52747</v>
      </c>
      <c r="AH1335" s="849">
        <f t="shared" si="4846"/>
        <v>52857</v>
      </c>
      <c r="AI1335" s="849">
        <f t="shared" ref="AI1335:AJ1335" si="4847">SUM(AI1332:AI1334)</f>
        <v>56189</v>
      </c>
      <c r="AJ1335" s="849">
        <f t="shared" si="4847"/>
        <v>56517</v>
      </c>
      <c r="AK1335" s="849">
        <f t="shared" ref="AK1335:AL1335" si="4848">SUM(AK1332:AK1334)</f>
        <v>62020</v>
      </c>
      <c r="AL1335" s="849">
        <f t="shared" si="4848"/>
        <v>61858</v>
      </c>
      <c r="AM1335" s="849">
        <f t="shared" ref="AM1335" si="4849">SUM(AM1332:AM1334)</f>
        <v>64727</v>
      </c>
      <c r="AN1335" s="29"/>
      <c r="AO1335" s="29"/>
      <c r="AP1335" s="29"/>
      <c r="AQ1335" s="29"/>
      <c r="AR1335" s="29"/>
      <c r="AS1335" s="849"/>
      <c r="AT1335" s="849"/>
      <c r="AU1335" s="849"/>
      <c r="AV1335" s="849"/>
      <c r="AW1335" s="849"/>
      <c r="AX1335" s="849"/>
      <c r="AY1335" s="849"/>
      <c r="AZ1335" s="849"/>
      <c r="BA1335" s="849"/>
      <c r="BB1335" s="849"/>
      <c r="BC1335" s="849"/>
      <c r="BD1335" s="849"/>
      <c r="BE1335" s="849"/>
      <c r="BG1335" s="849"/>
      <c r="BH1335" s="849">
        <f t="shared" ref="BH1335:BM1335" si="4850">SUM(BH1332:BH1334)</f>
        <v>96571</v>
      </c>
      <c r="BI1335" s="849">
        <f t="shared" si="4850"/>
        <v>110360</v>
      </c>
      <c r="BJ1335" s="849">
        <f t="shared" si="4850"/>
        <v>125843</v>
      </c>
      <c r="BK1335" s="849">
        <f t="shared" si="4850"/>
        <v>143015</v>
      </c>
      <c r="BL1335" s="849">
        <f t="shared" si="4850"/>
        <v>168088</v>
      </c>
      <c r="BM1335" s="849">
        <f t="shared" si="4850"/>
        <v>198270</v>
      </c>
      <c r="BN1335" s="849">
        <f t="shared" ref="BN1335:BO1335" si="4851">SUM(BN1332:BN1334)</f>
        <v>211915</v>
      </c>
      <c r="BO1335" s="849">
        <f t="shared" si="4851"/>
        <v>245122</v>
      </c>
      <c r="BP1335" s="849"/>
      <c r="BT1335"/>
      <c r="BU1335"/>
      <c r="BV1335"/>
      <c r="BW1335"/>
      <c r="BX1335"/>
      <c r="BY1335"/>
      <c r="BZ1335"/>
      <c r="CA1335"/>
      <c r="CB1335"/>
      <c r="CC1335"/>
    </row>
    <row r="1336" spans="2:81" hidden="1" outlineLevel="2">
      <c r="AN1336" s="29"/>
      <c r="AO1336" s="29"/>
      <c r="AP1336" s="29"/>
      <c r="AQ1336" s="29"/>
      <c r="AR1336" s="29"/>
    </row>
    <row r="1337" spans="2:81" s="100" customFormat="1" ht="10.5" hidden="1" outlineLevel="1" collapsed="1">
      <c r="B1337" s="958" t="s">
        <v>669</v>
      </c>
      <c r="AN1337" s="29"/>
      <c r="AO1337" s="29"/>
      <c r="AP1337" s="29"/>
      <c r="AQ1337" s="29"/>
      <c r="AR1337" s="29"/>
      <c r="BT1337"/>
      <c r="BU1337"/>
      <c r="BV1337"/>
      <c r="BW1337"/>
      <c r="BX1337"/>
      <c r="BY1337"/>
      <c r="BZ1337"/>
      <c r="CA1337"/>
      <c r="CB1337"/>
      <c r="CC1337"/>
    </row>
    <row r="1338" spans="2:81" s="100" customFormat="1" hidden="1" outlineLevel="1">
      <c r="B1338" s="100" t="s">
        <v>340</v>
      </c>
      <c r="D1338" s="11"/>
      <c r="E1338" s="11"/>
      <c r="F1338" s="11"/>
      <c r="G1338" s="11"/>
      <c r="H1338" s="11">
        <f>+H1332+H1326</f>
        <v>5419</v>
      </c>
      <c r="I1338" s="11">
        <f t="shared" ref="I1338:AF1338" si="4852">+I1332+I1326</f>
        <v>7362</v>
      </c>
      <c r="J1338" s="11">
        <f t="shared" si="4852"/>
        <v>7565</v>
      </c>
      <c r="K1338" s="11">
        <f t="shared" si="4852"/>
        <v>11543</v>
      </c>
      <c r="L1338" s="11">
        <f t="shared" si="4852"/>
        <v>7354</v>
      </c>
      <c r="M1338" s="11">
        <f t="shared" si="4852"/>
        <v>8435</v>
      </c>
      <c r="N1338" s="11">
        <f t="shared" si="4852"/>
        <v>8901</v>
      </c>
      <c r="O1338" s="11">
        <f t="shared" si="4852"/>
        <v>13347</v>
      </c>
      <c r="P1338" s="11">
        <f t="shared" si="4852"/>
        <v>8660</v>
      </c>
      <c r="Q1338" s="11">
        <f t="shared" si="4852"/>
        <v>8982</v>
      </c>
      <c r="R1338" s="11">
        <f t="shared" si="4852"/>
        <v>10286</v>
      </c>
      <c r="S1338" s="11">
        <f t="shared" si="4852"/>
        <v>15199</v>
      </c>
      <c r="T1338" s="11">
        <f t="shared" si="4852"/>
        <v>9806</v>
      </c>
      <c r="U1338" s="11">
        <f t="shared" si="4852"/>
        <v>10532</v>
      </c>
      <c r="V1338" s="11">
        <f t="shared" si="4852"/>
        <v>11554</v>
      </c>
      <c r="W1338" s="11">
        <f t="shared" si="4852"/>
        <v>16318</v>
      </c>
      <c r="X1338" s="11">
        <f t="shared" si="4852"/>
        <v>11351</v>
      </c>
      <c r="Y1338" s="11">
        <f t="shared" si="4852"/>
        <v>11903</v>
      </c>
      <c r="Z1338" s="11">
        <f t="shared" si="4852"/>
        <v>13496</v>
      </c>
      <c r="AA1338" s="11">
        <f t="shared" si="4852"/>
        <v>20642</v>
      </c>
      <c r="AB1338" s="11">
        <f t="shared" si="4852"/>
        <v>13484</v>
      </c>
      <c r="AC1338" s="11">
        <f t="shared" si="4852"/>
        <v>13865</v>
      </c>
      <c r="AD1338" s="11">
        <f t="shared" si="4852"/>
        <v>15873</v>
      </c>
      <c r="AE1338" s="11">
        <f t="shared" si="4852"/>
        <v>22580</v>
      </c>
      <c r="AF1338" s="11">
        <f t="shared" si="4852"/>
        <v>14312</v>
      </c>
      <c r="AG1338" s="11">
        <f t="shared" ref="AG1338:AH1338" si="4853">+AG1332+AG1326</f>
        <v>14717</v>
      </c>
      <c r="AH1338" s="11">
        <f t="shared" si="4853"/>
        <v>17900</v>
      </c>
      <c r="AI1338" s="11">
        <f t="shared" ref="AI1338:AJ1338" si="4854">+AI1332+AI1326</f>
        <v>25359</v>
      </c>
      <c r="AJ1338" s="11">
        <f t="shared" si="4854"/>
        <v>16336</v>
      </c>
      <c r="AK1338" s="11">
        <f t="shared" ref="AK1338:AL1338" si="4855">+AK1332+AK1326</f>
        <v>16524</v>
      </c>
      <c r="AL1338" s="11">
        <f t="shared" si="4855"/>
        <v>19908</v>
      </c>
      <c r="AM1338" s="11">
        <f t="shared" ref="AM1338" si="4856">+AM1332+AM1326</f>
        <v>28267</v>
      </c>
      <c r="AN1338" s="29"/>
      <c r="AO1338" s="29"/>
      <c r="AP1338" s="29"/>
      <c r="AQ1338" s="29"/>
      <c r="AR1338" s="29"/>
      <c r="BG1338" s="11"/>
      <c r="BH1338" s="11">
        <f t="shared" ref="BH1338:BM1338" si="4857">+BH1332+BH1326</f>
        <v>36100</v>
      </c>
      <c r="BI1338" s="11">
        <f t="shared" si="4857"/>
        <v>43128</v>
      </c>
      <c r="BJ1338" s="11">
        <f t="shared" si="4857"/>
        <v>47911</v>
      </c>
      <c r="BK1338" s="11">
        <f t="shared" si="4857"/>
        <v>53046</v>
      </c>
      <c r="BL1338" s="11">
        <f t="shared" si="4857"/>
        <v>63558</v>
      </c>
      <c r="BM1338" s="11">
        <f t="shared" si="4857"/>
        <v>73370</v>
      </c>
      <c r="BN1338" s="11">
        <f t="shared" ref="BN1338:BO1338" si="4858">+BN1332+BN1326</f>
        <v>77680</v>
      </c>
      <c r="BO1338" s="11">
        <f t="shared" si="4858"/>
        <v>88842</v>
      </c>
      <c r="BP1338" s="11"/>
      <c r="BT1338"/>
      <c r="BU1338"/>
      <c r="BV1338"/>
      <c r="BW1338"/>
      <c r="BX1338"/>
      <c r="BY1338"/>
      <c r="BZ1338"/>
      <c r="CA1338"/>
      <c r="CB1338"/>
      <c r="CC1338"/>
    </row>
    <row r="1339" spans="2:81" s="100" customFormat="1" hidden="1" outlineLevel="1">
      <c r="B1339" s="100" t="s">
        <v>342</v>
      </c>
      <c r="D1339" s="11"/>
      <c r="E1339" s="11"/>
      <c r="F1339" s="11"/>
      <c r="G1339" s="11"/>
      <c r="H1339" s="11">
        <f t="shared" ref="H1339:AF1339" si="4859">+H1333+H1327</f>
        <v>5241</v>
      </c>
      <c r="I1339" s="11">
        <f t="shared" si="4859"/>
        <v>6377</v>
      </c>
      <c r="J1339" s="11">
        <f t="shared" si="4859"/>
        <v>6789</v>
      </c>
      <c r="K1339" s="11">
        <f t="shared" si="4859"/>
        <v>11239</v>
      </c>
      <c r="L1339" s="11">
        <f t="shared" si="4859"/>
        <v>5926</v>
      </c>
      <c r="M1339" s="11">
        <f t="shared" si="4859"/>
        <v>7398</v>
      </c>
      <c r="N1339" s="11">
        <f t="shared" si="4859"/>
        <v>8124</v>
      </c>
      <c r="O1339" s="11">
        <f t="shared" si="4859"/>
        <v>14325</v>
      </c>
      <c r="P1339" s="11">
        <f t="shared" si="4859"/>
        <v>7159</v>
      </c>
      <c r="Q1339" s="11">
        <f t="shared" si="4859"/>
        <v>8631</v>
      </c>
      <c r="R1339" s="11">
        <f t="shared" si="4859"/>
        <v>9629</v>
      </c>
      <c r="S1339" s="11">
        <f t="shared" si="4859"/>
        <v>15848</v>
      </c>
      <c r="T1339" s="11">
        <f t="shared" si="4859"/>
        <v>9112</v>
      </c>
      <c r="U1339" s="11">
        <f t="shared" si="4859"/>
        <v>10380</v>
      </c>
      <c r="V1339" s="11">
        <f t="shared" si="4859"/>
        <v>11499</v>
      </c>
      <c r="W1339" s="11">
        <f t="shared" si="4859"/>
        <v>17007</v>
      </c>
      <c r="X1339" s="11">
        <f t="shared" si="4859"/>
        <v>11405</v>
      </c>
      <c r="Y1339" s="11">
        <f t="shared" si="4859"/>
        <v>13348</v>
      </c>
      <c r="Z1339" s="11">
        <f t="shared" si="4859"/>
        <v>14430</v>
      </c>
      <c r="AA1339" s="11">
        <f t="shared" si="4859"/>
        <v>21987</v>
      </c>
      <c r="AB1339" s="11">
        <f t="shared" si="4859"/>
        <v>15371</v>
      </c>
      <c r="AC1339" s="11">
        <f t="shared" si="4859"/>
        <v>16759</v>
      </c>
      <c r="AD1339" s="11">
        <f t="shared" si="4859"/>
        <v>19026</v>
      </c>
      <c r="AE1339" s="11">
        <f t="shared" si="4859"/>
        <v>25756</v>
      </c>
      <c r="AF1339" s="11">
        <f t="shared" si="4859"/>
        <v>18248</v>
      </c>
      <c r="AG1339" s="11">
        <f t="shared" ref="AG1339:AH1339" si="4860">+AG1333+AG1327</f>
        <v>20036</v>
      </c>
      <c r="AH1339" s="11">
        <f t="shared" si="4860"/>
        <v>21811</v>
      </c>
      <c r="AI1339" s="11">
        <f t="shared" ref="AI1339:AJ1339" si="4861">+AI1333+AI1327</f>
        <v>30004</v>
      </c>
      <c r="AJ1339" s="11">
        <f t="shared" si="4861"/>
        <v>22167</v>
      </c>
      <c r="AK1339" s="11">
        <f t="shared" ref="AK1339:AL1339" si="4862">+AK1333+AK1327</f>
        <v>24105</v>
      </c>
      <c r="AL1339" s="11">
        <f t="shared" si="4862"/>
        <v>25708</v>
      </c>
      <c r="AM1339" s="11">
        <f t="shared" ref="AM1339" si="4863">+AM1333+AM1327</f>
        <v>34936</v>
      </c>
      <c r="AN1339" s="29"/>
      <c r="AO1339" s="29"/>
      <c r="AP1339" s="29"/>
      <c r="AQ1339" s="29"/>
      <c r="AR1339" s="29"/>
      <c r="BG1339" s="11"/>
      <c r="BH1339" s="11">
        <f t="shared" ref="BH1339:BM1339" si="4864">+BH1333+BH1327</f>
        <v>32626</v>
      </c>
      <c r="BI1339" s="11">
        <f t="shared" si="4864"/>
        <v>42207</v>
      </c>
      <c r="BJ1339" s="11">
        <f t="shared" si="4864"/>
        <v>49745</v>
      </c>
      <c r="BK1339" s="11">
        <f t="shared" si="4864"/>
        <v>51623</v>
      </c>
      <c r="BL1339" s="11">
        <f t="shared" si="4864"/>
        <v>61088</v>
      </c>
      <c r="BM1339" s="11">
        <f t="shared" si="4864"/>
        <v>80179</v>
      </c>
      <c r="BN1339" s="11">
        <f t="shared" ref="BN1339:BO1339" si="4865">+BN1333+BN1327</f>
        <v>93577</v>
      </c>
      <c r="BO1339" s="11">
        <f t="shared" si="4865"/>
        <v>112111</v>
      </c>
      <c r="BP1339" s="11"/>
      <c r="BT1339"/>
      <c r="BU1339"/>
      <c r="BV1339"/>
      <c r="BW1339"/>
      <c r="BX1339"/>
      <c r="BY1339"/>
      <c r="BZ1339"/>
      <c r="CA1339"/>
      <c r="CB1339"/>
      <c r="CC1339"/>
    </row>
    <row r="1340" spans="2:81" s="1003" customFormat="1" hidden="1" outlineLevel="1">
      <c r="B1340" s="100" t="s">
        <v>344</v>
      </c>
      <c r="D1340" s="940"/>
      <c r="E1340" s="940"/>
      <c r="F1340" s="940"/>
      <c r="G1340" s="940"/>
      <c r="H1340" s="940">
        <f t="shared" ref="H1340:AF1340" si="4866">+H1334+H1328</f>
        <v>9445</v>
      </c>
      <c r="I1340" s="940">
        <f t="shared" si="4866"/>
        <v>11708</v>
      </c>
      <c r="J1340" s="940">
        <f t="shared" si="4866"/>
        <v>8771</v>
      </c>
      <c r="K1340" s="940">
        <f t="shared" si="4866"/>
        <v>9575</v>
      </c>
      <c r="L1340" s="940">
        <f t="shared" si="4866"/>
        <v>9506</v>
      </c>
      <c r="M1340" s="940">
        <f t="shared" si="4866"/>
        <v>11990</v>
      </c>
      <c r="N1340" s="940">
        <f t="shared" si="4866"/>
        <v>9940</v>
      </c>
      <c r="O1340" s="940">
        <f t="shared" si="4866"/>
        <v>11178</v>
      </c>
      <c r="P1340" s="940">
        <f t="shared" si="4866"/>
        <v>10787</v>
      </c>
      <c r="Q1340" s="940">
        <f t="shared" si="4866"/>
        <v>12700</v>
      </c>
      <c r="R1340" s="940">
        <f t="shared" si="4866"/>
        <v>10707</v>
      </c>
      <c r="S1340" s="940">
        <f t="shared" si="4866"/>
        <v>11741</v>
      </c>
      <c r="T1340" s="940">
        <f t="shared" si="4866"/>
        <v>10957</v>
      </c>
      <c r="U1340" s="940">
        <f t="shared" si="4866"/>
        <v>13189</v>
      </c>
      <c r="V1340" s="940">
        <f t="shared" si="4866"/>
        <v>11144</v>
      </c>
      <c r="W1340" s="940">
        <f t="shared" si="4866"/>
        <v>13491</v>
      </c>
      <c r="X1340" s="940">
        <f t="shared" si="4866"/>
        <v>11523</v>
      </c>
      <c r="Y1340" s="940">
        <f t="shared" si="4866"/>
        <v>14907</v>
      </c>
      <c r="Z1340" s="940">
        <f t="shared" si="4866"/>
        <v>13107</v>
      </c>
      <c r="AA1340" s="940">
        <f t="shared" si="4866"/>
        <v>14950</v>
      </c>
      <c r="AB1340" s="940">
        <f t="shared" si="4866"/>
        <v>13336</v>
      </c>
      <c r="AC1340" s="940">
        <f t="shared" si="4866"/>
        <v>16858</v>
      </c>
      <c r="AD1340" s="940">
        <f t="shared" si="4866"/>
        <v>14488</v>
      </c>
      <c r="AE1340" s="940">
        <f t="shared" si="4866"/>
        <v>15141</v>
      </c>
      <c r="AF1340" s="940">
        <f t="shared" si="4866"/>
        <v>13043</v>
      </c>
      <c r="AG1340" s="940">
        <f t="shared" ref="AG1340:AH1340" si="4867">+AG1334+AG1328</f>
        <v>13731</v>
      </c>
      <c r="AH1340" s="940">
        <f t="shared" si="4867"/>
        <v>13121</v>
      </c>
      <c r="AI1340" s="940">
        <f t="shared" ref="AI1340:AJ1340" si="4868">+AI1334+AI1328</f>
        <v>15038</v>
      </c>
      <c r="AJ1340" s="940">
        <f t="shared" si="4868"/>
        <v>13389</v>
      </c>
      <c r="AK1340" s="940">
        <f t="shared" ref="AK1340:AL1340" si="4869">+AK1334+AK1328</f>
        <v>18237</v>
      </c>
      <c r="AL1340" s="940">
        <f t="shared" si="4869"/>
        <v>15041</v>
      </c>
      <c r="AM1340" s="940">
        <f t="shared" ref="AM1340" si="4870">+AM1334+AM1328</f>
        <v>16875</v>
      </c>
      <c r="AN1340" s="29"/>
      <c r="AO1340" s="29"/>
      <c r="AP1340" s="29"/>
      <c r="AQ1340" s="29"/>
      <c r="AR1340" s="29"/>
      <c r="AS1340" s="940"/>
      <c r="AT1340" s="940"/>
      <c r="AU1340" s="940"/>
      <c r="AV1340" s="940"/>
      <c r="AW1340" s="940"/>
      <c r="AX1340" s="940"/>
      <c r="AY1340" s="940"/>
      <c r="AZ1340" s="940"/>
      <c r="BA1340" s="940"/>
      <c r="BB1340" s="940"/>
      <c r="BC1340" s="940"/>
      <c r="BD1340" s="940"/>
      <c r="BE1340" s="940"/>
      <c r="BG1340" s="940"/>
      <c r="BH1340" s="940">
        <f t="shared" ref="BH1340:BM1340" si="4871">+BH1334+BH1328</f>
        <v>39918</v>
      </c>
      <c r="BI1340" s="940">
        <f t="shared" si="4871"/>
        <v>43492</v>
      </c>
      <c r="BJ1340" s="940">
        <f t="shared" si="4871"/>
        <v>46466</v>
      </c>
      <c r="BK1340" s="940">
        <f t="shared" si="4871"/>
        <v>49503</v>
      </c>
      <c r="BL1340" s="940">
        <f t="shared" si="4871"/>
        <v>55165</v>
      </c>
      <c r="BM1340" s="940">
        <f t="shared" si="4871"/>
        <v>61162</v>
      </c>
      <c r="BN1340" s="940">
        <f t="shared" ref="BN1340:BO1340" si="4872">+BN1334+BN1328</f>
        <v>54599</v>
      </c>
      <c r="BO1340" s="940">
        <f t="shared" si="4872"/>
        <v>67479</v>
      </c>
      <c r="BP1340" s="940"/>
      <c r="BT1340"/>
      <c r="BU1340"/>
      <c r="BV1340"/>
      <c r="BW1340"/>
      <c r="BX1340"/>
      <c r="BY1340"/>
      <c r="BZ1340"/>
      <c r="CA1340"/>
      <c r="CB1340"/>
      <c r="CC1340"/>
    </row>
    <row r="1341" spans="2:81" s="102" customFormat="1" ht="10.5" hidden="1" outlineLevel="1">
      <c r="B1341" s="873" t="s">
        <v>670</v>
      </c>
      <c r="D1341" s="849"/>
      <c r="E1341" s="849"/>
      <c r="F1341" s="849"/>
      <c r="G1341" s="849"/>
      <c r="H1341" s="849">
        <f t="shared" ref="H1341:AF1341" si="4873">+H1335+H1329</f>
        <v>20105</v>
      </c>
      <c r="I1341" s="849">
        <f t="shared" si="4873"/>
        <v>25447</v>
      </c>
      <c r="J1341" s="849">
        <f t="shared" si="4873"/>
        <v>23125</v>
      </c>
      <c r="K1341" s="849">
        <f t="shared" si="4873"/>
        <v>32357</v>
      </c>
      <c r="L1341" s="849">
        <f t="shared" si="4873"/>
        <v>22786</v>
      </c>
      <c r="M1341" s="849">
        <f t="shared" si="4873"/>
        <v>27823</v>
      </c>
      <c r="N1341" s="849">
        <f t="shared" si="4873"/>
        <v>26965</v>
      </c>
      <c r="O1341" s="849">
        <f t="shared" si="4873"/>
        <v>38850</v>
      </c>
      <c r="P1341" s="849">
        <f t="shared" si="4873"/>
        <v>26606</v>
      </c>
      <c r="Q1341" s="849">
        <f t="shared" si="4873"/>
        <v>30313</v>
      </c>
      <c r="R1341" s="849">
        <f t="shared" si="4873"/>
        <v>30622</v>
      </c>
      <c r="S1341" s="849">
        <f t="shared" si="4873"/>
        <v>42788</v>
      </c>
      <c r="T1341" s="849">
        <f t="shared" si="4873"/>
        <v>29875</v>
      </c>
      <c r="U1341" s="849">
        <f t="shared" si="4873"/>
        <v>34101</v>
      </c>
      <c r="V1341" s="849">
        <f t="shared" si="4873"/>
        <v>34197</v>
      </c>
      <c r="W1341" s="849">
        <f t="shared" si="4873"/>
        <v>46816</v>
      </c>
      <c r="X1341" s="849">
        <f t="shared" si="4873"/>
        <v>34279</v>
      </c>
      <c r="Y1341" s="849">
        <f t="shared" si="4873"/>
        <v>40158</v>
      </c>
      <c r="Z1341" s="849">
        <f t="shared" si="4873"/>
        <v>41033</v>
      </c>
      <c r="AA1341" s="849">
        <f t="shared" si="4873"/>
        <v>57579</v>
      </c>
      <c r="AB1341" s="849">
        <f t="shared" si="4873"/>
        <v>42191</v>
      </c>
      <c r="AC1341" s="849">
        <f t="shared" si="4873"/>
        <v>47482</v>
      </c>
      <c r="AD1341" s="849">
        <f t="shared" si="4873"/>
        <v>49387</v>
      </c>
      <c r="AE1341" s="849">
        <f t="shared" si="4873"/>
        <v>63477</v>
      </c>
      <c r="AF1341" s="849">
        <f t="shared" si="4873"/>
        <v>45603</v>
      </c>
      <c r="AG1341" s="849">
        <f t="shared" ref="AG1341:AH1341" si="4874">+AG1335+AG1329</f>
        <v>48484</v>
      </c>
      <c r="AH1341" s="849">
        <f t="shared" si="4874"/>
        <v>52832</v>
      </c>
      <c r="AI1341" s="849">
        <f t="shared" ref="AI1341:AJ1341" si="4875">+AI1335+AI1329</f>
        <v>70401</v>
      </c>
      <c r="AJ1341" s="849">
        <f t="shared" si="4875"/>
        <v>51892</v>
      </c>
      <c r="AK1341" s="849">
        <f t="shared" ref="AK1341:AL1341" si="4876">+AK1335+AK1329</f>
        <v>58866</v>
      </c>
      <c r="AL1341" s="849">
        <f t="shared" si="4876"/>
        <v>60657</v>
      </c>
      <c r="AM1341" s="849">
        <f t="shared" ref="AM1341" si="4877">+AM1335+AM1329</f>
        <v>80078</v>
      </c>
      <c r="AN1341" s="29"/>
      <c r="AO1341" s="29"/>
      <c r="AP1341" s="29"/>
      <c r="AQ1341" s="29"/>
      <c r="AR1341" s="29"/>
      <c r="AS1341" s="849"/>
      <c r="AT1341" s="849"/>
      <c r="AU1341" s="849"/>
      <c r="AV1341" s="849"/>
      <c r="AW1341" s="849"/>
      <c r="AX1341" s="849"/>
      <c r="AY1341" s="849"/>
      <c r="AZ1341" s="849"/>
      <c r="BA1341" s="849"/>
      <c r="BB1341" s="849"/>
      <c r="BC1341" s="849"/>
      <c r="BD1341" s="849"/>
      <c r="BE1341" s="849"/>
      <c r="BG1341" s="849"/>
      <c r="BH1341" s="849">
        <f t="shared" ref="BH1341:BM1341" si="4878">+BH1335+BH1329</f>
        <v>108644</v>
      </c>
      <c r="BI1341" s="849">
        <f t="shared" si="4878"/>
        <v>128827</v>
      </c>
      <c r="BJ1341" s="849">
        <f t="shared" si="4878"/>
        <v>144122</v>
      </c>
      <c r="BK1341" s="849">
        <f t="shared" si="4878"/>
        <v>154172</v>
      </c>
      <c r="BL1341" s="849">
        <f t="shared" si="4878"/>
        <v>179811</v>
      </c>
      <c r="BM1341" s="849">
        <f t="shared" si="4878"/>
        <v>214711</v>
      </c>
      <c r="BN1341" s="849">
        <f t="shared" ref="BN1341:BO1341" si="4879">+BN1335+BN1329</f>
        <v>225856</v>
      </c>
      <c r="BO1341" s="849">
        <f t="shared" si="4879"/>
        <v>268432</v>
      </c>
      <c r="BP1341" s="849"/>
      <c r="BT1341"/>
      <c r="BU1341"/>
      <c r="BV1341"/>
      <c r="BW1341"/>
      <c r="BX1341"/>
      <c r="BY1341"/>
      <c r="BZ1341"/>
      <c r="CA1341"/>
      <c r="CB1341"/>
      <c r="CC1341"/>
    </row>
    <row r="1342" spans="2:81" hidden="1" outlineLevel="1">
      <c r="AN1342" s="29"/>
      <c r="AO1342" s="29"/>
      <c r="AP1342" s="29"/>
      <c r="AQ1342" s="29"/>
      <c r="AR1342" s="29"/>
    </row>
    <row r="1343" spans="2:81" s="3" customFormat="1" hidden="1" outlineLevel="1">
      <c r="B1343" s="24" t="s">
        <v>113</v>
      </c>
      <c r="AN1343" s="29"/>
      <c r="AO1343" s="29"/>
      <c r="AP1343" s="29"/>
      <c r="AQ1343" s="29"/>
      <c r="AR1343" s="29"/>
      <c r="BT1343"/>
      <c r="BU1343"/>
      <c r="BV1343"/>
      <c r="BW1343"/>
      <c r="BX1343"/>
      <c r="BY1343"/>
      <c r="BZ1343"/>
      <c r="CA1343"/>
      <c r="CB1343"/>
      <c r="CC1343"/>
    </row>
    <row r="1344" spans="2:81" s="3" customFormat="1" hidden="1" outlineLevel="1">
      <c r="B1344" s="13" t="str">
        <f>+B1338</f>
        <v>Productivity and Business Processes</v>
      </c>
      <c r="D1344" s="228"/>
      <c r="E1344" s="228"/>
      <c r="F1344" s="228"/>
      <c r="G1344" s="228"/>
      <c r="H1344" s="228" t="str">
        <f>+IFERROR(H1338/D1338-1,"n/a ")</f>
        <v xml:space="preserve">n/a </v>
      </c>
      <c r="I1344" s="228" t="str">
        <f t="shared" ref="I1344:I1347" si="4880">+IFERROR(I1338/E1338-1,"n/a ")</f>
        <v xml:space="preserve">n/a </v>
      </c>
      <c r="J1344" s="228" t="str">
        <f t="shared" ref="J1344:J1347" si="4881">+IFERROR(J1338/F1338-1,"n/a ")</f>
        <v xml:space="preserve">n/a </v>
      </c>
      <c r="K1344" s="228" t="str">
        <f t="shared" ref="K1344:K1347" si="4882">+IFERROR(K1338/G1338-1,"n/a ")</f>
        <v xml:space="preserve">n/a </v>
      </c>
      <c r="L1344" s="228">
        <f t="shared" ref="L1344:L1347" si="4883">+IFERROR(L1338/H1338-1,"n/a ")</f>
        <v>0.35707695146706042</v>
      </c>
      <c r="M1344" s="228">
        <f t="shared" ref="M1344:M1347" si="4884">+IFERROR(M1338/I1338-1,"n/a ")</f>
        <v>0.14574843792447711</v>
      </c>
      <c r="N1344" s="228">
        <f t="shared" ref="N1344:N1347" si="4885">+IFERROR(N1338/J1338-1,"n/a ")</f>
        <v>0.17660277594183738</v>
      </c>
      <c r="O1344" s="228">
        <f t="shared" ref="O1344:O1347" si="4886">+IFERROR(O1338/K1338-1,"n/a ")</f>
        <v>0.15628519449016731</v>
      </c>
      <c r="P1344" s="228">
        <f t="shared" ref="P1344:P1347" si="4887">+IFERROR(P1338/L1338-1,"n/a ")</f>
        <v>0.17759042697851513</v>
      </c>
      <c r="Q1344" s="228">
        <f t="shared" ref="Q1344:Q1347" si="4888">+IFERROR(Q1338/M1338-1,"n/a ")</f>
        <v>6.4848844101956127E-2</v>
      </c>
      <c r="R1344" s="228">
        <f t="shared" ref="R1344:R1347" si="4889">+IFERROR(R1338/N1338-1,"n/a ")</f>
        <v>0.15560049432648015</v>
      </c>
      <c r="S1344" s="228">
        <f t="shared" ref="S1344:S1347" si="4890">+IFERROR(S1338/O1338-1,"n/a ")</f>
        <v>0.13875777328238548</v>
      </c>
      <c r="T1344" s="228">
        <f t="shared" ref="T1344:T1347" si="4891">+IFERROR(T1338/P1338-1,"n/a ")</f>
        <v>0.13233256351039269</v>
      </c>
      <c r="U1344" s="228">
        <f t="shared" ref="U1344:U1347" si="4892">+IFERROR(U1338/Q1338-1,"n/a ")</f>
        <v>0.17256735693609437</v>
      </c>
      <c r="V1344" s="228">
        <f t="shared" ref="V1344:V1347" si="4893">+IFERROR(V1338/R1338-1,"n/a ")</f>
        <v>0.12327435349018079</v>
      </c>
      <c r="W1344" s="228">
        <f t="shared" ref="W1344:W1347" si="4894">+IFERROR(W1338/S1338-1,"n/a ")</f>
        <v>7.362326468846625E-2</v>
      </c>
      <c r="X1344" s="228">
        <f t="shared" ref="X1344:X1347" si="4895">+IFERROR(X1338/T1338-1,"n/a ")</f>
        <v>0.15755659800122368</v>
      </c>
      <c r="Y1344" s="228">
        <f t="shared" ref="Y1344:Y1347" si="4896">+IFERROR(Y1338/U1338-1,"n/a ")</f>
        <v>0.13017470565894418</v>
      </c>
      <c r="Z1344" s="228">
        <f t="shared" ref="Z1344:Z1347" si="4897">+IFERROR(Z1338/V1338-1,"n/a ")</f>
        <v>0.16808031850441396</v>
      </c>
      <c r="AA1344" s="228">
        <f t="shared" ref="AA1344:AA1347" si="4898">+IFERROR(AA1338/W1338-1,"n/a ")</f>
        <v>0.26498345385463895</v>
      </c>
      <c r="AB1344" s="228">
        <f t="shared" ref="AB1344:AB1347" si="4899">+IFERROR(AB1338/X1338-1,"n/a ")</f>
        <v>0.18791295921064233</v>
      </c>
      <c r="AC1344" s="228">
        <f t="shared" ref="AC1344:AC1347" si="4900">+IFERROR(AC1338/Y1338-1,"n/a ")</f>
        <v>0.16483239519448878</v>
      </c>
      <c r="AD1344" s="228">
        <f t="shared" ref="AD1344:AD1347" si="4901">+IFERROR(AD1338/Z1338-1,"n/a ")</f>
        <v>0.17612625963248374</v>
      </c>
      <c r="AE1344" s="228">
        <f t="shared" ref="AE1344:AE1347" si="4902">+IFERROR(AE1338/AA1338-1,"n/a ")</f>
        <v>9.388625133223516E-2</v>
      </c>
      <c r="AF1344" s="228">
        <f t="shared" ref="AF1344:AF1347" si="4903">+IFERROR(AF1338/AB1338-1,"n/a ")</f>
        <v>6.1406110946306658E-2</v>
      </c>
      <c r="AG1344" s="228">
        <f t="shared" ref="AG1344:AG1347" si="4904">+IFERROR(AG1338/AC1338-1,"n/a ")</f>
        <v>6.144969347277307E-2</v>
      </c>
      <c r="AH1344" s="228">
        <f t="shared" ref="AH1344:AH1347" si="4905">+IFERROR(AH1338/AD1338-1,"n/a ")</f>
        <v>0.12770112770112774</v>
      </c>
      <c r="AI1344" s="228">
        <f t="shared" ref="AI1344:AI1347" si="4906">+IFERROR(AI1338/AE1338-1,"n/a ")</f>
        <v>0.12307351638618247</v>
      </c>
      <c r="AJ1344" s="228">
        <f t="shared" ref="AJ1344:AJ1347" si="4907">+IFERROR(AJ1338/AF1338-1,"n/a ")</f>
        <v>0.14141978759083296</v>
      </c>
      <c r="AK1344" s="228">
        <f t="shared" ref="AK1344:AK1347" si="4908">+IFERROR(AK1338/AG1338-1,"n/a ")</f>
        <v>0.12278317591900523</v>
      </c>
      <c r="AL1344" s="228">
        <f t="shared" ref="AL1344:AL1347" si="4909">+IFERROR(AL1338/AH1338-1,"n/a ")</f>
        <v>0.11217877094972062</v>
      </c>
      <c r="AM1344" s="228">
        <f t="shared" ref="AM1344:AM1347" si="4910">+IFERROR(AM1338/AI1338-1,"n/a ")</f>
        <v>0.11467329153357775</v>
      </c>
      <c r="AN1344" s="29"/>
      <c r="AO1344" s="29"/>
      <c r="AP1344" s="29"/>
      <c r="AQ1344" s="29"/>
      <c r="AR1344" s="29"/>
      <c r="AS1344" s="228"/>
      <c r="AT1344" s="228"/>
      <c r="AU1344" s="228"/>
      <c r="AV1344" s="228"/>
      <c r="AW1344" s="228"/>
      <c r="AX1344" s="228"/>
      <c r="AY1344" s="228"/>
      <c r="AZ1344" s="228"/>
      <c r="BA1344" s="228"/>
      <c r="BB1344" s="228"/>
      <c r="BC1344" s="228"/>
      <c r="BD1344" s="228"/>
      <c r="BE1344" s="228"/>
      <c r="BF1344" s="228"/>
      <c r="BG1344" s="228"/>
      <c r="BH1344" s="228" t="str">
        <f>+IFERROR(BH1338/BG1338-1,"n/a ")</f>
        <v xml:space="preserve">n/a </v>
      </c>
      <c r="BI1344" s="228">
        <f>+IFERROR(BI1338/BH1338-1,"n/a ")</f>
        <v>0.19468144044321334</v>
      </c>
      <c r="BJ1344" s="228">
        <f t="shared" ref="BJ1344:BJ1347" si="4911">+IFERROR(BJ1338/BI1338-1,"n/a ")</f>
        <v>0.11090242997588584</v>
      </c>
      <c r="BK1344" s="228">
        <f t="shared" ref="BK1344:BK1347" si="4912">+IFERROR(BK1338/BJ1338-1,"n/a ")</f>
        <v>0.107177892342051</v>
      </c>
      <c r="BL1344" s="228">
        <f t="shared" ref="BL1344:BL1347" si="4913">+IFERROR(BL1338/BK1338-1,"n/a ")</f>
        <v>0.19816762809636912</v>
      </c>
      <c r="BM1344" s="228">
        <f t="shared" ref="BM1344:BM1347" si="4914">+IFERROR(BM1338/BL1338-1,"n/a ")</f>
        <v>0.15437867774316372</v>
      </c>
      <c r="BN1344" s="228">
        <f t="shared" ref="BN1344:BN1347" si="4915">+IFERROR(BN1338/BM1338-1,"n/a ")</f>
        <v>5.8743355594929714E-2</v>
      </c>
      <c r="BO1344" s="228">
        <f t="shared" ref="BO1344:BO1347" si="4916">+IFERROR(BO1338/BN1338-1,"n/a ")</f>
        <v>0.1436920700308959</v>
      </c>
      <c r="BP1344" s="228"/>
      <c r="BQ1344" s="228"/>
      <c r="BR1344" s="228"/>
      <c r="BS1344" s="228"/>
      <c r="BT1344"/>
      <c r="BU1344"/>
      <c r="BV1344"/>
      <c r="BW1344"/>
      <c r="BX1344"/>
      <c r="BY1344"/>
      <c r="BZ1344"/>
      <c r="CA1344"/>
      <c r="CB1344"/>
      <c r="CC1344"/>
    </row>
    <row r="1345" spans="2:81" s="3" customFormat="1" hidden="1" outlineLevel="1">
      <c r="B1345" s="13" t="str">
        <f t="shared" ref="B1345:B1347" si="4917">+B1339</f>
        <v>Intelligent Cloud</v>
      </c>
      <c r="D1345" s="228"/>
      <c r="E1345" s="228"/>
      <c r="F1345" s="228"/>
      <c r="G1345" s="228"/>
      <c r="H1345" s="228" t="str">
        <f t="shared" ref="H1345:H1347" si="4918">+IFERROR(H1339/D1339-1,"n/a ")</f>
        <v xml:space="preserve">n/a </v>
      </c>
      <c r="I1345" s="228" t="str">
        <f t="shared" si="4880"/>
        <v xml:space="preserve">n/a </v>
      </c>
      <c r="J1345" s="228" t="str">
        <f t="shared" si="4881"/>
        <v xml:space="preserve">n/a </v>
      </c>
      <c r="K1345" s="228" t="str">
        <f t="shared" si="4882"/>
        <v xml:space="preserve">n/a </v>
      </c>
      <c r="L1345" s="228">
        <f t="shared" si="4883"/>
        <v>0.13070024804426628</v>
      </c>
      <c r="M1345" s="228">
        <f t="shared" si="4884"/>
        <v>0.16010663321310958</v>
      </c>
      <c r="N1345" s="228">
        <f t="shared" si="4885"/>
        <v>0.19664162615996461</v>
      </c>
      <c r="O1345" s="228">
        <f t="shared" si="4886"/>
        <v>0.27457958893139955</v>
      </c>
      <c r="P1345" s="228">
        <f t="shared" si="4887"/>
        <v>0.20806614917313526</v>
      </c>
      <c r="Q1345" s="228">
        <f t="shared" si="4888"/>
        <v>0.16666666666666674</v>
      </c>
      <c r="R1345" s="228">
        <f t="shared" si="4889"/>
        <v>0.18525356967011319</v>
      </c>
      <c r="S1345" s="228">
        <f t="shared" si="4890"/>
        <v>0.10631762652705068</v>
      </c>
      <c r="T1345" s="228">
        <f t="shared" si="4891"/>
        <v>0.27280346417097356</v>
      </c>
      <c r="U1345" s="228">
        <f t="shared" si="4892"/>
        <v>0.20264164059784506</v>
      </c>
      <c r="V1345" s="228">
        <f t="shared" si="4893"/>
        <v>0.19420500571191202</v>
      </c>
      <c r="W1345" s="228">
        <f t="shared" si="4894"/>
        <v>7.3132256436143406E-2</v>
      </c>
      <c r="X1345" s="228">
        <f t="shared" si="4895"/>
        <v>0.2516461808604038</v>
      </c>
      <c r="Y1345" s="228">
        <f t="shared" si="4896"/>
        <v>0.28593448940269739</v>
      </c>
      <c r="Z1345" s="228">
        <f t="shared" si="4897"/>
        <v>0.25489172971562746</v>
      </c>
      <c r="AA1345" s="228">
        <f t="shared" si="4898"/>
        <v>0.2928206032810019</v>
      </c>
      <c r="AB1345" s="228">
        <f t="shared" si="4899"/>
        <v>0.34774221832529584</v>
      </c>
      <c r="AC1345" s="228">
        <f t="shared" si="4900"/>
        <v>0.25554390170812114</v>
      </c>
      <c r="AD1345" s="228">
        <f t="shared" si="4901"/>
        <v>0.31850311850311841</v>
      </c>
      <c r="AE1345" s="228">
        <f t="shared" si="4902"/>
        <v>0.17141947514440359</v>
      </c>
      <c r="AF1345" s="228">
        <f t="shared" si="4903"/>
        <v>0.18717064602172928</v>
      </c>
      <c r="AG1345" s="228">
        <f t="shared" si="4904"/>
        <v>0.1955367265349961</v>
      </c>
      <c r="AH1345" s="228">
        <f t="shared" si="4905"/>
        <v>0.14637863975612331</v>
      </c>
      <c r="AI1345" s="228">
        <f t="shared" si="4906"/>
        <v>0.16493244292592024</v>
      </c>
      <c r="AJ1345" s="228">
        <f t="shared" si="4907"/>
        <v>0.21476326172731253</v>
      </c>
      <c r="AK1345" s="228">
        <f t="shared" si="4908"/>
        <v>0.20308444799361158</v>
      </c>
      <c r="AL1345" s="228">
        <f t="shared" si="4909"/>
        <v>0.1786713126404107</v>
      </c>
      <c r="AM1345" s="228">
        <f t="shared" si="4910"/>
        <v>0.16437808292227696</v>
      </c>
      <c r="AN1345" s="29"/>
      <c r="AO1345" s="29"/>
      <c r="AP1345" s="29"/>
      <c r="AQ1345" s="29"/>
      <c r="AR1345" s="29"/>
      <c r="AS1345" s="228"/>
      <c r="AT1345" s="228"/>
      <c r="AU1345" s="228"/>
      <c r="AV1345" s="228"/>
      <c r="AW1345" s="228"/>
      <c r="AX1345" s="228"/>
      <c r="AY1345" s="228"/>
      <c r="AZ1345" s="228"/>
      <c r="BA1345" s="228"/>
      <c r="BB1345" s="228"/>
      <c r="BC1345" s="228"/>
      <c r="BD1345" s="228"/>
      <c r="BE1345" s="228"/>
      <c r="BF1345" s="228"/>
      <c r="BG1345" s="228"/>
      <c r="BH1345" s="228" t="str">
        <f t="shared" ref="BH1345:BH1347" si="4919">+IFERROR(BH1339/BG1339-1,"n/a ")</f>
        <v xml:space="preserve">n/a </v>
      </c>
      <c r="BI1345" s="228">
        <f t="shared" ref="BI1345:BI1347" si="4920">+IFERROR(BI1339/BH1339-1,"n/a ")</f>
        <v>0.29366149696561017</v>
      </c>
      <c r="BJ1345" s="228">
        <f t="shared" si="4911"/>
        <v>0.17859596749354378</v>
      </c>
      <c r="BK1345" s="228">
        <f t="shared" si="4912"/>
        <v>3.7752537943511966E-2</v>
      </c>
      <c r="BL1345" s="228">
        <f t="shared" si="4913"/>
        <v>0.18334850744823039</v>
      </c>
      <c r="BM1345" s="228">
        <f t="shared" si="4914"/>
        <v>0.31251636982713471</v>
      </c>
      <c r="BN1345" s="228">
        <f t="shared" si="4915"/>
        <v>0.16710111126354787</v>
      </c>
      <c r="BO1345" s="228">
        <f t="shared" si="4916"/>
        <v>0.19806148946856594</v>
      </c>
      <c r="BP1345" s="228"/>
      <c r="BQ1345" s="228"/>
      <c r="BR1345" s="228"/>
      <c r="BS1345" s="228"/>
      <c r="BT1345"/>
      <c r="BU1345"/>
      <c r="BV1345"/>
      <c r="BW1345"/>
      <c r="BX1345"/>
      <c r="BY1345"/>
      <c r="BZ1345"/>
      <c r="CA1345"/>
      <c r="CB1345"/>
      <c r="CC1345"/>
    </row>
    <row r="1346" spans="2:81" s="839" customFormat="1" ht="11.45" hidden="1" outlineLevel="1">
      <c r="B1346" s="13" t="str">
        <f t="shared" si="4917"/>
        <v>More Personal Computing</v>
      </c>
      <c r="D1346" s="840"/>
      <c r="E1346" s="840"/>
      <c r="F1346" s="840"/>
      <c r="G1346" s="840"/>
      <c r="H1346" s="840" t="str">
        <f t="shared" si="4918"/>
        <v xml:space="preserve">n/a </v>
      </c>
      <c r="I1346" s="840" t="str">
        <f t="shared" si="4880"/>
        <v xml:space="preserve">n/a </v>
      </c>
      <c r="J1346" s="840" t="str">
        <f t="shared" si="4881"/>
        <v xml:space="preserve">n/a </v>
      </c>
      <c r="K1346" s="840" t="str">
        <f t="shared" si="4882"/>
        <v xml:space="preserve">n/a </v>
      </c>
      <c r="L1346" s="840">
        <f t="shared" si="4883"/>
        <v>6.4584436209633722E-3</v>
      </c>
      <c r="M1346" s="840">
        <f t="shared" si="4884"/>
        <v>2.4086094977793016E-2</v>
      </c>
      <c r="N1346" s="840">
        <f t="shared" si="4885"/>
        <v>0.13328012769353559</v>
      </c>
      <c r="O1346" s="840">
        <f t="shared" si="4886"/>
        <v>0.16741514360313325</v>
      </c>
      <c r="P1346" s="840">
        <f t="shared" si="4887"/>
        <v>0.13475699558173782</v>
      </c>
      <c r="Q1346" s="840">
        <f t="shared" si="4888"/>
        <v>5.92160133444537E-2</v>
      </c>
      <c r="R1346" s="840">
        <f t="shared" si="4889"/>
        <v>7.7162977867203164E-2</v>
      </c>
      <c r="S1346" s="840">
        <f t="shared" si="4890"/>
        <v>5.036679191268556E-2</v>
      </c>
      <c r="T1346" s="840">
        <f t="shared" si="4891"/>
        <v>1.5759710762955459E-2</v>
      </c>
      <c r="U1346" s="840">
        <f t="shared" si="4892"/>
        <v>3.8503937007873912E-2</v>
      </c>
      <c r="V1346" s="840">
        <f t="shared" si="4893"/>
        <v>4.0814420472587987E-2</v>
      </c>
      <c r="W1346" s="840">
        <f t="shared" si="4894"/>
        <v>0.14905033642790233</v>
      </c>
      <c r="X1346" s="840">
        <f t="shared" si="4895"/>
        <v>5.1656475312585659E-2</v>
      </c>
      <c r="Y1346" s="840">
        <f t="shared" si="4896"/>
        <v>0.13026006520585343</v>
      </c>
      <c r="Z1346" s="840">
        <f t="shared" si="4897"/>
        <v>0.17614860014357503</v>
      </c>
      <c r="AA1346" s="840">
        <f t="shared" si="4898"/>
        <v>0.10814617152175532</v>
      </c>
      <c r="AB1346" s="840">
        <f t="shared" si="4899"/>
        <v>0.15733749891521298</v>
      </c>
      <c r="AC1346" s="840">
        <f t="shared" si="4900"/>
        <v>0.13087811095458513</v>
      </c>
      <c r="AD1346" s="840">
        <f t="shared" si="4901"/>
        <v>0.10536354619668886</v>
      </c>
      <c r="AE1346" s="840">
        <f t="shared" si="4902"/>
        <v>1.2775919732441521E-2</v>
      </c>
      <c r="AF1346" s="840">
        <f t="shared" si="4903"/>
        <v>-2.1970605878824268E-2</v>
      </c>
      <c r="AG1346" s="840">
        <f t="shared" si="4904"/>
        <v>-0.18549056827618937</v>
      </c>
      <c r="AH1346" s="840">
        <f t="shared" si="4905"/>
        <v>-9.4353948094975104E-2</v>
      </c>
      <c r="AI1346" s="840">
        <f t="shared" si="4906"/>
        <v>-6.8027210884353817E-3</v>
      </c>
      <c r="AJ1346" s="840">
        <f t="shared" si="4907"/>
        <v>2.6527639346776155E-2</v>
      </c>
      <c r="AK1346" s="840">
        <f t="shared" si="4908"/>
        <v>0.3281625518898843</v>
      </c>
      <c r="AL1346" s="840">
        <f t="shared" si="4909"/>
        <v>0.14633031018977216</v>
      </c>
      <c r="AM1346" s="840">
        <f t="shared" si="4910"/>
        <v>0.12215720175555256</v>
      </c>
      <c r="AN1346" s="29"/>
      <c r="AO1346" s="29"/>
      <c r="AP1346" s="29"/>
      <c r="AQ1346" s="29"/>
      <c r="AR1346" s="29"/>
      <c r="AS1346" s="840"/>
      <c r="AT1346" s="840"/>
      <c r="AU1346" s="840"/>
      <c r="AV1346" s="840"/>
      <c r="AW1346" s="840"/>
      <c r="AX1346" s="840"/>
      <c r="AY1346" s="840"/>
      <c r="AZ1346" s="840"/>
      <c r="BA1346" s="840"/>
      <c r="BB1346" s="840"/>
      <c r="BC1346" s="840"/>
      <c r="BD1346" s="840"/>
      <c r="BE1346" s="840"/>
      <c r="BF1346" s="840"/>
      <c r="BG1346" s="840"/>
      <c r="BH1346" s="840" t="str">
        <f t="shared" si="4919"/>
        <v xml:space="preserve">n/a </v>
      </c>
      <c r="BI1346" s="840">
        <f t="shared" si="4920"/>
        <v>8.953354376471756E-2</v>
      </c>
      <c r="BJ1346" s="840">
        <f t="shared" si="4911"/>
        <v>6.8380391796192486E-2</v>
      </c>
      <c r="BK1346" s="840">
        <f t="shared" si="4912"/>
        <v>6.5359617785047064E-2</v>
      </c>
      <c r="BL1346" s="840">
        <f t="shared" si="4913"/>
        <v>0.11437690645011411</v>
      </c>
      <c r="BM1346" s="840">
        <f t="shared" si="4914"/>
        <v>0.10871023293755089</v>
      </c>
      <c r="BN1346" s="840">
        <f t="shared" si="4915"/>
        <v>-0.10730518949674639</v>
      </c>
      <c r="BO1346" s="840">
        <f t="shared" si="4916"/>
        <v>0.23590175644242573</v>
      </c>
      <c r="BP1346" s="840"/>
      <c r="BQ1346" s="840"/>
      <c r="BR1346" s="840"/>
      <c r="BS1346" s="840"/>
      <c r="BT1346"/>
      <c r="BU1346"/>
      <c r="BV1346"/>
      <c r="BW1346"/>
      <c r="BX1346"/>
      <c r="BY1346"/>
      <c r="BZ1346"/>
      <c r="CA1346"/>
      <c r="CB1346"/>
      <c r="CC1346"/>
    </row>
    <row r="1347" spans="2:81" s="7" customFormat="1" hidden="1" outlineLevel="1">
      <c r="B1347" s="841" t="str">
        <f t="shared" si="4917"/>
        <v>Total billings</v>
      </c>
      <c r="D1347" s="842"/>
      <c r="E1347" s="842"/>
      <c r="F1347" s="842"/>
      <c r="G1347" s="842"/>
      <c r="H1347" s="842" t="str">
        <f t="shared" si="4918"/>
        <v xml:space="preserve">n/a </v>
      </c>
      <c r="I1347" s="842" t="str">
        <f t="shared" si="4880"/>
        <v xml:space="preserve">n/a </v>
      </c>
      <c r="J1347" s="842" t="str">
        <f t="shared" si="4881"/>
        <v xml:space="preserve">n/a </v>
      </c>
      <c r="K1347" s="842" t="str">
        <f t="shared" si="4882"/>
        <v xml:space="preserve">n/a </v>
      </c>
      <c r="L1347" s="842">
        <f t="shared" si="4883"/>
        <v>0.13334991295697596</v>
      </c>
      <c r="M1347" s="842">
        <f t="shared" si="4884"/>
        <v>9.3370534837112329E-2</v>
      </c>
      <c r="N1347" s="842">
        <f t="shared" si="4885"/>
        <v>0.16605405405405405</v>
      </c>
      <c r="O1347" s="842">
        <f t="shared" si="4886"/>
        <v>0.20066755261612634</v>
      </c>
      <c r="P1347" s="842">
        <f t="shared" si="4887"/>
        <v>0.16764680066707638</v>
      </c>
      <c r="Q1347" s="842">
        <f t="shared" si="4888"/>
        <v>8.9494303274269438E-2</v>
      </c>
      <c r="R1347" s="842">
        <f t="shared" si="4889"/>
        <v>0.13562024847023912</v>
      </c>
      <c r="S1347" s="842">
        <f t="shared" si="4890"/>
        <v>0.10136422136422141</v>
      </c>
      <c r="T1347" s="842">
        <f t="shared" si="4891"/>
        <v>0.12286702247613324</v>
      </c>
      <c r="U1347" s="842">
        <f t="shared" si="4892"/>
        <v>0.12496288721010784</v>
      </c>
      <c r="V1347" s="842">
        <f t="shared" si="4893"/>
        <v>0.1167461302331656</v>
      </c>
      <c r="W1347" s="842">
        <f t="shared" si="4894"/>
        <v>9.4138543516873785E-2</v>
      </c>
      <c r="X1347" s="842">
        <f t="shared" si="4895"/>
        <v>0.14741422594142262</v>
      </c>
      <c r="Y1347" s="842">
        <f t="shared" si="4896"/>
        <v>0.17761942465030356</v>
      </c>
      <c r="Z1347" s="842">
        <f t="shared" si="4897"/>
        <v>0.19990057607392453</v>
      </c>
      <c r="AA1347" s="842">
        <f t="shared" si="4898"/>
        <v>0.22990003417634997</v>
      </c>
      <c r="AB1347" s="842">
        <f t="shared" si="4899"/>
        <v>0.23081186732401759</v>
      </c>
      <c r="AC1347" s="842">
        <f t="shared" si="4900"/>
        <v>0.18237960057771807</v>
      </c>
      <c r="AD1347" s="842">
        <f t="shared" si="4901"/>
        <v>0.20359223064362819</v>
      </c>
      <c r="AE1347" s="842">
        <f t="shared" si="4902"/>
        <v>0.10243317876309077</v>
      </c>
      <c r="AF1347" s="842">
        <f t="shared" si="4903"/>
        <v>8.0870327795027341E-2</v>
      </c>
      <c r="AG1347" s="842">
        <f t="shared" si="4904"/>
        <v>2.1102733667495155E-2</v>
      </c>
      <c r="AH1347" s="842">
        <f t="shared" si="4905"/>
        <v>6.9755198736509705E-2</v>
      </c>
      <c r="AI1347" s="842">
        <f t="shared" si="4906"/>
        <v>0.10907887896403423</v>
      </c>
      <c r="AJ1347" s="842">
        <f t="shared" si="4907"/>
        <v>0.13790759379865358</v>
      </c>
      <c r="AK1347" s="842">
        <f t="shared" si="4908"/>
        <v>0.2141324973187031</v>
      </c>
      <c r="AL1347" s="842">
        <f t="shared" si="4909"/>
        <v>0.14811099333737121</v>
      </c>
      <c r="AM1347" s="842">
        <f t="shared" si="4910"/>
        <v>0.13745543387167802</v>
      </c>
      <c r="AN1347" s="29"/>
      <c r="AO1347" s="29"/>
      <c r="AP1347" s="29"/>
      <c r="AQ1347" s="29"/>
      <c r="AR1347" s="29"/>
      <c r="AS1347" s="842"/>
      <c r="AT1347" s="842"/>
      <c r="AU1347" s="842"/>
      <c r="AV1347" s="842"/>
      <c r="AW1347" s="842"/>
      <c r="AX1347" s="842"/>
      <c r="AY1347" s="842"/>
      <c r="AZ1347" s="842"/>
      <c r="BA1347" s="842"/>
      <c r="BB1347" s="842"/>
      <c r="BC1347" s="842"/>
      <c r="BD1347" s="842"/>
      <c r="BE1347" s="842"/>
      <c r="BF1347" s="842"/>
      <c r="BG1347" s="842"/>
      <c r="BH1347" s="842" t="str">
        <f t="shared" si="4919"/>
        <v xml:space="preserve">n/a </v>
      </c>
      <c r="BI1347" s="842">
        <f t="shared" si="4920"/>
        <v>0.18577187879680435</v>
      </c>
      <c r="BJ1347" s="842">
        <f t="shared" si="4911"/>
        <v>0.1187251119718693</v>
      </c>
      <c r="BK1347" s="842">
        <f t="shared" si="4912"/>
        <v>6.9732587668780655E-2</v>
      </c>
      <c r="BL1347" s="842">
        <f t="shared" si="4913"/>
        <v>0.16630127390187588</v>
      </c>
      <c r="BM1347" s="842">
        <f t="shared" si="4914"/>
        <v>0.19409268620940878</v>
      </c>
      <c r="BN1347" s="842">
        <f t="shared" si="4915"/>
        <v>5.1906981943170116E-2</v>
      </c>
      <c r="BO1347" s="842">
        <f t="shared" si="4916"/>
        <v>0.18850949277415707</v>
      </c>
      <c r="BP1347" s="842"/>
      <c r="BQ1347" s="842"/>
      <c r="BR1347" s="842"/>
      <c r="BS1347" s="842"/>
      <c r="BT1347"/>
      <c r="BU1347"/>
      <c r="BV1347"/>
      <c r="BW1347"/>
      <c r="BX1347"/>
      <c r="BY1347"/>
      <c r="BZ1347"/>
      <c r="CA1347"/>
      <c r="CB1347"/>
      <c r="CC1347"/>
    </row>
    <row r="1348" spans="2:81" hidden="1" outlineLevel="1"/>
    <row r="1349" spans="2:81" hidden="1" outlineLevel="1"/>
    <row r="1350" spans="2:81" ht="10.5" collapsed="1">
      <c r="B1350" s="5" t="s">
        <v>334</v>
      </c>
      <c r="C1350" s="4"/>
    </row>
    <row r="1352" spans="2:81" ht="10.5">
      <c r="B1352" s="958" t="s">
        <v>672</v>
      </c>
      <c r="C1352" s="100"/>
      <c r="D1352" s="958"/>
      <c r="E1352" s="958"/>
      <c r="F1352" s="958"/>
      <c r="G1352" s="958"/>
      <c r="H1352" s="958"/>
      <c r="I1352" s="958"/>
      <c r="J1352" s="958"/>
      <c r="K1352" s="958"/>
      <c r="L1352" s="958"/>
      <c r="M1352" s="958"/>
      <c r="N1352" s="958"/>
      <c r="O1352" s="958"/>
      <c r="P1352" s="958"/>
      <c r="Q1352" s="958"/>
      <c r="R1352" s="958"/>
      <c r="S1352" s="958"/>
      <c r="T1352" s="958"/>
      <c r="U1352" s="958"/>
      <c r="V1352" s="958"/>
      <c r="W1352" s="958"/>
      <c r="X1352" s="958"/>
      <c r="Y1352" s="958"/>
      <c r="Z1352" s="958"/>
      <c r="AA1352" s="958"/>
      <c r="AB1352" s="958"/>
      <c r="AC1352" s="958"/>
      <c r="AD1352" s="958"/>
      <c r="AE1352" s="826"/>
      <c r="AF1352" s="826"/>
      <c r="AG1352" s="826"/>
      <c r="AH1352" s="826"/>
      <c r="AI1352" s="826"/>
      <c r="AJ1352" s="826"/>
      <c r="AK1352" s="826"/>
      <c r="AL1352" s="826"/>
      <c r="AM1352" s="826"/>
      <c r="AN1352" s="826"/>
      <c r="AO1352" s="826"/>
      <c r="AP1352" s="826"/>
      <c r="AQ1352" s="826"/>
    </row>
    <row r="1353" spans="2:81">
      <c r="B1353" s="1168" t="s">
        <v>673</v>
      </c>
      <c r="C1353" s="1169"/>
      <c r="D1353" s="1169">
        <f>+D$12*D1374</f>
        <v>13591.5</v>
      </c>
      <c r="E1353" s="1169">
        <f t="shared" ref="E1353:AM1353" si="4921">+E$12*E1374</f>
        <v>16414.45</v>
      </c>
      <c r="F1353" s="1169">
        <f t="shared" si="4921"/>
        <v>13986.050000000001</v>
      </c>
      <c r="G1353" s="1169">
        <f t="shared" si="4921"/>
        <v>15258.1</v>
      </c>
      <c r="H1353" s="1169">
        <f t="shared" si="4921"/>
        <v>14253.2</v>
      </c>
      <c r="I1353" s="1169">
        <f t="shared" si="4921"/>
        <v>16786.900000000001</v>
      </c>
      <c r="J1353" s="1169">
        <f t="shared" si="4921"/>
        <v>15087.800000000001</v>
      </c>
      <c r="K1353" s="1169">
        <f t="shared" si="4921"/>
        <v>16643.25</v>
      </c>
      <c r="L1353" s="1169">
        <f t="shared" si="4921"/>
        <v>15949.7</v>
      </c>
      <c r="M1353" s="1169">
        <f t="shared" si="4921"/>
        <v>18796.7</v>
      </c>
      <c r="N1353" s="1169">
        <f t="shared" si="4921"/>
        <v>17432.350000000002</v>
      </c>
      <c r="O1353" s="1169">
        <f t="shared" si="4921"/>
        <v>19555.25</v>
      </c>
      <c r="P1353" s="1169">
        <f t="shared" si="4921"/>
        <v>18904.600000000002</v>
      </c>
      <c r="Q1353" s="1169">
        <f t="shared" si="4921"/>
        <v>21106.15</v>
      </c>
      <c r="R1353" s="1169">
        <f t="shared" si="4921"/>
        <v>19871.150000000001</v>
      </c>
      <c r="S1353" s="1169">
        <f t="shared" si="4921"/>
        <v>21916.05</v>
      </c>
      <c r="T1353" s="1169">
        <f t="shared" si="4921"/>
        <v>21485.75</v>
      </c>
      <c r="U1353" s="1169">
        <f t="shared" si="4921"/>
        <v>23988.9</v>
      </c>
      <c r="V1353" s="1169">
        <f t="shared" si="4921"/>
        <v>22763.65</v>
      </c>
      <c r="W1353" s="1169">
        <f t="shared" si="4921"/>
        <v>24721.45</v>
      </c>
      <c r="X1353" s="1169">
        <f t="shared" si="4921"/>
        <v>24150.100000000002</v>
      </c>
      <c r="Y1353" s="1169">
        <f t="shared" si="4921"/>
        <v>27999.4</v>
      </c>
      <c r="Z1353" s="1169">
        <f t="shared" si="4921"/>
        <v>27108.9</v>
      </c>
      <c r="AA1353" s="1169">
        <f t="shared" si="4921"/>
        <v>29998.799999999999</v>
      </c>
      <c r="AB1353" s="1169">
        <f t="shared" si="4921"/>
        <v>29456.05</v>
      </c>
      <c r="AC1353" s="1169">
        <f t="shared" si="4921"/>
        <v>33623.200000000004</v>
      </c>
      <c r="AD1353" s="1169">
        <f t="shared" si="4921"/>
        <v>32084</v>
      </c>
      <c r="AE1353" s="1169">
        <f t="shared" si="4921"/>
        <v>33712.25</v>
      </c>
      <c r="AF1353" s="1169">
        <f t="shared" si="4921"/>
        <v>32579.300000000003</v>
      </c>
      <c r="AG1353" s="1169">
        <f t="shared" si="4921"/>
        <v>34285.550000000003</v>
      </c>
      <c r="AH1353" s="1169">
        <f t="shared" si="4921"/>
        <v>34357.050000000003</v>
      </c>
      <c r="AI1353" s="1169">
        <f t="shared" si="4921"/>
        <v>36522.85</v>
      </c>
      <c r="AJ1353" s="1169">
        <f t="shared" si="4921"/>
        <v>36736.050000000003</v>
      </c>
      <c r="AK1353" s="1169">
        <f t="shared" si="4921"/>
        <v>40313</v>
      </c>
      <c r="AL1353" s="1169">
        <f t="shared" si="4921"/>
        <v>40207.700000000004</v>
      </c>
      <c r="AM1353" s="1169">
        <f t="shared" si="4921"/>
        <v>42072.55</v>
      </c>
      <c r="AN1353" s="1169">
        <f t="shared" ref="AN1353:AQ1353" si="4922">+AN$12*AN1374</f>
        <v>42630.25</v>
      </c>
      <c r="AO1353" s="1169">
        <f t="shared" si="4922"/>
        <v>44816.981530099998</v>
      </c>
      <c r="AP1353" s="1169">
        <f t="shared" si="4922"/>
        <v>45292.829365028338</v>
      </c>
      <c r="AQ1353" s="1169">
        <f t="shared" si="4922"/>
        <v>47923.637025591641</v>
      </c>
    </row>
    <row r="1354" spans="2:81">
      <c r="B1354" s="1168" t="s">
        <v>674</v>
      </c>
      <c r="C1354" s="1169"/>
      <c r="D1354" s="1169">
        <f t="shared" ref="D1354:AM1354" si="4923">+D$12*D1375</f>
        <v>2718.3</v>
      </c>
      <c r="E1354" s="1169">
        <f t="shared" si="4923"/>
        <v>3282.8900000000003</v>
      </c>
      <c r="F1354" s="1169">
        <f t="shared" si="4923"/>
        <v>2797.21</v>
      </c>
      <c r="G1354" s="1169">
        <f t="shared" si="4923"/>
        <v>3051.62</v>
      </c>
      <c r="H1354" s="1169">
        <f t="shared" si="4923"/>
        <v>2850.64</v>
      </c>
      <c r="I1354" s="1169">
        <f t="shared" si="4923"/>
        <v>3357.38</v>
      </c>
      <c r="J1354" s="1169">
        <f t="shared" si="4923"/>
        <v>3017.56</v>
      </c>
      <c r="K1354" s="1169">
        <f t="shared" si="4923"/>
        <v>3328.65</v>
      </c>
      <c r="L1354" s="1169">
        <f t="shared" si="4923"/>
        <v>3189.94</v>
      </c>
      <c r="M1354" s="1169">
        <f t="shared" si="4923"/>
        <v>3759.34</v>
      </c>
      <c r="N1354" s="1169">
        <f t="shared" si="4923"/>
        <v>3486.4700000000003</v>
      </c>
      <c r="O1354" s="1169">
        <f t="shared" si="4923"/>
        <v>3911.05</v>
      </c>
      <c r="P1354" s="1169">
        <f t="shared" si="4923"/>
        <v>3780.92</v>
      </c>
      <c r="Q1354" s="1169">
        <f t="shared" si="4923"/>
        <v>4221.2300000000005</v>
      </c>
      <c r="R1354" s="1169">
        <f t="shared" si="4923"/>
        <v>3974.23</v>
      </c>
      <c r="S1354" s="1169">
        <f t="shared" si="4923"/>
        <v>4383.21</v>
      </c>
      <c r="T1354" s="1169">
        <f t="shared" si="4923"/>
        <v>4297.1500000000005</v>
      </c>
      <c r="U1354" s="1169">
        <f t="shared" si="4923"/>
        <v>4797.78</v>
      </c>
      <c r="V1354" s="1169">
        <f t="shared" si="4923"/>
        <v>4552.7300000000005</v>
      </c>
      <c r="W1354" s="1169">
        <f t="shared" si="4923"/>
        <v>4944.29</v>
      </c>
      <c r="X1354" s="1169">
        <f t="shared" si="4923"/>
        <v>4830.0200000000004</v>
      </c>
      <c r="Y1354" s="1169">
        <f t="shared" si="4923"/>
        <v>5599.88</v>
      </c>
      <c r="Z1354" s="1169">
        <f t="shared" si="4923"/>
        <v>5421.78</v>
      </c>
      <c r="AA1354" s="1169">
        <f t="shared" si="4923"/>
        <v>5999.76</v>
      </c>
      <c r="AB1354" s="1169">
        <f t="shared" si="4923"/>
        <v>6797.55</v>
      </c>
      <c r="AC1354" s="1169">
        <f t="shared" si="4923"/>
        <v>7759.2</v>
      </c>
      <c r="AD1354" s="1169">
        <f t="shared" si="4923"/>
        <v>7404</v>
      </c>
      <c r="AE1354" s="1169">
        <f t="shared" si="4923"/>
        <v>7779.75</v>
      </c>
      <c r="AF1354" s="1169">
        <f t="shared" si="4923"/>
        <v>7518.2999999999993</v>
      </c>
      <c r="AG1354" s="1169">
        <f t="shared" si="4923"/>
        <v>7912.0499999999993</v>
      </c>
      <c r="AH1354" s="1169">
        <f t="shared" si="4923"/>
        <v>7928.5499999999993</v>
      </c>
      <c r="AI1354" s="1169">
        <f t="shared" si="4923"/>
        <v>8428.35</v>
      </c>
      <c r="AJ1354" s="1169">
        <f t="shared" si="4923"/>
        <v>8477.5499999999993</v>
      </c>
      <c r="AK1354" s="1169">
        <f t="shared" si="4923"/>
        <v>9303</v>
      </c>
      <c r="AL1354" s="1169">
        <f t="shared" si="4923"/>
        <v>9278.6999999999989</v>
      </c>
      <c r="AM1354" s="1169">
        <f t="shared" si="4923"/>
        <v>9709.0499999999993</v>
      </c>
      <c r="AN1354" s="1169">
        <f t="shared" ref="AN1354:AQ1354" si="4924">+AN$12*AN1375</f>
        <v>9837.75</v>
      </c>
      <c r="AO1354" s="1169">
        <f t="shared" si="4924"/>
        <v>10342.380353099999</v>
      </c>
      <c r="AP1354" s="1169">
        <f t="shared" si="4924"/>
        <v>10452.191391929615</v>
      </c>
      <c r="AQ1354" s="1169">
        <f t="shared" si="4924"/>
        <v>11059.300852059609</v>
      </c>
    </row>
    <row r="1355" spans="2:81">
      <c r="B1355" s="1168" t="s">
        <v>675</v>
      </c>
      <c r="C1355" s="1169"/>
      <c r="D1355" s="1169">
        <f t="shared" ref="D1355:AM1355" si="4925">+D$12*D1376</f>
        <v>2718.3</v>
      </c>
      <c r="E1355" s="1169">
        <f t="shared" si="4925"/>
        <v>3282.8900000000003</v>
      </c>
      <c r="F1355" s="1169">
        <f t="shared" si="4925"/>
        <v>2797.21</v>
      </c>
      <c r="G1355" s="1169">
        <f t="shared" si="4925"/>
        <v>3051.62</v>
      </c>
      <c r="H1355" s="1169">
        <f t="shared" si="4925"/>
        <v>2850.64</v>
      </c>
      <c r="I1355" s="1169">
        <f t="shared" si="4925"/>
        <v>3357.38</v>
      </c>
      <c r="J1355" s="1169">
        <f t="shared" si="4925"/>
        <v>3017.56</v>
      </c>
      <c r="K1355" s="1169">
        <f t="shared" si="4925"/>
        <v>3328.65</v>
      </c>
      <c r="L1355" s="1169">
        <f t="shared" si="4925"/>
        <v>3189.94</v>
      </c>
      <c r="M1355" s="1169">
        <f t="shared" si="4925"/>
        <v>3759.34</v>
      </c>
      <c r="N1355" s="1169">
        <f t="shared" si="4925"/>
        <v>3486.4700000000003</v>
      </c>
      <c r="O1355" s="1169">
        <f t="shared" si="4925"/>
        <v>3911.05</v>
      </c>
      <c r="P1355" s="1169">
        <f t="shared" si="4925"/>
        <v>3780.92</v>
      </c>
      <c r="Q1355" s="1169">
        <f t="shared" si="4925"/>
        <v>4221.2300000000005</v>
      </c>
      <c r="R1355" s="1169">
        <f t="shared" si="4925"/>
        <v>3974.23</v>
      </c>
      <c r="S1355" s="1169">
        <f t="shared" si="4925"/>
        <v>4383.21</v>
      </c>
      <c r="T1355" s="1169">
        <f t="shared" si="4925"/>
        <v>4297.1500000000005</v>
      </c>
      <c r="U1355" s="1169">
        <f t="shared" si="4925"/>
        <v>4797.78</v>
      </c>
      <c r="V1355" s="1169">
        <f t="shared" si="4925"/>
        <v>4552.7300000000005</v>
      </c>
      <c r="W1355" s="1169">
        <f t="shared" si="4925"/>
        <v>4944.29</v>
      </c>
      <c r="X1355" s="1169">
        <f t="shared" si="4925"/>
        <v>4830.0200000000004</v>
      </c>
      <c r="Y1355" s="1169">
        <f t="shared" si="4925"/>
        <v>5599.88</v>
      </c>
      <c r="Z1355" s="1169">
        <f t="shared" si="4925"/>
        <v>5421.78</v>
      </c>
      <c r="AA1355" s="1169">
        <f t="shared" si="4925"/>
        <v>5999.76</v>
      </c>
      <c r="AB1355" s="1169">
        <f t="shared" si="4925"/>
        <v>5438.0400000000009</v>
      </c>
      <c r="AC1355" s="1169">
        <f t="shared" si="4925"/>
        <v>6207.3600000000006</v>
      </c>
      <c r="AD1355" s="1169">
        <f t="shared" si="4925"/>
        <v>5923.2000000000007</v>
      </c>
      <c r="AE1355" s="1169">
        <f t="shared" si="4925"/>
        <v>6223.8</v>
      </c>
      <c r="AF1355" s="1169">
        <f t="shared" si="4925"/>
        <v>5513.420000000001</v>
      </c>
      <c r="AG1355" s="1169">
        <f t="shared" si="4925"/>
        <v>5802.170000000001</v>
      </c>
      <c r="AH1355" s="1169">
        <f t="shared" si="4925"/>
        <v>5814.27</v>
      </c>
      <c r="AI1355" s="1169">
        <f t="shared" si="4925"/>
        <v>6180.7900000000009</v>
      </c>
      <c r="AJ1355" s="1169">
        <f t="shared" si="4925"/>
        <v>5651.7000000000007</v>
      </c>
      <c r="AK1355" s="1169">
        <f t="shared" si="4925"/>
        <v>6202.0000000000009</v>
      </c>
      <c r="AL1355" s="1169">
        <f t="shared" si="4925"/>
        <v>6185.8000000000011</v>
      </c>
      <c r="AM1355" s="1169">
        <f t="shared" si="4925"/>
        <v>6472.7000000000016</v>
      </c>
      <c r="AN1355" s="1169">
        <f t="shared" ref="AN1355:AQ1355" si="4926">+AN$12*AN1376</f>
        <v>5902.6500000000015</v>
      </c>
      <c r="AO1355" s="1169">
        <f t="shared" si="4926"/>
        <v>6205.4282118600013</v>
      </c>
      <c r="AP1355" s="1169">
        <f t="shared" si="4926"/>
        <v>6271.3148351577711</v>
      </c>
      <c r="AQ1355" s="1169">
        <f t="shared" si="4926"/>
        <v>6635.5805112357666</v>
      </c>
    </row>
    <row r="1356" spans="2:81">
      <c r="B1356" s="1168" t="s">
        <v>676</v>
      </c>
      <c r="C1356" s="1169"/>
      <c r="D1356" s="1169">
        <f t="shared" ref="D1356:AM1356" si="4927">+D$12*D1377</f>
        <v>627.29999999999995</v>
      </c>
      <c r="E1356" s="1169">
        <f t="shared" si="4927"/>
        <v>757.58999999999992</v>
      </c>
      <c r="F1356" s="1169">
        <f t="shared" si="4927"/>
        <v>645.51</v>
      </c>
      <c r="G1356" s="1169">
        <f t="shared" si="4927"/>
        <v>704.22</v>
      </c>
      <c r="H1356" s="1169">
        <f t="shared" si="4927"/>
        <v>657.84</v>
      </c>
      <c r="I1356" s="1169">
        <f t="shared" si="4927"/>
        <v>774.78</v>
      </c>
      <c r="J1356" s="1169">
        <f t="shared" si="4927"/>
        <v>696.36</v>
      </c>
      <c r="K1356" s="1169">
        <f t="shared" si="4927"/>
        <v>768.15</v>
      </c>
      <c r="L1356" s="1169">
        <f t="shared" si="4927"/>
        <v>736.14</v>
      </c>
      <c r="M1356" s="1169">
        <f t="shared" si="4927"/>
        <v>867.54</v>
      </c>
      <c r="N1356" s="1169">
        <f t="shared" si="4927"/>
        <v>804.56999999999994</v>
      </c>
      <c r="O1356" s="1169">
        <f t="shared" si="4927"/>
        <v>902.55</v>
      </c>
      <c r="P1356" s="1169">
        <f t="shared" si="4927"/>
        <v>872.52</v>
      </c>
      <c r="Q1356" s="1169">
        <f t="shared" si="4927"/>
        <v>974.13</v>
      </c>
      <c r="R1356" s="1169">
        <f t="shared" si="4927"/>
        <v>917.13</v>
      </c>
      <c r="S1356" s="1169">
        <f t="shared" si="4927"/>
        <v>1011.51</v>
      </c>
      <c r="T1356" s="1169">
        <f t="shared" si="4927"/>
        <v>991.65</v>
      </c>
      <c r="U1356" s="1169">
        <f t="shared" si="4927"/>
        <v>1107.18</v>
      </c>
      <c r="V1356" s="1169">
        <f t="shared" si="4927"/>
        <v>1050.6299999999999</v>
      </c>
      <c r="W1356" s="1169">
        <f t="shared" si="4927"/>
        <v>1140.99</v>
      </c>
      <c r="X1356" s="1169">
        <f t="shared" si="4927"/>
        <v>1114.6199999999999</v>
      </c>
      <c r="Y1356" s="1169">
        <f t="shared" si="4927"/>
        <v>1292.28</v>
      </c>
      <c r="Z1356" s="1169">
        <f t="shared" si="4927"/>
        <v>1251.18</v>
      </c>
      <c r="AA1356" s="1169">
        <f t="shared" si="4927"/>
        <v>1384.56</v>
      </c>
      <c r="AB1356" s="1169">
        <f t="shared" si="4927"/>
        <v>1812.68</v>
      </c>
      <c r="AC1356" s="1169">
        <f t="shared" si="4927"/>
        <v>2069.12</v>
      </c>
      <c r="AD1356" s="1169">
        <f t="shared" si="4927"/>
        <v>1974.4</v>
      </c>
      <c r="AE1356" s="1169">
        <f t="shared" si="4927"/>
        <v>2074.6</v>
      </c>
      <c r="AF1356" s="1169">
        <f t="shared" si="4927"/>
        <v>2506.1000000000004</v>
      </c>
      <c r="AG1356" s="1169">
        <f t="shared" si="4927"/>
        <v>2637.3500000000004</v>
      </c>
      <c r="AH1356" s="1169">
        <f t="shared" si="4927"/>
        <v>2642.8500000000004</v>
      </c>
      <c r="AI1356" s="1169">
        <f t="shared" si="4927"/>
        <v>2809.4500000000003</v>
      </c>
      <c r="AJ1356" s="1169">
        <f t="shared" si="4927"/>
        <v>3391.0200000000004</v>
      </c>
      <c r="AK1356" s="1169">
        <f t="shared" si="4927"/>
        <v>3721.2000000000003</v>
      </c>
      <c r="AL1356" s="1169">
        <f t="shared" si="4927"/>
        <v>3711.4800000000005</v>
      </c>
      <c r="AM1356" s="1169">
        <f t="shared" si="4927"/>
        <v>3883.6200000000003</v>
      </c>
      <c r="AN1356" s="1169">
        <f t="shared" ref="AN1356:AQ1356" si="4928">+AN$12*AN1377</f>
        <v>4590.9500000000007</v>
      </c>
      <c r="AO1356" s="1169">
        <f>+AO$12*AO1377</f>
        <v>4826.4441647800004</v>
      </c>
      <c r="AP1356" s="1169">
        <f t="shared" si="4928"/>
        <v>4877.689316233821</v>
      </c>
      <c r="AQ1356" s="1169">
        <f t="shared" si="4928"/>
        <v>5161.0070642944847</v>
      </c>
    </row>
    <row r="1357" spans="2:81">
      <c r="B1357" s="1168" t="s">
        <v>677</v>
      </c>
      <c r="C1357" s="1169"/>
      <c r="D1357" s="1169">
        <f t="shared" ref="D1357:AM1357" si="4929">+D$12*D1378</f>
        <v>627.29999999999995</v>
      </c>
      <c r="E1357" s="1169">
        <f t="shared" si="4929"/>
        <v>757.58999999999992</v>
      </c>
      <c r="F1357" s="1169">
        <f t="shared" si="4929"/>
        <v>645.51</v>
      </c>
      <c r="G1357" s="1169">
        <f t="shared" si="4929"/>
        <v>704.22</v>
      </c>
      <c r="H1357" s="1169">
        <f t="shared" si="4929"/>
        <v>657.84</v>
      </c>
      <c r="I1357" s="1169">
        <f t="shared" si="4929"/>
        <v>774.78</v>
      </c>
      <c r="J1357" s="1169">
        <f t="shared" si="4929"/>
        <v>696.36</v>
      </c>
      <c r="K1357" s="1169">
        <f t="shared" si="4929"/>
        <v>768.15</v>
      </c>
      <c r="L1357" s="1169">
        <f t="shared" si="4929"/>
        <v>736.14</v>
      </c>
      <c r="M1357" s="1169">
        <f t="shared" si="4929"/>
        <v>867.54</v>
      </c>
      <c r="N1357" s="1169">
        <f t="shared" si="4929"/>
        <v>804.56999999999994</v>
      </c>
      <c r="O1357" s="1169">
        <f t="shared" si="4929"/>
        <v>902.55</v>
      </c>
      <c r="P1357" s="1169">
        <f t="shared" si="4929"/>
        <v>872.52</v>
      </c>
      <c r="Q1357" s="1169">
        <f t="shared" si="4929"/>
        <v>974.13</v>
      </c>
      <c r="R1357" s="1169">
        <f t="shared" si="4929"/>
        <v>917.13</v>
      </c>
      <c r="S1357" s="1169">
        <f t="shared" si="4929"/>
        <v>1011.51</v>
      </c>
      <c r="T1357" s="1169">
        <f t="shared" si="4929"/>
        <v>991.65</v>
      </c>
      <c r="U1357" s="1169">
        <f t="shared" si="4929"/>
        <v>1107.18</v>
      </c>
      <c r="V1357" s="1169">
        <f t="shared" si="4929"/>
        <v>1050.6299999999999</v>
      </c>
      <c r="W1357" s="1169">
        <f t="shared" si="4929"/>
        <v>1140.99</v>
      </c>
      <c r="X1357" s="1169">
        <f t="shared" si="4929"/>
        <v>1114.6199999999999</v>
      </c>
      <c r="Y1357" s="1169">
        <f t="shared" si="4929"/>
        <v>1292.28</v>
      </c>
      <c r="Z1357" s="1169">
        <f t="shared" si="4929"/>
        <v>1251.18</v>
      </c>
      <c r="AA1357" s="1169">
        <f t="shared" si="4929"/>
        <v>1384.56</v>
      </c>
      <c r="AB1357" s="1169">
        <f t="shared" si="4929"/>
        <v>906.34</v>
      </c>
      <c r="AC1357" s="1169">
        <f t="shared" si="4929"/>
        <v>1034.56</v>
      </c>
      <c r="AD1357" s="1169">
        <f t="shared" si="4929"/>
        <v>987.2</v>
      </c>
      <c r="AE1357" s="1169">
        <f t="shared" si="4929"/>
        <v>1037.3</v>
      </c>
      <c r="AF1357" s="1169">
        <f t="shared" si="4929"/>
        <v>1002.44</v>
      </c>
      <c r="AG1357" s="1169">
        <f t="shared" si="4929"/>
        <v>1054.94</v>
      </c>
      <c r="AH1357" s="1169">
        <f t="shared" si="4929"/>
        <v>1057.1400000000001</v>
      </c>
      <c r="AI1357" s="1169">
        <f t="shared" si="4929"/>
        <v>1123.78</v>
      </c>
      <c r="AJ1357" s="1169">
        <f t="shared" si="4929"/>
        <v>1130.3399999999999</v>
      </c>
      <c r="AK1357" s="1169">
        <f t="shared" si="4929"/>
        <v>1240.4000000000001</v>
      </c>
      <c r="AL1357" s="1169">
        <f t="shared" si="4929"/>
        <v>1237.1600000000001</v>
      </c>
      <c r="AM1357" s="1169">
        <f t="shared" si="4929"/>
        <v>1294.54</v>
      </c>
      <c r="AN1357" s="1169">
        <f t="shared" ref="AN1357:AQ1357" si="4930">+AN$12*AN1378</f>
        <v>1311.7</v>
      </c>
      <c r="AO1357" s="1169">
        <f t="shared" si="4930"/>
        <v>1378.98404708</v>
      </c>
      <c r="AP1357" s="1169">
        <f t="shared" si="4930"/>
        <v>1393.6255189239487</v>
      </c>
      <c r="AQ1357" s="1169">
        <f t="shared" si="4930"/>
        <v>1474.5734469412812</v>
      </c>
    </row>
    <row r="1358" spans="2:81" ht="11.45">
      <c r="B1358" s="1168" t="s">
        <v>678</v>
      </c>
      <c r="C1358" s="1170"/>
      <c r="D1358" s="1170">
        <f t="shared" ref="D1358:AM1358" si="4931">+D$12*D1379</f>
        <v>627.29999999999825</v>
      </c>
      <c r="E1358" s="1170">
        <f t="shared" si="4931"/>
        <v>757.58999999999787</v>
      </c>
      <c r="F1358" s="1170">
        <f t="shared" si="4931"/>
        <v>645.50999999999817</v>
      </c>
      <c r="G1358" s="1170">
        <f t="shared" si="4931"/>
        <v>704.21999999999798</v>
      </c>
      <c r="H1358" s="1170">
        <f t="shared" si="4931"/>
        <v>657.8399999999981</v>
      </c>
      <c r="I1358" s="1170">
        <f t="shared" si="4931"/>
        <v>774.77999999999781</v>
      </c>
      <c r="J1358" s="1170">
        <f t="shared" si="4931"/>
        <v>696.35999999999808</v>
      </c>
      <c r="K1358" s="1170">
        <f t="shared" si="4931"/>
        <v>768.14999999999782</v>
      </c>
      <c r="L1358" s="1170">
        <f t="shared" si="4931"/>
        <v>736.13999999999794</v>
      </c>
      <c r="M1358" s="1170">
        <f t="shared" si="4931"/>
        <v>867.53999999999758</v>
      </c>
      <c r="N1358" s="1170">
        <f t="shared" si="4931"/>
        <v>804.56999999999778</v>
      </c>
      <c r="O1358" s="1170">
        <f t="shared" si="4931"/>
        <v>902.54999999999745</v>
      </c>
      <c r="P1358" s="1170">
        <f t="shared" si="4931"/>
        <v>872.51999999999759</v>
      </c>
      <c r="Q1358" s="1170">
        <f t="shared" si="4931"/>
        <v>974.12999999999727</v>
      </c>
      <c r="R1358" s="1170">
        <f t="shared" si="4931"/>
        <v>917.12999999999738</v>
      </c>
      <c r="S1358" s="1170">
        <f t="shared" si="4931"/>
        <v>1011.5099999999971</v>
      </c>
      <c r="T1358" s="1170">
        <f t="shared" si="4931"/>
        <v>991.64999999999725</v>
      </c>
      <c r="U1358" s="1170">
        <f t="shared" si="4931"/>
        <v>1107.1799999999969</v>
      </c>
      <c r="V1358" s="1170">
        <f t="shared" si="4931"/>
        <v>1050.6299999999972</v>
      </c>
      <c r="W1358" s="1170">
        <f t="shared" si="4931"/>
        <v>1140.9899999999968</v>
      </c>
      <c r="X1358" s="1170">
        <f t="shared" si="4931"/>
        <v>1114.6199999999969</v>
      </c>
      <c r="Y1358" s="1170">
        <f t="shared" si="4931"/>
        <v>1292.2799999999963</v>
      </c>
      <c r="Z1358" s="1170">
        <f t="shared" si="4931"/>
        <v>1251.1799999999964</v>
      </c>
      <c r="AA1358" s="1170">
        <f t="shared" si="4931"/>
        <v>1384.5599999999961</v>
      </c>
      <c r="AB1358" s="1170">
        <f t="shared" si="4931"/>
        <v>906.33999999999583</v>
      </c>
      <c r="AC1358" s="1170">
        <f t="shared" si="4931"/>
        <v>1034.5599999999952</v>
      </c>
      <c r="AD1358" s="1170">
        <f t="shared" si="4931"/>
        <v>987.19999999999538</v>
      </c>
      <c r="AE1358" s="1170">
        <f t="shared" si="4931"/>
        <v>1037.2999999999952</v>
      </c>
      <c r="AF1358" s="1170">
        <f t="shared" si="4931"/>
        <v>1002.4399999999953</v>
      </c>
      <c r="AG1358" s="1170">
        <f t="shared" si="4931"/>
        <v>1054.9399999999951</v>
      </c>
      <c r="AH1358" s="1170">
        <f t="shared" si="4931"/>
        <v>1057.1399999999951</v>
      </c>
      <c r="AI1358" s="1170">
        <f t="shared" si="4931"/>
        <v>1123.7799999999947</v>
      </c>
      <c r="AJ1358" s="1170">
        <f t="shared" si="4931"/>
        <v>1130.3399999999947</v>
      </c>
      <c r="AK1358" s="1170">
        <f t="shared" si="4931"/>
        <v>1240.3999999999942</v>
      </c>
      <c r="AL1358" s="1170">
        <f t="shared" si="4931"/>
        <v>1237.1599999999942</v>
      </c>
      <c r="AM1358" s="1170">
        <f t="shared" si="4931"/>
        <v>1294.5399999999941</v>
      </c>
      <c r="AN1358" s="1170">
        <f t="shared" ref="AN1358:AQ1358" si="4932">+AN$12*AN1379</f>
        <v>1311.6999999999866</v>
      </c>
      <c r="AO1358" s="1170">
        <f t="shared" si="4932"/>
        <v>1378.9840470799859</v>
      </c>
      <c r="AP1358" s="1170">
        <f t="shared" si="4932"/>
        <v>1393.6255189239344</v>
      </c>
      <c r="AQ1358" s="1170">
        <f t="shared" si="4932"/>
        <v>1474.5734469412662</v>
      </c>
    </row>
    <row r="1359" spans="2:81" ht="10.5">
      <c r="B1359" s="1171" t="s">
        <v>346</v>
      </c>
      <c r="C1359" s="1172"/>
      <c r="D1359" s="1172">
        <f t="shared" ref="D1359:AM1359" si="4933">+SUM(D1353:D1358)</f>
        <v>20909.999999999996</v>
      </c>
      <c r="E1359" s="1172">
        <f t="shared" si="4933"/>
        <v>25252.999999999996</v>
      </c>
      <c r="F1359" s="1172">
        <f t="shared" si="4933"/>
        <v>21516.999999999996</v>
      </c>
      <c r="G1359" s="1172">
        <f t="shared" si="4933"/>
        <v>23474</v>
      </c>
      <c r="H1359" s="1172">
        <f t="shared" si="4933"/>
        <v>21927.999999999996</v>
      </c>
      <c r="I1359" s="1172">
        <f t="shared" si="4933"/>
        <v>25826</v>
      </c>
      <c r="J1359" s="1172">
        <f t="shared" si="4933"/>
        <v>23212</v>
      </c>
      <c r="K1359" s="1172">
        <f t="shared" si="4933"/>
        <v>25605.000000000004</v>
      </c>
      <c r="L1359" s="1172">
        <f t="shared" si="4933"/>
        <v>24537.999999999996</v>
      </c>
      <c r="M1359" s="1172">
        <f t="shared" si="4933"/>
        <v>28918</v>
      </c>
      <c r="N1359" s="1172">
        <f t="shared" si="4933"/>
        <v>26819</v>
      </c>
      <c r="O1359" s="1172">
        <f t="shared" si="4933"/>
        <v>30084.999999999993</v>
      </c>
      <c r="P1359" s="1172">
        <f t="shared" si="4933"/>
        <v>29084</v>
      </c>
      <c r="Q1359" s="1172">
        <f t="shared" si="4933"/>
        <v>32471</v>
      </c>
      <c r="R1359" s="1172">
        <f t="shared" si="4933"/>
        <v>30571</v>
      </c>
      <c r="S1359" s="1172">
        <f t="shared" si="4933"/>
        <v>33716.999999999993</v>
      </c>
      <c r="T1359" s="1172">
        <f t="shared" si="4933"/>
        <v>33055</v>
      </c>
      <c r="U1359" s="1172">
        <f t="shared" si="4933"/>
        <v>36906</v>
      </c>
      <c r="V1359" s="1172">
        <f t="shared" si="4933"/>
        <v>35020.999999999993</v>
      </c>
      <c r="W1359" s="1172">
        <f t="shared" si="4933"/>
        <v>38032.999999999993</v>
      </c>
      <c r="X1359" s="1172">
        <f t="shared" si="4933"/>
        <v>37154</v>
      </c>
      <c r="Y1359" s="1172">
        <f t="shared" si="4933"/>
        <v>43075.999999999993</v>
      </c>
      <c r="Z1359" s="1172">
        <f t="shared" si="4933"/>
        <v>41705.999999999993</v>
      </c>
      <c r="AA1359" s="1172">
        <f t="shared" si="4933"/>
        <v>46151.999999999993</v>
      </c>
      <c r="AB1359" s="1172">
        <f t="shared" si="4933"/>
        <v>45316.999999999993</v>
      </c>
      <c r="AC1359" s="1172">
        <f t="shared" si="4933"/>
        <v>51728</v>
      </c>
      <c r="AD1359" s="1172">
        <f t="shared" si="4933"/>
        <v>49359.999999999993</v>
      </c>
      <c r="AE1359" s="1172">
        <f t="shared" si="4933"/>
        <v>51865</v>
      </c>
      <c r="AF1359" s="1172">
        <f t="shared" si="4933"/>
        <v>50122</v>
      </c>
      <c r="AG1359" s="1172">
        <f t="shared" si="4933"/>
        <v>52747</v>
      </c>
      <c r="AH1359" s="1172">
        <f t="shared" si="4933"/>
        <v>52857</v>
      </c>
      <c r="AI1359" s="1172">
        <f t="shared" si="4933"/>
        <v>56188.999999999985</v>
      </c>
      <c r="AJ1359" s="1172">
        <f t="shared" si="4933"/>
        <v>56517</v>
      </c>
      <c r="AK1359" s="1172">
        <f t="shared" si="4933"/>
        <v>62019.999999999993</v>
      </c>
      <c r="AL1359" s="1172">
        <f t="shared" si="4933"/>
        <v>61858.000000000007</v>
      </c>
      <c r="AM1359" s="1172">
        <f t="shared" si="4933"/>
        <v>64727.000000000007</v>
      </c>
      <c r="AN1359" s="1172">
        <f t="shared" ref="AN1359:AQ1359" si="4934">+SUM(AN1353:AN1358)</f>
        <v>65584.999999999985</v>
      </c>
      <c r="AO1359" s="1172">
        <f t="shared" si="4934"/>
        <v>68949.202353999979</v>
      </c>
      <c r="AP1359" s="1172">
        <f t="shared" si="4934"/>
        <v>69681.27594619742</v>
      </c>
      <c r="AQ1359" s="1172">
        <f t="shared" si="4934"/>
        <v>73728.672347064057</v>
      </c>
    </row>
    <row r="1360" spans="2:81">
      <c r="B1360" s="1173"/>
      <c r="C1360" s="1169"/>
      <c r="D1360" s="1169"/>
      <c r="E1360" s="1169"/>
      <c r="F1360" s="1169"/>
      <c r="G1360" s="1169"/>
      <c r="H1360" s="1169"/>
      <c r="I1360" s="1169"/>
      <c r="J1360" s="1169"/>
      <c r="K1360" s="1169"/>
      <c r="L1360" s="1169"/>
      <c r="M1360" s="1169"/>
      <c r="N1360" s="1169"/>
      <c r="O1360" s="1169"/>
      <c r="P1360" s="1169"/>
      <c r="Q1360" s="1169"/>
      <c r="R1360" s="1169"/>
      <c r="S1360" s="1169"/>
      <c r="T1360" s="1169"/>
      <c r="U1360" s="1169"/>
      <c r="V1360" s="1169"/>
      <c r="W1360" s="1169"/>
      <c r="X1360" s="1169"/>
      <c r="Y1360" s="1169"/>
      <c r="Z1360" s="1169"/>
      <c r="AA1360" s="1169"/>
      <c r="AB1360" s="1169"/>
      <c r="AC1360" s="1169"/>
      <c r="AD1360" s="1169"/>
      <c r="AE1360" s="1169"/>
      <c r="AF1360" s="1169"/>
      <c r="AG1360" s="1169"/>
      <c r="AH1360" s="1169"/>
      <c r="AI1360" s="1169"/>
      <c r="AJ1360" s="1169"/>
      <c r="AK1360" s="1169"/>
      <c r="AL1360" s="1169"/>
      <c r="AM1360" s="1169"/>
      <c r="AN1360" s="1169"/>
      <c r="AO1360" s="1169"/>
      <c r="AP1360" s="1169"/>
      <c r="AQ1360" s="1169"/>
    </row>
    <row r="1361" spans="1:81">
      <c r="B1361" s="1174" t="s">
        <v>87</v>
      </c>
      <c r="C1361" s="872"/>
      <c r="D1361" s="228"/>
      <c r="E1361" s="228"/>
      <c r="F1361" s="228"/>
      <c r="G1361" s="228"/>
      <c r="H1361" s="228"/>
      <c r="I1361" s="228"/>
      <c r="J1361" s="228"/>
      <c r="K1361" s="228"/>
      <c r="L1361" s="228"/>
      <c r="M1361" s="228"/>
      <c r="N1361" s="228"/>
      <c r="O1361" s="228"/>
      <c r="P1361" s="228"/>
      <c r="Q1361" s="228"/>
      <c r="R1361" s="228"/>
      <c r="S1361" s="228"/>
      <c r="T1361" s="228"/>
      <c r="U1361" s="228"/>
      <c r="V1361" s="228"/>
      <c r="W1361" s="228"/>
      <c r="X1361" s="228"/>
      <c r="Y1361" s="228"/>
      <c r="Z1361" s="228"/>
      <c r="AA1361" s="228"/>
      <c r="AB1361" s="228"/>
      <c r="AC1361" s="228"/>
      <c r="AD1361" s="228"/>
      <c r="AE1361" s="228"/>
      <c r="AF1361" s="228"/>
      <c r="AG1361" s="228"/>
      <c r="AH1361" s="228"/>
      <c r="AI1361" s="228"/>
      <c r="AJ1361" s="228"/>
      <c r="AK1361" s="228"/>
      <c r="AL1361" s="228"/>
      <c r="AM1361" s="228"/>
      <c r="AN1361" s="228"/>
      <c r="AO1361" s="228"/>
      <c r="AP1361" s="228"/>
      <c r="AQ1361" s="228"/>
    </row>
    <row r="1362" spans="1:81">
      <c r="B1362" s="1175" t="str">
        <f>+B1353</f>
        <v>USD</v>
      </c>
      <c r="C1362" s="872"/>
      <c r="D1362" s="228" t="str">
        <f>IFERROR(D1353/#REF!-1,"")</f>
        <v/>
      </c>
      <c r="E1362" s="228" t="str">
        <f>IFERROR(E1353/#REF!-1,"")</f>
        <v/>
      </c>
      <c r="F1362" s="228" t="str">
        <f>IFERROR(F1353/#REF!-1,"")</f>
        <v/>
      </c>
      <c r="G1362" s="228" t="str">
        <f>IFERROR(G1353/#REF!-1,"")</f>
        <v/>
      </c>
      <c r="H1362" s="228">
        <f t="shared" ref="H1362:AM1362" si="4935">IFERROR(H1353/D1353-1,"")</f>
        <v>4.8684839789574497E-2</v>
      </c>
      <c r="I1362" s="228">
        <f t="shared" si="4935"/>
        <v>2.2690373420979792E-2</v>
      </c>
      <c r="J1362" s="228">
        <f t="shared" si="4935"/>
        <v>7.8774922154575489E-2</v>
      </c>
      <c r="K1362" s="228">
        <f t="shared" si="4935"/>
        <v>9.0781289937803544E-2</v>
      </c>
      <c r="L1362" s="228">
        <f t="shared" si="4935"/>
        <v>0.11902590295512594</v>
      </c>
      <c r="M1362" s="228">
        <f t="shared" si="4935"/>
        <v>0.11972430883605667</v>
      </c>
      <c r="N1362" s="228">
        <f t="shared" si="4935"/>
        <v>0.15539376184732046</v>
      </c>
      <c r="O1362" s="228">
        <f t="shared" si="4935"/>
        <v>0.17496582698691654</v>
      </c>
      <c r="P1362" s="228">
        <f t="shared" si="4935"/>
        <v>0.18526367267095933</v>
      </c>
      <c r="Q1362" s="228">
        <f t="shared" si="4935"/>
        <v>0.12286465177398154</v>
      </c>
      <c r="R1362" s="228">
        <f t="shared" si="4935"/>
        <v>0.13990081658525666</v>
      </c>
      <c r="S1362" s="228">
        <f t="shared" si="4935"/>
        <v>0.12072461359481457</v>
      </c>
      <c r="T1362" s="228">
        <f t="shared" si="4935"/>
        <v>0.13653555219364577</v>
      </c>
      <c r="U1362" s="228">
        <f t="shared" si="4935"/>
        <v>0.13658341289150311</v>
      </c>
      <c r="V1362" s="228">
        <f t="shared" si="4935"/>
        <v>0.14556278826338676</v>
      </c>
      <c r="W1362" s="228">
        <f t="shared" si="4935"/>
        <v>0.12800664353293589</v>
      </c>
      <c r="X1362" s="228">
        <f t="shared" si="4935"/>
        <v>0.12400544546967196</v>
      </c>
      <c r="Y1362" s="228">
        <f t="shared" si="4935"/>
        <v>0.16718148810491518</v>
      </c>
      <c r="Z1362" s="228">
        <f t="shared" si="4935"/>
        <v>0.19088546871876866</v>
      </c>
      <c r="AA1362" s="228">
        <f t="shared" si="4935"/>
        <v>0.21347251071437956</v>
      </c>
      <c r="AB1362" s="228">
        <f t="shared" si="4935"/>
        <v>0.2197071647736446</v>
      </c>
      <c r="AC1362" s="228">
        <f t="shared" si="4935"/>
        <v>0.20085430402080062</v>
      </c>
      <c r="AD1362" s="228">
        <f t="shared" si="4935"/>
        <v>0.18352275451973332</v>
      </c>
      <c r="AE1362" s="228">
        <f t="shared" si="4935"/>
        <v>0.12378661813139202</v>
      </c>
      <c r="AF1362" s="228">
        <f t="shared" si="4935"/>
        <v>0.10603084935013363</v>
      </c>
      <c r="AG1362" s="228">
        <f t="shared" si="4935"/>
        <v>1.9699195793380753E-2</v>
      </c>
      <c r="AH1362" s="228">
        <f t="shared" si="4935"/>
        <v>7.084683954619142E-2</v>
      </c>
      <c r="AI1362" s="228">
        <f t="shared" si="4935"/>
        <v>8.3370288248336921E-2</v>
      </c>
      <c r="AJ1362" s="228">
        <f t="shared" si="4935"/>
        <v>0.12758868361198683</v>
      </c>
      <c r="AK1362" s="228">
        <f t="shared" si="4935"/>
        <v>0.17580146738203117</v>
      </c>
      <c r="AL1362" s="228">
        <f t="shared" si="4935"/>
        <v>0.17028964943148495</v>
      </c>
      <c r="AM1362" s="228">
        <f t="shared" si="4935"/>
        <v>0.15195144957198048</v>
      </c>
      <c r="AN1362" s="228">
        <f t="shared" ref="AN1362:AN1368" si="4936">IFERROR(AN1353/AJ1353-1,"")</f>
        <v>0.16044729904276589</v>
      </c>
      <c r="AO1362" s="228">
        <f t="shared" ref="AO1362:AO1368" si="4937">IFERROR(AO1353/AK1353-1,"")</f>
        <v>0.11172528787487912</v>
      </c>
      <c r="AP1362" s="228">
        <f t="shared" ref="AP1362:AP1368" si="4938">IFERROR(AP1353/AL1353-1,"")</f>
        <v>0.12647153070253547</v>
      </c>
      <c r="AQ1362" s="228">
        <f t="shared" ref="AQ1362:AQ1368" si="4939">IFERROR(AQ1353/AM1353-1,"")</f>
        <v>0.13907136661770303</v>
      </c>
    </row>
    <row r="1363" spans="1:81">
      <c r="B1363" s="1175" t="str">
        <f t="shared" ref="B1363" si="4940">+B1354</f>
        <v>EUR</v>
      </c>
      <c r="C1363" s="872"/>
      <c r="D1363" s="228" t="str">
        <f>IFERROR(D1354/#REF!-1,"")</f>
        <v/>
      </c>
      <c r="E1363" s="228" t="str">
        <f>IFERROR(E1354/#REF!-1,"")</f>
        <v/>
      </c>
      <c r="F1363" s="228" t="str">
        <f>IFERROR(F1354/#REF!-1,"")</f>
        <v/>
      </c>
      <c r="G1363" s="228" t="str">
        <f>IFERROR(G1354/#REF!-1,"")</f>
        <v/>
      </c>
      <c r="H1363" s="228">
        <f t="shared" ref="H1363:AM1363" si="4941">IFERROR(H1354/D1354-1,"")</f>
        <v>4.8684839789574275E-2</v>
      </c>
      <c r="I1363" s="228">
        <f t="shared" si="4941"/>
        <v>2.269037342097957E-2</v>
      </c>
      <c r="J1363" s="228">
        <f t="shared" si="4941"/>
        <v>7.8774922154575489E-2</v>
      </c>
      <c r="K1363" s="228">
        <f t="shared" si="4941"/>
        <v>9.0781289937803544E-2</v>
      </c>
      <c r="L1363" s="228">
        <f t="shared" si="4941"/>
        <v>0.11902590295512594</v>
      </c>
      <c r="M1363" s="228">
        <f t="shared" si="4941"/>
        <v>0.11972430883605667</v>
      </c>
      <c r="N1363" s="228">
        <f t="shared" si="4941"/>
        <v>0.15539376184732046</v>
      </c>
      <c r="O1363" s="228">
        <f t="shared" si="4941"/>
        <v>0.17496582698691654</v>
      </c>
      <c r="P1363" s="228">
        <f t="shared" si="4941"/>
        <v>0.18526367267095933</v>
      </c>
      <c r="Q1363" s="228">
        <f t="shared" si="4941"/>
        <v>0.12286465177398176</v>
      </c>
      <c r="R1363" s="228">
        <f t="shared" si="4941"/>
        <v>0.13990081658525666</v>
      </c>
      <c r="S1363" s="228">
        <f t="shared" si="4941"/>
        <v>0.12072461359481457</v>
      </c>
      <c r="T1363" s="228">
        <f t="shared" si="4941"/>
        <v>0.13653555219364621</v>
      </c>
      <c r="U1363" s="228">
        <f t="shared" si="4941"/>
        <v>0.13658341289150311</v>
      </c>
      <c r="V1363" s="228">
        <f t="shared" si="4941"/>
        <v>0.14556278826338698</v>
      </c>
      <c r="W1363" s="228">
        <f t="shared" si="4941"/>
        <v>0.12800664353293589</v>
      </c>
      <c r="X1363" s="228">
        <f t="shared" si="4941"/>
        <v>0.12400544546967174</v>
      </c>
      <c r="Y1363" s="228">
        <f t="shared" si="4941"/>
        <v>0.16718148810491518</v>
      </c>
      <c r="Z1363" s="228">
        <f t="shared" si="4941"/>
        <v>0.19088546871876866</v>
      </c>
      <c r="AA1363" s="228">
        <f t="shared" si="4941"/>
        <v>0.21347251071437956</v>
      </c>
      <c r="AB1363" s="228">
        <f t="shared" si="4941"/>
        <v>0.40735442089266694</v>
      </c>
      <c r="AC1363" s="228">
        <f t="shared" si="4941"/>
        <v>0.38560112002400038</v>
      </c>
      <c r="AD1363" s="228">
        <f t="shared" si="4941"/>
        <v>0.36560317829200017</v>
      </c>
      <c r="AE1363" s="228">
        <f t="shared" si="4941"/>
        <v>0.29667686707468288</v>
      </c>
      <c r="AF1363" s="228">
        <f t="shared" si="4941"/>
        <v>0.1060308493501334</v>
      </c>
      <c r="AG1363" s="228">
        <f t="shared" si="4941"/>
        <v>1.9699195793380753E-2</v>
      </c>
      <c r="AH1363" s="228">
        <f t="shared" si="4941"/>
        <v>7.0846839546191198E-2</v>
      </c>
      <c r="AI1363" s="228">
        <f t="shared" si="4941"/>
        <v>8.3370288248337143E-2</v>
      </c>
      <c r="AJ1363" s="228">
        <f t="shared" si="4941"/>
        <v>0.12758868361198683</v>
      </c>
      <c r="AK1363" s="228">
        <f t="shared" si="4941"/>
        <v>0.1758014673820314</v>
      </c>
      <c r="AL1363" s="228">
        <f t="shared" si="4941"/>
        <v>0.17028964943148495</v>
      </c>
      <c r="AM1363" s="228">
        <f t="shared" si="4941"/>
        <v>0.15195144957198004</v>
      </c>
      <c r="AN1363" s="228">
        <f t="shared" si="4936"/>
        <v>0.16044729904276589</v>
      </c>
      <c r="AO1363" s="228">
        <f t="shared" si="4937"/>
        <v>0.1117252878748789</v>
      </c>
      <c r="AP1363" s="228">
        <f t="shared" si="4938"/>
        <v>0.12647153070253547</v>
      </c>
      <c r="AQ1363" s="228">
        <f t="shared" si="4939"/>
        <v>0.13907136661770303</v>
      </c>
    </row>
    <row r="1364" spans="1:81">
      <c r="B1364" s="1175" t="s">
        <v>675</v>
      </c>
      <c r="C1364" s="872"/>
      <c r="D1364" s="228"/>
      <c r="E1364" s="228"/>
      <c r="F1364" s="228"/>
      <c r="G1364" s="228"/>
      <c r="H1364" s="228">
        <f t="shared" ref="H1364:AM1364" si="4942">IFERROR(H1355/D1355-1,"")</f>
        <v>4.8684839789574275E-2</v>
      </c>
      <c r="I1364" s="228">
        <f t="shared" si="4942"/>
        <v>2.269037342097957E-2</v>
      </c>
      <c r="J1364" s="228">
        <f t="shared" si="4942"/>
        <v>7.8774922154575489E-2</v>
      </c>
      <c r="K1364" s="228">
        <f t="shared" si="4942"/>
        <v>9.0781289937803544E-2</v>
      </c>
      <c r="L1364" s="228">
        <f t="shared" si="4942"/>
        <v>0.11902590295512594</v>
      </c>
      <c r="M1364" s="228">
        <f t="shared" si="4942"/>
        <v>0.11972430883605667</v>
      </c>
      <c r="N1364" s="228">
        <f t="shared" si="4942"/>
        <v>0.15539376184732046</v>
      </c>
      <c r="O1364" s="228">
        <f t="shared" si="4942"/>
        <v>0.17496582698691654</v>
      </c>
      <c r="P1364" s="228">
        <f t="shared" si="4942"/>
        <v>0.18526367267095933</v>
      </c>
      <c r="Q1364" s="228">
        <f t="shared" si="4942"/>
        <v>0.12286465177398176</v>
      </c>
      <c r="R1364" s="228">
        <f t="shared" si="4942"/>
        <v>0.13990081658525666</v>
      </c>
      <c r="S1364" s="228">
        <f t="shared" si="4942"/>
        <v>0.12072461359481457</v>
      </c>
      <c r="T1364" s="228">
        <f t="shared" si="4942"/>
        <v>0.13653555219364621</v>
      </c>
      <c r="U1364" s="228">
        <f t="shared" si="4942"/>
        <v>0.13658341289150311</v>
      </c>
      <c r="V1364" s="228">
        <f t="shared" si="4942"/>
        <v>0.14556278826338698</v>
      </c>
      <c r="W1364" s="228">
        <f t="shared" si="4942"/>
        <v>0.12800664353293589</v>
      </c>
      <c r="X1364" s="228">
        <f t="shared" si="4942"/>
        <v>0.12400544546967174</v>
      </c>
      <c r="Y1364" s="228">
        <f t="shared" si="4942"/>
        <v>0.16718148810491518</v>
      </c>
      <c r="Z1364" s="228">
        <f t="shared" si="4942"/>
        <v>0.19088546871876866</v>
      </c>
      <c r="AA1364" s="228">
        <f t="shared" si="4942"/>
        <v>0.21347251071437956</v>
      </c>
      <c r="AB1364" s="228">
        <f t="shared" si="4942"/>
        <v>0.12588353671413377</v>
      </c>
      <c r="AC1364" s="228">
        <f t="shared" si="4942"/>
        <v>0.10848089601920052</v>
      </c>
      <c r="AD1364" s="228">
        <f t="shared" si="4942"/>
        <v>9.2482542633600229E-2</v>
      </c>
      <c r="AE1364" s="228">
        <f t="shared" si="4942"/>
        <v>3.7341493659746483E-2</v>
      </c>
      <c r="AF1364" s="228">
        <f t="shared" si="4942"/>
        <v>1.3861611904289139E-2</v>
      </c>
      <c r="AG1364" s="228">
        <f t="shared" si="4942"/>
        <v>-6.527573718940094E-2</v>
      </c>
      <c r="AH1364" s="228">
        <f t="shared" si="4942"/>
        <v>-1.8390397082658105E-2</v>
      </c>
      <c r="AI1364" s="228">
        <f t="shared" si="4942"/>
        <v>-6.910569105690989E-3</v>
      </c>
      <c r="AJ1364" s="228">
        <f t="shared" si="4942"/>
        <v>2.5080621465442432E-2</v>
      </c>
      <c r="AK1364" s="228">
        <f t="shared" si="4942"/>
        <v>6.8910424892755673E-2</v>
      </c>
      <c r="AL1364" s="228">
        <f t="shared" si="4942"/>
        <v>6.3899681301350153E-2</v>
      </c>
      <c r="AM1364" s="228">
        <f t="shared" si="4942"/>
        <v>4.7228590519982294E-2</v>
      </c>
      <c r="AN1364" s="228">
        <f t="shared" si="4936"/>
        <v>4.44025691384895E-2</v>
      </c>
      <c r="AO1364" s="228">
        <f t="shared" si="4937"/>
        <v>5.5275908739127466E-4</v>
      </c>
      <c r="AP1364" s="228">
        <f t="shared" si="4938"/>
        <v>1.3824377632281948E-2</v>
      </c>
      <c r="AQ1364" s="228">
        <f t="shared" si="4939"/>
        <v>2.5164229955932704E-2</v>
      </c>
    </row>
    <row r="1365" spans="1:81">
      <c r="B1365" s="1175" t="s">
        <v>676</v>
      </c>
      <c r="C1365" s="872"/>
      <c r="D1365" s="228"/>
      <c r="E1365" s="228"/>
      <c r="F1365" s="228"/>
      <c r="G1365" s="228"/>
      <c r="H1365" s="228">
        <f t="shared" ref="H1365:AM1365" si="4943">IFERROR(H1356/D1356-1,"")</f>
        <v>4.8684839789574497E-2</v>
      </c>
      <c r="I1365" s="228">
        <f t="shared" si="4943"/>
        <v>2.2690373420979792E-2</v>
      </c>
      <c r="J1365" s="228">
        <f t="shared" si="4943"/>
        <v>7.8774922154575489E-2</v>
      </c>
      <c r="K1365" s="228">
        <f t="shared" si="4943"/>
        <v>9.0781289937803544E-2</v>
      </c>
      <c r="L1365" s="228">
        <f t="shared" si="4943"/>
        <v>0.11902590295512572</v>
      </c>
      <c r="M1365" s="228">
        <f t="shared" si="4943"/>
        <v>0.11972430883605667</v>
      </c>
      <c r="N1365" s="228">
        <f t="shared" si="4943"/>
        <v>0.15539376184732023</v>
      </c>
      <c r="O1365" s="228">
        <f t="shared" si="4943"/>
        <v>0.17496582698691654</v>
      </c>
      <c r="P1365" s="228">
        <f t="shared" si="4943"/>
        <v>0.18526367267095933</v>
      </c>
      <c r="Q1365" s="228">
        <f t="shared" si="4943"/>
        <v>0.12286465177398154</v>
      </c>
      <c r="R1365" s="228">
        <f t="shared" si="4943"/>
        <v>0.13990081658525688</v>
      </c>
      <c r="S1365" s="228">
        <f t="shared" si="4943"/>
        <v>0.12072461359481479</v>
      </c>
      <c r="T1365" s="228">
        <f t="shared" si="4943"/>
        <v>0.13653555219364599</v>
      </c>
      <c r="U1365" s="228">
        <f t="shared" si="4943"/>
        <v>0.13658341289150333</v>
      </c>
      <c r="V1365" s="228">
        <f t="shared" si="4943"/>
        <v>0.14556278826338676</v>
      </c>
      <c r="W1365" s="228">
        <f t="shared" si="4943"/>
        <v>0.12800664353293589</v>
      </c>
      <c r="X1365" s="228">
        <f t="shared" si="4943"/>
        <v>0.12400544546967174</v>
      </c>
      <c r="Y1365" s="228">
        <f t="shared" si="4943"/>
        <v>0.16718148810491518</v>
      </c>
      <c r="Z1365" s="228">
        <f t="shared" si="4943"/>
        <v>0.19088546871876888</v>
      </c>
      <c r="AA1365" s="228">
        <f t="shared" si="4943"/>
        <v>0.21347251071437956</v>
      </c>
      <c r="AB1365" s="228">
        <f t="shared" si="4943"/>
        <v>0.62627621969819325</v>
      </c>
      <c r="AC1365" s="228">
        <f t="shared" si="4943"/>
        <v>0.60113907202773387</v>
      </c>
      <c r="AD1365" s="228">
        <f t="shared" si="4943"/>
        <v>0.57803033935964443</v>
      </c>
      <c r="AE1365" s="228">
        <f t="shared" si="4943"/>
        <v>0.49838215750852255</v>
      </c>
      <c r="AF1365" s="228">
        <f t="shared" si="4943"/>
        <v>0.38253856168766709</v>
      </c>
      <c r="AG1365" s="228">
        <f t="shared" si="4943"/>
        <v>0.27462399474172616</v>
      </c>
      <c r="AH1365" s="228">
        <f t="shared" si="4943"/>
        <v>0.33855854943273922</v>
      </c>
      <c r="AI1365" s="228">
        <f t="shared" si="4943"/>
        <v>0.35421286031042154</v>
      </c>
      <c r="AJ1365" s="228">
        <f t="shared" si="4943"/>
        <v>0.35310642033438411</v>
      </c>
      <c r="AK1365" s="228">
        <f t="shared" si="4943"/>
        <v>0.41096176085843727</v>
      </c>
      <c r="AL1365" s="228">
        <f t="shared" si="4943"/>
        <v>0.40434757931778198</v>
      </c>
      <c r="AM1365" s="228">
        <f t="shared" si="4943"/>
        <v>0.3823417394863764</v>
      </c>
      <c r="AN1365" s="228">
        <f t="shared" si="4936"/>
        <v>0.35385518221656032</v>
      </c>
      <c r="AO1365" s="228">
        <f t="shared" si="4937"/>
        <v>0.2970128358540256</v>
      </c>
      <c r="AP1365" s="228">
        <f t="shared" si="4938"/>
        <v>0.31421678581962453</v>
      </c>
      <c r="AQ1365" s="228">
        <f t="shared" si="4939"/>
        <v>0.32891659438732024</v>
      </c>
    </row>
    <row r="1366" spans="1:81">
      <c r="B1366" s="1175" t="s">
        <v>677</v>
      </c>
      <c r="C1366" s="872"/>
      <c r="D1366" s="228"/>
      <c r="E1366" s="228"/>
      <c r="F1366" s="228"/>
      <c r="G1366" s="228"/>
      <c r="H1366" s="228">
        <f t="shared" ref="H1366:AM1366" si="4944">IFERROR(H1357/D1357-1,"")</f>
        <v>4.8684839789574497E-2</v>
      </c>
      <c r="I1366" s="228">
        <f t="shared" si="4944"/>
        <v>2.2690373420979792E-2</v>
      </c>
      <c r="J1366" s="228">
        <f t="shared" si="4944"/>
        <v>7.8774922154575489E-2</v>
      </c>
      <c r="K1366" s="228">
        <f t="shared" si="4944"/>
        <v>9.0781289937803544E-2</v>
      </c>
      <c r="L1366" s="228">
        <f t="shared" si="4944"/>
        <v>0.11902590295512572</v>
      </c>
      <c r="M1366" s="228">
        <f t="shared" si="4944"/>
        <v>0.11972430883605667</v>
      </c>
      <c r="N1366" s="228">
        <f t="shared" si="4944"/>
        <v>0.15539376184732023</v>
      </c>
      <c r="O1366" s="228">
        <f t="shared" si="4944"/>
        <v>0.17496582698691654</v>
      </c>
      <c r="P1366" s="228">
        <f t="shared" si="4944"/>
        <v>0.18526367267095933</v>
      </c>
      <c r="Q1366" s="228">
        <f t="shared" si="4944"/>
        <v>0.12286465177398154</v>
      </c>
      <c r="R1366" s="228">
        <f t="shared" si="4944"/>
        <v>0.13990081658525688</v>
      </c>
      <c r="S1366" s="228">
        <f t="shared" si="4944"/>
        <v>0.12072461359481479</v>
      </c>
      <c r="T1366" s="228">
        <f t="shared" si="4944"/>
        <v>0.13653555219364599</v>
      </c>
      <c r="U1366" s="228">
        <f t="shared" si="4944"/>
        <v>0.13658341289150333</v>
      </c>
      <c r="V1366" s="228">
        <f t="shared" si="4944"/>
        <v>0.14556278826338676</v>
      </c>
      <c r="W1366" s="228">
        <f t="shared" si="4944"/>
        <v>0.12800664353293589</v>
      </c>
      <c r="X1366" s="228">
        <f t="shared" si="4944"/>
        <v>0.12400544546967174</v>
      </c>
      <c r="Y1366" s="228">
        <f t="shared" si="4944"/>
        <v>0.16718148810491518</v>
      </c>
      <c r="Z1366" s="228">
        <f t="shared" si="4944"/>
        <v>0.19088546871876888</v>
      </c>
      <c r="AA1366" s="228">
        <f t="shared" si="4944"/>
        <v>0.21347251071437956</v>
      </c>
      <c r="AB1366" s="228">
        <f t="shared" si="4944"/>
        <v>-0.18686189015090338</v>
      </c>
      <c r="AC1366" s="228">
        <f t="shared" si="4944"/>
        <v>-0.19943046398613307</v>
      </c>
      <c r="AD1366" s="228">
        <f t="shared" si="4944"/>
        <v>-0.21098483032017779</v>
      </c>
      <c r="AE1366" s="228">
        <f t="shared" si="4944"/>
        <v>-0.25080892124573873</v>
      </c>
      <c r="AF1366" s="228">
        <f t="shared" si="4944"/>
        <v>0.10603084935013363</v>
      </c>
      <c r="AG1366" s="228">
        <f t="shared" si="4944"/>
        <v>1.9699195793380975E-2</v>
      </c>
      <c r="AH1366" s="228">
        <f t="shared" si="4944"/>
        <v>7.0846839546191198E-2</v>
      </c>
      <c r="AI1366" s="228">
        <f t="shared" si="4944"/>
        <v>8.3370288248337143E-2</v>
      </c>
      <c r="AJ1366" s="228">
        <f t="shared" si="4944"/>
        <v>0.12758868361198661</v>
      </c>
      <c r="AK1366" s="228">
        <f t="shared" si="4944"/>
        <v>0.17580146738203117</v>
      </c>
      <c r="AL1366" s="228">
        <f t="shared" si="4944"/>
        <v>0.17028964943148495</v>
      </c>
      <c r="AM1366" s="228">
        <f t="shared" si="4944"/>
        <v>0.15195144957198026</v>
      </c>
      <c r="AN1366" s="228">
        <f t="shared" si="4936"/>
        <v>0.16044729904276611</v>
      </c>
      <c r="AO1366" s="228">
        <f t="shared" si="4937"/>
        <v>0.1117252878748789</v>
      </c>
      <c r="AP1366" s="228">
        <f t="shared" si="4938"/>
        <v>0.12647153070253525</v>
      </c>
      <c r="AQ1366" s="228">
        <f t="shared" si="4939"/>
        <v>0.13907136661770303</v>
      </c>
    </row>
    <row r="1367" spans="1:81" ht="11.45">
      <c r="B1367" s="1175" t="str">
        <f>+B1358</f>
        <v>CAD</v>
      </c>
      <c r="C1367" s="1159"/>
      <c r="D1367" s="840"/>
      <c r="E1367" s="840"/>
      <c r="F1367" s="840"/>
      <c r="G1367" s="840"/>
      <c r="H1367" s="840">
        <f t="shared" ref="H1367:AM1367" si="4945">IFERROR(H1358/D1358-1,"")</f>
        <v>4.8684839789574275E-2</v>
      </c>
      <c r="I1367" s="840">
        <f t="shared" si="4945"/>
        <v>2.269037342097957E-2</v>
      </c>
      <c r="J1367" s="840">
        <f t="shared" si="4945"/>
        <v>7.8774922154575489E-2</v>
      </c>
      <c r="K1367" s="840">
        <f t="shared" si="4945"/>
        <v>9.0781289937803544E-2</v>
      </c>
      <c r="L1367" s="840">
        <f t="shared" si="4945"/>
        <v>0.11902590295512594</v>
      </c>
      <c r="M1367" s="840">
        <f t="shared" si="4945"/>
        <v>0.11972430883605667</v>
      </c>
      <c r="N1367" s="840">
        <f t="shared" si="4945"/>
        <v>0.15539376184732023</v>
      </c>
      <c r="O1367" s="840">
        <f t="shared" si="4945"/>
        <v>0.17496582698691654</v>
      </c>
      <c r="P1367" s="840">
        <f t="shared" si="4945"/>
        <v>0.18526367267095933</v>
      </c>
      <c r="Q1367" s="840">
        <f t="shared" si="4945"/>
        <v>0.12286465177398154</v>
      </c>
      <c r="R1367" s="840">
        <f t="shared" si="4945"/>
        <v>0.13990081658525666</v>
      </c>
      <c r="S1367" s="840">
        <f t="shared" si="4945"/>
        <v>0.12072461359481479</v>
      </c>
      <c r="T1367" s="840">
        <f t="shared" si="4945"/>
        <v>0.13653555219364599</v>
      </c>
      <c r="U1367" s="840">
        <f t="shared" si="4945"/>
        <v>0.13658341289150311</v>
      </c>
      <c r="V1367" s="840">
        <f t="shared" si="4945"/>
        <v>0.14556278826338698</v>
      </c>
      <c r="W1367" s="840">
        <f t="shared" si="4945"/>
        <v>0.12800664353293589</v>
      </c>
      <c r="X1367" s="840">
        <f t="shared" si="4945"/>
        <v>0.12400544546967174</v>
      </c>
      <c r="Y1367" s="840">
        <f t="shared" si="4945"/>
        <v>0.16718148810491518</v>
      </c>
      <c r="Z1367" s="840">
        <f t="shared" si="4945"/>
        <v>0.19088546871876866</v>
      </c>
      <c r="AA1367" s="840">
        <f t="shared" si="4945"/>
        <v>0.21347251071437956</v>
      </c>
      <c r="AB1367" s="840">
        <f t="shared" si="4945"/>
        <v>-0.18686189015090493</v>
      </c>
      <c r="AC1367" s="840">
        <f t="shared" si="4945"/>
        <v>-0.19943046398613451</v>
      </c>
      <c r="AD1367" s="840">
        <f t="shared" si="4945"/>
        <v>-0.21098483032017923</v>
      </c>
      <c r="AE1367" s="840">
        <f t="shared" si="4945"/>
        <v>-0.25080892124574006</v>
      </c>
      <c r="AF1367" s="840">
        <f t="shared" si="4945"/>
        <v>0.1060308493501334</v>
      </c>
      <c r="AG1367" s="840">
        <f t="shared" si="4945"/>
        <v>1.9699195793380753E-2</v>
      </c>
      <c r="AH1367" s="840">
        <f t="shared" si="4945"/>
        <v>7.0846839546191198E-2</v>
      </c>
      <c r="AI1367" s="840">
        <f t="shared" si="4945"/>
        <v>8.3370288248336921E-2</v>
      </c>
      <c r="AJ1367" s="840">
        <f t="shared" si="4945"/>
        <v>0.12758868361198683</v>
      </c>
      <c r="AK1367" s="840">
        <f t="shared" si="4945"/>
        <v>0.17580146738203117</v>
      </c>
      <c r="AL1367" s="840">
        <f t="shared" si="4945"/>
        <v>0.17028964943148495</v>
      </c>
      <c r="AM1367" s="840">
        <f t="shared" si="4945"/>
        <v>0.15195144957198048</v>
      </c>
      <c r="AN1367" s="840">
        <f t="shared" si="4936"/>
        <v>0.16044729904275945</v>
      </c>
      <c r="AO1367" s="840">
        <f t="shared" si="4937"/>
        <v>0.1117252878748729</v>
      </c>
      <c r="AP1367" s="840">
        <f t="shared" si="4938"/>
        <v>0.12647153070252903</v>
      </c>
      <c r="AQ1367" s="840">
        <f t="shared" si="4939"/>
        <v>0.13907136661769659</v>
      </c>
    </row>
    <row r="1368" spans="1:81">
      <c r="B1368" s="1176" t="str">
        <f>+B1359</f>
        <v>Total Revenue</v>
      </c>
      <c r="C1368" s="1162"/>
      <c r="D1368" s="842" t="str">
        <f>IFERROR(D1359/#REF!-1,"")</f>
        <v/>
      </c>
      <c r="E1368" s="842" t="str">
        <f>IFERROR(E1359/#REF!-1,"")</f>
        <v/>
      </c>
      <c r="F1368" s="842" t="str">
        <f>IFERROR(F1359/#REF!-1,"")</f>
        <v/>
      </c>
      <c r="G1368" s="842" t="str">
        <f>IFERROR(G1359/#REF!-1,"")</f>
        <v/>
      </c>
      <c r="H1368" s="842">
        <f t="shared" ref="H1368:AM1368" si="4946">IFERROR(H1359/D1359-1,"")</f>
        <v>4.8684839789574275E-2</v>
      </c>
      <c r="I1368" s="842">
        <f t="shared" si="4946"/>
        <v>2.2690373420979792E-2</v>
      </c>
      <c r="J1368" s="842">
        <f t="shared" si="4946"/>
        <v>7.8774922154575711E-2</v>
      </c>
      <c r="K1368" s="842">
        <f t="shared" si="4946"/>
        <v>9.0781289937803766E-2</v>
      </c>
      <c r="L1368" s="842">
        <f t="shared" si="4946"/>
        <v>0.11902590295512594</v>
      </c>
      <c r="M1368" s="842">
        <f t="shared" si="4946"/>
        <v>0.11972430883605667</v>
      </c>
      <c r="N1368" s="842">
        <f t="shared" si="4946"/>
        <v>0.15539376184732046</v>
      </c>
      <c r="O1368" s="842">
        <f t="shared" si="4946"/>
        <v>0.1749658269869161</v>
      </c>
      <c r="P1368" s="842">
        <f t="shared" si="4946"/>
        <v>0.18526367267095956</v>
      </c>
      <c r="Q1368" s="842">
        <f t="shared" si="4946"/>
        <v>0.12286465177398154</v>
      </c>
      <c r="R1368" s="842">
        <f t="shared" si="4946"/>
        <v>0.13990081658525666</v>
      </c>
      <c r="S1368" s="842">
        <f t="shared" si="4946"/>
        <v>0.12072461359481479</v>
      </c>
      <c r="T1368" s="842">
        <f t="shared" si="4946"/>
        <v>0.13653555219364599</v>
      </c>
      <c r="U1368" s="842">
        <f t="shared" si="4946"/>
        <v>0.13658341289150311</v>
      </c>
      <c r="V1368" s="842">
        <f t="shared" si="4946"/>
        <v>0.14556278826338653</v>
      </c>
      <c r="W1368" s="842">
        <f t="shared" si="4946"/>
        <v>0.12800664353293589</v>
      </c>
      <c r="X1368" s="842">
        <f t="shared" si="4946"/>
        <v>0.12400544546967174</v>
      </c>
      <c r="Y1368" s="842">
        <f t="shared" si="4946"/>
        <v>0.16718148810491495</v>
      </c>
      <c r="Z1368" s="842">
        <f t="shared" si="4946"/>
        <v>0.19088546871876888</v>
      </c>
      <c r="AA1368" s="842">
        <f t="shared" si="4946"/>
        <v>0.21347251071437956</v>
      </c>
      <c r="AB1368" s="842">
        <f t="shared" si="4946"/>
        <v>0.2197071647736446</v>
      </c>
      <c r="AC1368" s="842">
        <f t="shared" si="4946"/>
        <v>0.20085430402080062</v>
      </c>
      <c r="AD1368" s="842">
        <f t="shared" si="4946"/>
        <v>0.18352275451973332</v>
      </c>
      <c r="AE1368" s="842">
        <f t="shared" si="4946"/>
        <v>0.12378661813139202</v>
      </c>
      <c r="AF1368" s="842">
        <f t="shared" si="4946"/>
        <v>0.10603084935013363</v>
      </c>
      <c r="AG1368" s="842">
        <f t="shared" si="4946"/>
        <v>1.9699195793380753E-2</v>
      </c>
      <c r="AH1368" s="842">
        <f t="shared" si="4946"/>
        <v>7.084683954619142E-2</v>
      </c>
      <c r="AI1368" s="842">
        <f t="shared" si="4946"/>
        <v>8.3370288248336699E-2</v>
      </c>
      <c r="AJ1368" s="842">
        <f t="shared" si="4946"/>
        <v>0.12758868361198683</v>
      </c>
      <c r="AK1368" s="842">
        <f t="shared" si="4946"/>
        <v>0.17580146738203117</v>
      </c>
      <c r="AL1368" s="842">
        <f t="shared" si="4946"/>
        <v>0.17028964943148517</v>
      </c>
      <c r="AM1368" s="842">
        <f t="shared" si="4946"/>
        <v>0.1519514495719807</v>
      </c>
      <c r="AN1368" s="842">
        <f t="shared" si="4936"/>
        <v>0.16044729904276567</v>
      </c>
      <c r="AO1368" s="842">
        <f t="shared" si="4937"/>
        <v>0.1117252878748789</v>
      </c>
      <c r="AP1368" s="842">
        <f t="shared" si="4938"/>
        <v>0.12647153070253503</v>
      </c>
      <c r="AQ1368" s="842">
        <f t="shared" si="4939"/>
        <v>0.13907136661770281</v>
      </c>
    </row>
    <row r="1369" spans="1:81">
      <c r="B1369" s="1176" t="s">
        <v>679</v>
      </c>
      <c r="C1369" s="1162"/>
      <c r="D1369" s="842"/>
      <c r="E1369" s="842"/>
      <c r="F1369" s="842"/>
      <c r="G1369" s="842"/>
      <c r="H1369" s="1177" t="str">
        <f t="shared" ref="H1369:AN1369" si="4947">+H14</f>
        <v>NA</v>
      </c>
      <c r="I1369" s="1177" t="str">
        <f t="shared" si="4947"/>
        <v>NA</v>
      </c>
      <c r="J1369" s="1177" t="str">
        <f t="shared" si="4947"/>
        <v>NA</v>
      </c>
      <c r="K1369" s="1177" t="str">
        <f t="shared" si="4947"/>
        <v>NA</v>
      </c>
      <c r="L1369" s="1177">
        <f t="shared" si="4947"/>
        <v>0.11404323239693544</v>
      </c>
      <c r="M1369" s="1177">
        <f t="shared" si="4947"/>
        <v>0.11517230697746457</v>
      </c>
      <c r="N1369" s="1177">
        <f t="shared" si="4947"/>
        <v>0.13155824573496466</v>
      </c>
      <c r="O1369" s="1177">
        <f t="shared" si="4947"/>
        <v>0.15218902558094122</v>
      </c>
      <c r="P1369" s="1177">
        <f t="shared" si="4947"/>
        <v>0.18546010269785637</v>
      </c>
      <c r="Q1369" s="1177">
        <f t="shared" si="4947"/>
        <v>0.12631371464139982</v>
      </c>
      <c r="R1369" s="1177">
        <f t="shared" si="4947"/>
        <v>0.16</v>
      </c>
      <c r="S1369" s="1177">
        <f t="shared" si="4947"/>
        <v>0.14324347681568889</v>
      </c>
      <c r="T1369" s="1177">
        <f t="shared" si="4947"/>
        <v>0.15429033145372026</v>
      </c>
      <c r="U1369" s="1177">
        <f t="shared" si="4947"/>
        <v>0.15197037356410337</v>
      </c>
      <c r="V1369" s="1177">
        <f t="shared" si="4947"/>
        <v>0.15910928657878379</v>
      </c>
      <c r="W1369" s="1177">
        <f t="shared" si="4947"/>
        <v>0.14502413322656227</v>
      </c>
      <c r="X1369" s="1177">
        <f t="shared" si="4947"/>
        <v>0.12050704885796401</v>
      </c>
      <c r="Y1369" s="1177">
        <f t="shared" si="4947"/>
        <v>0.15363536010404813</v>
      </c>
      <c r="Z1369" s="1177">
        <f t="shared" si="4947"/>
        <v>0.16171448844978725</v>
      </c>
      <c r="AA1369" s="1177">
        <f t="shared" si="4947"/>
        <v>0.17445905660873451</v>
      </c>
      <c r="AB1369" s="1177">
        <f t="shared" si="4947"/>
        <v>0.20385421219787908</v>
      </c>
      <c r="AC1369" s="1177">
        <f t="shared" si="4947"/>
        <v>0.20078497539232981</v>
      </c>
      <c r="AD1369" s="1177">
        <f t="shared" si="4947"/>
        <v>0.20149706517047911</v>
      </c>
      <c r="AE1369" s="1177">
        <f t="shared" si="4947"/>
        <v>0.16459280637892182</v>
      </c>
      <c r="AF1369" s="1177">
        <f t="shared" si="4947"/>
        <v>0.15702183948628548</v>
      </c>
      <c r="AG1369" s="1177">
        <f t="shared" si="4947"/>
        <v>7.2159387565728428E-2</v>
      </c>
      <c r="AH1369" s="1177">
        <f t="shared" si="4947"/>
        <v>0.10162370340356562</v>
      </c>
      <c r="AI1369" s="1177">
        <f t="shared" si="4947"/>
        <v>9.8637809698255086E-2</v>
      </c>
      <c r="AJ1369" s="1177">
        <f t="shared" si="4947"/>
        <v>0.12288664059694347</v>
      </c>
      <c r="AK1369" s="1177">
        <f t="shared" si="4947"/>
        <v>0.16473771020152805</v>
      </c>
      <c r="AL1369" s="1177">
        <f t="shared" si="4947"/>
        <v>0.16792691034300095</v>
      </c>
      <c r="AM1369" s="1177">
        <f t="shared" si="4947"/>
        <v>0.16268447382939721</v>
      </c>
      <c r="AN1369" s="1177">
        <f t="shared" si="4947"/>
        <v>0.16431049064883133</v>
      </c>
      <c r="AO1369" s="1060"/>
      <c r="AP1369" s="1060"/>
      <c r="AQ1369" s="1060"/>
    </row>
    <row r="1370" spans="1:81" s="852" customFormat="1">
      <c r="A1370"/>
      <c r="B1370" s="1176" t="s">
        <v>680</v>
      </c>
      <c r="C1370" s="1178"/>
      <c r="D1370" s="1179"/>
      <c r="E1370" s="1179"/>
      <c r="F1370" s="1179"/>
      <c r="G1370" s="1179"/>
      <c r="H1370" s="1179">
        <f>+H1394</f>
        <v>6.1432069761109487E-2</v>
      </c>
      <c r="I1370" s="1179">
        <f t="shared" ref="I1370:AM1370" si="4948">+I1394</f>
        <v>4.4136075448929057E-2</v>
      </c>
      <c r="J1370" s="1179">
        <f t="shared" si="4948"/>
        <v>9.9303572826977105E-2</v>
      </c>
      <c r="K1370" s="1179">
        <f t="shared" si="4948"/>
        <v>0.11186646930563193</v>
      </c>
      <c r="L1370" s="1179">
        <f t="shared" si="4948"/>
        <v>0.11168261942342972</v>
      </c>
      <c r="M1370" s="1179">
        <f t="shared" si="4948"/>
        <v>9.4856366752638754E-2</v>
      </c>
      <c r="N1370" s="1179">
        <f t="shared" si="4948"/>
        <v>0.10912915614177865</v>
      </c>
      <c r="O1370" s="1179">
        <f t="shared" si="4948"/>
        <v>0.1501145889600255</v>
      </c>
      <c r="P1370" s="1179">
        <f t="shared" si="4948"/>
        <v>0.19178498846265102</v>
      </c>
      <c r="Q1370" s="1179">
        <f t="shared" si="4948"/>
        <v>0.13549289090726679</v>
      </c>
      <c r="R1370" s="1179">
        <f t="shared" si="4948"/>
        <v>0.16614662384306733</v>
      </c>
      <c r="S1370" s="1179">
        <f t="shared" si="4948"/>
        <v>0.14102904879896205</v>
      </c>
      <c r="T1370" s="1179">
        <f t="shared" si="4948"/>
        <v>0.15211644340471664</v>
      </c>
      <c r="U1370" s="1179">
        <f t="shared" si="4948"/>
        <v>0.14112100375203274</v>
      </c>
      <c r="V1370" s="1179">
        <f t="shared" si="4948"/>
        <v>0.15471765856708108</v>
      </c>
      <c r="W1370" s="1179">
        <f t="shared" si="4948"/>
        <v>0.13856762941370082</v>
      </c>
      <c r="X1370" s="1179">
        <f t="shared" si="4948"/>
        <v>0.1080123363525316</v>
      </c>
      <c r="Y1370" s="1179">
        <f t="shared" si="4948"/>
        <v>0.14716608201840931</v>
      </c>
      <c r="Z1370" s="1179">
        <f t="shared" si="4948"/>
        <v>0.15549340513517018</v>
      </c>
      <c r="AA1370" s="1179">
        <f t="shared" si="4948"/>
        <v>0.16840935333571272</v>
      </c>
      <c r="AB1370" s="1179">
        <f t="shared" si="4948"/>
        <v>0.20799733584819524</v>
      </c>
      <c r="AC1370" s="1179">
        <f t="shared" si="4948"/>
        <v>0.20848265279249234</v>
      </c>
      <c r="AD1370" s="1179">
        <f t="shared" si="4948"/>
        <v>0.20514976740395574</v>
      </c>
      <c r="AE1370" s="1179">
        <f t="shared" si="4948"/>
        <v>0.1663547791542066</v>
      </c>
      <c r="AF1370" s="1179">
        <f t="shared" si="4948"/>
        <v>0.16146253073009897</v>
      </c>
      <c r="AG1370" s="1179">
        <f t="shared" si="4948"/>
        <v>6.3781454656677505E-2</v>
      </c>
      <c r="AH1370" s="1179">
        <f t="shared" si="4948"/>
        <v>9.8267733769985988E-2</v>
      </c>
      <c r="AI1370" s="1179">
        <f t="shared" si="4948"/>
        <v>8.5795503316098864E-2</v>
      </c>
      <c r="AJ1370" s="1179">
        <f t="shared" si="4948"/>
        <v>0.10997639068113729</v>
      </c>
      <c r="AK1370" s="1179">
        <f t="shared" si="4948"/>
        <v>0.16306054514709278</v>
      </c>
      <c r="AL1370" s="1179">
        <f t="shared" si="4948"/>
        <v>0.17141896551313485</v>
      </c>
      <c r="AM1370" s="1179">
        <f t="shared" si="4948"/>
        <v>0.1619726682568281</v>
      </c>
      <c r="AN1370" s="1179">
        <f t="shared" ref="AN1370:AQ1370" si="4949">+AN1394</f>
        <v>0.15808958019019914</v>
      </c>
      <c r="AO1370" s="1179">
        <f t="shared" si="4949"/>
        <v>0.11315503479674183</v>
      </c>
      <c r="AP1370" s="1179">
        <f t="shared" si="4949"/>
        <v>0.14252796184915151</v>
      </c>
      <c r="AQ1370" s="1179">
        <f t="shared" si="4949"/>
        <v>0.14933871065351667</v>
      </c>
      <c r="BT1370"/>
      <c r="BU1370"/>
      <c r="BV1370"/>
      <c r="BW1370"/>
      <c r="BX1370"/>
      <c r="BY1370"/>
      <c r="BZ1370"/>
      <c r="CA1370"/>
      <c r="CB1370"/>
      <c r="CC1370"/>
    </row>
    <row r="1371" spans="1:81">
      <c r="B1371" s="1180" t="s">
        <v>681</v>
      </c>
      <c r="C1371" s="872"/>
      <c r="D1371" s="228"/>
      <c r="E1371" s="228"/>
      <c r="F1371" s="228"/>
      <c r="G1371" s="228"/>
      <c r="H1371" s="228" t="s">
        <v>273</v>
      </c>
      <c r="I1371" s="228" t="s">
        <v>273</v>
      </c>
      <c r="J1371" s="228" t="s">
        <v>273</v>
      </c>
      <c r="K1371" s="228" t="s">
        <v>273</v>
      </c>
      <c r="L1371" s="228">
        <f>+L1370-L1369</f>
        <v>-2.3606129735057185E-3</v>
      </c>
      <c r="M1371" s="228">
        <f t="shared" ref="M1371:AN1371" si="4950">+M1370-M1369</f>
        <v>-2.0315940224825815E-2</v>
      </c>
      <c r="N1371" s="228">
        <f t="shared" si="4950"/>
        <v>-2.2429089593186013E-2</v>
      </c>
      <c r="O1371" s="228">
        <f t="shared" si="4950"/>
        <v>-2.0744366209157206E-3</v>
      </c>
      <c r="P1371" s="228">
        <f t="shared" si="4950"/>
        <v>6.3248857647946466E-3</v>
      </c>
      <c r="Q1371" s="228">
        <f t="shared" si="4950"/>
        <v>9.1791762658669784E-3</v>
      </c>
      <c r="R1371" s="228">
        <f t="shared" si="4950"/>
        <v>6.1466238430673281E-3</v>
      </c>
      <c r="S1371" s="228">
        <f t="shared" si="4950"/>
        <v>-2.2144280167268326E-3</v>
      </c>
      <c r="T1371" s="228">
        <f t="shared" si="4950"/>
        <v>-2.1738880490036194E-3</v>
      </c>
      <c r="U1371" s="228">
        <f t="shared" si="4950"/>
        <v>-1.0849369812070631E-2</v>
      </c>
      <c r="V1371" s="228">
        <f t="shared" si="4950"/>
        <v>-4.3916280117027029E-3</v>
      </c>
      <c r="W1371" s="228">
        <f t="shared" si="4950"/>
        <v>-6.4565038128614471E-3</v>
      </c>
      <c r="X1371" s="228">
        <f t="shared" si="4950"/>
        <v>-1.2494712505432409E-2</v>
      </c>
      <c r="Y1371" s="228">
        <f t="shared" si="4950"/>
        <v>-6.4692780856388243E-3</v>
      </c>
      <c r="Z1371" s="228">
        <f t="shared" si="4950"/>
        <v>-6.2210833146170708E-3</v>
      </c>
      <c r="AA1371" s="228">
        <f t="shared" si="4950"/>
        <v>-6.0497032730217892E-3</v>
      </c>
      <c r="AB1371" s="228">
        <f t="shared" si="4950"/>
        <v>4.1431236503161606E-3</v>
      </c>
      <c r="AC1371" s="228">
        <f t="shared" si="4950"/>
        <v>7.6976774001625281E-3</v>
      </c>
      <c r="AD1371" s="228">
        <f t="shared" si="4950"/>
        <v>3.6527022334766346E-3</v>
      </c>
      <c r="AE1371" s="228">
        <f t="shared" si="4950"/>
        <v>1.7619727752847814E-3</v>
      </c>
      <c r="AF1371" s="228">
        <f t="shared" si="4950"/>
        <v>4.4406912438134938E-3</v>
      </c>
      <c r="AG1371" s="228">
        <f t="shared" si="4950"/>
        <v>-8.3779329090509225E-3</v>
      </c>
      <c r="AH1371" s="228">
        <f t="shared" si="4950"/>
        <v>-3.3559696335796335E-3</v>
      </c>
      <c r="AI1371" s="228">
        <f t="shared" si="4950"/>
        <v>-1.2842306382156221E-2</v>
      </c>
      <c r="AJ1371" s="228">
        <f t="shared" si="4950"/>
        <v>-1.291024991580618E-2</v>
      </c>
      <c r="AK1371" s="228">
        <f t="shared" si="4950"/>
        <v>-1.6771650544352701E-3</v>
      </c>
      <c r="AL1371" s="228">
        <f t="shared" si="4950"/>
        <v>3.4920551701339009E-3</v>
      </c>
      <c r="AM1371" s="228">
        <f t="shared" si="4950"/>
        <v>-7.1180557256911303E-4</v>
      </c>
      <c r="AN1371" s="228">
        <f t="shared" si="4950"/>
        <v>-6.2209104586321839E-3</v>
      </c>
      <c r="AO1371" s="228"/>
      <c r="AP1371" s="228"/>
      <c r="AQ1371" s="228"/>
      <c r="AR1371" s="228"/>
      <c r="BH1371" s="228"/>
    </row>
    <row r="1372" spans="1:81">
      <c r="B1372" s="1176"/>
      <c r="C1372" s="1162"/>
      <c r="D1372" s="842"/>
      <c r="E1372" s="842"/>
      <c r="F1372" s="842"/>
      <c r="G1372" s="842"/>
      <c r="H1372" s="1060"/>
      <c r="I1372" s="1060"/>
      <c r="J1372" s="1060"/>
      <c r="K1372" s="1060"/>
      <c r="L1372" s="1060"/>
      <c r="M1372" s="1060"/>
      <c r="N1372" s="1060"/>
      <c r="O1372" s="1060"/>
      <c r="P1372" s="1060"/>
      <c r="Q1372" s="842"/>
      <c r="R1372" s="842"/>
      <c r="S1372" s="842"/>
      <c r="T1372" s="842"/>
      <c r="U1372" s="842"/>
      <c r="V1372" s="842"/>
      <c r="W1372" s="842"/>
      <c r="X1372" s="842"/>
      <c r="Y1372" s="842"/>
      <c r="Z1372" s="842"/>
      <c r="AA1372" s="842"/>
      <c r="AB1372" s="842"/>
      <c r="AC1372" s="842"/>
      <c r="AD1372" s="842"/>
      <c r="AE1372" s="842"/>
      <c r="AF1372" s="842"/>
      <c r="AG1372" s="842"/>
      <c r="AH1372" s="842"/>
      <c r="AI1372" s="842"/>
      <c r="AJ1372" s="842"/>
      <c r="AK1372" s="842"/>
      <c r="AL1372" s="842"/>
      <c r="AM1372" s="842"/>
      <c r="AN1372" s="842"/>
      <c r="AO1372" s="842"/>
      <c r="AP1372" s="842"/>
      <c r="AQ1372" s="842"/>
    </row>
    <row r="1373" spans="1:81">
      <c r="B1373" s="1174" t="s">
        <v>173</v>
      </c>
      <c r="C1373" s="872"/>
      <c r="D1373" s="228"/>
      <c r="E1373" s="228"/>
      <c r="F1373" s="228"/>
      <c r="G1373" s="228"/>
      <c r="H1373" s="228"/>
      <c r="I1373" s="228"/>
      <c r="J1373" s="228"/>
      <c r="K1373" s="228"/>
      <c r="L1373" s="228"/>
      <c r="M1373" s="228"/>
      <c r="N1373" s="228"/>
      <c r="O1373" s="228"/>
      <c r="P1373" s="228"/>
      <c r="Q1373" s="228"/>
      <c r="R1373" s="228"/>
      <c r="S1373" s="228"/>
      <c r="T1373" s="228"/>
      <c r="U1373" s="228"/>
      <c r="V1373" s="228"/>
      <c r="W1373" s="228"/>
      <c r="X1373" s="228"/>
      <c r="Y1373" s="228"/>
      <c r="Z1373" s="228"/>
      <c r="AA1373" s="228"/>
      <c r="AB1373" s="228"/>
      <c r="AC1373" s="228"/>
      <c r="AD1373" s="228"/>
      <c r="AE1373" s="228"/>
      <c r="AF1373" s="228"/>
      <c r="AG1373" s="228"/>
      <c r="AH1373" s="228"/>
      <c r="AI1373" s="228"/>
      <c r="AJ1373" s="228"/>
      <c r="AK1373" s="228"/>
      <c r="AL1373" s="228"/>
      <c r="AM1373" s="228"/>
      <c r="AN1373" s="228"/>
      <c r="AO1373" s="228"/>
      <c r="AP1373" s="228"/>
      <c r="AQ1373" s="228"/>
    </row>
    <row r="1374" spans="1:81">
      <c r="B1374" s="1175" t="str">
        <f t="shared" ref="B1374:B1379" si="4951">+B1353</f>
        <v>USD</v>
      </c>
      <c r="C1374" s="872"/>
      <c r="D1374" s="829">
        <v>0.65</v>
      </c>
      <c r="E1374" s="829">
        <f t="shared" ref="E1374:W1374" si="4952">+D1374</f>
        <v>0.65</v>
      </c>
      <c r="F1374" s="829">
        <f t="shared" si="4952"/>
        <v>0.65</v>
      </c>
      <c r="G1374" s="829">
        <f t="shared" si="4952"/>
        <v>0.65</v>
      </c>
      <c r="H1374" s="829">
        <f t="shared" si="4952"/>
        <v>0.65</v>
      </c>
      <c r="I1374" s="829">
        <f t="shared" si="4952"/>
        <v>0.65</v>
      </c>
      <c r="J1374" s="829">
        <f t="shared" si="4952"/>
        <v>0.65</v>
      </c>
      <c r="K1374" s="829">
        <f t="shared" si="4952"/>
        <v>0.65</v>
      </c>
      <c r="L1374" s="829">
        <f t="shared" si="4952"/>
        <v>0.65</v>
      </c>
      <c r="M1374" s="829">
        <f t="shared" si="4952"/>
        <v>0.65</v>
      </c>
      <c r="N1374" s="829">
        <f t="shared" si="4952"/>
        <v>0.65</v>
      </c>
      <c r="O1374" s="829">
        <f t="shared" si="4952"/>
        <v>0.65</v>
      </c>
      <c r="P1374" s="829">
        <f t="shared" si="4952"/>
        <v>0.65</v>
      </c>
      <c r="Q1374" s="829">
        <f t="shared" si="4952"/>
        <v>0.65</v>
      </c>
      <c r="R1374" s="829">
        <f t="shared" si="4952"/>
        <v>0.65</v>
      </c>
      <c r="S1374" s="829">
        <f t="shared" si="4952"/>
        <v>0.65</v>
      </c>
      <c r="T1374" s="829">
        <f t="shared" si="4952"/>
        <v>0.65</v>
      </c>
      <c r="U1374" s="829">
        <f t="shared" si="4952"/>
        <v>0.65</v>
      </c>
      <c r="V1374" s="829">
        <f t="shared" si="4952"/>
        <v>0.65</v>
      </c>
      <c r="W1374" s="829">
        <f t="shared" si="4952"/>
        <v>0.65</v>
      </c>
      <c r="X1374" s="829">
        <f t="shared" ref="X1374:AA1374" si="4953">+W1374</f>
        <v>0.65</v>
      </c>
      <c r="Y1374" s="829">
        <f t="shared" si="4953"/>
        <v>0.65</v>
      </c>
      <c r="Z1374" s="829">
        <f t="shared" si="4953"/>
        <v>0.65</v>
      </c>
      <c r="AA1374" s="829">
        <f t="shared" si="4953"/>
        <v>0.65</v>
      </c>
      <c r="AB1374" s="829">
        <v>0.65</v>
      </c>
      <c r="AC1374" s="829">
        <v>0.65</v>
      </c>
      <c r="AD1374" s="829">
        <v>0.65</v>
      </c>
      <c r="AE1374" s="829">
        <v>0.65</v>
      </c>
      <c r="AF1374" s="829">
        <v>0.65</v>
      </c>
      <c r="AG1374" s="829">
        <v>0.65</v>
      </c>
      <c r="AH1374" s="829">
        <v>0.65</v>
      </c>
      <c r="AI1374" s="829">
        <v>0.65</v>
      </c>
      <c r="AJ1374" s="829">
        <v>0.65</v>
      </c>
      <c r="AK1374" s="829">
        <v>0.65</v>
      </c>
      <c r="AL1374" s="829">
        <v>0.65</v>
      </c>
      <c r="AM1374" s="829">
        <v>0.65</v>
      </c>
      <c r="AN1374" s="829">
        <v>0.65</v>
      </c>
      <c r="AO1374" s="829">
        <v>0.65</v>
      </c>
      <c r="AP1374" s="829">
        <v>0.65</v>
      </c>
      <c r="AQ1374" s="829">
        <v>0.65</v>
      </c>
    </row>
    <row r="1375" spans="1:81">
      <c r="B1375" s="1175" t="str">
        <f t="shared" si="4951"/>
        <v>EUR</v>
      </c>
      <c r="C1375" s="872"/>
      <c r="D1375" s="829">
        <v>0.13</v>
      </c>
      <c r="E1375" s="829">
        <f t="shared" ref="E1375:W1375" si="4954">+D1375</f>
        <v>0.13</v>
      </c>
      <c r="F1375" s="829">
        <f t="shared" si="4954"/>
        <v>0.13</v>
      </c>
      <c r="G1375" s="829">
        <f t="shared" si="4954"/>
        <v>0.13</v>
      </c>
      <c r="H1375" s="829">
        <f t="shared" si="4954"/>
        <v>0.13</v>
      </c>
      <c r="I1375" s="829">
        <f t="shared" si="4954"/>
        <v>0.13</v>
      </c>
      <c r="J1375" s="829">
        <f t="shared" si="4954"/>
        <v>0.13</v>
      </c>
      <c r="K1375" s="829">
        <f t="shared" si="4954"/>
        <v>0.13</v>
      </c>
      <c r="L1375" s="829">
        <f t="shared" si="4954"/>
        <v>0.13</v>
      </c>
      <c r="M1375" s="829">
        <f t="shared" si="4954"/>
        <v>0.13</v>
      </c>
      <c r="N1375" s="829">
        <f t="shared" si="4954"/>
        <v>0.13</v>
      </c>
      <c r="O1375" s="829">
        <f t="shared" si="4954"/>
        <v>0.13</v>
      </c>
      <c r="P1375" s="829">
        <f t="shared" si="4954"/>
        <v>0.13</v>
      </c>
      <c r="Q1375" s="829">
        <f t="shared" si="4954"/>
        <v>0.13</v>
      </c>
      <c r="R1375" s="829">
        <f t="shared" si="4954"/>
        <v>0.13</v>
      </c>
      <c r="S1375" s="829">
        <f t="shared" si="4954"/>
        <v>0.13</v>
      </c>
      <c r="T1375" s="829">
        <f t="shared" si="4954"/>
        <v>0.13</v>
      </c>
      <c r="U1375" s="829">
        <f t="shared" si="4954"/>
        <v>0.13</v>
      </c>
      <c r="V1375" s="829">
        <f t="shared" si="4954"/>
        <v>0.13</v>
      </c>
      <c r="W1375" s="829">
        <f t="shared" si="4954"/>
        <v>0.13</v>
      </c>
      <c r="X1375" s="829">
        <f t="shared" ref="X1375:AA1375" si="4955">+W1375</f>
        <v>0.13</v>
      </c>
      <c r="Y1375" s="829">
        <f t="shared" si="4955"/>
        <v>0.13</v>
      </c>
      <c r="Z1375" s="829">
        <f t="shared" si="4955"/>
        <v>0.13</v>
      </c>
      <c r="AA1375" s="829">
        <f t="shared" si="4955"/>
        <v>0.13</v>
      </c>
      <c r="AB1375" s="829">
        <v>0.15</v>
      </c>
      <c r="AC1375" s="829">
        <v>0.15</v>
      </c>
      <c r="AD1375" s="829">
        <v>0.15</v>
      </c>
      <c r="AE1375" s="829">
        <v>0.15</v>
      </c>
      <c r="AF1375" s="829">
        <v>0.15</v>
      </c>
      <c r="AG1375" s="829">
        <v>0.15</v>
      </c>
      <c r="AH1375" s="829">
        <v>0.15</v>
      </c>
      <c r="AI1375" s="829">
        <v>0.15</v>
      </c>
      <c r="AJ1375" s="829">
        <v>0.15</v>
      </c>
      <c r="AK1375" s="829">
        <v>0.15</v>
      </c>
      <c r="AL1375" s="829">
        <v>0.15</v>
      </c>
      <c r="AM1375" s="829">
        <v>0.15</v>
      </c>
      <c r="AN1375" s="829">
        <v>0.15</v>
      </c>
      <c r="AO1375" s="829">
        <v>0.15</v>
      </c>
      <c r="AP1375" s="829">
        <v>0.15</v>
      </c>
      <c r="AQ1375" s="829">
        <v>0.15</v>
      </c>
    </row>
    <row r="1376" spans="1:81">
      <c r="B1376" s="1175" t="str">
        <f t="shared" si="4951"/>
        <v>GBP</v>
      </c>
      <c r="C1376" s="872"/>
      <c r="D1376" s="829">
        <v>0.13</v>
      </c>
      <c r="E1376" s="829">
        <f t="shared" ref="E1376:W1376" si="4956">+D1376</f>
        <v>0.13</v>
      </c>
      <c r="F1376" s="829">
        <f t="shared" si="4956"/>
        <v>0.13</v>
      </c>
      <c r="G1376" s="829">
        <f t="shared" si="4956"/>
        <v>0.13</v>
      </c>
      <c r="H1376" s="829">
        <f t="shared" si="4956"/>
        <v>0.13</v>
      </c>
      <c r="I1376" s="829">
        <f t="shared" si="4956"/>
        <v>0.13</v>
      </c>
      <c r="J1376" s="829">
        <f t="shared" si="4956"/>
        <v>0.13</v>
      </c>
      <c r="K1376" s="829">
        <f t="shared" si="4956"/>
        <v>0.13</v>
      </c>
      <c r="L1376" s="829">
        <f t="shared" si="4956"/>
        <v>0.13</v>
      </c>
      <c r="M1376" s="829">
        <f t="shared" si="4956"/>
        <v>0.13</v>
      </c>
      <c r="N1376" s="829">
        <f t="shared" si="4956"/>
        <v>0.13</v>
      </c>
      <c r="O1376" s="829">
        <f t="shared" si="4956"/>
        <v>0.13</v>
      </c>
      <c r="P1376" s="829">
        <f t="shared" si="4956"/>
        <v>0.13</v>
      </c>
      <c r="Q1376" s="829">
        <f t="shared" si="4956"/>
        <v>0.13</v>
      </c>
      <c r="R1376" s="829">
        <f t="shared" si="4956"/>
        <v>0.13</v>
      </c>
      <c r="S1376" s="829">
        <f t="shared" si="4956"/>
        <v>0.13</v>
      </c>
      <c r="T1376" s="829">
        <f t="shared" si="4956"/>
        <v>0.13</v>
      </c>
      <c r="U1376" s="829">
        <f t="shared" si="4956"/>
        <v>0.13</v>
      </c>
      <c r="V1376" s="829">
        <f t="shared" si="4956"/>
        <v>0.13</v>
      </c>
      <c r="W1376" s="829">
        <f t="shared" si="4956"/>
        <v>0.13</v>
      </c>
      <c r="X1376" s="829">
        <f t="shared" ref="X1376:AA1376" si="4957">+W1376</f>
        <v>0.13</v>
      </c>
      <c r="Y1376" s="829">
        <f t="shared" si="4957"/>
        <v>0.13</v>
      </c>
      <c r="Z1376" s="829">
        <f t="shared" si="4957"/>
        <v>0.13</v>
      </c>
      <c r="AA1376" s="829">
        <f t="shared" si="4957"/>
        <v>0.13</v>
      </c>
      <c r="AB1376" s="829">
        <f t="shared" ref="AB1376" si="4958">+X1376-1%</f>
        <v>0.12000000000000001</v>
      </c>
      <c r="AC1376" s="829">
        <f t="shared" ref="AC1376" si="4959">+Y1376-1%</f>
        <v>0.12000000000000001</v>
      </c>
      <c r="AD1376" s="829">
        <f t="shared" ref="AD1376" si="4960">+Z1376-1%</f>
        <v>0.12000000000000001</v>
      </c>
      <c r="AE1376" s="829">
        <f t="shared" ref="AE1376" si="4961">+AA1376-1%</f>
        <v>0.12000000000000001</v>
      </c>
      <c r="AF1376" s="829">
        <f t="shared" ref="AF1376" si="4962">+AB1376-1%</f>
        <v>0.11000000000000001</v>
      </c>
      <c r="AG1376" s="829">
        <f t="shared" ref="AG1376" si="4963">+AC1376-1%</f>
        <v>0.11000000000000001</v>
      </c>
      <c r="AH1376" s="829">
        <f t="shared" ref="AH1376" si="4964">+AD1376-1%</f>
        <v>0.11000000000000001</v>
      </c>
      <c r="AI1376" s="829">
        <f t="shared" ref="AI1376" si="4965">+AE1376-1%</f>
        <v>0.11000000000000001</v>
      </c>
      <c r="AJ1376" s="829">
        <f t="shared" ref="AJ1376" si="4966">+AF1376-1%</f>
        <v>0.10000000000000002</v>
      </c>
      <c r="AK1376" s="829">
        <f t="shared" ref="AK1376" si="4967">+AG1376-1%</f>
        <v>0.10000000000000002</v>
      </c>
      <c r="AL1376" s="829">
        <f t="shared" ref="AL1376" si="4968">+AH1376-1%</f>
        <v>0.10000000000000002</v>
      </c>
      <c r="AM1376" s="829">
        <f t="shared" ref="AM1376" si="4969">+AI1376-1%</f>
        <v>0.10000000000000002</v>
      </c>
      <c r="AN1376" s="829">
        <f t="shared" ref="AN1376" si="4970">+AJ1376-1%</f>
        <v>9.0000000000000024E-2</v>
      </c>
      <c r="AO1376" s="829">
        <f t="shared" ref="AO1376" si="4971">+AK1376-1%</f>
        <v>9.0000000000000024E-2</v>
      </c>
      <c r="AP1376" s="829">
        <f t="shared" ref="AP1376" si="4972">+AL1376-1%</f>
        <v>9.0000000000000024E-2</v>
      </c>
      <c r="AQ1376" s="829">
        <f t="shared" ref="AQ1376" si="4973">+AM1376-1%</f>
        <v>9.0000000000000024E-2</v>
      </c>
    </row>
    <row r="1377" spans="2:43">
      <c r="B1377" s="1175" t="str">
        <f t="shared" si="4951"/>
        <v>JPY</v>
      </c>
      <c r="C1377" s="872"/>
      <c r="D1377" s="829">
        <v>0.03</v>
      </c>
      <c r="E1377" s="829">
        <f t="shared" ref="E1377:W1377" si="4974">+D1377</f>
        <v>0.03</v>
      </c>
      <c r="F1377" s="829">
        <f t="shared" si="4974"/>
        <v>0.03</v>
      </c>
      <c r="G1377" s="829">
        <f t="shared" si="4974"/>
        <v>0.03</v>
      </c>
      <c r="H1377" s="829">
        <f t="shared" si="4974"/>
        <v>0.03</v>
      </c>
      <c r="I1377" s="829">
        <f t="shared" si="4974"/>
        <v>0.03</v>
      </c>
      <c r="J1377" s="829">
        <f t="shared" si="4974"/>
        <v>0.03</v>
      </c>
      <c r="K1377" s="829">
        <f t="shared" si="4974"/>
        <v>0.03</v>
      </c>
      <c r="L1377" s="829">
        <f t="shared" si="4974"/>
        <v>0.03</v>
      </c>
      <c r="M1377" s="829">
        <f t="shared" si="4974"/>
        <v>0.03</v>
      </c>
      <c r="N1377" s="829">
        <f t="shared" si="4974"/>
        <v>0.03</v>
      </c>
      <c r="O1377" s="829">
        <f t="shared" si="4974"/>
        <v>0.03</v>
      </c>
      <c r="P1377" s="829">
        <f t="shared" si="4974"/>
        <v>0.03</v>
      </c>
      <c r="Q1377" s="829">
        <f t="shared" si="4974"/>
        <v>0.03</v>
      </c>
      <c r="R1377" s="829">
        <f t="shared" si="4974"/>
        <v>0.03</v>
      </c>
      <c r="S1377" s="829">
        <f t="shared" si="4974"/>
        <v>0.03</v>
      </c>
      <c r="T1377" s="829">
        <f t="shared" si="4974"/>
        <v>0.03</v>
      </c>
      <c r="U1377" s="829">
        <f t="shared" si="4974"/>
        <v>0.03</v>
      </c>
      <c r="V1377" s="829">
        <f t="shared" si="4974"/>
        <v>0.03</v>
      </c>
      <c r="W1377" s="829">
        <f t="shared" si="4974"/>
        <v>0.03</v>
      </c>
      <c r="X1377" s="829">
        <f t="shared" ref="X1377:AA1377" si="4975">+W1377</f>
        <v>0.03</v>
      </c>
      <c r="Y1377" s="829">
        <f t="shared" si="4975"/>
        <v>0.03</v>
      </c>
      <c r="Z1377" s="829">
        <f t="shared" si="4975"/>
        <v>0.03</v>
      </c>
      <c r="AA1377" s="829">
        <f t="shared" si="4975"/>
        <v>0.03</v>
      </c>
      <c r="AB1377" s="829">
        <f t="shared" ref="AB1377" si="4976">+X1377+1%</f>
        <v>0.04</v>
      </c>
      <c r="AC1377" s="829">
        <f t="shared" ref="AC1377" si="4977">+Y1377+1%</f>
        <v>0.04</v>
      </c>
      <c r="AD1377" s="829">
        <f t="shared" ref="AD1377" si="4978">+Z1377+1%</f>
        <v>0.04</v>
      </c>
      <c r="AE1377" s="829">
        <f t="shared" ref="AE1377" si="4979">+AA1377+1%</f>
        <v>0.04</v>
      </c>
      <c r="AF1377" s="829">
        <f t="shared" ref="AF1377" si="4980">+AB1377+1%</f>
        <v>0.05</v>
      </c>
      <c r="AG1377" s="829">
        <f t="shared" ref="AG1377" si="4981">+AC1377+1%</f>
        <v>0.05</v>
      </c>
      <c r="AH1377" s="829">
        <f t="shared" ref="AH1377" si="4982">+AD1377+1%</f>
        <v>0.05</v>
      </c>
      <c r="AI1377" s="829">
        <f t="shared" ref="AI1377" si="4983">+AE1377+1%</f>
        <v>0.05</v>
      </c>
      <c r="AJ1377" s="829">
        <f t="shared" ref="AJ1377" si="4984">+AF1377+1%</f>
        <v>6.0000000000000005E-2</v>
      </c>
      <c r="AK1377" s="829">
        <f t="shared" ref="AK1377" si="4985">+AG1377+1%</f>
        <v>6.0000000000000005E-2</v>
      </c>
      <c r="AL1377" s="829">
        <f t="shared" ref="AL1377" si="4986">+AH1377+1%</f>
        <v>6.0000000000000005E-2</v>
      </c>
      <c r="AM1377" s="829">
        <f t="shared" ref="AM1377" si="4987">+AI1377+1%</f>
        <v>6.0000000000000005E-2</v>
      </c>
      <c r="AN1377" s="829">
        <f t="shared" ref="AN1377" si="4988">+AJ1377+1%</f>
        <v>7.0000000000000007E-2</v>
      </c>
      <c r="AO1377" s="829">
        <f t="shared" ref="AO1377" si="4989">+AK1377+1%</f>
        <v>7.0000000000000007E-2</v>
      </c>
      <c r="AP1377" s="829">
        <f t="shared" ref="AP1377" si="4990">+AL1377+1%</f>
        <v>7.0000000000000007E-2</v>
      </c>
      <c r="AQ1377" s="829">
        <f t="shared" ref="AQ1377" si="4991">+AM1377+1%</f>
        <v>7.0000000000000007E-2</v>
      </c>
    </row>
    <row r="1378" spans="2:43">
      <c r="B1378" s="1175" t="str">
        <f t="shared" si="4951"/>
        <v>AUD</v>
      </c>
      <c r="C1378" s="872"/>
      <c r="D1378" s="829">
        <v>0.03</v>
      </c>
      <c r="E1378" s="829">
        <f t="shared" ref="E1378:W1378" si="4992">+D1378</f>
        <v>0.03</v>
      </c>
      <c r="F1378" s="829">
        <f t="shared" si="4992"/>
        <v>0.03</v>
      </c>
      <c r="G1378" s="829">
        <f t="shared" si="4992"/>
        <v>0.03</v>
      </c>
      <c r="H1378" s="829">
        <f t="shared" si="4992"/>
        <v>0.03</v>
      </c>
      <c r="I1378" s="829">
        <f t="shared" si="4992"/>
        <v>0.03</v>
      </c>
      <c r="J1378" s="829">
        <f t="shared" si="4992"/>
        <v>0.03</v>
      </c>
      <c r="K1378" s="829">
        <f t="shared" si="4992"/>
        <v>0.03</v>
      </c>
      <c r="L1378" s="829">
        <f t="shared" si="4992"/>
        <v>0.03</v>
      </c>
      <c r="M1378" s="829">
        <f t="shared" si="4992"/>
        <v>0.03</v>
      </c>
      <c r="N1378" s="829">
        <f t="shared" si="4992"/>
        <v>0.03</v>
      </c>
      <c r="O1378" s="829">
        <f t="shared" si="4992"/>
        <v>0.03</v>
      </c>
      <c r="P1378" s="829">
        <f t="shared" si="4992"/>
        <v>0.03</v>
      </c>
      <c r="Q1378" s="829">
        <f t="shared" si="4992"/>
        <v>0.03</v>
      </c>
      <c r="R1378" s="829">
        <f t="shared" si="4992"/>
        <v>0.03</v>
      </c>
      <c r="S1378" s="829">
        <f t="shared" si="4992"/>
        <v>0.03</v>
      </c>
      <c r="T1378" s="829">
        <f t="shared" si="4992"/>
        <v>0.03</v>
      </c>
      <c r="U1378" s="829">
        <f t="shared" si="4992"/>
        <v>0.03</v>
      </c>
      <c r="V1378" s="829">
        <f t="shared" si="4992"/>
        <v>0.03</v>
      </c>
      <c r="W1378" s="829">
        <f t="shared" si="4992"/>
        <v>0.03</v>
      </c>
      <c r="X1378" s="829">
        <f t="shared" ref="X1378:AA1378" si="4993">+W1378</f>
        <v>0.03</v>
      </c>
      <c r="Y1378" s="829">
        <f t="shared" si="4993"/>
        <v>0.03</v>
      </c>
      <c r="Z1378" s="829">
        <f t="shared" si="4993"/>
        <v>0.03</v>
      </c>
      <c r="AA1378" s="829">
        <f t="shared" si="4993"/>
        <v>0.03</v>
      </c>
      <c r="AB1378" s="829">
        <v>0.02</v>
      </c>
      <c r="AC1378" s="829">
        <v>0.02</v>
      </c>
      <c r="AD1378" s="829">
        <v>0.02</v>
      </c>
      <c r="AE1378" s="829">
        <v>0.02</v>
      </c>
      <c r="AF1378" s="829">
        <v>0.02</v>
      </c>
      <c r="AG1378" s="829">
        <v>0.02</v>
      </c>
      <c r="AH1378" s="829">
        <v>0.02</v>
      </c>
      <c r="AI1378" s="829">
        <v>0.02</v>
      </c>
      <c r="AJ1378" s="829">
        <v>0.02</v>
      </c>
      <c r="AK1378" s="829">
        <v>0.02</v>
      </c>
      <c r="AL1378" s="829">
        <v>0.02</v>
      </c>
      <c r="AM1378" s="829">
        <v>0.02</v>
      </c>
      <c r="AN1378" s="829">
        <v>0.02</v>
      </c>
      <c r="AO1378" s="829">
        <v>0.02</v>
      </c>
      <c r="AP1378" s="829">
        <v>0.02</v>
      </c>
      <c r="AQ1378" s="829">
        <v>0.02</v>
      </c>
    </row>
    <row r="1379" spans="2:43">
      <c r="B1379" s="1175" t="str">
        <f t="shared" si="4951"/>
        <v>CAD</v>
      </c>
      <c r="C1379" s="872"/>
      <c r="D1379" s="228">
        <f t="shared" ref="D1379" si="4994">1-SUM(D1374:D1378)</f>
        <v>2.9999999999999916E-2</v>
      </c>
      <c r="E1379" s="228">
        <f t="shared" ref="E1379" si="4995">1-SUM(E1374:E1378)</f>
        <v>2.9999999999999916E-2</v>
      </c>
      <c r="F1379" s="228">
        <f t="shared" ref="F1379" si="4996">1-SUM(F1374:F1378)</f>
        <v>2.9999999999999916E-2</v>
      </c>
      <c r="G1379" s="228">
        <f t="shared" ref="G1379" si="4997">1-SUM(G1374:G1378)</f>
        <v>2.9999999999999916E-2</v>
      </c>
      <c r="H1379" s="228">
        <f t="shared" ref="H1379" si="4998">1-SUM(H1374:H1378)</f>
        <v>2.9999999999999916E-2</v>
      </c>
      <c r="I1379" s="228">
        <f t="shared" ref="I1379" si="4999">1-SUM(I1374:I1378)</f>
        <v>2.9999999999999916E-2</v>
      </c>
      <c r="J1379" s="228">
        <f t="shared" ref="J1379" si="5000">1-SUM(J1374:J1378)</f>
        <v>2.9999999999999916E-2</v>
      </c>
      <c r="K1379" s="228">
        <f t="shared" ref="K1379" si="5001">1-SUM(K1374:K1378)</f>
        <v>2.9999999999999916E-2</v>
      </c>
      <c r="L1379" s="228">
        <f t="shared" ref="L1379" si="5002">1-SUM(L1374:L1378)</f>
        <v>2.9999999999999916E-2</v>
      </c>
      <c r="M1379" s="228">
        <f t="shared" ref="M1379" si="5003">1-SUM(M1374:M1378)</f>
        <v>2.9999999999999916E-2</v>
      </c>
      <c r="N1379" s="228">
        <f t="shared" ref="N1379" si="5004">1-SUM(N1374:N1378)</f>
        <v>2.9999999999999916E-2</v>
      </c>
      <c r="O1379" s="228">
        <f t="shared" ref="O1379" si="5005">1-SUM(O1374:O1378)</f>
        <v>2.9999999999999916E-2</v>
      </c>
      <c r="P1379" s="228">
        <f t="shared" ref="P1379" si="5006">1-SUM(P1374:P1378)</f>
        <v>2.9999999999999916E-2</v>
      </c>
      <c r="Q1379" s="228">
        <f t="shared" ref="Q1379" si="5007">1-SUM(Q1374:Q1378)</f>
        <v>2.9999999999999916E-2</v>
      </c>
      <c r="R1379" s="228">
        <f t="shared" ref="R1379" si="5008">1-SUM(R1374:R1378)</f>
        <v>2.9999999999999916E-2</v>
      </c>
      <c r="S1379" s="228">
        <f t="shared" ref="S1379" si="5009">1-SUM(S1374:S1378)</f>
        <v>2.9999999999999916E-2</v>
      </c>
      <c r="T1379" s="228">
        <f t="shared" ref="T1379" si="5010">1-SUM(T1374:T1378)</f>
        <v>2.9999999999999916E-2</v>
      </c>
      <c r="U1379" s="228">
        <f t="shared" ref="U1379" si="5011">1-SUM(U1374:U1378)</f>
        <v>2.9999999999999916E-2</v>
      </c>
      <c r="V1379" s="228">
        <f t="shared" ref="V1379" si="5012">1-SUM(V1374:V1378)</f>
        <v>2.9999999999999916E-2</v>
      </c>
      <c r="W1379" s="228">
        <f t="shared" ref="W1379" si="5013">1-SUM(W1374:W1378)</f>
        <v>2.9999999999999916E-2</v>
      </c>
      <c r="X1379" s="228">
        <f t="shared" ref="X1379" si="5014">1-SUM(X1374:X1378)</f>
        <v>2.9999999999999916E-2</v>
      </c>
      <c r="Y1379" s="228">
        <f t="shared" ref="Y1379" si="5015">1-SUM(Y1374:Y1378)</f>
        <v>2.9999999999999916E-2</v>
      </c>
      <c r="Z1379" s="228">
        <f t="shared" ref="Z1379" si="5016">1-SUM(Z1374:Z1378)</f>
        <v>2.9999999999999916E-2</v>
      </c>
      <c r="AA1379" s="228">
        <f t="shared" ref="AA1379" si="5017">1-SUM(AA1374:AA1378)</f>
        <v>2.9999999999999916E-2</v>
      </c>
      <c r="AB1379" s="228">
        <f t="shared" ref="AB1379" si="5018">1-SUM(AB1374:AB1378)</f>
        <v>1.9999999999999907E-2</v>
      </c>
      <c r="AC1379" s="228">
        <f t="shared" ref="AC1379:AM1379" si="5019">1-SUM(AC1374:AC1378)</f>
        <v>1.9999999999999907E-2</v>
      </c>
      <c r="AD1379" s="228">
        <f t="shared" si="5019"/>
        <v>1.9999999999999907E-2</v>
      </c>
      <c r="AE1379" s="228">
        <f t="shared" ref="AE1379" si="5020">1-SUM(AE1374:AE1378)</f>
        <v>1.9999999999999907E-2</v>
      </c>
      <c r="AF1379" s="228">
        <f t="shared" si="5019"/>
        <v>1.9999999999999907E-2</v>
      </c>
      <c r="AG1379" s="228">
        <f t="shared" si="5019"/>
        <v>1.9999999999999907E-2</v>
      </c>
      <c r="AH1379" s="228">
        <f t="shared" si="5019"/>
        <v>1.9999999999999907E-2</v>
      </c>
      <c r="AI1379" s="228">
        <f t="shared" si="5019"/>
        <v>1.9999999999999907E-2</v>
      </c>
      <c r="AJ1379" s="228">
        <f t="shared" si="5019"/>
        <v>1.9999999999999907E-2</v>
      </c>
      <c r="AK1379" s="228">
        <f t="shared" si="5019"/>
        <v>1.9999999999999907E-2</v>
      </c>
      <c r="AL1379" s="228">
        <f t="shared" si="5019"/>
        <v>1.9999999999999907E-2</v>
      </c>
      <c r="AM1379" s="228">
        <f t="shared" si="5019"/>
        <v>1.9999999999999907E-2</v>
      </c>
      <c r="AN1379" s="228">
        <f t="shared" ref="AN1379:AQ1379" si="5021">1-SUM(AN1374:AN1378)</f>
        <v>1.9999999999999796E-2</v>
      </c>
      <c r="AO1379" s="228">
        <f t="shared" si="5021"/>
        <v>1.9999999999999796E-2</v>
      </c>
      <c r="AP1379" s="228">
        <f t="shared" si="5021"/>
        <v>1.9999999999999796E-2</v>
      </c>
      <c r="AQ1379" s="228">
        <f t="shared" si="5021"/>
        <v>1.9999999999999796E-2</v>
      </c>
    </row>
    <row r="1380" spans="2:43">
      <c r="B1380" s="1176"/>
      <c r="C1380" s="1162"/>
      <c r="D1380" s="842"/>
      <c r="E1380" s="842"/>
      <c r="F1380" s="842"/>
      <c r="G1380" s="842"/>
      <c r="H1380" s="842"/>
      <c r="I1380" s="842"/>
      <c r="J1380" s="842"/>
      <c r="K1380" s="842"/>
      <c r="L1380" s="842"/>
      <c r="M1380" s="842"/>
      <c r="N1380" s="842"/>
      <c r="O1380" s="842"/>
      <c r="P1380" s="842"/>
      <c r="Q1380" s="842"/>
      <c r="R1380" s="842"/>
      <c r="S1380" s="842"/>
      <c r="T1380" s="842"/>
      <c r="U1380" s="842"/>
      <c r="V1380" s="842"/>
      <c r="W1380" s="842"/>
      <c r="X1380" s="842"/>
      <c r="Y1380" s="842"/>
      <c r="Z1380" s="842"/>
      <c r="AA1380" s="842"/>
      <c r="AB1380" s="842"/>
      <c r="AC1380" s="842"/>
      <c r="AD1380" s="842"/>
      <c r="AE1380" s="842"/>
      <c r="AF1380" s="842"/>
      <c r="AG1380" s="842"/>
      <c r="AH1380" s="842"/>
      <c r="AI1380" s="842"/>
      <c r="AJ1380" s="842"/>
      <c r="AK1380" s="842"/>
      <c r="AL1380" s="842"/>
      <c r="AM1380" s="842"/>
      <c r="AN1380" s="842"/>
      <c r="AO1380" s="842"/>
      <c r="AP1380" s="842"/>
      <c r="AQ1380" s="842"/>
    </row>
    <row r="1381" spans="2:43">
      <c r="B1381" s="1174" t="s">
        <v>682</v>
      </c>
      <c r="C1381" s="872"/>
      <c r="D1381" s="228"/>
      <c r="E1381" s="228"/>
      <c r="F1381" s="228"/>
      <c r="G1381" s="228"/>
      <c r="H1381" s="228"/>
      <c r="I1381" s="228"/>
      <c r="J1381" s="228"/>
      <c r="K1381" s="228"/>
      <c r="L1381" s="228"/>
      <c r="M1381" s="228"/>
      <c r="N1381" s="228"/>
      <c r="O1381" s="228"/>
      <c r="P1381" s="228"/>
      <c r="Q1381" s="228"/>
      <c r="R1381" s="228"/>
      <c r="S1381" s="228"/>
      <c r="T1381" s="228"/>
      <c r="U1381" s="228"/>
      <c r="V1381" s="228"/>
      <c r="W1381" s="228"/>
      <c r="X1381" s="228"/>
      <c r="Y1381" s="228"/>
      <c r="Z1381" s="228"/>
      <c r="AA1381" s="228"/>
      <c r="AB1381" s="228"/>
      <c r="AC1381" s="228"/>
      <c r="AD1381" s="228"/>
      <c r="AE1381" s="228"/>
      <c r="AF1381" s="228"/>
      <c r="AG1381" s="228"/>
      <c r="AH1381" s="228"/>
      <c r="AI1381" s="228"/>
      <c r="AJ1381" s="228"/>
      <c r="AK1381" s="228"/>
      <c r="AL1381" s="228"/>
      <c r="AM1381" s="228"/>
      <c r="AN1381" s="228"/>
      <c r="AO1381" s="228"/>
      <c r="AP1381" s="228"/>
      <c r="AQ1381" s="228"/>
    </row>
    <row r="1382" spans="2:43">
      <c r="B1382" s="1175" t="str">
        <f>+B1374</f>
        <v>USD</v>
      </c>
      <c r="C1382" s="872"/>
      <c r="D1382" s="228"/>
      <c r="E1382" s="228"/>
      <c r="F1382" s="228"/>
      <c r="G1382" s="228"/>
      <c r="H1382" s="228">
        <v>0</v>
      </c>
      <c r="I1382" s="228">
        <v>0</v>
      </c>
      <c r="J1382" s="228">
        <v>0</v>
      </c>
      <c r="K1382" s="228">
        <v>0</v>
      </c>
      <c r="L1382" s="228">
        <v>0</v>
      </c>
      <c r="M1382" s="228">
        <v>0</v>
      </c>
      <c r="N1382" s="228">
        <v>0</v>
      </c>
      <c r="O1382" s="228">
        <v>0</v>
      </c>
      <c r="P1382" s="228">
        <v>0</v>
      </c>
      <c r="Q1382" s="228">
        <v>0</v>
      </c>
      <c r="R1382" s="228">
        <v>0</v>
      </c>
      <c r="S1382" s="228">
        <v>0</v>
      </c>
      <c r="T1382" s="228">
        <v>0</v>
      </c>
      <c r="U1382" s="228">
        <v>0</v>
      </c>
      <c r="V1382" s="228">
        <v>0</v>
      </c>
      <c r="W1382" s="228">
        <v>0</v>
      </c>
      <c r="X1382" s="228">
        <v>0</v>
      </c>
      <c r="Y1382" s="228">
        <v>0</v>
      </c>
      <c r="Z1382" s="228">
        <v>0</v>
      </c>
      <c r="AA1382" s="228">
        <v>0</v>
      </c>
      <c r="AB1382" s="228">
        <v>0</v>
      </c>
      <c r="AC1382" s="228">
        <v>0</v>
      </c>
      <c r="AD1382" s="228">
        <v>0</v>
      </c>
      <c r="AE1382" s="228">
        <v>0</v>
      </c>
      <c r="AF1382" s="228">
        <v>0</v>
      </c>
      <c r="AG1382" s="228">
        <v>0</v>
      </c>
      <c r="AH1382" s="228">
        <v>0</v>
      </c>
      <c r="AI1382" s="228">
        <v>0</v>
      </c>
      <c r="AJ1382" s="228">
        <v>0</v>
      </c>
      <c r="AK1382" s="228">
        <v>0</v>
      </c>
      <c r="AL1382" s="228">
        <v>0</v>
      </c>
      <c r="AM1382" s="228">
        <v>0</v>
      </c>
      <c r="AN1382" s="228">
        <v>0</v>
      </c>
      <c r="AO1382" s="228">
        <v>0</v>
      </c>
      <c r="AP1382" s="228">
        <v>0</v>
      </c>
      <c r="AQ1382" s="228">
        <v>0</v>
      </c>
    </row>
    <row r="1383" spans="2:43">
      <c r="B1383" s="1175" t="str">
        <f>+B1375</f>
        <v>EUR</v>
      </c>
      <c r="C1383" s="872"/>
      <c r="D1383" s="228"/>
      <c r="E1383" s="228"/>
      <c r="F1383" s="228"/>
      <c r="G1383" s="228"/>
      <c r="H1383" s="228">
        <f>+H1401</f>
        <v>3.1771708729322334E-3</v>
      </c>
      <c r="I1383" s="228">
        <f t="shared" ref="I1383:AM1383" si="5022">+I1401</f>
        <v>-1.5306286289728632E-2</v>
      </c>
      <c r="J1383" s="228">
        <f t="shared" si="5022"/>
        <v>-3.3988719812266255E-2</v>
      </c>
      <c r="K1383" s="228">
        <f t="shared" si="5022"/>
        <v>-2.5840668205748818E-2</v>
      </c>
      <c r="L1383" s="228">
        <f t="shared" si="5022"/>
        <v>5.2736538837217184E-2</v>
      </c>
      <c r="M1383" s="228">
        <f t="shared" si="5022"/>
        <v>9.2288862051741916E-2</v>
      </c>
      <c r="N1383" s="228">
        <f t="shared" si="5022"/>
        <v>0.15340549859394192</v>
      </c>
      <c r="O1383" s="228">
        <f t="shared" si="5022"/>
        <v>8.3228596886496309E-2</v>
      </c>
      <c r="P1383" s="228">
        <f t="shared" si="5022"/>
        <v>-1.0291754639379813E-2</v>
      </c>
      <c r="Q1383" s="228">
        <f t="shared" si="5022"/>
        <v>-3.1499684064523192E-2</v>
      </c>
      <c r="R1383" s="228">
        <f t="shared" si="5022"/>
        <v>-7.5997742994721063E-2</v>
      </c>
      <c r="S1383" s="228">
        <f t="shared" si="5022"/>
        <v>-5.6954415240071499E-2</v>
      </c>
      <c r="T1383" s="228">
        <f t="shared" si="5022"/>
        <v>-4.3862433669336065E-2</v>
      </c>
      <c r="U1383" s="228">
        <f t="shared" si="5022"/>
        <v>-2.966119633376374E-2</v>
      </c>
      <c r="V1383" s="228">
        <f t="shared" si="5022"/>
        <v>-2.9011489633174015E-2</v>
      </c>
      <c r="W1383" s="228">
        <f t="shared" si="5022"/>
        <v>-2.0118905873434678E-2</v>
      </c>
      <c r="X1383" s="228">
        <f t="shared" si="5022"/>
        <v>5.1412549798567797E-2</v>
      </c>
      <c r="Y1383" s="228">
        <f t="shared" si="5022"/>
        <v>7.7214303796755868E-2</v>
      </c>
      <c r="Z1383" s="228">
        <f t="shared" si="5022"/>
        <v>9.312328432706507E-2</v>
      </c>
      <c r="AA1383" s="228">
        <f t="shared" si="5022"/>
        <v>9.3978837882519484E-2</v>
      </c>
      <c r="AB1383" s="228">
        <f t="shared" si="5022"/>
        <v>8.5548365618435263E-3</v>
      </c>
      <c r="AC1383" s="228">
        <f t="shared" si="5022"/>
        <v>-4.108302950217424E-2</v>
      </c>
      <c r="AD1383" s="228">
        <f t="shared" si="5022"/>
        <v>-6.8773745849703971E-2</v>
      </c>
      <c r="AE1383" s="228">
        <f t="shared" si="5022"/>
        <v>-0.11590445514602665</v>
      </c>
      <c r="AF1383" s="228">
        <f t="shared" si="5022"/>
        <v>-0.14525952820499199</v>
      </c>
      <c r="AG1383" s="228">
        <f t="shared" si="5022"/>
        <v>-0.1065694442312396</v>
      </c>
      <c r="AH1383" s="228">
        <f t="shared" si="5022"/>
        <v>-4.447578869864488E-2</v>
      </c>
      <c r="AI1383" s="228">
        <f t="shared" si="5022"/>
        <v>2.1981012293670554E-2</v>
      </c>
      <c r="AJ1383" s="228">
        <f t="shared" si="5022"/>
        <v>8.0161607165232684E-2</v>
      </c>
      <c r="AK1383" s="228">
        <f t="shared" si="5022"/>
        <v>5.3463748569484437E-2</v>
      </c>
      <c r="AL1383" s="228">
        <f t="shared" si="5022"/>
        <v>1.2246724996555214E-2</v>
      </c>
      <c r="AM1383" s="228">
        <f t="shared" si="5022"/>
        <v>-1.1171142831587377E-2</v>
      </c>
      <c r="AN1383" s="228">
        <f t="shared" ref="AN1383:AQ1383" si="5023">+AN1401</f>
        <v>9.7607275806859128E-3</v>
      </c>
      <c r="AO1383" s="228">
        <f t="shared" si="5023"/>
        <v>-9.2613704690084342E-3</v>
      </c>
      <c r="AP1383" s="228">
        <f t="shared" si="5023"/>
        <v>-4.5277247171932489E-2</v>
      </c>
      <c r="AQ1383" s="228">
        <f t="shared" si="5023"/>
        <v>-3.7073815119799014E-2</v>
      </c>
    </row>
    <row r="1384" spans="2:43">
      <c r="B1384" s="1175" t="str">
        <f>+B1376</f>
        <v>GBP</v>
      </c>
      <c r="C1384" s="872"/>
      <c r="D1384" s="228"/>
      <c r="E1384" s="228"/>
      <c r="F1384" s="228"/>
      <c r="G1384" s="228"/>
      <c r="H1384" s="228">
        <f>+H1404</f>
        <v>-0.15221212413256158</v>
      </c>
      <c r="I1384" s="228">
        <f t="shared" ref="I1384:AM1384" si="5024">+I1404</f>
        <v>-0.18124292715879409</v>
      </c>
      <c r="J1384" s="228">
        <f t="shared" si="5024"/>
        <v>-0.1350993276943423</v>
      </c>
      <c r="K1384" s="228">
        <f t="shared" si="5024"/>
        <v>-0.10830230689761722</v>
      </c>
      <c r="L1384" s="228">
        <f t="shared" si="5024"/>
        <v>-3.386258486035798E-3</v>
      </c>
      <c r="M1384" s="228">
        <f t="shared" si="5024"/>
        <v>6.845590429285564E-2</v>
      </c>
      <c r="N1384" s="228">
        <f t="shared" si="5024"/>
        <v>0.12331367024568918</v>
      </c>
      <c r="O1384" s="228">
        <f t="shared" si="5024"/>
        <v>6.391840705932017E-2</v>
      </c>
      <c r="P1384" s="228">
        <f t="shared" si="5024"/>
        <v>-4.3864578304833035E-3</v>
      </c>
      <c r="Q1384" s="228">
        <f t="shared" si="5024"/>
        <v>-3.0956721952150379E-2</v>
      </c>
      <c r="R1384" s="228">
        <f t="shared" si="5024"/>
        <v>-6.4203804606226211E-2</v>
      </c>
      <c r="S1384" s="228">
        <f t="shared" si="5024"/>
        <v>-5.5489756453738326E-2</v>
      </c>
      <c r="T1384" s="228">
        <f t="shared" si="5024"/>
        <v>-5.375130907811676E-2</v>
      </c>
      <c r="U1384" s="228">
        <f t="shared" si="5024"/>
        <v>1.0508100282231592E-3</v>
      </c>
      <c r="V1384" s="228">
        <f t="shared" si="5024"/>
        <v>-1.5759235744431055E-2</v>
      </c>
      <c r="W1384" s="228">
        <f t="shared" si="5024"/>
        <v>-3.4420898467366845E-2</v>
      </c>
      <c r="X1384" s="228">
        <f t="shared" si="5024"/>
        <v>4.7709717370650884E-2</v>
      </c>
      <c r="Y1384" s="228">
        <f t="shared" si="5024"/>
        <v>2.5947678456481604E-2</v>
      </c>
      <c r="Z1384" s="228">
        <f t="shared" si="5024"/>
        <v>7.5740004927038251E-2</v>
      </c>
      <c r="AA1384" s="228">
        <f t="shared" si="5024"/>
        <v>0.12617797675609022</v>
      </c>
      <c r="AB1384" s="228">
        <f t="shared" si="5024"/>
        <v>6.7048172815994622E-2</v>
      </c>
      <c r="AC1384" s="228">
        <f t="shared" si="5024"/>
        <v>2.0429237217357565E-2</v>
      </c>
      <c r="AD1384" s="228">
        <f t="shared" si="5024"/>
        <v>-2.6642184630809806E-2</v>
      </c>
      <c r="AE1384" s="228">
        <f t="shared" si="5024"/>
        <v>-0.10085948515971321</v>
      </c>
      <c r="AF1384" s="228">
        <f t="shared" si="5024"/>
        <v>-0.14611033974859411</v>
      </c>
      <c r="AG1384" s="228">
        <f t="shared" si="5024"/>
        <v>-0.12874244120191614</v>
      </c>
      <c r="AH1384" s="228">
        <f t="shared" si="5024"/>
        <v>-9.4986955302520548E-2</v>
      </c>
      <c r="AI1384" s="228">
        <f t="shared" si="5024"/>
        <v>-3.9034677095529657E-3</v>
      </c>
      <c r="AJ1384" s="228">
        <f t="shared" si="5024"/>
        <v>7.5825759585997243E-2</v>
      </c>
      <c r="AK1384" s="228">
        <f t="shared" si="5024"/>
        <v>5.7414395883029989E-2</v>
      </c>
      <c r="AL1384" s="228">
        <f t="shared" si="5024"/>
        <v>4.4198297231415662E-2</v>
      </c>
      <c r="AM1384" s="228">
        <f t="shared" si="5024"/>
        <v>7.8047825946239158E-3</v>
      </c>
      <c r="AN1384" s="228">
        <f t="shared" ref="AN1384:AQ1384" si="5025">+AN1404</f>
        <v>2.7427283232257738E-2</v>
      </c>
      <c r="AO1384" s="228">
        <f t="shared" si="5025"/>
        <v>3.1588249310558814E-2</v>
      </c>
      <c r="AP1384" s="228">
        <f t="shared" si="5025"/>
        <v>-1.2938318344053124E-2</v>
      </c>
      <c r="AQ1384" s="228">
        <f t="shared" si="5025"/>
        <v>-7.8146627897375254E-3</v>
      </c>
    </row>
    <row r="1385" spans="2:43">
      <c r="B1385" s="1175" t="str">
        <f>+B1377</f>
        <v>JPY</v>
      </c>
      <c r="C1385" s="872"/>
      <c r="D1385" s="228"/>
      <c r="E1385" s="228"/>
      <c r="F1385" s="228"/>
      <c r="G1385" s="228"/>
      <c r="H1385" s="228">
        <f>+H1407</f>
        <v>0.19321482375404164</v>
      </c>
      <c r="I1385" s="228">
        <f t="shared" ref="I1385:AM1385" si="5026">+I1407</f>
        <v>0.11255356878178979</v>
      </c>
      <c r="J1385" s="228">
        <f t="shared" si="5026"/>
        <v>1.358883388532961E-2</v>
      </c>
      <c r="K1385" s="228">
        <f t="shared" si="5026"/>
        <v>-2.843921825372564E-2</v>
      </c>
      <c r="L1385" s="228">
        <f t="shared" si="5026"/>
        <v>-7.7108841414519569E-2</v>
      </c>
      <c r="M1385" s="228">
        <f t="shared" si="5026"/>
        <v>-3.3194146082402343E-2</v>
      </c>
      <c r="N1385" s="228">
        <f t="shared" si="5026"/>
        <v>5.0697081256720455E-2</v>
      </c>
      <c r="O1385" s="228">
        <f t="shared" si="5026"/>
        <v>1.7812536006993174E-2</v>
      </c>
      <c r="P1385" s="228">
        <f t="shared" si="5026"/>
        <v>-5.0831651657434751E-3</v>
      </c>
      <c r="Q1385" s="228">
        <f t="shared" si="5026"/>
        <v>1.690951805044083E-3</v>
      </c>
      <c r="R1385" s="228">
        <f t="shared" si="5026"/>
        <v>-1.7152533162530736E-2</v>
      </c>
      <c r="S1385" s="228">
        <f t="shared" si="5026"/>
        <v>-7.0568580489441812E-3</v>
      </c>
      <c r="T1385" s="228">
        <f t="shared" si="5026"/>
        <v>3.8962326617193677E-2</v>
      </c>
      <c r="U1385" s="228">
        <f t="shared" si="5026"/>
        <v>3.6372571378851859E-2</v>
      </c>
      <c r="V1385" s="228">
        <f t="shared" si="5026"/>
        <v>1.0651538449364839E-2</v>
      </c>
      <c r="W1385" s="228">
        <f t="shared" si="5026"/>
        <v>2.1840913392932038E-2</v>
      </c>
      <c r="X1385" s="228">
        <f t="shared" si="5026"/>
        <v>1.1120421021211468E-2</v>
      </c>
      <c r="Y1385" s="228">
        <f t="shared" si="5026"/>
        <v>4.1043496696562487E-2</v>
      </c>
      <c r="Z1385" s="228">
        <f t="shared" si="5026"/>
        <v>2.8181531775921087E-2</v>
      </c>
      <c r="AA1385" s="228">
        <f t="shared" si="5026"/>
        <v>-1.7381185158217405E-2</v>
      </c>
      <c r="AB1385" s="228">
        <f t="shared" si="5026"/>
        <v>-3.6214138307612442E-2</v>
      </c>
      <c r="AC1385" s="228">
        <f t="shared" si="5026"/>
        <v>-8.0795951188879722E-2</v>
      </c>
      <c r="AD1385" s="228">
        <f t="shared" si="5026"/>
        <v>-8.784931084332348E-2</v>
      </c>
      <c r="AE1385" s="228">
        <f t="shared" si="5026"/>
        <v>-0.15514350452504522</v>
      </c>
      <c r="AF1385" s="228">
        <f t="shared" si="5026"/>
        <v>-0.20305499813230576</v>
      </c>
      <c r="AG1385" s="228">
        <f t="shared" si="5026"/>
        <v>-0.19416091844453509</v>
      </c>
      <c r="AH1385" s="228">
        <f t="shared" si="5026"/>
        <v>-0.12174033357332792</v>
      </c>
      <c r="AI1385" s="228">
        <f t="shared" si="5026"/>
        <v>-5.608218837361123E-2</v>
      </c>
      <c r="AJ1385" s="228">
        <f t="shared" si="5026"/>
        <v>-4.3673597341185921E-2</v>
      </c>
      <c r="AK1385" s="228">
        <f t="shared" si="5026"/>
        <v>-4.4947049506070536E-2</v>
      </c>
      <c r="AL1385" s="228">
        <f t="shared" si="5026"/>
        <v>-0.10880326839656895</v>
      </c>
      <c r="AM1385" s="228">
        <f t="shared" si="5026"/>
        <v>-0.1194837970238033</v>
      </c>
      <c r="AN1385" s="228">
        <f t="shared" ref="AN1385:AQ1385" si="5027">+AN1407</f>
        <v>-2.8918458443468964E-2</v>
      </c>
      <c r="AO1385" s="228">
        <f t="shared" si="5027"/>
        <v>-3.1376328925941666E-2</v>
      </c>
      <c r="AP1385" s="228">
        <f t="shared" si="5027"/>
        <v>-5.5674086151108138E-2</v>
      </c>
      <c r="AQ1385" s="228">
        <f t="shared" si="5027"/>
        <v>-8.4307599848947312E-3</v>
      </c>
    </row>
    <row r="1386" spans="2:43">
      <c r="B1386" s="1175" t="str">
        <f t="shared" ref="B1386" si="5028">+B1378</f>
        <v>AUD</v>
      </c>
      <c r="C1386" s="872"/>
      <c r="D1386" s="228"/>
      <c r="E1386" s="228"/>
      <c r="F1386" s="228"/>
      <c r="G1386" s="228"/>
      <c r="H1386" s="228">
        <f>+H1410</f>
        <v>4.470851482408067E-2</v>
      </c>
      <c r="I1386" s="228">
        <f t="shared" ref="I1386:AM1386" si="5029">+I1410</f>
        <v>4.0132275592865918E-2</v>
      </c>
      <c r="J1386" s="228">
        <f t="shared" si="5029"/>
        <v>4.8563500622481826E-2</v>
      </c>
      <c r="K1386" s="228">
        <f t="shared" si="5029"/>
        <v>7.1960324172819501E-3</v>
      </c>
      <c r="L1386" s="228">
        <f t="shared" si="5029"/>
        <v>4.1177629676034E-2</v>
      </c>
      <c r="M1386" s="228">
        <f t="shared" si="5029"/>
        <v>2.6493761882026901E-2</v>
      </c>
      <c r="N1386" s="228">
        <f t="shared" si="5029"/>
        <v>3.7921627683590975E-2</v>
      </c>
      <c r="O1386" s="228">
        <f t="shared" si="5029"/>
        <v>7.7803951965875751E-3</v>
      </c>
      <c r="P1386" s="228">
        <f t="shared" si="5029"/>
        <v>-7.3408314687472997E-2</v>
      </c>
      <c r="Q1386" s="228">
        <f t="shared" si="5029"/>
        <v>-6.735490374488895E-2</v>
      </c>
      <c r="R1386" s="228">
        <f t="shared" si="5029"/>
        <v>-9.3596274196145912E-2</v>
      </c>
      <c r="S1386" s="228">
        <f t="shared" si="5029"/>
        <v>-7.4762315652858291E-2</v>
      </c>
      <c r="T1386" s="228">
        <f t="shared" si="5029"/>
        <v>-6.2640900589496007E-2</v>
      </c>
      <c r="U1386" s="228">
        <f t="shared" si="5029"/>
        <v>-4.6667086520695511E-2</v>
      </c>
      <c r="V1386" s="228">
        <f t="shared" si="5029"/>
        <v>-7.4595633387744886E-2</v>
      </c>
      <c r="W1386" s="228">
        <f t="shared" si="5029"/>
        <v>-6.2392018831452845E-2</v>
      </c>
      <c r="X1386" s="228">
        <f t="shared" si="5029"/>
        <v>4.2636433091761461E-2</v>
      </c>
      <c r="Y1386" s="228">
        <f t="shared" si="5029"/>
        <v>7.0258086273522258E-2</v>
      </c>
      <c r="Z1386" s="228">
        <f t="shared" si="5029"/>
        <v>0.17173094590599103</v>
      </c>
      <c r="AA1386" s="228">
        <f t="shared" si="5029"/>
        <v>0.17258986106915852</v>
      </c>
      <c r="AB1386" s="228">
        <f t="shared" si="5029"/>
        <v>2.7946667120976043E-2</v>
      </c>
      <c r="AC1386" s="228">
        <f t="shared" si="5029"/>
        <v>-4.2067602799668036E-3</v>
      </c>
      <c r="AD1386" s="228">
        <f t="shared" si="5029"/>
        <v>-6.2282589217008244E-2</v>
      </c>
      <c r="AE1386" s="228">
        <f t="shared" si="5029"/>
        <v>-7.1559124148965481E-2</v>
      </c>
      <c r="AF1386" s="228">
        <f t="shared" si="5029"/>
        <v>-7.0027319274538868E-2</v>
      </c>
      <c r="AG1386" s="228">
        <f t="shared" si="5029"/>
        <v>-9.7277479786146204E-2</v>
      </c>
      <c r="AH1386" s="228">
        <f t="shared" si="5029"/>
        <v>-5.6355420783701704E-2</v>
      </c>
      <c r="AI1386" s="228">
        <f t="shared" si="5029"/>
        <v>-6.5334678226264153E-2</v>
      </c>
      <c r="AJ1386" s="228">
        <f t="shared" si="5029"/>
        <v>-4.1635563423365829E-2</v>
      </c>
      <c r="AK1386" s="228">
        <f t="shared" si="5029"/>
        <v>-9.1716029841335533E-3</v>
      </c>
      <c r="AL1386" s="228">
        <f t="shared" si="5029"/>
        <v>-3.7898962034120687E-2</v>
      </c>
      <c r="AM1386" s="228">
        <f t="shared" si="5029"/>
        <v>-1.3493044707962865E-2</v>
      </c>
      <c r="AN1386" s="228">
        <f t="shared" ref="AN1386:AQ1386" si="5030">+AN1410</f>
        <v>2.298158119336402E-2</v>
      </c>
      <c r="AO1386" s="228">
        <f t="shared" si="5030"/>
        <v>6.0133236010351254E-4</v>
      </c>
      <c r="AP1386" s="228">
        <f t="shared" si="5030"/>
        <v>-5.6981223590653607E-2</v>
      </c>
      <c r="AQ1386" s="228">
        <f t="shared" si="5030"/>
        <v>-5.8916391117888378E-2</v>
      </c>
    </row>
    <row r="1387" spans="2:43">
      <c r="B1387" s="1175" t="str">
        <f>+B1379</f>
        <v>CAD</v>
      </c>
      <c r="C1387" s="1161"/>
      <c r="D1387" s="1113"/>
      <c r="E1387" s="1113"/>
      <c r="F1387" s="1113"/>
      <c r="G1387" s="1113"/>
      <c r="H1387" s="1113">
        <f>+H1413</f>
        <v>2.7133214839494268E-3</v>
      </c>
      <c r="I1387" s="1113">
        <f t="shared" ref="I1387:AM1387" si="5031">+I1413</f>
        <v>3.1165532670129892E-5</v>
      </c>
      <c r="J1387" s="1113">
        <f t="shared" si="5031"/>
        <v>3.6242679731915528E-2</v>
      </c>
      <c r="K1387" s="1113">
        <f t="shared" si="5031"/>
        <v>-4.1815443861636048E-2</v>
      </c>
      <c r="L1387" s="1113">
        <f t="shared" si="5031"/>
        <v>4.082034692960046E-2</v>
      </c>
      <c r="M1387" s="1113">
        <f t="shared" si="5031"/>
        <v>5.0439280777423434E-2</v>
      </c>
      <c r="N1387" s="1113">
        <f t="shared" si="5031"/>
        <v>4.7007708963320072E-2</v>
      </c>
      <c r="O1387" s="1113">
        <f t="shared" si="5031"/>
        <v>4.179021642952585E-2</v>
      </c>
      <c r="P1387" s="1113">
        <f t="shared" si="5031"/>
        <v>-4.1302793980023678E-2</v>
      </c>
      <c r="Q1387" s="1113">
        <f t="shared" si="5031"/>
        <v>-3.8573228402184467E-2</v>
      </c>
      <c r="R1387" s="1113">
        <f t="shared" si="5031"/>
        <v>-4.9199191643766071E-2</v>
      </c>
      <c r="S1387" s="1113">
        <f t="shared" si="5031"/>
        <v>-3.4830701540910836E-2</v>
      </c>
      <c r="T1387" s="1113">
        <f t="shared" si="5031"/>
        <v>-1.0298883130060998E-2</v>
      </c>
      <c r="U1387" s="1113">
        <f t="shared" si="5031"/>
        <v>1.1959280798832239E-3</v>
      </c>
      <c r="V1387" s="1113">
        <f t="shared" si="5031"/>
        <v>-8.4358252103419185E-3</v>
      </c>
      <c r="W1387" s="1113">
        <f t="shared" si="5031"/>
        <v>-3.5193775531139226E-2</v>
      </c>
      <c r="X1387" s="1113">
        <f t="shared" si="5031"/>
        <v>-8.9974841084906609E-3</v>
      </c>
      <c r="Y1387" s="1113">
        <f t="shared" si="5031"/>
        <v>1.3279665558350917E-2</v>
      </c>
      <c r="Z1387" s="1113">
        <f t="shared" si="5031"/>
        <v>5.8983807703955948E-2</v>
      </c>
      <c r="AA1387" s="1113">
        <f t="shared" si="5031"/>
        <v>0.12863529934956941</v>
      </c>
      <c r="AB1387" s="1113">
        <f t="shared" si="5031"/>
        <v>5.8057540077588232E-2</v>
      </c>
      <c r="AC1387" s="1113">
        <f t="shared" si="5031"/>
        <v>3.3724216410368824E-2</v>
      </c>
      <c r="AD1387" s="1113">
        <f t="shared" si="5031"/>
        <v>-3.377802762649651E-5</v>
      </c>
      <c r="AE1387" s="1113">
        <f t="shared" si="5031"/>
        <v>-3.7674563673225747E-2</v>
      </c>
      <c r="AF1387" s="1113">
        <f t="shared" si="5031"/>
        <v>-3.5165005449379283E-2</v>
      </c>
      <c r="AG1387" s="1113">
        <f t="shared" si="5031"/>
        <v>-7.1498457160620532E-2</v>
      </c>
      <c r="AH1387" s="1113">
        <f t="shared" si="5031"/>
        <v>-6.3633964925670639E-2</v>
      </c>
      <c r="AI1387" s="1113">
        <f t="shared" si="5031"/>
        <v>-4.9777555613149893E-2</v>
      </c>
      <c r="AJ1387" s="1113">
        <f t="shared" si="5031"/>
        <v>-2.6712977670334537E-2</v>
      </c>
      <c r="AK1387" s="1113">
        <f t="shared" si="5031"/>
        <v>-2.2399984832826014E-3</v>
      </c>
      <c r="AL1387" s="1113">
        <f t="shared" si="5031"/>
        <v>3.2174173843608767E-3</v>
      </c>
      <c r="AM1387" s="1113">
        <f t="shared" si="5031"/>
        <v>-1.8262965053445934E-2</v>
      </c>
      <c r="AN1387" s="1113">
        <f t="shared" ref="AN1387:AQ1387" si="5032">+AN1413</f>
        <v>-1.6808567505955607E-2</v>
      </c>
      <c r="AO1387" s="1113">
        <f t="shared" si="5032"/>
        <v>-2.7774091878252305E-2</v>
      </c>
      <c r="AP1387" s="1113">
        <f t="shared" si="5032"/>
        <v>-6.3044636636417906E-2</v>
      </c>
      <c r="AQ1387" s="1113">
        <f t="shared" si="5032"/>
        <v>-4.9045587069063812E-2</v>
      </c>
    </row>
    <row r="1388" spans="2:43">
      <c r="B1388" s="1181" t="s">
        <v>683</v>
      </c>
      <c r="C1388" s="872"/>
      <c r="D1388" s="228"/>
      <c r="E1388" s="228"/>
      <c r="F1388" s="228"/>
      <c r="G1388" s="228"/>
      <c r="H1388" s="228">
        <f>SUMPRODUCT(H1382:H1387,H1374:H1379)</f>
        <v>-1.2155444121889665E-2</v>
      </c>
      <c r="I1388" s="228">
        <f t="shared" ref="I1388:AM1388" si="5033">SUMPRODUCT(I1382:I1387,I1374:I1379)</f>
        <v>-2.096988745108818E-2</v>
      </c>
      <c r="J1388" s="228">
        <f t="shared" si="5033"/>
        <v>-1.9029595748667305E-2</v>
      </c>
      <c r="K1388" s="228">
        <f t="shared" si="5033"/>
        <v>-1.9330345654379973E-2</v>
      </c>
      <c r="L1388" s="228">
        <f t="shared" si="5033"/>
        <v>6.5622105013870245E-3</v>
      </c>
      <c r="M1388" s="228">
        <f t="shared" si="5033"/>
        <v>2.220898652210912E-2</v>
      </c>
      <c r="N1388" s="228">
        <f t="shared" si="5033"/>
        <v>4.004228448626098E-2</v>
      </c>
      <c r="O1388" s="228">
        <f t="shared" si="5033"/>
        <v>2.1150604941949334E-2</v>
      </c>
      <c r="P1388" s="228">
        <f t="shared" si="5033"/>
        <v>-5.5019958360794062E-3</v>
      </c>
      <c r="Q1388" s="228">
        <f t="shared" si="5033"/>
        <v>-1.124644819242844E-2</v>
      </c>
      <c r="R1388" s="228">
        <f t="shared" si="5033"/>
        <v>-2.3024641158196423E-2</v>
      </c>
      <c r="S1388" s="228">
        <f t="shared" si="5033"/>
        <v>-1.8117238577476675E-2</v>
      </c>
      <c r="T1388" s="228">
        <f t="shared" si="5033"/>
        <v>-1.3709110270239768E-2</v>
      </c>
      <c r="U1388" s="228">
        <f t="shared" si="5033"/>
        <v>-3.9923078315790882E-3</v>
      </c>
      <c r="V1388" s="228">
        <f t="shared" si="5033"/>
        <v>-7.9915919035503172E-3</v>
      </c>
      <c r="W1388" s="228">
        <f t="shared" si="5033"/>
        <v>-9.3625209933939964E-3</v>
      </c>
      <c r="X1388" s="228">
        <f t="shared" si="5033"/>
        <v>1.4228675832132899E-2</v>
      </c>
      <c r="Y1388" s="228">
        <f t="shared" si="5033"/>
        <v>1.7148495148773941E-2</v>
      </c>
      <c r="Z1388" s="228">
        <f t="shared" si="5033"/>
        <v>2.9719116164609469E-2</v>
      </c>
      <c r="AA1388" s="228">
        <f t="shared" si="5033"/>
        <v>3.7135705160834566E-2</v>
      </c>
      <c r="AB1388" s="228">
        <f t="shared" si="5033"/>
        <v>9.6005248338626656E-3</v>
      </c>
      <c r="AC1388" s="228">
        <f t="shared" si="5033"/>
        <v>-6.3524348841903795E-3</v>
      </c>
      <c r="AD1388" s="228">
        <f t="shared" si="5033"/>
        <v>-1.8273423811778409E-2</v>
      </c>
      <c r="AE1388" s="228">
        <f t="shared" si="5033"/>
        <v>-3.7879220428515215E-2</v>
      </c>
      <c r="AF1388" s="228">
        <f t="shared" si="5033"/>
        <v>-5.0117663004187803E-2</v>
      </c>
      <c r="AG1388" s="228">
        <f t="shared" si="5033"/>
        <v>-4.3230649828058805E-2</v>
      </c>
      <c r="AH1388" s="228">
        <f t="shared" si="5033"/>
        <v>-2.560673778092783E-2</v>
      </c>
      <c r="AI1388" s="228">
        <f t="shared" si="5033"/>
        <v>-2.2385836994690813E-3</v>
      </c>
      <c r="AJ1388" s="228">
        <f t="shared" si="5033"/>
        <v>1.5619430371039465E-2</v>
      </c>
      <c r="AK1388" s="228">
        <f t="shared" si="5033"/>
        <v>1.0835946874013113E-2</v>
      </c>
      <c r="AL1388" s="228">
        <f t="shared" si="5033"/>
        <v>-9.6498852416448521E-4</v>
      </c>
      <c r="AM1388" s="228">
        <f t="shared" si="5033"/>
        <v>-8.6993411819320885E-3</v>
      </c>
      <c r="AN1388" s="228">
        <f t="shared" ref="AN1388:AQ1388" si="5034">SUMPRODUCT(AN1382:AN1387,AN1374:AN1379)</f>
        <v>2.0317328107114282E-3</v>
      </c>
      <c r="AO1388" s="228">
        <f t="shared" si="5034"/>
        <v>-1.2860613475798579E-3</v>
      </c>
      <c r="AP1388" s="228">
        <f t="shared" si="5034"/>
        <v>-1.4253738961873642E-2</v>
      </c>
      <c r="AQ1388" s="228">
        <f t="shared" si="5034"/>
        <v>-9.013784681727895E-3</v>
      </c>
    </row>
    <row r="1389" spans="2:43">
      <c r="B1389" s="1176"/>
      <c r="C1389" s="1162"/>
      <c r="D1389" s="842"/>
      <c r="E1389" s="842"/>
      <c r="F1389" s="842"/>
      <c r="G1389" s="842"/>
      <c r="H1389" s="842"/>
      <c r="I1389" s="842"/>
      <c r="J1389" s="842"/>
      <c r="K1389" s="842"/>
      <c r="L1389" s="842"/>
      <c r="M1389" s="842"/>
      <c r="N1389" s="842"/>
      <c r="O1389" s="842"/>
      <c r="P1389" s="842"/>
      <c r="Q1389" s="842"/>
      <c r="R1389" s="842"/>
      <c r="S1389" s="842"/>
      <c r="T1389" s="842"/>
      <c r="U1389" s="842"/>
      <c r="V1389" s="842"/>
      <c r="W1389" s="842"/>
      <c r="X1389" s="842"/>
      <c r="Y1389" s="842"/>
      <c r="Z1389" s="842"/>
      <c r="AA1389" s="842"/>
      <c r="AB1389" s="842"/>
      <c r="AC1389" s="842"/>
      <c r="AD1389" s="842"/>
      <c r="AE1389" s="842"/>
      <c r="AF1389" s="842"/>
      <c r="AG1389" s="842"/>
      <c r="AH1389" s="842"/>
      <c r="AI1389" s="842"/>
      <c r="AJ1389" s="842"/>
      <c r="AK1389" s="842"/>
      <c r="AL1389" s="842"/>
      <c r="AM1389" s="842"/>
      <c r="AN1389" s="842"/>
      <c r="AO1389" s="842"/>
      <c r="AP1389" s="842"/>
      <c r="AQ1389" s="842"/>
    </row>
    <row r="1390" spans="2:43">
      <c r="B1390" s="1182" t="s">
        <v>684</v>
      </c>
      <c r="C1390" s="1162"/>
      <c r="D1390" s="842"/>
      <c r="E1390" s="842"/>
      <c r="F1390" s="842"/>
      <c r="G1390" s="842"/>
      <c r="H1390" s="842"/>
      <c r="I1390" s="842"/>
      <c r="J1390" s="842"/>
      <c r="K1390" s="842"/>
      <c r="L1390" s="842"/>
      <c r="M1390" s="842"/>
      <c r="N1390" s="842"/>
      <c r="O1390" s="842"/>
      <c r="P1390" s="842"/>
      <c r="Q1390" s="842"/>
      <c r="R1390" s="842"/>
      <c r="S1390" s="842"/>
      <c r="T1390" s="842"/>
      <c r="U1390" s="842"/>
      <c r="V1390" s="842"/>
      <c r="W1390" s="842"/>
      <c r="X1390" s="842"/>
      <c r="Y1390" s="842"/>
      <c r="Z1390" s="842"/>
      <c r="AA1390" s="842"/>
      <c r="AB1390" s="842"/>
      <c r="AC1390" s="842"/>
      <c r="AD1390" s="842"/>
      <c r="AE1390" s="842"/>
      <c r="AF1390" s="842"/>
      <c r="AG1390" s="842"/>
      <c r="AH1390" s="842"/>
      <c r="AI1390" s="842"/>
      <c r="AJ1390" s="842"/>
      <c r="AK1390" s="842"/>
      <c r="AL1390" s="842"/>
      <c r="AM1390" s="842"/>
      <c r="AN1390" s="842"/>
      <c r="AO1390" s="842"/>
      <c r="AP1390" s="842"/>
      <c r="AQ1390" s="842"/>
    </row>
    <row r="1391" spans="2:43">
      <c r="B1391" s="1183" t="s">
        <v>685</v>
      </c>
      <c r="C1391" s="872"/>
      <c r="D1391" s="1184">
        <f t="shared" ref="D1391:AQ1391" si="5035">+D12</f>
        <v>20910</v>
      </c>
      <c r="E1391" s="1184">
        <f t="shared" si="5035"/>
        <v>25253</v>
      </c>
      <c r="F1391" s="1184">
        <f t="shared" si="5035"/>
        <v>21517</v>
      </c>
      <c r="G1391" s="1184">
        <f t="shared" si="5035"/>
        <v>23474</v>
      </c>
      <c r="H1391" s="1184">
        <f t="shared" si="5035"/>
        <v>21928</v>
      </c>
      <c r="I1391" s="1184">
        <f t="shared" si="5035"/>
        <v>25826</v>
      </c>
      <c r="J1391" s="1184">
        <f t="shared" si="5035"/>
        <v>23212</v>
      </c>
      <c r="K1391" s="1184">
        <f t="shared" si="5035"/>
        <v>25605</v>
      </c>
      <c r="L1391" s="1184">
        <f t="shared" si="5035"/>
        <v>24538</v>
      </c>
      <c r="M1391" s="1184">
        <f t="shared" si="5035"/>
        <v>28918</v>
      </c>
      <c r="N1391" s="1184">
        <f t="shared" si="5035"/>
        <v>26819</v>
      </c>
      <c r="O1391" s="1184">
        <f t="shared" si="5035"/>
        <v>30085</v>
      </c>
      <c r="P1391" s="1184">
        <f t="shared" si="5035"/>
        <v>29084</v>
      </c>
      <c r="Q1391" s="1184">
        <f t="shared" si="5035"/>
        <v>32471</v>
      </c>
      <c r="R1391" s="1184">
        <f t="shared" si="5035"/>
        <v>30571</v>
      </c>
      <c r="S1391" s="1184">
        <f t="shared" si="5035"/>
        <v>33717</v>
      </c>
      <c r="T1391" s="1184">
        <f t="shared" si="5035"/>
        <v>33055</v>
      </c>
      <c r="U1391" s="1184">
        <f t="shared" si="5035"/>
        <v>36906</v>
      </c>
      <c r="V1391" s="1184">
        <f t="shared" si="5035"/>
        <v>35021</v>
      </c>
      <c r="W1391" s="1184">
        <f t="shared" si="5035"/>
        <v>38033</v>
      </c>
      <c r="X1391" s="1184">
        <f t="shared" si="5035"/>
        <v>37154</v>
      </c>
      <c r="Y1391" s="1184">
        <f t="shared" si="5035"/>
        <v>43076</v>
      </c>
      <c r="Z1391" s="1184">
        <f t="shared" si="5035"/>
        <v>41706</v>
      </c>
      <c r="AA1391" s="1184">
        <f t="shared" si="5035"/>
        <v>46152</v>
      </c>
      <c r="AB1391" s="1184">
        <f t="shared" si="5035"/>
        <v>45317</v>
      </c>
      <c r="AC1391" s="1184">
        <f t="shared" si="5035"/>
        <v>51728</v>
      </c>
      <c r="AD1391" s="1184">
        <f t="shared" si="5035"/>
        <v>49360</v>
      </c>
      <c r="AE1391" s="1184">
        <f t="shared" si="5035"/>
        <v>51865</v>
      </c>
      <c r="AF1391" s="1184">
        <f t="shared" si="5035"/>
        <v>50122</v>
      </c>
      <c r="AG1391" s="1184">
        <f t="shared" si="5035"/>
        <v>52747</v>
      </c>
      <c r="AH1391" s="1184">
        <f t="shared" si="5035"/>
        <v>52857</v>
      </c>
      <c r="AI1391" s="1184">
        <f t="shared" si="5035"/>
        <v>56189</v>
      </c>
      <c r="AJ1391" s="1184">
        <f t="shared" si="5035"/>
        <v>56517</v>
      </c>
      <c r="AK1391" s="1184">
        <f t="shared" si="5035"/>
        <v>62020</v>
      </c>
      <c r="AL1391" s="1184">
        <f t="shared" si="5035"/>
        <v>61858</v>
      </c>
      <c r="AM1391" s="1184">
        <f t="shared" si="5035"/>
        <v>64727</v>
      </c>
      <c r="AN1391" s="1184">
        <f t="shared" si="5035"/>
        <v>65585</v>
      </c>
      <c r="AO1391" s="1184">
        <f t="shared" si="5035"/>
        <v>68949.202353999994</v>
      </c>
      <c r="AP1391" s="1184">
        <f t="shared" si="5035"/>
        <v>69681.275946197435</v>
      </c>
      <c r="AQ1391" s="1184">
        <f t="shared" si="5035"/>
        <v>73728.672347064057</v>
      </c>
    </row>
    <row r="1392" spans="2:43" ht="11.45">
      <c r="B1392" s="1183" t="s">
        <v>686</v>
      </c>
      <c r="C1392" s="1159"/>
      <c r="D1392" s="840"/>
      <c r="E1392" s="840"/>
      <c r="F1392" s="840"/>
      <c r="G1392" s="840"/>
      <c r="H1392" s="840">
        <f t="shared" ref="H1392:K1392" si="5036">+H1388</f>
        <v>-1.2155444121889665E-2</v>
      </c>
      <c r="I1392" s="840">
        <f t="shared" si="5036"/>
        <v>-2.096988745108818E-2</v>
      </c>
      <c r="J1392" s="840">
        <f t="shared" si="5036"/>
        <v>-1.9029595748667305E-2</v>
      </c>
      <c r="K1392" s="840">
        <f t="shared" si="5036"/>
        <v>-1.9330345654379973E-2</v>
      </c>
      <c r="L1392" s="840">
        <f t="shared" ref="L1392:AM1392" si="5037">+L1388</f>
        <v>6.5622105013870245E-3</v>
      </c>
      <c r="M1392" s="840">
        <f t="shared" si="5037"/>
        <v>2.220898652210912E-2</v>
      </c>
      <c r="N1392" s="840">
        <f t="shared" si="5037"/>
        <v>4.004228448626098E-2</v>
      </c>
      <c r="O1392" s="840">
        <f t="shared" si="5037"/>
        <v>2.1150604941949334E-2</v>
      </c>
      <c r="P1392" s="840">
        <f t="shared" si="5037"/>
        <v>-5.5019958360794062E-3</v>
      </c>
      <c r="Q1392" s="840">
        <f t="shared" si="5037"/>
        <v>-1.124644819242844E-2</v>
      </c>
      <c r="R1392" s="840">
        <f t="shared" si="5037"/>
        <v>-2.3024641158196423E-2</v>
      </c>
      <c r="S1392" s="840">
        <f t="shared" si="5037"/>
        <v>-1.8117238577476675E-2</v>
      </c>
      <c r="T1392" s="840">
        <f t="shared" si="5037"/>
        <v>-1.3709110270239768E-2</v>
      </c>
      <c r="U1392" s="840">
        <f t="shared" si="5037"/>
        <v>-3.9923078315790882E-3</v>
      </c>
      <c r="V1392" s="840">
        <f t="shared" si="5037"/>
        <v>-7.9915919035503172E-3</v>
      </c>
      <c r="W1392" s="840">
        <f t="shared" si="5037"/>
        <v>-9.3625209933939964E-3</v>
      </c>
      <c r="X1392" s="840">
        <f t="shared" si="5037"/>
        <v>1.4228675832132899E-2</v>
      </c>
      <c r="Y1392" s="840">
        <f t="shared" si="5037"/>
        <v>1.7148495148773941E-2</v>
      </c>
      <c r="Z1392" s="840">
        <f t="shared" si="5037"/>
        <v>2.9719116164609469E-2</v>
      </c>
      <c r="AA1392" s="840">
        <f t="shared" si="5037"/>
        <v>3.7135705160834566E-2</v>
      </c>
      <c r="AB1392" s="840">
        <f t="shared" si="5037"/>
        <v>9.6005248338626656E-3</v>
      </c>
      <c r="AC1392" s="840">
        <f t="shared" si="5037"/>
        <v>-6.3524348841903795E-3</v>
      </c>
      <c r="AD1392" s="840">
        <f t="shared" si="5037"/>
        <v>-1.8273423811778409E-2</v>
      </c>
      <c r="AE1392" s="840">
        <f t="shared" si="5037"/>
        <v>-3.7879220428515215E-2</v>
      </c>
      <c r="AF1392" s="840">
        <f t="shared" si="5037"/>
        <v>-5.0117663004187803E-2</v>
      </c>
      <c r="AG1392" s="840">
        <f t="shared" si="5037"/>
        <v>-4.3230649828058805E-2</v>
      </c>
      <c r="AH1392" s="840">
        <f t="shared" si="5037"/>
        <v>-2.560673778092783E-2</v>
      </c>
      <c r="AI1392" s="840">
        <f t="shared" si="5037"/>
        <v>-2.2385836994690813E-3</v>
      </c>
      <c r="AJ1392" s="840">
        <f t="shared" si="5037"/>
        <v>1.5619430371039465E-2</v>
      </c>
      <c r="AK1392" s="840">
        <f t="shared" si="5037"/>
        <v>1.0835946874013113E-2</v>
      </c>
      <c r="AL1392" s="840">
        <f t="shared" si="5037"/>
        <v>-9.6498852416448521E-4</v>
      </c>
      <c r="AM1392" s="840">
        <f t="shared" si="5037"/>
        <v>-8.6993411819320885E-3</v>
      </c>
      <c r="AN1392" s="840">
        <f t="shared" ref="AN1392:AQ1392" si="5038">+AN1388</f>
        <v>2.0317328107114282E-3</v>
      </c>
      <c r="AO1392" s="840">
        <f t="shared" si="5038"/>
        <v>-1.2860613475798579E-3</v>
      </c>
      <c r="AP1392" s="840">
        <f t="shared" si="5038"/>
        <v>-1.4253738961873642E-2</v>
      </c>
      <c r="AQ1392" s="840">
        <f t="shared" si="5038"/>
        <v>-9.013784681727895E-3</v>
      </c>
    </row>
    <row r="1393" spans="2:70">
      <c r="B1393" s="1185" t="s">
        <v>687</v>
      </c>
      <c r="C1393" s="1184"/>
      <c r="D1393" s="1184"/>
      <c r="E1393" s="1184"/>
      <c r="F1393" s="1184"/>
      <c r="G1393" s="1184"/>
      <c r="H1393" s="1184">
        <f t="shared" ref="H1393:K1393" si="5039">+H1391*(1-H1392)</f>
        <v>22194.544578704797</v>
      </c>
      <c r="I1393" s="1184">
        <f t="shared" si="5039"/>
        <v>26367.568313311804</v>
      </c>
      <c r="J1393" s="1184">
        <f t="shared" si="5039"/>
        <v>23653.714976518066</v>
      </c>
      <c r="K1393" s="1184">
        <f t="shared" si="5039"/>
        <v>26099.953500480402</v>
      </c>
      <c r="L1393" s="1184">
        <f t="shared" ref="L1393:AM1393" si="5040">+L1391*(1-L1392)</f>
        <v>24376.976478716966</v>
      </c>
      <c r="M1393" s="1184">
        <f t="shared" si="5040"/>
        <v>28275.76052775365</v>
      </c>
      <c r="N1393" s="1184">
        <f t="shared" si="5040"/>
        <v>25745.105972362966</v>
      </c>
      <c r="O1393" s="1184">
        <f t="shared" si="5040"/>
        <v>29448.684050321455</v>
      </c>
      <c r="P1393" s="1184">
        <f t="shared" si="5040"/>
        <v>29244.02004689653</v>
      </c>
      <c r="Q1393" s="1184">
        <f t="shared" si="5040"/>
        <v>32836.18341925634</v>
      </c>
      <c r="R1393" s="1184">
        <f t="shared" si="5040"/>
        <v>31274.886304847223</v>
      </c>
      <c r="S1393" s="1184">
        <f t="shared" si="5040"/>
        <v>34327.858933116775</v>
      </c>
      <c r="T1393" s="1184">
        <f t="shared" si="5040"/>
        <v>33508.154639982778</v>
      </c>
      <c r="U1393" s="1184">
        <f t="shared" si="5040"/>
        <v>37053.340112832258</v>
      </c>
      <c r="V1393" s="1184">
        <f t="shared" si="5040"/>
        <v>35300.873540054235</v>
      </c>
      <c r="W1393" s="1184">
        <f t="shared" si="5040"/>
        <v>38389.084760941754</v>
      </c>
      <c r="X1393" s="1184">
        <f t="shared" si="5040"/>
        <v>36625.347778132935</v>
      </c>
      <c r="Y1393" s="1184">
        <f t="shared" si="5040"/>
        <v>42337.311422971412</v>
      </c>
      <c r="Z1393" s="1184">
        <f t="shared" si="5040"/>
        <v>40466.534541238798</v>
      </c>
      <c r="AA1393" s="1184">
        <f t="shared" si="5040"/>
        <v>44438.112935417164</v>
      </c>
      <c r="AB1393" s="1184">
        <f t="shared" si="5040"/>
        <v>44881.933016103845</v>
      </c>
      <c r="AC1393" s="1184">
        <f t="shared" si="5040"/>
        <v>52056.598751689402</v>
      </c>
      <c r="AD1393" s="1184">
        <f t="shared" si="5040"/>
        <v>50261.976199349381</v>
      </c>
      <c r="AE1393" s="1184">
        <f t="shared" si="5040"/>
        <v>53829.605767524939</v>
      </c>
      <c r="AF1393" s="1184">
        <f t="shared" si="5040"/>
        <v>52633.997505095896</v>
      </c>
      <c r="AG1393" s="1184">
        <f t="shared" si="5040"/>
        <v>55027.287086480617</v>
      </c>
      <c r="AH1393" s="1184">
        <f t="shared" si="5040"/>
        <v>54210.495338886511</v>
      </c>
      <c r="AI1393" s="1184">
        <f t="shared" si="5040"/>
        <v>56314.783779489473</v>
      </c>
      <c r="AJ1393" s="1184">
        <f t="shared" si="5040"/>
        <v>55634.236653719963</v>
      </c>
      <c r="AK1393" s="1184">
        <f t="shared" si="5040"/>
        <v>61347.954574873707</v>
      </c>
      <c r="AL1393" s="1184">
        <f t="shared" si="5040"/>
        <v>61917.692260127769</v>
      </c>
      <c r="AM1393" s="1184">
        <f t="shared" si="5040"/>
        <v>65290.082256682916</v>
      </c>
      <c r="AN1393" s="1184">
        <f t="shared" ref="AN1393:AQ1393" si="5041">+AN1391*(1-AN1392)</f>
        <v>65451.748803609487</v>
      </c>
      <c r="AO1393" s="1184">
        <f t="shared" si="5041"/>
        <v>69037.875258093933</v>
      </c>
      <c r="AP1393" s="1184">
        <f t="shared" si="5041"/>
        <v>70674.494664064812</v>
      </c>
      <c r="AQ1393" s="1184">
        <f t="shared" si="5041"/>
        <v>74393.246724470169</v>
      </c>
    </row>
    <row r="1394" spans="2:70">
      <c r="B1394" s="1186" t="s">
        <v>684</v>
      </c>
      <c r="C1394" s="1187"/>
      <c r="D1394" s="1187"/>
      <c r="E1394" s="1187"/>
      <c r="F1394" s="1187"/>
      <c r="G1394" s="1187"/>
      <c r="H1394" s="842">
        <f t="shared" ref="H1394" si="5042">+H1393/D1391-1</f>
        <v>6.1432069761109487E-2</v>
      </c>
      <c r="I1394" s="842">
        <f t="shared" ref="I1394" si="5043">+I1393/E1391-1</f>
        <v>4.4136075448929057E-2</v>
      </c>
      <c r="J1394" s="842">
        <f t="shared" ref="J1394" si="5044">+J1393/F1391-1</f>
        <v>9.9303572826977105E-2</v>
      </c>
      <c r="K1394" s="842">
        <f t="shared" ref="K1394" si="5045">+K1393/G1391-1</f>
        <v>0.11186646930563193</v>
      </c>
      <c r="L1394" s="842">
        <f t="shared" ref="L1394:AM1394" si="5046">+L1393/H1391-1</f>
        <v>0.11168261942342972</v>
      </c>
      <c r="M1394" s="842">
        <f t="shared" si="5046"/>
        <v>9.4856366752638754E-2</v>
      </c>
      <c r="N1394" s="842">
        <f t="shared" si="5046"/>
        <v>0.10912915614177865</v>
      </c>
      <c r="O1394" s="842">
        <f t="shared" si="5046"/>
        <v>0.1501145889600255</v>
      </c>
      <c r="P1394" s="842">
        <f t="shared" si="5046"/>
        <v>0.19178498846265102</v>
      </c>
      <c r="Q1394" s="842">
        <f t="shared" si="5046"/>
        <v>0.13549289090726679</v>
      </c>
      <c r="R1394" s="842">
        <f t="shared" si="5046"/>
        <v>0.16614662384306733</v>
      </c>
      <c r="S1394" s="842">
        <f t="shared" si="5046"/>
        <v>0.14102904879896205</v>
      </c>
      <c r="T1394" s="842">
        <f t="shared" si="5046"/>
        <v>0.15211644340471664</v>
      </c>
      <c r="U1394" s="842">
        <f t="shared" si="5046"/>
        <v>0.14112100375203274</v>
      </c>
      <c r="V1394" s="842">
        <f t="shared" si="5046"/>
        <v>0.15471765856708108</v>
      </c>
      <c r="W1394" s="842">
        <f t="shared" si="5046"/>
        <v>0.13856762941370082</v>
      </c>
      <c r="X1394" s="842">
        <f t="shared" si="5046"/>
        <v>0.1080123363525316</v>
      </c>
      <c r="Y1394" s="842">
        <f t="shared" si="5046"/>
        <v>0.14716608201840931</v>
      </c>
      <c r="Z1394" s="842">
        <f t="shared" si="5046"/>
        <v>0.15549340513517018</v>
      </c>
      <c r="AA1394" s="842">
        <f t="shared" si="5046"/>
        <v>0.16840935333571272</v>
      </c>
      <c r="AB1394" s="842">
        <f t="shared" si="5046"/>
        <v>0.20799733584819524</v>
      </c>
      <c r="AC1394" s="842">
        <f t="shared" si="5046"/>
        <v>0.20848265279249234</v>
      </c>
      <c r="AD1394" s="842">
        <f t="shared" si="5046"/>
        <v>0.20514976740395574</v>
      </c>
      <c r="AE1394" s="842">
        <f t="shared" si="5046"/>
        <v>0.1663547791542066</v>
      </c>
      <c r="AF1394" s="842">
        <f t="shared" si="5046"/>
        <v>0.16146253073009897</v>
      </c>
      <c r="AG1394" s="842">
        <f t="shared" si="5046"/>
        <v>6.3781454656677505E-2</v>
      </c>
      <c r="AH1394" s="842">
        <f t="shared" si="5046"/>
        <v>9.8267733769985988E-2</v>
      </c>
      <c r="AI1394" s="842">
        <f>+AI1393/AE1391-1</f>
        <v>8.5795503316098864E-2</v>
      </c>
      <c r="AJ1394" s="842">
        <f t="shared" si="5046"/>
        <v>0.10997639068113729</v>
      </c>
      <c r="AK1394" s="842">
        <f t="shared" si="5046"/>
        <v>0.16306054514709278</v>
      </c>
      <c r="AL1394" s="842">
        <f t="shared" si="5046"/>
        <v>0.17141896551313485</v>
      </c>
      <c r="AM1394" s="842">
        <f t="shared" si="5046"/>
        <v>0.1619726682568281</v>
      </c>
      <c r="AN1394" s="842">
        <f t="shared" ref="AN1394" si="5047">+AN1393/AJ1391-1</f>
        <v>0.15808958019019914</v>
      </c>
      <c r="AO1394" s="842">
        <f t="shared" ref="AO1394" si="5048">+AO1393/AK1391-1</f>
        <v>0.11315503479674183</v>
      </c>
      <c r="AP1394" s="842">
        <f t="shared" ref="AP1394" si="5049">+AP1393/AL1391-1</f>
        <v>0.14252796184915151</v>
      </c>
      <c r="AQ1394" s="842">
        <f t="shared" ref="AQ1394" si="5050">+AQ1393/AM1391-1</f>
        <v>0.14933871065351667</v>
      </c>
    </row>
    <row r="1395" spans="2:70">
      <c r="B1395" s="1186"/>
      <c r="C1395" s="1187"/>
      <c r="D1395" s="1187"/>
      <c r="E1395" s="1187"/>
      <c r="F1395" s="1187"/>
      <c r="G1395" s="1187"/>
      <c r="H1395" s="842"/>
      <c r="I1395" s="842"/>
      <c r="J1395" s="842"/>
      <c r="K1395" s="842"/>
      <c r="L1395" s="842"/>
      <c r="M1395" s="842"/>
      <c r="N1395" s="842"/>
      <c r="O1395" s="842"/>
      <c r="P1395" s="842"/>
      <c r="Q1395" s="842"/>
      <c r="R1395" s="842"/>
      <c r="S1395" s="842"/>
      <c r="T1395" s="842"/>
      <c r="U1395" s="842"/>
      <c r="V1395" s="842"/>
      <c r="W1395" s="842"/>
      <c r="X1395" s="842"/>
      <c r="Y1395" s="842"/>
      <c r="Z1395" s="842"/>
      <c r="AA1395" s="842"/>
      <c r="AB1395" s="842"/>
      <c r="AC1395" s="842"/>
      <c r="AD1395" s="842"/>
      <c r="AE1395" s="842"/>
      <c r="AF1395" s="842"/>
      <c r="AG1395" s="842"/>
      <c r="AH1395" s="842"/>
      <c r="AI1395" s="842"/>
      <c r="AJ1395" s="842"/>
      <c r="AK1395" s="842"/>
      <c r="AL1395" s="842"/>
      <c r="AM1395" s="842"/>
      <c r="AN1395" s="842"/>
      <c r="AO1395" s="842"/>
      <c r="AP1395" s="842"/>
      <c r="AQ1395" s="842"/>
    </row>
    <row r="1396" spans="2:70">
      <c r="B1396" s="1185"/>
      <c r="C1396" s="1184"/>
      <c r="D1396" s="1184"/>
      <c r="E1396" s="1184"/>
      <c r="F1396" s="1184"/>
      <c r="G1396" s="1184"/>
      <c r="H1396" s="1184"/>
      <c r="I1396" s="1184"/>
      <c r="J1396" s="1184"/>
      <c r="K1396" s="1184"/>
      <c r="L1396" s="1184"/>
      <c r="M1396" s="1184"/>
      <c r="N1396" s="1184"/>
      <c r="O1396" s="1184"/>
      <c r="P1396" s="1184"/>
      <c r="Q1396" s="1184"/>
      <c r="R1396" s="1184"/>
      <c r="S1396" s="1184"/>
      <c r="T1396" s="1184"/>
      <c r="U1396" s="1184"/>
      <c r="V1396" s="1184"/>
      <c r="W1396" s="1184"/>
      <c r="X1396" s="1184"/>
      <c r="Y1396" s="1184"/>
      <c r="Z1396" s="1184"/>
      <c r="AA1396" s="1184"/>
      <c r="AB1396" s="1184"/>
      <c r="AC1396" s="1184"/>
      <c r="AD1396" s="1184"/>
      <c r="AE1396" s="1184"/>
      <c r="AF1396" s="1184"/>
      <c r="AG1396" s="1184"/>
      <c r="AH1396" s="1184"/>
      <c r="AI1396" s="1184"/>
      <c r="AJ1396" s="1184"/>
      <c r="AK1396" s="1184"/>
      <c r="AL1396" s="1184"/>
      <c r="AM1396" s="1184"/>
      <c r="AN1396" s="1184"/>
      <c r="AO1396" s="1184" t="s">
        <v>688</v>
      </c>
      <c r="AP1396" s="1184" t="s">
        <v>689</v>
      </c>
      <c r="AQ1396" s="1184"/>
    </row>
    <row r="1397" spans="2:70">
      <c r="B1397" s="100" t="s">
        <v>690</v>
      </c>
      <c r="C1397" s="100"/>
      <c r="D1397" s="1188">
        <f>+D1398-91</f>
        <v>42186</v>
      </c>
      <c r="E1397" s="1188">
        <f>+E1398-91</f>
        <v>42278</v>
      </c>
      <c r="F1397" s="1188">
        <f>+F1398-90</f>
        <v>42370</v>
      </c>
      <c r="G1397" s="1188">
        <f>+G1398-90</f>
        <v>42461</v>
      </c>
      <c r="H1397" s="1188">
        <f>+H1398-91</f>
        <v>42552</v>
      </c>
      <c r="I1397" s="1188">
        <f t="shared" ref="I1397:V1397" si="5051">+I1398-90</f>
        <v>42644</v>
      </c>
      <c r="J1397" s="1188">
        <f>+J1398-90</f>
        <v>42735</v>
      </c>
      <c r="K1397" s="1188">
        <f>+K1398-90</f>
        <v>42826</v>
      </c>
      <c r="L1397" s="1188">
        <f>+L1398-91</f>
        <v>42917</v>
      </c>
      <c r="M1397" s="1188">
        <f>+M1398-91</f>
        <v>43009</v>
      </c>
      <c r="N1397" s="1188">
        <f>+N1398-89</f>
        <v>43101</v>
      </c>
      <c r="O1397" s="1188">
        <f>+O1398-90</f>
        <v>43191</v>
      </c>
      <c r="P1397" s="1188">
        <f>+P1398-91</f>
        <v>43282</v>
      </c>
      <c r="Q1397" s="1188">
        <f>+Q1398-91</f>
        <v>43374</v>
      </c>
      <c r="R1397" s="1188">
        <f>+R1398-89</f>
        <v>43466</v>
      </c>
      <c r="S1397" s="1188">
        <f>+S1398-90</f>
        <v>43556</v>
      </c>
      <c r="T1397" s="1188">
        <f>+T1398-91</f>
        <v>43647</v>
      </c>
      <c r="U1397" s="1188">
        <f t="shared" si="5051"/>
        <v>43739</v>
      </c>
      <c r="V1397" s="1188">
        <f t="shared" si="5051"/>
        <v>43830</v>
      </c>
      <c r="W1397" s="1188">
        <f>+W1398-91</f>
        <v>43921</v>
      </c>
      <c r="X1397" s="1188">
        <f>+X1398-91</f>
        <v>44013</v>
      </c>
      <c r="Y1397" s="1188">
        <f>+Y1398-91</f>
        <v>44105</v>
      </c>
      <c r="Z1397" s="1188">
        <f>+Z1398-89</f>
        <v>44197</v>
      </c>
      <c r="AA1397" s="1188">
        <f>+AA1398-90</f>
        <v>44287</v>
      </c>
      <c r="AB1397" s="1188">
        <f>+AB1398-91</f>
        <v>44378</v>
      </c>
      <c r="AC1397" s="1188">
        <f>+AC1398-91</f>
        <v>44470</v>
      </c>
      <c r="AD1397" s="1188">
        <f>+AD1398-89</f>
        <v>44562</v>
      </c>
      <c r="AE1397" s="1188">
        <f>+AE1398-90</f>
        <v>44652</v>
      </c>
      <c r="AF1397" s="1188">
        <f>+AF1398-92</f>
        <v>44743</v>
      </c>
      <c r="AG1397" s="1188">
        <f>+AG1398-90</f>
        <v>44836</v>
      </c>
      <c r="AH1397" s="1188">
        <v>44927</v>
      </c>
      <c r="AI1397" s="1188">
        <f t="shared" ref="AI1397:AN1397" si="5052">+AH1398+1</f>
        <v>45017</v>
      </c>
      <c r="AJ1397" s="1188">
        <f t="shared" si="5052"/>
        <v>45108</v>
      </c>
      <c r="AK1397" s="1188">
        <f t="shared" si="5052"/>
        <v>45200</v>
      </c>
      <c r="AL1397" s="1188">
        <f t="shared" si="5052"/>
        <v>45292</v>
      </c>
      <c r="AM1397" s="1188">
        <f t="shared" si="5052"/>
        <v>45383</v>
      </c>
      <c r="AN1397" s="1188">
        <f t="shared" si="5052"/>
        <v>45474</v>
      </c>
      <c r="AO1397" s="1608">
        <f>+AN1398+1</f>
        <v>45566</v>
      </c>
      <c r="AP1397" s="1608">
        <f>+AO1398-1</f>
        <v>45656</v>
      </c>
      <c r="AQ1397" s="1188"/>
    </row>
    <row r="1398" spans="2:70">
      <c r="B1398" s="100" t="s">
        <v>691</v>
      </c>
      <c r="C1398" s="100"/>
      <c r="D1398" s="1188">
        <f t="shared" ref="D1398:X1398" si="5053">+E1397-1</f>
        <v>42277</v>
      </c>
      <c r="E1398" s="1188">
        <f t="shared" si="5053"/>
        <v>42369</v>
      </c>
      <c r="F1398" s="1188">
        <f t="shared" si="5053"/>
        <v>42460</v>
      </c>
      <c r="G1398" s="1188">
        <f t="shared" si="5053"/>
        <v>42551</v>
      </c>
      <c r="H1398" s="1188">
        <f t="shared" si="5053"/>
        <v>42643</v>
      </c>
      <c r="I1398" s="1188">
        <f t="shared" si="5053"/>
        <v>42734</v>
      </c>
      <c r="J1398" s="1188">
        <f t="shared" si="5053"/>
        <v>42825</v>
      </c>
      <c r="K1398" s="1188">
        <f t="shared" si="5053"/>
        <v>42916</v>
      </c>
      <c r="L1398" s="1188">
        <f t="shared" si="5053"/>
        <v>43008</v>
      </c>
      <c r="M1398" s="1188">
        <f t="shared" si="5053"/>
        <v>43100</v>
      </c>
      <c r="N1398" s="1188">
        <f t="shared" si="5053"/>
        <v>43190</v>
      </c>
      <c r="O1398" s="1188">
        <f t="shared" si="5053"/>
        <v>43281</v>
      </c>
      <c r="P1398" s="1188">
        <f t="shared" si="5053"/>
        <v>43373</v>
      </c>
      <c r="Q1398" s="1188">
        <f t="shared" si="5053"/>
        <v>43465</v>
      </c>
      <c r="R1398" s="1188">
        <f t="shared" si="5053"/>
        <v>43555</v>
      </c>
      <c r="S1398" s="1188">
        <f t="shared" si="5053"/>
        <v>43646</v>
      </c>
      <c r="T1398" s="1188">
        <f t="shared" si="5053"/>
        <v>43738</v>
      </c>
      <c r="U1398" s="1188">
        <f t="shared" si="5053"/>
        <v>43829</v>
      </c>
      <c r="V1398" s="1188">
        <f t="shared" si="5053"/>
        <v>43920</v>
      </c>
      <c r="W1398" s="1188">
        <f t="shared" si="5053"/>
        <v>44012</v>
      </c>
      <c r="X1398" s="1188">
        <f t="shared" si="5053"/>
        <v>44104</v>
      </c>
      <c r="Y1398" s="1188">
        <f>+Z1397-1</f>
        <v>44196</v>
      </c>
      <c r="Z1398" s="1188">
        <f>+AA1397-1</f>
        <v>44286</v>
      </c>
      <c r="AA1398" s="1188">
        <f>+AB1397-1</f>
        <v>44377</v>
      </c>
      <c r="AB1398" s="1188">
        <f>+AC1397-1</f>
        <v>44469</v>
      </c>
      <c r="AC1398" s="1188">
        <f t="shared" ref="AC1398:AF1398" si="5054">+AD1397-1</f>
        <v>44561</v>
      </c>
      <c r="AD1398" s="1188">
        <f t="shared" si="5054"/>
        <v>44651</v>
      </c>
      <c r="AE1398" s="1188">
        <f t="shared" si="5054"/>
        <v>44742</v>
      </c>
      <c r="AF1398" s="1188">
        <f t="shared" si="5054"/>
        <v>44835</v>
      </c>
      <c r="AG1398" s="1188">
        <f>+AH1397-1</f>
        <v>44926</v>
      </c>
      <c r="AH1398" s="1188">
        <f>+AH1397+89</f>
        <v>45016</v>
      </c>
      <c r="AI1398" s="1188">
        <f>+AI1397+90</f>
        <v>45107</v>
      </c>
      <c r="AJ1398" s="1188">
        <f>+AJ1397+91</f>
        <v>45199</v>
      </c>
      <c r="AK1398" s="1188">
        <f>+AK1397+91</f>
        <v>45291</v>
      </c>
      <c r="AL1398" s="1188">
        <f>+AL1397+90</f>
        <v>45382</v>
      </c>
      <c r="AM1398" s="1188">
        <f>+AM1397+90</f>
        <v>45473</v>
      </c>
      <c r="AN1398" s="1188">
        <f>+AN1397+91</f>
        <v>45565</v>
      </c>
      <c r="AO1398" s="1608">
        <f>+Base!V1</f>
        <v>45657</v>
      </c>
      <c r="AP1398" s="1608">
        <f>+AO1398</f>
        <v>45657</v>
      </c>
      <c r="AQ1398" s="1188"/>
    </row>
    <row r="1399" spans="2:70">
      <c r="B1399" s="100"/>
      <c r="C1399" s="100"/>
      <c r="D1399" s="100"/>
      <c r="E1399" s="100"/>
      <c r="F1399" s="100"/>
      <c r="G1399" s="100"/>
      <c r="H1399" s="100"/>
      <c r="I1399" s="100"/>
      <c r="J1399" s="1188"/>
      <c r="K1399" s="1188"/>
      <c r="L1399" s="1188"/>
      <c r="M1399" s="1188"/>
      <c r="N1399" s="1188"/>
      <c r="O1399" s="1188"/>
      <c r="P1399" s="1188"/>
      <c r="Q1399" s="1188"/>
      <c r="R1399" s="1188"/>
      <c r="S1399" s="1188"/>
      <c r="T1399" s="1188"/>
      <c r="U1399" s="1188"/>
      <c r="V1399" s="1188"/>
      <c r="W1399" s="1188"/>
      <c r="X1399" s="1188"/>
      <c r="Y1399" s="1188"/>
      <c r="Z1399" s="1188"/>
      <c r="AA1399" s="1188"/>
      <c r="AB1399" s="1188"/>
      <c r="AC1399" s="1188"/>
      <c r="AD1399" s="1188"/>
      <c r="AE1399" s="1188"/>
      <c r="AF1399" s="1188"/>
      <c r="AG1399" s="1188"/>
      <c r="AH1399" s="1188"/>
      <c r="AI1399" s="1188"/>
      <c r="AJ1399" s="1188"/>
      <c r="AK1399" s="1188"/>
      <c r="AL1399" s="1188"/>
      <c r="AM1399" s="100"/>
      <c r="AN1399" s="100"/>
      <c r="AO1399" s="100"/>
      <c r="AP1399" s="100"/>
      <c r="AQ1399" s="100"/>
    </row>
    <row r="1400" spans="2:70">
      <c r="B1400" s="100" t="str">
        <f>+BQ1400&amp;" / "&amp;BR1400&amp;" - avg"</f>
        <v>USD / EUR - avg</v>
      </c>
      <c r="C1400" s="100"/>
      <c r="D1400" s="1189">
        <f>_xll.ciqfunctions.udf.CIQAVG("$"&amp;$BQ1400&amp;$BR1400,"iq_lastsaleprice",D$1397,D$1398)</f>
        <v>1.1124763604130401</v>
      </c>
      <c r="E1400" s="1189">
        <f>_xll.ciqfunctions.udf.CIQAVG("$"&amp;$BQ1400&amp;$BR1400,"iq_lastsaleprice",E$1397,E$1398)</f>
        <v>1.0953195798369599</v>
      </c>
      <c r="F1400" s="1189">
        <f>_xll.ciqfunctions.udf.CIQAVG("$"&amp;$BQ1400&amp;$BR1400,"iq_lastsaleprice",F$1397,F$1398)</f>
        <v>1.10295976340659</v>
      </c>
      <c r="G1400" s="1189">
        <f>_xll.ciqfunctions.udf.CIQAVG("$"&amp;$BQ1400&amp;$BR1400,"iq_lastsaleprice",G$1397,G$1398)</f>
        <v>1.12932634146154</v>
      </c>
      <c r="H1400" s="1189">
        <f>_xll.ciqfunctions.udf.CIQAVG("$"&amp;$BQ1400&amp;$BR1400,"iq_lastsaleprice",H$1397,H$1398)</f>
        <v>1.11601088790217</v>
      </c>
      <c r="I1400" s="1189">
        <f>_xll.ciqfunctions.udf.CIQAVG("$"&amp;$BQ1400&amp;$BR1400,"iq_lastsaleprice",I$1397,I$1398)</f>
        <v>1.0785543047692301</v>
      </c>
      <c r="J1400" s="1189">
        <f>_xll.ciqfunctions.udf.CIQAVG("$"&amp;$BQ1400&amp;$BR1400,"iq_lastsaleprice",J$1397,J$1398)</f>
        <v>1.0654715730439599</v>
      </c>
      <c r="K1400" s="1189">
        <f>_xll.ciqfunctions.udf.CIQAVG("$"&amp;$BQ1400&amp;$BR1400,"iq_lastsaleprice",K$1397,K$1398)</f>
        <v>1.1001437941758201</v>
      </c>
      <c r="L1400" s="1189">
        <f>_xll.ciqfunctions.udf.CIQAVG("$"&amp;$BQ1400&amp;$BR1400,"iq_lastsaleprice",L$1397,L$1398)</f>
        <v>1.1748654394347799</v>
      </c>
      <c r="M1400" s="1189">
        <f>_xll.ciqfunctions.udf.CIQAVG("$"&amp;$BQ1400&amp;$BR1400,"iq_lastsaleprice",M$1397,M$1398)</f>
        <v>1.1780928542173901</v>
      </c>
      <c r="N1400" s="1189">
        <f>_xll.ciqfunctions.udf.CIQAVG("$"&amp;$BQ1400&amp;$BR1400,"iq_lastsaleprice",N$1397,N$1398)</f>
        <v>1.2289207709444401</v>
      </c>
      <c r="O1400" s="1189">
        <f>_xll.ciqfunctions.udf.CIQAVG("$"&amp;$BQ1400&amp;$BR1400,"iq_lastsaleprice",O$1397,O$1398)</f>
        <v>1.1917072185384601</v>
      </c>
      <c r="P1400" s="1189">
        <f>_xll.ciqfunctions.udf.CIQAVG("$"&amp;$BQ1400&amp;$BR1400,"iq_lastsaleprice",P$1397,P$1398)</f>
        <v>1.1627740125978301</v>
      </c>
      <c r="Q1400" s="1189">
        <f>_xll.ciqfunctions.udf.CIQAVG("$"&amp;$BQ1400&amp;$BR1400,"iq_lastsaleprice",Q$1397,Q$1398)</f>
        <v>1.1409833015108699</v>
      </c>
      <c r="R1400" s="1189">
        <f>_xll.ciqfunctions.udf.CIQAVG("$"&amp;$BQ1400&amp;$BR1400,"iq_lastsaleprice",R$1397,R$1398)</f>
        <v>1.1355255660333301</v>
      </c>
      <c r="S1400" s="1189">
        <f>_xll.ciqfunctions.udf.CIQAVG("$"&amp;$BQ1400&amp;$BR1400,"iq_lastsaleprice",S$1397,S$1398)</f>
        <v>1.1238342307692299</v>
      </c>
      <c r="T1400" s="1189">
        <f>_xll.ciqfunctions.udf.CIQAVG("$"&amp;$BQ1400&amp;$BR1400,"iq_lastsaleprice",T$1397,T$1398)</f>
        <v>1.11177191459783</v>
      </c>
      <c r="U1400" s="1189">
        <f>_xll.ciqfunctions.udf.CIQAVG("$"&amp;$BQ1400&amp;$BR1400,"iq_lastsaleprice",U$1397,U$1398)</f>
        <v>1.1071403717912101</v>
      </c>
      <c r="V1400" s="1189">
        <f>_xll.ciqfunctions.udf.CIQAVG("$"&amp;$BQ1400&amp;$BR1400,"iq_lastsaleprice",V$1397,V$1398)</f>
        <v>1.10258227784615</v>
      </c>
      <c r="W1400" s="1189">
        <f>_xll.ciqfunctions.udf.CIQAVG("$"&amp;$BQ1400&amp;$BR1400,"iq_lastsaleprice",W$1397,W$1398)</f>
        <v>1.1012239156630399</v>
      </c>
      <c r="X1400" s="1189">
        <f>_xll.ciqfunctions.udf.CIQAVG("$"&amp;$BQ1400&amp;$BR1400,"iq_lastsaleprice",X$1397,X$1398)</f>
        <v>1.1689309435217401</v>
      </c>
      <c r="Y1400" s="1189">
        <f>_xll.ciqfunctions.udf.CIQAVG("$"&amp;$BQ1400&amp;$BR1400,"iq_lastsaleprice",Y$1397,Y$1398)</f>
        <v>1.1926274448043499</v>
      </c>
      <c r="Z1400" s="1189">
        <f>_xll.ciqfunctions.udf.CIQAVG("$"&amp;$BQ1400&amp;$BR1400,"iq_lastsaleprice",Z$1397,Z$1398)</f>
        <v>1.2052583608</v>
      </c>
      <c r="AA1400" s="1189">
        <f>_xll.ciqfunctions.udf.CIQAVG("$"&amp;$BQ1400&amp;$BR1400,"iq_lastsaleprice",AA$1397,AA$1398)</f>
        <v>1.20471565950549</v>
      </c>
      <c r="AB1400" s="1189">
        <f>_xll.ciqfunctions.udf.CIQAVG("$"&amp;$BQ1400&amp;$BR1400,"iq_lastsaleprice",AB$1397,AB$1398)</f>
        <v>1.1789309566956501</v>
      </c>
      <c r="AC1400" s="1189">
        <f>_xll.ciqfunctions.udf.CIQAVG("$"&amp;$BQ1400&amp;$BR1400,"iq_lastsaleprice",AC$1397,AC$1398)</f>
        <v>1.1436306963043501</v>
      </c>
      <c r="AD1400" s="1189">
        <f>_xll.ciqfunctions.udf.CIQAVG("$"&amp;$BQ1400&amp;$BR1400,"iq_lastsaleprice",AD$1397,AD$1398)</f>
        <v>1.1223682286111101</v>
      </c>
      <c r="AE1400" s="1189">
        <f>_xll.ciqfunctions.udf.CIQAVG("$"&amp;$BQ1400&amp;$BR1400,"iq_lastsaleprice",AE$1397,AE$1398)</f>
        <v>1.06508374738462</v>
      </c>
      <c r="AF1400" s="1189">
        <f>_xll.ciqfunctions.udf.CIQAVG("$"&amp;$BQ1400&amp;$BR1400,"iq_lastsaleprice",AF$1397,AF$1398)</f>
        <v>1.00768000213978</v>
      </c>
      <c r="AG1400" s="1189">
        <f>_xll.ciqfunctions.udf.CIQAVG("$"&amp;$BQ1400&amp;$BR1400,"iq_lastsaleprice",AG$1397,AG$1398)</f>
        <v>1.0217546085934099</v>
      </c>
      <c r="AH1400" s="1189">
        <f>_xll.ciqfunctions.udf.CIQAVG("$"&amp;$BQ1400&amp;$BR1400,"iq_lastsaleprice",AH$1397,AH$1398)</f>
        <v>1.0724500164333299</v>
      </c>
      <c r="AI1400" s="1189">
        <f>_xll.ciqfunctions.udf.CIQAVG("$"&amp;$BQ1400&amp;$BR1400,"iq_lastsaleprice",AI$1397,AI$1398)</f>
        <v>1.0884953663296699</v>
      </c>
      <c r="AJ1400" s="1189">
        <f>_xll.ciqfunctions.udf.CIQAVG("$"&amp;$BQ1400&amp;$BR1400,"iq_lastsaleprice",AJ$1397,AJ$1398)</f>
        <v>1.08845725061957</v>
      </c>
      <c r="AK1400" s="1189">
        <f>_xll.ciqfunctions.udf.CIQAVG("$"&amp;$BQ1400&amp;$BR1400,"iq_lastsaleprice",AK$1397,AK$1398)</f>
        <v>1.07638144008696</v>
      </c>
      <c r="AL1400" s="1189">
        <f>_xll.ciqfunctions.udf.CIQAVG("$"&amp;$BQ1400&amp;$BR1400,"iq_lastsaleprice",AL$1397,AL$1398)</f>
        <v>1.08558401685714</v>
      </c>
      <c r="AM1400" s="1189">
        <f>_xll.ciqfunctions.udf.CIQAVG("$"&amp;$BQ1400&amp;$BR1400,"iq_lastsaleprice",AM$1397,AM$1398)</f>
        <v>1.0763356291208801</v>
      </c>
      <c r="AN1400" s="1189">
        <f>_xll.ciqfunctions.udf.CIQAVG("$"&amp;$BQ1400&amp;$BR1400,"iq_lastsaleprice",AN$1397,AN$1398)</f>
        <v>1.0990813853260899</v>
      </c>
      <c r="AO1400" s="1189">
        <f>_xll.ciqfunctions.udf.CIQAVG("$"&amp;$BQ1400&amp;$BR1400,"iq_lastsaleprice",AO$1397,AO$1398)</f>
        <v>1.0664126728043499</v>
      </c>
      <c r="AP1400" s="1189">
        <f>_xll.ciqfunctions.udf.CIQAVG("$"&amp;$BQ1400&amp;$BR1400,"iq_lastsaleprice",AP$1397,AP$1398)</f>
        <v>1.036431761</v>
      </c>
      <c r="AQ1400" s="1189">
        <f t="shared" ref="AQ1400" si="5055">+AP1400</f>
        <v>1.036431761</v>
      </c>
      <c r="BQ1400" t="s">
        <v>673</v>
      </c>
      <c r="BR1400" t="s">
        <v>674</v>
      </c>
    </row>
    <row r="1401" spans="2:70">
      <c r="B1401" s="1160" t="s">
        <v>87</v>
      </c>
      <c r="C1401" s="872"/>
      <c r="D1401" s="872"/>
      <c r="E1401" s="872"/>
      <c r="F1401" s="872"/>
      <c r="G1401" s="872"/>
      <c r="H1401" s="1190">
        <f t="shared" ref="H1401:AN1401" si="5056">H1400/D1400-1</f>
        <v>3.1771708729322334E-3</v>
      </c>
      <c r="I1401" s="1190">
        <f t="shared" si="5056"/>
        <v>-1.5306286289728632E-2</v>
      </c>
      <c r="J1401" s="1190">
        <f t="shared" si="5056"/>
        <v>-3.3988719812266255E-2</v>
      </c>
      <c r="K1401" s="1190">
        <f t="shared" si="5056"/>
        <v>-2.5840668205748818E-2</v>
      </c>
      <c r="L1401" s="1190">
        <f t="shared" si="5056"/>
        <v>5.2736538837217184E-2</v>
      </c>
      <c r="M1401" s="1190">
        <f t="shared" si="5056"/>
        <v>9.2288862051741916E-2</v>
      </c>
      <c r="N1401" s="1190">
        <f t="shared" si="5056"/>
        <v>0.15340549859394192</v>
      </c>
      <c r="O1401" s="1190">
        <f t="shared" si="5056"/>
        <v>8.3228596886496309E-2</v>
      </c>
      <c r="P1401" s="1190">
        <f t="shared" si="5056"/>
        <v>-1.0291754639379813E-2</v>
      </c>
      <c r="Q1401" s="1190">
        <f t="shared" si="5056"/>
        <v>-3.1499684064523192E-2</v>
      </c>
      <c r="R1401" s="1190">
        <f t="shared" si="5056"/>
        <v>-7.5997742994721063E-2</v>
      </c>
      <c r="S1401" s="1190">
        <f t="shared" si="5056"/>
        <v>-5.6954415240071499E-2</v>
      </c>
      <c r="T1401" s="1190">
        <f t="shared" si="5056"/>
        <v>-4.3862433669336065E-2</v>
      </c>
      <c r="U1401" s="1190">
        <f t="shared" si="5056"/>
        <v>-2.966119633376374E-2</v>
      </c>
      <c r="V1401" s="1190">
        <f t="shared" si="5056"/>
        <v>-2.9011489633174015E-2</v>
      </c>
      <c r="W1401" s="1190">
        <f t="shared" si="5056"/>
        <v>-2.0118905873434678E-2</v>
      </c>
      <c r="X1401" s="1190">
        <f t="shared" si="5056"/>
        <v>5.1412549798567797E-2</v>
      </c>
      <c r="Y1401" s="1190">
        <f t="shared" si="5056"/>
        <v>7.7214303796755868E-2</v>
      </c>
      <c r="Z1401" s="1190">
        <f t="shared" si="5056"/>
        <v>9.312328432706507E-2</v>
      </c>
      <c r="AA1401" s="1190">
        <f t="shared" si="5056"/>
        <v>9.3978837882519484E-2</v>
      </c>
      <c r="AB1401" s="1190">
        <f t="shared" si="5056"/>
        <v>8.5548365618435263E-3</v>
      </c>
      <c r="AC1401" s="1190">
        <f t="shared" si="5056"/>
        <v>-4.108302950217424E-2</v>
      </c>
      <c r="AD1401" s="1190">
        <f t="shared" si="5056"/>
        <v>-6.8773745849703971E-2</v>
      </c>
      <c r="AE1401" s="1190">
        <f t="shared" si="5056"/>
        <v>-0.11590445514602665</v>
      </c>
      <c r="AF1401" s="1190">
        <f t="shared" si="5056"/>
        <v>-0.14525952820499199</v>
      </c>
      <c r="AG1401" s="1190">
        <f t="shared" si="5056"/>
        <v>-0.1065694442312396</v>
      </c>
      <c r="AH1401" s="1190">
        <f t="shared" si="5056"/>
        <v>-4.447578869864488E-2</v>
      </c>
      <c r="AI1401" s="1190">
        <f t="shared" ref="AI1401" si="5057">AI1400/AE1400-1</f>
        <v>2.1981012293670554E-2</v>
      </c>
      <c r="AJ1401" s="1190">
        <f t="shared" ref="AJ1401" si="5058">AJ1400/AF1400-1</f>
        <v>8.0161607165232684E-2</v>
      </c>
      <c r="AK1401" s="1190">
        <f t="shared" ref="AK1401" si="5059">AK1400/AG1400-1</f>
        <v>5.3463748569484437E-2</v>
      </c>
      <c r="AL1401" s="1190">
        <f t="shared" ref="AL1401" si="5060">AL1400/AH1400-1</f>
        <v>1.2246724996555214E-2</v>
      </c>
      <c r="AM1401" s="1190">
        <f t="shared" si="5056"/>
        <v>-1.1171142831587377E-2</v>
      </c>
      <c r="AN1401" s="1190">
        <f t="shared" si="5056"/>
        <v>9.7607275806859128E-3</v>
      </c>
      <c r="AO1401" s="1190">
        <f t="shared" ref="AO1401" si="5061">AO1400/AK1400-1</f>
        <v>-9.2613704690084342E-3</v>
      </c>
      <c r="AP1401" s="1190">
        <f t="shared" ref="AP1401" si="5062">AP1400/AL1400-1</f>
        <v>-4.5277247171932489E-2</v>
      </c>
      <c r="AQ1401" s="1190">
        <f t="shared" ref="AQ1401" si="5063">AQ1400/AM1400-1</f>
        <v>-3.7073815119799014E-2</v>
      </c>
    </row>
    <row r="1402" spans="2:70">
      <c r="AM1402" s="100"/>
      <c r="AN1402" s="100"/>
      <c r="AO1402" s="100"/>
      <c r="AP1402" s="100"/>
      <c r="AQ1402" s="100"/>
    </row>
    <row r="1403" spans="2:70">
      <c r="B1403" s="100" t="str">
        <f>+BQ1403&amp;" / "&amp;BR1403&amp;" - avg"</f>
        <v>USD / GBP - avg</v>
      </c>
      <c r="C1403" s="100"/>
      <c r="D1403" s="1189">
        <f>_xll.ciqfunctions.udf.CIQAVG("$"&amp;$BQ1403&amp;$BR1403,"iq_lastsaleprice",D$1397,D$1398)</f>
        <v>1.5488705293043501</v>
      </c>
      <c r="E1403" s="1189">
        <f>_xll.ciqfunctions.udf.CIQAVG("$"&amp;$BQ1403&amp;$BR1403,"iq_lastsaleprice",E$1397,E$1398)</f>
        <v>1.51735851491304</v>
      </c>
      <c r="F1403" s="1189">
        <f>_xll.ciqfunctions.udf.CIQAVG("$"&amp;$BQ1403&amp;$BR1403,"iq_lastsaleprice",F$1397,F$1398)</f>
        <v>1.4320842433076899</v>
      </c>
      <c r="G1403" s="1189">
        <f>_xll.ciqfunctions.udf.CIQAVG("$"&amp;$BQ1403&amp;$BR1403,"iq_lastsaleprice",G$1397,G$1398)</f>
        <v>1.4343484880769199</v>
      </c>
      <c r="H1403" s="1189">
        <f>_xll.ciqfunctions.udf.CIQAVG("$"&amp;$BQ1403&amp;$BR1403,"iq_lastsaleprice",H$1397,H$1398)</f>
        <v>1.31311365603261</v>
      </c>
      <c r="I1403" s="1189">
        <f>_xll.ciqfunctions.udf.CIQAVG("$"&amp;$BQ1403&amp;$BR1403,"iq_lastsaleprice",I$1397,I$1398)</f>
        <v>1.24234801612088</v>
      </c>
      <c r="J1403" s="1189">
        <f>_xll.ciqfunctions.udf.CIQAVG("$"&amp;$BQ1403&amp;$BR1403,"iq_lastsaleprice",J$1397,J$1398)</f>
        <v>1.23861062483516</v>
      </c>
      <c r="K1403" s="1189">
        <f>_xll.ciqfunctions.udf.CIQAVG("$"&amp;$BQ1403&amp;$BR1403,"iq_lastsaleprice",K$1397,K$1398)</f>
        <v>1.2790052379230801</v>
      </c>
      <c r="L1403" s="1189">
        <f>_xll.ciqfunctions.udf.CIQAVG("$"&amp;$BQ1403&amp;$BR1403,"iq_lastsaleprice",L$1397,L$1398)</f>
        <v>1.3086671137717401</v>
      </c>
      <c r="M1403" s="1189">
        <f>_xll.ciqfunctions.udf.CIQAVG("$"&amp;$BQ1403&amp;$BR1403,"iq_lastsaleprice",M$1397,M$1398)</f>
        <v>1.32739407301087</v>
      </c>
      <c r="N1403" s="1189">
        <f>_xll.ciqfunctions.udf.CIQAVG("$"&amp;$BQ1403&amp;$BR1403,"iq_lastsaleprice",N$1397,N$1398)</f>
        <v>1.39134824698889</v>
      </c>
      <c r="O1403" s="1189">
        <f>_xll.ciqfunctions.udf.CIQAVG("$"&amp;$BQ1403&amp;$BR1403,"iq_lastsaleprice",O$1397,O$1398)</f>
        <v>1.3607572153516501</v>
      </c>
      <c r="P1403" s="1189">
        <f>_xll.ciqfunctions.udf.CIQAVG("$"&amp;$BQ1403&amp;$BR1403,"iq_lastsaleprice",P$1397,P$1398)</f>
        <v>1.3029267006630401</v>
      </c>
      <c r="Q1403" s="1189">
        <f>_xll.ciqfunctions.udf.CIQAVG("$"&amp;$BQ1403&amp;$BR1403,"iq_lastsaleprice",Q$1397,Q$1398)</f>
        <v>1.28630230377174</v>
      </c>
      <c r="R1403" s="1189">
        <f>_xll.ciqfunctions.udf.CIQAVG("$"&amp;$BQ1403&amp;$BR1403,"iq_lastsaleprice",R$1397,R$1398)</f>
        <v>1.302018396</v>
      </c>
      <c r="S1403" s="1189">
        <f>_xll.ciqfunctions.udf.CIQAVG("$"&amp;$BQ1403&amp;$BR1403,"iq_lastsaleprice",S$1397,S$1398)</f>
        <v>1.2852491288791199</v>
      </c>
      <c r="T1403" s="1189">
        <f>_xll.ciqfunctions.udf.CIQAVG("$"&amp;$BQ1403&amp;$BR1403,"iq_lastsaleprice",T$1397,T$1398)</f>
        <v>1.23289268486957</v>
      </c>
      <c r="U1403" s="1189">
        <f>_xll.ciqfunctions.udf.CIQAVG("$"&amp;$BQ1403&amp;$BR1403,"iq_lastsaleprice",U$1397,U$1398)</f>
        <v>1.28765396313187</v>
      </c>
      <c r="V1403" s="1189">
        <f>_xll.ciqfunctions.udf.CIQAVG("$"&amp;$BQ1403&amp;$BR1403,"iq_lastsaleprice",V$1397,V$1398)</f>
        <v>1.2814995811538501</v>
      </c>
      <c r="W1403" s="1189">
        <f>_xll.ciqfunctions.udf.CIQAVG("$"&amp;$BQ1403&amp;$BR1403,"iq_lastsaleprice",W$1397,W$1398)</f>
        <v>1.2410096991087001</v>
      </c>
      <c r="X1403" s="1189">
        <f>_xll.ciqfunctions.udf.CIQAVG("$"&amp;$BQ1403&amp;$BR1403,"iq_lastsaleprice",X$1397,X$1398)</f>
        <v>1.2917136464130401</v>
      </c>
      <c r="Y1403" s="1189">
        <f>_xll.ciqfunctions.udf.CIQAVG("$"&amp;$BQ1403&amp;$BR1403,"iq_lastsaleprice",Y$1397,Y$1398)</f>
        <v>1.3210655941304299</v>
      </c>
      <c r="Z1403" s="1189">
        <f>_xll.ciqfunctions.udf.CIQAVG("$"&amp;$BQ1403&amp;$BR1403,"iq_lastsaleprice",Z$1397,Z$1398)</f>
        <v>1.3785603657444401</v>
      </c>
      <c r="AA1403" s="1189">
        <f>_xll.ciqfunctions.udf.CIQAVG("$"&amp;$BQ1403&amp;$BR1403,"iq_lastsaleprice",AA$1397,AA$1398)</f>
        <v>1.39759779207692</v>
      </c>
      <c r="AB1403" s="1189">
        <f>_xll.ciqfunctions.udf.CIQAVG("$"&amp;$BQ1403&amp;$BR1403,"iq_lastsaleprice",AB$1397,AB$1398)</f>
        <v>1.37832068620652</v>
      </c>
      <c r="AC1403" s="1189">
        <f>_xll.ciqfunctions.udf.CIQAVG("$"&amp;$BQ1403&amp;$BR1403,"iq_lastsaleprice",AC$1397,AC$1398)</f>
        <v>1.34805395653261</v>
      </c>
      <c r="AD1403" s="1189">
        <f>_xll.ciqfunctions.udf.CIQAVG("$"&amp;$BQ1403&amp;$BR1403,"iq_lastsaleprice",AD$1397,AD$1398)</f>
        <v>1.34183250595556</v>
      </c>
      <c r="AE1403" s="1189">
        <f>_xll.ciqfunctions.udf.CIQAVG("$"&amp;$BQ1403&amp;$BR1403,"iq_lastsaleprice",AE$1397,AE$1398)</f>
        <v>1.25663679830769</v>
      </c>
      <c r="AF1403" s="1189">
        <f>_xll.ciqfunctions.udf.CIQAVG("$"&amp;$BQ1403&amp;$BR1403,"iq_lastsaleprice",AF$1397,AF$1398)</f>
        <v>1.17693378246237</v>
      </c>
      <c r="AG1403" s="1189">
        <f>_xll.ciqfunctions.udf.CIQAVG("$"&amp;$BQ1403&amp;$BR1403,"iq_lastsaleprice",AG$1397,AG$1398)</f>
        <v>1.1745021992967</v>
      </c>
      <c r="AH1403" s="1189">
        <f>_xll.ciqfunctions.udf.CIQAVG("$"&amp;$BQ1403&amp;$BR1403,"iq_lastsaleprice",AH$1397,AH$1398)</f>
        <v>1.2143759216888901</v>
      </c>
      <c r="AI1403" s="1189">
        <f>_xll.ciqfunctions.udf.CIQAVG("$"&amp;$BQ1403&amp;$BR1403,"iq_lastsaleprice",AI$1397,AI$1398)</f>
        <v>1.25173155714286</v>
      </c>
      <c r="AJ1403" s="1189">
        <f>_xll.ciqfunctions.udf.CIQAVG("$"&amp;$BQ1403&amp;$BR1403,"iq_lastsaleprice",AJ$1397,AJ$1398)</f>
        <v>1.2661756805</v>
      </c>
      <c r="AK1403" s="1189">
        <f>_xll.ciqfunctions.udf.CIQAVG("$"&amp;$BQ1403&amp;$BR1403,"iq_lastsaleprice",AK$1397,AK$1398)</f>
        <v>1.2419355335326101</v>
      </c>
      <c r="AL1403" s="1189">
        <f>_xll.ciqfunctions.udf.CIQAVG("$"&amp;$BQ1403&amp;$BR1403,"iq_lastsaleprice",AL$1397,AL$1398)</f>
        <v>1.2680492696263701</v>
      </c>
      <c r="AM1403" s="1189">
        <f>_xll.ciqfunctions.udf.CIQAVG("$"&amp;$BQ1403&amp;$BR1403,"iq_lastsaleprice",AM$1397,AM$1398)</f>
        <v>1.26150104981319</v>
      </c>
      <c r="AN1403" s="1189">
        <f>_xll.ciqfunctions.udf.CIQAVG("$"&amp;$BQ1403&amp;$BR1403,"iq_lastsaleprice",AN$1397,AN$1398)</f>
        <v>1.3009034395108701</v>
      </c>
      <c r="AO1403" s="1189">
        <f>_xll.ciqfunctions.udf.CIQAVG("$"&amp;$BQ1403&amp;$BR1403,"iq_lastsaleprice",AO$1397,AO$1398)</f>
        <v>1.28116610279348</v>
      </c>
      <c r="AP1403" s="1189">
        <f>_xll.ciqfunctions.udf.CIQAVG("$"&amp;$BQ1403&amp;$BR1403,"iq_lastsaleprice",AP$1397,AP$1398)</f>
        <v>1.2516428445000001</v>
      </c>
      <c r="AQ1403" s="1189">
        <f t="shared" ref="AQ1403" si="5064">+AP1403</f>
        <v>1.2516428445000001</v>
      </c>
      <c r="BQ1403" t="s">
        <v>673</v>
      </c>
      <c r="BR1403" t="s">
        <v>675</v>
      </c>
    </row>
    <row r="1404" spans="2:70">
      <c r="B1404" s="1160" t="s">
        <v>87</v>
      </c>
      <c r="C1404" s="872"/>
      <c r="D1404" s="872"/>
      <c r="E1404" s="872"/>
      <c r="F1404" s="872"/>
      <c r="G1404" s="872"/>
      <c r="H1404" s="1190">
        <f t="shared" ref="H1404" si="5065">H1403/D1403-1</f>
        <v>-0.15221212413256158</v>
      </c>
      <c r="I1404" s="1190">
        <f t="shared" ref="I1404" si="5066">I1403/E1403-1</f>
        <v>-0.18124292715879409</v>
      </c>
      <c r="J1404" s="1190">
        <f t="shared" ref="J1404" si="5067">J1403/F1403-1</f>
        <v>-0.1350993276943423</v>
      </c>
      <c r="K1404" s="1190">
        <f t="shared" ref="K1404" si="5068">K1403/G1403-1</f>
        <v>-0.10830230689761722</v>
      </c>
      <c r="L1404" s="1190">
        <f t="shared" ref="L1404" si="5069">L1403/H1403-1</f>
        <v>-3.386258486035798E-3</v>
      </c>
      <c r="M1404" s="1190">
        <f t="shared" ref="M1404" si="5070">M1403/I1403-1</f>
        <v>6.845590429285564E-2</v>
      </c>
      <c r="N1404" s="1190">
        <f t="shared" ref="N1404" si="5071">N1403/J1403-1</f>
        <v>0.12331367024568918</v>
      </c>
      <c r="O1404" s="1190">
        <f t="shared" ref="O1404" si="5072">O1403/K1403-1</f>
        <v>6.391840705932017E-2</v>
      </c>
      <c r="P1404" s="1190">
        <f t="shared" ref="P1404" si="5073">P1403/L1403-1</f>
        <v>-4.3864578304833035E-3</v>
      </c>
      <c r="Q1404" s="1190">
        <f t="shared" ref="Q1404" si="5074">Q1403/M1403-1</f>
        <v>-3.0956721952150379E-2</v>
      </c>
      <c r="R1404" s="1190">
        <f t="shared" ref="R1404" si="5075">R1403/N1403-1</f>
        <v>-6.4203804606226211E-2</v>
      </c>
      <c r="S1404" s="1190">
        <f t="shared" ref="S1404" si="5076">S1403/O1403-1</f>
        <v>-5.5489756453738326E-2</v>
      </c>
      <c r="T1404" s="1190">
        <f t="shared" ref="T1404" si="5077">T1403/P1403-1</f>
        <v>-5.375130907811676E-2</v>
      </c>
      <c r="U1404" s="1190">
        <f t="shared" ref="U1404" si="5078">U1403/Q1403-1</f>
        <v>1.0508100282231592E-3</v>
      </c>
      <c r="V1404" s="1190">
        <f t="shared" ref="V1404" si="5079">V1403/R1403-1</f>
        <v>-1.5759235744431055E-2</v>
      </c>
      <c r="W1404" s="1190">
        <f t="shared" ref="W1404" si="5080">W1403/S1403-1</f>
        <v>-3.4420898467366845E-2</v>
      </c>
      <c r="X1404" s="1190">
        <f t="shared" ref="X1404" si="5081">X1403/T1403-1</f>
        <v>4.7709717370650884E-2</v>
      </c>
      <c r="Y1404" s="1190">
        <f t="shared" ref="Y1404" si="5082">Y1403/U1403-1</f>
        <v>2.5947678456481604E-2</v>
      </c>
      <c r="Z1404" s="1190">
        <f t="shared" ref="Z1404" si="5083">Z1403/V1403-1</f>
        <v>7.5740004927038251E-2</v>
      </c>
      <c r="AA1404" s="1190">
        <f t="shared" ref="AA1404" si="5084">AA1403/W1403-1</f>
        <v>0.12617797675609022</v>
      </c>
      <c r="AB1404" s="1190">
        <f t="shared" ref="AB1404" si="5085">AB1403/X1403-1</f>
        <v>6.7048172815994622E-2</v>
      </c>
      <c r="AC1404" s="1190">
        <f t="shared" ref="AC1404" si="5086">AC1403/Y1403-1</f>
        <v>2.0429237217357565E-2</v>
      </c>
      <c r="AD1404" s="1190">
        <f t="shared" ref="AD1404" si="5087">AD1403/Z1403-1</f>
        <v>-2.6642184630809806E-2</v>
      </c>
      <c r="AE1404" s="1190">
        <f t="shared" ref="AE1404" si="5088">AE1403/AA1403-1</f>
        <v>-0.10085948515971321</v>
      </c>
      <c r="AF1404" s="1190">
        <f t="shared" ref="AF1404" si="5089">AF1403/AB1403-1</f>
        <v>-0.14611033974859411</v>
      </c>
      <c r="AG1404" s="1190">
        <f t="shared" ref="AG1404" si="5090">AG1403/AC1403-1</f>
        <v>-0.12874244120191614</v>
      </c>
      <c r="AH1404" s="1190">
        <f t="shared" ref="AH1404" si="5091">AH1403/AD1403-1</f>
        <v>-9.4986955302520548E-2</v>
      </c>
      <c r="AI1404" s="1190">
        <f t="shared" ref="AI1404" si="5092">AI1403/AE1403-1</f>
        <v>-3.9034677095529657E-3</v>
      </c>
      <c r="AJ1404" s="1190">
        <f t="shared" ref="AJ1404" si="5093">AJ1403/AF1403-1</f>
        <v>7.5825759585997243E-2</v>
      </c>
      <c r="AK1404" s="1190">
        <f t="shared" ref="AK1404" si="5094">AK1403/AG1403-1</f>
        <v>5.7414395883029989E-2</v>
      </c>
      <c r="AL1404" s="1190">
        <f t="shared" ref="AL1404" si="5095">AL1403/AH1403-1</f>
        <v>4.4198297231415662E-2</v>
      </c>
      <c r="AM1404" s="1190">
        <f t="shared" ref="AM1404:AN1404" si="5096">AM1403/AI1403-1</f>
        <v>7.8047825946239158E-3</v>
      </c>
      <c r="AN1404" s="1190">
        <f t="shared" si="5096"/>
        <v>2.7427283232257738E-2</v>
      </c>
      <c r="AO1404" s="1190">
        <f t="shared" ref="AO1404" si="5097">AO1403/AK1403-1</f>
        <v>3.1588249310558814E-2</v>
      </c>
      <c r="AP1404" s="1190">
        <f t="shared" ref="AP1404" si="5098">AP1403/AL1403-1</f>
        <v>-1.2938318344053124E-2</v>
      </c>
      <c r="AQ1404" s="1190">
        <f t="shared" ref="AQ1404" si="5099">AQ1403/AM1403-1</f>
        <v>-7.8146627897375254E-3</v>
      </c>
    </row>
    <row r="1405" spans="2:70">
      <c r="B1405" s="1191"/>
      <c r="C1405" s="100"/>
      <c r="D1405" s="100"/>
      <c r="E1405" s="100"/>
      <c r="F1405" s="100"/>
      <c r="G1405" s="100"/>
      <c r="H1405" s="100"/>
      <c r="I1405" s="100"/>
      <c r="J1405" s="100"/>
      <c r="K1405" s="869"/>
      <c r="L1405" s="100"/>
      <c r="M1405" s="100"/>
      <c r="N1405" s="869"/>
      <c r="O1405" s="869"/>
      <c r="P1405" s="869"/>
      <c r="Q1405" s="869"/>
      <c r="R1405" s="1192"/>
      <c r="S1405" s="1193"/>
      <c r="T1405" s="1193"/>
      <c r="U1405" s="1193"/>
      <c r="V1405" s="1194"/>
      <c r="W1405" s="869"/>
      <c r="X1405" s="869"/>
      <c r="Y1405" s="869"/>
      <c r="Z1405" s="869"/>
      <c r="AA1405" s="869"/>
      <c r="AB1405" s="869"/>
      <c r="AC1405" s="869"/>
      <c r="AD1405" s="100"/>
      <c r="AE1405" s="100"/>
      <c r="AF1405" s="1168"/>
      <c r="AG1405" s="1168"/>
      <c r="AH1405" s="1168"/>
      <c r="AI1405" s="1168"/>
      <c r="AJ1405" s="1168"/>
      <c r="AK1405" s="1168"/>
      <c r="AL1405" s="1168"/>
      <c r="AM1405" s="100"/>
      <c r="AN1405" s="100"/>
      <c r="AO1405" s="100"/>
      <c r="AP1405" s="100"/>
      <c r="AQ1405" s="100"/>
    </row>
    <row r="1406" spans="2:70">
      <c r="B1406" s="100" t="str">
        <f>+BQ1406&amp;" / "&amp;BR1406&amp;" - avg"</f>
        <v>USD / JPY - avg</v>
      </c>
      <c r="C1406" s="100"/>
      <c r="D1406" s="1189">
        <f>_xll.ciqfunctions.udf.CIQAVG("$"&amp;$BQ1406&amp;$BR1406,"iq_lastsaleprice",D$1397,D$1398)</f>
        <v>8.1879065652173903E-3</v>
      </c>
      <c r="E1406" s="1189">
        <f>_xll.ciqfunctions.udf.CIQAVG("$"&amp;$BQ1406&amp;$BR1406,"iq_lastsaleprice",E$1397,E$1398)</f>
        <v>8.2372480000000008E-3</v>
      </c>
      <c r="F1406" s="1189">
        <f>_xll.ciqfunctions.udf.CIQAVG("$"&amp;$BQ1406&amp;$BR1406,"iq_lastsaleprice",F$1397,F$1398)</f>
        <v>8.6752561978021992E-3</v>
      </c>
      <c r="G1406" s="1189">
        <f>_xll.ciqfunctions.udf.CIQAVG("$"&amp;$BQ1406&amp;$BR1406,"iq_lastsaleprice",G$1397,G$1398)</f>
        <v>9.2673591868131892E-3</v>
      </c>
      <c r="H1406" s="1189">
        <f>_xll.ciqfunctions.udf.CIQAVG("$"&amp;$BQ1406&amp;$BR1406,"iq_lastsaleprice",H$1397,H$1398)</f>
        <v>9.7699314891304297E-3</v>
      </c>
      <c r="I1406" s="1189">
        <f>_xll.ciqfunctions.udf.CIQAVG("$"&amp;$BQ1406&amp;$BR1406,"iq_lastsaleprice",I$1397,I$1398)</f>
        <v>9.1643796593406605E-3</v>
      </c>
      <c r="J1406" s="1189">
        <f>_xll.ciqfunctions.udf.CIQAVG("$"&amp;$BQ1406&amp;$BR1406,"iq_lastsaleprice",J$1397,J$1398)</f>
        <v>8.7931428131868099E-3</v>
      </c>
      <c r="K1406" s="1189">
        <f>_xll.ciqfunctions.udf.CIQAVG("$"&amp;$BQ1406&amp;$BR1406,"iq_lastsaleprice",K$1397,K$1398)</f>
        <v>9.0038027362637392E-3</v>
      </c>
      <c r="L1406" s="1189">
        <f>_xll.ciqfunctions.udf.CIQAVG("$"&amp;$BQ1406&amp;$BR1406,"iq_lastsaleprice",L$1397,L$1398)</f>
        <v>9.0165833913043499E-3</v>
      </c>
      <c r="M1406" s="1189">
        <f>_xll.ciqfunctions.udf.CIQAVG("$"&amp;$BQ1406&amp;$BR1406,"iq_lastsaleprice",M$1397,M$1398)</f>
        <v>8.8601759021739099E-3</v>
      </c>
      <c r="N1406" s="1189">
        <f>_xll.ciqfunctions.udf.CIQAVG("$"&amp;$BQ1406&amp;$BR1406,"iq_lastsaleprice",N$1397,N$1398)</f>
        <v>9.2389294888888893E-3</v>
      </c>
      <c r="O1406" s="1189">
        <f>_xll.ciqfunctions.udf.CIQAVG("$"&amp;$BQ1406&amp;$BR1406,"iq_lastsaleprice",O$1397,O$1398)</f>
        <v>9.1641832967033002E-3</v>
      </c>
      <c r="P1406" s="1189">
        <f>_xll.ciqfunctions.udf.CIQAVG("$"&amp;$BQ1406&amp;$BR1406,"iq_lastsaleprice",P$1397,P$1398)</f>
        <v>8.9707506086956507E-3</v>
      </c>
      <c r="Q1406" s="1189">
        <f>_xll.ciqfunctions.udf.CIQAVG("$"&amp;$BQ1406&amp;$BR1406,"iq_lastsaleprice",Q$1397,Q$1398)</f>
        <v>8.8751580326086998E-3</v>
      </c>
      <c r="R1406" s="1189">
        <f>_xll.ciqfunctions.udf.CIQAVG("$"&amp;$BQ1406&amp;$BR1406,"iq_lastsaleprice",R$1397,R$1398)</f>
        <v>9.0804584444444392E-3</v>
      </c>
      <c r="S1406" s="1189">
        <f>_xll.ciqfunctions.udf.CIQAVG("$"&amp;$BQ1406&amp;$BR1406,"iq_lastsaleprice",S$1397,S$1398)</f>
        <v>9.0995129560439598E-3</v>
      </c>
      <c r="T1406" s="1189">
        <f>_xll.ciqfunctions.udf.CIQAVG("$"&amp;$BQ1406&amp;$BR1406,"iq_lastsaleprice",T$1397,T$1398)</f>
        <v>9.3202719239130396E-3</v>
      </c>
      <c r="U1406" s="1189">
        <f>_xll.ciqfunctions.udf.CIQAVG("$"&amp;$BQ1406&amp;$BR1406,"iq_lastsaleprice",U$1397,U$1398)</f>
        <v>9.1979703516483508E-3</v>
      </c>
      <c r="V1406" s="1189">
        <f>_xll.ciqfunctions.udf.CIQAVG("$"&amp;$BQ1406&amp;$BR1406,"iq_lastsaleprice",V$1397,V$1398)</f>
        <v>9.1771792967032997E-3</v>
      </c>
      <c r="W1406" s="1189">
        <f>_xll.ciqfunctions.udf.CIQAVG("$"&amp;$BQ1406&amp;$BR1406,"iq_lastsaleprice",W$1397,W$1398)</f>
        <v>9.2982546304347796E-3</v>
      </c>
      <c r="X1406" s="1189">
        <f>_xll.ciqfunctions.udf.CIQAVG("$"&amp;$BQ1406&amp;$BR1406,"iq_lastsaleprice",X$1397,X$1398)</f>
        <v>9.4239172717391299E-3</v>
      </c>
      <c r="Y1406" s="1189">
        <f>_xll.ciqfunctions.udf.CIQAVG("$"&amp;$BQ1406&amp;$BR1406,"iq_lastsaleprice",Y$1397,Y$1398)</f>
        <v>9.5754872173913104E-3</v>
      </c>
      <c r="Z1406" s="1189">
        <f>_xll.ciqfunctions.udf.CIQAVG("$"&amp;$BQ1406&amp;$BR1406,"iq_lastsaleprice",Z$1397,Z$1398)</f>
        <v>9.4358062666666694E-3</v>
      </c>
      <c r="AA1406" s="1189">
        <f>_xll.ciqfunctions.udf.CIQAVG("$"&amp;$BQ1406&amp;$BR1406,"iq_lastsaleprice",AA$1397,AA$1398)</f>
        <v>9.1366399450549408E-3</v>
      </c>
      <c r="AB1406" s="1189">
        <f>_xll.ciqfunctions.udf.CIQAVG("$"&amp;$BQ1406&amp;$BR1406,"iq_lastsaleprice",AB$1397,AB$1398)</f>
        <v>9.0826382282608708E-3</v>
      </c>
      <c r="AC1406" s="1189">
        <f>_xll.ciqfunctions.udf.CIQAVG("$"&amp;$BQ1406&amp;$BR1406,"iq_lastsaleprice",AC$1397,AC$1398)</f>
        <v>8.8018266195652207E-3</v>
      </c>
      <c r="AD1406" s="1189">
        <f>_xll.ciqfunctions.udf.CIQAVG("$"&amp;$BQ1406&amp;$BR1406,"iq_lastsaleprice",AD$1397,AD$1398)</f>
        <v>8.6068771888888895E-3</v>
      </c>
      <c r="AE1406" s="1189">
        <f>_xll.ciqfunctions.udf.CIQAVG("$"&amp;$BQ1406&amp;$BR1406,"iq_lastsaleprice",AE$1397,AE$1398)</f>
        <v>7.7191496043956002E-3</v>
      </c>
      <c r="AF1406" s="1189">
        <f>_xll.ciqfunctions.udf.CIQAVG("$"&amp;$BQ1406&amp;$BR1406,"iq_lastsaleprice",AF$1397,AF$1398)</f>
        <v>7.2383631397849504E-3</v>
      </c>
      <c r="AG1406" s="1189">
        <f>_xll.ciqfunctions.udf.CIQAVG("$"&amp;$BQ1406&amp;$BR1406,"iq_lastsaleprice",AG$1397,AG$1398)</f>
        <v>7.0928558791208797E-3</v>
      </c>
      <c r="AH1406" s="1189">
        <f>_xll.ciqfunctions.udf.CIQAVG("$"&amp;$BQ1406&amp;$BR1406,"iq_lastsaleprice",AH$1397,AH$1398)</f>
        <v>7.5590730888888897E-3</v>
      </c>
      <c r="AI1406" s="1189">
        <f>_xll.ciqfunctions.udf.CIQAVG("$"&amp;$BQ1406&amp;$BR1406,"iq_lastsaleprice",AI$1397,AI$1398)</f>
        <v>7.2862428021977996E-3</v>
      </c>
      <c r="AJ1406" s="1189">
        <f>_xll.ciqfunctions.udf.CIQAVG("$"&amp;$BQ1406&amp;$BR1406,"iq_lastsaleprice",AJ$1397,AJ$1398)</f>
        <v>6.9222377826087004E-3</v>
      </c>
      <c r="AK1406" s="1189">
        <f>_xll.ciqfunctions.udf.CIQAVG("$"&amp;$BQ1406&amp;$BR1406,"iq_lastsaleprice",AK$1397,AK$1398)</f>
        <v>6.7740529347826098E-3</v>
      </c>
      <c r="AL1406" s="1189">
        <f>_xll.ciqfunctions.udf.CIQAVG("$"&amp;$BQ1406&amp;$BR1406,"iq_lastsaleprice",AL$1397,AL$1398)</f>
        <v>6.73662123076923E-3</v>
      </c>
      <c r="AM1406" s="1189">
        <f>_xll.ciqfunctions.udf.CIQAVG("$"&amp;$BQ1406&amp;$BR1406,"iq_lastsaleprice",AM$1397,AM$1398)</f>
        <v>6.4156548461538499E-3</v>
      </c>
      <c r="AN1406" s="1189">
        <f>_xll.ciqfunctions.udf.CIQAVG("$"&amp;$BQ1406&amp;$BR1406,"iq_lastsaleprice",AN$1397,AN$1398)</f>
        <v>6.72205733695652E-3</v>
      </c>
      <c r="AO1406" s="1189">
        <f>_xll.ciqfunctions.udf.CIQAVG("$"&amp;$BQ1406&amp;$BR1406,"iq_lastsaleprice",AO$1397,AO$1398)</f>
        <v>6.5615080217391302E-3</v>
      </c>
      <c r="AP1406" s="1189">
        <f>_xll.ciqfunctions.udf.CIQAVG("$"&amp;$BQ1406&amp;$BR1406,"iq_lastsaleprice",AP$1397,AP$1398)</f>
        <v>6.3615659999999999E-3</v>
      </c>
      <c r="AQ1406" s="1189">
        <f t="shared" ref="AQ1406" si="5100">+AP1406</f>
        <v>6.3615659999999999E-3</v>
      </c>
      <c r="BQ1406" t="s">
        <v>673</v>
      </c>
      <c r="BR1406" t="s">
        <v>676</v>
      </c>
    </row>
    <row r="1407" spans="2:70">
      <c r="B1407" s="1160" t="s">
        <v>87</v>
      </c>
      <c r="C1407" s="872"/>
      <c r="D1407" s="872"/>
      <c r="E1407" s="872"/>
      <c r="F1407" s="872"/>
      <c r="G1407" s="872"/>
      <c r="H1407" s="1190">
        <f t="shared" ref="H1407" si="5101">H1406/D1406-1</f>
        <v>0.19321482375404164</v>
      </c>
      <c r="I1407" s="1190">
        <f t="shared" ref="I1407" si="5102">I1406/E1406-1</f>
        <v>0.11255356878178979</v>
      </c>
      <c r="J1407" s="1190">
        <f t="shared" ref="J1407" si="5103">J1406/F1406-1</f>
        <v>1.358883388532961E-2</v>
      </c>
      <c r="K1407" s="1190">
        <f t="shared" ref="K1407" si="5104">K1406/G1406-1</f>
        <v>-2.843921825372564E-2</v>
      </c>
      <c r="L1407" s="1190">
        <f t="shared" ref="L1407" si="5105">L1406/H1406-1</f>
        <v>-7.7108841414519569E-2</v>
      </c>
      <c r="M1407" s="1190">
        <f t="shared" ref="M1407" si="5106">M1406/I1406-1</f>
        <v>-3.3194146082402343E-2</v>
      </c>
      <c r="N1407" s="1190">
        <f t="shared" ref="N1407" si="5107">N1406/J1406-1</f>
        <v>5.0697081256720455E-2</v>
      </c>
      <c r="O1407" s="1190">
        <f t="shared" ref="O1407" si="5108">O1406/K1406-1</f>
        <v>1.7812536006993174E-2</v>
      </c>
      <c r="P1407" s="1190">
        <f t="shared" ref="P1407" si="5109">P1406/L1406-1</f>
        <v>-5.0831651657434751E-3</v>
      </c>
      <c r="Q1407" s="1190">
        <f t="shared" ref="Q1407" si="5110">Q1406/M1406-1</f>
        <v>1.690951805044083E-3</v>
      </c>
      <c r="R1407" s="1190">
        <f t="shared" ref="R1407" si="5111">R1406/N1406-1</f>
        <v>-1.7152533162530736E-2</v>
      </c>
      <c r="S1407" s="1190">
        <f t="shared" ref="S1407" si="5112">S1406/O1406-1</f>
        <v>-7.0568580489441812E-3</v>
      </c>
      <c r="T1407" s="1190">
        <f t="shared" ref="T1407" si="5113">T1406/P1406-1</f>
        <v>3.8962326617193677E-2</v>
      </c>
      <c r="U1407" s="1190">
        <f t="shared" ref="U1407" si="5114">U1406/Q1406-1</f>
        <v>3.6372571378851859E-2</v>
      </c>
      <c r="V1407" s="1190">
        <f t="shared" ref="V1407" si="5115">V1406/R1406-1</f>
        <v>1.0651538449364839E-2</v>
      </c>
      <c r="W1407" s="1190">
        <f t="shared" ref="W1407" si="5116">W1406/S1406-1</f>
        <v>2.1840913392932038E-2</v>
      </c>
      <c r="X1407" s="1190">
        <f t="shared" ref="X1407" si="5117">X1406/T1406-1</f>
        <v>1.1120421021211468E-2</v>
      </c>
      <c r="Y1407" s="1190">
        <f t="shared" ref="Y1407" si="5118">Y1406/U1406-1</f>
        <v>4.1043496696562487E-2</v>
      </c>
      <c r="Z1407" s="1190">
        <f t="shared" ref="Z1407" si="5119">Z1406/V1406-1</f>
        <v>2.8181531775921087E-2</v>
      </c>
      <c r="AA1407" s="1190">
        <f t="shared" ref="AA1407" si="5120">AA1406/W1406-1</f>
        <v>-1.7381185158217405E-2</v>
      </c>
      <c r="AB1407" s="1190">
        <f t="shared" ref="AB1407" si="5121">AB1406/X1406-1</f>
        <v>-3.6214138307612442E-2</v>
      </c>
      <c r="AC1407" s="1190">
        <f t="shared" ref="AC1407" si="5122">AC1406/Y1406-1</f>
        <v>-8.0795951188879722E-2</v>
      </c>
      <c r="AD1407" s="1190">
        <f t="shared" ref="AD1407" si="5123">AD1406/Z1406-1</f>
        <v>-8.784931084332348E-2</v>
      </c>
      <c r="AE1407" s="1190">
        <f t="shared" ref="AE1407" si="5124">AE1406/AA1406-1</f>
        <v>-0.15514350452504522</v>
      </c>
      <c r="AF1407" s="1190">
        <f t="shared" ref="AF1407" si="5125">AF1406/AB1406-1</f>
        <v>-0.20305499813230576</v>
      </c>
      <c r="AG1407" s="1190">
        <f t="shared" ref="AG1407" si="5126">AG1406/AC1406-1</f>
        <v>-0.19416091844453509</v>
      </c>
      <c r="AH1407" s="1190">
        <f t="shared" ref="AH1407" si="5127">AH1406/AD1406-1</f>
        <v>-0.12174033357332792</v>
      </c>
      <c r="AI1407" s="1190">
        <f t="shared" ref="AI1407" si="5128">AI1406/AE1406-1</f>
        <v>-5.608218837361123E-2</v>
      </c>
      <c r="AJ1407" s="1190">
        <f t="shared" ref="AJ1407" si="5129">AJ1406/AF1406-1</f>
        <v>-4.3673597341185921E-2</v>
      </c>
      <c r="AK1407" s="1190">
        <f t="shared" ref="AK1407" si="5130">AK1406/AG1406-1</f>
        <v>-4.4947049506070536E-2</v>
      </c>
      <c r="AL1407" s="1190">
        <f t="shared" ref="AL1407" si="5131">AL1406/AH1406-1</f>
        <v>-0.10880326839656895</v>
      </c>
      <c r="AM1407" s="1190">
        <f t="shared" ref="AM1407:AN1407" si="5132">AM1406/AI1406-1</f>
        <v>-0.1194837970238033</v>
      </c>
      <c r="AN1407" s="1190">
        <f t="shared" si="5132"/>
        <v>-2.8918458443468964E-2</v>
      </c>
      <c r="AO1407" s="1190">
        <f t="shared" ref="AO1407" si="5133">AO1406/AK1406-1</f>
        <v>-3.1376328925941666E-2</v>
      </c>
      <c r="AP1407" s="1190">
        <f t="shared" ref="AP1407" si="5134">AP1406/AL1406-1</f>
        <v>-5.5674086151108138E-2</v>
      </c>
      <c r="AQ1407" s="1190">
        <f t="shared" ref="AQ1407" si="5135">AQ1406/AM1406-1</f>
        <v>-8.4307599848947312E-3</v>
      </c>
    </row>
    <row r="1408" spans="2:70">
      <c r="B1408" s="1191"/>
      <c r="C1408" s="100"/>
      <c r="D1408" s="1195"/>
      <c r="E1408" s="1195"/>
      <c r="F1408" s="1195"/>
      <c r="G1408" s="1195"/>
      <c r="H1408" s="1195"/>
      <c r="I1408" s="100"/>
      <c r="J1408" s="100"/>
      <c r="K1408" s="100"/>
      <c r="L1408" s="869"/>
      <c r="M1408" s="100"/>
      <c r="N1408" s="100"/>
      <c r="O1408" s="869"/>
      <c r="P1408" s="869"/>
      <c r="Q1408" s="869"/>
      <c r="R1408" s="869"/>
      <c r="S1408" s="1192"/>
      <c r="T1408" s="1193"/>
      <c r="U1408" s="1193"/>
      <c r="V1408" s="1193"/>
      <c r="W1408" s="1194"/>
      <c r="X1408" s="869"/>
      <c r="Y1408" s="869"/>
      <c r="Z1408" s="869"/>
      <c r="AA1408" s="869"/>
      <c r="AB1408" s="869"/>
      <c r="AC1408" s="869"/>
      <c r="AD1408" s="869"/>
      <c r="AE1408" s="100"/>
      <c r="AF1408" s="100"/>
      <c r="AG1408" s="1168"/>
      <c r="AH1408" s="1168"/>
      <c r="AI1408" s="1168"/>
      <c r="AJ1408" s="1168"/>
      <c r="AK1408" s="1168"/>
      <c r="AL1408" s="1168"/>
      <c r="AM1408" s="100"/>
      <c r="AN1408" s="100"/>
      <c r="AO1408" s="100"/>
      <c r="AP1408" s="100"/>
      <c r="AQ1408" s="100"/>
    </row>
    <row r="1409" spans="2:70">
      <c r="B1409" s="100" t="str">
        <f>+BQ1409&amp;" / "&amp;BR1409&amp;" - avg"</f>
        <v>USD / AUD - avg</v>
      </c>
      <c r="C1409" s="100"/>
      <c r="D1409" s="1189">
        <f>_xll.ciqfunctions.udf.CIQAVG("$"&amp;$BQ1409&amp;$BR1409,"iq_lastsaleprice",D$1397,D$1398)</f>
        <v>0.72573574892391302</v>
      </c>
      <c r="E1409" s="1189">
        <f>_xll.ciqfunctions.udf.CIQAVG("$"&amp;$BQ1409&amp;$BR1409,"iq_lastsaleprice",E$1397,E$1398)</f>
        <v>0.72009689840217395</v>
      </c>
      <c r="F1409" s="1189">
        <f>_xll.ciqfunctions.udf.CIQAVG("$"&amp;$BQ1409&amp;$BR1409,"iq_lastsaleprice",F$1397,F$1398)</f>
        <v>0.722171475296703</v>
      </c>
      <c r="G1409" s="1189">
        <f>_xll.ciqfunctions.udf.CIQAVG("$"&amp;$BQ1409&amp;$BR1409,"iq_lastsaleprice",G$1397,G$1398)</f>
        <v>0.74552602593406603</v>
      </c>
      <c r="H1409" s="1189">
        <f>_xll.ciqfunctions.udf.CIQAVG("$"&amp;$BQ1409&amp;$BR1409,"iq_lastsaleprice",H$1397,H$1398)</f>
        <v>0.75818231641304301</v>
      </c>
      <c r="I1409" s="1189">
        <f>_xll.ciqfunctions.udf.CIQAVG("$"&amp;$BQ1409&amp;$BR1409,"iq_lastsaleprice",I$1397,I$1398)</f>
        <v>0.74899602558241796</v>
      </c>
      <c r="J1409" s="1189">
        <f>_xll.ciqfunctions.udf.CIQAVG("$"&amp;$BQ1409&amp;$BR1409,"iq_lastsaleprice",J$1397,J$1398)</f>
        <v>0.75724265018681303</v>
      </c>
      <c r="K1409" s="1189">
        <f>_xll.ciqfunctions.udf.CIQAVG("$"&amp;$BQ1409&amp;$BR1409,"iq_lastsaleprice",K$1397,K$1398)</f>
        <v>0.75089085538461497</v>
      </c>
      <c r="L1409" s="1189">
        <f>_xll.ciqfunctions.udf.CIQAVG("$"&amp;$BQ1409&amp;$BR1409,"iq_lastsaleprice",L$1397,L$1398)</f>
        <v>0.789402467065217</v>
      </c>
      <c r="M1409" s="1189">
        <f>_xll.ciqfunctions.udf.CIQAVG("$"&amp;$BQ1409&amp;$BR1409,"iq_lastsaleprice",M$1397,M$1398)</f>
        <v>0.76883974793478305</v>
      </c>
      <c r="N1409" s="1189">
        <f>_xll.ciqfunctions.udf.CIQAVG("$"&amp;$BQ1409&amp;$BR1409,"iq_lastsaleprice",N$1397,N$1398)</f>
        <v>0.78595852403333299</v>
      </c>
      <c r="O1409" s="1189">
        <f>_xll.ciqfunctions.udf.CIQAVG("$"&amp;$BQ1409&amp;$BR1409,"iq_lastsaleprice",O$1397,O$1398)</f>
        <v>0.75673308298901099</v>
      </c>
      <c r="P1409" s="1189">
        <f>_xll.ciqfunctions.udf.CIQAVG("$"&amp;$BQ1409&amp;$BR1409,"iq_lastsaleprice",P$1397,P$1398)</f>
        <v>0.731453762347826</v>
      </c>
      <c r="Q1409" s="1189">
        <f>_xll.ciqfunctions.udf.CIQAVG("$"&amp;$BQ1409&amp;$BR1409,"iq_lastsaleprice",Q$1397,Q$1398)</f>
        <v>0.71705462071739101</v>
      </c>
      <c r="R1409" s="1189">
        <f>_xll.ciqfunctions.udf.CIQAVG("$"&amp;$BQ1409&amp;$BR1409,"iq_lastsaleprice",R$1397,R$1398)</f>
        <v>0.71239573451111105</v>
      </c>
      <c r="S1409" s="1189">
        <f>_xll.ciqfunctions.udf.CIQAVG("$"&amp;$BQ1409&amp;$BR1409,"iq_lastsaleprice",S$1397,S$1398)</f>
        <v>0.70015796537362596</v>
      </c>
      <c r="T1409" s="1189">
        <f>_xll.ciqfunctions.udf.CIQAVG("$"&amp;$BQ1409&amp;$BR1409,"iq_lastsaleprice",T$1397,T$1398)</f>
        <v>0.68563483993478302</v>
      </c>
      <c r="U1409" s="1189">
        <f>_xll.ciqfunctions.udf.CIQAVG("$"&amp;$BQ1409&amp;$BR1409,"iq_lastsaleprice",U$1397,U$1398)</f>
        <v>0.68359177069230803</v>
      </c>
      <c r="V1409" s="1189">
        <f>_xll.ciqfunctions.udf.CIQAVG("$"&amp;$BQ1409&amp;$BR1409,"iq_lastsaleprice",V$1397,V$1398)</f>
        <v>0.65925412347252699</v>
      </c>
      <c r="W1409" s="1189">
        <f>_xll.ciqfunctions.udf.CIQAVG("$"&amp;$BQ1409&amp;$BR1409,"iq_lastsaleprice",W$1397,W$1398)</f>
        <v>0.65647369641304298</v>
      </c>
      <c r="X1409" s="1189">
        <f>_xll.ciqfunctions.udf.CIQAVG("$"&amp;$BQ1409&amp;$BR1409,"iq_lastsaleprice",X$1397,X$1398)</f>
        <v>0.71486786391304302</v>
      </c>
      <c r="Y1409" s="1189">
        <f>_xll.ciqfunctions.udf.CIQAVG("$"&amp;$BQ1409&amp;$BR1409,"iq_lastsaleprice",Y$1397,Y$1398)</f>
        <v>0.73161962029347805</v>
      </c>
      <c r="Z1409" s="1189">
        <f>_xll.ciqfunctions.udf.CIQAVG("$"&amp;$BQ1409&amp;$BR1409,"iq_lastsaleprice",Z$1397,Z$1398)</f>
        <v>0.77246845768888905</v>
      </c>
      <c r="AA1409" s="1189">
        <f>_xll.ciqfunctions.udf.CIQAVG("$"&amp;$BQ1409&amp;$BR1409,"iq_lastsaleprice",AA$1397,AA$1398)</f>
        <v>0.76977440047252699</v>
      </c>
      <c r="AB1409" s="1189">
        <f>_xll.ciqfunctions.udf.CIQAVG("$"&amp;$BQ1409&amp;$BR1409,"iq_lastsaleprice",AB$1397,AB$1398)</f>
        <v>0.734846038141304</v>
      </c>
      <c r="AC1409" s="1189">
        <f>_xll.ciqfunctions.udf.CIQAVG("$"&amp;$BQ1409&amp;$BR1409,"iq_lastsaleprice",AC$1397,AC$1398)</f>
        <v>0.72854187193478304</v>
      </c>
      <c r="AD1409" s="1189">
        <f>_xll.ciqfunctions.udf.CIQAVG("$"&amp;$BQ1409&amp;$BR1409,"iq_lastsaleprice",AD$1397,AD$1398)</f>
        <v>0.72435712205555602</v>
      </c>
      <c r="AE1409" s="1189">
        <f>_xll.ciqfunctions.udf.CIQAVG("$"&amp;$BQ1409&amp;$BR1409,"iq_lastsaleprice",AE$1397,AE$1398)</f>
        <v>0.71469001858241799</v>
      </c>
      <c r="AF1409" s="1189">
        <f>_xll.ciqfunctions.udf.CIQAVG("$"&amp;$BQ1409&amp;$BR1409,"iq_lastsaleprice",AF$1397,AF$1398)</f>
        <v>0.68338674001075295</v>
      </c>
      <c r="AG1409" s="1189">
        <f>_xll.ciqfunctions.udf.CIQAVG("$"&amp;$BQ1409&amp;$BR1409,"iq_lastsaleprice",AG$1397,AG$1398)</f>
        <v>0.65767115471428605</v>
      </c>
      <c r="AH1409" s="1189">
        <f>_xll.ciqfunctions.udf.CIQAVG("$"&amp;$BQ1409&amp;$BR1409,"iq_lastsaleprice",AH$1397,AH$1398)</f>
        <v>0.68353567164444395</v>
      </c>
      <c r="AI1409" s="1189">
        <f>_xll.ciqfunctions.udf.CIQAVG("$"&amp;$BQ1409&amp;$BR1409,"iq_lastsaleprice",AI$1397,AI$1398)</f>
        <v>0.66799597618681295</v>
      </c>
      <c r="AJ1409" s="1189">
        <f>_xll.ciqfunctions.udf.CIQAVG("$"&amp;$BQ1409&amp;$BR1409,"iq_lastsaleprice",AJ$1397,AJ$1398)</f>
        <v>0.654933548054348</v>
      </c>
      <c r="AK1409" s="1189">
        <f>_xll.ciqfunctions.udf.CIQAVG("$"&amp;$BQ1409&amp;$BR1409,"iq_lastsaleprice",AK$1397,AK$1398)</f>
        <v>0.65163925598912997</v>
      </c>
      <c r="AL1409" s="1189">
        <f>_xll.ciqfunctions.udf.CIQAVG("$"&amp;$BQ1409&amp;$BR1409,"iq_lastsaleprice",AL$1397,AL$1398)</f>
        <v>0.65763037917582401</v>
      </c>
      <c r="AM1409" s="1189">
        <f>_xll.ciqfunctions.udf.CIQAVG("$"&amp;$BQ1409&amp;$BR1409,"iq_lastsaleprice",AM$1397,AM$1398)</f>
        <v>0.65898267661538501</v>
      </c>
      <c r="AN1409" s="1189">
        <f>_xll.ciqfunctions.udf.CIQAVG("$"&amp;$BQ1409&amp;$BR1409,"iq_lastsaleprice",AN$1397,AN$1398)</f>
        <v>0.66998495656521695</v>
      </c>
      <c r="AO1409" s="1189">
        <f>_xll.ciqfunctions.udf.CIQAVG("$"&amp;$BQ1409&amp;$BR1409,"iq_lastsaleprice",AO$1397,AO$1398)</f>
        <v>0.65203110776087003</v>
      </c>
      <c r="AP1409" s="1189">
        <f>_xll.ciqfunctions.udf.CIQAVG("$"&amp;$BQ1409&amp;$BR1409,"iq_lastsaleprice",AP$1397,AP$1398)</f>
        <v>0.62015779550000005</v>
      </c>
      <c r="AQ1409" s="1189">
        <f t="shared" ref="AQ1409" si="5136">+AP1409</f>
        <v>0.62015779550000005</v>
      </c>
      <c r="BQ1409" t="s">
        <v>673</v>
      </c>
      <c r="BR1409" t="s">
        <v>677</v>
      </c>
    </row>
    <row r="1410" spans="2:70">
      <c r="B1410" s="1160" t="s">
        <v>87</v>
      </c>
      <c r="C1410" s="872"/>
      <c r="D1410" s="872"/>
      <c r="E1410" s="872"/>
      <c r="F1410" s="872"/>
      <c r="G1410" s="872"/>
      <c r="H1410" s="1190">
        <f t="shared" ref="H1410" si="5137">H1409/D1409-1</f>
        <v>4.470851482408067E-2</v>
      </c>
      <c r="I1410" s="1190">
        <f t="shared" ref="I1410" si="5138">I1409/E1409-1</f>
        <v>4.0132275592865918E-2</v>
      </c>
      <c r="J1410" s="1190">
        <f t="shared" ref="J1410" si="5139">J1409/F1409-1</f>
        <v>4.8563500622481826E-2</v>
      </c>
      <c r="K1410" s="1190">
        <f t="shared" ref="K1410" si="5140">K1409/G1409-1</f>
        <v>7.1960324172819501E-3</v>
      </c>
      <c r="L1410" s="1190">
        <f t="shared" ref="L1410" si="5141">L1409/H1409-1</f>
        <v>4.1177629676034E-2</v>
      </c>
      <c r="M1410" s="1190">
        <f t="shared" ref="M1410" si="5142">M1409/I1409-1</f>
        <v>2.6493761882026901E-2</v>
      </c>
      <c r="N1410" s="1190">
        <f t="shared" ref="N1410" si="5143">N1409/J1409-1</f>
        <v>3.7921627683590975E-2</v>
      </c>
      <c r="O1410" s="1190">
        <f t="shared" ref="O1410" si="5144">O1409/K1409-1</f>
        <v>7.7803951965875751E-3</v>
      </c>
      <c r="P1410" s="1190">
        <f t="shared" ref="P1410" si="5145">P1409/L1409-1</f>
        <v>-7.3408314687472997E-2</v>
      </c>
      <c r="Q1410" s="1190">
        <f t="shared" ref="Q1410" si="5146">Q1409/M1409-1</f>
        <v>-6.735490374488895E-2</v>
      </c>
      <c r="R1410" s="1190">
        <f t="shared" ref="R1410" si="5147">R1409/N1409-1</f>
        <v>-9.3596274196145912E-2</v>
      </c>
      <c r="S1410" s="1190">
        <f t="shared" ref="S1410" si="5148">S1409/O1409-1</f>
        <v>-7.4762315652858291E-2</v>
      </c>
      <c r="T1410" s="1190">
        <f t="shared" ref="T1410" si="5149">T1409/P1409-1</f>
        <v>-6.2640900589496007E-2</v>
      </c>
      <c r="U1410" s="1190">
        <f t="shared" ref="U1410" si="5150">U1409/Q1409-1</f>
        <v>-4.6667086520695511E-2</v>
      </c>
      <c r="V1410" s="1190">
        <f t="shared" ref="V1410" si="5151">V1409/R1409-1</f>
        <v>-7.4595633387744886E-2</v>
      </c>
      <c r="W1410" s="1190">
        <f t="shared" ref="W1410" si="5152">W1409/S1409-1</f>
        <v>-6.2392018831452845E-2</v>
      </c>
      <c r="X1410" s="1190">
        <f t="shared" ref="X1410" si="5153">X1409/T1409-1</f>
        <v>4.2636433091761461E-2</v>
      </c>
      <c r="Y1410" s="1190">
        <f t="shared" ref="Y1410" si="5154">Y1409/U1409-1</f>
        <v>7.0258086273522258E-2</v>
      </c>
      <c r="Z1410" s="1190">
        <f t="shared" ref="Z1410" si="5155">Z1409/V1409-1</f>
        <v>0.17173094590599103</v>
      </c>
      <c r="AA1410" s="1190">
        <f t="shared" ref="AA1410" si="5156">AA1409/W1409-1</f>
        <v>0.17258986106915852</v>
      </c>
      <c r="AB1410" s="1190">
        <f t="shared" ref="AB1410" si="5157">AB1409/X1409-1</f>
        <v>2.7946667120976043E-2</v>
      </c>
      <c r="AC1410" s="1190">
        <f t="shared" ref="AC1410" si="5158">AC1409/Y1409-1</f>
        <v>-4.2067602799668036E-3</v>
      </c>
      <c r="AD1410" s="1190">
        <f t="shared" ref="AD1410" si="5159">AD1409/Z1409-1</f>
        <v>-6.2282589217008244E-2</v>
      </c>
      <c r="AE1410" s="1190">
        <f t="shared" ref="AE1410" si="5160">AE1409/AA1409-1</f>
        <v>-7.1559124148965481E-2</v>
      </c>
      <c r="AF1410" s="1190">
        <f t="shared" ref="AF1410" si="5161">AF1409/AB1409-1</f>
        <v>-7.0027319274538868E-2</v>
      </c>
      <c r="AG1410" s="1190">
        <f t="shared" ref="AG1410" si="5162">AG1409/AC1409-1</f>
        <v>-9.7277479786146204E-2</v>
      </c>
      <c r="AH1410" s="1190">
        <f t="shared" ref="AH1410" si="5163">AH1409/AD1409-1</f>
        <v>-5.6355420783701704E-2</v>
      </c>
      <c r="AI1410" s="1190">
        <f t="shared" ref="AI1410" si="5164">AI1409/AE1409-1</f>
        <v>-6.5334678226264153E-2</v>
      </c>
      <c r="AJ1410" s="1190">
        <f t="shared" ref="AJ1410" si="5165">AJ1409/AF1409-1</f>
        <v>-4.1635563423365829E-2</v>
      </c>
      <c r="AK1410" s="1190">
        <f t="shared" ref="AK1410" si="5166">AK1409/AG1409-1</f>
        <v>-9.1716029841335533E-3</v>
      </c>
      <c r="AL1410" s="1190">
        <f t="shared" ref="AL1410" si="5167">AL1409/AH1409-1</f>
        <v>-3.7898962034120687E-2</v>
      </c>
      <c r="AM1410" s="1190">
        <f t="shared" ref="AM1410:AN1410" si="5168">AM1409/AI1409-1</f>
        <v>-1.3493044707962865E-2</v>
      </c>
      <c r="AN1410" s="1190">
        <f t="shared" si="5168"/>
        <v>2.298158119336402E-2</v>
      </c>
      <c r="AO1410" s="1190">
        <f t="shared" ref="AO1410" si="5169">AO1409/AK1409-1</f>
        <v>6.0133236010351254E-4</v>
      </c>
      <c r="AP1410" s="1190">
        <f t="shared" ref="AP1410" si="5170">AP1409/AL1409-1</f>
        <v>-5.6981223590653607E-2</v>
      </c>
      <c r="AQ1410" s="1190">
        <f t="shared" ref="AQ1410" si="5171">AQ1409/AM1409-1</f>
        <v>-5.8916391117888378E-2</v>
      </c>
    </row>
    <row r="1411" spans="2:70">
      <c r="B1411" s="1191"/>
      <c r="C1411" s="100"/>
      <c r="D1411" s="100"/>
      <c r="E1411" s="100"/>
      <c r="F1411" s="100"/>
      <c r="G1411" s="100"/>
      <c r="H1411" s="1195"/>
      <c r="I1411" s="100"/>
      <c r="J1411" s="100"/>
      <c r="K1411" s="100"/>
      <c r="L1411" s="869"/>
      <c r="M1411" s="100"/>
      <c r="N1411" s="100"/>
      <c r="O1411" s="869"/>
      <c r="P1411" s="869"/>
      <c r="Q1411" s="869"/>
      <c r="R1411" s="869"/>
      <c r="S1411" s="1192"/>
      <c r="T1411" s="1193"/>
      <c r="U1411" s="1193"/>
      <c r="V1411" s="1193"/>
      <c r="W1411" s="1194"/>
      <c r="X1411" s="869"/>
      <c r="Y1411" s="869"/>
      <c r="Z1411" s="869"/>
      <c r="AA1411" s="869"/>
      <c r="AB1411" s="869"/>
      <c r="AC1411" s="869"/>
      <c r="AD1411" s="869"/>
      <c r="AE1411" s="100"/>
      <c r="AF1411" s="100"/>
      <c r="AG1411" s="100"/>
      <c r="AH1411" s="100"/>
      <c r="AI1411" s="100"/>
      <c r="AJ1411" s="100"/>
      <c r="AK1411" s="100"/>
      <c r="AL1411" s="100"/>
      <c r="AM1411" s="100"/>
      <c r="AN1411" s="100"/>
      <c r="AO1411" s="100"/>
      <c r="AP1411" s="100"/>
      <c r="AQ1411" s="100"/>
    </row>
    <row r="1412" spans="2:70">
      <c r="B1412" s="100" t="str">
        <f>+BQ1412&amp;" / "&amp;BR1412&amp;" - avg"</f>
        <v>USD / CAD - avg</v>
      </c>
      <c r="C1412" s="100"/>
      <c r="D1412" s="1189">
        <f>_xll.ciqfunctions.udf.CIQAVG("$"&amp;$BQ1412&amp;$BR1412,"iq_lastsaleprice",D$1397,D$1398)</f>
        <v>0.76475193631521698</v>
      </c>
      <c r="E1412" s="1189">
        <f>_xll.ciqfunctions.udf.CIQAVG("$"&amp;$BQ1412&amp;$BR1412,"iq_lastsaleprice",E$1397,E$1398)</f>
        <v>0.74915023963043503</v>
      </c>
      <c r="F1412" s="1189">
        <f>_xll.ciqfunctions.udf.CIQAVG("$"&amp;$BQ1412&amp;$BR1412,"iq_lastsaleprice",F$1397,F$1398)</f>
        <v>0.72895854964835205</v>
      </c>
      <c r="G1412" s="1189">
        <f>_xll.ciqfunctions.udf.CIQAVG("$"&amp;$BQ1412&amp;$BR1412,"iq_lastsaleprice",G$1397,G$1398)</f>
        <v>0.775943388934066</v>
      </c>
      <c r="H1412" s="1189">
        <f>_xll.ciqfunctions.udf.CIQAVG("$"&amp;$BQ1412&amp;$BR1412,"iq_lastsaleprice",H$1397,H$1398)</f>
        <v>0.766826954173913</v>
      </c>
      <c r="I1412" s="1189">
        <f>_xll.ciqfunctions.udf.CIQAVG("$"&amp;$BQ1412&amp;$BR1412,"iq_lastsaleprice",I$1397,I$1398)</f>
        <v>0.74917358729670303</v>
      </c>
      <c r="J1412" s="1189">
        <f>_xll.ciqfunctions.udf.CIQAVG("$"&amp;$BQ1412&amp;$BR1412,"iq_lastsaleprice",J$1397,J$1398)</f>
        <v>0.75537796090109899</v>
      </c>
      <c r="K1412" s="1189">
        <f>_xll.ciqfunctions.udf.CIQAVG("$"&amp;$BQ1412&amp;$BR1412,"iq_lastsaleprice",K$1397,K$1398)</f>
        <v>0.74349697171428597</v>
      </c>
      <c r="L1412" s="1189">
        <f>_xll.ciqfunctions.udf.CIQAVG("$"&amp;$BQ1412&amp;$BR1412,"iq_lastsaleprice",L$1397,L$1398)</f>
        <v>0.79812909647826102</v>
      </c>
      <c r="M1412" s="1189">
        <f>_xll.ciqfunctions.udf.CIQAVG("$"&amp;$BQ1412&amp;$BR1412,"iq_lastsaleprice",M$1397,M$1398)</f>
        <v>0.78696136421739105</v>
      </c>
      <c r="N1412" s="1189">
        <f>_xll.ciqfunctions.udf.CIQAVG("$"&amp;$BQ1412&amp;$BR1412,"iq_lastsaleprice",N$1397,N$1398)</f>
        <v>0.79088654824444404</v>
      </c>
      <c r="O1412" s="1189">
        <f>_xll.ciqfunctions.udf.CIQAVG("$"&amp;$BQ1412&amp;$BR1412,"iq_lastsaleprice",O$1397,O$1398)</f>
        <v>0.77456787107692304</v>
      </c>
      <c r="P1412" s="1189">
        <f>_xll.ciqfunctions.udf.CIQAVG("$"&amp;$BQ1412&amp;$BR1412,"iq_lastsaleprice",P$1397,P$1398)</f>
        <v>0.765164134836957</v>
      </c>
      <c r="Q1412" s="1189">
        <f>_xll.ciqfunctions.udf.CIQAVG("$"&amp;$BQ1412&amp;$BR1412,"iq_lastsaleprice",Q$1397,Q$1398)</f>
        <v>0.75660572377173896</v>
      </c>
      <c r="R1412" s="1189">
        <f>_xll.ciqfunctions.udf.CIQAVG("$"&amp;$BQ1412&amp;$BR1412,"iq_lastsaleprice",R$1397,R$1398)</f>
        <v>0.75197556938888899</v>
      </c>
      <c r="S1412" s="1189">
        <f>_xll.ciqfunctions.udf.CIQAVG("$"&amp;$BQ1412&amp;$BR1412,"iq_lastsaleprice",S$1397,S$1398)</f>
        <v>0.74758912873626404</v>
      </c>
      <c r="T1412" s="1189">
        <f>_xll.ciqfunctions.udf.CIQAVG("$"&amp;$BQ1412&amp;$BR1412,"iq_lastsaleprice",T$1397,T$1398)</f>
        <v>0.75728379883695696</v>
      </c>
      <c r="U1412" s="1189">
        <f>_xll.ciqfunctions.udf.CIQAVG("$"&amp;$BQ1412&amp;$BR1412,"iq_lastsaleprice",U$1397,U$1398)</f>
        <v>0.757510569802198</v>
      </c>
      <c r="V1412" s="1189">
        <f>_xll.ciqfunctions.udf.CIQAVG("$"&amp;$BQ1412&amp;$BR1412,"iq_lastsaleprice",V$1397,V$1398)</f>
        <v>0.74563203492307695</v>
      </c>
      <c r="W1412" s="1189">
        <f>_xll.ciqfunctions.udf.CIQAVG("$"&amp;$BQ1412&amp;$BR1412,"iq_lastsaleprice",W$1397,W$1398)</f>
        <v>0.72127864475000003</v>
      </c>
      <c r="X1412" s="1189">
        <f>_xll.ciqfunctions.udf.CIQAVG("$"&amp;$BQ1412&amp;$BR1412,"iq_lastsaleprice",X$1397,X$1398)</f>
        <v>0.75047014989130401</v>
      </c>
      <c r="Y1412" s="1189">
        <f>_xll.ciqfunctions.udf.CIQAVG("$"&amp;$BQ1412&amp;$BR1412,"iq_lastsaleprice",Y$1397,Y$1398)</f>
        <v>0.76757005682608703</v>
      </c>
      <c r="Z1412" s="1189">
        <f>_xll.ciqfunctions.udf.CIQAVG("$"&amp;$BQ1412&amp;$BR1412,"iq_lastsaleprice",Z$1397,Z$1398)</f>
        <v>0.78961225148888903</v>
      </c>
      <c r="AA1412" s="1189">
        <f>_xll.ciqfunctions.udf.CIQAVG("$"&amp;$BQ1412&amp;$BR1412,"iq_lastsaleprice",AA$1397,AA$1398)</f>
        <v>0.81406053913186804</v>
      </c>
      <c r="AB1412" s="1189">
        <f>_xll.ciqfunctions.udf.CIQAVG("$"&amp;$BQ1412&amp;$BR1412,"iq_lastsaleprice",AB$1397,AB$1398)</f>
        <v>0.79404060069565197</v>
      </c>
      <c r="AC1412" s="1189">
        <f>_xll.ciqfunctions.udf.CIQAVG("$"&amp;$BQ1412&amp;$BR1412,"iq_lastsaleprice",AC$1397,AC$1398)</f>
        <v>0.79345575553260905</v>
      </c>
      <c r="AD1412" s="1189">
        <f>_xll.ciqfunctions.udf.CIQAVG("$"&amp;$BQ1412&amp;$BR1412,"iq_lastsaleprice",AD$1397,AD$1398)</f>
        <v>0.789585579944444</v>
      </c>
      <c r="AE1412" s="1189">
        <f>_xll.ciqfunctions.udf.CIQAVG("$"&amp;$BQ1412&amp;$BR1412,"iq_lastsaleprice",AE$1397,AE$1398)</f>
        <v>0.78339116351648397</v>
      </c>
      <c r="AF1412" s="1189">
        <f>_xll.ciqfunctions.udf.CIQAVG("$"&amp;$BQ1412&amp;$BR1412,"iq_lastsaleprice",AF$1397,AF$1398)</f>
        <v>0.76611815864516097</v>
      </c>
      <c r="AG1412" s="1189">
        <f>_xll.ciqfunctions.udf.CIQAVG("$"&amp;$BQ1412&amp;$BR1412,"iq_lastsaleprice",AG$1397,AG$1398)</f>
        <v>0.736724893186813</v>
      </c>
      <c r="AH1412" s="1189">
        <f>_xll.ciqfunctions.udf.CIQAVG("$"&amp;$BQ1412&amp;$BR1412,"iq_lastsaleprice",AH$1397,AH$1398)</f>
        <v>0.73934111884444398</v>
      </c>
      <c r="AI1412" s="1189">
        <f>_xll.ciqfunctions.udf.CIQAVG("$"&amp;$BQ1412&amp;$BR1412,"iq_lastsaleprice",AI$1397,AI$1398)</f>
        <v>0.74439586630769194</v>
      </c>
      <c r="AJ1412" s="1189">
        <f>_xll.ciqfunctions.udf.CIQAVG("$"&amp;$BQ1412&amp;$BR1412,"iq_lastsaleprice",AJ$1397,AJ$1398)</f>
        <v>0.74565286138043496</v>
      </c>
      <c r="AK1412" s="1189">
        <f>_xll.ciqfunctions.udf.CIQAVG("$"&amp;$BQ1412&amp;$BR1412,"iq_lastsaleprice",AK$1397,AK$1398)</f>
        <v>0.73507463054347799</v>
      </c>
      <c r="AL1412" s="1189">
        <f>_xll.ciqfunctions.udf.CIQAVG("$"&amp;$BQ1412&amp;$BR1412,"iq_lastsaleprice",AL$1397,AL$1398)</f>
        <v>0.74171988781318698</v>
      </c>
      <c r="AM1412" s="1189">
        <f>_xll.ciqfunctions.udf.CIQAVG("$"&amp;$BQ1412&amp;$BR1412,"iq_lastsaleprice",AM$1397,AM$1398)</f>
        <v>0.73080099061538495</v>
      </c>
      <c r="AN1412" s="1189">
        <f>_xll.ciqfunctions.udf.CIQAVG("$"&amp;$BQ1412&amp;$BR1412,"iq_lastsaleprice",AN$1397,AN$1398)</f>
        <v>0.73311950492391298</v>
      </c>
      <c r="AO1412" s="1189">
        <f>_xll.ciqfunctions.udf.CIQAVG("$"&amp;$BQ1412&amp;$BR1412,"iq_lastsaleprice",AO$1397,AO$1398)</f>
        <v>0.71465860021739103</v>
      </c>
      <c r="AP1412" s="1189">
        <f>_xll.ciqfunctions.udf.CIQAVG("$"&amp;$BQ1412&amp;$BR1412,"iq_lastsaleprice",AP$1397,AP$1398)</f>
        <v>0.69495842699999999</v>
      </c>
      <c r="AQ1412" s="1189">
        <f t="shared" ref="AQ1412" si="5172">+AP1412</f>
        <v>0.69495842699999999</v>
      </c>
      <c r="BQ1412" t="s">
        <v>673</v>
      </c>
      <c r="BR1412" t="s">
        <v>678</v>
      </c>
    </row>
    <row r="1413" spans="2:70">
      <c r="B1413" s="1160" t="s">
        <v>87</v>
      </c>
      <c r="C1413" s="872"/>
      <c r="D1413" s="872"/>
      <c r="E1413" s="872"/>
      <c r="F1413" s="872"/>
      <c r="G1413" s="872"/>
      <c r="H1413" s="1190">
        <f t="shared" ref="H1413" si="5173">H1412/D1412-1</f>
        <v>2.7133214839494268E-3</v>
      </c>
      <c r="I1413" s="1190">
        <f t="shared" ref="I1413" si="5174">I1412/E1412-1</f>
        <v>3.1165532670129892E-5</v>
      </c>
      <c r="J1413" s="1190">
        <f t="shared" ref="J1413" si="5175">J1412/F1412-1</f>
        <v>3.6242679731915528E-2</v>
      </c>
      <c r="K1413" s="1190">
        <f t="shared" ref="K1413" si="5176">K1412/G1412-1</f>
        <v>-4.1815443861636048E-2</v>
      </c>
      <c r="L1413" s="1190">
        <f t="shared" ref="L1413" si="5177">L1412/H1412-1</f>
        <v>4.082034692960046E-2</v>
      </c>
      <c r="M1413" s="1190">
        <f t="shared" ref="M1413" si="5178">M1412/I1412-1</f>
        <v>5.0439280777423434E-2</v>
      </c>
      <c r="N1413" s="1190">
        <f t="shared" ref="N1413" si="5179">N1412/J1412-1</f>
        <v>4.7007708963320072E-2</v>
      </c>
      <c r="O1413" s="1190">
        <f t="shared" ref="O1413" si="5180">O1412/K1412-1</f>
        <v>4.179021642952585E-2</v>
      </c>
      <c r="P1413" s="1190">
        <f t="shared" ref="P1413" si="5181">P1412/L1412-1</f>
        <v>-4.1302793980023678E-2</v>
      </c>
      <c r="Q1413" s="1190">
        <f t="shared" ref="Q1413" si="5182">Q1412/M1412-1</f>
        <v>-3.8573228402184467E-2</v>
      </c>
      <c r="R1413" s="1190">
        <f t="shared" ref="R1413" si="5183">R1412/N1412-1</f>
        <v>-4.9199191643766071E-2</v>
      </c>
      <c r="S1413" s="1190">
        <f t="shared" ref="S1413" si="5184">S1412/O1412-1</f>
        <v>-3.4830701540910836E-2</v>
      </c>
      <c r="T1413" s="1190">
        <f t="shared" ref="T1413" si="5185">T1412/P1412-1</f>
        <v>-1.0298883130060998E-2</v>
      </c>
      <c r="U1413" s="1190">
        <f t="shared" ref="U1413" si="5186">U1412/Q1412-1</f>
        <v>1.1959280798832239E-3</v>
      </c>
      <c r="V1413" s="1190">
        <f t="shared" ref="V1413" si="5187">V1412/R1412-1</f>
        <v>-8.4358252103419185E-3</v>
      </c>
      <c r="W1413" s="1190">
        <f t="shared" ref="W1413" si="5188">W1412/S1412-1</f>
        <v>-3.5193775531139226E-2</v>
      </c>
      <c r="X1413" s="1190">
        <f t="shared" ref="X1413" si="5189">X1412/T1412-1</f>
        <v>-8.9974841084906609E-3</v>
      </c>
      <c r="Y1413" s="1190">
        <f t="shared" ref="Y1413" si="5190">Y1412/U1412-1</f>
        <v>1.3279665558350917E-2</v>
      </c>
      <c r="Z1413" s="1190">
        <f t="shared" ref="Z1413" si="5191">Z1412/V1412-1</f>
        <v>5.8983807703955948E-2</v>
      </c>
      <c r="AA1413" s="1190">
        <f t="shared" ref="AA1413" si="5192">AA1412/W1412-1</f>
        <v>0.12863529934956941</v>
      </c>
      <c r="AB1413" s="1190">
        <f t="shared" ref="AB1413" si="5193">AB1412/X1412-1</f>
        <v>5.8057540077588232E-2</v>
      </c>
      <c r="AC1413" s="1190">
        <f t="shared" ref="AC1413" si="5194">AC1412/Y1412-1</f>
        <v>3.3724216410368824E-2</v>
      </c>
      <c r="AD1413" s="1190">
        <f t="shared" ref="AD1413" si="5195">AD1412/Z1412-1</f>
        <v>-3.377802762649651E-5</v>
      </c>
      <c r="AE1413" s="1190">
        <f t="shared" ref="AE1413" si="5196">AE1412/AA1412-1</f>
        <v>-3.7674563673225747E-2</v>
      </c>
      <c r="AF1413" s="1190">
        <f t="shared" ref="AF1413" si="5197">AF1412/AB1412-1</f>
        <v>-3.5165005449379283E-2</v>
      </c>
      <c r="AG1413" s="1190">
        <f t="shared" ref="AG1413" si="5198">AG1412/AC1412-1</f>
        <v>-7.1498457160620532E-2</v>
      </c>
      <c r="AH1413" s="1190">
        <f t="shared" ref="AH1413" si="5199">AH1412/AD1412-1</f>
        <v>-6.3633964925670639E-2</v>
      </c>
      <c r="AI1413" s="1190">
        <f t="shared" ref="AI1413" si="5200">AI1412/AE1412-1</f>
        <v>-4.9777555613149893E-2</v>
      </c>
      <c r="AJ1413" s="1190">
        <f t="shared" ref="AJ1413" si="5201">AJ1412/AF1412-1</f>
        <v>-2.6712977670334537E-2</v>
      </c>
      <c r="AK1413" s="1190">
        <f t="shared" ref="AK1413" si="5202">AK1412/AG1412-1</f>
        <v>-2.2399984832826014E-3</v>
      </c>
      <c r="AL1413" s="1190">
        <f t="shared" ref="AL1413" si="5203">AL1412/AH1412-1</f>
        <v>3.2174173843608767E-3</v>
      </c>
      <c r="AM1413" s="1190">
        <f t="shared" ref="AM1413:AN1413" si="5204">AM1412/AI1412-1</f>
        <v>-1.8262965053445934E-2</v>
      </c>
      <c r="AN1413" s="1190">
        <f t="shared" si="5204"/>
        <v>-1.6808567505955607E-2</v>
      </c>
      <c r="AO1413" s="1190">
        <f t="shared" ref="AO1413" si="5205">AO1412/AK1412-1</f>
        <v>-2.7774091878252305E-2</v>
      </c>
      <c r="AP1413" s="1190">
        <f t="shared" ref="AP1413" si="5206">AP1412/AL1412-1</f>
        <v>-6.3044636636417906E-2</v>
      </c>
      <c r="AQ1413" s="1190">
        <f t="shared" ref="AQ1413" si="5207">AQ1412/AM1412-1</f>
        <v>-4.9045587069063812E-2</v>
      </c>
    </row>
    <row r="1414" spans="2:70">
      <c r="B1414" s="100"/>
      <c r="C1414" s="100"/>
      <c r="D1414" s="100"/>
      <c r="E1414" s="100"/>
      <c r="F1414" s="100"/>
      <c r="G1414" s="100"/>
      <c r="H1414" s="100"/>
      <c r="I1414" s="100"/>
      <c r="J1414" s="100"/>
      <c r="K1414" s="100"/>
      <c r="L1414" s="100"/>
      <c r="M1414" s="100"/>
      <c r="N1414" s="100"/>
      <c r="O1414" s="100"/>
      <c r="P1414" s="100"/>
      <c r="Q1414" s="100"/>
      <c r="R1414" s="100"/>
      <c r="S1414" s="100"/>
      <c r="T1414" s="100"/>
      <c r="U1414" s="100"/>
      <c r="V1414" s="100"/>
      <c r="W1414" s="100"/>
      <c r="X1414" s="100"/>
      <c r="Y1414" s="100"/>
      <c r="Z1414" s="100"/>
      <c r="AA1414" s="100"/>
      <c r="AB1414" s="100"/>
      <c r="AC1414" s="100"/>
      <c r="AD1414" s="100"/>
      <c r="AE1414" s="100"/>
      <c r="AF1414" s="100"/>
      <c r="AG1414" s="100"/>
      <c r="AH1414" s="100"/>
      <c r="AI1414" s="100"/>
      <c r="AJ1414" s="100"/>
      <c r="AK1414" s="100"/>
      <c r="AL1414" s="100"/>
      <c r="AM1414" s="100"/>
      <c r="AN1414" s="100"/>
      <c r="AO1414" s="100"/>
      <c r="AP1414" s="100"/>
      <c r="AQ1414" s="100"/>
    </row>
    <row r="1415" spans="2:70">
      <c r="B1415" s="100"/>
      <c r="C1415" s="100"/>
      <c r="D1415" s="100"/>
      <c r="E1415" s="100"/>
      <c r="F1415" s="100"/>
      <c r="G1415" s="100"/>
      <c r="H1415" s="100"/>
      <c r="I1415" s="100"/>
      <c r="J1415" s="100"/>
      <c r="K1415" s="100"/>
      <c r="L1415" s="100"/>
      <c r="M1415" s="100"/>
      <c r="N1415" s="100"/>
      <c r="O1415" s="100"/>
      <c r="P1415" s="100"/>
      <c r="Q1415" s="100"/>
      <c r="R1415" s="100"/>
      <c r="S1415" s="100"/>
      <c r="T1415" s="100"/>
      <c r="U1415" s="100"/>
      <c r="V1415" s="100"/>
      <c r="W1415" s="100"/>
      <c r="X1415" s="100"/>
      <c r="Y1415" s="100"/>
      <c r="Z1415" s="100"/>
      <c r="AA1415" s="100"/>
      <c r="AB1415" s="100"/>
      <c r="AC1415" s="100"/>
      <c r="AD1415" s="100"/>
      <c r="AE1415" s="100"/>
      <c r="AF1415" s="100"/>
      <c r="AG1415" s="100"/>
      <c r="AH1415" s="100"/>
      <c r="AI1415" s="100"/>
      <c r="AJ1415" s="100"/>
      <c r="AK1415" s="100"/>
      <c r="AL1415" s="100"/>
      <c r="AM1415" s="100"/>
      <c r="AN1415" s="100"/>
      <c r="AO1415" s="100"/>
      <c r="AP1415" s="100"/>
      <c r="AQ1415" s="100"/>
    </row>
    <row r="1417" spans="2:70">
      <c r="BK1417" t="s">
        <v>692</v>
      </c>
      <c r="BL1417" t="s">
        <v>693</v>
      </c>
      <c r="BM1417" t="s">
        <v>268</v>
      </c>
      <c r="BN1417" t="s">
        <v>269</v>
      </c>
      <c r="BO1417" t="s">
        <v>270</v>
      </c>
    </row>
    <row r="1419" spans="2:70">
      <c r="P1419" t="str">
        <f t="shared" ref="P1419:AF1419" si="5208">+P6</f>
        <v>1Q19</v>
      </c>
      <c r="Q1419" t="str">
        <f t="shared" si="5208"/>
        <v>2Q19</v>
      </c>
      <c r="R1419" t="str">
        <f t="shared" si="5208"/>
        <v>3Q19</v>
      </c>
      <c r="S1419" t="str">
        <f t="shared" si="5208"/>
        <v>4Q19</v>
      </c>
      <c r="T1419" t="str">
        <f t="shared" si="5208"/>
        <v>1Q20</v>
      </c>
      <c r="U1419" t="str">
        <f t="shared" si="5208"/>
        <v>2Q20</v>
      </c>
      <c r="V1419" t="str">
        <f t="shared" si="5208"/>
        <v>3Q20</v>
      </c>
      <c r="W1419" t="str">
        <f t="shared" si="5208"/>
        <v>4Q20</v>
      </c>
      <c r="X1419" t="str">
        <f t="shared" si="5208"/>
        <v>1Q21</v>
      </c>
      <c r="Y1419" t="str">
        <f t="shared" si="5208"/>
        <v>2Q21</v>
      </c>
      <c r="Z1419" t="str">
        <f t="shared" si="5208"/>
        <v>3Q21</v>
      </c>
      <c r="AA1419" t="str">
        <f t="shared" si="5208"/>
        <v>4Q21</v>
      </c>
      <c r="AB1419" t="str">
        <f t="shared" si="5208"/>
        <v>1Q22</v>
      </c>
      <c r="AC1419" t="str">
        <f t="shared" si="5208"/>
        <v>2Q22</v>
      </c>
      <c r="AD1419" t="str">
        <f t="shared" si="5208"/>
        <v>3Q22</v>
      </c>
      <c r="AE1419" t="str">
        <f t="shared" si="5208"/>
        <v>4Q22</v>
      </c>
      <c r="AF1419" t="str">
        <f t="shared" si="5208"/>
        <v>1Q23</v>
      </c>
    </row>
    <row r="1420" spans="2:70">
      <c r="B1420" t="s">
        <v>694</v>
      </c>
      <c r="P1420" s="912">
        <f t="shared" ref="P1420:AE1420" si="5209">+P14</f>
        <v>0.18546010269785637</v>
      </c>
      <c r="Q1420" s="912">
        <f t="shared" si="5209"/>
        <v>0.12631371464139982</v>
      </c>
      <c r="R1420" s="912">
        <f t="shared" si="5209"/>
        <v>0.16</v>
      </c>
      <c r="S1420" s="912">
        <f t="shared" si="5209"/>
        <v>0.14324347681568889</v>
      </c>
      <c r="T1420" s="912">
        <f t="shared" si="5209"/>
        <v>0.15429033145372026</v>
      </c>
      <c r="U1420" s="912">
        <f t="shared" si="5209"/>
        <v>0.15197037356410337</v>
      </c>
      <c r="V1420" s="912">
        <f t="shared" si="5209"/>
        <v>0.15910928657878379</v>
      </c>
      <c r="W1420" s="912">
        <f t="shared" si="5209"/>
        <v>0.14502413322656227</v>
      </c>
      <c r="X1420" s="912">
        <f t="shared" si="5209"/>
        <v>0.12050704885796401</v>
      </c>
      <c r="Y1420" s="912">
        <f t="shared" si="5209"/>
        <v>0.15363536010404813</v>
      </c>
      <c r="Z1420" s="912">
        <f t="shared" si="5209"/>
        <v>0.16171448844978725</v>
      </c>
      <c r="AA1420" s="912">
        <f t="shared" si="5209"/>
        <v>0.17445905660873451</v>
      </c>
      <c r="AB1420" s="912">
        <f t="shared" si="5209"/>
        <v>0.20385421219787908</v>
      </c>
      <c r="AC1420" s="912">
        <f t="shared" si="5209"/>
        <v>0.20078497539232981</v>
      </c>
      <c r="AD1420" s="912">
        <f t="shared" si="5209"/>
        <v>0.20149706517047911</v>
      </c>
      <c r="AE1420" s="912">
        <f t="shared" si="5209"/>
        <v>0.16459280637892182</v>
      </c>
      <c r="AF1420" s="912">
        <v>0.16</v>
      </c>
      <c r="BK1420" s="8">
        <f>SUM(R12:U12)</f>
        <v>134249</v>
      </c>
      <c r="BL1420" s="8">
        <f>SUM(V12:Y12)</f>
        <v>153284</v>
      </c>
      <c r="BM1420" s="8">
        <f>SUM(Z12:AC12)</f>
        <v>184903</v>
      </c>
      <c r="BN1420" s="8">
        <f>SUM(AD12:AG12)</f>
        <v>204094</v>
      </c>
      <c r="BO1420" s="8">
        <f>SUM(AH12:AK12)</f>
        <v>227583</v>
      </c>
      <c r="BP1420" s="8"/>
    </row>
    <row r="1421" spans="2:70">
      <c r="B1421" t="s">
        <v>695</v>
      </c>
      <c r="L1421" s="912">
        <f t="shared" ref="L1421:AE1421" si="5210">+L326</f>
        <v>0.09</v>
      </c>
      <c r="M1421" s="912">
        <f t="shared" si="5210"/>
        <v>0.04</v>
      </c>
      <c r="N1421" s="912">
        <f t="shared" si="5210"/>
        <v>0.18</v>
      </c>
      <c r="O1421" s="912">
        <f t="shared" si="5210"/>
        <v>0.18</v>
      </c>
      <c r="P1421" s="912">
        <f t="shared" si="5210"/>
        <v>0.16</v>
      </c>
      <c r="Q1421" s="912">
        <f t="shared" si="5210"/>
        <v>0.22</v>
      </c>
      <c r="R1421" s="912">
        <f t="shared" si="5210"/>
        <v>0.34</v>
      </c>
      <c r="S1421" s="912">
        <f t="shared" si="5210"/>
        <v>0.25</v>
      </c>
      <c r="T1421" s="912">
        <f t="shared" si="5210"/>
        <v>0.35</v>
      </c>
      <c r="U1421" s="912">
        <f t="shared" si="5210"/>
        <v>0.3</v>
      </c>
      <c r="V1421" s="912">
        <f t="shared" si="5210"/>
        <v>0.12</v>
      </c>
      <c r="W1421" s="912">
        <f t="shared" si="5210"/>
        <v>0.14000000000000001</v>
      </c>
      <c r="X1421" s="912">
        <f t="shared" si="5210"/>
        <v>0.18</v>
      </c>
      <c r="Y1421" s="912">
        <f t="shared" si="5210"/>
        <v>0.11</v>
      </c>
      <c r="Z1421" s="912">
        <f t="shared" si="5210"/>
        <v>0.38</v>
      </c>
      <c r="AA1421" s="912">
        <f t="shared" si="5210"/>
        <v>0.25</v>
      </c>
      <c r="AB1421" s="912">
        <f t="shared" si="5210"/>
        <v>0.14000000000000001</v>
      </c>
      <c r="AC1421" s="912">
        <f t="shared" si="5210"/>
        <v>0.37</v>
      </c>
      <c r="AD1421" s="912">
        <f t="shared" si="5210"/>
        <v>0.35</v>
      </c>
      <c r="AE1421" s="912">
        <f t="shared" si="5210"/>
        <v>0.35</v>
      </c>
      <c r="AF1421" s="912">
        <v>0.16</v>
      </c>
      <c r="BL1421" s="912">
        <f>+BL1420/BK1420-1</f>
        <v>0.1417887656518857</v>
      </c>
      <c r="BM1421" s="912">
        <f t="shared" ref="BM1421:BO1421" si="5211">+BM1420/BL1420-1</f>
        <v>0.20627723702408596</v>
      </c>
      <c r="BN1421" s="912">
        <f t="shared" si="5211"/>
        <v>0.10378955452318239</v>
      </c>
      <c r="BO1421" s="912">
        <f t="shared" si="5211"/>
        <v>0.11508912559898876</v>
      </c>
      <c r="BP1421" s="912"/>
    </row>
    <row r="1423" spans="2:70">
      <c r="P1423" t="s">
        <v>218</v>
      </c>
      <c r="Q1423" t="s">
        <v>219</v>
      </c>
      <c r="R1423" t="s">
        <v>220</v>
      </c>
      <c r="S1423" t="s">
        <v>221</v>
      </c>
      <c r="T1423" t="s">
        <v>222</v>
      </c>
      <c r="U1423" t="s">
        <v>223</v>
      </c>
      <c r="V1423" t="s">
        <v>224</v>
      </c>
      <c r="W1423" t="s">
        <v>225</v>
      </c>
      <c r="X1423" t="s">
        <v>226</v>
      </c>
      <c r="Y1423" t="s">
        <v>227</v>
      </c>
      <c r="Z1423" t="s">
        <v>228</v>
      </c>
      <c r="AA1423" t="s">
        <v>229</v>
      </c>
      <c r="AB1423" t="s">
        <v>230</v>
      </c>
      <c r="AC1423" t="s">
        <v>231</v>
      </c>
      <c r="AD1423" t="s">
        <v>232</v>
      </c>
      <c r="AE1423" t="s">
        <v>233</v>
      </c>
      <c r="AF1423" t="s">
        <v>234</v>
      </c>
      <c r="BK1423" s="8">
        <f>SUM(R89:U89)</f>
        <v>61347</v>
      </c>
      <c r="BL1423" s="8">
        <f>SUM(V89:Y89)</f>
        <v>72183</v>
      </c>
      <c r="BM1423" s="8">
        <f>SUM(Z89:AC89)</f>
        <v>91616</v>
      </c>
      <c r="BN1423" s="8">
        <f>SUM(AD89:AG89)</f>
        <v>98176</v>
      </c>
      <c r="BO1423" s="8">
        <f>SUM(AH89:AK89)</f>
        <v>118466</v>
      </c>
      <c r="BP1423" s="8"/>
    </row>
    <row r="1424" spans="2:70">
      <c r="B1424" t="s">
        <v>696</v>
      </c>
      <c r="P1424" s="912">
        <f>+Q1420</f>
        <v>0.12631371464139982</v>
      </c>
      <c r="Q1424" s="912">
        <f t="shared" ref="Q1424:AE1424" si="5212">+R1420</f>
        <v>0.16</v>
      </c>
      <c r="R1424" s="912">
        <f t="shared" si="5212"/>
        <v>0.14324347681568889</v>
      </c>
      <c r="S1424" s="912">
        <f t="shared" si="5212"/>
        <v>0.15429033145372026</v>
      </c>
      <c r="T1424" s="912">
        <f t="shared" si="5212"/>
        <v>0.15197037356410337</v>
      </c>
      <c r="U1424" s="912">
        <f t="shared" si="5212"/>
        <v>0.15910928657878379</v>
      </c>
      <c r="V1424" s="912">
        <f t="shared" si="5212"/>
        <v>0.14502413322656227</v>
      </c>
      <c r="W1424" s="912">
        <f t="shared" si="5212"/>
        <v>0.12050704885796401</v>
      </c>
      <c r="X1424" s="912">
        <f t="shared" si="5212"/>
        <v>0.15363536010404813</v>
      </c>
      <c r="Y1424" s="912">
        <f t="shared" si="5212"/>
        <v>0.16171448844978725</v>
      </c>
      <c r="Z1424" s="912">
        <f t="shared" si="5212"/>
        <v>0.17445905660873451</v>
      </c>
      <c r="AA1424" s="912">
        <f t="shared" si="5212"/>
        <v>0.20385421219787908</v>
      </c>
      <c r="AB1424" s="912">
        <f t="shared" si="5212"/>
        <v>0.20078497539232981</v>
      </c>
      <c r="AC1424" s="912">
        <f t="shared" si="5212"/>
        <v>0.20149706517047911</v>
      </c>
      <c r="AD1424" s="912">
        <f t="shared" si="5212"/>
        <v>0.16459280637892182</v>
      </c>
      <c r="AE1424" s="912">
        <f t="shared" si="5212"/>
        <v>0.16</v>
      </c>
      <c r="AF1424" s="912"/>
      <c r="BK1424" s="8">
        <f>SUM(R114:U114)</f>
        <v>-18000</v>
      </c>
      <c r="BL1424" s="8">
        <f>SUM(V114:Y114)</f>
        <v>-20600</v>
      </c>
      <c r="BM1424" s="8">
        <f>SUM(Z114:AC114)</f>
        <v>-27500</v>
      </c>
      <c r="BN1424" s="8">
        <f>SUM(AD114:AG114)</f>
        <v>-28400</v>
      </c>
      <c r="BO1424" s="8">
        <f>SUM(AH114:AK114)</f>
        <v>-41200</v>
      </c>
      <c r="BP1424" s="8"/>
    </row>
    <row r="1425" spans="2:68">
      <c r="B1425" t="s">
        <v>697</v>
      </c>
      <c r="P1425" s="912">
        <v>0.16</v>
      </c>
      <c r="Q1425" s="912">
        <v>0.22</v>
      </c>
      <c r="R1425" s="912">
        <v>0.34</v>
      </c>
      <c r="S1425" s="912">
        <v>0.25</v>
      </c>
      <c r="T1425" s="912">
        <v>0.35</v>
      </c>
      <c r="U1425" s="912">
        <v>0.3</v>
      </c>
      <c r="V1425" s="912">
        <v>0.12</v>
      </c>
      <c r="W1425" s="912">
        <v>0.14000000000000001</v>
      </c>
      <c r="X1425" s="912">
        <v>0.18</v>
      </c>
      <c r="Y1425" s="912">
        <v>0.11</v>
      </c>
      <c r="Z1425" s="912">
        <v>0.38</v>
      </c>
      <c r="AA1425" s="912">
        <v>0.25</v>
      </c>
      <c r="AB1425" s="912">
        <v>0.14000000000000001</v>
      </c>
      <c r="AC1425" s="912">
        <v>0.37</v>
      </c>
      <c r="AD1425" s="912">
        <v>0.35</v>
      </c>
      <c r="AE1425" s="912">
        <v>0.35</v>
      </c>
      <c r="AF1425" s="912">
        <v>0.16</v>
      </c>
      <c r="BK1425" s="8">
        <f>+BK1424+BK1423</f>
        <v>43347</v>
      </c>
      <c r="BL1425" s="8">
        <f t="shared" ref="BL1425:BO1425" si="5213">+BL1424+BL1423</f>
        <v>51583</v>
      </c>
      <c r="BM1425" s="8">
        <f t="shared" si="5213"/>
        <v>64116</v>
      </c>
      <c r="BN1425" s="8">
        <f t="shared" si="5213"/>
        <v>69776</v>
      </c>
      <c r="BO1425" s="8">
        <f t="shared" si="5213"/>
        <v>77266</v>
      </c>
      <c r="BP1425" s="8"/>
    </row>
    <row r="1426" spans="2:68">
      <c r="BK1426" s="9">
        <f t="shared" ref="BK1426:BN1426" si="5214">+BK1425/BK1420</f>
        <v>0.32288508666731225</v>
      </c>
      <c r="BL1426" s="9">
        <f t="shared" si="5214"/>
        <v>0.33651914094099838</v>
      </c>
      <c r="BM1426" s="9">
        <f t="shared" si="5214"/>
        <v>0.34675478494129353</v>
      </c>
      <c r="BN1426" s="9">
        <f t="shared" si="5214"/>
        <v>0.34188168197007263</v>
      </c>
      <c r="BO1426" s="9">
        <f>+BO1425/BO1420</f>
        <v>0.33950690517305776</v>
      </c>
      <c r="BP1426" s="9"/>
    </row>
    <row r="1427" spans="2:68">
      <c r="P1427" t="s">
        <v>218</v>
      </c>
      <c r="Q1427" t="s">
        <v>219</v>
      </c>
      <c r="R1427" t="s">
        <v>220</v>
      </c>
      <c r="S1427" t="s">
        <v>221</v>
      </c>
      <c r="T1427" t="s">
        <v>222</v>
      </c>
      <c r="U1427" t="s">
        <v>223</v>
      </c>
      <c r="V1427" t="s">
        <v>224</v>
      </c>
      <c r="W1427" t="s">
        <v>225</v>
      </c>
      <c r="X1427" t="s">
        <v>226</v>
      </c>
      <c r="Y1427" t="s">
        <v>227</v>
      </c>
      <c r="Z1427" t="s">
        <v>228</v>
      </c>
      <c r="AA1427" t="s">
        <v>229</v>
      </c>
      <c r="AB1427" t="s">
        <v>230</v>
      </c>
      <c r="AC1427" t="s">
        <v>231</v>
      </c>
      <c r="AD1427" t="s">
        <v>232</v>
      </c>
      <c r="AE1427" t="s">
        <v>233</v>
      </c>
      <c r="AF1427" t="s">
        <v>234</v>
      </c>
    </row>
    <row r="1428" spans="2:68">
      <c r="B1428" t="s">
        <v>698</v>
      </c>
      <c r="P1428" s="912">
        <f t="shared" ref="P1428:AE1428" si="5215">+P1420+L1420</f>
        <v>0.18546010269785637</v>
      </c>
      <c r="Q1428" s="912">
        <f t="shared" si="5215"/>
        <v>0.12631371464139982</v>
      </c>
      <c r="R1428" s="912">
        <f t="shared" si="5215"/>
        <v>0.16</v>
      </c>
      <c r="S1428" s="912">
        <f t="shared" si="5215"/>
        <v>0.14324347681568889</v>
      </c>
      <c r="T1428" s="912">
        <f t="shared" si="5215"/>
        <v>0.33975043415157663</v>
      </c>
      <c r="U1428" s="912">
        <f t="shared" si="5215"/>
        <v>0.27828408820550321</v>
      </c>
      <c r="V1428" s="912">
        <f t="shared" si="5215"/>
        <v>0.31910928657878379</v>
      </c>
      <c r="W1428" s="912">
        <f t="shared" si="5215"/>
        <v>0.28826761004225115</v>
      </c>
      <c r="X1428" s="912">
        <f t="shared" si="5215"/>
        <v>0.27479738031168427</v>
      </c>
      <c r="Y1428" s="912">
        <f t="shared" si="5215"/>
        <v>0.30560573366815147</v>
      </c>
      <c r="Z1428" s="912">
        <f t="shared" si="5215"/>
        <v>0.32082377502857107</v>
      </c>
      <c r="AA1428" s="912">
        <f t="shared" si="5215"/>
        <v>0.31948318983529678</v>
      </c>
      <c r="AB1428" s="912">
        <f t="shared" si="5215"/>
        <v>0.32436126105584306</v>
      </c>
      <c r="AC1428" s="912">
        <f t="shared" si="5215"/>
        <v>0.35442033549637797</v>
      </c>
      <c r="AD1428" s="912">
        <f t="shared" si="5215"/>
        <v>0.36321155362026636</v>
      </c>
      <c r="AE1428" s="912">
        <f t="shared" si="5215"/>
        <v>0.33905186298765633</v>
      </c>
      <c r="AF1428" s="912">
        <f>+AF1420+AB1420</f>
        <v>0.36385421219787906</v>
      </c>
    </row>
    <row r="1429" spans="2:68">
      <c r="B1429" t="s">
        <v>699</v>
      </c>
      <c r="P1429" s="912">
        <f t="shared" ref="P1429:AE1429" si="5216">+P1421+L1421</f>
        <v>0.25</v>
      </c>
      <c r="Q1429" s="912">
        <f t="shared" si="5216"/>
        <v>0.26</v>
      </c>
      <c r="R1429" s="912">
        <f t="shared" si="5216"/>
        <v>0.52</v>
      </c>
      <c r="S1429" s="912">
        <f t="shared" si="5216"/>
        <v>0.43</v>
      </c>
      <c r="T1429" s="912">
        <f t="shared" si="5216"/>
        <v>0.51</v>
      </c>
      <c r="U1429" s="912">
        <f t="shared" si="5216"/>
        <v>0.52</v>
      </c>
      <c r="V1429" s="912">
        <f t="shared" si="5216"/>
        <v>0.46</v>
      </c>
      <c r="W1429" s="912">
        <f t="shared" si="5216"/>
        <v>0.39</v>
      </c>
      <c r="X1429" s="912">
        <f t="shared" si="5216"/>
        <v>0.53</v>
      </c>
      <c r="Y1429" s="912">
        <f t="shared" si="5216"/>
        <v>0.41</v>
      </c>
      <c r="Z1429" s="912">
        <f t="shared" si="5216"/>
        <v>0.5</v>
      </c>
      <c r="AA1429" s="912">
        <f t="shared" si="5216"/>
        <v>0.39</v>
      </c>
      <c r="AB1429" s="912">
        <f t="shared" si="5216"/>
        <v>0.32</v>
      </c>
      <c r="AC1429" s="912">
        <f t="shared" si="5216"/>
        <v>0.48</v>
      </c>
      <c r="AD1429" s="912">
        <f t="shared" si="5216"/>
        <v>0.73</v>
      </c>
      <c r="AE1429" s="912">
        <f t="shared" si="5216"/>
        <v>0.6</v>
      </c>
      <c r="AF1429" s="912">
        <f>+AF1421+AB1421</f>
        <v>0.30000000000000004</v>
      </c>
    </row>
    <row r="1432" spans="2:68">
      <c r="BK1432" s="8"/>
      <c r="BL1432" s="8"/>
      <c r="BM1432" s="8"/>
      <c r="BN1432" s="8"/>
      <c r="BO1432" s="8"/>
      <c r="BP1432" s="8"/>
    </row>
    <row r="1443" spans="63:68">
      <c r="BK1443" s="8"/>
      <c r="BL1443" s="8"/>
      <c r="BM1443" s="8"/>
      <c r="BN1443" s="8"/>
      <c r="BO1443" s="8"/>
      <c r="BP1443" s="8"/>
    </row>
    <row r="1449" spans="63:68">
      <c r="BK1449" s="8"/>
      <c r="BL1449" s="8"/>
      <c r="BM1449" s="8"/>
      <c r="BN1449" s="8"/>
      <c r="BO1449" s="8"/>
      <c r="BP1449" s="8"/>
    </row>
    <row r="1452" spans="63:68">
      <c r="BK1452" s="8"/>
      <c r="BL1452" s="8"/>
      <c r="BM1452" s="8"/>
      <c r="BN1452" s="8"/>
      <c r="BO1452" s="8"/>
      <c r="BP1452" s="8"/>
    </row>
  </sheetData>
  <hyperlinks>
    <hyperlink ref="T788" r:id="rId1" tooltip="Operating Income_x000a_ FY: 2019, FQ: 2_x000a_ Period End Date: Jun-30-2019_x000a_ Filing Date: Aug-04-2020_x000a_ Period Type: Quarterly_x000a_ Value: 358.0, Currency: USD, Millions" display="javascript:void(0);" xr:uid="{E4BAE026-7DA0-4504-831C-BF2670F434AC}"/>
    <hyperlink ref="U788" r:id="rId2" tooltip="Operating Income_x000a_ FY: 2019, FQ: 3_x000a_ Period End Date: Sep-30-2019_x000a_ Filing Date: Oct-29-2020_x000a_ Period Type: Quarterly_x000a_ Value: 271.0, Currency: USD, Millions" display="javascript:void(0);" xr:uid="{334C42F9-C3B8-4241-9281-818128F39805}"/>
    <hyperlink ref="V788" r:id="rId3" tooltip="Operating Income_x000a_ FY: 2019, FQ: 4_x000a_ Period End Date: Dec-31-2019_x000a_ Filing Date: Feb-23-2021_x000a_ Period Type: Quarterly_x000a_ Value: 487.0, Currency: USD, Millions" display="javascript:void(0);" xr:uid="{C4E238BF-6AEF-4670-8DA3-A2BDB18B03E4}"/>
    <hyperlink ref="W788" r:id="rId4" tooltip="Operating Income_x000a_ FY: 2020, FQ: 1_x000a_ Period End Date: Mar-31-2020_x000a_ Filing Date: May-04-2021_x000a_ Period Type: Quarterly_x000a_ Value: 635.0, Currency: USD, Millions" display="javascript:void(0);" xr:uid="{4BC416E2-B293-486B-B890-DBDAE3E66750}"/>
    <hyperlink ref="W770" r:id="rId5" tooltip="Revenue_x000a_ FY: 2020, FQ: 2_x000a_ Period End Date: Jun-30-2020_x000a_ Filing Date: Aug-03-2021_x000a_ Period Type: Quarterly_x000a_ Value: 1,932.0, Currency: USD, Millions" display="javascript:void(0);" xr:uid="{EE5211F0-23E1-47A5-9A7F-0523987E0430}"/>
    <hyperlink ref="V770" r:id="rId6" tooltip="Revenue_x000a_ FY: 2020, FQ: 1_x000a_ Period End Date: Mar-31-2020_x000a_ Filing Date: May-04-2021_x000a_ Period Type: Quarterly_x000a_ Value: 1,788.0, Currency: USD, Millions" display="javascript:void(0);" xr:uid="{CCAE0F21-E0F0-42D6-B9E7-F8D88D96C922}"/>
    <hyperlink ref="U770" r:id="rId7" tooltip="Revenue_x000a_ FY: 2019, FQ: 4_x000a_ Period End Date: Dec-31-2019_x000a_ Filing Date: Feb-23-2021_x000a_ Period Type: Quarterly_x000a_ Value: 1,986.0, Currency: USD, Millions" display="javascript:void(0);" xr:uid="{13A8B1D4-5B36-40AC-8666-7FF132570229}"/>
    <hyperlink ref="T770" r:id="rId8" tooltip="Revenue_x000a_ FY: 2019, FQ: 3_x000a_ Period End Date: Sep-30-2019_x000a_ Filing Date: Oct-29-2020_x000a_ Period Type: Quarterly_x000a_ Value: 1,282.0, Currency: USD, Millions" display="javascript:void(0);" xr:uid="{7A34ABB0-8694-4997-9459-8631A971EDC2}"/>
  </hyperlinks>
  <pageMargins left="0.3" right="0.3" top="0.3" bottom="0.3" header="0.3" footer="0.3"/>
  <pageSetup scale="43" fitToHeight="0" orientation="landscape" r:id="rId9"/>
  <headerFooter>
    <oddFooter>Page &amp;P</oddFooter>
  </headerFooter>
  <rowBreaks count="13" manualBreakCount="13">
    <brk id="148" min="1" max="67" man="1"/>
    <brk id="329" min="1" max="67" man="1"/>
    <brk id="415" min="1" max="67" man="1"/>
    <brk id="538" min="1" max="67" man="1"/>
    <brk id="600" min="1" max="67" man="1"/>
    <brk id="695" min="1" max="67" man="1"/>
    <brk id="793" min="1" max="67" man="1"/>
    <brk id="898" min="1" max="67" man="1"/>
    <brk id="949" min="1" max="67" man="1"/>
    <brk id="1052" min="1" max="63" man="1"/>
    <brk id="1137" min="1" max="63" man="1"/>
    <brk id="1205" min="1" max="63" man="1"/>
    <brk id="1349" min="1" max="63" man="1"/>
  </rowBreaks>
  <drawing r:id="rId10"/>
  <legacyDrawing r:id="rId1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704A8-C442-4108-AD77-5B88A22D4E6D}">
  <sheetPr>
    <pageSetUpPr fitToPage="1"/>
  </sheetPr>
  <dimension ref="A1:AA63"/>
  <sheetViews>
    <sheetView view="pageBreakPreview" zoomScale="85" zoomScaleNormal="100" zoomScaleSheetLayoutView="85" workbookViewId="0">
      <selection activeCell="B6" sqref="B6"/>
    </sheetView>
  </sheetViews>
  <sheetFormatPr defaultRowHeight="9.9499999999999993"/>
  <cols>
    <col min="1" max="1" width="30.83203125" bestFit="1" customWidth="1"/>
    <col min="13" max="13" width="9.83203125" style="27" customWidth="1"/>
    <col min="14" max="14" width="28.1640625" customWidth="1"/>
    <col min="27" max="27" width="10" bestFit="1" customWidth="1"/>
  </cols>
  <sheetData>
    <row r="1" spans="1:27">
      <c r="A1" t="s">
        <v>60</v>
      </c>
      <c r="AA1" s="240">
        <f ca="1">TODAY()</f>
        <v>45797</v>
      </c>
    </row>
    <row r="2" spans="1:27" s="73" customFormat="1" ht="10.5">
      <c r="A2" s="2" t="s">
        <v>700</v>
      </c>
      <c r="M2" s="1303"/>
    </row>
    <row r="4" spans="1:27" ht="13.5">
      <c r="B4" s="1274" t="s">
        <v>701</v>
      </c>
      <c r="C4" s="1275"/>
      <c r="D4" s="1275"/>
      <c r="E4" s="1275"/>
      <c r="F4" s="1275"/>
      <c r="G4" s="1275"/>
      <c r="H4" s="1275"/>
      <c r="I4" s="1275"/>
      <c r="J4" s="1275"/>
      <c r="K4" s="1275"/>
      <c r="L4" s="1275"/>
      <c r="O4" s="1276" t="s">
        <v>702</v>
      </c>
      <c r="P4" s="1277"/>
      <c r="Q4" s="1277"/>
      <c r="R4" s="1277"/>
      <c r="S4" s="1277"/>
      <c r="T4" s="1277"/>
      <c r="U4" s="1277"/>
      <c r="V4" s="1277"/>
      <c r="W4" s="1277"/>
      <c r="X4" s="1277"/>
      <c r="Y4" s="1277"/>
    </row>
    <row r="5" spans="1:27" ht="13.5">
      <c r="B5" s="821" t="s">
        <v>205</v>
      </c>
      <c r="C5" s="31"/>
      <c r="D5" s="31"/>
      <c r="E5" s="31"/>
      <c r="F5" s="31"/>
      <c r="G5" s="31"/>
      <c r="H5" s="31"/>
      <c r="I5" s="31"/>
      <c r="J5" s="6"/>
      <c r="K5" s="821" t="s">
        <v>205</v>
      </c>
      <c r="L5" s="31"/>
      <c r="O5" s="821" t="s">
        <v>205</v>
      </c>
      <c r="P5" s="31"/>
      <c r="Q5" s="31"/>
      <c r="R5" s="31"/>
      <c r="S5" s="31"/>
      <c r="T5" s="31"/>
      <c r="U5" s="31"/>
      <c r="V5" s="31"/>
      <c r="W5" s="6"/>
      <c r="X5" s="821" t="s">
        <v>205</v>
      </c>
      <c r="Y5" s="31"/>
    </row>
    <row r="6" spans="1:27" ht="13.5">
      <c r="B6" s="6" t="s">
        <v>234</v>
      </c>
      <c r="C6" s="6" t="s">
        <v>235</v>
      </c>
      <c r="D6" s="6" t="s">
        <v>236</v>
      </c>
      <c r="E6" s="6" t="s">
        <v>237</v>
      </c>
      <c r="F6" s="6" t="s">
        <v>238</v>
      </c>
      <c r="G6" s="6" t="s">
        <v>239</v>
      </c>
      <c r="H6" s="6" t="s">
        <v>240</v>
      </c>
      <c r="I6" s="6" t="s">
        <v>241</v>
      </c>
      <c r="J6" s="6"/>
      <c r="K6" s="6" t="s">
        <v>191</v>
      </c>
      <c r="L6" s="6" t="s">
        <v>263</v>
      </c>
      <c r="O6" s="6" t="s">
        <v>234</v>
      </c>
      <c r="P6" s="6" t="s">
        <v>235</v>
      </c>
      <c r="Q6" s="6" t="s">
        <v>236</v>
      </c>
      <c r="R6" s="6" t="s">
        <v>237</v>
      </c>
      <c r="S6" s="6" t="s">
        <v>238</v>
      </c>
      <c r="T6" s="6" t="s">
        <v>239</v>
      </c>
      <c r="U6" s="6" t="s">
        <v>240</v>
      </c>
      <c r="V6" s="6" t="s">
        <v>241</v>
      </c>
      <c r="W6" s="6"/>
      <c r="X6" s="6" t="s">
        <v>191</v>
      </c>
      <c r="Y6" s="6" t="s">
        <v>263</v>
      </c>
      <c r="AA6" s="6" t="s">
        <v>703</v>
      </c>
    </row>
    <row r="7" spans="1:27" s="1302" customFormat="1" ht="10.5">
      <c r="A7" s="1301" t="s">
        <v>336</v>
      </c>
      <c r="M7" s="1304"/>
      <c r="N7" s="1301" t="s">
        <v>336</v>
      </c>
    </row>
    <row r="8" spans="1:27">
      <c r="A8" t="str">
        <f>'Historical Financials'!B514</f>
        <v>Office Commercial (old segmentation)</v>
      </c>
      <c r="B8" s="8">
        <f>'Historical Financials'!AF514</f>
        <v>10062.602910399026</v>
      </c>
      <c r="C8" s="8">
        <f>'Historical Financials'!AG514</f>
        <v>10430.912246960534</v>
      </c>
      <c r="D8" s="8">
        <f>'Historical Financials'!AH514</f>
        <v>10935.572649889929</v>
      </c>
      <c r="E8" s="8">
        <f>'Historical Financials'!AI514</f>
        <v>11290.027450494945</v>
      </c>
      <c r="F8" s="8">
        <f>'Historical Financials'!AJ514</f>
        <v>11571.99334695888</v>
      </c>
      <c r="G8" s="8">
        <f>'Historical Financials'!AK514</f>
        <v>11995.549084004613</v>
      </c>
      <c r="H8" s="8">
        <f>'Historical Financials'!AL514</f>
        <v>12357.197094375619</v>
      </c>
      <c r="I8" s="8">
        <f>'Historical Financials'!AM514</f>
        <v>12644.83074455434</v>
      </c>
      <c r="J8" s="8"/>
      <c r="K8" s="8">
        <f>SUM(B8:E8)</f>
        <v>42719.11525774443</v>
      </c>
      <c r="L8" s="8">
        <f>SUM(F8:I8)</f>
        <v>48569.570269893447</v>
      </c>
      <c r="M8" s="27" t="s">
        <v>704</v>
      </c>
      <c r="N8" t="str">
        <f>'Historical Financials'!B391</f>
        <v>Microsoft 365 Commercial products and services</v>
      </c>
      <c r="O8" s="8">
        <f>'Historical Financials'!AF391</f>
        <v>15671.602910399026</v>
      </c>
      <c r="P8" s="8">
        <f>'Historical Financials'!AG391</f>
        <v>16030.912246960534</v>
      </c>
      <c r="Q8" s="8">
        <f>'Historical Financials'!AH391</f>
        <v>17345.572649889931</v>
      </c>
      <c r="R8" s="8">
        <f>'Historical Financials'!AI391</f>
        <v>18548.027450494945</v>
      </c>
      <c r="S8" s="8">
        <f>'Historical Financials'!AJ391</f>
        <v>18205.99334695888</v>
      </c>
      <c r="T8" s="8">
        <f>'Historical Financials'!AK391</f>
        <v>18600.549084004611</v>
      </c>
      <c r="U8" s="8">
        <f>'Historical Financials'!AL391</f>
        <v>19900.197094375621</v>
      </c>
      <c r="V8" s="8">
        <f>'Historical Financials'!AM391</f>
        <v>20954.83074455434</v>
      </c>
      <c r="W8" s="8"/>
      <c r="X8" s="8">
        <f>SUM(O8:R8)</f>
        <v>67596.11525774443</v>
      </c>
      <c r="Y8" s="8">
        <f>SUM(S8:V8)</f>
        <v>77661.570269893447</v>
      </c>
    </row>
    <row r="9" spans="1:27">
      <c r="A9" t="str">
        <f>'Historical Financials'!B515</f>
        <v>Office Consumer (old segmentation)</v>
      </c>
      <c r="B9" s="8">
        <f>'Historical Financials'!AF515</f>
        <v>1485.3970896009741</v>
      </c>
      <c r="C9" s="8">
        <f>'Historical Financials'!AG515</f>
        <v>1406.0877530394664</v>
      </c>
      <c r="D9" s="8">
        <f>'Historical Financials'!AH515</f>
        <v>1501.3671005408587</v>
      </c>
      <c r="E9" s="8">
        <f>'Historical Financials'!AI515</f>
        <v>1605.3768982055428</v>
      </c>
      <c r="F9" s="8">
        <f>'Historical Financials'!AJ515</f>
        <v>1529.9590022890034</v>
      </c>
      <c r="G9" s="8">
        <f>'Historical Financials'!AK515</f>
        <v>1476.3921406914399</v>
      </c>
      <c r="H9" s="8">
        <f>'Historical Financials'!AL515</f>
        <v>1561.421784562493</v>
      </c>
      <c r="I9" s="8">
        <f>'Historical Financials'!AM515</f>
        <v>1653.5382051517092</v>
      </c>
      <c r="J9" s="8"/>
      <c r="K9" s="8">
        <f t="shared" ref="K9" si="0">SUM(B9:E9)</f>
        <v>5998.2288413868419</v>
      </c>
      <c r="L9" s="8">
        <f t="shared" ref="L9" si="1">SUM(F9:I9)</f>
        <v>6221.3111326946446</v>
      </c>
      <c r="M9" s="27" t="s">
        <v>704</v>
      </c>
      <c r="N9" t="str">
        <f>'Historical Financials'!B392</f>
        <v>Microsoft 365 Consumer products and services</v>
      </c>
      <c r="O9" s="8">
        <f>'Historical Financials'!AF392</f>
        <v>1485.3970896009741</v>
      </c>
      <c r="P9" s="8">
        <f>'Historical Financials'!AG392</f>
        <v>1406.0877530394664</v>
      </c>
      <c r="Q9" s="8">
        <f>'Historical Financials'!AH392</f>
        <v>1501.3671005408587</v>
      </c>
      <c r="R9" s="8">
        <f>'Historical Financials'!AI392</f>
        <v>1605.3768982055428</v>
      </c>
      <c r="S9" s="8">
        <f>'Historical Financials'!AJ392</f>
        <v>1529.9590022890034</v>
      </c>
      <c r="T9" s="8">
        <f>'Historical Financials'!AK392</f>
        <v>1476.3921406914399</v>
      </c>
      <c r="U9" s="8">
        <f>'Historical Financials'!AL392</f>
        <v>1561.421784562493</v>
      </c>
      <c r="V9" s="8">
        <f>'Historical Financials'!AM392</f>
        <v>1653.5382051517092</v>
      </c>
      <c r="W9" s="8"/>
      <c r="X9" s="8">
        <f t="shared" ref="X9" si="2">SUM(O9:R9)</f>
        <v>5998.2288413868419</v>
      </c>
      <c r="Y9" s="8">
        <f t="shared" ref="Y9" si="3">SUM(S9:V9)</f>
        <v>6221.3111326946446</v>
      </c>
    </row>
    <row r="11" spans="1:27">
      <c r="A11" s="24" t="s">
        <v>113</v>
      </c>
      <c r="N11" s="24" t="s">
        <v>113</v>
      </c>
    </row>
    <row r="12" spans="1:27">
      <c r="A12" s="13" t="str">
        <f>A8</f>
        <v>Office Commercial (old segmentation)</v>
      </c>
      <c r="B12" s="228"/>
      <c r="C12" s="228"/>
      <c r="D12" s="228"/>
      <c r="E12" s="228"/>
      <c r="F12" s="228">
        <f>F8/B8-1</f>
        <v>0.14999999999999991</v>
      </c>
      <c r="G12" s="228">
        <f t="shared" ref="G12:I12" si="4">G8/C8-1</f>
        <v>0.14999999999999991</v>
      </c>
      <c r="H12" s="228">
        <f t="shared" si="4"/>
        <v>0.12999999999999989</v>
      </c>
      <c r="I12" s="228">
        <f t="shared" si="4"/>
        <v>0.12000000000000011</v>
      </c>
      <c r="J12" s="228"/>
      <c r="K12" s="228"/>
      <c r="L12" s="228">
        <f>L8/K8-1</f>
        <v>0.13695168958557513</v>
      </c>
      <c r="M12" s="1305"/>
      <c r="N12" s="13" t="str">
        <f>N8</f>
        <v>Microsoft 365 Commercial products and services</v>
      </c>
      <c r="O12" s="228"/>
      <c r="P12" s="228"/>
      <c r="Q12" s="228"/>
      <c r="R12" s="228"/>
      <c r="S12" s="228">
        <f>S8/O8-1</f>
        <v>0.16171864812106351</v>
      </c>
      <c r="T12" s="228">
        <f t="shared" ref="T12:T13" si="5">T8/P8-1</f>
        <v>0.16029261450989996</v>
      </c>
      <c r="U12" s="228">
        <f t="shared" ref="U12:U13" si="6">U8/Q8-1</f>
        <v>0.1472781842403974</v>
      </c>
      <c r="V12" s="228">
        <f t="shared" ref="V12:V13" si="7">V8/R8-1</f>
        <v>0.1297606066458119</v>
      </c>
      <c r="W12" s="228"/>
      <c r="X12" s="228"/>
      <c r="Y12" s="228">
        <f>Y8/X8-1</f>
        <v>0.14890582060476953</v>
      </c>
      <c r="AA12" s="228">
        <f>Y12-L12</f>
        <v>1.1954131019194403E-2</v>
      </c>
    </row>
    <row r="13" spans="1:27">
      <c r="A13" s="13" t="str">
        <f>A9</f>
        <v>Office Consumer (old segmentation)</v>
      </c>
      <c r="B13" s="228"/>
      <c r="C13" s="228"/>
      <c r="D13" s="228"/>
      <c r="E13" s="228"/>
      <c r="F13" s="228">
        <f t="shared" ref="F13:I13" si="8">F9/B9-1</f>
        <v>3.0000000000000027E-2</v>
      </c>
      <c r="G13" s="228">
        <f t="shared" si="8"/>
        <v>5.0000000000000044E-2</v>
      </c>
      <c r="H13" s="228">
        <f t="shared" si="8"/>
        <v>4.0000000000000036E-2</v>
      </c>
      <c r="I13" s="228">
        <f t="shared" si="8"/>
        <v>3.0000000000000027E-2</v>
      </c>
      <c r="J13" s="228"/>
      <c r="K13" s="228"/>
      <c r="L13" s="228">
        <f>L9/K9-1</f>
        <v>3.7191360517719874E-2</v>
      </c>
      <c r="M13" s="1305"/>
      <c r="N13" s="13" t="str">
        <f>N9</f>
        <v>Microsoft 365 Consumer products and services</v>
      </c>
      <c r="O13" s="228"/>
      <c r="P13" s="228"/>
      <c r="Q13" s="228"/>
      <c r="R13" s="228"/>
      <c r="S13" s="228">
        <f t="shared" ref="S13" si="9">S9/O9-1</f>
        <v>3.0000000000000027E-2</v>
      </c>
      <c r="T13" s="228">
        <f t="shared" si="5"/>
        <v>5.0000000000000044E-2</v>
      </c>
      <c r="U13" s="228">
        <f t="shared" si="6"/>
        <v>4.0000000000000036E-2</v>
      </c>
      <c r="V13" s="228">
        <f t="shared" si="7"/>
        <v>3.0000000000000027E-2</v>
      </c>
      <c r="W13" s="228"/>
      <c r="X13" s="228"/>
      <c r="Y13" s="228">
        <f>Y9/X9-1</f>
        <v>3.7191360517719874E-2</v>
      </c>
      <c r="AA13" s="228">
        <f t="shared" ref="AA13" si="10">Y13-L13</f>
        <v>0</v>
      </c>
    </row>
    <row r="16" spans="1:27" s="1" customFormat="1" ht="10.5">
      <c r="A16" s="1279" t="s">
        <v>705</v>
      </c>
      <c r="B16" s="1280">
        <f>'Historical Financials'!AF520</f>
        <v>16465</v>
      </c>
      <c r="C16" s="1280">
        <f>'Historical Financials'!AG520</f>
        <v>17002</v>
      </c>
      <c r="D16" s="1280">
        <f>'Historical Financials'!AH520</f>
        <v>17516</v>
      </c>
      <c r="E16" s="1280">
        <f>'Historical Financials'!AI520</f>
        <v>18291</v>
      </c>
      <c r="F16" s="1280">
        <f>'Historical Financials'!AJ520</f>
        <v>18592</v>
      </c>
      <c r="G16" s="1280">
        <f>'Historical Financials'!AK520</f>
        <v>19249</v>
      </c>
      <c r="H16" s="1280">
        <f>'Historical Financials'!AL520</f>
        <v>19570</v>
      </c>
      <c r="I16" s="1280">
        <f>'Historical Financials'!AM520</f>
        <v>20317</v>
      </c>
      <c r="J16" s="1281"/>
      <c r="K16" s="1280">
        <f t="shared" ref="K16" si="11">SUM(B16:E16)</f>
        <v>69274</v>
      </c>
      <c r="L16" s="1280">
        <f t="shared" ref="L16" si="12">SUM(F16:I16)</f>
        <v>77728</v>
      </c>
      <c r="M16" s="1306"/>
      <c r="N16" s="1281" t="s">
        <v>705</v>
      </c>
      <c r="O16" s="1280">
        <f>'Historical Financials'!AF396</f>
        <v>22074</v>
      </c>
      <c r="P16" s="1280">
        <f>'Historical Financials'!AG396</f>
        <v>22602</v>
      </c>
      <c r="Q16" s="1280">
        <f>'Historical Financials'!AH396</f>
        <v>23926</v>
      </c>
      <c r="R16" s="1280">
        <f>'Historical Financials'!AI396</f>
        <v>25549</v>
      </c>
      <c r="S16" s="1280">
        <f>'Historical Financials'!AJ396</f>
        <v>25226</v>
      </c>
      <c r="T16" s="1280">
        <f>'Historical Financials'!AK396</f>
        <v>25854</v>
      </c>
      <c r="U16" s="1280">
        <f>'Historical Financials'!AL396</f>
        <v>27113</v>
      </c>
      <c r="V16" s="1280">
        <f>'Historical Financials'!AM396</f>
        <v>28627</v>
      </c>
      <c r="W16" s="1281"/>
      <c r="X16" s="1280">
        <f t="shared" ref="X16" si="13">SUM(O16:R16)</f>
        <v>94151</v>
      </c>
      <c r="Y16" s="1280">
        <f t="shared" ref="Y16" si="14">SUM(S16:V16)</f>
        <v>106820</v>
      </c>
      <c r="Z16" s="1281"/>
      <c r="AA16" s="1286"/>
    </row>
    <row r="17" spans="1:27">
      <c r="A17" s="1282" t="s">
        <v>113</v>
      </c>
      <c r="B17" s="1283"/>
      <c r="C17" s="1283"/>
      <c r="D17" s="1283"/>
      <c r="E17" s="1283"/>
      <c r="F17" s="1283">
        <f t="shared" ref="F17" si="15">F16/B16-1</f>
        <v>0.12918311569996965</v>
      </c>
      <c r="G17" s="1283">
        <f t="shared" ref="G17" si="16">G16/C16-1</f>
        <v>0.13216092224444176</v>
      </c>
      <c r="H17" s="1283">
        <f t="shared" ref="H17" si="17">H16/D16-1</f>
        <v>0.11726421557433198</v>
      </c>
      <c r="I17" s="1283">
        <f t="shared" ref="I17" si="18">I16/E16-1</f>
        <v>0.1107648570335138</v>
      </c>
      <c r="J17" s="238"/>
      <c r="K17" s="238"/>
      <c r="L17" s="1283">
        <f>L16/K16-1</f>
        <v>0.12203712792678356</v>
      </c>
      <c r="M17" s="1303"/>
      <c r="N17" s="1284" t="s">
        <v>113</v>
      </c>
      <c r="O17" s="1283"/>
      <c r="P17" s="1283"/>
      <c r="Q17" s="1283"/>
      <c r="R17" s="1283"/>
      <c r="S17" s="1283">
        <f t="shared" ref="S17" si="19">S16/O16-1</f>
        <v>0.1427924254779378</v>
      </c>
      <c r="T17" s="1283">
        <f t="shared" ref="T17" si="20">T16/P16-1</f>
        <v>0.14388107247146276</v>
      </c>
      <c r="U17" s="1283">
        <f t="shared" ref="U17" si="21">U16/Q16-1</f>
        <v>0.13320237398645829</v>
      </c>
      <c r="V17" s="1283">
        <f t="shared" ref="V17" si="22">V16/R16-1</f>
        <v>0.12047438255900422</v>
      </c>
      <c r="W17" s="238"/>
      <c r="X17" s="238"/>
      <c r="Y17" s="1283">
        <f>Y16/X16-1</f>
        <v>0.13456044014402391</v>
      </c>
      <c r="Z17" s="73"/>
      <c r="AA17" s="1285">
        <f>Y17-L17</f>
        <v>1.2523312217240345E-2</v>
      </c>
    </row>
    <row r="20" spans="1:27" s="1302" customFormat="1" ht="10.5">
      <c r="A20" s="1301" t="s">
        <v>337</v>
      </c>
      <c r="M20" s="1304"/>
      <c r="N20" s="1301" t="s">
        <v>337</v>
      </c>
    </row>
    <row r="21" spans="1:27">
      <c r="A21" t="str">
        <f>'Historical Financials'!B643</f>
        <v>Power BI and EMS Revenue (old segmentation)</v>
      </c>
      <c r="B21" s="8">
        <f>'Historical Financials'!AF643</f>
        <v>3440</v>
      </c>
      <c r="C21" s="8">
        <f>'Historical Financials'!AG643</f>
        <v>3582</v>
      </c>
      <c r="D21" s="8">
        <f>'Historical Financials'!AH643</f>
        <v>3837.0000000000018</v>
      </c>
      <c r="E21" s="8">
        <f>'Historical Financials'!AI643</f>
        <v>4104.0000000000018</v>
      </c>
      <c r="F21" s="8">
        <f>'Historical Financials'!AJ643</f>
        <v>4246</v>
      </c>
      <c r="G21" s="8">
        <f>'Historical Financials'!AK643</f>
        <v>4355</v>
      </c>
      <c r="H21" s="8">
        <f>'Historical Financials'!AL643</f>
        <v>4567</v>
      </c>
      <c r="I21" s="8">
        <f>'Historical Financials'!AM643</f>
        <v>4730</v>
      </c>
      <c r="K21" s="8">
        <f>SUM(B21:E21)</f>
        <v>14963.000000000004</v>
      </c>
      <c r="L21" s="8">
        <f>SUM(F21:I21)</f>
        <v>17898</v>
      </c>
      <c r="M21" s="27" t="s">
        <v>704</v>
      </c>
      <c r="N21" t="s">
        <v>273</v>
      </c>
      <c r="O21" s="41" t="s">
        <v>273</v>
      </c>
      <c r="P21" s="41" t="s">
        <v>273</v>
      </c>
      <c r="Q21" s="41" t="s">
        <v>273</v>
      </c>
      <c r="R21" s="41" t="s">
        <v>273</v>
      </c>
      <c r="S21" s="41" t="s">
        <v>273</v>
      </c>
      <c r="T21" s="41" t="s">
        <v>273</v>
      </c>
      <c r="U21" s="41" t="s">
        <v>273</v>
      </c>
      <c r="V21" s="41" t="s">
        <v>273</v>
      </c>
      <c r="W21" s="41"/>
      <c r="X21" s="41" t="s">
        <v>273</v>
      </c>
      <c r="Y21" s="41" t="s">
        <v>273</v>
      </c>
      <c r="Z21" s="41"/>
    </row>
    <row r="22" spans="1:27" s="953" customFormat="1" ht="11.45">
      <c r="A22" t="str">
        <f>'Historical Financials'!B644</f>
        <v>Azure consumption and cloud services</v>
      </c>
      <c r="B22" s="10">
        <f>'Historical Financials'!AF644</f>
        <v>9460</v>
      </c>
      <c r="C22" s="10">
        <f>'Historical Financials'!AG644</f>
        <v>10293</v>
      </c>
      <c r="D22" s="10">
        <f>'Historical Financials'!AH644</f>
        <v>10677.868114218852</v>
      </c>
      <c r="E22" s="10">
        <f>'Historical Financials'!AI644</f>
        <v>11584.312794341437</v>
      </c>
      <c r="F22" s="10">
        <f>'Historical Financials'!AJ644</f>
        <v>12395</v>
      </c>
      <c r="G22" s="10">
        <f>'Historical Financials'!AK644</f>
        <v>13682.5</v>
      </c>
      <c r="H22" s="10">
        <f>'Historical Financials'!AL644</f>
        <v>14447.4772296267</v>
      </c>
      <c r="I22" s="10">
        <f>'Historical Financials'!AM644</f>
        <v>15507.923504700455</v>
      </c>
      <c r="K22" s="10">
        <f t="shared" ref="K22:K23" si="23">SUM(B22:E22)</f>
        <v>42015.180908560287</v>
      </c>
      <c r="L22" s="10">
        <f t="shared" ref="L22:L23" si="24">SUM(F22:I22)</f>
        <v>56032.900734327159</v>
      </c>
      <c r="M22" s="27" t="s">
        <v>704</v>
      </c>
      <c r="N22" t="str">
        <f>A22</f>
        <v>Azure consumption and cloud services</v>
      </c>
      <c r="O22" s="10">
        <f>B22</f>
        <v>9460</v>
      </c>
      <c r="P22" s="10">
        <f t="shared" ref="P22:V22" si="25">C22</f>
        <v>10293</v>
      </c>
      <c r="Q22" s="10">
        <f t="shared" si="25"/>
        <v>10677.868114218852</v>
      </c>
      <c r="R22" s="10">
        <f t="shared" si="25"/>
        <v>11584.312794341437</v>
      </c>
      <c r="S22" s="10">
        <f t="shared" si="25"/>
        <v>12395</v>
      </c>
      <c r="T22" s="10">
        <f t="shared" si="25"/>
        <v>13682.5</v>
      </c>
      <c r="U22" s="10">
        <f t="shared" si="25"/>
        <v>14447.4772296267</v>
      </c>
      <c r="V22" s="10">
        <f t="shared" si="25"/>
        <v>15507.923504700455</v>
      </c>
      <c r="X22" s="10">
        <f>SUM(O22:R22)</f>
        <v>42015.180908560287</v>
      </c>
      <c r="Y22" s="10">
        <f>SUM(S22:V22)</f>
        <v>56032.900734327159</v>
      </c>
    </row>
    <row r="23" spans="1:27">
      <c r="A23" s="12" t="str">
        <f>'Historical Financials'!B645</f>
        <v>Azure (old segmentation)</v>
      </c>
      <c r="B23" s="8">
        <f>'Historical Financials'!AF645</f>
        <v>12900</v>
      </c>
      <c r="C23" s="8">
        <f>'Historical Financials'!AG645</f>
        <v>13875</v>
      </c>
      <c r="D23" s="8">
        <f>'Historical Financials'!AH645</f>
        <v>14514.868114218854</v>
      </c>
      <c r="E23" s="8">
        <f>'Historical Financials'!AI645</f>
        <v>15688.312794341438</v>
      </c>
      <c r="F23" s="8">
        <f>'Historical Financials'!AJ645</f>
        <v>16641</v>
      </c>
      <c r="G23" s="8">
        <f>'Historical Financials'!AK645</f>
        <v>18037.5</v>
      </c>
      <c r="H23" s="8">
        <f>'Historical Financials'!AL645</f>
        <v>19014.4772296267</v>
      </c>
      <c r="I23" s="8">
        <f>'Historical Financials'!AM645</f>
        <v>20237.923504700455</v>
      </c>
      <c r="K23" s="8">
        <f t="shared" si="23"/>
        <v>56978.180908560294</v>
      </c>
      <c r="L23" s="8">
        <f t="shared" si="24"/>
        <v>73930.900734327151</v>
      </c>
      <c r="M23" s="27" t="s">
        <v>704</v>
      </c>
      <c r="N23" s="1278" t="str">
        <f>'Historical Financials'!B671</f>
        <v>Azure (new segmentation)</v>
      </c>
      <c r="O23" s="8">
        <f>O22</f>
        <v>9460</v>
      </c>
      <c r="P23" s="8">
        <f t="shared" ref="P23:V23" si="26">P22</f>
        <v>10293</v>
      </c>
      <c r="Q23" s="8">
        <f t="shared" si="26"/>
        <v>10677.868114218852</v>
      </c>
      <c r="R23" s="8">
        <f t="shared" si="26"/>
        <v>11584.312794341437</v>
      </c>
      <c r="S23" s="8">
        <f t="shared" si="26"/>
        <v>12395</v>
      </c>
      <c r="T23" s="8">
        <f t="shared" si="26"/>
        <v>13682.5</v>
      </c>
      <c r="U23" s="8">
        <f t="shared" si="26"/>
        <v>14447.4772296267</v>
      </c>
      <c r="V23" s="8">
        <f t="shared" si="26"/>
        <v>15507.923504700455</v>
      </c>
      <c r="X23" s="8">
        <f t="shared" ref="X23" si="27">SUM(O23:R23)</f>
        <v>42015.180908560287</v>
      </c>
      <c r="Y23" s="8">
        <f t="shared" ref="Y23" si="28">SUM(S23:V23)</f>
        <v>56032.900734327159</v>
      </c>
    </row>
    <row r="25" spans="1:27">
      <c r="A25" s="24" t="s">
        <v>113</v>
      </c>
      <c r="N25" s="24" t="s">
        <v>113</v>
      </c>
    </row>
    <row r="26" spans="1:27">
      <c r="A26" s="13" t="str">
        <f t="shared" ref="A26" si="29">A21</f>
        <v>Power BI and EMS Revenue (old segmentation)</v>
      </c>
      <c r="B26" s="228"/>
      <c r="C26" s="228"/>
      <c r="D26" s="228"/>
      <c r="E26" s="228"/>
      <c r="F26" s="228">
        <f t="shared" ref="F26" si="30">F21/B21-1</f>
        <v>0.23430232558139541</v>
      </c>
      <c r="G26" s="228">
        <f t="shared" ref="G26" si="31">G21/C21-1</f>
        <v>0.21580122836404247</v>
      </c>
      <c r="H26" s="228">
        <f t="shared" ref="H26" si="32">H21/D21-1</f>
        <v>0.19025280166796921</v>
      </c>
      <c r="I26" s="228">
        <f t="shared" ref="I26" si="33">I21/E21-1</f>
        <v>0.1525341130604283</v>
      </c>
      <c r="J26" s="228"/>
      <c r="K26" s="228"/>
      <c r="L26" s="228">
        <f t="shared" ref="L26" si="34">L21/K21-1</f>
        <v>0.19615050457795857</v>
      </c>
      <c r="M26" s="1305"/>
      <c r="N26" s="13" t="s">
        <v>273</v>
      </c>
      <c r="O26" s="228"/>
      <c r="P26" s="228"/>
      <c r="Q26" s="228"/>
      <c r="R26" s="228"/>
      <c r="S26" s="932" t="s">
        <v>273</v>
      </c>
      <c r="T26" s="932" t="s">
        <v>273</v>
      </c>
      <c r="U26" s="932" t="s">
        <v>273</v>
      </c>
      <c r="V26" s="932" t="s">
        <v>273</v>
      </c>
      <c r="W26" s="932"/>
      <c r="X26" s="932"/>
      <c r="Y26" s="932" t="s">
        <v>273</v>
      </c>
      <c r="AA26" s="228" t="s">
        <v>273</v>
      </c>
    </row>
    <row r="27" spans="1:27" s="852" customFormat="1">
      <c r="A27" s="13" t="str">
        <f>A22</f>
        <v>Azure consumption and cloud services</v>
      </c>
      <c r="B27" s="1113"/>
      <c r="C27" s="1113"/>
      <c r="D27" s="1113"/>
      <c r="E27" s="1113"/>
      <c r="F27" s="1113">
        <f>F22/B22-1</f>
        <v>0.31025369978858341</v>
      </c>
      <c r="G27" s="1113">
        <f t="shared" ref="G27:G28" si="35">G22/C22-1</f>
        <v>0.32930146701641894</v>
      </c>
      <c r="H27" s="1113">
        <f t="shared" ref="H27:H28" si="36">H22/D22-1</f>
        <v>0.35303012502918674</v>
      </c>
      <c r="I27" s="1113">
        <f t="shared" ref="I27:I28" si="37">I22/E22-1</f>
        <v>0.33870034243857572</v>
      </c>
      <c r="J27" s="1113"/>
      <c r="K27" s="1113"/>
      <c r="L27" s="1113">
        <f>L22/K22-1</f>
        <v>0.33363464163761014</v>
      </c>
      <c r="M27" s="1307"/>
      <c r="N27" s="13" t="str">
        <f>N22</f>
        <v>Azure consumption and cloud services</v>
      </c>
      <c r="O27" s="1113"/>
      <c r="P27" s="1113"/>
      <c r="Q27" s="1113"/>
      <c r="R27" s="1113"/>
      <c r="S27" s="1113">
        <f>S22/O23-1</f>
        <v>0.31025369978858341</v>
      </c>
      <c r="T27" s="1113">
        <f t="shared" ref="S27:T28" si="38">T22/P22-1</f>
        <v>0.32930146701641894</v>
      </c>
      <c r="U27" s="1113">
        <f t="shared" ref="U27:U28" si="39">U22/Q22-1</f>
        <v>0.35303012502918674</v>
      </c>
      <c r="V27" s="1113">
        <f t="shared" ref="V27:V28" si="40">V22/R22-1</f>
        <v>0.33870034243857572</v>
      </c>
      <c r="W27" s="1113"/>
      <c r="X27" s="1113"/>
      <c r="Y27" s="1113">
        <f>Y22/X22-1</f>
        <v>0.33363464163761014</v>
      </c>
      <c r="AA27" s="228">
        <f t="shared" ref="AA27:AA28" si="41">Y27-L27</f>
        <v>0</v>
      </c>
    </row>
    <row r="28" spans="1:27">
      <c r="A28" s="15" t="str">
        <f>A23</f>
        <v>Azure (old segmentation)</v>
      </c>
      <c r="B28" s="228"/>
      <c r="C28" s="228"/>
      <c r="D28" s="228"/>
      <c r="E28" s="228"/>
      <c r="F28" s="228">
        <f t="shared" ref="F28" si="42">F23/B23-1</f>
        <v>0.29000000000000004</v>
      </c>
      <c r="G28" s="228">
        <f t="shared" si="35"/>
        <v>0.30000000000000004</v>
      </c>
      <c r="H28" s="228">
        <f t="shared" si="36"/>
        <v>0.31000000000000005</v>
      </c>
      <c r="I28" s="228">
        <f t="shared" si="37"/>
        <v>0.29000000000000004</v>
      </c>
      <c r="J28" s="228"/>
      <c r="K28" s="228"/>
      <c r="L28" s="228">
        <f>L23/K23-1</f>
        <v>0.29753002913471227</v>
      </c>
      <c r="M28" s="1305"/>
      <c r="N28" s="15" t="str">
        <f>N23</f>
        <v>Azure (new segmentation)</v>
      </c>
      <c r="O28" s="228"/>
      <c r="P28" s="228"/>
      <c r="Q28" s="228"/>
      <c r="R28" s="228"/>
      <c r="S28" s="228">
        <f t="shared" si="38"/>
        <v>0.31025369978858341</v>
      </c>
      <c r="T28" s="228">
        <f t="shared" si="38"/>
        <v>0.32930146701641894</v>
      </c>
      <c r="U28" s="228">
        <f t="shared" si="39"/>
        <v>0.35303012502918674</v>
      </c>
      <c r="V28" s="228">
        <f t="shared" si="40"/>
        <v>0.33870034243857572</v>
      </c>
      <c r="W28" s="228"/>
      <c r="X28" s="228"/>
      <c r="Y28" s="228">
        <f>Y23/X23-1</f>
        <v>0.33363464163761014</v>
      </c>
      <c r="AA28" s="228">
        <f t="shared" si="41"/>
        <v>3.610461250289787E-2</v>
      </c>
    </row>
    <row r="29" spans="1:27">
      <c r="A29" s="15"/>
      <c r="B29" s="228"/>
      <c r="C29" s="228"/>
      <c r="D29" s="228"/>
      <c r="E29" s="228"/>
      <c r="F29" s="228"/>
      <c r="G29" s="228"/>
      <c r="H29" s="228"/>
      <c r="I29" s="228"/>
      <c r="J29" s="228"/>
      <c r="K29" s="228"/>
      <c r="L29" s="228"/>
      <c r="M29" s="1305"/>
      <c r="N29" s="13"/>
      <c r="O29" s="228"/>
      <c r="P29" s="228"/>
      <c r="Q29" s="228"/>
      <c r="R29" s="228"/>
      <c r="S29" s="228"/>
      <c r="T29" s="228"/>
      <c r="U29" s="228"/>
      <c r="V29" s="228"/>
      <c r="W29" s="228"/>
      <c r="X29" s="228"/>
      <c r="Y29" s="228"/>
    </row>
    <row r="30" spans="1:27">
      <c r="A30" s="15"/>
      <c r="B30" s="228"/>
      <c r="C30" s="228"/>
      <c r="D30" s="228"/>
      <c r="E30" s="228"/>
      <c r="F30" s="228"/>
      <c r="G30" s="228"/>
      <c r="H30" s="228"/>
      <c r="I30" s="228"/>
      <c r="J30" s="228"/>
      <c r="K30" s="228"/>
      <c r="L30" s="228"/>
      <c r="M30" s="1305"/>
      <c r="N30" s="13"/>
      <c r="O30" s="228"/>
      <c r="P30" s="228"/>
      <c r="Q30" s="228"/>
      <c r="R30" s="228"/>
      <c r="S30" s="228"/>
      <c r="T30" s="228"/>
      <c r="U30" s="228"/>
      <c r="V30" s="228"/>
      <c r="W30" s="228"/>
      <c r="X30" s="228"/>
      <c r="Y30" s="228"/>
    </row>
    <row r="31" spans="1:27" s="1" customFormat="1" ht="10.5">
      <c r="A31" s="1279" t="s">
        <v>706</v>
      </c>
      <c r="B31" s="1280">
        <f>'Historical Financials'!AF650</f>
        <v>20325</v>
      </c>
      <c r="C31" s="1280">
        <f>'Historical Financials'!AG650</f>
        <v>21508</v>
      </c>
      <c r="D31" s="1280">
        <f>'Historical Financials'!AH650</f>
        <v>22081</v>
      </c>
      <c r="E31" s="1280">
        <f>'Historical Financials'!AI650</f>
        <v>23993</v>
      </c>
      <c r="F31" s="1280">
        <f>'Historical Financials'!AJ650</f>
        <v>24259</v>
      </c>
      <c r="G31" s="1280">
        <f>'Historical Financials'!AK650</f>
        <v>25880</v>
      </c>
      <c r="H31" s="1280">
        <f>'Historical Financials'!AL650</f>
        <v>26708</v>
      </c>
      <c r="I31" s="1280">
        <f>'Historical Financials'!AM650</f>
        <v>28515</v>
      </c>
      <c r="J31" s="1281"/>
      <c r="K31" s="1280">
        <f t="shared" ref="K31" si="43">SUM(B31:E31)</f>
        <v>87907</v>
      </c>
      <c r="L31" s="1280">
        <f t="shared" ref="L31" si="44">SUM(F31:I31)</f>
        <v>105362</v>
      </c>
      <c r="M31" s="1306"/>
      <c r="N31" s="1281" t="s">
        <v>706</v>
      </c>
      <c r="O31" s="1280">
        <f>'Historical Financials'!AF676</f>
        <v>16885</v>
      </c>
      <c r="P31" s="1280">
        <f>'Historical Financials'!AG676</f>
        <v>17926</v>
      </c>
      <c r="Q31" s="1280">
        <f>'Historical Financials'!AH676</f>
        <v>18244</v>
      </c>
      <c r="R31" s="1280">
        <f>'Historical Financials'!AI676</f>
        <v>19889</v>
      </c>
      <c r="S31" s="1280">
        <f>'Historical Financials'!AJ676</f>
        <v>20013</v>
      </c>
      <c r="T31" s="1280">
        <f>'Historical Financials'!AK676</f>
        <v>21525</v>
      </c>
      <c r="U31" s="1280">
        <f>'Historical Financials'!AL676</f>
        <v>22141</v>
      </c>
      <c r="V31" s="1280">
        <f>'Historical Financials'!AM676</f>
        <v>23785</v>
      </c>
      <c r="W31" s="1281"/>
      <c r="X31" s="1280">
        <f t="shared" ref="X31" si="45">SUM(O31:R31)</f>
        <v>72944</v>
      </c>
      <c r="Y31" s="1280">
        <f t="shared" ref="Y31" si="46">SUM(S31:V31)</f>
        <v>87464</v>
      </c>
      <c r="Z31" s="1281"/>
      <c r="AA31" s="1286"/>
    </row>
    <row r="32" spans="1:27">
      <c r="A32" s="1282" t="s">
        <v>113</v>
      </c>
      <c r="B32" s="1283"/>
      <c r="C32" s="1283"/>
      <c r="D32" s="1283"/>
      <c r="E32" s="1283"/>
      <c r="F32" s="1283">
        <f t="shared" ref="F32" si="47">F31/B31-1</f>
        <v>0.19355473554735547</v>
      </c>
      <c r="G32" s="1283">
        <f t="shared" ref="G32" si="48">G31/C31-1</f>
        <v>0.20327320066951837</v>
      </c>
      <c r="H32" s="1283">
        <f t="shared" ref="H32" si="49">H31/D31-1</f>
        <v>0.20954666908201625</v>
      </c>
      <c r="I32" s="1283">
        <f t="shared" ref="I32" si="50">I31/E31-1</f>
        <v>0.1884716375609552</v>
      </c>
      <c r="J32" s="238"/>
      <c r="K32" s="238"/>
      <c r="L32" s="1283">
        <f>L31/K31-1</f>
        <v>0.19856211678250868</v>
      </c>
      <c r="M32" s="1303"/>
      <c r="N32" s="1284" t="s">
        <v>113</v>
      </c>
      <c r="O32" s="1283"/>
      <c r="P32" s="1283"/>
      <c r="Q32" s="1283"/>
      <c r="R32" s="1283"/>
      <c r="S32" s="1283">
        <f t="shared" ref="S32" si="51">S31/O31-1</f>
        <v>0.18525318329878582</v>
      </c>
      <c r="T32" s="1283">
        <f t="shared" ref="T32" si="52">T31/P31-1</f>
        <v>0.2007698315296218</v>
      </c>
      <c r="U32" s="1283">
        <f t="shared" ref="U32" si="53">U31/Q31-1</f>
        <v>0.21360447270335459</v>
      </c>
      <c r="V32" s="1283">
        <f t="shared" ref="V32" si="54">V31/R31-1</f>
        <v>0.19588717381467147</v>
      </c>
      <c r="W32" s="238"/>
      <c r="X32" s="238"/>
      <c r="Y32" s="1283">
        <f>Y31/X31-1</f>
        <v>0.19905681070410175</v>
      </c>
      <c r="Z32" s="73"/>
      <c r="AA32" s="1285">
        <f>Y32-L32</f>
        <v>4.9469392159307013E-4</v>
      </c>
    </row>
    <row r="33" spans="1:27">
      <c r="A33" s="15"/>
      <c r="B33" s="228"/>
      <c r="C33" s="228"/>
      <c r="D33" s="228"/>
      <c r="E33" s="228"/>
      <c r="F33" s="228"/>
      <c r="G33" s="228"/>
      <c r="H33" s="228"/>
      <c r="I33" s="228"/>
      <c r="J33" s="228"/>
      <c r="K33" s="228"/>
      <c r="L33" s="228"/>
      <c r="M33" s="1305"/>
      <c r="N33" s="13"/>
      <c r="O33" s="228"/>
      <c r="P33" s="228"/>
      <c r="Q33" s="228"/>
      <c r="R33" s="228"/>
      <c r="S33" s="228"/>
      <c r="T33" s="228"/>
      <c r="U33" s="228"/>
      <c r="V33" s="228"/>
      <c r="W33" s="228"/>
      <c r="X33" s="228"/>
      <c r="Y33" s="228"/>
    </row>
    <row r="34" spans="1:27">
      <c r="A34" s="15"/>
      <c r="B34" s="228"/>
      <c r="C34" s="228"/>
      <c r="D34" s="228"/>
      <c r="E34" s="228"/>
      <c r="F34" s="228"/>
      <c r="G34" s="228"/>
      <c r="H34" s="228"/>
      <c r="I34" s="228"/>
      <c r="J34" s="228"/>
      <c r="K34" s="228"/>
      <c r="L34" s="228"/>
      <c r="M34" s="1305"/>
      <c r="N34" s="13"/>
      <c r="O34" s="228"/>
      <c r="P34" s="228"/>
      <c r="Q34" s="228"/>
      <c r="R34" s="228"/>
      <c r="S34" s="228"/>
      <c r="T34" s="228"/>
      <c r="U34" s="228"/>
      <c r="V34" s="228"/>
      <c r="W34" s="228"/>
      <c r="X34" s="228"/>
      <c r="Y34" s="228"/>
    </row>
    <row r="35" spans="1:27" s="1300" customFormat="1" ht="10.5">
      <c r="A35" s="1299" t="s">
        <v>707</v>
      </c>
      <c r="M35" s="1308"/>
      <c r="N35" s="1299" t="s">
        <v>707</v>
      </c>
    </row>
    <row r="36" spans="1:27">
      <c r="A36" t="str">
        <f>'Historical Financials'!B861</f>
        <v>Windows Other (old segmentation)</v>
      </c>
      <c r="B36" s="8">
        <f>'Historical Financials'!AF861</f>
        <v>2285.1134904122687</v>
      </c>
      <c r="C36" s="8">
        <f>'Historical Financials'!AG861</f>
        <v>2129.6267089716025</v>
      </c>
      <c r="D36" s="8">
        <f>'Historical Financials'!AH861</f>
        <v>2685.1967911103816</v>
      </c>
      <c r="E36" s="8">
        <f>'Historical Financials'!AI861</f>
        <v>2969.8408177089036</v>
      </c>
      <c r="F36" s="8">
        <f>'Historical Financials'!AJ861</f>
        <v>2467.9225696452504</v>
      </c>
      <c r="G36" s="8">
        <f>'Historical Financials'!AK861</f>
        <v>2321.2931127790471</v>
      </c>
      <c r="H36" s="8">
        <f>'Historical Financials'!AL861</f>
        <v>3034.2723739547309</v>
      </c>
      <c r="I36" s="8">
        <f>'Historical Financials'!AM861</f>
        <v>3296.5233076568834</v>
      </c>
      <c r="K36" s="8">
        <f>SUM(B36:E36)</f>
        <v>10069.777808203156</v>
      </c>
      <c r="L36" s="8">
        <f>SUM(F36:I36)</f>
        <v>11120.011364035912</v>
      </c>
      <c r="M36" s="27" t="s">
        <v>704</v>
      </c>
      <c r="N36" t="s">
        <v>273</v>
      </c>
      <c r="O36" s="41" t="s">
        <v>273</v>
      </c>
      <c r="P36" s="41" t="s">
        <v>273</v>
      </c>
      <c r="Q36" s="41" t="s">
        <v>273</v>
      </c>
      <c r="R36" s="41" t="s">
        <v>273</v>
      </c>
      <c r="S36" s="41" t="s">
        <v>273</v>
      </c>
      <c r="T36" s="41" t="s">
        <v>273</v>
      </c>
      <c r="U36" s="41" t="s">
        <v>273</v>
      </c>
      <c r="V36" s="41" t="s">
        <v>273</v>
      </c>
      <c r="W36" s="41"/>
      <c r="X36" s="41" t="s">
        <v>273</v>
      </c>
      <c r="Y36" s="41" t="s">
        <v>273</v>
      </c>
    </row>
    <row r="37" spans="1:27">
      <c r="A37" s="13" t="s">
        <v>113</v>
      </c>
      <c r="B37" s="228"/>
      <c r="C37" s="228"/>
      <c r="D37" s="228"/>
      <c r="E37" s="228"/>
      <c r="F37" s="228">
        <f t="shared" ref="F37" si="55">F36/B36-1</f>
        <v>8.0000000000000071E-2</v>
      </c>
      <c r="G37" s="228">
        <f t="shared" ref="G37" si="56">G36/C36-1</f>
        <v>9.000000000000008E-2</v>
      </c>
      <c r="H37" s="228">
        <f t="shared" ref="H37" si="57">H36/D36-1</f>
        <v>0.12999999999999989</v>
      </c>
      <c r="I37" s="228">
        <f t="shared" ref="I37" si="58">I36/E36-1</f>
        <v>0.1100000000000001</v>
      </c>
      <c r="J37" s="228"/>
      <c r="K37" s="228"/>
      <c r="L37" s="228">
        <f>L36/K36-1</f>
        <v>0.10429560371999491</v>
      </c>
      <c r="N37" s="13" t="s">
        <v>113</v>
      </c>
      <c r="S37" s="932" t="s">
        <v>273</v>
      </c>
      <c r="T37" s="932" t="s">
        <v>273</v>
      </c>
      <c r="U37" s="932" t="s">
        <v>273</v>
      </c>
      <c r="V37" s="932" t="s">
        <v>273</v>
      </c>
      <c r="W37" s="932"/>
      <c r="X37" s="932"/>
      <c r="Y37" s="932" t="s">
        <v>273</v>
      </c>
      <c r="AA37" s="228" t="s">
        <v>273</v>
      </c>
    </row>
    <row r="39" spans="1:27" s="1" customFormat="1" ht="10.5">
      <c r="A39" s="1279" t="s">
        <v>708</v>
      </c>
      <c r="B39" s="1280">
        <f>'Historical Financials'!AF868</f>
        <v>13332</v>
      </c>
      <c r="C39" s="1280">
        <f>'Historical Financials'!AG868</f>
        <v>14237</v>
      </c>
      <c r="D39" s="1280">
        <f>'Historical Financials'!AH868</f>
        <v>13260</v>
      </c>
      <c r="E39" s="1280">
        <f>'Historical Financials'!AI868</f>
        <v>13905</v>
      </c>
      <c r="F39" s="1280">
        <f>'Historical Financials'!AJ868</f>
        <v>13666</v>
      </c>
      <c r="G39" s="1280">
        <f>'Historical Financials'!AK868</f>
        <v>16891</v>
      </c>
      <c r="H39" s="1280">
        <f>'Historical Financials'!AL868</f>
        <v>15580</v>
      </c>
      <c r="I39" s="1280">
        <f>'Historical Financials'!AM868</f>
        <v>15895</v>
      </c>
      <c r="J39" s="1281"/>
      <c r="K39" s="1280">
        <f t="shared" ref="K39" si="59">SUM(B39:E39)</f>
        <v>54734</v>
      </c>
      <c r="L39" s="1280">
        <f t="shared" ref="L39" si="60">SUM(F39:I39)</f>
        <v>62032</v>
      </c>
      <c r="M39" s="1306"/>
      <c r="N39" s="1281" t="str">
        <f>A39</f>
        <v>MPC Segment</v>
      </c>
      <c r="O39" s="1280">
        <f>+'Historical Financials'!AF154</f>
        <v>11163</v>
      </c>
      <c r="P39" s="1280">
        <f>+'Historical Financials'!AG154</f>
        <v>12219</v>
      </c>
      <c r="Q39" s="1280">
        <f>+'Historical Financials'!AH154</f>
        <v>10687</v>
      </c>
      <c r="R39" s="1280">
        <f>+'Historical Financials'!AI154</f>
        <v>10751</v>
      </c>
      <c r="S39" s="1280">
        <f>+'Historical Financials'!AJ154</f>
        <v>11278</v>
      </c>
      <c r="T39" s="1280">
        <f>+'Historical Financials'!AK154</f>
        <v>14641</v>
      </c>
      <c r="U39" s="1280">
        <f>+'Historical Financials'!AL154</f>
        <v>12604</v>
      </c>
      <c r="V39" s="1280">
        <f>+'Historical Financials'!AM154</f>
        <v>12315</v>
      </c>
      <c r="W39" s="1281"/>
      <c r="X39" s="1280">
        <f t="shared" ref="X39" si="61">SUM(O39:R39)</f>
        <v>44820</v>
      </c>
      <c r="Y39" s="1280">
        <f t="shared" ref="Y39" si="62">SUM(S39:V39)</f>
        <v>50838</v>
      </c>
      <c r="Z39" s="1281"/>
      <c r="AA39" s="1286"/>
    </row>
    <row r="40" spans="1:27">
      <c r="A40" s="1282" t="s">
        <v>113</v>
      </c>
      <c r="B40" s="1283"/>
      <c r="C40" s="1283"/>
      <c r="D40" s="1283"/>
      <c r="E40" s="1283"/>
      <c r="F40" s="1283">
        <f t="shared" ref="F40" si="63">F39/B39-1</f>
        <v>2.5052505250525048E-2</v>
      </c>
      <c r="G40" s="1283">
        <f t="shared" ref="G40" si="64">G39/C39-1</f>
        <v>0.1864156774601391</v>
      </c>
      <c r="H40" s="1283">
        <f t="shared" ref="H40" si="65">H39/D39-1</f>
        <v>0.17496229260935148</v>
      </c>
      <c r="I40" s="1283">
        <f t="shared" ref="I40" si="66">I39/E39-1</f>
        <v>0.14311398777418205</v>
      </c>
      <c r="J40" s="238"/>
      <c r="K40" s="238"/>
      <c r="L40" s="1283">
        <f>L39/K39-1</f>
        <v>0.133335769357255</v>
      </c>
      <c r="M40" s="1303"/>
      <c r="N40" s="1284" t="s">
        <v>113</v>
      </c>
      <c r="O40" s="1283"/>
      <c r="P40" s="1283"/>
      <c r="Q40" s="1283"/>
      <c r="R40" s="1283"/>
      <c r="S40" s="1283">
        <f t="shared" ref="S40" si="67">S39/O39-1</f>
        <v>1.0301890172892625E-2</v>
      </c>
      <c r="T40" s="1283">
        <f t="shared" ref="T40" si="68">T39/P39-1</f>
        <v>0.1982158932809559</v>
      </c>
      <c r="U40" s="1283">
        <f t="shared" ref="U40" si="69">U39/Q39-1</f>
        <v>0.17937681295031349</v>
      </c>
      <c r="V40" s="1283">
        <f t="shared" ref="V40" si="70">V39/R39-1</f>
        <v>0.14547483954980933</v>
      </c>
      <c r="W40" s="238"/>
      <c r="X40" s="238"/>
      <c r="Y40" s="1283">
        <f>Y39/X39-1</f>
        <v>0.1342704149933065</v>
      </c>
      <c r="Z40" s="73"/>
      <c r="AA40" s="1285">
        <f>Y40-L40</f>
        <v>9.3464563605150097E-4</v>
      </c>
    </row>
    <row r="42" spans="1:27" ht="10.5" thickBot="1"/>
    <row r="43" spans="1:27" s="1" customFormat="1" ht="10.5">
      <c r="A43" s="1290" t="s">
        <v>709</v>
      </c>
      <c r="B43" s="1291">
        <f>B39+B31+B16</f>
        <v>50122</v>
      </c>
      <c r="C43" s="1291">
        <f t="shared" ref="C43:I43" si="71">C39+C31+C16</f>
        <v>52747</v>
      </c>
      <c r="D43" s="1291">
        <f t="shared" si="71"/>
        <v>52857</v>
      </c>
      <c r="E43" s="1291">
        <f t="shared" si="71"/>
        <v>56189</v>
      </c>
      <c r="F43" s="1291">
        <f t="shared" si="71"/>
        <v>56517</v>
      </c>
      <c r="G43" s="1291">
        <f t="shared" si="71"/>
        <v>62020</v>
      </c>
      <c r="H43" s="1291">
        <f t="shared" si="71"/>
        <v>61858</v>
      </c>
      <c r="I43" s="1291">
        <f t="shared" si="71"/>
        <v>64727</v>
      </c>
      <c r="J43" s="1292"/>
      <c r="K43" s="1291">
        <f>K39+K31+K16</f>
        <v>211915</v>
      </c>
      <c r="L43" s="1291">
        <f>L39+L31+L16</f>
        <v>245122</v>
      </c>
      <c r="M43" s="1309"/>
      <c r="N43" s="1292" t="str">
        <f>A43</f>
        <v>Total MSFT</v>
      </c>
      <c r="O43" s="1291">
        <f t="shared" ref="O43:V43" si="72">O39+O31+O16</f>
        <v>50122</v>
      </c>
      <c r="P43" s="1291">
        <f t="shared" si="72"/>
        <v>52747</v>
      </c>
      <c r="Q43" s="1291">
        <f t="shared" si="72"/>
        <v>52857</v>
      </c>
      <c r="R43" s="1291">
        <f t="shared" si="72"/>
        <v>56189</v>
      </c>
      <c r="S43" s="1291">
        <f t="shared" si="72"/>
        <v>56517</v>
      </c>
      <c r="T43" s="1291">
        <f t="shared" si="72"/>
        <v>62020</v>
      </c>
      <c r="U43" s="1291">
        <f t="shared" si="72"/>
        <v>61858</v>
      </c>
      <c r="V43" s="1291">
        <f t="shared" si="72"/>
        <v>64727</v>
      </c>
      <c r="W43" s="1292"/>
      <c r="X43" s="1291">
        <f t="shared" ref="X43:Y43" si="73">X39+X31+X16</f>
        <v>211915</v>
      </c>
      <c r="Y43" s="1291">
        <f t="shared" si="73"/>
        <v>245122</v>
      </c>
      <c r="Z43" s="1292"/>
      <c r="AA43" s="1293"/>
    </row>
    <row r="44" spans="1:27" s="1" customFormat="1" ht="11.1" thickBot="1">
      <c r="A44" s="1294" t="s">
        <v>113</v>
      </c>
      <c r="B44" s="1295"/>
      <c r="C44" s="1295"/>
      <c r="D44" s="1295"/>
      <c r="E44" s="1295"/>
      <c r="F44" s="1295">
        <f t="shared" ref="F44" si="74">F43/B43-1</f>
        <v>0.12758868361198683</v>
      </c>
      <c r="G44" s="1295">
        <f t="shared" ref="G44" si="75">G43/C43-1</f>
        <v>0.17580146738203117</v>
      </c>
      <c r="H44" s="1295">
        <f t="shared" ref="H44" si="76">H43/D43-1</f>
        <v>0.17028964943148495</v>
      </c>
      <c r="I44" s="1295">
        <f t="shared" ref="I44" si="77">I43/E43-1</f>
        <v>0.15195144957198026</v>
      </c>
      <c r="J44" s="1295"/>
      <c r="K44" s="1295"/>
      <c r="L44" s="1295">
        <f>L43/K43-1</f>
        <v>0.1566996201307127</v>
      </c>
      <c r="M44" s="1310"/>
      <c r="N44" s="1297" t="s">
        <v>113</v>
      </c>
      <c r="O44" s="1296"/>
      <c r="P44" s="1296"/>
      <c r="Q44" s="1296"/>
      <c r="R44" s="1296"/>
      <c r="S44" s="1295">
        <f t="shared" ref="S44" si="78">S43/O43-1</f>
        <v>0.12758868361198683</v>
      </c>
      <c r="T44" s="1295">
        <f t="shared" ref="T44" si="79">T43/P43-1</f>
        <v>0.17580146738203117</v>
      </c>
      <c r="U44" s="1295">
        <f t="shared" ref="U44" si="80">U43/Q43-1</f>
        <v>0.17028964943148495</v>
      </c>
      <c r="V44" s="1295">
        <f t="shared" ref="V44" si="81">V43/R43-1</f>
        <v>0.15195144957198026</v>
      </c>
      <c r="W44" s="1295"/>
      <c r="X44" s="1295"/>
      <c r="Y44" s="1295">
        <f>Y43/X43-1</f>
        <v>0.1566996201307127</v>
      </c>
      <c r="Z44" s="1296"/>
      <c r="AA44" s="1298">
        <f>Y44-L44</f>
        <v>0</v>
      </c>
    </row>
    <row r="47" spans="1:27" s="1" customFormat="1" ht="10.5">
      <c r="A47" s="45" t="s">
        <v>710</v>
      </c>
      <c r="M47" s="919"/>
      <c r="N47" s="45" t="s">
        <v>710</v>
      </c>
    </row>
    <row r="48" spans="1:27">
      <c r="A48" t="s">
        <v>337</v>
      </c>
      <c r="B48" s="8">
        <f t="shared" ref="B48:I48" si="82">B31</f>
        <v>20325</v>
      </c>
      <c r="C48" s="8">
        <f t="shared" si="82"/>
        <v>21508</v>
      </c>
      <c r="D48" s="8">
        <f t="shared" si="82"/>
        <v>22081</v>
      </c>
      <c r="E48" s="8">
        <f t="shared" si="82"/>
        <v>23993</v>
      </c>
      <c r="F48" s="8">
        <f t="shared" si="82"/>
        <v>24259</v>
      </c>
      <c r="G48" s="8">
        <f t="shared" si="82"/>
        <v>25880</v>
      </c>
      <c r="H48" s="8">
        <f t="shared" si="82"/>
        <v>26708</v>
      </c>
      <c r="I48" s="8">
        <f t="shared" si="82"/>
        <v>28515</v>
      </c>
      <c r="J48" s="8"/>
      <c r="K48" s="8">
        <f>K31</f>
        <v>87907</v>
      </c>
      <c r="L48" s="8">
        <f>L31</f>
        <v>105362</v>
      </c>
      <c r="M48" s="1311"/>
      <c r="N48" t="s">
        <v>337</v>
      </c>
      <c r="O48" s="8">
        <f t="shared" ref="O48:V48" si="83">O31</f>
        <v>16885</v>
      </c>
      <c r="P48" s="8">
        <f t="shared" si="83"/>
        <v>17926</v>
      </c>
      <c r="Q48" s="8">
        <f t="shared" si="83"/>
        <v>18244</v>
      </c>
      <c r="R48" s="8">
        <f t="shared" si="83"/>
        <v>19889</v>
      </c>
      <c r="S48" s="8">
        <f t="shared" si="83"/>
        <v>20013</v>
      </c>
      <c r="T48" s="8">
        <f t="shared" si="83"/>
        <v>21525</v>
      </c>
      <c r="U48" s="8">
        <f t="shared" si="83"/>
        <v>22141</v>
      </c>
      <c r="V48" s="8">
        <f t="shared" si="83"/>
        <v>23785</v>
      </c>
      <c r="W48" s="8"/>
      <c r="X48" s="8">
        <f>X31</f>
        <v>72944</v>
      </c>
      <c r="Y48" s="8">
        <f>Y31</f>
        <v>87464</v>
      </c>
      <c r="Z48" s="41"/>
    </row>
    <row r="49" spans="1:27" s="953" customFormat="1" ht="11.45">
      <c r="A49" t="s">
        <v>707</v>
      </c>
      <c r="B49" s="10">
        <f t="shared" ref="B49:I49" si="84">B39</f>
        <v>13332</v>
      </c>
      <c r="C49" s="10">
        <f t="shared" si="84"/>
        <v>14237</v>
      </c>
      <c r="D49" s="10">
        <f t="shared" si="84"/>
        <v>13260</v>
      </c>
      <c r="E49" s="10">
        <f t="shared" si="84"/>
        <v>13905</v>
      </c>
      <c r="F49" s="10">
        <f t="shared" si="84"/>
        <v>13666</v>
      </c>
      <c r="G49" s="10">
        <f t="shared" si="84"/>
        <v>16891</v>
      </c>
      <c r="H49" s="10">
        <f t="shared" si="84"/>
        <v>15580</v>
      </c>
      <c r="I49" s="10">
        <f t="shared" si="84"/>
        <v>15895</v>
      </c>
      <c r="J49" s="10"/>
      <c r="K49" s="10">
        <f>K39</f>
        <v>54734</v>
      </c>
      <c r="L49" s="10">
        <f>L39</f>
        <v>62032</v>
      </c>
      <c r="M49" s="1312"/>
      <c r="N49" t="s">
        <v>707</v>
      </c>
      <c r="O49" s="10">
        <f t="shared" ref="O49:V49" si="85">O39</f>
        <v>11163</v>
      </c>
      <c r="P49" s="10">
        <f t="shared" si="85"/>
        <v>12219</v>
      </c>
      <c r="Q49" s="10">
        <f t="shared" si="85"/>
        <v>10687</v>
      </c>
      <c r="R49" s="10">
        <f t="shared" si="85"/>
        <v>10751</v>
      </c>
      <c r="S49" s="10">
        <f t="shared" si="85"/>
        <v>11278</v>
      </c>
      <c r="T49" s="10">
        <f t="shared" si="85"/>
        <v>14641</v>
      </c>
      <c r="U49" s="10">
        <f t="shared" si="85"/>
        <v>12604</v>
      </c>
      <c r="V49" s="10">
        <f t="shared" si="85"/>
        <v>12315</v>
      </c>
      <c r="W49" s="10"/>
      <c r="X49" s="10">
        <f>X39</f>
        <v>44820</v>
      </c>
      <c r="Y49" s="10">
        <f>Y39</f>
        <v>50838</v>
      </c>
    </row>
    <row r="50" spans="1:27">
      <c r="A50" s="12" t="s">
        <v>711</v>
      </c>
      <c r="B50" s="8">
        <f>SUM(B48:B49)</f>
        <v>33657</v>
      </c>
      <c r="C50" s="8">
        <f t="shared" ref="C50:Y50" si="86">SUM(C48:C49)</f>
        <v>35745</v>
      </c>
      <c r="D50" s="8">
        <f t="shared" si="86"/>
        <v>35341</v>
      </c>
      <c r="E50" s="8">
        <f t="shared" si="86"/>
        <v>37898</v>
      </c>
      <c r="F50" s="8">
        <f t="shared" si="86"/>
        <v>37925</v>
      </c>
      <c r="G50" s="8">
        <f t="shared" si="86"/>
        <v>42771</v>
      </c>
      <c r="H50" s="8">
        <f t="shared" si="86"/>
        <v>42288</v>
      </c>
      <c r="I50" s="8">
        <f t="shared" si="86"/>
        <v>44410</v>
      </c>
      <c r="J50" s="8"/>
      <c r="K50" s="8">
        <f t="shared" si="86"/>
        <v>142641</v>
      </c>
      <c r="L50" s="8">
        <f t="shared" si="86"/>
        <v>167394</v>
      </c>
      <c r="M50" s="1311"/>
      <c r="N50" s="12" t="s">
        <v>711</v>
      </c>
      <c r="O50" s="8">
        <f t="shared" si="86"/>
        <v>28048</v>
      </c>
      <c r="P50" s="8">
        <f t="shared" si="86"/>
        <v>30145</v>
      </c>
      <c r="Q50" s="8">
        <f t="shared" si="86"/>
        <v>28931</v>
      </c>
      <c r="R50" s="8">
        <f t="shared" si="86"/>
        <v>30640</v>
      </c>
      <c r="S50" s="8">
        <f t="shared" si="86"/>
        <v>31291</v>
      </c>
      <c r="T50" s="8">
        <f t="shared" si="86"/>
        <v>36166</v>
      </c>
      <c r="U50" s="8">
        <f t="shared" si="86"/>
        <v>34745</v>
      </c>
      <c r="V50" s="8">
        <f t="shared" si="86"/>
        <v>36100</v>
      </c>
      <c r="W50" s="8"/>
      <c r="X50" s="8">
        <f t="shared" si="86"/>
        <v>117764</v>
      </c>
      <c r="Y50" s="8">
        <f t="shared" si="86"/>
        <v>138302</v>
      </c>
    </row>
    <row r="51" spans="1:27" s="953" customFormat="1" ht="11.45">
      <c r="A51" t="s">
        <v>336</v>
      </c>
      <c r="B51" s="10">
        <f t="shared" ref="B51:I51" si="87">B16</f>
        <v>16465</v>
      </c>
      <c r="C51" s="10">
        <f t="shared" si="87"/>
        <v>17002</v>
      </c>
      <c r="D51" s="10">
        <f t="shared" si="87"/>
        <v>17516</v>
      </c>
      <c r="E51" s="10">
        <f t="shared" si="87"/>
        <v>18291</v>
      </c>
      <c r="F51" s="10">
        <f t="shared" si="87"/>
        <v>18592</v>
      </c>
      <c r="G51" s="10">
        <f t="shared" si="87"/>
        <v>19249</v>
      </c>
      <c r="H51" s="10">
        <f t="shared" si="87"/>
        <v>19570</v>
      </c>
      <c r="I51" s="10">
        <f t="shared" si="87"/>
        <v>20317</v>
      </c>
      <c r="J51" s="10"/>
      <c r="K51" s="10">
        <f>K16</f>
        <v>69274</v>
      </c>
      <c r="L51" s="10">
        <f>L16</f>
        <v>77728</v>
      </c>
      <c r="M51" s="1312"/>
      <c r="N51" t="s">
        <v>336</v>
      </c>
      <c r="O51" s="10">
        <f t="shared" ref="O51:V51" si="88">O16</f>
        <v>22074</v>
      </c>
      <c r="P51" s="10">
        <f t="shared" si="88"/>
        <v>22602</v>
      </c>
      <c r="Q51" s="10">
        <f t="shared" si="88"/>
        <v>23926</v>
      </c>
      <c r="R51" s="10">
        <f t="shared" si="88"/>
        <v>25549</v>
      </c>
      <c r="S51" s="10">
        <f t="shared" si="88"/>
        <v>25226</v>
      </c>
      <c r="T51" s="10">
        <f t="shared" si="88"/>
        <v>25854</v>
      </c>
      <c r="U51" s="10">
        <f t="shared" si="88"/>
        <v>27113</v>
      </c>
      <c r="V51" s="10">
        <f t="shared" si="88"/>
        <v>28627</v>
      </c>
      <c r="W51" s="10"/>
      <c r="X51" s="10">
        <f>X16</f>
        <v>94151</v>
      </c>
      <c r="Y51" s="10">
        <f>Y16</f>
        <v>106820</v>
      </c>
    </row>
    <row r="52" spans="1:27" s="1" customFormat="1" ht="10.5">
      <c r="A52" s="837" t="s">
        <v>576</v>
      </c>
      <c r="B52" s="838">
        <f>B51+B50</f>
        <v>50122</v>
      </c>
      <c r="C52" s="838">
        <f t="shared" ref="C52:Y52" si="89">C51+C50</f>
        <v>52747</v>
      </c>
      <c r="D52" s="838">
        <f t="shared" si="89"/>
        <v>52857</v>
      </c>
      <c r="E52" s="838">
        <f t="shared" si="89"/>
        <v>56189</v>
      </c>
      <c r="F52" s="838">
        <f t="shared" si="89"/>
        <v>56517</v>
      </c>
      <c r="G52" s="838">
        <f t="shared" si="89"/>
        <v>62020</v>
      </c>
      <c r="H52" s="838">
        <f t="shared" si="89"/>
        <v>61858</v>
      </c>
      <c r="I52" s="838">
        <f t="shared" si="89"/>
        <v>64727</v>
      </c>
      <c r="J52" s="838"/>
      <c r="K52" s="838">
        <f t="shared" si="89"/>
        <v>211915</v>
      </c>
      <c r="L52" s="838">
        <f t="shared" si="89"/>
        <v>245122</v>
      </c>
      <c r="M52" s="1313"/>
      <c r="N52" s="837" t="s">
        <v>576</v>
      </c>
      <c r="O52" s="838">
        <f t="shared" si="89"/>
        <v>50122</v>
      </c>
      <c r="P52" s="838">
        <f t="shared" si="89"/>
        <v>52747</v>
      </c>
      <c r="Q52" s="838">
        <f t="shared" si="89"/>
        <v>52857</v>
      </c>
      <c r="R52" s="838">
        <f t="shared" si="89"/>
        <v>56189</v>
      </c>
      <c r="S52" s="838">
        <f t="shared" si="89"/>
        <v>56517</v>
      </c>
      <c r="T52" s="838">
        <f t="shared" si="89"/>
        <v>62020</v>
      </c>
      <c r="U52" s="838">
        <f t="shared" si="89"/>
        <v>61858</v>
      </c>
      <c r="V52" s="838">
        <f t="shared" si="89"/>
        <v>64727</v>
      </c>
      <c r="W52" s="838"/>
      <c r="X52" s="838">
        <f t="shared" si="89"/>
        <v>211915</v>
      </c>
      <c r="Y52" s="838">
        <f t="shared" si="89"/>
        <v>245122</v>
      </c>
    </row>
    <row r="53" spans="1:27">
      <c r="X53" s="8"/>
      <c r="Y53" s="8"/>
    </row>
    <row r="54" spans="1:27">
      <c r="A54" s="24" t="s">
        <v>113</v>
      </c>
      <c r="N54" s="24" t="s">
        <v>113</v>
      </c>
    </row>
    <row r="55" spans="1:27">
      <c r="A55" s="13" t="str">
        <f t="shared" ref="A55:A57" si="90">A48</f>
        <v>IC</v>
      </c>
      <c r="B55" s="228"/>
      <c r="C55" s="228"/>
      <c r="D55" s="228"/>
      <c r="E55" s="228"/>
      <c r="F55" s="228">
        <f t="shared" ref="F55:I55" si="91">F48/B48-1</f>
        <v>0.19355473554735547</v>
      </c>
      <c r="G55" s="228">
        <f t="shared" si="91"/>
        <v>0.20327320066951837</v>
      </c>
      <c r="H55" s="228">
        <f t="shared" si="91"/>
        <v>0.20954666908201625</v>
      </c>
      <c r="I55" s="228">
        <f t="shared" si="91"/>
        <v>0.1884716375609552</v>
      </c>
      <c r="J55" s="228"/>
      <c r="K55" s="228"/>
      <c r="L55" s="228">
        <f t="shared" ref="L55:L57" si="92">L48/K48-1</f>
        <v>0.19856211678250868</v>
      </c>
      <c r="M55" s="1305"/>
      <c r="N55" s="13" t="str">
        <f t="shared" ref="N55:N57" si="93">N48</f>
        <v>IC</v>
      </c>
      <c r="O55" s="228"/>
      <c r="P55" s="228"/>
      <c r="Q55" s="228"/>
      <c r="R55" s="228"/>
      <c r="S55" s="228">
        <f t="shared" ref="S55:S57" si="94">S48/O49-1</f>
        <v>0.79279763504434286</v>
      </c>
      <c r="T55" s="228">
        <f t="shared" ref="T55:V55" si="95">T48/P48-1</f>
        <v>0.2007698315296218</v>
      </c>
      <c r="U55" s="228">
        <f t="shared" si="95"/>
        <v>0.21360447270335459</v>
      </c>
      <c r="V55" s="228">
        <f t="shared" si="95"/>
        <v>0.19588717381467147</v>
      </c>
      <c r="W55" s="228"/>
      <c r="X55" s="228"/>
      <c r="Y55" s="228">
        <f t="shared" ref="Y55:Y57" si="96">Y48/X48-1</f>
        <v>0.19905681070410175</v>
      </c>
      <c r="AA55" s="228">
        <f t="shared" ref="AA55:AA57" si="97">Y55-L55</f>
        <v>4.9469392159307013E-4</v>
      </c>
    </row>
    <row r="56" spans="1:27" s="852" customFormat="1" ht="11.45">
      <c r="A56" s="13" t="str">
        <f t="shared" si="90"/>
        <v>MPC</v>
      </c>
      <c r="B56" s="1113"/>
      <c r="C56" s="1113"/>
      <c r="D56" s="1113"/>
      <c r="E56" s="1113"/>
      <c r="F56" s="1113">
        <f t="shared" ref="F56:I56" si="98">F49/B49-1</f>
        <v>2.5052505250525048E-2</v>
      </c>
      <c r="G56" s="1113">
        <f t="shared" si="98"/>
        <v>0.1864156774601391</v>
      </c>
      <c r="H56" s="1113">
        <f t="shared" si="98"/>
        <v>0.17496229260935148</v>
      </c>
      <c r="I56" s="1113">
        <f t="shared" si="98"/>
        <v>0.14311398777418205</v>
      </c>
      <c r="J56" s="1113"/>
      <c r="K56" s="1113"/>
      <c r="L56" s="1113">
        <f t="shared" si="92"/>
        <v>0.133335769357255</v>
      </c>
      <c r="M56" s="1307"/>
      <c r="N56" s="13" t="str">
        <f t="shared" si="93"/>
        <v>MPC</v>
      </c>
      <c r="O56" s="1113"/>
      <c r="P56" s="1113"/>
      <c r="Q56" s="1113"/>
      <c r="R56" s="1113"/>
      <c r="S56" s="1113">
        <f t="shared" si="94"/>
        <v>-0.59790359383913294</v>
      </c>
      <c r="T56" s="1113">
        <f t="shared" ref="T56:V56" si="99">T49/P49-1</f>
        <v>0.1982158932809559</v>
      </c>
      <c r="U56" s="1113">
        <f t="shared" si="99"/>
        <v>0.17937681295031349</v>
      </c>
      <c r="V56" s="1113">
        <f t="shared" si="99"/>
        <v>0.14547483954980933</v>
      </c>
      <c r="W56" s="1113"/>
      <c r="X56" s="1113"/>
      <c r="Y56" s="1113">
        <f t="shared" si="96"/>
        <v>0.1342704149933065</v>
      </c>
      <c r="AA56" s="840">
        <f t="shared" si="97"/>
        <v>9.3464563605150097E-4</v>
      </c>
    </row>
    <row r="57" spans="1:27">
      <c r="A57" s="15" t="str">
        <f t="shared" si="90"/>
        <v>IC +MPC</v>
      </c>
      <c r="B57" s="228"/>
      <c r="C57" s="228"/>
      <c r="D57" s="228"/>
      <c r="E57" s="228"/>
      <c r="F57" s="228">
        <f t="shared" ref="F57:I57" si="100">F50/B50-1</f>
        <v>0.12680868764298658</v>
      </c>
      <c r="G57" s="228">
        <f t="shared" si="100"/>
        <v>0.19655895929500633</v>
      </c>
      <c r="H57" s="228">
        <f t="shared" si="100"/>
        <v>0.1965705554455166</v>
      </c>
      <c r="I57" s="228">
        <f t="shared" si="100"/>
        <v>0.1718296480025332</v>
      </c>
      <c r="J57" s="228"/>
      <c r="K57" s="228"/>
      <c r="L57" s="228">
        <f t="shared" si="92"/>
        <v>0.17353355627063749</v>
      </c>
      <c r="M57" s="1305"/>
      <c r="N57" s="15" t="str">
        <f t="shared" si="93"/>
        <v>IC +MPC</v>
      </c>
      <c r="O57" s="228"/>
      <c r="P57" s="228"/>
      <c r="Q57" s="228"/>
      <c r="R57" s="228"/>
      <c r="S57" s="228">
        <f t="shared" si="94"/>
        <v>0.41755005889281516</v>
      </c>
      <c r="T57" s="228">
        <f t="shared" ref="T57:V57" si="101">T50/P50-1</f>
        <v>0.19973461602255771</v>
      </c>
      <c r="U57" s="228">
        <f t="shared" si="101"/>
        <v>0.20096090698558644</v>
      </c>
      <c r="V57" s="228">
        <f t="shared" si="101"/>
        <v>0.17819843342036545</v>
      </c>
      <c r="W57" s="228"/>
      <c r="X57" s="228"/>
      <c r="Y57" s="228">
        <f t="shared" si="96"/>
        <v>0.17439964675112929</v>
      </c>
      <c r="AA57" s="228">
        <f t="shared" si="97"/>
        <v>8.6609048049179904E-4</v>
      </c>
    </row>
    <row r="58" spans="1:27" s="852" customFormat="1" ht="11.45">
      <c r="A58" s="13" t="str">
        <f>A51</f>
        <v>PBP</v>
      </c>
      <c r="B58" s="1113"/>
      <c r="C58" s="1113"/>
      <c r="D58" s="1113"/>
      <c r="E58" s="1113"/>
      <c r="F58" s="1113">
        <f>F51/B51-1</f>
        <v>0.12918311569996965</v>
      </c>
      <c r="G58" s="1113">
        <f>G51/C51-1</f>
        <v>0.13216092224444176</v>
      </c>
      <c r="H58" s="1113">
        <f>H51/D51-1</f>
        <v>0.11726421557433198</v>
      </c>
      <c r="I58" s="1113">
        <f>I51/E51-1</f>
        <v>0.1107648570335138</v>
      </c>
      <c r="J58" s="1113"/>
      <c r="K58" s="1113"/>
      <c r="L58" s="1113">
        <f>L51/K51-1</f>
        <v>0.12203712792678356</v>
      </c>
      <c r="M58" s="1307"/>
      <c r="N58" s="13" t="str">
        <f>N51</f>
        <v>PBP</v>
      </c>
      <c r="O58" s="1113"/>
      <c r="P58" s="1113"/>
      <c r="Q58" s="1113"/>
      <c r="R58" s="1113"/>
      <c r="S58" s="1113">
        <f>S51/O52-1</f>
        <v>-0.49670803240094175</v>
      </c>
      <c r="T58" s="1113">
        <f t="shared" ref="T58:V59" si="102">T51/P51-1</f>
        <v>0.14388107247146276</v>
      </c>
      <c r="U58" s="1113">
        <f t="shared" si="102"/>
        <v>0.13320237398645829</v>
      </c>
      <c r="V58" s="1113">
        <f t="shared" si="102"/>
        <v>0.12047438255900422</v>
      </c>
      <c r="W58" s="1113"/>
      <c r="X58" s="1113"/>
      <c r="Y58" s="1113">
        <f>Y51/X51-1</f>
        <v>0.13456044014402391</v>
      </c>
      <c r="AA58" s="840">
        <f t="shared" ref="AA58:AA59" si="103">Y58-L58</f>
        <v>1.2523312217240345E-2</v>
      </c>
    </row>
    <row r="59" spans="1:27" s="1" customFormat="1" ht="10.5">
      <c r="A59" s="841" t="str">
        <f>A52</f>
        <v>Total</v>
      </c>
      <c r="B59" s="842"/>
      <c r="C59" s="842"/>
      <c r="D59" s="842"/>
      <c r="E59" s="842"/>
      <c r="F59" s="842">
        <f t="shared" ref="F59" si="104">F52/B52-1</f>
        <v>0.12758868361198683</v>
      </c>
      <c r="G59" s="842">
        <f>G52/C52-1</f>
        <v>0.17580146738203117</v>
      </c>
      <c r="H59" s="842">
        <f>H52/D52-1</f>
        <v>0.17028964943148495</v>
      </c>
      <c r="I59" s="842">
        <f>I52/E52-1</f>
        <v>0.15195144957198026</v>
      </c>
      <c r="J59" s="842"/>
      <c r="K59" s="842"/>
      <c r="L59" s="842">
        <f>L52/K52-1</f>
        <v>0.1566996201307127</v>
      </c>
      <c r="M59" s="1314"/>
      <c r="N59" s="841" t="str">
        <f>N52</f>
        <v>Total</v>
      </c>
      <c r="O59" s="842"/>
      <c r="P59" s="842"/>
      <c r="Q59" s="842"/>
      <c r="R59" s="842"/>
      <c r="S59" s="842">
        <f t="shared" ref="S59" si="105">S52/O52-1</f>
        <v>0.12758868361198683</v>
      </c>
      <c r="T59" s="842">
        <f t="shared" si="102"/>
        <v>0.17580146738203117</v>
      </c>
      <c r="U59" s="842">
        <f t="shared" si="102"/>
        <v>0.17028964943148495</v>
      </c>
      <c r="V59" s="842">
        <f t="shared" si="102"/>
        <v>0.15195144957198026</v>
      </c>
      <c r="W59" s="842"/>
      <c r="X59" s="842"/>
      <c r="Y59" s="842">
        <f>Y52/X52-1</f>
        <v>0.1566996201307127</v>
      </c>
      <c r="AA59" s="842">
        <f t="shared" si="103"/>
        <v>0</v>
      </c>
    </row>
    <row r="61" spans="1:27">
      <c r="A61" s="852" t="s">
        <v>124</v>
      </c>
    </row>
    <row r="62" spans="1:27">
      <c r="A62" t="s">
        <v>712</v>
      </c>
      <c r="B62" s="1287"/>
      <c r="C62" s="1287"/>
      <c r="D62" s="1287"/>
      <c r="E62" s="1287"/>
      <c r="F62" s="1287"/>
      <c r="G62" s="1287"/>
      <c r="H62" s="1287"/>
      <c r="I62" s="1287"/>
      <c r="J62" s="1287"/>
      <c r="K62" s="1287"/>
      <c r="L62" s="1287"/>
      <c r="N62" t="s">
        <v>712</v>
      </c>
      <c r="O62" s="8">
        <f t="shared" ref="O62:V62" si="106">O16-B16</f>
        <v>5609</v>
      </c>
      <c r="P62" s="8">
        <f t="shared" si="106"/>
        <v>5600</v>
      </c>
      <c r="Q62" s="8">
        <f t="shared" si="106"/>
        <v>6410</v>
      </c>
      <c r="R62" s="8">
        <f t="shared" si="106"/>
        <v>7258</v>
      </c>
      <c r="S62" s="8">
        <f t="shared" si="106"/>
        <v>6634</v>
      </c>
      <c r="T62" s="8">
        <f t="shared" si="106"/>
        <v>6605</v>
      </c>
      <c r="U62" s="8">
        <f t="shared" si="106"/>
        <v>7543</v>
      </c>
      <c r="V62" s="8">
        <f t="shared" si="106"/>
        <v>8310</v>
      </c>
      <c r="X62" s="8">
        <f t="shared" ref="X62" si="107">SUM(O62:R62)</f>
        <v>24877</v>
      </c>
      <c r="Y62" s="8">
        <f t="shared" ref="Y62" si="108">SUM(S62:V62)</f>
        <v>29092</v>
      </c>
    </row>
    <row r="63" spans="1:27">
      <c r="A63" s="13" t="s">
        <v>113</v>
      </c>
      <c r="B63" s="1288"/>
      <c r="C63" s="1288"/>
      <c r="D63" s="1288"/>
      <c r="E63" s="1288"/>
      <c r="F63" s="1289"/>
      <c r="G63" s="1289"/>
      <c r="H63" s="1289"/>
      <c r="I63" s="1289"/>
      <c r="J63" s="1289"/>
      <c r="K63" s="1289"/>
      <c r="L63" s="1289"/>
      <c r="N63" s="13" t="s">
        <v>113</v>
      </c>
      <c r="S63" s="228">
        <f t="shared" ref="S63" si="109">S62/O62-1</f>
        <v>0.18274202175075782</v>
      </c>
      <c r="T63" s="228">
        <f t="shared" ref="T63" si="110">T62/P62-1</f>
        <v>0.17946428571428563</v>
      </c>
      <c r="U63" s="228">
        <f t="shared" ref="U63" si="111">U62/Q62-1</f>
        <v>0.17675507020280801</v>
      </c>
      <c r="V63" s="228">
        <f t="shared" ref="V63" si="112">V62/R62-1</f>
        <v>0.14494351060898314</v>
      </c>
      <c r="W63" s="228"/>
      <c r="X63" s="228"/>
      <c r="Y63" s="228">
        <f>Y62/X62-1</f>
        <v>0.16943361337781893</v>
      </c>
    </row>
  </sheetData>
  <pageMargins left="0.3" right="0.3" top="0.3" bottom="0.3" header="0.3" footer="0.3"/>
  <pageSetup scale="57" fitToHeight="0" orientation="landscape" r:id="rId1"/>
  <headerFooter>
    <oddFooter>Page &amp;P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1B95C-DDF6-4787-B19C-0EA67785CAEC}">
  <sheetPr>
    <pageSetUpPr fitToPage="1"/>
  </sheetPr>
  <dimension ref="A1:R59"/>
  <sheetViews>
    <sheetView view="pageBreakPreview" zoomScaleNormal="100" zoomScaleSheetLayoutView="100" workbookViewId="0">
      <selection activeCell="B6" sqref="B6"/>
    </sheetView>
  </sheetViews>
  <sheetFormatPr defaultColWidth="9.33203125" defaultRowHeight="12.6" outlineLevelRow="1"/>
  <cols>
    <col min="1" max="1" width="48.83203125" style="790" customWidth="1"/>
    <col min="2" max="3" width="14" style="985" customWidth="1"/>
    <col min="4" max="4" width="14.33203125" style="985" customWidth="1"/>
    <col min="5" max="18" width="14.33203125" style="790" customWidth="1"/>
    <col min="19" max="16384" width="9.33203125" style="790"/>
  </cols>
  <sheetData>
    <row r="1" spans="1:18" s="793" customFormat="1" ht="12.95">
      <c r="A1" s="790" t="s">
        <v>60</v>
      </c>
      <c r="B1" s="960"/>
      <c r="C1" s="960"/>
      <c r="D1" s="960"/>
      <c r="E1" s="791"/>
      <c r="F1" s="791"/>
      <c r="G1" s="791"/>
      <c r="H1" s="961">
        <f ca="1">TODAY()</f>
        <v>45797</v>
      </c>
      <c r="I1" s="791"/>
      <c r="J1" s="791"/>
      <c r="K1" s="791"/>
      <c r="L1" s="791"/>
      <c r="M1" s="791"/>
      <c r="N1" s="791"/>
      <c r="O1" s="791"/>
      <c r="P1" s="791"/>
      <c r="Q1" s="791"/>
    </row>
    <row r="2" spans="1:18" s="794" customFormat="1" ht="12.95">
      <c r="A2" s="794" t="s">
        <v>713</v>
      </c>
      <c r="B2" s="962"/>
      <c r="C2" s="962"/>
      <c r="D2" s="962"/>
      <c r="E2" s="795"/>
      <c r="F2" s="795"/>
      <c r="G2" s="795"/>
      <c r="H2" s="795"/>
      <c r="I2" s="795"/>
      <c r="J2" s="795"/>
      <c r="K2" s="795"/>
      <c r="L2" s="795"/>
      <c r="M2" s="795"/>
      <c r="N2" s="795"/>
      <c r="O2" s="795"/>
      <c r="P2" s="795"/>
      <c r="Q2" s="795"/>
      <c r="R2" s="795"/>
    </row>
    <row r="3" spans="1:18" s="793" customFormat="1" ht="12.95">
      <c r="B3" s="963"/>
      <c r="C3" s="963"/>
      <c r="D3" s="963"/>
      <c r="E3" s="964"/>
      <c r="F3" s="964"/>
      <c r="G3" s="964"/>
      <c r="H3" s="964"/>
      <c r="I3" s="964"/>
      <c r="J3" s="964"/>
      <c r="K3" s="964"/>
      <c r="L3" s="964"/>
      <c r="M3" s="964"/>
      <c r="N3" s="964"/>
      <c r="O3" s="964"/>
      <c r="P3" s="964"/>
      <c r="Q3" s="964"/>
      <c r="R3" s="964"/>
    </row>
    <row r="4" spans="1:18" s="793" customFormat="1" ht="15.95">
      <c r="B4" s="797" t="s">
        <v>90</v>
      </c>
      <c r="C4" s="798"/>
      <c r="D4" s="798"/>
      <c r="E4" s="964"/>
      <c r="F4" s="797" t="s">
        <v>714</v>
      </c>
      <c r="G4" s="798"/>
      <c r="H4" s="798"/>
      <c r="I4" s="964"/>
      <c r="J4" s="964"/>
      <c r="K4" s="964"/>
      <c r="L4" s="964"/>
      <c r="M4" s="964"/>
      <c r="N4" s="964"/>
      <c r="O4" s="964"/>
      <c r="P4" s="964"/>
      <c r="Q4" s="964"/>
      <c r="R4" s="964"/>
    </row>
    <row r="5" spans="1:18" s="778" customFormat="1" ht="12.95">
      <c r="A5" s="965" t="s">
        <v>346</v>
      </c>
      <c r="B5" s="966" t="s">
        <v>715</v>
      </c>
      <c r="C5" s="967" t="s">
        <v>716</v>
      </c>
      <c r="D5" s="968" t="s">
        <v>717</v>
      </c>
      <c r="E5" s="969" t="s">
        <v>718</v>
      </c>
      <c r="F5" s="966" t="s">
        <v>719</v>
      </c>
      <c r="G5" s="967" t="s">
        <v>720</v>
      </c>
      <c r="H5" s="968" t="s">
        <v>721</v>
      </c>
    </row>
    <row r="6" spans="1:18" s="778" customFormat="1" ht="12.95">
      <c r="A6" s="790" t="s">
        <v>722</v>
      </c>
      <c r="B6" s="970">
        <f>+'Historical Financials'!BU150*1000</f>
        <v>68100</v>
      </c>
      <c r="C6" s="971">
        <f t="shared" ref="C6" si="0">B6+((D6-B6)/2)</f>
        <v>68600</v>
      </c>
      <c r="D6" s="972">
        <f>+'Historical Financials'!BV150*1000</f>
        <v>69100</v>
      </c>
      <c r="E6" s="1202">
        <f>+'Historical Financials'!AO1058</f>
        <v>68949.202353999994</v>
      </c>
      <c r="F6" s="973">
        <f t="shared" ref="F6" si="1">+$E6/B6-1</f>
        <v>1.2469931776798671E-2</v>
      </c>
      <c r="G6" s="974">
        <f t="shared" ref="G6" si="2">+$E6/C6-1</f>
        <v>5.0904133236151505E-3</v>
      </c>
      <c r="H6" s="975">
        <f t="shared" ref="H6" si="3">+$E6/D6-1</f>
        <v>-2.1823103617946149E-3</v>
      </c>
    </row>
    <row r="7" spans="1:18" s="778" customFormat="1" ht="12.95">
      <c r="A7" s="790" t="s">
        <v>722</v>
      </c>
      <c r="B7" s="970">
        <v>63800.000000000007</v>
      </c>
      <c r="C7" s="971">
        <f t="shared" ref="C7" si="4">B7+((D7-B7)/2)</f>
        <v>64300</v>
      </c>
      <c r="D7" s="972">
        <v>64800</v>
      </c>
      <c r="E7" s="971">
        <f>+'Historical Financials'!AN1058</f>
        <v>65585</v>
      </c>
      <c r="F7" s="973">
        <f t="shared" ref="F7" si="5">+$E7/B7-1</f>
        <v>2.797805642633211E-2</v>
      </c>
      <c r="G7" s="974">
        <f t="shared" ref="G7" si="6">+$E7/C7-1</f>
        <v>1.9984447900466495E-2</v>
      </c>
      <c r="H7" s="975">
        <f t="shared" ref="H7" si="7">+$E7/D7-1</f>
        <v>1.211419753086429E-2</v>
      </c>
    </row>
    <row r="8" spans="1:18" s="778" customFormat="1" ht="12.95">
      <c r="A8" s="790" t="s">
        <v>723</v>
      </c>
      <c r="B8" s="970">
        <v>63500</v>
      </c>
      <c r="C8" s="971">
        <f t="shared" ref="C8:C11" si="8">B8+((D8-B8)/2)</f>
        <v>64000</v>
      </c>
      <c r="D8" s="972">
        <v>64500</v>
      </c>
      <c r="E8" s="971">
        <f>+'Historical Financials'!AM12</f>
        <v>64727</v>
      </c>
      <c r="F8" s="973">
        <f t="shared" ref="F8" si="9">+$E8/B8-1</f>
        <v>1.9322834645669307E-2</v>
      </c>
      <c r="G8" s="974">
        <f t="shared" ref="G8" si="10">+$E8/C8-1</f>
        <v>1.135937500000006E-2</v>
      </c>
      <c r="H8" s="975">
        <f t="shared" ref="H8" si="11">+$E8/D8-1</f>
        <v>3.5193798449613123E-3</v>
      </c>
    </row>
    <row r="9" spans="1:18" s="778" customFormat="1" ht="12.95">
      <c r="A9" s="790" t="s">
        <v>724</v>
      </c>
      <c r="B9" s="970">
        <v>60000</v>
      </c>
      <c r="C9" s="971">
        <f t="shared" si="8"/>
        <v>60500</v>
      </c>
      <c r="D9" s="972">
        <v>61000.000000000007</v>
      </c>
      <c r="E9" s="971">
        <f>+'Historical Financials'!AL12</f>
        <v>61858</v>
      </c>
      <c r="F9" s="973">
        <f t="shared" ref="F9" si="12">+$E9/B9-1</f>
        <v>3.0966666666666587E-2</v>
      </c>
      <c r="G9" s="974">
        <f t="shared" ref="G9" si="13">+$E9/C9-1</f>
        <v>2.2446280991735623E-2</v>
      </c>
      <c r="H9" s="975">
        <f t="shared" ref="H9" si="14">+$E9/D9-1</f>
        <v>1.4065573770491779E-2</v>
      </c>
    </row>
    <row r="10" spans="1:18" s="778" customFormat="1" ht="12.95">
      <c r="A10" s="790" t="s">
        <v>725</v>
      </c>
      <c r="B10" s="970">
        <v>60400.000000000007</v>
      </c>
      <c r="C10" s="971">
        <f t="shared" si="8"/>
        <v>60900</v>
      </c>
      <c r="D10" s="972">
        <v>61400</v>
      </c>
      <c r="E10" s="971">
        <f>+'Historical Financials'!AK12</f>
        <v>62020</v>
      </c>
      <c r="F10" s="973">
        <f t="shared" ref="F10" si="15">+$E10/B10-1</f>
        <v>2.6821192052979947E-2</v>
      </c>
      <c r="G10" s="974">
        <f t="shared" ref="G10" si="16">+$E10/C10-1</f>
        <v>1.839080459770126E-2</v>
      </c>
      <c r="H10" s="975">
        <f t="shared" ref="H10" si="17">+$E10/D10-1</f>
        <v>1.0097719869706756E-2</v>
      </c>
    </row>
    <row r="11" spans="1:18" s="778" customFormat="1" ht="12.95">
      <c r="A11" s="790" t="s">
        <v>726</v>
      </c>
      <c r="B11" s="970">
        <v>53800</v>
      </c>
      <c r="C11" s="971">
        <f t="shared" si="8"/>
        <v>54300</v>
      </c>
      <c r="D11" s="972">
        <v>54800.000000000007</v>
      </c>
      <c r="E11" s="971">
        <f>+'Historical Financials'!AJ12</f>
        <v>56517</v>
      </c>
      <c r="F11" s="973">
        <f>+$E11/B11-1</f>
        <v>5.0501858736059502E-2</v>
      </c>
      <c r="G11" s="974">
        <f>+$E11/C11-1</f>
        <v>4.082872928176795E-2</v>
      </c>
      <c r="H11" s="975">
        <f>+$E11/D11-1</f>
        <v>3.133211678832093E-2</v>
      </c>
    </row>
    <row r="12" spans="1:18" s="778" customFormat="1" ht="12.95">
      <c r="A12" s="790" t="s">
        <v>727</v>
      </c>
      <c r="B12" s="970">
        <v>54850</v>
      </c>
      <c r="C12" s="971">
        <f t="shared" ref="C12" si="18">B12+((D12-B12)/2)</f>
        <v>55350</v>
      </c>
      <c r="D12" s="972">
        <v>55849.999999999993</v>
      </c>
      <c r="E12" s="971">
        <f>+'Historical Financials'!AI12</f>
        <v>56189</v>
      </c>
      <c r="F12" s="973">
        <f t="shared" ref="F12:H12" si="19">+$E12/B12-1</f>
        <v>2.4412032816772955E-2</v>
      </c>
      <c r="G12" s="974">
        <f t="shared" si="19"/>
        <v>1.5158084914182579E-2</v>
      </c>
      <c r="H12" s="975">
        <f t="shared" si="19"/>
        <v>6.0698299015220503E-3</v>
      </c>
    </row>
    <row r="13" spans="1:18" s="778" customFormat="1" ht="12.95">
      <c r="A13" s="790" t="s">
        <v>728</v>
      </c>
      <c r="B13" s="970">
        <v>50499.999999999993</v>
      </c>
      <c r="C13" s="971">
        <f t="shared" ref="C13:C14" si="20">B13+((D13-B13)/2)</f>
        <v>51000</v>
      </c>
      <c r="D13" s="972">
        <v>51500</v>
      </c>
      <c r="E13" s="971">
        <f>+'Historical Financials'!AH12</f>
        <v>52857</v>
      </c>
      <c r="F13" s="973">
        <f>+$E13/B13-1</f>
        <v>4.6673267326732715E-2</v>
      </c>
      <c r="G13" s="974">
        <f>+$E13/C13-1</f>
        <v>3.6411764705882366E-2</v>
      </c>
      <c r="H13" s="975">
        <f>+$E13/D13-1</f>
        <v>2.6349514563106746E-2</v>
      </c>
    </row>
    <row r="14" spans="1:18" s="778" customFormat="1" ht="12.95">
      <c r="A14" s="790" t="s">
        <v>729</v>
      </c>
      <c r="B14" s="970">
        <v>52350</v>
      </c>
      <c r="C14" s="971">
        <f t="shared" si="20"/>
        <v>52850</v>
      </c>
      <c r="D14" s="972">
        <v>53350</v>
      </c>
      <c r="E14" s="971">
        <f>+'Historical Financials'!AG12</f>
        <v>52747</v>
      </c>
      <c r="F14" s="973">
        <f t="shared" ref="F14" si="21">+$E14/B14-1</f>
        <v>7.5835721107926357E-3</v>
      </c>
      <c r="G14" s="974">
        <f t="shared" ref="G14" si="22">+$E14/C14-1</f>
        <v>-1.9489120151371386E-3</v>
      </c>
      <c r="H14" s="975">
        <f t="shared" ref="H14" si="23">+$E14/D14-1</f>
        <v>-1.1302717900656067E-2</v>
      </c>
      <c r="I14" s="790"/>
      <c r="J14" s="790"/>
      <c r="K14" s="790"/>
    </row>
    <row r="15" spans="1:18">
      <c r="A15" s="790" t="s">
        <v>730</v>
      </c>
      <c r="B15" s="970">
        <v>49250</v>
      </c>
      <c r="C15" s="971">
        <f t="shared" ref="C15" si="24">B15+((D15-B15)/2)</f>
        <v>49750</v>
      </c>
      <c r="D15" s="972">
        <v>50250</v>
      </c>
      <c r="E15" s="971">
        <f>+'Historical Financials'!AF12</f>
        <v>50122</v>
      </c>
      <c r="F15" s="973">
        <f t="shared" ref="F15" si="25">+$E15/B15-1</f>
        <v>1.7705583756345122E-2</v>
      </c>
      <c r="G15" s="974">
        <f t="shared" ref="G15" si="26">+$E15/C15-1</f>
        <v>7.477386934673369E-3</v>
      </c>
      <c r="H15" s="975">
        <f t="shared" ref="H15" si="27">+$E15/D15-1</f>
        <v>-2.5472636815920824E-3</v>
      </c>
    </row>
    <row r="16" spans="1:18">
      <c r="A16" s="790" t="s">
        <v>731</v>
      </c>
      <c r="B16" s="970">
        <v>51940.000000000007</v>
      </c>
      <c r="C16" s="971">
        <f t="shared" ref="C16" si="28">B16+((D16-B16)/2)</f>
        <v>52340.000000000007</v>
      </c>
      <c r="D16" s="972">
        <v>52740.000000000007</v>
      </c>
      <c r="E16" s="971">
        <f>+'Historical Financials'!AE12</f>
        <v>51865</v>
      </c>
      <c r="F16" s="973">
        <f t="shared" ref="F16" si="29">+$E16/B16-1</f>
        <v>-1.4439738159416349E-3</v>
      </c>
      <c r="G16" s="974">
        <f t="shared" ref="G16" si="30">+$E16/C16-1</f>
        <v>-9.075277034772733E-3</v>
      </c>
      <c r="H16" s="975">
        <f t="shared" ref="H16" si="31">+$E16/D16-1</f>
        <v>-1.6590822904816172E-2</v>
      </c>
    </row>
    <row r="17" spans="1:8">
      <c r="A17" s="790" t="s">
        <v>732</v>
      </c>
      <c r="B17" s="970">
        <v>48500</v>
      </c>
      <c r="C17" s="971">
        <f t="shared" ref="C17:C27" si="32">B17+((D17-B17)/2)</f>
        <v>48900</v>
      </c>
      <c r="D17" s="972">
        <v>49300</v>
      </c>
      <c r="E17" s="971">
        <f>+'Historical Financials'!AD12</f>
        <v>49360</v>
      </c>
      <c r="F17" s="973">
        <f t="shared" ref="F17" si="33">+$E17/B17-1</f>
        <v>1.7731958762886579E-2</v>
      </c>
      <c r="G17" s="974">
        <f t="shared" ref="G17" si="34">+$E17/C17-1</f>
        <v>9.4069529652351935E-3</v>
      </c>
      <c r="H17" s="975">
        <f t="shared" ref="H17" si="35">+$E17/D17-1</f>
        <v>1.2170385395537942E-3</v>
      </c>
    </row>
    <row r="18" spans="1:8">
      <c r="A18" s="790" t="s">
        <v>733</v>
      </c>
      <c r="B18" s="970">
        <f>15700+18100+16350</f>
        <v>50150</v>
      </c>
      <c r="C18" s="971">
        <f t="shared" si="32"/>
        <v>50600</v>
      </c>
      <c r="D18" s="972">
        <f>15950+18350+16750</f>
        <v>51050</v>
      </c>
      <c r="E18" s="971">
        <f>+'Historical Financials'!AC12</f>
        <v>51728</v>
      </c>
      <c r="F18" s="973">
        <f t="shared" ref="F18" si="36">+$E18/B18-1</f>
        <v>3.1465603190428793E-2</v>
      </c>
      <c r="G18" s="974">
        <f t="shared" ref="G18" si="37">+$E18/C18-1</f>
        <v>2.2292490118577035E-2</v>
      </c>
      <c r="H18" s="975">
        <f t="shared" ref="H18" si="38">+$E18/D18-1</f>
        <v>1.3281096963761119E-2</v>
      </c>
    </row>
    <row r="19" spans="1:8">
      <c r="A19" s="790" t="s">
        <v>734</v>
      </c>
      <c r="B19" s="970">
        <v>43300</v>
      </c>
      <c r="C19" s="971">
        <f t="shared" si="32"/>
        <v>43750</v>
      </c>
      <c r="D19" s="972">
        <v>44200</v>
      </c>
      <c r="E19" s="971">
        <v>45317</v>
      </c>
      <c r="F19" s="973">
        <f t="shared" ref="F19:F27" si="39">+$E19/B19-1</f>
        <v>4.6581986143187093E-2</v>
      </c>
      <c r="G19" s="974">
        <f t="shared" ref="G19:G27" si="40">+$E19/C19-1</f>
        <v>3.581714285714277E-2</v>
      </c>
      <c r="H19" s="975">
        <f t="shared" ref="H19:H27" si="41">+$E19/D19-1</f>
        <v>2.5271493212669638E-2</v>
      </c>
    </row>
    <row r="20" spans="1:8">
      <c r="A20" s="790" t="s">
        <v>735</v>
      </c>
      <c r="B20" s="970">
        <v>43600</v>
      </c>
      <c r="C20" s="971">
        <f t="shared" si="32"/>
        <v>44050</v>
      </c>
      <c r="D20" s="972">
        <v>44500</v>
      </c>
      <c r="E20" s="971">
        <v>46152</v>
      </c>
      <c r="F20" s="973">
        <f t="shared" si="39"/>
        <v>5.8532110091743084E-2</v>
      </c>
      <c r="G20" s="974">
        <f t="shared" si="40"/>
        <v>4.7718501702610716E-2</v>
      </c>
      <c r="H20" s="975">
        <f t="shared" si="41"/>
        <v>3.7123595505617946E-2</v>
      </c>
    </row>
    <row r="21" spans="1:8">
      <c r="A21" s="790" t="s">
        <v>736</v>
      </c>
      <c r="B21" s="970">
        <v>40350</v>
      </c>
      <c r="C21" s="971">
        <f t="shared" si="32"/>
        <v>40800</v>
      </c>
      <c r="D21" s="972">
        <v>41250</v>
      </c>
      <c r="E21" s="971">
        <v>41706</v>
      </c>
      <c r="F21" s="973">
        <f t="shared" si="39"/>
        <v>3.3605947955390292E-2</v>
      </c>
      <c r="G21" s="974">
        <f t="shared" si="40"/>
        <v>2.2205882352941186E-2</v>
      </c>
      <c r="H21" s="975">
        <f t="shared" si="41"/>
        <v>1.1054545454545428E-2</v>
      </c>
    </row>
    <row r="22" spans="1:8">
      <c r="A22" s="790" t="s">
        <v>737</v>
      </c>
      <c r="B22" s="970">
        <v>39500</v>
      </c>
      <c r="C22" s="971">
        <f t="shared" si="32"/>
        <v>39950</v>
      </c>
      <c r="D22" s="972">
        <v>40400</v>
      </c>
      <c r="E22" s="971">
        <v>43076</v>
      </c>
      <c r="F22" s="973">
        <f t="shared" si="39"/>
        <v>9.0531645569620345E-2</v>
      </c>
      <c r="G22" s="974">
        <f t="shared" si="40"/>
        <v>7.8247809762202802E-2</v>
      </c>
      <c r="H22" s="975">
        <f t="shared" si="41"/>
        <v>6.6237623762376296E-2</v>
      </c>
    </row>
    <row r="23" spans="1:8">
      <c r="A23" s="790" t="s">
        <v>738</v>
      </c>
      <c r="B23" s="970">
        <v>35150</v>
      </c>
      <c r="C23" s="971">
        <f t="shared" si="32"/>
        <v>35625</v>
      </c>
      <c r="D23" s="972">
        <v>36100</v>
      </c>
      <c r="E23" s="971">
        <v>37154</v>
      </c>
      <c r="F23" s="973">
        <f t="shared" si="39"/>
        <v>5.7012802275960173E-2</v>
      </c>
      <c r="G23" s="974">
        <f t="shared" si="40"/>
        <v>4.2919298245614135E-2</v>
      </c>
      <c r="H23" s="975">
        <f t="shared" si="41"/>
        <v>2.919667590027708E-2</v>
      </c>
    </row>
    <row r="24" spans="1:8">
      <c r="A24" s="790" t="s">
        <v>739</v>
      </c>
      <c r="B24" s="970">
        <v>35850</v>
      </c>
      <c r="C24" s="971">
        <f t="shared" si="32"/>
        <v>36325</v>
      </c>
      <c r="D24" s="972">
        <v>36800</v>
      </c>
      <c r="E24" s="971">
        <v>38033</v>
      </c>
      <c r="F24" s="973">
        <f t="shared" si="39"/>
        <v>6.0892608089260891E-2</v>
      </c>
      <c r="G24" s="974">
        <f t="shared" si="40"/>
        <v>4.7019958706125298E-2</v>
      </c>
      <c r="H24" s="975">
        <f t="shared" si="41"/>
        <v>3.3505434782608701E-2</v>
      </c>
    </row>
    <row r="25" spans="1:8">
      <c r="A25" s="790" t="s">
        <v>740</v>
      </c>
      <c r="B25" s="970">
        <v>34100</v>
      </c>
      <c r="C25" s="971">
        <f t="shared" si="32"/>
        <v>34500</v>
      </c>
      <c r="D25" s="972">
        <v>34900</v>
      </c>
      <c r="E25" s="971">
        <v>35021</v>
      </c>
      <c r="F25" s="973">
        <f t="shared" si="39"/>
        <v>2.7008797653959027E-2</v>
      </c>
      <c r="G25" s="974">
        <f t="shared" si="40"/>
        <v>1.5101449275362278E-2</v>
      </c>
      <c r="H25" s="975">
        <f t="shared" si="41"/>
        <v>3.4670487106016612E-3</v>
      </c>
    </row>
    <row r="26" spans="1:8">
      <c r="A26" s="790" t="s">
        <v>741</v>
      </c>
      <c r="B26" s="970">
        <v>35150</v>
      </c>
      <c r="C26" s="971">
        <f t="shared" si="32"/>
        <v>35550</v>
      </c>
      <c r="D26" s="972">
        <v>35950</v>
      </c>
      <c r="E26" s="971">
        <v>36906</v>
      </c>
      <c r="F26" s="973">
        <f t="shared" si="39"/>
        <v>4.9957325746799341E-2</v>
      </c>
      <c r="G26" s="974">
        <f t="shared" si="40"/>
        <v>3.8143459915611855E-2</v>
      </c>
      <c r="H26" s="975">
        <f t="shared" si="41"/>
        <v>2.6592489568845634E-2</v>
      </c>
    </row>
    <row r="27" spans="1:8">
      <c r="A27" s="790" t="s">
        <v>742</v>
      </c>
      <c r="B27" s="976">
        <f>9950+9150+12800</f>
        <v>31900</v>
      </c>
      <c r="C27" s="977">
        <f t="shared" si="32"/>
        <v>32300</v>
      </c>
      <c r="D27" s="978">
        <f>10150+9350+13200</f>
        <v>32700</v>
      </c>
      <c r="E27" s="971">
        <v>33055</v>
      </c>
      <c r="F27" s="979">
        <f t="shared" si="39"/>
        <v>3.6206896551724155E-2</v>
      </c>
      <c r="G27" s="980">
        <f t="shared" si="40"/>
        <v>2.3374613003096067E-2</v>
      </c>
      <c r="H27" s="981">
        <f t="shared" si="41"/>
        <v>1.0856269113149741E-2</v>
      </c>
    </row>
    <row r="28" spans="1:8" hidden="1" outlineLevel="1">
      <c r="A28" s="790" t="s">
        <v>743</v>
      </c>
      <c r="B28" s="970"/>
      <c r="C28" s="971"/>
      <c r="D28" s="972"/>
      <c r="E28" s="971"/>
      <c r="F28" s="973"/>
      <c r="G28" s="974"/>
      <c r="H28" s="975"/>
    </row>
    <row r="29" spans="1:8" hidden="1" outlineLevel="1">
      <c r="A29" s="790" t="s">
        <v>744</v>
      </c>
      <c r="B29" s="976"/>
      <c r="C29" s="977"/>
      <c r="D29" s="978"/>
      <c r="E29" s="971"/>
      <c r="F29" s="979"/>
      <c r="G29" s="980"/>
      <c r="H29" s="981"/>
    </row>
    <row r="30" spans="1:8" s="796" customFormat="1" ht="12.95" collapsed="1">
      <c r="A30" s="806" t="s">
        <v>745</v>
      </c>
      <c r="B30" s="982"/>
      <c r="C30" s="983"/>
      <c r="D30" s="983" t="s">
        <v>746</v>
      </c>
      <c r="F30" s="984">
        <f>AVERAGE(F7:F29)</f>
        <v>3.6192798702541384E-2</v>
      </c>
      <c r="G30" s="984">
        <f t="shared" ref="G30:H30" si="42">AVERAGE(G7:G29)</f>
        <v>2.5870487818143769E-2</v>
      </c>
      <c r="H30" s="984">
        <f t="shared" si="42"/>
        <v>1.5757659014091267E-2</v>
      </c>
    </row>
    <row r="31" spans="1:8" s="796" customFormat="1" ht="12.95">
      <c r="A31" s="806" t="s">
        <v>747</v>
      </c>
      <c r="B31" s="982"/>
      <c r="C31" s="983"/>
      <c r="D31" s="983"/>
      <c r="F31" s="984">
        <f>MEDIAN(F7:F27)</f>
        <v>3.1465603190428793E-2</v>
      </c>
      <c r="G31" s="984">
        <f t="shared" ref="G31:H31" si="43">MEDIAN(G7:G27)</f>
        <v>2.2292490118577035E-2</v>
      </c>
      <c r="H31" s="984">
        <f t="shared" si="43"/>
        <v>1.211419753086429E-2</v>
      </c>
    </row>
    <row r="33" spans="1:10" ht="12.95">
      <c r="A33" s="965" t="s">
        <v>352</v>
      </c>
      <c r="B33" s="966" t="s">
        <v>715</v>
      </c>
      <c r="C33" s="967" t="s">
        <v>716</v>
      </c>
      <c r="D33" s="968" t="s">
        <v>717</v>
      </c>
      <c r="E33" s="969" t="s">
        <v>718</v>
      </c>
      <c r="F33" s="966" t="s">
        <v>719</v>
      </c>
      <c r="G33" s="967" t="s">
        <v>720</v>
      </c>
      <c r="H33" s="968" t="s">
        <v>721</v>
      </c>
    </row>
    <row r="34" spans="1:10">
      <c r="A34" s="790" t="s">
        <v>748</v>
      </c>
      <c r="B34" s="970">
        <f>+'Historical Financials'!BU158*1000+900</f>
        <v>30699.999999999996</v>
      </c>
      <c r="C34" s="971">
        <f t="shared" ref="C34:C35" si="44">B34+((D34-B34)/2)</f>
        <v>31049.999999999993</v>
      </c>
      <c r="D34" s="972">
        <f>+'Historical Financials'!BV158*1000+900</f>
        <v>31399.999999999993</v>
      </c>
      <c r="E34" s="1202">
        <f>+'Historical Financials'!AO49</f>
        <v>31872.765274016641</v>
      </c>
      <c r="F34" s="973">
        <f t="shared" ref="F34" si="45">+$E34/B34-1</f>
        <v>3.8200823257871219E-2</v>
      </c>
      <c r="G34" s="974">
        <f t="shared" ref="G34" si="46">+$E34/C34-1</f>
        <v>2.6498076457863062E-2</v>
      </c>
      <c r="H34" s="975">
        <f t="shared" ref="H34" si="47">+$E34/D34-1</f>
        <v>1.5056218917727682E-2</v>
      </c>
    </row>
    <row r="35" spans="1:10">
      <c r="A35" s="790" t="s">
        <v>749</v>
      </c>
      <c r="B35" s="970">
        <v>29550.000000000011</v>
      </c>
      <c r="C35" s="971">
        <f t="shared" si="44"/>
        <v>29900.000000000004</v>
      </c>
      <c r="D35" s="972">
        <v>30249.999999999996</v>
      </c>
      <c r="E35" s="971">
        <f>+'Historical Financials'!AN49</f>
        <v>31462</v>
      </c>
      <c r="F35" s="973">
        <f t="shared" ref="F35" si="48">+$E35/B35-1</f>
        <v>6.4703891708967509E-2</v>
      </c>
      <c r="G35" s="974">
        <f t="shared" ref="G35" si="49">+$E35/C35-1</f>
        <v>5.2240802675585174E-2</v>
      </c>
      <c r="H35" s="975">
        <f t="shared" ref="H35" si="50">+$E35/D35-1</f>
        <v>4.0066115702479532E-2</v>
      </c>
    </row>
    <row r="36" spans="1:10">
      <c r="A36" s="790" t="s">
        <v>750</v>
      </c>
      <c r="B36" s="970">
        <v>27750</v>
      </c>
      <c r="C36" s="971">
        <f t="shared" ref="C36:C37" si="51">B36+((D36-B36)/2)</f>
        <v>28100</v>
      </c>
      <c r="D36" s="972">
        <v>28450.000000000004</v>
      </c>
      <c r="E36" s="971">
        <f>+'Historical Financials'!AM49</f>
        <v>28865</v>
      </c>
      <c r="F36" s="973">
        <f t="shared" ref="F36" si="52">+$E36/B36-1</f>
        <v>4.0180180180180214E-2</v>
      </c>
      <c r="G36" s="974">
        <f t="shared" ref="G36" si="53">+$E36/C36-1</f>
        <v>2.7224199288256257E-2</v>
      </c>
      <c r="H36" s="975">
        <f t="shared" ref="H36" si="54">+$E36/D36-1</f>
        <v>1.4586994727592062E-2</v>
      </c>
    </row>
    <row r="37" spans="1:10">
      <c r="A37" s="790" t="s">
        <v>751</v>
      </c>
      <c r="B37" s="970">
        <v>26599.999999999996</v>
      </c>
      <c r="C37" s="971">
        <f t="shared" si="51"/>
        <v>26950</v>
      </c>
      <c r="D37" s="972">
        <v>27300.000000000004</v>
      </c>
      <c r="E37" s="971">
        <f>+'Historical Financials'!AL49</f>
        <v>28521</v>
      </c>
      <c r="F37" s="973">
        <f t="shared" ref="F37" si="55">+$E37/B37-1</f>
        <v>7.221804511278207E-2</v>
      </c>
      <c r="G37" s="974">
        <f t="shared" ref="G37" si="56">+$E37/C37-1</f>
        <v>5.8293135435992571E-2</v>
      </c>
      <c r="H37" s="975">
        <f t="shared" ref="H37" si="57">+$E37/D37-1</f>
        <v>4.4725274725274655E-2</v>
      </c>
    </row>
    <row r="38" spans="1:10">
      <c r="A38" s="790" t="s">
        <v>752</v>
      </c>
      <c r="B38" s="970">
        <v>26400.000000000007</v>
      </c>
      <c r="C38" s="971">
        <f t="shared" ref="C38:C39" si="58">B38+((D38-B38)/2)</f>
        <v>26750</v>
      </c>
      <c r="D38" s="972">
        <v>27099.999999999996</v>
      </c>
      <c r="E38" s="971">
        <f>+'Historical Financials'!AK49</f>
        <v>28162</v>
      </c>
      <c r="F38" s="973">
        <f t="shared" ref="F38:H39" si="59">+$E38/B38-1</f>
        <v>6.6742424242423937E-2</v>
      </c>
      <c r="G38" s="974">
        <f t="shared" si="59"/>
        <v>5.2785046728971885E-2</v>
      </c>
      <c r="H38" s="975">
        <f t="shared" si="59"/>
        <v>3.9188191881919021E-2</v>
      </c>
      <c r="J38" s="1204">
        <f>+E38-26784</f>
        <v>1378</v>
      </c>
    </row>
    <row r="39" spans="1:10">
      <c r="A39" s="790" t="s">
        <v>726</v>
      </c>
      <c r="B39" s="970">
        <v>23699.999999999996</v>
      </c>
      <c r="C39" s="971">
        <f t="shared" si="58"/>
        <v>24050</v>
      </c>
      <c r="D39" s="972">
        <v>24400</v>
      </c>
      <c r="E39" s="971">
        <f>+'Historical Financials'!AJ49</f>
        <v>26895</v>
      </c>
      <c r="F39" s="973">
        <f t="shared" si="59"/>
        <v>0.13481012658227876</v>
      </c>
      <c r="G39" s="974">
        <f t="shared" si="59"/>
        <v>0.11829521829521839</v>
      </c>
      <c r="H39" s="975">
        <f t="shared" si="59"/>
        <v>0.10225409836065569</v>
      </c>
    </row>
    <row r="40" spans="1:10">
      <c r="A40" s="790" t="s">
        <v>727</v>
      </c>
      <c r="B40" s="970">
        <v>22949.999999999996</v>
      </c>
      <c r="C40" s="971">
        <f t="shared" ref="C40" si="60">B40+((D40-B40)/2)</f>
        <v>23299.999999999996</v>
      </c>
      <c r="D40" s="972">
        <v>23649.999999999996</v>
      </c>
      <c r="E40" s="971">
        <f>+'Historical Financials'!AI49</f>
        <v>24254</v>
      </c>
      <c r="F40" s="973">
        <f t="shared" ref="F40:H40" si="61">+$E40/B40-1</f>
        <v>5.6819172113290017E-2</v>
      </c>
      <c r="G40" s="974">
        <f t="shared" si="61"/>
        <v>4.0944206008583839E-2</v>
      </c>
      <c r="H40" s="975">
        <f t="shared" si="61"/>
        <v>2.553911205074022E-2</v>
      </c>
    </row>
    <row r="41" spans="1:10">
      <c r="A41" s="790" t="s">
        <v>728</v>
      </c>
      <c r="B41" s="970">
        <v>20149.999999999996</v>
      </c>
      <c r="C41" s="971">
        <f t="shared" ref="C41" si="62">B41+((D41-B41)/2)</f>
        <v>20499.999999999996</v>
      </c>
      <c r="D41" s="972">
        <v>20849.999999999996</v>
      </c>
      <c r="E41" s="971">
        <f>+'Historical Financials'!AH49</f>
        <v>22352</v>
      </c>
      <c r="F41" s="973">
        <f>+$E41/B41-1</f>
        <v>0.10928039702233261</v>
      </c>
      <c r="G41" s="974">
        <f>+$E41/C41-1</f>
        <v>9.0341463414634449E-2</v>
      </c>
      <c r="H41" s="975">
        <f>+$E41/D41-1</f>
        <v>7.2038369304556538E-2</v>
      </c>
    </row>
    <row r="42" spans="1:10">
      <c r="A42" s="790" t="s">
        <v>729</v>
      </c>
      <c r="B42" s="970">
        <v>20650</v>
      </c>
      <c r="C42" s="971">
        <f t="shared" ref="C42:C43" si="63">B42+((D42-B42)/2)</f>
        <v>21000</v>
      </c>
      <c r="D42" s="972">
        <v>21350</v>
      </c>
      <c r="E42" s="971">
        <f>+'Historical Financials'!AG49</f>
        <v>21570</v>
      </c>
      <c r="F42" s="973">
        <f t="shared" ref="F42" si="64">+$E42/B42-1</f>
        <v>4.4552058111380077E-2</v>
      </c>
      <c r="G42" s="974">
        <f t="shared" ref="G42" si="65">+$E42/C42-1</f>
        <v>2.7142857142857135E-2</v>
      </c>
      <c r="H42" s="975">
        <f t="shared" ref="H42" si="66">+$E42/D42-1</f>
        <v>1.0304449648711911E-2</v>
      </c>
    </row>
    <row r="43" spans="1:10">
      <c r="A43" s="790" t="s">
        <v>730</v>
      </c>
      <c r="B43" s="970">
        <v>21050</v>
      </c>
      <c r="C43" s="971">
        <f t="shared" si="63"/>
        <v>21400</v>
      </c>
      <c r="D43" s="972">
        <v>21750</v>
      </c>
      <c r="E43" s="971">
        <f>+'Historical Financials'!AF49</f>
        <v>21518</v>
      </c>
      <c r="F43" s="973">
        <f t="shared" ref="F43" si="67">+$E43/B43-1</f>
        <v>2.2232779097387079E-2</v>
      </c>
      <c r="G43" s="974">
        <f t="shared" ref="G43" si="68">+$E43/C43-1</f>
        <v>5.5140186915887401E-3</v>
      </c>
      <c r="H43" s="975">
        <f t="shared" ref="H43" si="69">+$E43/D43-1</f>
        <v>-1.0666666666666713E-2</v>
      </c>
    </row>
    <row r="44" spans="1:10">
      <c r="A44" s="790" t="s">
        <v>731</v>
      </c>
      <c r="B44" s="970">
        <v>20600.000000000004</v>
      </c>
      <c r="C44" s="971">
        <f t="shared" ref="C44" si="70">B44+((D44-B44)/2)</f>
        <v>20950.000000000004</v>
      </c>
      <c r="D44" s="972">
        <v>21300.000000000004</v>
      </c>
      <c r="E44" s="971">
        <f>+'Historical Financials'!AE49</f>
        <v>20534</v>
      </c>
      <c r="F44" s="973">
        <f t="shared" ref="F44" si="71">+$E44/B44-1</f>
        <v>-3.2038834951457762E-3</v>
      </c>
      <c r="G44" s="974">
        <f t="shared" ref="G44" si="72">+$E44/C44-1</f>
        <v>-1.9856801909308053E-2</v>
      </c>
      <c r="H44" s="975">
        <f t="shared" ref="H44" si="73">+$E44/D44-1</f>
        <v>-3.5962441314554172E-2</v>
      </c>
    </row>
    <row r="45" spans="1:10">
      <c r="A45" s="790" t="s">
        <v>732</v>
      </c>
      <c r="B45" s="970">
        <v>19600</v>
      </c>
      <c r="C45" s="971">
        <f t="shared" ref="C45:C55" si="74">B45+((D45-B45)/2)</f>
        <v>19849.999999999996</v>
      </c>
      <c r="D45" s="972">
        <v>20099.999999999993</v>
      </c>
      <c r="E45" s="971">
        <f>+'Historical Financials'!AD49</f>
        <v>20364</v>
      </c>
      <c r="F45" s="973">
        <f t="shared" ref="F45" si="75">+$E45/B45-1</f>
        <v>3.8979591836734606E-2</v>
      </c>
      <c r="G45" s="974">
        <f t="shared" ref="G45" si="76">+$E45/C45-1</f>
        <v>2.5894206549118559E-2</v>
      </c>
      <c r="H45" s="975">
        <f t="shared" ref="H45" si="77">+$E45/D45-1</f>
        <v>1.3134328358209268E-2</v>
      </c>
    </row>
    <row r="46" spans="1:10">
      <c r="A46" s="790" t="s">
        <v>733</v>
      </c>
      <c r="B46" s="970">
        <v>20450</v>
      </c>
      <c r="C46" s="971">
        <f t="shared" si="74"/>
        <v>20749.999999999996</v>
      </c>
      <c r="D46" s="972">
        <v>21049.999999999993</v>
      </c>
      <c r="E46" s="971">
        <f>+'Historical Financials'!AC49</f>
        <v>22247</v>
      </c>
      <c r="F46" s="973">
        <f t="shared" ref="F46:F55" si="78">+$E46/B46-1</f>
        <v>8.7872860635696881E-2</v>
      </c>
      <c r="G46" s="974">
        <f t="shared" ref="G46:G55" si="79">+$E46/C46-1</f>
        <v>7.2144578313253271E-2</v>
      </c>
      <c r="H46" s="975">
        <f t="shared" ref="H46:H55" si="80">+$E46/D46-1</f>
        <v>5.6864608076009793E-2</v>
      </c>
    </row>
    <row r="47" spans="1:10">
      <c r="A47" s="790" t="s">
        <v>734</v>
      </c>
      <c r="B47" s="970">
        <f>+B19-13550-11600</f>
        <v>18150</v>
      </c>
      <c r="C47" s="971">
        <f t="shared" si="74"/>
        <v>18450</v>
      </c>
      <c r="D47" s="972">
        <f>+D19-13750-11700</f>
        <v>18750</v>
      </c>
      <c r="E47" s="971">
        <f>+'Historical Financials'!AB49</f>
        <v>20238</v>
      </c>
      <c r="F47" s="973">
        <f t="shared" si="78"/>
        <v>0.11504132231404962</v>
      </c>
      <c r="G47" s="974">
        <f t="shared" si="79"/>
        <v>9.6910569105691069E-2</v>
      </c>
      <c r="H47" s="975">
        <f t="shared" si="80"/>
        <v>7.9360000000000097E-2</v>
      </c>
    </row>
    <row r="48" spans="1:10">
      <c r="A48" s="790" t="s">
        <v>735</v>
      </c>
      <c r="B48" s="970">
        <f>+B20-13700-13100</f>
        <v>16800</v>
      </c>
      <c r="C48" s="971">
        <f t="shared" si="74"/>
        <v>17100</v>
      </c>
      <c r="D48" s="972">
        <f>+D20-13900-13200</f>
        <v>17400</v>
      </c>
      <c r="E48" s="971">
        <f>+'Historical Financials'!AA49</f>
        <v>19095</v>
      </c>
      <c r="F48" s="973">
        <f t="shared" si="78"/>
        <v>0.13660714285714293</v>
      </c>
      <c r="G48" s="974">
        <f t="shared" si="79"/>
        <v>0.1166666666666667</v>
      </c>
      <c r="H48" s="975">
        <f t="shared" si="80"/>
        <v>9.7413793103448221E-2</v>
      </c>
    </row>
    <row r="49" spans="1:8">
      <c r="A49" s="790" t="s">
        <v>736</v>
      </c>
      <c r="B49" s="970">
        <f>+B21-13100-11900</f>
        <v>15350</v>
      </c>
      <c r="C49" s="971">
        <f t="shared" si="74"/>
        <v>15650</v>
      </c>
      <c r="D49" s="972">
        <f>+D21-13300-12000</f>
        <v>15950</v>
      </c>
      <c r="E49" s="971">
        <f>+'Historical Financials'!Z49</f>
        <v>17048</v>
      </c>
      <c r="F49" s="973">
        <f t="shared" si="78"/>
        <v>0.11061889250814327</v>
      </c>
      <c r="G49" s="974">
        <f t="shared" si="79"/>
        <v>8.9329073482428134E-2</v>
      </c>
      <c r="H49" s="975">
        <f t="shared" si="80"/>
        <v>6.8840125391849583E-2</v>
      </c>
    </row>
    <row r="50" spans="1:8">
      <c r="A50" s="790" t="s">
        <v>737</v>
      </c>
      <c r="B50" s="970">
        <f>+B22-13750-11400</f>
        <v>14350</v>
      </c>
      <c r="C50" s="971">
        <f t="shared" si="74"/>
        <v>14650</v>
      </c>
      <c r="D50" s="972">
        <f>+D22-13950-11500</f>
        <v>14950</v>
      </c>
      <c r="E50" s="971">
        <f>+'Historical Financials'!Y49</f>
        <v>17897</v>
      </c>
      <c r="F50" s="973">
        <f t="shared" si="78"/>
        <v>0.24717770034843212</v>
      </c>
      <c r="G50" s="974">
        <f t="shared" si="79"/>
        <v>0.22163822525597277</v>
      </c>
      <c r="H50" s="975">
        <f t="shared" si="80"/>
        <v>0.19712374581939796</v>
      </c>
    </row>
    <row r="51" spans="1:8">
      <c r="A51" s="790" t="s">
        <v>738</v>
      </c>
      <c r="B51" s="970">
        <f>+B23-10750-10700</f>
        <v>13700</v>
      </c>
      <c r="C51" s="971">
        <f t="shared" si="74"/>
        <v>14025</v>
      </c>
      <c r="D51" s="972">
        <f>+D23-10950-10800</f>
        <v>14350</v>
      </c>
      <c r="E51" s="971">
        <f>+'Historical Financials'!X49</f>
        <v>15876</v>
      </c>
      <c r="F51" s="973">
        <f t="shared" si="78"/>
        <v>0.1588321167883211</v>
      </c>
      <c r="G51" s="974">
        <f t="shared" si="79"/>
        <v>0.13197860962566854</v>
      </c>
      <c r="H51" s="975">
        <f t="shared" si="80"/>
        <v>0.10634146341463424</v>
      </c>
    </row>
    <row r="52" spans="1:8">
      <c r="A52" s="790" t="s">
        <v>739</v>
      </c>
      <c r="B52" s="970">
        <f>+B24-11550-11800</f>
        <v>12500</v>
      </c>
      <c r="C52" s="971">
        <f t="shared" si="74"/>
        <v>12825</v>
      </c>
      <c r="D52" s="972">
        <f>+D24-11750-11900</f>
        <v>13150</v>
      </c>
      <c r="E52" s="971">
        <f>+'Historical Financials'!W49</f>
        <v>13407</v>
      </c>
      <c r="F52" s="973">
        <f t="shared" si="78"/>
        <v>7.2559999999999958E-2</v>
      </c>
      <c r="G52" s="974">
        <f t="shared" si="79"/>
        <v>4.5380116959064409E-2</v>
      </c>
      <c r="H52" s="975">
        <f t="shared" si="80"/>
        <v>1.954372623574141E-2</v>
      </c>
    </row>
    <row r="53" spans="1:8">
      <c r="A53" s="790" t="s">
        <v>740</v>
      </c>
      <c r="B53" s="970">
        <f>+B25-11050-11200</f>
        <v>11850</v>
      </c>
      <c r="C53" s="971">
        <f t="shared" si="74"/>
        <v>12100</v>
      </c>
      <c r="D53" s="972">
        <f>+D25-11250-11300</f>
        <v>12350</v>
      </c>
      <c r="E53" s="971">
        <f>+'Historical Financials'!V49</f>
        <v>12975</v>
      </c>
      <c r="F53" s="973">
        <f t="shared" si="78"/>
        <v>9.4936708860759556E-2</v>
      </c>
      <c r="G53" s="974">
        <f t="shared" si="79"/>
        <v>7.2314049586776896E-2</v>
      </c>
      <c r="H53" s="975">
        <f t="shared" si="80"/>
        <v>5.0607287449392802E-2</v>
      </c>
    </row>
    <row r="54" spans="1:8">
      <c r="A54" s="790" t="s">
        <v>741</v>
      </c>
      <c r="B54" s="970">
        <f>+B26-12450-10800</f>
        <v>11900</v>
      </c>
      <c r="C54" s="971">
        <f t="shared" si="74"/>
        <v>12150</v>
      </c>
      <c r="D54" s="972">
        <f>+D26-12650-10900</f>
        <v>12400</v>
      </c>
      <c r="E54" s="971">
        <f>+'Historical Financials'!U49</f>
        <v>13891</v>
      </c>
      <c r="F54" s="973">
        <f t="shared" si="78"/>
        <v>0.16731092436974793</v>
      </c>
      <c r="G54" s="974">
        <f t="shared" si="79"/>
        <v>0.14329218106995878</v>
      </c>
      <c r="H54" s="975">
        <f t="shared" si="80"/>
        <v>0.12024193548387108</v>
      </c>
    </row>
    <row r="55" spans="1:8">
      <c r="A55" s="790" t="s">
        <v>742</v>
      </c>
      <c r="B55" s="976">
        <f>+B27-12200-9800</f>
        <v>9900</v>
      </c>
      <c r="C55" s="977">
        <f t="shared" si="74"/>
        <v>10150</v>
      </c>
      <c r="D55" s="978">
        <f>+D27-12400-9900</f>
        <v>10400</v>
      </c>
      <c r="E55" s="971">
        <f>+'Historical Financials'!T49</f>
        <v>12686</v>
      </c>
      <c r="F55" s="979">
        <f t="shared" si="78"/>
        <v>0.28141414141414134</v>
      </c>
      <c r="G55" s="980">
        <f t="shared" si="79"/>
        <v>0.24985221674876845</v>
      </c>
      <c r="H55" s="981">
        <f t="shared" si="80"/>
        <v>0.21980769230769237</v>
      </c>
    </row>
    <row r="56" spans="1:8" hidden="1" outlineLevel="1">
      <c r="A56" s="790" t="s">
        <v>743</v>
      </c>
      <c r="B56" s="970"/>
      <c r="C56" s="971"/>
      <c r="D56" s="972"/>
      <c r="E56" s="971"/>
      <c r="F56" s="973"/>
      <c r="G56" s="974"/>
      <c r="H56" s="975"/>
    </row>
    <row r="57" spans="1:8" hidden="1" outlineLevel="1">
      <c r="A57" s="790" t="s">
        <v>744</v>
      </c>
      <c r="B57" s="976"/>
      <c r="C57" s="977"/>
      <c r="D57" s="978"/>
      <c r="E57" s="971"/>
      <c r="F57" s="979"/>
      <c r="G57" s="980"/>
      <c r="H57" s="981"/>
    </row>
    <row r="58" spans="1:8" s="796" customFormat="1" ht="12.95" collapsed="1">
      <c r="A58" s="806" t="s">
        <v>745</v>
      </c>
      <c r="B58" s="982"/>
      <c r="C58" s="983"/>
      <c r="D58" s="983" t="s">
        <v>746</v>
      </c>
      <c r="F58" s="984">
        <f>AVERAGE(F35:F57)</f>
        <v>0.10093745679090696</v>
      </c>
      <c r="G58" s="984">
        <f t="shared" ref="G58:H58" si="81">AVERAGE(G35:G57)</f>
        <v>8.1824982815988004E-2</v>
      </c>
      <c r="H58" s="984">
        <f t="shared" si="81"/>
        <v>6.3397724002902639E-2</v>
      </c>
    </row>
    <row r="59" spans="1:8" s="796" customFormat="1" ht="12.95">
      <c r="A59" s="806" t="s">
        <v>747</v>
      </c>
      <c r="B59" s="982"/>
      <c r="C59" s="983"/>
      <c r="D59" s="983"/>
      <c r="F59" s="984">
        <f>MEDIAN(F35:F55)</f>
        <v>8.7872860635696881E-2</v>
      </c>
      <c r="G59" s="984">
        <f t="shared" ref="G59:H59" si="82">MEDIAN(G35:G55)</f>
        <v>7.2144578313253271E-2</v>
      </c>
      <c r="H59" s="984">
        <f t="shared" si="82"/>
        <v>5.0607287449392802E-2</v>
      </c>
    </row>
  </sheetData>
  <printOptions horizontalCentered="1"/>
  <pageMargins left="0.3" right="0.3" top="0.3" bottom="0.3" header="0.3" footer="0.3"/>
  <pageSetup scale="84" orientation="portrait" r:id="rId1"/>
  <headerFooter>
    <oddFooter>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7A8EA-5A82-4032-ADE1-3E8C29660CDA}">
  <sheetPr>
    <pageSetUpPr fitToPage="1"/>
  </sheetPr>
  <dimension ref="A1:AR241"/>
  <sheetViews>
    <sheetView view="pageBreakPreview" zoomScale="70" zoomScaleNormal="85" zoomScaleSheetLayoutView="70" workbookViewId="0">
      <pane xSplit="1" ySplit="5" topLeftCell="B6" activePane="bottomRight" state="frozen"/>
      <selection pane="bottomRight" activeCell="B6" sqref="B6"/>
      <selection pane="bottomLeft" activeCell="B6" sqref="B6"/>
      <selection pane="topRight" activeCell="B6" sqref="B6"/>
    </sheetView>
  </sheetViews>
  <sheetFormatPr defaultRowHeight="9.9499999999999993" outlineLevelRow="1" outlineLevelCol="1"/>
  <cols>
    <col min="1" max="1" width="20.83203125" customWidth="1"/>
    <col min="2" max="2" width="2.83203125" customWidth="1"/>
    <col min="3" max="12" width="9.33203125" hidden="1" customWidth="1" outlineLevel="1"/>
    <col min="13" max="13" width="9.33203125" hidden="1" customWidth="1" outlineLevel="1" collapsed="1"/>
    <col min="14" max="14" width="9.33203125" collapsed="1"/>
    <col min="21" max="21" width="10" bestFit="1" customWidth="1"/>
    <col min="22" max="22" width="10.1640625" bestFit="1" customWidth="1"/>
    <col min="23" max="24" width="9.5" bestFit="1" customWidth="1"/>
    <col min="25" max="26" width="9.83203125" bestFit="1" customWidth="1"/>
    <col min="27" max="27" width="9.5" bestFit="1" customWidth="1"/>
    <col min="28" max="28" width="9.83203125" bestFit="1" customWidth="1"/>
    <col min="29" max="29" width="9.5" bestFit="1" customWidth="1"/>
    <col min="30" max="30" width="10.33203125" bestFit="1" customWidth="1"/>
    <col min="31" max="31" width="9.83203125" bestFit="1" customWidth="1"/>
    <col min="32" max="32" width="9.6640625" bestFit="1" customWidth="1"/>
    <col min="33" max="33" width="9.6640625" customWidth="1"/>
  </cols>
  <sheetData>
    <row r="1" spans="1:35" s="1" customFormat="1" ht="10.5">
      <c r="A1" s="1" t="s">
        <v>306</v>
      </c>
      <c r="AF1" s="1216"/>
      <c r="AG1" s="1216">
        <f ca="1">+TODAY()</f>
        <v>45797</v>
      </c>
    </row>
    <row r="2" spans="1:35" s="2" customFormat="1" ht="10.5">
      <c r="A2" s="2" t="s">
        <v>753</v>
      </c>
    </row>
    <row r="3" spans="1:35">
      <c r="A3" s="3" t="s">
        <v>63</v>
      </c>
    </row>
    <row r="4" spans="1:35" ht="10.5">
      <c r="A4" s="3"/>
      <c r="D4" s="89" t="str">
        <f>+'EBIT growth'!B4</f>
        <v>FYE June 30th</v>
      </c>
      <c r="E4" s="89"/>
      <c r="F4" s="89"/>
      <c r="G4" s="89"/>
      <c r="H4" s="89"/>
      <c r="I4" s="89"/>
      <c r="J4" s="89"/>
      <c r="K4" s="89"/>
      <c r="L4" s="89"/>
      <c r="M4" s="89" t="str">
        <f>+D4</f>
        <v>FYE June 30th</v>
      </c>
      <c r="N4" s="89" t="str">
        <f>+M4</f>
        <v>FYE June 30th</v>
      </c>
      <c r="O4" s="89"/>
      <c r="P4" s="89"/>
      <c r="Q4" s="89"/>
      <c r="R4" s="89"/>
      <c r="S4" s="89"/>
      <c r="T4" s="89"/>
      <c r="U4" s="89"/>
      <c r="V4" s="89"/>
      <c r="W4" s="89"/>
      <c r="X4" s="89"/>
      <c r="Y4" s="89"/>
      <c r="Z4" s="89"/>
      <c r="AA4" s="89"/>
      <c r="AB4" s="89"/>
      <c r="AC4" s="89"/>
      <c r="AD4" s="89"/>
      <c r="AE4" s="89"/>
      <c r="AF4" s="89"/>
      <c r="AG4" s="89"/>
    </row>
    <row r="5" spans="1:35" ht="13.5">
      <c r="C5" s="6" t="s">
        <v>247</v>
      </c>
      <c r="D5" s="6" t="s">
        <v>248</v>
      </c>
      <c r="E5" s="6" t="s">
        <v>249</v>
      </c>
      <c r="F5" s="6" t="s">
        <v>250</v>
      </c>
      <c r="G5" s="6" t="s">
        <v>251</v>
      </c>
      <c r="H5" s="6" t="s">
        <v>252</v>
      </c>
      <c r="I5" s="6" t="s">
        <v>253</v>
      </c>
      <c r="J5" s="6" t="s">
        <v>254</v>
      </c>
      <c r="K5" s="6" t="s">
        <v>255</v>
      </c>
      <c r="L5" s="6" t="s">
        <v>256</v>
      </c>
      <c r="M5" s="6" t="s">
        <v>257</v>
      </c>
      <c r="N5" s="6" t="s">
        <v>258</v>
      </c>
      <c r="O5" s="6" t="s">
        <v>259</v>
      </c>
      <c r="P5" s="6" t="s">
        <v>260</v>
      </c>
      <c r="Q5" s="6" t="s">
        <v>261</v>
      </c>
      <c r="R5" s="6" t="s">
        <v>262</v>
      </c>
      <c r="S5" s="6" t="s">
        <v>109</v>
      </c>
      <c r="T5" s="6" t="s">
        <v>191</v>
      </c>
      <c r="U5" s="6" t="s">
        <v>263</v>
      </c>
      <c r="V5" s="6" t="s">
        <v>72</v>
      </c>
      <c r="W5" s="6" t="s">
        <v>73</v>
      </c>
      <c r="X5" s="6" t="s">
        <v>74</v>
      </c>
      <c r="Y5" s="6" t="s">
        <v>75</v>
      </c>
      <c r="Z5" s="6" t="s">
        <v>76</v>
      </c>
      <c r="AA5" s="6" t="s">
        <v>77</v>
      </c>
      <c r="AB5" s="6" t="s">
        <v>78</v>
      </c>
      <c r="AC5" s="6" t="s">
        <v>79</v>
      </c>
      <c r="AD5" s="6" t="s">
        <v>80</v>
      </c>
      <c r="AE5" s="6" t="s">
        <v>81</v>
      </c>
      <c r="AF5" s="6" t="s">
        <v>82</v>
      </c>
      <c r="AG5" s="6" t="s">
        <v>83</v>
      </c>
    </row>
    <row r="7" spans="1:35" ht="10.5">
      <c r="A7" s="5" t="s">
        <v>754</v>
      </c>
      <c r="B7" s="4"/>
      <c r="AI7" t="s">
        <v>126</v>
      </c>
    </row>
    <row r="8" spans="1:35">
      <c r="AI8" t="s">
        <v>755</v>
      </c>
    </row>
    <row r="9" spans="1:35" ht="10.5">
      <c r="A9" s="45" t="s">
        <v>756</v>
      </c>
      <c r="AH9" t="s">
        <v>757</v>
      </c>
    </row>
    <row r="10" spans="1:35">
      <c r="A10" t="s">
        <v>758</v>
      </c>
      <c r="N10" s="1217">
        <v>5</v>
      </c>
      <c r="AH10">
        <v>7.5</v>
      </c>
      <c r="AI10">
        <v>5</v>
      </c>
    </row>
    <row r="11" spans="1:35">
      <c r="A11" s="1218" t="s">
        <v>759</v>
      </c>
      <c r="N11" s="1217">
        <v>7.5</v>
      </c>
      <c r="AH11">
        <v>9</v>
      </c>
      <c r="AI11">
        <v>7.5</v>
      </c>
    </row>
    <row r="12" spans="1:35">
      <c r="A12" s="1218" t="s">
        <v>760</v>
      </c>
      <c r="N12" s="1217">
        <v>9.5</v>
      </c>
      <c r="AH12">
        <v>11</v>
      </c>
      <c r="AI12">
        <v>10</v>
      </c>
    </row>
    <row r="14" spans="1:35">
      <c r="A14" t="str">
        <f>+A177</f>
        <v>Purchase of PP&amp;E + Finance Leases</v>
      </c>
      <c r="D14" s="8">
        <f>+D177</f>
        <v>2264</v>
      </c>
      <c r="E14" s="8">
        <f t="shared" ref="E14:T14" si="0">+E177</f>
        <v>3182</v>
      </c>
      <c r="F14" s="8">
        <f t="shared" si="0"/>
        <v>3119</v>
      </c>
      <c r="G14" s="8">
        <f t="shared" si="0"/>
        <v>1977</v>
      </c>
      <c r="H14" s="8">
        <f t="shared" si="0"/>
        <v>2355</v>
      </c>
      <c r="I14" s="8">
        <f t="shared" si="0"/>
        <v>2305</v>
      </c>
      <c r="J14" s="8">
        <f t="shared" si="0"/>
        <v>4257</v>
      </c>
      <c r="K14" s="8">
        <f t="shared" si="0"/>
        <v>5485</v>
      </c>
      <c r="L14" s="8">
        <f t="shared" si="0"/>
        <v>5944</v>
      </c>
      <c r="M14" s="8">
        <f t="shared" si="0"/>
        <v>8900</v>
      </c>
      <c r="N14" s="8">
        <f t="shared" si="0"/>
        <v>10200</v>
      </c>
      <c r="O14" s="8">
        <f t="shared" si="0"/>
        <v>13600</v>
      </c>
      <c r="P14" s="8">
        <f t="shared" si="0"/>
        <v>16900</v>
      </c>
      <c r="Q14" s="8">
        <f t="shared" si="0"/>
        <v>19000</v>
      </c>
      <c r="R14" s="8">
        <f t="shared" si="0"/>
        <v>24200</v>
      </c>
      <c r="S14" s="8">
        <f t="shared" si="0"/>
        <v>29200</v>
      </c>
      <c r="T14" s="8">
        <f t="shared" si="0"/>
        <v>31900</v>
      </c>
      <c r="U14" s="8">
        <f t="shared" ref="U14" si="1">+U177</f>
        <v>55700</v>
      </c>
      <c r="V14" s="1098">
        <f>+Base!K49</f>
        <v>83000</v>
      </c>
      <c r="W14" s="1098">
        <f>+Base!L49</f>
        <v>69096.915850909209</v>
      </c>
      <c r="X14" s="1098">
        <f>+Base!M49</f>
        <v>70981.377192297645</v>
      </c>
      <c r="Y14" s="1098">
        <f>+Base!N49</f>
        <v>72188.060604566694</v>
      </c>
      <c r="Z14" s="1098">
        <f>+Base!O49</f>
        <v>72508.896429475877</v>
      </c>
      <c r="AA14" s="1098">
        <f>+Base!P49</f>
        <v>71693.171344644274</v>
      </c>
      <c r="AB14" s="1098">
        <f>+Base!Q49</f>
        <v>75226.620503773156</v>
      </c>
      <c r="AC14" s="1098">
        <f>+Base!R49</f>
        <v>78467.151848551061</v>
      </c>
      <c r="AD14" s="1098">
        <f>+Base!S49</f>
        <v>88667.8815888627</v>
      </c>
      <c r="AE14" s="1098">
        <f>+Base!T49</f>
        <v>100194.70619541484</v>
      </c>
      <c r="AF14" s="1098">
        <f>+Base!U49</f>
        <v>113220.01800081875</v>
      </c>
      <c r="AG14" s="1098">
        <f>+Base!V49</f>
        <v>127938.62034092518</v>
      </c>
    </row>
    <row r="15" spans="1:35" s="852" customFormat="1" ht="11.45">
      <c r="A15" t="s">
        <v>761</v>
      </c>
      <c r="D15" s="853">
        <f t="shared" ref="D15:T15" si="2">+D16-D14</f>
        <v>-121</v>
      </c>
      <c r="E15" s="853">
        <f t="shared" si="2"/>
        <v>-4</v>
      </c>
      <c r="F15" s="853">
        <f t="shared" si="2"/>
        <v>-581</v>
      </c>
      <c r="G15" s="853">
        <f t="shared" si="2"/>
        <v>-800</v>
      </c>
      <c r="H15" s="853">
        <f t="shared" si="2"/>
        <v>-623</v>
      </c>
      <c r="I15" s="853">
        <f t="shared" si="2"/>
        <v>-1065</v>
      </c>
      <c r="J15" s="853">
        <f t="shared" si="2"/>
        <v>-984</v>
      </c>
      <c r="K15" s="853">
        <f t="shared" si="2"/>
        <v>-185</v>
      </c>
      <c r="L15" s="853">
        <f t="shared" si="2"/>
        <v>-1411</v>
      </c>
      <c r="M15" s="853">
        <f t="shared" si="2"/>
        <v>-3081</v>
      </c>
      <c r="N15" s="853">
        <f t="shared" si="2"/>
        <v>-443</v>
      </c>
      <c r="O15" s="853">
        <f t="shared" si="2"/>
        <v>-2830</v>
      </c>
      <c r="P15" s="853">
        <f t="shared" si="2"/>
        <v>-3776</v>
      </c>
      <c r="Q15" s="853">
        <f t="shared" si="2"/>
        <v>-3459</v>
      </c>
      <c r="R15" s="853">
        <f t="shared" si="2"/>
        <v>-482</v>
      </c>
      <c r="S15" s="853">
        <f t="shared" si="2"/>
        <v>-6208</v>
      </c>
      <c r="T15" s="853">
        <f t="shared" si="2"/>
        <v>-2066</v>
      </c>
      <c r="U15" s="853">
        <f t="shared" ref="U15" si="3">+U16-U14</f>
        <v>-7580</v>
      </c>
      <c r="V15" s="58">
        <f>+U15</f>
        <v>-7580</v>
      </c>
      <c r="W15" s="58">
        <f t="shared" ref="W15:AG15" si="4">+V15/V14*W14*0.9</f>
        <v>-5679.2669871675016</v>
      </c>
      <c r="X15" s="58">
        <f t="shared" si="4"/>
        <v>-5250.7404781357727</v>
      </c>
      <c r="Y15" s="58">
        <f t="shared" si="4"/>
        <v>-4806.0027596376722</v>
      </c>
      <c r="Z15" s="58">
        <f t="shared" si="4"/>
        <v>-4344.6264947124555</v>
      </c>
      <c r="AA15" s="58">
        <f t="shared" si="4"/>
        <v>-3866.1745019822465</v>
      </c>
      <c r="AB15" s="58">
        <f t="shared" si="4"/>
        <v>-3651.0495064790912</v>
      </c>
      <c r="AC15" s="58">
        <f t="shared" si="4"/>
        <v>-3427.4929366977553</v>
      </c>
      <c r="AD15" s="58">
        <f t="shared" si="4"/>
        <v>-3485.7603166216172</v>
      </c>
      <c r="AE15" s="58">
        <f t="shared" si="4"/>
        <v>-3545.0182420041847</v>
      </c>
      <c r="AF15" s="58">
        <f t="shared" si="4"/>
        <v>-3605.2835521182556</v>
      </c>
      <c r="AG15" s="58">
        <f t="shared" si="4"/>
        <v>-3666.573372504266</v>
      </c>
    </row>
    <row r="16" spans="1:35">
      <c r="A16" s="12" t="s">
        <v>762</v>
      </c>
      <c r="D16" s="8">
        <f t="shared" ref="D16:S16" si="5">+(D170)-(C170)</f>
        <v>2143</v>
      </c>
      <c r="E16" s="8">
        <f t="shared" si="5"/>
        <v>3178</v>
      </c>
      <c r="F16" s="8">
        <f t="shared" si="5"/>
        <v>2538</v>
      </c>
      <c r="G16" s="8">
        <f t="shared" si="5"/>
        <v>1177</v>
      </c>
      <c r="H16" s="8">
        <f t="shared" si="5"/>
        <v>1732</v>
      </c>
      <c r="I16" s="8">
        <f t="shared" si="5"/>
        <v>1240</v>
      </c>
      <c r="J16" s="8">
        <f t="shared" si="5"/>
        <v>3273</v>
      </c>
      <c r="K16" s="8">
        <f t="shared" si="5"/>
        <v>5300</v>
      </c>
      <c r="L16" s="8">
        <f t="shared" si="5"/>
        <v>4533</v>
      </c>
      <c r="M16" s="8">
        <f t="shared" si="5"/>
        <v>5819</v>
      </c>
      <c r="N16" s="8">
        <f t="shared" si="5"/>
        <v>9757</v>
      </c>
      <c r="O16" s="8">
        <f t="shared" si="5"/>
        <v>10770</v>
      </c>
      <c r="P16" s="8">
        <f t="shared" si="5"/>
        <v>13124</v>
      </c>
      <c r="Q16" s="8">
        <f t="shared" si="5"/>
        <v>15541</v>
      </c>
      <c r="R16" s="8">
        <f t="shared" si="5"/>
        <v>23718</v>
      </c>
      <c r="S16" s="8">
        <f t="shared" si="5"/>
        <v>22992</v>
      </c>
      <c r="T16" s="8">
        <f>+(T170)-(S170)</f>
        <v>29834</v>
      </c>
      <c r="U16" s="8">
        <f>+(U170)-(T170)</f>
        <v>48120</v>
      </c>
      <c r="V16" s="8">
        <f t="shared" ref="V16:AF16" si="6">+SUM(V14:V15)</f>
        <v>75420</v>
      </c>
      <c r="W16" s="8">
        <f t="shared" si="6"/>
        <v>63417.648863741706</v>
      </c>
      <c r="X16" s="8">
        <f t="shared" si="6"/>
        <v>65730.636714161868</v>
      </c>
      <c r="Y16" s="8">
        <f t="shared" si="6"/>
        <v>67382.057844929019</v>
      </c>
      <c r="Z16" s="8">
        <f t="shared" si="6"/>
        <v>68164.269934763419</v>
      </c>
      <c r="AA16" s="8">
        <f t="shared" si="6"/>
        <v>67826.996842662033</v>
      </c>
      <c r="AB16" s="8">
        <f t="shared" si="6"/>
        <v>71575.570997294068</v>
      </c>
      <c r="AC16" s="8">
        <f t="shared" si="6"/>
        <v>75039.658911853301</v>
      </c>
      <c r="AD16" s="8">
        <f t="shared" si="6"/>
        <v>85182.121272241086</v>
      </c>
      <c r="AE16" s="8">
        <f t="shared" si="6"/>
        <v>96649.687953410656</v>
      </c>
      <c r="AF16" s="8">
        <f t="shared" si="6"/>
        <v>109614.73444870049</v>
      </c>
      <c r="AG16" s="8">
        <f t="shared" ref="AG16" si="7">+SUM(AG14:AG15)</f>
        <v>124272.04696842091</v>
      </c>
      <c r="AH16" s="8"/>
    </row>
    <row r="18" spans="1:36" ht="10.5">
      <c r="A18" s="45" t="s">
        <v>763</v>
      </c>
    </row>
    <row r="19" spans="1:36">
      <c r="A19" t="s">
        <v>248</v>
      </c>
      <c r="D19" s="8">
        <f>+D64/$N$10</f>
        <v>1873.2</v>
      </c>
      <c r="E19" s="8">
        <f t="shared" ref="E19:Q19" si="8">+IF(D130&gt;0,MIN(E64/$N$10,D130),0)</f>
        <v>1873.2</v>
      </c>
      <c r="F19" s="8">
        <f t="shared" si="8"/>
        <v>1873.2</v>
      </c>
      <c r="G19" s="8">
        <f t="shared" si="8"/>
        <v>1873.2</v>
      </c>
      <c r="H19" s="8">
        <f t="shared" si="8"/>
        <v>1873.1999999999998</v>
      </c>
      <c r="I19" s="8">
        <f t="shared" si="8"/>
        <v>0</v>
      </c>
      <c r="J19" s="8">
        <f t="shared" si="8"/>
        <v>0</v>
      </c>
      <c r="K19" s="8">
        <f t="shared" si="8"/>
        <v>0</v>
      </c>
      <c r="L19" s="8">
        <f t="shared" si="8"/>
        <v>0</v>
      </c>
      <c r="M19" s="8">
        <f>+IF(L130&gt;0,MIN(M64/$N$10,L130),0)</f>
        <v>0</v>
      </c>
      <c r="N19" s="8">
        <f t="shared" si="8"/>
        <v>0</v>
      </c>
      <c r="O19" s="8">
        <f t="shared" si="8"/>
        <v>0</v>
      </c>
      <c r="P19" s="8">
        <f t="shared" si="8"/>
        <v>0</v>
      </c>
      <c r="Q19" s="8">
        <f t="shared" si="8"/>
        <v>0</v>
      </c>
      <c r="R19" s="8">
        <f>+IF(Q130&gt;0,MIN(R64/$N$11,Q130),0)</f>
        <v>0</v>
      </c>
      <c r="S19" s="8">
        <f>+IF(R130&gt;0,MIN(S64/$N$11,R130),0)</f>
        <v>0</v>
      </c>
      <c r="T19" s="8">
        <f t="shared" ref="T19:AF19" si="9">+IF(S130&gt;0,MIN(T64/$N$12,S130),0)</f>
        <v>0</v>
      </c>
      <c r="U19" s="8">
        <f t="shared" si="9"/>
        <v>0</v>
      </c>
      <c r="V19" s="8">
        <f t="shared" si="9"/>
        <v>0</v>
      </c>
      <c r="W19" s="8">
        <f t="shared" si="9"/>
        <v>0</v>
      </c>
      <c r="X19" s="8">
        <f t="shared" si="9"/>
        <v>0</v>
      </c>
      <c r="Y19" s="8">
        <f t="shared" si="9"/>
        <v>0</v>
      </c>
      <c r="Z19" s="8">
        <f t="shared" si="9"/>
        <v>0</v>
      </c>
      <c r="AA19" s="8">
        <f t="shared" si="9"/>
        <v>0</v>
      </c>
      <c r="AB19" s="8">
        <f t="shared" si="9"/>
        <v>0</v>
      </c>
      <c r="AC19" s="8">
        <f t="shared" si="9"/>
        <v>0</v>
      </c>
      <c r="AD19" s="8">
        <f t="shared" si="9"/>
        <v>0</v>
      </c>
      <c r="AE19" s="8">
        <f t="shared" si="9"/>
        <v>0</v>
      </c>
      <c r="AF19" s="8">
        <f t="shared" si="9"/>
        <v>0</v>
      </c>
      <c r="AG19" s="8">
        <f t="shared" ref="AG19:AG46" si="10">+IF(AF130&gt;0,MIN(AG64/$N$12,AF130),0)</f>
        <v>0</v>
      </c>
    </row>
    <row r="20" spans="1:36">
      <c r="A20" t="s">
        <v>249</v>
      </c>
      <c r="E20" s="8">
        <f>+E65/$N$10</f>
        <v>635.6</v>
      </c>
      <c r="F20" s="8">
        <f t="shared" ref="F20:Q20" si="11">+IF(E131&gt;0,MIN(F65/$N$10,E131),0)</f>
        <v>635.6</v>
      </c>
      <c r="G20" s="8">
        <f t="shared" si="11"/>
        <v>635.6</v>
      </c>
      <c r="H20" s="8">
        <f t="shared" si="11"/>
        <v>635.6</v>
      </c>
      <c r="I20" s="8">
        <f t="shared" si="11"/>
        <v>635.59999999999991</v>
      </c>
      <c r="J20" s="8">
        <f t="shared" si="11"/>
        <v>0</v>
      </c>
      <c r="K20" s="8">
        <f t="shared" si="11"/>
        <v>0</v>
      </c>
      <c r="L20" s="8">
        <f t="shared" si="11"/>
        <v>0</v>
      </c>
      <c r="M20" s="8">
        <f t="shared" si="11"/>
        <v>0</v>
      </c>
      <c r="N20" s="8">
        <f t="shared" si="11"/>
        <v>0</v>
      </c>
      <c r="O20" s="8">
        <f t="shared" si="11"/>
        <v>0</v>
      </c>
      <c r="P20" s="8">
        <f t="shared" si="11"/>
        <v>0</v>
      </c>
      <c r="Q20" s="8">
        <f t="shared" si="11"/>
        <v>0</v>
      </c>
      <c r="R20" s="8">
        <f t="shared" ref="R20:S32" si="12">+IF(Q131&gt;0,MIN(R65/$N$11,Q131),0)</f>
        <v>0</v>
      </c>
      <c r="S20" s="8">
        <f t="shared" si="12"/>
        <v>0</v>
      </c>
      <c r="T20" s="8">
        <f t="shared" ref="T20:AF20" si="13">+IF(S131&gt;0,MIN(T65/$N$12,S131),0)</f>
        <v>0</v>
      </c>
      <c r="U20" s="8">
        <f t="shared" si="13"/>
        <v>0</v>
      </c>
      <c r="V20" s="8">
        <f t="shared" si="13"/>
        <v>0</v>
      </c>
      <c r="W20" s="8">
        <f t="shared" si="13"/>
        <v>0</v>
      </c>
      <c r="X20" s="8">
        <f t="shared" si="13"/>
        <v>0</v>
      </c>
      <c r="Y20" s="8">
        <f t="shared" si="13"/>
        <v>0</v>
      </c>
      <c r="Z20" s="8">
        <f t="shared" si="13"/>
        <v>0</v>
      </c>
      <c r="AA20" s="8">
        <f t="shared" si="13"/>
        <v>0</v>
      </c>
      <c r="AB20" s="8">
        <f t="shared" si="13"/>
        <v>0</v>
      </c>
      <c r="AC20" s="8">
        <f t="shared" si="13"/>
        <v>0</v>
      </c>
      <c r="AD20" s="8">
        <f t="shared" si="13"/>
        <v>0</v>
      </c>
      <c r="AE20" s="8">
        <f t="shared" si="13"/>
        <v>0</v>
      </c>
      <c r="AF20" s="8">
        <f t="shared" si="13"/>
        <v>0</v>
      </c>
      <c r="AG20" s="8">
        <f t="shared" si="10"/>
        <v>0</v>
      </c>
    </row>
    <row r="21" spans="1:36">
      <c r="A21" t="s">
        <v>250</v>
      </c>
      <c r="F21" s="8">
        <f>+F66/$N$10</f>
        <v>507.6</v>
      </c>
      <c r="G21" s="8">
        <f t="shared" ref="G21:Q21" si="14">+IF(F132&gt;0,MIN(G66/$N$10,F132),0)</f>
        <v>507.6</v>
      </c>
      <c r="H21" s="8">
        <f t="shared" si="14"/>
        <v>507.6</v>
      </c>
      <c r="I21" s="8">
        <f t="shared" si="14"/>
        <v>507.6</v>
      </c>
      <c r="J21" s="8">
        <f t="shared" si="14"/>
        <v>507.59999999999991</v>
      </c>
      <c r="K21" s="8">
        <f t="shared" si="14"/>
        <v>0</v>
      </c>
      <c r="L21" s="8">
        <f t="shared" si="14"/>
        <v>0</v>
      </c>
      <c r="M21" s="8">
        <f t="shared" si="14"/>
        <v>0</v>
      </c>
      <c r="N21" s="8">
        <f t="shared" si="14"/>
        <v>0</v>
      </c>
      <c r="O21" s="8">
        <f t="shared" si="14"/>
        <v>0</v>
      </c>
      <c r="P21" s="8">
        <f t="shared" si="14"/>
        <v>0</v>
      </c>
      <c r="Q21" s="8">
        <f t="shared" si="14"/>
        <v>0</v>
      </c>
      <c r="R21" s="8">
        <f t="shared" si="12"/>
        <v>0</v>
      </c>
      <c r="S21" s="8">
        <f t="shared" si="12"/>
        <v>0</v>
      </c>
      <c r="T21" s="8">
        <f t="shared" ref="T21:AF21" si="15">+IF(S132&gt;0,MIN(T66/$N$12,S132),0)</f>
        <v>0</v>
      </c>
      <c r="U21" s="8">
        <f t="shared" si="15"/>
        <v>0</v>
      </c>
      <c r="V21" s="8">
        <f t="shared" si="15"/>
        <v>0</v>
      </c>
      <c r="W21" s="8">
        <f t="shared" si="15"/>
        <v>0</v>
      </c>
      <c r="X21" s="8">
        <f t="shared" si="15"/>
        <v>0</v>
      </c>
      <c r="Y21" s="8">
        <f t="shared" si="15"/>
        <v>0</v>
      </c>
      <c r="Z21" s="8">
        <f t="shared" si="15"/>
        <v>0</v>
      </c>
      <c r="AA21" s="8">
        <f t="shared" si="15"/>
        <v>0</v>
      </c>
      <c r="AB21" s="8">
        <f t="shared" si="15"/>
        <v>0</v>
      </c>
      <c r="AC21" s="8">
        <f t="shared" si="15"/>
        <v>0</v>
      </c>
      <c r="AD21" s="8">
        <f t="shared" si="15"/>
        <v>0</v>
      </c>
      <c r="AE21" s="8">
        <f t="shared" si="15"/>
        <v>0</v>
      </c>
      <c r="AF21" s="8">
        <f t="shared" si="15"/>
        <v>0</v>
      </c>
      <c r="AG21" s="8">
        <f t="shared" si="10"/>
        <v>0</v>
      </c>
    </row>
    <row r="22" spans="1:36">
      <c r="A22" t="s">
        <v>251</v>
      </c>
      <c r="G22" s="8">
        <f>+G67/$N$10</f>
        <v>235.4</v>
      </c>
      <c r="H22" s="8">
        <f t="shared" ref="H22:Q22" si="16">+IF(G133&gt;0,MIN(H67/$N$10,G133),0)</f>
        <v>235.4</v>
      </c>
      <c r="I22" s="8">
        <f t="shared" si="16"/>
        <v>235.4</v>
      </c>
      <c r="J22" s="8">
        <f t="shared" si="16"/>
        <v>235.4</v>
      </c>
      <c r="K22" s="8">
        <f t="shared" si="16"/>
        <v>235.39999999999998</v>
      </c>
      <c r="L22" s="8">
        <f t="shared" si="16"/>
        <v>0</v>
      </c>
      <c r="M22" s="8">
        <f t="shared" si="16"/>
        <v>0</v>
      </c>
      <c r="N22" s="8">
        <f t="shared" si="16"/>
        <v>0</v>
      </c>
      <c r="O22" s="8">
        <f t="shared" si="16"/>
        <v>0</v>
      </c>
      <c r="P22" s="8">
        <f t="shared" si="16"/>
        <v>0</v>
      </c>
      <c r="Q22" s="8">
        <f t="shared" si="16"/>
        <v>0</v>
      </c>
      <c r="R22" s="8">
        <f t="shared" si="12"/>
        <v>0</v>
      </c>
      <c r="S22" s="8">
        <f t="shared" si="12"/>
        <v>0</v>
      </c>
      <c r="T22" s="8">
        <f t="shared" ref="T22:AF22" si="17">+IF(S133&gt;0,MIN(T67/$N$12,S133),0)</f>
        <v>0</v>
      </c>
      <c r="U22" s="8">
        <f t="shared" si="17"/>
        <v>0</v>
      </c>
      <c r="V22" s="8">
        <f t="shared" si="17"/>
        <v>0</v>
      </c>
      <c r="W22" s="8">
        <f t="shared" si="17"/>
        <v>0</v>
      </c>
      <c r="X22" s="8">
        <f t="shared" si="17"/>
        <v>0</v>
      </c>
      <c r="Y22" s="8">
        <f t="shared" si="17"/>
        <v>0</v>
      </c>
      <c r="Z22" s="8">
        <f t="shared" si="17"/>
        <v>0</v>
      </c>
      <c r="AA22" s="8">
        <f t="shared" si="17"/>
        <v>0</v>
      </c>
      <c r="AB22" s="8">
        <f t="shared" si="17"/>
        <v>0</v>
      </c>
      <c r="AC22" s="8">
        <f t="shared" si="17"/>
        <v>0</v>
      </c>
      <c r="AD22" s="8">
        <f t="shared" si="17"/>
        <v>0</v>
      </c>
      <c r="AE22" s="8">
        <f t="shared" si="17"/>
        <v>0</v>
      </c>
      <c r="AF22" s="8">
        <f t="shared" si="17"/>
        <v>0</v>
      </c>
      <c r="AG22" s="8">
        <f t="shared" si="10"/>
        <v>0</v>
      </c>
    </row>
    <row r="23" spans="1:36">
      <c r="A23" t="s">
        <v>252</v>
      </c>
      <c r="H23" s="8">
        <f>+H68/$N$10</f>
        <v>346.4</v>
      </c>
      <c r="I23" s="8">
        <f t="shared" ref="I23:Q23" si="18">+IF(H134&gt;0,MIN(I68/$N$10,H134),0)</f>
        <v>346.4</v>
      </c>
      <c r="J23" s="8">
        <f t="shared" si="18"/>
        <v>346.4</v>
      </c>
      <c r="K23" s="8">
        <f t="shared" si="18"/>
        <v>346.4</v>
      </c>
      <c r="L23" s="8">
        <f t="shared" si="18"/>
        <v>346.4</v>
      </c>
      <c r="M23" s="8">
        <f t="shared" si="18"/>
        <v>0</v>
      </c>
      <c r="N23" s="8">
        <f t="shared" si="18"/>
        <v>0</v>
      </c>
      <c r="O23" s="8">
        <f t="shared" si="18"/>
        <v>0</v>
      </c>
      <c r="P23" s="8">
        <f t="shared" si="18"/>
        <v>0</v>
      </c>
      <c r="Q23" s="8">
        <f t="shared" si="18"/>
        <v>0</v>
      </c>
      <c r="R23" s="8">
        <f t="shared" si="12"/>
        <v>0</v>
      </c>
      <c r="S23" s="8">
        <f t="shared" si="12"/>
        <v>0</v>
      </c>
      <c r="T23" s="8">
        <f t="shared" ref="T23:AF23" si="19">+IF(S134&gt;0,MIN(T68/$N$12,S134),0)</f>
        <v>0</v>
      </c>
      <c r="U23" s="8">
        <f t="shared" si="19"/>
        <v>0</v>
      </c>
      <c r="V23" s="8">
        <f t="shared" si="19"/>
        <v>0</v>
      </c>
      <c r="W23" s="8">
        <f t="shared" si="19"/>
        <v>0</v>
      </c>
      <c r="X23" s="8">
        <f t="shared" si="19"/>
        <v>0</v>
      </c>
      <c r="Y23" s="8">
        <f t="shared" si="19"/>
        <v>0</v>
      </c>
      <c r="Z23" s="8">
        <f t="shared" si="19"/>
        <v>0</v>
      </c>
      <c r="AA23" s="8">
        <f t="shared" si="19"/>
        <v>0</v>
      </c>
      <c r="AB23" s="8">
        <f t="shared" si="19"/>
        <v>0</v>
      </c>
      <c r="AC23" s="8">
        <f t="shared" si="19"/>
        <v>0</v>
      </c>
      <c r="AD23" s="8">
        <f t="shared" si="19"/>
        <v>0</v>
      </c>
      <c r="AE23" s="8">
        <f t="shared" si="19"/>
        <v>0</v>
      </c>
      <c r="AF23" s="8">
        <f t="shared" si="19"/>
        <v>0</v>
      </c>
      <c r="AG23" s="8">
        <f t="shared" si="10"/>
        <v>0</v>
      </c>
    </row>
    <row r="24" spans="1:36">
      <c r="A24" t="s">
        <v>253</v>
      </c>
      <c r="I24" s="8">
        <f>+I69/$N$10</f>
        <v>248</v>
      </c>
      <c r="J24" s="8">
        <f t="shared" ref="J24:Q24" si="20">+IF(I135&gt;0,MIN(J69/$N$10,I135),0)</f>
        <v>248</v>
      </c>
      <c r="K24" s="8">
        <f t="shared" si="20"/>
        <v>248</v>
      </c>
      <c r="L24" s="8">
        <f t="shared" si="20"/>
        <v>248</v>
      </c>
      <c r="M24" s="8">
        <f t="shared" si="20"/>
        <v>248</v>
      </c>
      <c r="N24" s="8">
        <f t="shared" si="20"/>
        <v>0</v>
      </c>
      <c r="O24" s="8">
        <f t="shared" si="20"/>
        <v>0</v>
      </c>
      <c r="P24" s="8">
        <f t="shared" si="20"/>
        <v>0</v>
      </c>
      <c r="Q24" s="8">
        <f t="shared" si="20"/>
        <v>0</v>
      </c>
      <c r="R24" s="8">
        <f t="shared" si="12"/>
        <v>0</v>
      </c>
      <c r="S24" s="8">
        <f t="shared" si="12"/>
        <v>0</v>
      </c>
      <c r="T24" s="8">
        <f t="shared" ref="T24:AF24" si="21">+IF(S135&gt;0,MIN(T69/$N$12,S135),0)</f>
        <v>0</v>
      </c>
      <c r="U24" s="8">
        <f t="shared" si="21"/>
        <v>0</v>
      </c>
      <c r="V24" s="8">
        <f t="shared" si="21"/>
        <v>0</v>
      </c>
      <c r="W24" s="8">
        <f t="shared" si="21"/>
        <v>0</v>
      </c>
      <c r="X24" s="8">
        <f t="shared" si="21"/>
        <v>0</v>
      </c>
      <c r="Y24" s="8">
        <f t="shared" si="21"/>
        <v>0</v>
      </c>
      <c r="Z24" s="8">
        <f t="shared" si="21"/>
        <v>0</v>
      </c>
      <c r="AA24" s="8">
        <f t="shared" si="21"/>
        <v>0</v>
      </c>
      <c r="AB24" s="8">
        <f t="shared" si="21"/>
        <v>0</v>
      </c>
      <c r="AC24" s="8">
        <f t="shared" si="21"/>
        <v>0</v>
      </c>
      <c r="AD24" s="8">
        <f t="shared" si="21"/>
        <v>0</v>
      </c>
      <c r="AE24" s="8">
        <f t="shared" si="21"/>
        <v>0</v>
      </c>
      <c r="AF24" s="8">
        <f t="shared" si="21"/>
        <v>0</v>
      </c>
      <c r="AG24" s="8">
        <f t="shared" si="10"/>
        <v>0</v>
      </c>
    </row>
    <row r="25" spans="1:36">
      <c r="A25" t="s">
        <v>254</v>
      </c>
      <c r="J25" s="8">
        <f>+J70/$N$10</f>
        <v>654.6</v>
      </c>
      <c r="K25" s="8">
        <f t="shared" ref="K25:Q25" si="22">+IF(J136&gt;0,MIN(K70/$N$10,J136),0)</f>
        <v>654.6</v>
      </c>
      <c r="L25" s="8">
        <f t="shared" si="22"/>
        <v>654.6</v>
      </c>
      <c r="M25" s="8">
        <f t="shared" si="22"/>
        <v>654.6</v>
      </c>
      <c r="N25" s="8">
        <f t="shared" si="22"/>
        <v>654.59999999999991</v>
      </c>
      <c r="O25" s="8">
        <f t="shared" si="22"/>
        <v>0</v>
      </c>
      <c r="P25" s="8">
        <f t="shared" si="22"/>
        <v>0</v>
      </c>
      <c r="Q25" s="8">
        <f t="shared" si="22"/>
        <v>0</v>
      </c>
      <c r="R25" s="8">
        <f t="shared" si="12"/>
        <v>0</v>
      </c>
      <c r="S25" s="8">
        <f t="shared" si="12"/>
        <v>0</v>
      </c>
      <c r="T25" s="8">
        <f t="shared" ref="T25:AF25" si="23">+IF(S136&gt;0,MIN(T70/$N$12,S136),0)</f>
        <v>0</v>
      </c>
      <c r="U25" s="8">
        <f t="shared" si="23"/>
        <v>0</v>
      </c>
      <c r="V25" s="8">
        <f t="shared" si="23"/>
        <v>0</v>
      </c>
      <c r="W25" s="8">
        <f t="shared" si="23"/>
        <v>0</v>
      </c>
      <c r="X25" s="8">
        <f t="shared" si="23"/>
        <v>0</v>
      </c>
      <c r="Y25" s="8">
        <f t="shared" si="23"/>
        <v>0</v>
      </c>
      <c r="Z25" s="8">
        <f t="shared" si="23"/>
        <v>0</v>
      </c>
      <c r="AA25" s="8">
        <f t="shared" si="23"/>
        <v>0</v>
      </c>
      <c r="AB25" s="8">
        <f t="shared" si="23"/>
        <v>0</v>
      </c>
      <c r="AC25" s="8">
        <f t="shared" si="23"/>
        <v>0</v>
      </c>
      <c r="AD25" s="8">
        <f t="shared" si="23"/>
        <v>0</v>
      </c>
      <c r="AE25" s="8">
        <f t="shared" si="23"/>
        <v>0</v>
      </c>
      <c r="AF25" s="8">
        <f t="shared" si="23"/>
        <v>0</v>
      </c>
      <c r="AG25" s="8">
        <f t="shared" si="10"/>
        <v>0</v>
      </c>
    </row>
    <row r="26" spans="1:36">
      <c r="A26" t="s">
        <v>255</v>
      </c>
      <c r="K26" s="8">
        <f>+K71/$N$10</f>
        <v>1060</v>
      </c>
      <c r="L26" s="8">
        <f t="shared" ref="L26:Q26" si="24">+IF(K137&gt;0,MIN(L71/$N$10,K137),0)</f>
        <v>1060</v>
      </c>
      <c r="M26" s="8">
        <f t="shared" si="24"/>
        <v>1060</v>
      </c>
      <c r="N26" s="8">
        <f t="shared" si="24"/>
        <v>1060</v>
      </c>
      <c r="O26" s="8">
        <f t="shared" si="24"/>
        <v>1060</v>
      </c>
      <c r="P26" s="8">
        <f t="shared" si="24"/>
        <v>0</v>
      </c>
      <c r="Q26" s="8">
        <f t="shared" si="24"/>
        <v>0</v>
      </c>
      <c r="R26" s="8">
        <f t="shared" si="12"/>
        <v>0</v>
      </c>
      <c r="S26" s="8">
        <f t="shared" si="12"/>
        <v>0</v>
      </c>
      <c r="T26" s="8">
        <f t="shared" ref="T26:AF26" si="25">+IF(S137&gt;0,MIN(T71/$N$12,S137),0)</f>
        <v>0</v>
      </c>
      <c r="U26" s="8">
        <f t="shared" si="25"/>
        <v>0</v>
      </c>
      <c r="V26" s="8">
        <f t="shared" si="25"/>
        <v>0</v>
      </c>
      <c r="W26" s="8">
        <f t="shared" si="25"/>
        <v>0</v>
      </c>
      <c r="X26" s="8">
        <f t="shared" si="25"/>
        <v>0</v>
      </c>
      <c r="Y26" s="8">
        <f t="shared" si="25"/>
        <v>0</v>
      </c>
      <c r="Z26" s="8">
        <f t="shared" si="25"/>
        <v>0</v>
      </c>
      <c r="AA26" s="8">
        <f t="shared" si="25"/>
        <v>0</v>
      </c>
      <c r="AB26" s="8">
        <f t="shared" si="25"/>
        <v>0</v>
      </c>
      <c r="AC26" s="8">
        <f t="shared" si="25"/>
        <v>0</v>
      </c>
      <c r="AD26" s="8">
        <f t="shared" si="25"/>
        <v>0</v>
      </c>
      <c r="AE26" s="8">
        <f t="shared" si="25"/>
        <v>0</v>
      </c>
      <c r="AF26" s="8">
        <f t="shared" si="25"/>
        <v>0</v>
      </c>
      <c r="AG26" s="8">
        <f t="shared" si="10"/>
        <v>0</v>
      </c>
    </row>
    <row r="27" spans="1:36">
      <c r="A27" t="s">
        <v>256</v>
      </c>
      <c r="L27" s="8">
        <f>+L72/$N$10</f>
        <v>906.6</v>
      </c>
      <c r="M27" s="8">
        <f>+IF(L138&gt;0,MIN(M72/$N$10,L138),0)</f>
        <v>906.6</v>
      </c>
      <c r="N27" s="8">
        <f>+IF(M138&gt;0,MIN(N72/$N$10,M138),0)</f>
        <v>906.6</v>
      </c>
      <c r="O27" s="8">
        <f>+IF(N138&gt;0,MIN(O72/$N$10,N138),0)</f>
        <v>906.6</v>
      </c>
      <c r="P27" s="8">
        <f>+IF(O138&gt;0,MIN(P72/$N$10,O138),0)</f>
        <v>906.59999999999991</v>
      </c>
      <c r="Q27" s="8">
        <f>+IF(P138&gt;0,MIN(Q72/$N$10,P138),0)</f>
        <v>0</v>
      </c>
      <c r="R27" s="8">
        <f t="shared" si="12"/>
        <v>0</v>
      </c>
      <c r="S27" s="8">
        <f t="shared" si="12"/>
        <v>0</v>
      </c>
      <c r="T27" s="8">
        <f t="shared" ref="T27:AF27" si="26">+IF(S138&gt;0,MIN(T72/$N$12,S138),0)</f>
        <v>0</v>
      </c>
      <c r="U27" s="8">
        <f t="shared" si="26"/>
        <v>0</v>
      </c>
      <c r="V27" s="8">
        <f t="shared" si="26"/>
        <v>0</v>
      </c>
      <c r="W27" s="8">
        <f t="shared" si="26"/>
        <v>0</v>
      </c>
      <c r="X27" s="8">
        <f t="shared" si="26"/>
        <v>0</v>
      </c>
      <c r="Y27" s="8">
        <f t="shared" si="26"/>
        <v>0</v>
      </c>
      <c r="Z27" s="8">
        <f t="shared" si="26"/>
        <v>0</v>
      </c>
      <c r="AA27" s="8">
        <f t="shared" si="26"/>
        <v>0</v>
      </c>
      <c r="AB27" s="8">
        <f t="shared" si="26"/>
        <v>0</v>
      </c>
      <c r="AC27" s="8">
        <f t="shared" si="26"/>
        <v>0</v>
      </c>
      <c r="AD27" s="8">
        <f t="shared" si="26"/>
        <v>0</v>
      </c>
      <c r="AE27" s="8">
        <f t="shared" si="26"/>
        <v>0</v>
      </c>
      <c r="AF27" s="8">
        <f t="shared" si="26"/>
        <v>0</v>
      </c>
      <c r="AG27" s="8">
        <f t="shared" si="10"/>
        <v>0</v>
      </c>
    </row>
    <row r="28" spans="1:36">
      <c r="A28" t="s">
        <v>257</v>
      </c>
      <c r="M28" s="8">
        <f>+M73/$N$10</f>
        <v>1163.8</v>
      </c>
      <c r="N28" s="8">
        <f>+IF(M139&gt;0,MIN(N73/$N$10,M139),0)</f>
        <v>1163.8</v>
      </c>
      <c r="O28" s="8">
        <f>+IF(N139&gt;0,MIN(O73/$N$10,N139),0)</f>
        <v>1163.8</v>
      </c>
      <c r="P28" s="8">
        <f>+IF(O139&gt;0,MIN(P73/$N$10,O139),0)</f>
        <v>1163.8</v>
      </c>
      <c r="Q28" s="8">
        <f>+IF(P139&gt;0,MIN(Q73/$N$10,P139),0)</f>
        <v>1163.8</v>
      </c>
      <c r="R28" s="8">
        <f t="shared" si="12"/>
        <v>0</v>
      </c>
      <c r="S28" s="8">
        <f t="shared" si="12"/>
        <v>0</v>
      </c>
      <c r="T28" s="8">
        <f t="shared" ref="T28:AF28" si="27">+IF(S139&gt;0,MIN(T73/$N$12,S139),0)</f>
        <v>0</v>
      </c>
      <c r="U28" s="8">
        <f t="shared" si="27"/>
        <v>0</v>
      </c>
      <c r="V28" s="8">
        <f t="shared" si="27"/>
        <v>0</v>
      </c>
      <c r="W28" s="8">
        <f t="shared" si="27"/>
        <v>0</v>
      </c>
      <c r="X28" s="8">
        <f t="shared" si="27"/>
        <v>0</v>
      </c>
      <c r="Y28" s="8">
        <f t="shared" si="27"/>
        <v>0</v>
      </c>
      <c r="Z28" s="8">
        <f t="shared" si="27"/>
        <v>0</v>
      </c>
      <c r="AA28" s="8">
        <f t="shared" si="27"/>
        <v>0</v>
      </c>
      <c r="AB28" s="8">
        <f t="shared" si="27"/>
        <v>0</v>
      </c>
      <c r="AC28" s="8">
        <f t="shared" si="27"/>
        <v>0</v>
      </c>
      <c r="AD28" s="8">
        <f t="shared" si="27"/>
        <v>0</v>
      </c>
      <c r="AE28" s="8">
        <f t="shared" si="27"/>
        <v>0</v>
      </c>
      <c r="AF28" s="8">
        <f t="shared" si="27"/>
        <v>0</v>
      </c>
      <c r="AG28" s="8">
        <f t="shared" si="10"/>
        <v>0</v>
      </c>
    </row>
    <row r="29" spans="1:36">
      <c r="A29" t="s">
        <v>258</v>
      </c>
      <c r="N29" s="8">
        <f>+N74/$N$10</f>
        <v>1951.4</v>
      </c>
      <c r="O29" s="8">
        <f>+IF(N140&gt;0,MIN(O74/$N$10,N140),0)</f>
        <v>1951.4</v>
      </c>
      <c r="P29" s="8">
        <f>+IF(O140&gt;0,MIN(P74/$N$10,O140),0)</f>
        <v>1951.4</v>
      </c>
      <c r="Q29" s="8">
        <f>+IF(P140&gt;0,MIN(Q74/$N$10,P140),0)</f>
        <v>1951.4</v>
      </c>
      <c r="R29" s="8">
        <f t="shared" si="12"/>
        <v>1300.9333333333334</v>
      </c>
      <c r="S29" s="8">
        <f t="shared" si="12"/>
        <v>650.46666666666715</v>
      </c>
      <c r="T29" s="8">
        <f t="shared" ref="T29:AF29" si="28">+IF(S140&gt;0,MIN(T74/$N$12,S140),0)</f>
        <v>0</v>
      </c>
      <c r="U29" s="8">
        <f t="shared" si="28"/>
        <v>0</v>
      </c>
      <c r="V29" s="8">
        <f t="shared" si="28"/>
        <v>0</v>
      </c>
      <c r="W29" s="8">
        <f t="shared" si="28"/>
        <v>0</v>
      </c>
      <c r="X29" s="8">
        <f t="shared" si="28"/>
        <v>0</v>
      </c>
      <c r="Y29" s="8">
        <f t="shared" si="28"/>
        <v>0</v>
      </c>
      <c r="Z29" s="8">
        <f t="shared" si="28"/>
        <v>0</v>
      </c>
      <c r="AA29" s="8">
        <f t="shared" si="28"/>
        <v>0</v>
      </c>
      <c r="AB29" s="8">
        <f t="shared" si="28"/>
        <v>0</v>
      </c>
      <c r="AC29" s="8">
        <f t="shared" si="28"/>
        <v>0</v>
      </c>
      <c r="AD29" s="8">
        <f t="shared" si="28"/>
        <v>0</v>
      </c>
      <c r="AE29" s="8">
        <f t="shared" si="28"/>
        <v>0</v>
      </c>
      <c r="AF29" s="8">
        <f t="shared" si="28"/>
        <v>0</v>
      </c>
      <c r="AG29" s="8">
        <f t="shared" si="10"/>
        <v>0</v>
      </c>
    </row>
    <row r="30" spans="1:36">
      <c r="A30" t="s">
        <v>259</v>
      </c>
      <c r="O30" s="8">
        <f>+O75/$N$10</f>
        <v>2154</v>
      </c>
      <c r="P30" s="8">
        <f>+IF(O141&gt;0,MIN(P75/$N$10,O141),0)</f>
        <v>2154</v>
      </c>
      <c r="Q30" s="8">
        <f>+IF(P141&gt;0,MIN(Q75/$N$10,P141),0)</f>
        <v>2154</v>
      </c>
      <c r="R30" s="8">
        <f t="shared" si="12"/>
        <v>1436</v>
      </c>
      <c r="S30" s="8">
        <f t="shared" si="12"/>
        <v>1436</v>
      </c>
      <c r="T30" s="8">
        <f t="shared" ref="T30:AF30" si="29">+IF(S141&gt;0,MIN(T75/$N$12,S141),0)</f>
        <v>1133.6842105263158</v>
      </c>
      <c r="U30" s="8">
        <f t="shared" si="29"/>
        <v>302.31578947368325</v>
      </c>
      <c r="V30" s="8">
        <f t="shared" si="29"/>
        <v>0</v>
      </c>
      <c r="W30" s="8">
        <f t="shared" si="29"/>
        <v>0</v>
      </c>
      <c r="X30" s="8">
        <f>+IF(W141&gt;0,MIN(X75/$N$12,W141),0)</f>
        <v>0</v>
      </c>
      <c r="Y30" s="8">
        <f t="shared" si="29"/>
        <v>0</v>
      </c>
      <c r="Z30" s="8">
        <f t="shared" si="29"/>
        <v>0</v>
      </c>
      <c r="AA30" s="8">
        <f t="shared" si="29"/>
        <v>0</v>
      </c>
      <c r="AB30" s="8">
        <f t="shared" si="29"/>
        <v>0</v>
      </c>
      <c r="AC30" s="8">
        <f t="shared" si="29"/>
        <v>0</v>
      </c>
      <c r="AD30" s="8">
        <f t="shared" si="29"/>
        <v>0</v>
      </c>
      <c r="AE30" s="8">
        <f t="shared" si="29"/>
        <v>0</v>
      </c>
      <c r="AF30" s="8">
        <f t="shared" si="29"/>
        <v>0</v>
      </c>
      <c r="AG30" s="8">
        <f t="shared" si="10"/>
        <v>0</v>
      </c>
      <c r="AH30" s="8"/>
    </row>
    <row r="31" spans="1:36">
      <c r="A31" t="s">
        <v>260</v>
      </c>
      <c r="P31" s="8">
        <f>+P76/$N$10</f>
        <v>2624.8</v>
      </c>
      <c r="Q31" s="8">
        <f>+IF(P142&gt;0,MIN(Q76/$N$10,P142),0)</f>
        <v>2624.8</v>
      </c>
      <c r="R31" s="8">
        <f t="shared" si="12"/>
        <v>1749.8666666666666</v>
      </c>
      <c r="S31" s="8">
        <f t="shared" si="12"/>
        <v>1749.8666666666666</v>
      </c>
      <c r="T31" s="8">
        <f t="shared" ref="T31:AF31" si="30">+IF(S142&gt;0,MIN(T76/$N$12,S142),0)</f>
        <v>1381.4736842105262</v>
      </c>
      <c r="U31" s="8">
        <f t="shared" si="30"/>
        <v>1381.4736842105262</v>
      </c>
      <c r="V31" s="8">
        <f t="shared" si="30"/>
        <v>1381.4736842105262</v>
      </c>
      <c r="W31" s="8">
        <f t="shared" si="30"/>
        <v>230.24561403508596</v>
      </c>
      <c r="X31" s="8">
        <f t="shared" si="30"/>
        <v>0</v>
      </c>
      <c r="Y31" s="8">
        <f t="shared" si="30"/>
        <v>0</v>
      </c>
      <c r="Z31" s="8">
        <f t="shared" si="30"/>
        <v>0</v>
      </c>
      <c r="AA31" s="8">
        <f t="shared" si="30"/>
        <v>0</v>
      </c>
      <c r="AB31" s="8">
        <f t="shared" si="30"/>
        <v>0</v>
      </c>
      <c r="AC31" s="8">
        <f t="shared" si="30"/>
        <v>0</v>
      </c>
      <c r="AD31" s="8">
        <f t="shared" si="30"/>
        <v>0</v>
      </c>
      <c r="AE31" s="8">
        <f t="shared" si="30"/>
        <v>0</v>
      </c>
      <c r="AF31" s="8">
        <f t="shared" si="30"/>
        <v>0</v>
      </c>
      <c r="AG31" s="8">
        <f t="shared" si="10"/>
        <v>0</v>
      </c>
      <c r="AH31" s="8"/>
      <c r="AI31" s="8"/>
    </row>
    <row r="32" spans="1:36">
      <c r="A32" t="s">
        <v>261</v>
      </c>
      <c r="Q32" s="8">
        <f>+Q77/$N$10</f>
        <v>3108.2</v>
      </c>
      <c r="R32" s="8">
        <f t="shared" si="12"/>
        <v>2072.1333333333332</v>
      </c>
      <c r="S32" s="8">
        <f t="shared" si="12"/>
        <v>2072.1333333333332</v>
      </c>
      <c r="T32" s="8">
        <f t="shared" ref="T32:AF32" si="31">+IF(S143&gt;0,MIN(T77/$N$12,S143),0)</f>
        <v>1635.8947368421052</v>
      </c>
      <c r="U32" s="8">
        <f t="shared" si="31"/>
        <v>1635.8947368421052</v>
      </c>
      <c r="V32" s="8">
        <f t="shared" si="31"/>
        <v>1635.8947368421052</v>
      </c>
      <c r="W32" s="8">
        <f t="shared" si="31"/>
        <v>1635.8947368421052</v>
      </c>
      <c r="X32" s="8">
        <f t="shared" si="31"/>
        <v>1635.8947368421052</v>
      </c>
      <c r="Y32" s="8">
        <f t="shared" si="31"/>
        <v>109.05964912280797</v>
      </c>
      <c r="Z32" s="8">
        <f t="shared" si="31"/>
        <v>0</v>
      </c>
      <c r="AA32" s="8">
        <f t="shared" si="31"/>
        <v>0</v>
      </c>
      <c r="AB32" s="8">
        <f t="shared" si="31"/>
        <v>0</v>
      </c>
      <c r="AC32" s="8">
        <f t="shared" si="31"/>
        <v>0</v>
      </c>
      <c r="AD32" s="8">
        <f t="shared" si="31"/>
        <v>0</v>
      </c>
      <c r="AE32" s="8">
        <f t="shared" si="31"/>
        <v>0</v>
      </c>
      <c r="AF32" s="8">
        <f t="shared" si="31"/>
        <v>0</v>
      </c>
      <c r="AG32" s="8">
        <f t="shared" si="10"/>
        <v>0</v>
      </c>
      <c r="AH32" s="8"/>
      <c r="AI32" s="8"/>
      <c r="AJ32" s="8"/>
    </row>
    <row r="33" spans="1:44">
      <c r="A33" t="s">
        <v>262</v>
      </c>
      <c r="R33" s="8">
        <f>+R78/$N$11</f>
        <v>3162.4</v>
      </c>
      <c r="S33" s="8">
        <f>+IF(R144&gt;0,MIN(S78/$N$11,R144),0)</f>
        <v>3162.4</v>
      </c>
      <c r="T33" s="8">
        <f t="shared" ref="T33:AF33" si="32">+IF(S144&gt;0,MIN(T78/$N$12,S144),0)</f>
        <v>2496.6315789473683</v>
      </c>
      <c r="U33" s="8">
        <f t="shared" si="32"/>
        <v>2496.6315789473683</v>
      </c>
      <c r="V33" s="8">
        <f t="shared" si="32"/>
        <v>2496.6315789473683</v>
      </c>
      <c r="W33" s="8">
        <f t="shared" si="32"/>
        <v>2496.6315789473683</v>
      </c>
      <c r="X33" s="8">
        <f t="shared" si="32"/>
        <v>2496.6315789473683</v>
      </c>
      <c r="Y33" s="8">
        <f t="shared" si="32"/>
        <v>2496.6315789473683</v>
      </c>
      <c r="Z33" s="8">
        <f t="shared" si="32"/>
        <v>2413.4105263157908</v>
      </c>
      <c r="AA33" s="8">
        <f t="shared" si="32"/>
        <v>0</v>
      </c>
      <c r="AB33" s="8">
        <f t="shared" si="32"/>
        <v>0</v>
      </c>
      <c r="AC33" s="8">
        <f t="shared" si="32"/>
        <v>0</v>
      </c>
      <c r="AD33" s="8">
        <f t="shared" si="32"/>
        <v>0</v>
      </c>
      <c r="AE33" s="8">
        <f t="shared" si="32"/>
        <v>0</v>
      </c>
      <c r="AF33" s="8">
        <f t="shared" si="32"/>
        <v>0</v>
      </c>
      <c r="AG33" s="8">
        <f t="shared" si="10"/>
        <v>0</v>
      </c>
      <c r="AH33" s="8"/>
      <c r="AI33" s="8"/>
      <c r="AJ33" s="8"/>
      <c r="AK33" s="8"/>
    </row>
    <row r="34" spans="1:44">
      <c r="A34" t="s">
        <v>109</v>
      </c>
      <c r="S34" s="8">
        <f>+S79/$N$11</f>
        <v>3065.6</v>
      </c>
      <c r="T34" s="8">
        <f t="shared" ref="T34:AF34" si="33">+IF(S145&gt;0,MIN(T79/$N$12,S145),0)</f>
        <v>2420.2105263157896</v>
      </c>
      <c r="U34" s="8">
        <f t="shared" si="33"/>
        <v>2420.2105263157896</v>
      </c>
      <c r="V34" s="8">
        <f t="shared" si="33"/>
        <v>2420.2105263157896</v>
      </c>
      <c r="W34" s="8">
        <f t="shared" si="33"/>
        <v>2420.2105263157896</v>
      </c>
      <c r="X34" s="8">
        <f t="shared" si="33"/>
        <v>2420.2105263157896</v>
      </c>
      <c r="Y34" s="8">
        <f t="shared" si="33"/>
        <v>2420.2105263157896</v>
      </c>
      <c r="Z34" s="8">
        <f t="shared" si="33"/>
        <v>2420.2105263157896</v>
      </c>
      <c r="AA34" s="8">
        <f t="shared" si="33"/>
        <v>2420.2105263157896</v>
      </c>
      <c r="AB34" s="8">
        <f t="shared" si="33"/>
        <v>564.71578947368107</v>
      </c>
      <c r="AC34" s="8">
        <f t="shared" si="33"/>
        <v>0</v>
      </c>
      <c r="AD34" s="8">
        <f t="shared" si="33"/>
        <v>0</v>
      </c>
      <c r="AE34" s="8">
        <f t="shared" si="33"/>
        <v>0</v>
      </c>
      <c r="AF34" s="8">
        <f t="shared" si="33"/>
        <v>0</v>
      </c>
      <c r="AG34" s="8">
        <f t="shared" si="10"/>
        <v>0</v>
      </c>
      <c r="AH34" s="8"/>
      <c r="AI34" s="8"/>
      <c r="AJ34" s="8"/>
      <c r="AK34" s="8"/>
      <c r="AL34" s="8"/>
    </row>
    <row r="35" spans="1:44">
      <c r="A35" t="s">
        <v>191</v>
      </c>
      <c r="T35" s="8">
        <f>+T80/$N$12</f>
        <v>3140.4210526315787</v>
      </c>
      <c r="U35" s="8">
        <f t="shared" ref="U35:AF35" si="34">+IF(T146&gt;0,MIN(U80/$N$12,T146),0)</f>
        <v>3140.4210526315787</v>
      </c>
      <c r="V35" s="8">
        <f t="shared" si="34"/>
        <v>3140.4210526315787</v>
      </c>
      <c r="W35" s="8">
        <f t="shared" si="34"/>
        <v>3140.4210526315787</v>
      </c>
      <c r="X35" s="8">
        <f t="shared" si="34"/>
        <v>3140.4210526315787</v>
      </c>
      <c r="Y35" s="8">
        <f t="shared" si="34"/>
        <v>3140.4210526315787</v>
      </c>
      <c r="Z35" s="8">
        <f t="shared" si="34"/>
        <v>3140.4210526315787</v>
      </c>
      <c r="AA35" s="8">
        <f t="shared" si="34"/>
        <v>3140.4210526315787</v>
      </c>
      <c r="AB35" s="8">
        <f t="shared" si="34"/>
        <v>3140.4210526315787</v>
      </c>
      <c r="AC35" s="8">
        <f t="shared" si="34"/>
        <v>1570.2105263157864</v>
      </c>
      <c r="AD35" s="8">
        <f t="shared" si="34"/>
        <v>0</v>
      </c>
      <c r="AE35" s="8">
        <f t="shared" si="34"/>
        <v>0</v>
      </c>
      <c r="AF35" s="8">
        <f t="shared" si="34"/>
        <v>0</v>
      </c>
      <c r="AG35" s="8">
        <f t="shared" si="10"/>
        <v>0</v>
      </c>
      <c r="AH35" s="8"/>
      <c r="AI35" s="8"/>
      <c r="AJ35" s="8"/>
      <c r="AK35" s="8"/>
      <c r="AL35" s="8"/>
      <c r="AM35" s="8"/>
    </row>
    <row r="36" spans="1:44">
      <c r="A36" t="s">
        <v>263</v>
      </c>
      <c r="U36" s="8">
        <f>+U81/$N$12</f>
        <v>5065.2631578947367</v>
      </c>
      <c r="V36" s="8">
        <f>+IF(U147&gt;0,MIN(V81/$N$12,U147),0)</f>
        <v>5065.2631578947367</v>
      </c>
      <c r="W36" s="8">
        <f>+IF(V147&gt;0,MIN(W81/$N$12,V147),0)</f>
        <v>5065.2631578947367</v>
      </c>
      <c r="X36" s="8">
        <f t="shared" ref="X36:AF36" si="35">+IF(W147&gt;0,MIN(X81/$N$12,W147),0)</f>
        <v>5065.2631578947367</v>
      </c>
      <c r="Y36" s="8">
        <f t="shared" si="35"/>
        <v>5065.2631578947367</v>
      </c>
      <c r="Z36" s="8">
        <f t="shared" si="35"/>
        <v>5065.2631578947367</v>
      </c>
      <c r="AA36" s="8">
        <f t="shared" si="35"/>
        <v>5065.2631578947367</v>
      </c>
      <c r="AB36" s="8">
        <f t="shared" si="35"/>
        <v>5065.2631578947367</v>
      </c>
      <c r="AC36" s="8">
        <f t="shared" si="35"/>
        <v>5065.2631578947367</v>
      </c>
      <c r="AD36" s="8">
        <f t="shared" si="35"/>
        <v>2532.6315789473738</v>
      </c>
      <c r="AE36" s="8">
        <f t="shared" si="35"/>
        <v>0</v>
      </c>
      <c r="AF36" s="8">
        <f t="shared" si="35"/>
        <v>0</v>
      </c>
      <c r="AG36" s="8">
        <f t="shared" si="10"/>
        <v>0</v>
      </c>
      <c r="AH36" s="8"/>
      <c r="AI36" s="8"/>
      <c r="AJ36" s="8"/>
      <c r="AK36" s="8"/>
      <c r="AL36" s="8"/>
      <c r="AM36" s="8"/>
      <c r="AN36" s="8"/>
    </row>
    <row r="37" spans="1:44">
      <c r="A37" t="s">
        <v>72</v>
      </c>
      <c r="V37" s="8">
        <f>+V82/$N$12</f>
        <v>7938.9473684210525</v>
      </c>
      <c r="W37" s="8">
        <f t="shared" ref="W37:AF37" si="36">+IF(V148&gt;0,MIN(W82/$N$12,V148),0)</f>
        <v>7938.9473684210525</v>
      </c>
      <c r="X37" s="8">
        <f t="shared" si="36"/>
        <v>7938.9473684210525</v>
      </c>
      <c r="Y37" s="8">
        <f t="shared" si="36"/>
        <v>7938.9473684210525</v>
      </c>
      <c r="Z37" s="8">
        <f t="shared" si="36"/>
        <v>7938.9473684210525</v>
      </c>
      <c r="AA37" s="8">
        <f t="shared" si="36"/>
        <v>7938.9473684210525</v>
      </c>
      <c r="AB37" s="8">
        <f t="shared" si="36"/>
        <v>7938.9473684210525</v>
      </c>
      <c r="AC37" s="8">
        <f t="shared" si="36"/>
        <v>7938.9473684210525</v>
      </c>
      <c r="AD37" s="8">
        <f t="shared" si="36"/>
        <v>7938.9473684210525</v>
      </c>
      <c r="AE37" s="8">
        <f t="shared" si="36"/>
        <v>3969.473684210534</v>
      </c>
      <c r="AF37" s="8">
        <f t="shared" si="36"/>
        <v>0</v>
      </c>
      <c r="AG37" s="8">
        <f t="shared" si="10"/>
        <v>0</v>
      </c>
      <c r="AH37" s="8"/>
      <c r="AI37" s="8"/>
      <c r="AJ37" s="8"/>
      <c r="AK37" s="8"/>
      <c r="AL37" s="8"/>
      <c r="AM37" s="8"/>
      <c r="AN37" s="8"/>
      <c r="AO37" s="8"/>
    </row>
    <row r="38" spans="1:44">
      <c r="A38" t="s">
        <v>73</v>
      </c>
      <c r="W38" s="8">
        <f>+W83/$N$12</f>
        <v>6675.5419856570215</v>
      </c>
      <c r="X38" s="8">
        <f t="shared" ref="X38:AF38" si="37">+IF(W149&gt;0,MIN(X83/$N$12,W149),0)</f>
        <v>6675.5419856570215</v>
      </c>
      <c r="Y38" s="8">
        <f t="shared" si="37"/>
        <v>6675.5419856570215</v>
      </c>
      <c r="Z38" s="8">
        <f t="shared" si="37"/>
        <v>6675.5419856570215</v>
      </c>
      <c r="AA38" s="8">
        <f t="shared" si="37"/>
        <v>6675.5419856570215</v>
      </c>
      <c r="AB38" s="8">
        <f t="shared" si="37"/>
        <v>6675.5419856570215</v>
      </c>
      <c r="AC38" s="8">
        <f t="shared" si="37"/>
        <v>6675.5419856570215</v>
      </c>
      <c r="AD38" s="8">
        <f t="shared" si="37"/>
        <v>6675.5419856570215</v>
      </c>
      <c r="AE38" s="8">
        <f t="shared" si="37"/>
        <v>6675.5419856570215</v>
      </c>
      <c r="AF38" s="8">
        <f t="shared" si="37"/>
        <v>3337.7709928285112</v>
      </c>
      <c r="AG38" s="8">
        <f t="shared" si="10"/>
        <v>0</v>
      </c>
      <c r="AH38" s="8"/>
      <c r="AI38" s="8"/>
      <c r="AJ38" s="8"/>
      <c r="AK38" s="8"/>
      <c r="AL38" s="8"/>
      <c r="AM38" s="8"/>
      <c r="AN38" s="8"/>
      <c r="AO38" s="8"/>
      <c r="AP38" s="8"/>
    </row>
    <row r="39" spans="1:44">
      <c r="A39" t="s">
        <v>74</v>
      </c>
      <c r="X39" s="8">
        <f>+X84/$N$12</f>
        <v>6919.0143909644075</v>
      </c>
      <c r="Y39" s="8">
        <f t="shared" ref="Y39:AF39" si="38">+IF(X150&gt;0,MIN(Y84/$N$12,X150),0)</f>
        <v>6919.0143909644075</v>
      </c>
      <c r="Z39" s="8">
        <f t="shared" si="38"/>
        <v>6919.0143909644075</v>
      </c>
      <c r="AA39" s="8">
        <f t="shared" si="38"/>
        <v>6919.0143909644075</v>
      </c>
      <c r="AB39" s="8">
        <f t="shared" si="38"/>
        <v>6919.0143909644075</v>
      </c>
      <c r="AC39" s="8">
        <f t="shared" si="38"/>
        <v>6919.0143909644075</v>
      </c>
      <c r="AD39" s="8">
        <f t="shared" si="38"/>
        <v>6919.0143909644075</v>
      </c>
      <c r="AE39" s="8">
        <f t="shared" si="38"/>
        <v>6919.0143909644075</v>
      </c>
      <c r="AF39" s="8">
        <f t="shared" si="38"/>
        <v>6919.0143909644075</v>
      </c>
      <c r="AG39" s="8">
        <f t="shared" si="10"/>
        <v>3459.5071954821906</v>
      </c>
      <c r="AH39" s="8"/>
      <c r="AI39" s="8"/>
      <c r="AJ39" s="8"/>
      <c r="AK39" s="8"/>
      <c r="AL39" s="8"/>
      <c r="AM39" s="8"/>
      <c r="AN39" s="8"/>
      <c r="AO39" s="8"/>
      <c r="AP39" s="8"/>
      <c r="AQ39" s="8"/>
    </row>
    <row r="40" spans="1:44">
      <c r="A40" t="s">
        <v>75</v>
      </c>
      <c r="Y40" s="8">
        <f>+Y85/$N$12</f>
        <v>7092.8481942030548</v>
      </c>
      <c r="Z40" s="8">
        <f t="shared" ref="Z40:AF40" si="39">+IF(Y151&gt;0,MIN(Z85/$N$12,Y151),0)</f>
        <v>7092.8481942030548</v>
      </c>
      <c r="AA40" s="8">
        <f t="shared" si="39"/>
        <v>7092.8481942030548</v>
      </c>
      <c r="AB40" s="8">
        <f t="shared" si="39"/>
        <v>7092.8481942030548</v>
      </c>
      <c r="AC40" s="8">
        <f t="shared" si="39"/>
        <v>7092.8481942030548</v>
      </c>
      <c r="AD40" s="8">
        <f t="shared" si="39"/>
        <v>7092.8481942030548</v>
      </c>
      <c r="AE40" s="8">
        <f t="shared" si="39"/>
        <v>7092.8481942030548</v>
      </c>
      <c r="AF40" s="8">
        <f t="shared" si="39"/>
        <v>7092.8481942030548</v>
      </c>
      <c r="AG40" s="8">
        <f t="shared" si="10"/>
        <v>7092.8481942030548</v>
      </c>
      <c r="AH40" s="8"/>
      <c r="AI40" s="8"/>
      <c r="AJ40" s="8"/>
      <c r="AK40" s="8"/>
      <c r="AL40" s="8"/>
      <c r="AM40" s="8"/>
      <c r="AN40" s="8"/>
      <c r="AO40" s="8"/>
      <c r="AP40" s="8"/>
      <c r="AQ40" s="8"/>
      <c r="AR40" s="8"/>
    </row>
    <row r="41" spans="1:44">
      <c r="A41" t="s">
        <v>76</v>
      </c>
      <c r="Y41" s="8"/>
      <c r="Z41" s="8">
        <f>+Z86/$N$12</f>
        <v>7175.1863089224653</v>
      </c>
      <c r="AA41" s="8">
        <f t="shared" ref="AA41:AF41" si="40">+IF(Z152&gt;0,MIN(AA86/$N$12,Z152),0)</f>
        <v>7175.1863089224653</v>
      </c>
      <c r="AB41" s="8">
        <f t="shared" si="40"/>
        <v>7175.1863089224653</v>
      </c>
      <c r="AC41" s="8">
        <f t="shared" si="40"/>
        <v>7175.1863089224653</v>
      </c>
      <c r="AD41" s="8">
        <f t="shared" si="40"/>
        <v>7175.1863089224653</v>
      </c>
      <c r="AE41" s="8">
        <f t="shared" si="40"/>
        <v>7175.1863089224653</v>
      </c>
      <c r="AF41" s="8">
        <f t="shared" si="40"/>
        <v>7175.1863089224653</v>
      </c>
      <c r="AG41" s="8">
        <f t="shared" si="10"/>
        <v>7175.1863089224653</v>
      </c>
      <c r="AH41" s="8"/>
      <c r="AI41" s="8"/>
      <c r="AJ41" s="8"/>
      <c r="AK41" s="8"/>
      <c r="AL41" s="8"/>
      <c r="AM41" s="8"/>
      <c r="AN41" s="8"/>
      <c r="AO41" s="8"/>
      <c r="AP41" s="8"/>
      <c r="AQ41" s="8"/>
      <c r="AR41" s="8"/>
    </row>
    <row r="42" spans="1:44">
      <c r="A42" t="s">
        <v>77</v>
      </c>
      <c r="Y42" s="8"/>
      <c r="Z42" s="8"/>
      <c r="AA42" s="8">
        <f>+AA87/$N$12</f>
        <v>7139.6838781749511</v>
      </c>
      <c r="AB42" s="8">
        <f>+IF(AA153&gt;0,MIN(AB87/$N$12,AA153),0)</f>
        <v>7139.6838781749511</v>
      </c>
      <c r="AC42" s="8">
        <f>+IF(AB153&gt;0,MIN(AC87/$N$12,AB153),0)</f>
        <v>7139.6838781749511</v>
      </c>
      <c r="AD42" s="8">
        <f>+IF(AC153&gt;0,MIN(AD87/$N$12,AC153),0)</f>
        <v>7139.6838781749511</v>
      </c>
      <c r="AE42" s="8">
        <f>+IF(AD153&gt;0,MIN(AE87/$N$12,AD153),0)</f>
        <v>7139.6838781749511</v>
      </c>
      <c r="AF42" s="8">
        <f>+IF(AE153&gt;0,MIN(AF87/$N$12,AE153),0)</f>
        <v>7139.6838781749511</v>
      </c>
      <c r="AG42" s="8">
        <f t="shared" si="10"/>
        <v>7139.6838781749511</v>
      </c>
      <c r="AH42" s="8"/>
      <c r="AI42" s="8"/>
      <c r="AJ42" s="8"/>
      <c r="AK42" s="8"/>
      <c r="AL42" s="8"/>
      <c r="AM42" s="8"/>
      <c r="AN42" s="8"/>
      <c r="AO42" s="8"/>
      <c r="AP42" s="8"/>
      <c r="AQ42" s="8"/>
      <c r="AR42" s="8"/>
    </row>
    <row r="43" spans="1:44">
      <c r="A43" t="s">
        <v>78</v>
      </c>
      <c r="Y43" s="8"/>
      <c r="Z43" s="8"/>
      <c r="AA43" s="8"/>
      <c r="AB43" s="8">
        <f>+AB88/$N$12</f>
        <v>7534.2706312941127</v>
      </c>
      <c r="AC43" s="8">
        <f>+IF(AB154&gt;0,MIN(AC88/$N$12,AB154),0)</f>
        <v>7534.2706312941127</v>
      </c>
      <c r="AD43" s="8">
        <f>+IF(AC154&gt;0,MIN(AD88/$N$12,AC154),0)</f>
        <v>7534.2706312941127</v>
      </c>
      <c r="AE43" s="8">
        <f>+IF(AD154&gt;0,MIN(AE88/$N$12,AD154),0)</f>
        <v>7534.2706312941127</v>
      </c>
      <c r="AF43" s="8">
        <f>+IF(AE154&gt;0,MIN(AF88/$N$12,AE154),0)</f>
        <v>7534.2706312941127</v>
      </c>
      <c r="AG43" s="8">
        <f t="shared" si="10"/>
        <v>7534.2706312941127</v>
      </c>
      <c r="AH43" s="8"/>
      <c r="AI43" s="8"/>
      <c r="AJ43" s="8"/>
      <c r="AK43" s="8"/>
      <c r="AL43" s="8"/>
      <c r="AM43" s="8"/>
      <c r="AN43" s="8"/>
      <c r="AO43" s="8"/>
      <c r="AP43" s="8"/>
      <c r="AQ43" s="8"/>
      <c r="AR43" s="8"/>
    </row>
    <row r="44" spans="1:44">
      <c r="A44" t="s">
        <v>79</v>
      </c>
      <c r="Y44" s="8"/>
      <c r="Z44" s="8"/>
      <c r="AA44" s="8"/>
      <c r="AB44" s="8"/>
      <c r="AC44" s="8">
        <f>+AC89/$N$12</f>
        <v>7898.9114644056108</v>
      </c>
      <c r="AD44" s="8">
        <f>+IF(AC155&gt;0,MIN(AD89/$N$12,AC155),0)</f>
        <v>7898.9114644056108</v>
      </c>
      <c r="AE44" s="8">
        <f>+IF(AD155&gt;0,MIN(AE89/$N$12,AD155),0)</f>
        <v>7898.9114644056108</v>
      </c>
      <c r="AF44" s="8">
        <f>+IF(AE155&gt;0,MIN(AF89/$N$12,AE155),0)</f>
        <v>7898.9114644056108</v>
      </c>
      <c r="AG44" s="8">
        <f t="shared" si="10"/>
        <v>7898.9114644056108</v>
      </c>
      <c r="AH44" s="8"/>
      <c r="AI44" s="8"/>
      <c r="AJ44" s="8"/>
      <c r="AK44" s="8"/>
      <c r="AL44" s="8"/>
      <c r="AM44" s="8"/>
      <c r="AN44" s="8"/>
      <c r="AO44" s="8"/>
      <c r="AP44" s="8"/>
      <c r="AQ44" s="8"/>
      <c r="AR44" s="8"/>
    </row>
    <row r="45" spans="1:44">
      <c r="A45" t="s">
        <v>80</v>
      </c>
      <c r="Y45" s="8"/>
      <c r="Z45" s="8"/>
      <c r="AA45" s="8"/>
      <c r="AB45" s="8"/>
      <c r="AC45" s="8"/>
      <c r="AD45" s="8">
        <f>+AD90/$N$12</f>
        <v>8966.5390812885362</v>
      </c>
      <c r="AE45" s="8">
        <f>+IF(AD156&gt;0,MIN(AE90/$N$12,AD156),0)</f>
        <v>8966.5390812885362</v>
      </c>
      <c r="AF45" s="8">
        <f>+IF(AE156&gt;0,MIN(AF90/$N$12,AE156),0)</f>
        <v>8966.5390812885362</v>
      </c>
      <c r="AG45" s="8">
        <f t="shared" si="10"/>
        <v>8966.5390812885362</v>
      </c>
      <c r="AH45" s="8"/>
      <c r="AI45" s="8"/>
      <c r="AJ45" s="8"/>
      <c r="AK45" s="8"/>
      <c r="AL45" s="8"/>
      <c r="AM45" s="8"/>
      <c r="AN45" s="8"/>
      <c r="AO45" s="8"/>
      <c r="AP45" s="8"/>
      <c r="AQ45" s="8"/>
      <c r="AR45" s="8"/>
    </row>
    <row r="46" spans="1:44">
      <c r="A46" t="s">
        <v>81</v>
      </c>
      <c r="Y46" s="8"/>
      <c r="Z46" s="8"/>
      <c r="AA46" s="8"/>
      <c r="AB46" s="8"/>
      <c r="AC46" s="8"/>
      <c r="AD46" s="8"/>
      <c r="AE46" s="8">
        <f>+AE91/$N$12</f>
        <v>10173.65136351691</v>
      </c>
      <c r="AF46" s="8">
        <f>+IF(AE157&gt;0,MIN(AF91/$N$12,AE157),0)</f>
        <v>10173.65136351691</v>
      </c>
      <c r="AG46" s="8">
        <f t="shared" si="10"/>
        <v>10173.65136351691</v>
      </c>
      <c r="AH46" s="8"/>
      <c r="AI46" s="8"/>
      <c r="AJ46" s="8"/>
      <c r="AK46" s="8"/>
      <c r="AL46" s="8"/>
      <c r="AM46" s="8"/>
      <c r="AN46" s="8"/>
      <c r="AO46" s="8"/>
      <c r="AP46" s="8"/>
      <c r="AQ46" s="8"/>
      <c r="AR46" s="8"/>
    </row>
    <row r="47" spans="1:44">
      <c r="A47" t="s">
        <v>82</v>
      </c>
      <c r="Y47" s="8"/>
      <c r="Z47" s="8"/>
      <c r="AA47" s="8"/>
      <c r="AB47" s="8"/>
      <c r="AC47" s="8"/>
      <c r="AD47" s="8"/>
      <c r="AE47" s="8"/>
      <c r="AF47" s="8">
        <f>+AF92/$N$12</f>
        <v>11538.393099863209</v>
      </c>
      <c r="AG47" s="8">
        <f>+IF(AF158&gt;0,MIN(AG92/$N$12,AF158),0)</f>
        <v>11538.393099863209</v>
      </c>
      <c r="AH47" s="8"/>
      <c r="AI47" s="8"/>
      <c r="AJ47" s="8"/>
      <c r="AK47" s="8"/>
      <c r="AL47" s="8"/>
      <c r="AM47" s="8"/>
      <c r="AN47" s="8"/>
      <c r="AO47" s="8"/>
      <c r="AP47" s="8"/>
      <c r="AQ47" s="8"/>
      <c r="AR47" s="8"/>
    </row>
    <row r="48" spans="1:44">
      <c r="A48" t="s">
        <v>83</v>
      </c>
      <c r="Y48" s="8"/>
      <c r="Z48" s="8"/>
      <c r="AA48" s="8"/>
      <c r="AB48" s="8"/>
      <c r="AC48" s="8"/>
      <c r="AD48" s="8"/>
      <c r="AE48" s="8"/>
      <c r="AF48" s="8"/>
      <c r="AG48" s="8">
        <f>+AG93/$N$12</f>
        <v>13081.268101939044</v>
      </c>
      <c r="AH48" s="8"/>
      <c r="AI48" s="8"/>
      <c r="AJ48" s="8"/>
      <c r="AK48" s="8"/>
      <c r="AL48" s="8"/>
      <c r="AM48" s="8"/>
      <c r="AN48" s="8"/>
      <c r="AO48" s="8"/>
      <c r="AP48" s="8"/>
      <c r="AQ48" s="8"/>
      <c r="AR48" s="8"/>
    </row>
    <row r="49" spans="1:44">
      <c r="A49" t="s">
        <v>764</v>
      </c>
      <c r="W49" s="8"/>
      <c r="Y49" s="8"/>
      <c r="Z49" s="8"/>
      <c r="AA49" s="8"/>
      <c r="AB49" s="8"/>
      <c r="AC49" s="8"/>
      <c r="AD49" s="8"/>
      <c r="AE49" s="8"/>
      <c r="AF49" s="8"/>
      <c r="AG49" s="8"/>
      <c r="AH49" s="8"/>
      <c r="AI49" s="8"/>
      <c r="AJ49" s="8"/>
      <c r="AK49" s="8"/>
      <c r="AL49" s="8"/>
      <c r="AM49" s="8"/>
      <c r="AN49" s="8"/>
      <c r="AO49" s="8"/>
      <c r="AP49" s="8"/>
      <c r="AQ49" s="8"/>
      <c r="AR49" s="8"/>
    </row>
    <row r="50" spans="1:44" ht="11.45">
      <c r="A50" s="12" t="s">
        <v>765</v>
      </c>
      <c r="D50" s="8">
        <f t="shared" ref="D50" si="41">+SUM(D19:D49)</f>
        <v>1873.2</v>
      </c>
      <c r="E50" s="8">
        <f t="shared" ref="E50" si="42">+SUM(E19:E49)</f>
        <v>2508.8000000000002</v>
      </c>
      <c r="F50" s="8">
        <f>+SUM(F19:F49)</f>
        <v>3016.4</v>
      </c>
      <c r="G50" s="8">
        <f t="shared" ref="G50:X50" si="43">+SUM(G19:G49)</f>
        <v>3251.8</v>
      </c>
      <c r="H50" s="8">
        <f t="shared" si="43"/>
        <v>3598.2</v>
      </c>
      <c r="I50" s="8">
        <f t="shared" si="43"/>
        <v>1973</v>
      </c>
      <c r="J50" s="8">
        <f t="shared" si="43"/>
        <v>1992</v>
      </c>
      <c r="K50" s="8">
        <f t="shared" si="43"/>
        <v>2544.4</v>
      </c>
      <c r="L50" s="8">
        <f t="shared" si="43"/>
        <v>3215.6</v>
      </c>
      <c r="M50" s="8">
        <f t="shared" si="43"/>
        <v>4033</v>
      </c>
      <c r="N50" s="8">
        <f t="shared" si="43"/>
        <v>5736.4</v>
      </c>
      <c r="O50" s="8">
        <f t="shared" si="43"/>
        <v>7235.7999999999993</v>
      </c>
      <c r="P50" s="8">
        <f t="shared" si="43"/>
        <v>8800.5999999999985</v>
      </c>
      <c r="Q50" s="8">
        <f t="shared" si="43"/>
        <v>11002.2</v>
      </c>
      <c r="R50" s="8">
        <f t="shared" si="43"/>
        <v>9721.3333333333339</v>
      </c>
      <c r="S50" s="8">
        <f t="shared" si="43"/>
        <v>12136.466666666667</v>
      </c>
      <c r="T50" s="8">
        <f>+SUM(T19:T49)</f>
        <v>12208.315789473683</v>
      </c>
      <c r="U50" s="8">
        <f t="shared" ref="U50" si="44">+SUM(U19:U49)</f>
        <v>16442.210526315786</v>
      </c>
      <c r="V50" s="8">
        <f t="shared" si="43"/>
        <v>24078.842105263157</v>
      </c>
      <c r="W50" s="8">
        <f t="shared" si="43"/>
        <v>29603.15602074474</v>
      </c>
      <c r="X50" s="8">
        <f t="shared" si="43"/>
        <v>36291.924797674059</v>
      </c>
      <c r="Y50" s="8">
        <f>+SUM(Y19:Y49)</f>
        <v>41857.937904157821</v>
      </c>
      <c r="Z50" s="8">
        <f t="shared" ref="Z50:AE50" si="45">+SUM(Z19:Z49)</f>
        <v>48840.843511325897</v>
      </c>
      <c r="AA50" s="8">
        <f t="shared" si="45"/>
        <v>53567.11686318506</v>
      </c>
      <c r="AB50" s="8">
        <f t="shared" si="45"/>
        <v>59245.892757637062</v>
      </c>
      <c r="AC50" s="8">
        <f t="shared" si="45"/>
        <v>65009.877906253205</v>
      </c>
      <c r="AD50" s="8">
        <f t="shared" si="45"/>
        <v>69873.574882278597</v>
      </c>
      <c r="AE50" s="8">
        <f t="shared" si="45"/>
        <v>73545.1209826376</v>
      </c>
      <c r="AF50" s="8">
        <f>+SUM(AF19:AF49)</f>
        <v>77776.269405461775</v>
      </c>
      <c r="AG50" s="8">
        <f t="shared" ref="AG50" si="46">+SUM(AG19:AG49)</f>
        <v>84060.259319090081</v>
      </c>
      <c r="AH50" s="8"/>
      <c r="AI50" s="10"/>
      <c r="AJ50" s="8"/>
      <c r="AK50" s="8"/>
      <c r="AL50" s="8"/>
      <c r="AM50" s="8"/>
      <c r="AN50" s="8"/>
      <c r="AO50" s="8"/>
      <c r="AP50" s="8"/>
      <c r="AQ50" s="8"/>
      <c r="AR50" s="8"/>
    </row>
    <row r="51" spans="1:44" s="953" customFormat="1" ht="11.45">
      <c r="A51" s="12" t="s">
        <v>766</v>
      </c>
      <c r="D51" s="10">
        <f t="shared" ref="D51:M51" si="47">+D193</f>
        <v>236</v>
      </c>
      <c r="E51" s="10">
        <f t="shared" si="47"/>
        <v>472</v>
      </c>
      <c r="F51" s="10">
        <f t="shared" si="47"/>
        <v>591</v>
      </c>
      <c r="G51" s="10">
        <f t="shared" si="47"/>
        <v>707</v>
      </c>
      <c r="H51" s="10">
        <f t="shared" si="47"/>
        <v>537</v>
      </c>
      <c r="I51" s="10">
        <f t="shared" si="47"/>
        <v>558</v>
      </c>
      <c r="J51" s="10">
        <f t="shared" si="47"/>
        <v>739</v>
      </c>
      <c r="K51" s="10">
        <f t="shared" si="47"/>
        <v>845</v>
      </c>
      <c r="L51" s="10">
        <f t="shared" si="47"/>
        <v>1300</v>
      </c>
      <c r="M51" s="10">
        <f t="shared" si="47"/>
        <v>978</v>
      </c>
      <c r="N51" s="10">
        <f t="shared" ref="N51:T51" si="48">+N193</f>
        <v>1700</v>
      </c>
      <c r="O51" s="10">
        <f t="shared" si="48"/>
        <v>2200</v>
      </c>
      <c r="P51" s="10">
        <f t="shared" si="48"/>
        <v>1900</v>
      </c>
      <c r="Q51" s="10">
        <f t="shared" si="48"/>
        <v>1600</v>
      </c>
      <c r="R51" s="10">
        <f t="shared" si="48"/>
        <v>1600</v>
      </c>
      <c r="S51" s="10">
        <f t="shared" si="48"/>
        <v>2000</v>
      </c>
      <c r="T51" s="10">
        <f t="shared" si="48"/>
        <v>2500</v>
      </c>
      <c r="U51" s="10">
        <f>+U193</f>
        <v>4800</v>
      </c>
      <c r="V51" s="30">
        <v>5892</v>
      </c>
      <c r="W51" s="30">
        <v>4471</v>
      </c>
      <c r="X51" s="30">
        <v>2793</v>
      </c>
      <c r="Y51" s="30">
        <v>1909</v>
      </c>
      <c r="Z51" s="30">
        <v>1728</v>
      </c>
      <c r="AA51" s="58">
        <f>+Z51-Y51+Z51</f>
        <v>1547</v>
      </c>
      <c r="AB51" s="58">
        <f t="shared" ref="AB51:AG51" si="49">+AA51-Z51+AA51</f>
        <v>1366</v>
      </c>
      <c r="AC51" s="58">
        <f t="shared" si="49"/>
        <v>1185</v>
      </c>
      <c r="AD51" s="58">
        <f t="shared" si="49"/>
        <v>1004</v>
      </c>
      <c r="AE51" s="58">
        <f t="shared" si="49"/>
        <v>823</v>
      </c>
      <c r="AF51" s="58">
        <f t="shared" si="49"/>
        <v>642</v>
      </c>
      <c r="AG51" s="58">
        <f t="shared" si="49"/>
        <v>461</v>
      </c>
      <c r="AH51" s="10"/>
      <c r="AI51" s="10"/>
      <c r="AJ51" s="10"/>
      <c r="AK51" s="10"/>
      <c r="AL51" s="10"/>
      <c r="AM51" s="10"/>
      <c r="AN51" s="10"/>
      <c r="AO51" s="10"/>
      <c r="AP51" s="10"/>
      <c r="AQ51" s="10"/>
      <c r="AR51" s="10"/>
    </row>
    <row r="52" spans="1:44" s="1" customFormat="1" ht="10.5">
      <c r="A52" s="848" t="s">
        <v>767</v>
      </c>
      <c r="B52" s="838"/>
      <c r="C52" s="838">
        <f t="shared" ref="C52:M52" si="50">+C51+C50</f>
        <v>0</v>
      </c>
      <c r="D52" s="838">
        <f t="shared" si="50"/>
        <v>2109.1999999999998</v>
      </c>
      <c r="E52" s="838">
        <f t="shared" si="50"/>
        <v>2980.8</v>
      </c>
      <c r="F52" s="838">
        <f t="shared" si="50"/>
        <v>3607.4</v>
      </c>
      <c r="G52" s="838">
        <f t="shared" si="50"/>
        <v>3958.8</v>
      </c>
      <c r="H52" s="838">
        <f t="shared" si="50"/>
        <v>4135.2</v>
      </c>
      <c r="I52" s="838">
        <f t="shared" si="50"/>
        <v>2531</v>
      </c>
      <c r="J52" s="838">
        <f t="shared" si="50"/>
        <v>2731</v>
      </c>
      <c r="K52" s="838">
        <f t="shared" si="50"/>
        <v>3389.4</v>
      </c>
      <c r="L52" s="838">
        <f t="shared" si="50"/>
        <v>4515.6000000000004</v>
      </c>
      <c r="M52" s="838">
        <f t="shared" si="50"/>
        <v>5011</v>
      </c>
      <c r="N52" s="838">
        <f>+N51+N50</f>
        <v>7436.4</v>
      </c>
      <c r="O52" s="838">
        <f t="shared" ref="O52:AF52" si="51">+O51+O50</f>
        <v>9435.7999999999993</v>
      </c>
      <c r="P52" s="838">
        <f t="shared" si="51"/>
        <v>10700.599999999999</v>
      </c>
      <c r="Q52" s="838">
        <f t="shared" si="51"/>
        <v>12602.2</v>
      </c>
      <c r="R52" s="838">
        <f t="shared" si="51"/>
        <v>11321.333333333334</v>
      </c>
      <c r="S52" s="838">
        <f t="shared" si="51"/>
        <v>14136.466666666667</v>
      </c>
      <c r="T52" s="838">
        <f t="shared" si="51"/>
        <v>14708.315789473683</v>
      </c>
      <c r="U52" s="838">
        <f t="shared" ref="U52" si="52">+U51+U50</f>
        <v>21242.210526315786</v>
      </c>
      <c r="V52" s="838">
        <f t="shared" si="51"/>
        <v>29970.842105263157</v>
      </c>
      <c r="W52" s="838">
        <f t="shared" si="51"/>
        <v>34074.15602074474</v>
      </c>
      <c r="X52" s="838">
        <f t="shared" si="51"/>
        <v>39084.924797674059</v>
      </c>
      <c r="Y52" s="838">
        <f t="shared" si="51"/>
        <v>43766.937904157821</v>
      </c>
      <c r="Z52" s="838">
        <f t="shared" si="51"/>
        <v>50568.843511325897</v>
      </c>
      <c r="AA52" s="838">
        <f t="shared" si="51"/>
        <v>55114.11686318506</v>
      </c>
      <c r="AB52" s="838">
        <f t="shared" si="51"/>
        <v>60611.892757637062</v>
      </c>
      <c r="AC52" s="838">
        <f t="shared" si="51"/>
        <v>66194.877906253212</v>
      </c>
      <c r="AD52" s="838">
        <f t="shared" si="51"/>
        <v>70877.574882278597</v>
      </c>
      <c r="AE52" s="838">
        <f t="shared" si="51"/>
        <v>74368.1209826376</v>
      </c>
      <c r="AF52" s="838">
        <f t="shared" si="51"/>
        <v>78418.269405461775</v>
      </c>
      <c r="AG52" s="838">
        <f t="shared" ref="AG52" si="53">+AG51+AG50</f>
        <v>84521.259319090081</v>
      </c>
      <c r="AH52" s="838"/>
      <c r="AI52" s="838"/>
      <c r="AJ52" s="838"/>
      <c r="AK52" s="838"/>
      <c r="AL52" s="838"/>
      <c r="AM52" s="838"/>
      <c r="AN52" s="838"/>
      <c r="AO52" s="838"/>
      <c r="AP52" s="838"/>
      <c r="AQ52" s="838"/>
      <c r="AR52" s="838"/>
    </row>
    <row r="53" spans="1:44" ht="11.45">
      <c r="A53" s="12" t="s">
        <v>768</v>
      </c>
      <c r="D53" s="34">
        <f t="shared" ref="D53:M53" si="54">+D194</f>
        <v>500</v>
      </c>
      <c r="E53" s="34">
        <f t="shared" si="54"/>
        <v>500</v>
      </c>
      <c r="F53" s="34">
        <f t="shared" si="54"/>
        <v>500</v>
      </c>
      <c r="G53" s="34">
        <f t="shared" si="54"/>
        <v>500</v>
      </c>
      <c r="H53" s="34">
        <f t="shared" si="54"/>
        <v>500</v>
      </c>
      <c r="I53" s="34">
        <f t="shared" si="54"/>
        <v>500</v>
      </c>
      <c r="J53" s="34">
        <f t="shared" si="54"/>
        <v>500</v>
      </c>
      <c r="K53" s="34">
        <f t="shared" si="54"/>
        <v>500</v>
      </c>
      <c r="L53" s="34">
        <f t="shared" si="54"/>
        <v>500</v>
      </c>
      <c r="M53" s="34">
        <f t="shared" si="54"/>
        <v>744</v>
      </c>
      <c r="N53" s="34">
        <f t="shared" ref="N53:T53" si="55">+N194</f>
        <v>978</v>
      </c>
      <c r="O53" s="34">
        <f t="shared" si="55"/>
        <v>361</v>
      </c>
      <c r="P53" s="34">
        <f t="shared" si="55"/>
        <v>82</v>
      </c>
      <c r="Q53" s="34">
        <f t="shared" si="55"/>
        <v>496</v>
      </c>
      <c r="R53" s="34">
        <f t="shared" si="55"/>
        <v>786</v>
      </c>
      <c r="S53" s="34">
        <f t="shared" si="55"/>
        <v>-140</v>
      </c>
      <c r="T53" s="34">
        <f t="shared" si="55"/>
        <v>361</v>
      </c>
      <c r="U53" s="34">
        <f>+U194</f>
        <v>2287</v>
      </c>
      <c r="V53" s="1223">
        <f>+U53</f>
        <v>2287</v>
      </c>
      <c r="W53" s="1223">
        <f t="shared" ref="W53:AG53" si="56">+V53</f>
        <v>2287</v>
      </c>
      <c r="X53" s="1223">
        <f t="shared" si="56"/>
        <v>2287</v>
      </c>
      <c r="Y53" s="1223">
        <f t="shared" si="56"/>
        <v>2287</v>
      </c>
      <c r="Z53" s="1223">
        <f t="shared" si="56"/>
        <v>2287</v>
      </c>
      <c r="AA53" s="1223">
        <f t="shared" si="56"/>
        <v>2287</v>
      </c>
      <c r="AB53" s="1223">
        <f t="shared" si="56"/>
        <v>2287</v>
      </c>
      <c r="AC53" s="1223">
        <f t="shared" si="56"/>
        <v>2287</v>
      </c>
      <c r="AD53" s="1223">
        <f t="shared" si="56"/>
        <v>2287</v>
      </c>
      <c r="AE53" s="1223">
        <f t="shared" si="56"/>
        <v>2287</v>
      </c>
      <c r="AF53" s="1223">
        <f t="shared" si="56"/>
        <v>2287</v>
      </c>
      <c r="AG53" s="1223">
        <f t="shared" si="56"/>
        <v>2287</v>
      </c>
      <c r="AH53" s="8"/>
      <c r="AI53" s="8"/>
      <c r="AJ53" s="8"/>
      <c r="AK53" s="8"/>
      <c r="AL53" s="8"/>
      <c r="AM53" s="8"/>
      <c r="AN53" s="8"/>
      <c r="AO53" s="8"/>
      <c r="AP53" s="8"/>
      <c r="AQ53" s="8"/>
      <c r="AR53" s="8"/>
    </row>
    <row r="54" spans="1:44" s="1" customFormat="1" ht="10.5">
      <c r="A54" s="848" t="s">
        <v>769</v>
      </c>
      <c r="D54" s="838">
        <f t="shared" ref="D54:S54" si="57">+D53+D51+D50</f>
        <v>2609.1999999999998</v>
      </c>
      <c r="E54" s="838">
        <f t="shared" si="57"/>
        <v>3480.8</v>
      </c>
      <c r="F54" s="838">
        <f t="shared" si="57"/>
        <v>4107.3999999999996</v>
      </c>
      <c r="G54" s="838">
        <f t="shared" si="57"/>
        <v>4458.8</v>
      </c>
      <c r="H54" s="838">
        <f t="shared" si="57"/>
        <v>4635.2</v>
      </c>
      <c r="I54" s="838">
        <f t="shared" si="57"/>
        <v>3031</v>
      </c>
      <c r="J54" s="838">
        <f t="shared" si="57"/>
        <v>3231</v>
      </c>
      <c r="K54" s="838">
        <f t="shared" si="57"/>
        <v>3889.4</v>
      </c>
      <c r="L54" s="838">
        <f t="shared" si="57"/>
        <v>5015.6000000000004</v>
      </c>
      <c r="M54" s="838">
        <f t="shared" si="57"/>
        <v>5755</v>
      </c>
      <c r="N54" s="838">
        <f t="shared" si="57"/>
        <v>8414.4</v>
      </c>
      <c r="O54" s="838">
        <f t="shared" si="57"/>
        <v>9796.7999999999993</v>
      </c>
      <c r="P54" s="838">
        <f t="shared" si="57"/>
        <v>10782.599999999999</v>
      </c>
      <c r="Q54" s="838">
        <f t="shared" si="57"/>
        <v>13098.2</v>
      </c>
      <c r="R54" s="838">
        <f t="shared" si="57"/>
        <v>12107.333333333334</v>
      </c>
      <c r="S54" s="838">
        <f t="shared" si="57"/>
        <v>13996.466666666667</v>
      </c>
      <c r="T54" s="838">
        <f>+T53+T51+T50</f>
        <v>15069.315789473683</v>
      </c>
      <c r="U54" s="838">
        <f t="shared" ref="U54" si="58">+U53+U51+U50</f>
        <v>23529.210526315786</v>
      </c>
      <c r="V54" s="849">
        <f t="shared" ref="V54:AF54" si="59">+V53+V50+V51</f>
        <v>32257.842105263157</v>
      </c>
      <c r="W54" s="849">
        <f t="shared" si="59"/>
        <v>36361.15602074474</v>
      </c>
      <c r="X54" s="849">
        <f t="shared" si="59"/>
        <v>41371.924797674059</v>
      </c>
      <c r="Y54" s="849">
        <f t="shared" si="59"/>
        <v>46053.937904157821</v>
      </c>
      <c r="Z54" s="849">
        <f t="shared" si="59"/>
        <v>52855.843511325897</v>
      </c>
      <c r="AA54" s="849">
        <f t="shared" si="59"/>
        <v>57401.11686318506</v>
      </c>
      <c r="AB54" s="849">
        <f t="shared" si="59"/>
        <v>62898.892757637062</v>
      </c>
      <c r="AC54" s="849">
        <f t="shared" si="59"/>
        <v>68481.877906253212</v>
      </c>
      <c r="AD54" s="849">
        <f t="shared" si="59"/>
        <v>73164.574882278597</v>
      </c>
      <c r="AE54" s="849">
        <f t="shared" si="59"/>
        <v>76655.1209826376</v>
      </c>
      <c r="AF54" s="849">
        <f t="shared" si="59"/>
        <v>80705.269405461775</v>
      </c>
      <c r="AG54" s="849">
        <f t="shared" ref="AG54" si="60">+AG53+AG50+AG51</f>
        <v>86808.259319090081</v>
      </c>
      <c r="AH54" s="838"/>
      <c r="AI54" s="838"/>
      <c r="AJ54" s="838"/>
      <c r="AK54" s="838"/>
      <c r="AL54" s="838"/>
      <c r="AM54" s="838"/>
      <c r="AN54" s="838"/>
      <c r="AO54" s="838"/>
      <c r="AP54" s="838"/>
      <c r="AQ54" s="838"/>
      <c r="AR54" s="838"/>
    </row>
    <row r="55" spans="1:44" s="1" customFormat="1" ht="10.5">
      <c r="A55" s="848"/>
      <c r="D55" s="838"/>
      <c r="E55" s="838"/>
      <c r="F55" s="838"/>
      <c r="G55" s="838"/>
      <c r="H55" s="838"/>
      <c r="I55" s="838"/>
      <c r="J55" s="838"/>
      <c r="K55" s="838"/>
      <c r="L55" s="838"/>
      <c r="M55" s="838"/>
      <c r="N55" s="838"/>
      <c r="O55" s="838"/>
      <c r="P55" s="838"/>
      <c r="Q55" s="838"/>
      <c r="R55" s="838"/>
      <c r="S55" s="838"/>
      <c r="T55" s="838"/>
      <c r="U55" s="838"/>
      <c r="V55" s="1315"/>
      <c r="W55" s="1345"/>
      <c r="X55" s="1345"/>
      <c r="Y55" s="1345"/>
      <c r="Z55" s="1345"/>
      <c r="AA55" s="1345"/>
      <c r="AB55" s="1345"/>
      <c r="AC55" s="849"/>
      <c r="AD55" s="849"/>
      <c r="AE55" s="849"/>
      <c r="AF55" s="849"/>
      <c r="AG55" s="849"/>
      <c r="AH55" s="838"/>
      <c r="AI55" s="838"/>
      <c r="AJ55" s="838"/>
      <c r="AK55" s="838"/>
      <c r="AL55" s="838"/>
      <c r="AM55" s="838"/>
      <c r="AN55" s="838"/>
      <c r="AO55" s="838"/>
      <c r="AP55" s="838"/>
      <c r="AQ55" s="838"/>
      <c r="AR55" s="838"/>
    </row>
    <row r="56" spans="1:44" s="1" customFormat="1" ht="10.5">
      <c r="A56" s="24" t="s">
        <v>127</v>
      </c>
      <c r="D56" s="838"/>
      <c r="E56" s="838"/>
      <c r="F56" s="838"/>
      <c r="G56" s="838"/>
      <c r="H56" s="838"/>
      <c r="I56" s="838"/>
      <c r="J56" s="838"/>
      <c r="K56" s="838"/>
      <c r="L56" s="838"/>
      <c r="M56" s="838"/>
      <c r="N56" s="838"/>
      <c r="O56" s="838"/>
      <c r="P56" s="838"/>
      <c r="Q56" s="838"/>
      <c r="R56" s="838"/>
      <c r="S56" s="838"/>
      <c r="T56" s="838"/>
      <c r="U56" s="838"/>
      <c r="V56" s="838"/>
      <c r="W56" s="838"/>
      <c r="X56" s="838"/>
      <c r="Y56" s="838"/>
      <c r="Z56" s="838"/>
      <c r="AA56" s="838"/>
      <c r="AB56" s="838"/>
      <c r="AC56" s="838"/>
      <c r="AD56" s="838"/>
      <c r="AE56" s="838"/>
      <c r="AF56" s="838"/>
      <c r="AG56" s="838"/>
      <c r="AH56" s="838"/>
      <c r="AI56" s="838"/>
      <c r="AJ56" s="838"/>
      <c r="AK56" s="838"/>
      <c r="AL56" s="838"/>
      <c r="AM56" s="838"/>
      <c r="AN56" s="838"/>
      <c r="AO56" s="838"/>
      <c r="AP56" s="838"/>
      <c r="AQ56" s="838"/>
      <c r="AR56" s="838"/>
    </row>
    <row r="57" spans="1:44" s="1" customFormat="1" ht="10.5">
      <c r="A57" s="13" t="s">
        <v>770</v>
      </c>
      <c r="D57" s="92">
        <f t="shared" ref="D57:S57" si="61">+D214</f>
        <v>940</v>
      </c>
      <c r="E57" s="92">
        <f t="shared" si="61"/>
        <v>1556</v>
      </c>
      <c r="F57" s="92">
        <f t="shared" si="61"/>
        <v>2062</v>
      </c>
      <c r="G57" s="92">
        <f t="shared" si="61"/>
        <v>2173</v>
      </c>
      <c r="H57" s="92">
        <f t="shared" si="61"/>
        <v>2266</v>
      </c>
      <c r="I57" s="92">
        <f t="shared" si="61"/>
        <v>2467</v>
      </c>
      <c r="J57" s="92">
        <f t="shared" si="61"/>
        <v>3255</v>
      </c>
      <c r="K57" s="92">
        <f t="shared" si="61"/>
        <v>4712</v>
      </c>
      <c r="L57" s="92">
        <f t="shared" si="61"/>
        <v>5457</v>
      </c>
      <c r="M57" s="92">
        <f t="shared" si="61"/>
        <v>4900</v>
      </c>
      <c r="N57" s="92">
        <f t="shared" si="61"/>
        <v>6100</v>
      </c>
      <c r="O57" s="92">
        <f t="shared" si="61"/>
        <v>7700</v>
      </c>
      <c r="P57" s="92">
        <f t="shared" si="61"/>
        <v>9700</v>
      </c>
      <c r="Q57" s="92">
        <f t="shared" si="61"/>
        <v>10700</v>
      </c>
      <c r="R57" s="92">
        <f t="shared" si="61"/>
        <v>9300</v>
      </c>
      <c r="S57" s="92">
        <f t="shared" si="61"/>
        <v>12600</v>
      </c>
      <c r="T57" s="92">
        <f>+T214</f>
        <v>11000</v>
      </c>
      <c r="U57" s="92">
        <f t="shared" ref="U57" si="62">+U214</f>
        <v>15200</v>
      </c>
      <c r="V57" s="1222"/>
      <c r="W57" s="1222"/>
      <c r="X57" s="1222"/>
      <c r="Y57" s="1222"/>
      <c r="Z57" s="1222"/>
      <c r="AA57" s="1222"/>
      <c r="AB57" s="1222"/>
      <c r="AC57" s="1222"/>
      <c r="AD57" s="1222"/>
      <c r="AE57" s="1222"/>
      <c r="AF57" s="1222"/>
      <c r="AG57" s="1222"/>
      <c r="AH57" s="838"/>
      <c r="AI57" s="838"/>
      <c r="AJ57" s="838"/>
      <c r="AK57" s="838"/>
      <c r="AL57" s="838"/>
      <c r="AM57" s="838"/>
      <c r="AN57" s="838"/>
      <c r="AO57" s="838"/>
      <c r="AP57" s="838"/>
      <c r="AQ57" s="838"/>
      <c r="AR57" s="838"/>
    </row>
    <row r="58" spans="1:44" s="1" customFormat="1" ht="10.5">
      <c r="A58" s="15" t="s">
        <v>771</v>
      </c>
      <c r="D58" s="1219">
        <f t="shared" ref="D58:T58" si="63">+D57/D50-1</f>
        <v>-0.49818492419389282</v>
      </c>
      <c r="E58" s="1219">
        <f t="shared" si="63"/>
        <v>-0.37978316326530615</v>
      </c>
      <c r="F58" s="1219">
        <f t="shared" si="63"/>
        <v>-0.31640365999204356</v>
      </c>
      <c r="G58" s="1219">
        <f t="shared" si="63"/>
        <v>-0.33175472046251309</v>
      </c>
      <c r="H58" s="1219">
        <f t="shared" si="63"/>
        <v>-0.37024067589350229</v>
      </c>
      <c r="I58" s="1219">
        <f t="shared" si="63"/>
        <v>0.25038013177901663</v>
      </c>
      <c r="J58" s="1219">
        <f t="shared" si="63"/>
        <v>0.63403614457831314</v>
      </c>
      <c r="K58" s="1219">
        <f t="shared" si="63"/>
        <v>0.85191007703191324</v>
      </c>
      <c r="L58" s="1219">
        <f t="shared" si="63"/>
        <v>0.69703943276526936</v>
      </c>
      <c r="M58" s="1219">
        <f t="shared" si="63"/>
        <v>0.21497644433424257</v>
      </c>
      <c r="N58" s="1219">
        <f t="shared" si="63"/>
        <v>6.3384701206331551E-2</v>
      </c>
      <c r="O58" s="1219">
        <f t="shared" si="63"/>
        <v>6.4153238066281704E-2</v>
      </c>
      <c r="P58" s="1219">
        <f t="shared" si="63"/>
        <v>0.10219757743790225</v>
      </c>
      <c r="Q58" s="1219">
        <f t="shared" si="63"/>
        <v>-2.7467233825962167E-2</v>
      </c>
      <c r="R58" s="1219">
        <f t="shared" si="63"/>
        <v>-4.3341105472500363E-2</v>
      </c>
      <c r="S58" s="1219">
        <f t="shared" si="63"/>
        <v>3.8193433563859847E-2</v>
      </c>
      <c r="T58" s="1219">
        <f t="shared" si="63"/>
        <v>-9.8974814406056155E-2</v>
      </c>
      <c r="U58" s="1219">
        <f t="shared" ref="U58" si="64">+U57/U50-1</f>
        <v>-7.555009250901068E-2</v>
      </c>
      <c r="V58" s="1219"/>
      <c r="W58" s="1219"/>
      <c r="X58" s="1219"/>
      <c r="Y58" s="1219"/>
      <c r="Z58" s="1219"/>
      <c r="AA58" s="1219"/>
      <c r="AB58" s="1219"/>
      <c r="AC58" s="1219"/>
      <c r="AD58" s="1219"/>
      <c r="AE58" s="1219"/>
      <c r="AF58" s="1219"/>
      <c r="AG58" s="1219"/>
      <c r="AH58" s="838"/>
      <c r="AI58" s="838"/>
      <c r="AJ58" s="838"/>
      <c r="AK58" s="838"/>
      <c r="AL58" s="838"/>
      <c r="AM58" s="838"/>
      <c r="AN58" s="838"/>
      <c r="AO58" s="838"/>
      <c r="AP58" s="838"/>
      <c r="AQ58" s="838"/>
      <c r="AR58" s="838"/>
    </row>
    <row r="59" spans="1:44">
      <c r="A59" s="15" t="s">
        <v>772</v>
      </c>
      <c r="D59" s="92">
        <f t="shared" ref="D59:T59" si="65">+D57-D50</f>
        <v>-933.2</v>
      </c>
      <c r="E59" s="92">
        <f t="shared" si="65"/>
        <v>-952.80000000000018</v>
      </c>
      <c r="F59" s="92">
        <f t="shared" si="65"/>
        <v>-954.40000000000009</v>
      </c>
      <c r="G59" s="92">
        <f t="shared" si="65"/>
        <v>-1078.8000000000002</v>
      </c>
      <c r="H59" s="92">
        <f t="shared" si="65"/>
        <v>-1332.1999999999998</v>
      </c>
      <c r="I59" s="92">
        <f t="shared" si="65"/>
        <v>494</v>
      </c>
      <c r="J59" s="92">
        <f t="shared" si="65"/>
        <v>1263</v>
      </c>
      <c r="K59" s="92">
        <f t="shared" si="65"/>
        <v>2167.6</v>
      </c>
      <c r="L59" s="92">
        <f t="shared" si="65"/>
        <v>2241.4</v>
      </c>
      <c r="M59" s="92">
        <f t="shared" si="65"/>
        <v>867</v>
      </c>
      <c r="N59" s="92">
        <f t="shared" si="65"/>
        <v>363.60000000000036</v>
      </c>
      <c r="O59" s="92">
        <f t="shared" si="65"/>
        <v>464.20000000000073</v>
      </c>
      <c r="P59" s="92">
        <f t="shared" si="65"/>
        <v>899.40000000000146</v>
      </c>
      <c r="Q59" s="92">
        <f t="shared" si="65"/>
        <v>-302.20000000000073</v>
      </c>
      <c r="R59" s="92">
        <f t="shared" si="65"/>
        <v>-421.33333333333394</v>
      </c>
      <c r="S59" s="92">
        <f t="shared" si="65"/>
        <v>463.53333333333285</v>
      </c>
      <c r="T59" s="92">
        <f t="shared" si="65"/>
        <v>-1208.3157894736833</v>
      </c>
      <c r="U59" s="92">
        <f t="shared" ref="U59" si="66">+U57-U50</f>
        <v>-1242.2105263157864</v>
      </c>
      <c r="V59" s="92"/>
      <c r="W59" s="92"/>
      <c r="X59" s="92"/>
      <c r="Y59" s="92"/>
      <c r="Z59" s="92"/>
      <c r="AA59" s="92"/>
      <c r="AB59" s="92"/>
      <c r="AC59" s="92"/>
      <c r="AD59" s="92"/>
      <c r="AE59" s="92"/>
      <c r="AF59" s="92"/>
      <c r="AG59" s="92"/>
    </row>
    <row r="60" spans="1:44">
      <c r="D60" s="92"/>
      <c r="E60" s="92"/>
      <c r="F60" s="92"/>
      <c r="G60" s="92"/>
      <c r="H60" s="92"/>
      <c r="I60" s="92"/>
      <c r="J60" s="92"/>
      <c r="K60" s="92"/>
      <c r="L60" s="92"/>
      <c r="M60" s="92"/>
      <c r="N60" s="92"/>
      <c r="O60" s="92"/>
      <c r="P60" s="92"/>
      <c r="Q60" s="92"/>
      <c r="R60" s="92"/>
      <c r="S60" s="92"/>
      <c r="T60" s="92"/>
      <c r="U60" s="92"/>
      <c r="V60" s="92"/>
      <c r="W60" s="92"/>
      <c r="X60" s="92"/>
      <c r="Y60" s="92"/>
    </row>
    <row r="61" spans="1:44" s="1" customFormat="1" ht="10.5">
      <c r="A61" s="1" t="s">
        <v>765</v>
      </c>
      <c r="D61" s="838">
        <f t="shared" ref="D61:AF61" si="67">+D50</f>
        <v>1873.2</v>
      </c>
      <c r="E61" s="838">
        <f t="shared" si="67"/>
        <v>2508.8000000000002</v>
      </c>
      <c r="F61" s="838">
        <f t="shared" si="67"/>
        <v>3016.4</v>
      </c>
      <c r="G61" s="838">
        <f t="shared" si="67"/>
        <v>3251.8</v>
      </c>
      <c r="H61" s="838">
        <f t="shared" si="67"/>
        <v>3598.2</v>
      </c>
      <c r="I61" s="838">
        <f t="shared" si="67"/>
        <v>1973</v>
      </c>
      <c r="J61" s="838">
        <f t="shared" si="67"/>
        <v>1992</v>
      </c>
      <c r="K61" s="838">
        <f t="shared" si="67"/>
        <v>2544.4</v>
      </c>
      <c r="L61" s="838">
        <f t="shared" si="67"/>
        <v>3215.6</v>
      </c>
      <c r="M61" s="838">
        <f t="shared" si="67"/>
        <v>4033</v>
      </c>
      <c r="N61" s="838">
        <f t="shared" si="67"/>
        <v>5736.4</v>
      </c>
      <c r="O61" s="838">
        <f t="shared" si="67"/>
        <v>7235.7999999999993</v>
      </c>
      <c r="P61" s="838">
        <f t="shared" si="67"/>
        <v>8800.5999999999985</v>
      </c>
      <c r="Q61" s="838">
        <f t="shared" si="67"/>
        <v>11002.2</v>
      </c>
      <c r="R61" s="838">
        <f t="shared" si="67"/>
        <v>9721.3333333333339</v>
      </c>
      <c r="S61" s="838">
        <f t="shared" si="67"/>
        <v>12136.466666666667</v>
      </c>
      <c r="T61" s="838">
        <f t="shared" si="67"/>
        <v>12208.315789473683</v>
      </c>
      <c r="U61" s="838">
        <f t="shared" ref="U61" si="68">+U50</f>
        <v>16442.210526315786</v>
      </c>
      <c r="V61" s="838">
        <f t="shared" si="67"/>
        <v>24078.842105263157</v>
      </c>
      <c r="W61" s="838">
        <f t="shared" si="67"/>
        <v>29603.15602074474</v>
      </c>
      <c r="X61" s="838">
        <f t="shared" si="67"/>
        <v>36291.924797674059</v>
      </c>
      <c r="Y61" s="838">
        <f t="shared" si="67"/>
        <v>41857.937904157821</v>
      </c>
      <c r="Z61" s="838">
        <f t="shared" si="67"/>
        <v>48840.843511325897</v>
      </c>
      <c r="AA61" s="838">
        <f t="shared" si="67"/>
        <v>53567.11686318506</v>
      </c>
      <c r="AB61" s="838">
        <f t="shared" si="67"/>
        <v>59245.892757637062</v>
      </c>
      <c r="AC61" s="838">
        <f t="shared" si="67"/>
        <v>65009.877906253205</v>
      </c>
      <c r="AD61" s="838">
        <f t="shared" si="67"/>
        <v>69873.574882278597</v>
      </c>
      <c r="AE61" s="838">
        <f t="shared" si="67"/>
        <v>73545.1209826376</v>
      </c>
      <c r="AF61" s="838">
        <f t="shared" si="67"/>
        <v>77776.269405461775</v>
      </c>
      <c r="AG61" s="838">
        <f t="shared" ref="AG61" si="69">+AG50</f>
        <v>84060.259319090081</v>
      </c>
    </row>
    <row r="62" spans="1:44" hidden="1" outlineLevel="1">
      <c r="A62" s="15"/>
    </row>
    <row r="63" spans="1:44" ht="10.5" hidden="1" outlineLevel="1">
      <c r="A63" s="45" t="s">
        <v>773</v>
      </c>
    </row>
    <row r="64" spans="1:44" hidden="1" outlineLevel="1">
      <c r="A64" t="s">
        <v>774</v>
      </c>
      <c r="D64" s="8">
        <f>+D170-SUM(D65:D94)</f>
        <v>9366</v>
      </c>
      <c r="E64" s="8">
        <f t="shared" ref="E64:Q64" si="70">+E170-SUM(E65:E94)</f>
        <v>9366</v>
      </c>
      <c r="F64" s="8">
        <f t="shared" si="70"/>
        <v>9366</v>
      </c>
      <c r="G64" s="8">
        <f t="shared" si="70"/>
        <v>9366</v>
      </c>
      <c r="H64" s="8">
        <f t="shared" si="70"/>
        <v>9366</v>
      </c>
      <c r="I64" s="8">
        <f t="shared" si="70"/>
        <v>9366</v>
      </c>
      <c r="J64" s="8">
        <f t="shared" si="70"/>
        <v>9366</v>
      </c>
      <c r="K64" s="8">
        <f t="shared" si="70"/>
        <v>9366</v>
      </c>
      <c r="L64" s="8">
        <f t="shared" si="70"/>
        <v>9366</v>
      </c>
      <c r="M64" s="8">
        <f>+M170-SUM(M65:M94)</f>
        <v>9366</v>
      </c>
      <c r="N64" s="8">
        <f t="shared" si="70"/>
        <v>9366</v>
      </c>
      <c r="O64" s="8">
        <f t="shared" si="70"/>
        <v>9366</v>
      </c>
      <c r="P64" s="8">
        <f t="shared" si="70"/>
        <v>9366</v>
      </c>
      <c r="Q64" s="8">
        <f t="shared" si="70"/>
        <v>9366</v>
      </c>
      <c r="R64" s="8">
        <f>+R170-SUM(R65:R94)</f>
        <v>9366</v>
      </c>
      <c r="S64" s="8">
        <f>+S170-SUM(S65:S94)</f>
        <v>9366</v>
      </c>
      <c r="T64" s="8">
        <f>+T170-SUM(T65:T94)</f>
        <v>9366</v>
      </c>
      <c r="U64" s="8">
        <f t="shared" ref="U64" si="71">+U170-SUM(U65:U94)</f>
        <v>9366</v>
      </c>
      <c r="V64" s="8">
        <f t="shared" ref="S64:AF83" si="72">+U64</f>
        <v>9366</v>
      </c>
      <c r="W64" s="8">
        <f t="shared" si="72"/>
        <v>9366</v>
      </c>
      <c r="X64" s="8">
        <f t="shared" si="72"/>
        <v>9366</v>
      </c>
      <c r="Y64" s="8">
        <f t="shared" si="72"/>
        <v>9366</v>
      </c>
      <c r="Z64" s="8">
        <f t="shared" si="72"/>
        <v>9366</v>
      </c>
      <c r="AA64" s="8">
        <f t="shared" si="72"/>
        <v>9366</v>
      </c>
      <c r="AB64" s="8">
        <f t="shared" si="72"/>
        <v>9366</v>
      </c>
      <c r="AC64" s="8">
        <f t="shared" si="72"/>
        <v>9366</v>
      </c>
      <c r="AD64" s="8">
        <f t="shared" si="72"/>
        <v>9366</v>
      </c>
      <c r="AE64" s="8">
        <f t="shared" si="72"/>
        <v>9366</v>
      </c>
      <c r="AF64" s="8">
        <f t="shared" si="72"/>
        <v>9366</v>
      </c>
      <c r="AG64" s="8">
        <f t="shared" ref="AG64:AG91" si="73">+AF64</f>
        <v>9366</v>
      </c>
    </row>
    <row r="65" spans="1:39" hidden="1" outlineLevel="1">
      <c r="A65" t="s">
        <v>249</v>
      </c>
      <c r="E65" s="8">
        <f>+E$16</f>
        <v>3178</v>
      </c>
      <c r="F65" s="8">
        <f>+E65</f>
        <v>3178</v>
      </c>
      <c r="G65" s="8">
        <f t="shared" ref="G65:T76" si="74">+F65</f>
        <v>3178</v>
      </c>
      <c r="H65" s="8">
        <f t="shared" si="74"/>
        <v>3178</v>
      </c>
      <c r="I65" s="8">
        <f t="shared" si="74"/>
        <v>3178</v>
      </c>
      <c r="J65" s="8">
        <f t="shared" si="74"/>
        <v>3178</v>
      </c>
      <c r="K65" s="8">
        <f t="shared" si="74"/>
        <v>3178</v>
      </c>
      <c r="L65" s="8">
        <f t="shared" si="74"/>
        <v>3178</v>
      </c>
      <c r="M65" s="8">
        <f t="shared" si="74"/>
        <v>3178</v>
      </c>
      <c r="N65" s="8">
        <f t="shared" si="74"/>
        <v>3178</v>
      </c>
      <c r="O65" s="8">
        <f t="shared" si="74"/>
        <v>3178</v>
      </c>
      <c r="P65" s="8">
        <f t="shared" si="74"/>
        <v>3178</v>
      </c>
      <c r="Q65" s="8">
        <f t="shared" si="74"/>
        <v>3178</v>
      </c>
      <c r="R65" s="8">
        <f t="shared" si="74"/>
        <v>3178</v>
      </c>
      <c r="S65" s="8">
        <f t="shared" si="74"/>
        <v>3178</v>
      </c>
      <c r="T65" s="8">
        <f t="shared" si="74"/>
        <v>3178</v>
      </c>
      <c r="U65" s="8">
        <f t="shared" ref="U65:U79" si="75">+T65</f>
        <v>3178</v>
      </c>
      <c r="V65" s="8">
        <f t="shared" si="72"/>
        <v>3178</v>
      </c>
      <c r="W65" s="8">
        <f t="shared" si="72"/>
        <v>3178</v>
      </c>
      <c r="X65" s="8">
        <f t="shared" si="72"/>
        <v>3178</v>
      </c>
      <c r="Y65" s="8">
        <f t="shared" si="72"/>
        <v>3178</v>
      </c>
      <c r="Z65" s="8">
        <f t="shared" si="72"/>
        <v>3178</v>
      </c>
      <c r="AA65" s="8">
        <f t="shared" si="72"/>
        <v>3178</v>
      </c>
      <c r="AB65" s="8">
        <f t="shared" si="72"/>
        <v>3178</v>
      </c>
      <c r="AC65" s="8">
        <f t="shared" si="72"/>
        <v>3178</v>
      </c>
      <c r="AD65" s="8">
        <f t="shared" si="72"/>
        <v>3178</v>
      </c>
      <c r="AE65" s="8">
        <f t="shared" si="72"/>
        <v>3178</v>
      </c>
      <c r="AF65" s="8">
        <f t="shared" si="72"/>
        <v>3178</v>
      </c>
      <c r="AG65" s="8">
        <f t="shared" si="73"/>
        <v>3178</v>
      </c>
    </row>
    <row r="66" spans="1:39" hidden="1" outlineLevel="1">
      <c r="A66" t="s">
        <v>250</v>
      </c>
      <c r="F66" s="8">
        <f>+F$16</f>
        <v>2538</v>
      </c>
      <c r="G66" s="8">
        <f>+F66</f>
        <v>2538</v>
      </c>
      <c r="H66" s="8">
        <f t="shared" si="74"/>
        <v>2538</v>
      </c>
      <c r="I66" s="8">
        <f t="shared" si="74"/>
        <v>2538</v>
      </c>
      <c r="J66" s="8">
        <f t="shared" si="74"/>
        <v>2538</v>
      </c>
      <c r="K66" s="8">
        <f t="shared" si="74"/>
        <v>2538</v>
      </c>
      <c r="L66" s="8">
        <f t="shared" si="74"/>
        <v>2538</v>
      </c>
      <c r="M66" s="8">
        <f t="shared" si="74"/>
        <v>2538</v>
      </c>
      <c r="N66" s="8">
        <f t="shared" si="74"/>
        <v>2538</v>
      </c>
      <c r="O66" s="8">
        <f t="shared" si="74"/>
        <v>2538</v>
      </c>
      <c r="P66" s="8">
        <f t="shared" si="74"/>
        <v>2538</v>
      </c>
      <c r="Q66" s="8">
        <f t="shared" si="74"/>
        <v>2538</v>
      </c>
      <c r="R66" s="8">
        <f t="shared" si="74"/>
        <v>2538</v>
      </c>
      <c r="S66" s="8">
        <f t="shared" si="74"/>
        <v>2538</v>
      </c>
      <c r="T66" s="8">
        <f t="shared" si="74"/>
        <v>2538</v>
      </c>
      <c r="U66" s="8">
        <f t="shared" si="75"/>
        <v>2538</v>
      </c>
      <c r="V66" s="8">
        <f t="shared" si="72"/>
        <v>2538</v>
      </c>
      <c r="W66" s="8">
        <f t="shared" si="72"/>
        <v>2538</v>
      </c>
      <c r="X66" s="8">
        <f t="shared" si="72"/>
        <v>2538</v>
      </c>
      <c r="Y66" s="8">
        <f t="shared" si="72"/>
        <v>2538</v>
      </c>
      <c r="Z66" s="8">
        <f t="shared" si="72"/>
        <v>2538</v>
      </c>
      <c r="AA66" s="8">
        <f t="shared" si="72"/>
        <v>2538</v>
      </c>
      <c r="AB66" s="8">
        <f t="shared" si="72"/>
        <v>2538</v>
      </c>
      <c r="AC66" s="8">
        <f t="shared" si="72"/>
        <v>2538</v>
      </c>
      <c r="AD66" s="8">
        <f t="shared" si="72"/>
        <v>2538</v>
      </c>
      <c r="AE66" s="8">
        <f t="shared" si="72"/>
        <v>2538</v>
      </c>
      <c r="AF66" s="8">
        <f t="shared" si="72"/>
        <v>2538</v>
      </c>
      <c r="AG66" s="8">
        <f t="shared" si="73"/>
        <v>2538</v>
      </c>
    </row>
    <row r="67" spans="1:39" hidden="1" outlineLevel="1">
      <c r="A67" t="s">
        <v>251</v>
      </c>
      <c r="G67" s="8">
        <f>+G$16</f>
        <v>1177</v>
      </c>
      <c r="H67" s="8">
        <f>+G67</f>
        <v>1177</v>
      </c>
      <c r="I67" s="8">
        <f t="shared" si="74"/>
        <v>1177</v>
      </c>
      <c r="J67" s="8">
        <f t="shared" si="74"/>
        <v>1177</v>
      </c>
      <c r="K67" s="8">
        <f t="shared" si="74"/>
        <v>1177</v>
      </c>
      <c r="L67" s="8">
        <f t="shared" si="74"/>
        <v>1177</v>
      </c>
      <c r="M67" s="8">
        <f t="shared" si="74"/>
        <v>1177</v>
      </c>
      <c r="N67" s="8">
        <f t="shared" si="74"/>
        <v>1177</v>
      </c>
      <c r="O67" s="8">
        <f t="shared" si="74"/>
        <v>1177</v>
      </c>
      <c r="P67" s="8">
        <f t="shared" si="74"/>
        <v>1177</v>
      </c>
      <c r="Q67" s="8">
        <f t="shared" si="74"/>
        <v>1177</v>
      </c>
      <c r="R67" s="8">
        <f t="shared" si="74"/>
        <v>1177</v>
      </c>
      <c r="S67" s="8">
        <f t="shared" si="74"/>
        <v>1177</v>
      </c>
      <c r="T67" s="8">
        <f t="shared" si="74"/>
        <v>1177</v>
      </c>
      <c r="U67" s="8">
        <f t="shared" si="75"/>
        <v>1177</v>
      </c>
      <c r="V67" s="8">
        <f t="shared" si="72"/>
        <v>1177</v>
      </c>
      <c r="W67" s="8">
        <f t="shared" si="72"/>
        <v>1177</v>
      </c>
      <c r="X67" s="8">
        <f t="shared" si="72"/>
        <v>1177</v>
      </c>
      <c r="Y67" s="8">
        <f t="shared" si="72"/>
        <v>1177</v>
      </c>
      <c r="Z67" s="8">
        <f t="shared" si="72"/>
        <v>1177</v>
      </c>
      <c r="AA67" s="8">
        <f t="shared" si="72"/>
        <v>1177</v>
      </c>
      <c r="AB67" s="8">
        <f t="shared" si="72"/>
        <v>1177</v>
      </c>
      <c r="AC67" s="8">
        <f t="shared" si="72"/>
        <v>1177</v>
      </c>
      <c r="AD67" s="8">
        <f t="shared" si="72"/>
        <v>1177</v>
      </c>
      <c r="AE67" s="8">
        <f t="shared" si="72"/>
        <v>1177</v>
      </c>
      <c r="AF67" s="8">
        <f t="shared" si="72"/>
        <v>1177</v>
      </c>
      <c r="AG67" s="8">
        <f t="shared" si="73"/>
        <v>1177</v>
      </c>
    </row>
    <row r="68" spans="1:39" hidden="1" outlineLevel="1">
      <c r="A68" t="s">
        <v>252</v>
      </c>
      <c r="H68" s="8">
        <f>+H$16</f>
        <v>1732</v>
      </c>
      <c r="I68" s="8">
        <f>+H68</f>
        <v>1732</v>
      </c>
      <c r="J68" s="8">
        <f t="shared" si="74"/>
        <v>1732</v>
      </c>
      <c r="K68" s="8">
        <f t="shared" si="74"/>
        <v>1732</v>
      </c>
      <c r="L68" s="8">
        <f t="shared" si="74"/>
        <v>1732</v>
      </c>
      <c r="M68" s="8">
        <f t="shared" si="74"/>
        <v>1732</v>
      </c>
      <c r="N68" s="8">
        <f t="shared" si="74"/>
        <v>1732</v>
      </c>
      <c r="O68" s="8">
        <f t="shared" si="74"/>
        <v>1732</v>
      </c>
      <c r="P68" s="8">
        <f t="shared" si="74"/>
        <v>1732</v>
      </c>
      <c r="Q68" s="8">
        <f t="shared" si="74"/>
        <v>1732</v>
      </c>
      <c r="R68" s="8">
        <f t="shared" si="74"/>
        <v>1732</v>
      </c>
      <c r="S68" s="8">
        <f t="shared" si="74"/>
        <v>1732</v>
      </c>
      <c r="T68" s="8">
        <f t="shared" si="74"/>
        <v>1732</v>
      </c>
      <c r="U68" s="8">
        <f t="shared" si="75"/>
        <v>1732</v>
      </c>
      <c r="V68" s="8">
        <f t="shared" si="72"/>
        <v>1732</v>
      </c>
      <c r="W68" s="8">
        <f t="shared" si="72"/>
        <v>1732</v>
      </c>
      <c r="X68" s="8">
        <f t="shared" si="72"/>
        <v>1732</v>
      </c>
      <c r="Y68" s="8">
        <f t="shared" si="72"/>
        <v>1732</v>
      </c>
      <c r="Z68" s="8">
        <f t="shared" si="72"/>
        <v>1732</v>
      </c>
      <c r="AA68" s="8">
        <f t="shared" si="72"/>
        <v>1732</v>
      </c>
      <c r="AB68" s="8">
        <f t="shared" si="72"/>
        <v>1732</v>
      </c>
      <c r="AC68" s="8">
        <f t="shared" si="72"/>
        <v>1732</v>
      </c>
      <c r="AD68" s="8">
        <f t="shared" si="72"/>
        <v>1732</v>
      </c>
      <c r="AE68" s="8">
        <f t="shared" si="72"/>
        <v>1732</v>
      </c>
      <c r="AF68" s="8">
        <f t="shared" si="72"/>
        <v>1732</v>
      </c>
      <c r="AG68" s="8">
        <f t="shared" si="73"/>
        <v>1732</v>
      </c>
    </row>
    <row r="69" spans="1:39" hidden="1" outlineLevel="1">
      <c r="A69" t="s">
        <v>253</v>
      </c>
      <c r="I69" s="8">
        <f>+I$16</f>
        <v>1240</v>
      </c>
      <c r="J69" s="8">
        <f>+I69</f>
        <v>1240</v>
      </c>
      <c r="K69" s="8">
        <f t="shared" si="74"/>
        <v>1240</v>
      </c>
      <c r="L69" s="8">
        <f t="shared" si="74"/>
        <v>1240</v>
      </c>
      <c r="M69" s="8">
        <f t="shared" si="74"/>
        <v>1240</v>
      </c>
      <c r="N69" s="8">
        <f t="shared" si="74"/>
        <v>1240</v>
      </c>
      <c r="O69" s="8">
        <f t="shared" si="74"/>
        <v>1240</v>
      </c>
      <c r="P69" s="8">
        <f t="shared" si="74"/>
        <v>1240</v>
      </c>
      <c r="Q69" s="8">
        <f t="shared" si="74"/>
        <v>1240</v>
      </c>
      <c r="R69" s="8">
        <f t="shared" si="74"/>
        <v>1240</v>
      </c>
      <c r="S69" s="8">
        <f t="shared" si="74"/>
        <v>1240</v>
      </c>
      <c r="T69" s="8">
        <f t="shared" si="74"/>
        <v>1240</v>
      </c>
      <c r="U69" s="8">
        <f t="shared" si="75"/>
        <v>1240</v>
      </c>
      <c r="V69" s="8">
        <f t="shared" si="72"/>
        <v>1240</v>
      </c>
      <c r="W69" s="8">
        <f t="shared" si="72"/>
        <v>1240</v>
      </c>
      <c r="X69" s="8">
        <f t="shared" si="72"/>
        <v>1240</v>
      </c>
      <c r="Y69" s="8">
        <f t="shared" si="72"/>
        <v>1240</v>
      </c>
      <c r="Z69" s="8">
        <f t="shared" si="72"/>
        <v>1240</v>
      </c>
      <c r="AA69" s="8">
        <f t="shared" si="72"/>
        <v>1240</v>
      </c>
      <c r="AB69" s="8">
        <f t="shared" si="72"/>
        <v>1240</v>
      </c>
      <c r="AC69" s="8">
        <f t="shared" si="72"/>
        <v>1240</v>
      </c>
      <c r="AD69" s="8">
        <f t="shared" si="72"/>
        <v>1240</v>
      </c>
      <c r="AE69" s="8">
        <f t="shared" si="72"/>
        <v>1240</v>
      </c>
      <c r="AF69" s="8">
        <f t="shared" si="72"/>
        <v>1240</v>
      </c>
      <c r="AG69" s="8">
        <f t="shared" si="73"/>
        <v>1240</v>
      </c>
    </row>
    <row r="70" spans="1:39" hidden="1" outlineLevel="1">
      <c r="A70" t="s">
        <v>254</v>
      </c>
      <c r="J70" s="8">
        <f>+J$16</f>
        <v>3273</v>
      </c>
      <c r="K70" s="8">
        <f>+J70</f>
        <v>3273</v>
      </c>
      <c r="L70" s="8">
        <f t="shared" si="74"/>
        <v>3273</v>
      </c>
      <c r="M70" s="8">
        <f t="shared" si="74"/>
        <v>3273</v>
      </c>
      <c r="N70" s="8">
        <f t="shared" si="74"/>
        <v>3273</v>
      </c>
      <c r="O70" s="8">
        <f t="shared" si="74"/>
        <v>3273</v>
      </c>
      <c r="P70" s="8">
        <f t="shared" si="74"/>
        <v>3273</v>
      </c>
      <c r="Q70" s="8">
        <f t="shared" si="74"/>
        <v>3273</v>
      </c>
      <c r="R70" s="8">
        <f t="shared" si="74"/>
        <v>3273</v>
      </c>
      <c r="S70" s="8">
        <f t="shared" si="74"/>
        <v>3273</v>
      </c>
      <c r="T70" s="8">
        <f t="shared" si="74"/>
        <v>3273</v>
      </c>
      <c r="U70" s="8">
        <f t="shared" si="75"/>
        <v>3273</v>
      </c>
      <c r="V70" s="8">
        <f t="shared" si="72"/>
        <v>3273</v>
      </c>
      <c r="W70" s="8">
        <f t="shared" si="72"/>
        <v>3273</v>
      </c>
      <c r="X70" s="8">
        <f t="shared" si="72"/>
        <v>3273</v>
      </c>
      <c r="Y70" s="8">
        <f t="shared" si="72"/>
        <v>3273</v>
      </c>
      <c r="Z70" s="8">
        <f t="shared" si="72"/>
        <v>3273</v>
      </c>
      <c r="AA70" s="8">
        <f t="shared" si="72"/>
        <v>3273</v>
      </c>
      <c r="AB70" s="8">
        <f t="shared" si="72"/>
        <v>3273</v>
      </c>
      <c r="AC70" s="8">
        <f t="shared" si="72"/>
        <v>3273</v>
      </c>
      <c r="AD70" s="8">
        <f t="shared" si="72"/>
        <v>3273</v>
      </c>
      <c r="AE70" s="8">
        <f t="shared" si="72"/>
        <v>3273</v>
      </c>
      <c r="AF70" s="8">
        <f t="shared" si="72"/>
        <v>3273</v>
      </c>
      <c r="AG70" s="8">
        <f t="shared" si="73"/>
        <v>3273</v>
      </c>
    </row>
    <row r="71" spans="1:39" hidden="1" outlineLevel="1">
      <c r="A71" t="s">
        <v>255</v>
      </c>
      <c r="K71" s="8">
        <f>+K$16</f>
        <v>5300</v>
      </c>
      <c r="L71" s="8">
        <f>+K71</f>
        <v>5300</v>
      </c>
      <c r="M71" s="8">
        <f t="shared" si="74"/>
        <v>5300</v>
      </c>
      <c r="N71" s="8">
        <f t="shared" si="74"/>
        <v>5300</v>
      </c>
      <c r="O71" s="8">
        <f t="shared" si="74"/>
        <v>5300</v>
      </c>
      <c r="P71" s="8">
        <f t="shared" si="74"/>
        <v>5300</v>
      </c>
      <c r="Q71" s="8">
        <f t="shared" si="74"/>
        <v>5300</v>
      </c>
      <c r="R71" s="8">
        <f t="shared" si="74"/>
        <v>5300</v>
      </c>
      <c r="S71" s="8">
        <f t="shared" si="74"/>
        <v>5300</v>
      </c>
      <c r="T71" s="8">
        <f t="shared" si="74"/>
        <v>5300</v>
      </c>
      <c r="U71" s="8">
        <f t="shared" si="75"/>
        <v>5300</v>
      </c>
      <c r="V71" s="8">
        <f t="shared" si="72"/>
        <v>5300</v>
      </c>
      <c r="W71" s="8">
        <f t="shared" si="72"/>
        <v>5300</v>
      </c>
      <c r="X71" s="8">
        <f t="shared" si="72"/>
        <v>5300</v>
      </c>
      <c r="Y71" s="8">
        <f t="shared" si="72"/>
        <v>5300</v>
      </c>
      <c r="Z71" s="8">
        <f t="shared" si="72"/>
        <v>5300</v>
      </c>
      <c r="AA71" s="8">
        <f t="shared" si="72"/>
        <v>5300</v>
      </c>
      <c r="AB71" s="8">
        <f t="shared" si="72"/>
        <v>5300</v>
      </c>
      <c r="AC71" s="8">
        <f t="shared" si="72"/>
        <v>5300</v>
      </c>
      <c r="AD71" s="8">
        <f t="shared" si="72"/>
        <v>5300</v>
      </c>
      <c r="AE71" s="8">
        <f t="shared" si="72"/>
        <v>5300</v>
      </c>
      <c r="AF71" s="8">
        <f t="shared" si="72"/>
        <v>5300</v>
      </c>
      <c r="AG71" s="8">
        <f t="shared" si="73"/>
        <v>5300</v>
      </c>
    </row>
    <row r="72" spans="1:39" hidden="1" outlineLevel="1">
      <c r="A72" t="s">
        <v>256</v>
      </c>
      <c r="L72" s="8">
        <f>+L$16</f>
        <v>4533</v>
      </c>
      <c r="M72" s="8">
        <f>+L72</f>
        <v>4533</v>
      </c>
      <c r="N72" s="8">
        <f t="shared" si="74"/>
        <v>4533</v>
      </c>
      <c r="O72" s="8">
        <f t="shared" si="74"/>
        <v>4533</v>
      </c>
      <c r="P72" s="8">
        <f t="shared" si="74"/>
        <v>4533</v>
      </c>
      <c r="Q72" s="8">
        <f t="shared" si="74"/>
        <v>4533</v>
      </c>
      <c r="R72" s="8">
        <f t="shared" si="74"/>
        <v>4533</v>
      </c>
      <c r="S72" s="8">
        <f t="shared" si="74"/>
        <v>4533</v>
      </c>
      <c r="T72" s="8">
        <f t="shared" si="74"/>
        <v>4533</v>
      </c>
      <c r="U72" s="8">
        <f t="shared" si="75"/>
        <v>4533</v>
      </c>
      <c r="V72" s="8">
        <f t="shared" si="72"/>
        <v>4533</v>
      </c>
      <c r="W72" s="8">
        <f t="shared" si="72"/>
        <v>4533</v>
      </c>
      <c r="X72" s="8">
        <f t="shared" si="72"/>
        <v>4533</v>
      </c>
      <c r="Y72" s="8">
        <f t="shared" si="72"/>
        <v>4533</v>
      </c>
      <c r="Z72" s="8">
        <f t="shared" si="72"/>
        <v>4533</v>
      </c>
      <c r="AA72" s="8">
        <f t="shared" si="72"/>
        <v>4533</v>
      </c>
      <c r="AB72" s="8">
        <f t="shared" si="72"/>
        <v>4533</v>
      </c>
      <c r="AC72" s="8">
        <f t="shared" si="72"/>
        <v>4533</v>
      </c>
      <c r="AD72" s="8">
        <f t="shared" si="72"/>
        <v>4533</v>
      </c>
      <c r="AE72" s="8">
        <f t="shared" si="72"/>
        <v>4533</v>
      </c>
      <c r="AF72" s="8">
        <f t="shared" si="72"/>
        <v>4533</v>
      </c>
      <c r="AG72" s="8">
        <f t="shared" si="73"/>
        <v>4533</v>
      </c>
    </row>
    <row r="73" spans="1:39" hidden="1" outlineLevel="1">
      <c r="A73" t="s">
        <v>257</v>
      </c>
      <c r="M73" s="8">
        <f>+M$16</f>
        <v>5819</v>
      </c>
      <c r="N73" s="8">
        <f>+M73</f>
        <v>5819</v>
      </c>
      <c r="O73" s="8">
        <f t="shared" si="74"/>
        <v>5819</v>
      </c>
      <c r="P73" s="8">
        <f t="shared" si="74"/>
        <v>5819</v>
      </c>
      <c r="Q73" s="8">
        <f t="shared" si="74"/>
        <v>5819</v>
      </c>
      <c r="R73" s="8">
        <f t="shared" si="74"/>
        <v>5819</v>
      </c>
      <c r="S73" s="8">
        <f t="shared" si="74"/>
        <v>5819</v>
      </c>
      <c r="T73" s="8">
        <f t="shared" si="74"/>
        <v>5819</v>
      </c>
      <c r="U73" s="8">
        <f t="shared" si="75"/>
        <v>5819</v>
      </c>
      <c r="V73" s="8">
        <f t="shared" si="72"/>
        <v>5819</v>
      </c>
      <c r="W73" s="8">
        <f t="shared" si="72"/>
        <v>5819</v>
      </c>
      <c r="X73" s="8">
        <f t="shared" si="72"/>
        <v>5819</v>
      </c>
      <c r="Y73" s="8">
        <f t="shared" si="72"/>
        <v>5819</v>
      </c>
      <c r="Z73" s="8">
        <f t="shared" si="72"/>
        <v>5819</v>
      </c>
      <c r="AA73" s="8">
        <f t="shared" si="72"/>
        <v>5819</v>
      </c>
      <c r="AB73" s="8">
        <f t="shared" si="72"/>
        <v>5819</v>
      </c>
      <c r="AC73" s="8">
        <f t="shared" si="72"/>
        <v>5819</v>
      </c>
      <c r="AD73" s="8">
        <f t="shared" si="72"/>
        <v>5819</v>
      </c>
      <c r="AE73" s="8">
        <f t="shared" si="72"/>
        <v>5819</v>
      </c>
      <c r="AF73" s="8">
        <f t="shared" si="72"/>
        <v>5819</v>
      </c>
      <c r="AG73" s="8">
        <f t="shared" si="73"/>
        <v>5819</v>
      </c>
    </row>
    <row r="74" spans="1:39" hidden="1" outlineLevel="1">
      <c r="A74" t="s">
        <v>258</v>
      </c>
      <c r="N74" s="8">
        <f>+N$16</f>
        <v>9757</v>
      </c>
      <c r="O74" s="8">
        <f>+N74</f>
        <v>9757</v>
      </c>
      <c r="P74" s="8">
        <f t="shared" si="74"/>
        <v>9757</v>
      </c>
      <c r="Q74" s="8">
        <f t="shared" si="74"/>
        <v>9757</v>
      </c>
      <c r="R74" s="8">
        <f t="shared" si="74"/>
        <v>9757</v>
      </c>
      <c r="S74" s="8">
        <f t="shared" si="74"/>
        <v>9757</v>
      </c>
      <c r="T74" s="8">
        <f t="shared" si="74"/>
        <v>9757</v>
      </c>
      <c r="U74" s="8">
        <f t="shared" si="75"/>
        <v>9757</v>
      </c>
      <c r="V74" s="8">
        <f t="shared" si="72"/>
        <v>9757</v>
      </c>
      <c r="W74" s="8">
        <f t="shared" si="72"/>
        <v>9757</v>
      </c>
      <c r="X74" s="8">
        <f t="shared" si="72"/>
        <v>9757</v>
      </c>
      <c r="Y74" s="8">
        <f t="shared" si="72"/>
        <v>9757</v>
      </c>
      <c r="Z74" s="8">
        <f t="shared" si="72"/>
        <v>9757</v>
      </c>
      <c r="AA74" s="8">
        <f t="shared" si="72"/>
        <v>9757</v>
      </c>
      <c r="AB74" s="8">
        <f t="shared" si="72"/>
        <v>9757</v>
      </c>
      <c r="AC74" s="8">
        <f t="shared" si="72"/>
        <v>9757</v>
      </c>
      <c r="AD74" s="8">
        <f t="shared" si="72"/>
        <v>9757</v>
      </c>
      <c r="AE74" s="8">
        <f t="shared" si="72"/>
        <v>9757</v>
      </c>
      <c r="AF74" s="8">
        <f t="shared" si="72"/>
        <v>9757</v>
      </c>
      <c r="AG74" s="8">
        <f t="shared" si="73"/>
        <v>9757</v>
      </c>
    </row>
    <row r="75" spans="1:39" hidden="1" outlineLevel="1">
      <c r="A75" t="s">
        <v>259</v>
      </c>
      <c r="O75" s="8">
        <f>+O$16</f>
        <v>10770</v>
      </c>
      <c r="P75" s="8">
        <f>+O75</f>
        <v>10770</v>
      </c>
      <c r="Q75" s="8">
        <f t="shared" si="74"/>
        <v>10770</v>
      </c>
      <c r="R75" s="8">
        <f t="shared" si="74"/>
        <v>10770</v>
      </c>
      <c r="S75" s="8">
        <f t="shared" si="74"/>
        <v>10770</v>
      </c>
      <c r="T75" s="8">
        <f t="shared" si="74"/>
        <v>10770</v>
      </c>
      <c r="U75" s="8">
        <f t="shared" si="75"/>
        <v>10770</v>
      </c>
      <c r="V75" s="8">
        <f t="shared" si="72"/>
        <v>10770</v>
      </c>
      <c r="W75" s="8">
        <f t="shared" si="72"/>
        <v>10770</v>
      </c>
      <c r="X75" s="8">
        <f t="shared" si="72"/>
        <v>10770</v>
      </c>
      <c r="Y75" s="8">
        <f t="shared" si="72"/>
        <v>10770</v>
      </c>
      <c r="Z75" s="8">
        <f t="shared" si="72"/>
        <v>10770</v>
      </c>
      <c r="AA75" s="8">
        <f t="shared" si="72"/>
        <v>10770</v>
      </c>
      <c r="AB75" s="8">
        <f t="shared" si="72"/>
        <v>10770</v>
      </c>
      <c r="AC75" s="8">
        <f t="shared" si="72"/>
        <v>10770</v>
      </c>
      <c r="AD75" s="8">
        <f t="shared" si="72"/>
        <v>10770</v>
      </c>
      <c r="AE75" s="8">
        <f t="shared" si="72"/>
        <v>10770</v>
      </c>
      <c r="AF75" s="8">
        <f t="shared" si="72"/>
        <v>10770</v>
      </c>
      <c r="AG75" s="8">
        <f t="shared" si="73"/>
        <v>10770</v>
      </c>
      <c r="AH75" s="8"/>
    </row>
    <row r="76" spans="1:39" hidden="1" outlineLevel="1">
      <c r="A76" t="s">
        <v>260</v>
      </c>
      <c r="P76" s="8">
        <f>+P$16</f>
        <v>13124</v>
      </c>
      <c r="Q76" s="8">
        <f>+P76</f>
        <v>13124</v>
      </c>
      <c r="R76" s="8">
        <f t="shared" si="74"/>
        <v>13124</v>
      </c>
      <c r="S76" s="8">
        <f t="shared" si="74"/>
        <v>13124</v>
      </c>
      <c r="T76" s="8">
        <f t="shared" si="74"/>
        <v>13124</v>
      </c>
      <c r="U76" s="8">
        <f t="shared" si="75"/>
        <v>13124</v>
      </c>
      <c r="V76" s="8">
        <f t="shared" si="72"/>
        <v>13124</v>
      </c>
      <c r="W76" s="8">
        <f t="shared" si="72"/>
        <v>13124</v>
      </c>
      <c r="X76" s="8">
        <f t="shared" si="72"/>
        <v>13124</v>
      </c>
      <c r="Y76" s="8">
        <f t="shared" si="72"/>
        <v>13124</v>
      </c>
      <c r="Z76" s="8">
        <f t="shared" si="72"/>
        <v>13124</v>
      </c>
      <c r="AA76" s="8">
        <f t="shared" si="72"/>
        <v>13124</v>
      </c>
      <c r="AB76" s="8">
        <f t="shared" si="72"/>
        <v>13124</v>
      </c>
      <c r="AC76" s="8">
        <f t="shared" si="72"/>
        <v>13124</v>
      </c>
      <c r="AD76" s="8">
        <f t="shared" si="72"/>
        <v>13124</v>
      </c>
      <c r="AE76" s="8">
        <f t="shared" si="72"/>
        <v>13124</v>
      </c>
      <c r="AF76" s="8">
        <f t="shared" si="72"/>
        <v>13124</v>
      </c>
      <c r="AG76" s="8">
        <f t="shared" si="73"/>
        <v>13124</v>
      </c>
      <c r="AH76" s="8"/>
      <c r="AI76" s="8"/>
    </row>
    <row r="77" spans="1:39" hidden="1" outlineLevel="1">
      <c r="A77" t="s">
        <v>261</v>
      </c>
      <c r="Q77" s="8">
        <f>+Q$16</f>
        <v>15541</v>
      </c>
      <c r="R77" s="8">
        <f>+Q77</f>
        <v>15541</v>
      </c>
      <c r="S77" s="8">
        <f t="shared" si="72"/>
        <v>15541</v>
      </c>
      <c r="T77" s="8">
        <f t="shared" si="72"/>
        <v>15541</v>
      </c>
      <c r="U77" s="8">
        <f t="shared" si="75"/>
        <v>15541</v>
      </c>
      <c r="V77" s="8">
        <f t="shared" si="72"/>
        <v>15541</v>
      </c>
      <c r="W77" s="8">
        <f t="shared" si="72"/>
        <v>15541</v>
      </c>
      <c r="X77" s="8">
        <f t="shared" si="72"/>
        <v>15541</v>
      </c>
      <c r="Y77" s="8">
        <f t="shared" si="72"/>
        <v>15541</v>
      </c>
      <c r="Z77" s="8">
        <f t="shared" si="72"/>
        <v>15541</v>
      </c>
      <c r="AA77" s="8">
        <f t="shared" si="72"/>
        <v>15541</v>
      </c>
      <c r="AB77" s="8">
        <f t="shared" si="72"/>
        <v>15541</v>
      </c>
      <c r="AC77" s="8">
        <f t="shared" si="72"/>
        <v>15541</v>
      </c>
      <c r="AD77" s="8">
        <f t="shared" si="72"/>
        <v>15541</v>
      </c>
      <c r="AE77" s="8">
        <f t="shared" si="72"/>
        <v>15541</v>
      </c>
      <c r="AF77" s="8">
        <f t="shared" si="72"/>
        <v>15541</v>
      </c>
      <c r="AG77" s="8">
        <f t="shared" si="73"/>
        <v>15541</v>
      </c>
      <c r="AH77" s="8"/>
      <c r="AI77" s="8"/>
      <c r="AJ77" s="8"/>
    </row>
    <row r="78" spans="1:39" hidden="1" outlineLevel="1">
      <c r="A78" t="s">
        <v>262</v>
      </c>
      <c r="R78" s="8">
        <f>+R$16</f>
        <v>23718</v>
      </c>
      <c r="S78" s="8">
        <f>+R78</f>
        <v>23718</v>
      </c>
      <c r="T78" s="8">
        <f t="shared" si="72"/>
        <v>23718</v>
      </c>
      <c r="U78" s="8">
        <f t="shared" si="75"/>
        <v>23718</v>
      </c>
      <c r="V78" s="8">
        <f t="shared" si="72"/>
        <v>23718</v>
      </c>
      <c r="W78" s="8">
        <f t="shared" si="72"/>
        <v>23718</v>
      </c>
      <c r="X78" s="8">
        <f t="shared" si="72"/>
        <v>23718</v>
      </c>
      <c r="Y78" s="8">
        <f t="shared" si="72"/>
        <v>23718</v>
      </c>
      <c r="Z78" s="8">
        <f t="shared" si="72"/>
        <v>23718</v>
      </c>
      <c r="AA78" s="8">
        <f t="shared" si="72"/>
        <v>23718</v>
      </c>
      <c r="AB78" s="8">
        <f t="shared" si="72"/>
        <v>23718</v>
      </c>
      <c r="AC78" s="8">
        <f t="shared" si="72"/>
        <v>23718</v>
      </c>
      <c r="AD78" s="8">
        <f t="shared" si="72"/>
        <v>23718</v>
      </c>
      <c r="AE78" s="8">
        <f t="shared" si="72"/>
        <v>23718</v>
      </c>
      <c r="AF78" s="8">
        <f t="shared" si="72"/>
        <v>23718</v>
      </c>
      <c r="AG78" s="8">
        <f t="shared" si="73"/>
        <v>23718</v>
      </c>
      <c r="AH78" s="8"/>
      <c r="AI78" s="8"/>
      <c r="AJ78" s="8"/>
      <c r="AK78" s="8"/>
    </row>
    <row r="79" spans="1:39" hidden="1" outlineLevel="1">
      <c r="A79" t="s">
        <v>109</v>
      </c>
      <c r="S79" s="8">
        <f>+S$16</f>
        <v>22992</v>
      </c>
      <c r="T79" s="8">
        <f>+S79</f>
        <v>22992</v>
      </c>
      <c r="U79" s="8">
        <f t="shared" si="75"/>
        <v>22992</v>
      </c>
      <c r="V79" s="8">
        <f t="shared" si="72"/>
        <v>22992</v>
      </c>
      <c r="W79" s="8">
        <f t="shared" si="72"/>
        <v>22992</v>
      </c>
      <c r="X79" s="8">
        <f t="shared" si="72"/>
        <v>22992</v>
      </c>
      <c r="Y79" s="8">
        <f t="shared" si="72"/>
        <v>22992</v>
      </c>
      <c r="Z79" s="8">
        <f t="shared" si="72"/>
        <v>22992</v>
      </c>
      <c r="AA79" s="8">
        <f t="shared" si="72"/>
        <v>22992</v>
      </c>
      <c r="AB79" s="8">
        <f t="shared" si="72"/>
        <v>22992</v>
      </c>
      <c r="AC79" s="8">
        <f t="shared" si="72"/>
        <v>22992</v>
      </c>
      <c r="AD79" s="8">
        <f t="shared" si="72"/>
        <v>22992</v>
      </c>
      <c r="AE79" s="8">
        <f t="shared" si="72"/>
        <v>22992</v>
      </c>
      <c r="AF79" s="8">
        <f t="shared" si="72"/>
        <v>22992</v>
      </c>
      <c r="AG79" s="8">
        <f t="shared" si="73"/>
        <v>22992</v>
      </c>
      <c r="AH79" s="8"/>
      <c r="AI79" s="8"/>
      <c r="AJ79" s="8"/>
      <c r="AK79" s="8"/>
      <c r="AL79" s="8"/>
    </row>
    <row r="80" spans="1:39" hidden="1" outlineLevel="1">
      <c r="A80" t="s">
        <v>191</v>
      </c>
      <c r="T80" s="8">
        <f>+T$16</f>
        <v>29834</v>
      </c>
      <c r="U80" s="8">
        <f t="shared" ref="U80" si="76">+T80</f>
        <v>29834</v>
      </c>
      <c r="V80" s="8">
        <f t="shared" si="72"/>
        <v>29834</v>
      </c>
      <c r="W80" s="8">
        <f t="shared" si="72"/>
        <v>29834</v>
      </c>
      <c r="X80" s="8">
        <f t="shared" si="72"/>
        <v>29834</v>
      </c>
      <c r="Y80" s="8">
        <f t="shared" si="72"/>
        <v>29834</v>
      </c>
      <c r="Z80" s="8">
        <f t="shared" si="72"/>
        <v>29834</v>
      </c>
      <c r="AA80" s="8">
        <f t="shared" si="72"/>
        <v>29834</v>
      </c>
      <c r="AB80" s="8">
        <f t="shared" si="72"/>
        <v>29834</v>
      </c>
      <c r="AC80" s="8">
        <f t="shared" si="72"/>
        <v>29834</v>
      </c>
      <c r="AD80" s="8">
        <f t="shared" si="72"/>
        <v>29834</v>
      </c>
      <c r="AE80" s="8">
        <f t="shared" si="72"/>
        <v>29834</v>
      </c>
      <c r="AF80" s="8">
        <f t="shared" si="72"/>
        <v>29834</v>
      </c>
      <c r="AG80" s="8">
        <f t="shared" si="73"/>
        <v>29834</v>
      </c>
      <c r="AH80" s="8"/>
      <c r="AI80" s="8"/>
      <c r="AJ80" s="8"/>
      <c r="AK80" s="8"/>
      <c r="AL80" s="8"/>
      <c r="AM80" s="8"/>
    </row>
    <row r="81" spans="1:44" hidden="1" outlineLevel="1">
      <c r="A81" t="s">
        <v>263</v>
      </c>
      <c r="U81" s="8">
        <f>+U$16</f>
        <v>48120</v>
      </c>
      <c r="V81" s="8">
        <f>+U81</f>
        <v>48120</v>
      </c>
      <c r="W81" s="8">
        <f t="shared" si="72"/>
        <v>48120</v>
      </c>
      <c r="X81" s="8">
        <f t="shared" si="72"/>
        <v>48120</v>
      </c>
      <c r="Y81" s="8">
        <f t="shared" si="72"/>
        <v>48120</v>
      </c>
      <c r="Z81" s="8">
        <f t="shared" si="72"/>
        <v>48120</v>
      </c>
      <c r="AA81" s="8">
        <f t="shared" si="72"/>
        <v>48120</v>
      </c>
      <c r="AB81" s="8">
        <f t="shared" si="72"/>
        <v>48120</v>
      </c>
      <c r="AC81" s="8">
        <f t="shared" si="72"/>
        <v>48120</v>
      </c>
      <c r="AD81" s="8">
        <f t="shared" si="72"/>
        <v>48120</v>
      </c>
      <c r="AE81" s="8">
        <f t="shared" si="72"/>
        <v>48120</v>
      </c>
      <c r="AF81" s="8">
        <f t="shared" si="72"/>
        <v>48120</v>
      </c>
      <c r="AG81" s="8">
        <f t="shared" si="73"/>
        <v>48120</v>
      </c>
      <c r="AH81" s="8"/>
      <c r="AI81" s="8"/>
      <c r="AJ81" s="8"/>
      <c r="AK81" s="8"/>
      <c r="AL81" s="8"/>
      <c r="AM81" s="8"/>
      <c r="AN81" s="8"/>
    </row>
    <row r="82" spans="1:44" hidden="1" outlineLevel="1">
      <c r="A82" t="s">
        <v>72</v>
      </c>
      <c r="V82" s="8">
        <f>+V$16</f>
        <v>75420</v>
      </c>
      <c r="W82" s="8">
        <f>+V82</f>
        <v>75420</v>
      </c>
      <c r="X82" s="8">
        <f t="shared" si="72"/>
        <v>75420</v>
      </c>
      <c r="Y82" s="8">
        <f t="shared" si="72"/>
        <v>75420</v>
      </c>
      <c r="Z82" s="8">
        <f t="shared" si="72"/>
        <v>75420</v>
      </c>
      <c r="AA82" s="8">
        <f t="shared" si="72"/>
        <v>75420</v>
      </c>
      <c r="AB82" s="8">
        <f t="shared" si="72"/>
        <v>75420</v>
      </c>
      <c r="AC82" s="8">
        <f t="shared" si="72"/>
        <v>75420</v>
      </c>
      <c r="AD82" s="8">
        <f t="shared" si="72"/>
        <v>75420</v>
      </c>
      <c r="AE82" s="8">
        <f t="shared" si="72"/>
        <v>75420</v>
      </c>
      <c r="AF82" s="8">
        <f t="shared" si="72"/>
        <v>75420</v>
      </c>
      <c r="AG82" s="8">
        <f t="shared" si="73"/>
        <v>75420</v>
      </c>
      <c r="AH82" s="8"/>
      <c r="AI82" s="8"/>
      <c r="AJ82" s="8"/>
      <c r="AK82" s="8"/>
      <c r="AL82" s="8"/>
      <c r="AM82" s="8"/>
      <c r="AN82" s="8"/>
      <c r="AO82" s="8"/>
    </row>
    <row r="83" spans="1:44" hidden="1" outlineLevel="1">
      <c r="A83" t="s">
        <v>73</v>
      </c>
      <c r="W83" s="8">
        <f>+W$16</f>
        <v>63417.648863741706</v>
      </c>
      <c r="X83" s="8">
        <f>+W83</f>
        <v>63417.648863741706</v>
      </c>
      <c r="Y83" s="8">
        <f t="shared" si="72"/>
        <v>63417.648863741706</v>
      </c>
      <c r="Z83" s="8">
        <f t="shared" si="72"/>
        <v>63417.648863741706</v>
      </c>
      <c r="AA83" s="8">
        <f t="shared" si="72"/>
        <v>63417.648863741706</v>
      </c>
      <c r="AB83" s="8">
        <f t="shared" si="72"/>
        <v>63417.648863741706</v>
      </c>
      <c r="AC83" s="8">
        <f t="shared" si="72"/>
        <v>63417.648863741706</v>
      </c>
      <c r="AD83" s="8">
        <f t="shared" ref="AD83:AF83" si="77">+AC83</f>
        <v>63417.648863741706</v>
      </c>
      <c r="AE83" s="8">
        <f t="shared" si="77"/>
        <v>63417.648863741706</v>
      </c>
      <c r="AF83" s="8">
        <f t="shared" si="77"/>
        <v>63417.648863741706</v>
      </c>
      <c r="AG83" s="8">
        <f t="shared" si="73"/>
        <v>63417.648863741706</v>
      </c>
      <c r="AH83" s="8"/>
      <c r="AI83" s="8"/>
      <c r="AJ83" s="8"/>
      <c r="AK83" s="8"/>
      <c r="AL83" s="8"/>
      <c r="AM83" s="8"/>
      <c r="AN83" s="8"/>
      <c r="AO83" s="8"/>
      <c r="AP83" s="8"/>
    </row>
    <row r="84" spans="1:44" hidden="1" outlineLevel="1">
      <c r="A84" t="s">
        <v>74</v>
      </c>
      <c r="X84" s="8">
        <f>+X$16</f>
        <v>65730.636714161868</v>
      </c>
      <c r="Y84" s="8">
        <f>+X84</f>
        <v>65730.636714161868</v>
      </c>
      <c r="Z84" s="8">
        <f t="shared" ref="Z84:AF90" si="78">+Y84</f>
        <v>65730.636714161868</v>
      </c>
      <c r="AA84" s="8">
        <f t="shared" si="78"/>
        <v>65730.636714161868</v>
      </c>
      <c r="AB84" s="8">
        <f t="shared" si="78"/>
        <v>65730.636714161868</v>
      </c>
      <c r="AC84" s="8">
        <f t="shared" si="78"/>
        <v>65730.636714161868</v>
      </c>
      <c r="AD84" s="8">
        <f t="shared" si="78"/>
        <v>65730.636714161868</v>
      </c>
      <c r="AE84" s="8">
        <f t="shared" si="78"/>
        <v>65730.636714161868</v>
      </c>
      <c r="AF84" s="8">
        <f t="shared" si="78"/>
        <v>65730.636714161868</v>
      </c>
      <c r="AG84" s="8">
        <f t="shared" si="73"/>
        <v>65730.636714161868</v>
      </c>
      <c r="AH84" s="8"/>
      <c r="AI84" s="8"/>
      <c r="AJ84" s="8"/>
      <c r="AK84" s="8"/>
      <c r="AL84" s="8"/>
      <c r="AM84" s="8"/>
      <c r="AN84" s="8"/>
      <c r="AO84" s="8"/>
      <c r="AP84" s="8"/>
      <c r="AQ84" s="8"/>
    </row>
    <row r="85" spans="1:44" hidden="1" outlineLevel="1">
      <c r="A85" t="s">
        <v>75</v>
      </c>
      <c r="Y85" s="8">
        <f>+Y$16</f>
        <v>67382.057844929019</v>
      </c>
      <c r="Z85" s="8">
        <f>+Y85</f>
        <v>67382.057844929019</v>
      </c>
      <c r="AA85" s="8">
        <f t="shared" si="78"/>
        <v>67382.057844929019</v>
      </c>
      <c r="AB85" s="8">
        <f t="shared" si="78"/>
        <v>67382.057844929019</v>
      </c>
      <c r="AC85" s="8">
        <f t="shared" si="78"/>
        <v>67382.057844929019</v>
      </c>
      <c r="AD85" s="8">
        <f t="shared" si="78"/>
        <v>67382.057844929019</v>
      </c>
      <c r="AE85" s="8">
        <f t="shared" si="78"/>
        <v>67382.057844929019</v>
      </c>
      <c r="AF85" s="8">
        <f t="shared" si="78"/>
        <v>67382.057844929019</v>
      </c>
      <c r="AG85" s="8">
        <f t="shared" si="73"/>
        <v>67382.057844929019</v>
      </c>
      <c r="AH85" s="8"/>
      <c r="AI85" s="8"/>
      <c r="AJ85" s="8"/>
      <c r="AK85" s="8"/>
      <c r="AL85" s="8"/>
      <c r="AM85" s="8"/>
      <c r="AN85" s="8"/>
      <c r="AO85" s="8"/>
      <c r="AP85" s="8"/>
      <c r="AQ85" s="8"/>
      <c r="AR85" s="8"/>
    </row>
    <row r="86" spans="1:44" hidden="1" outlineLevel="1">
      <c r="A86" t="s">
        <v>76</v>
      </c>
      <c r="Y86" s="8"/>
      <c r="Z86" s="8">
        <f>+Z$16</f>
        <v>68164.269934763419</v>
      </c>
      <c r="AA86" s="8">
        <f>+Z86</f>
        <v>68164.269934763419</v>
      </c>
      <c r="AB86" s="8">
        <f t="shared" si="78"/>
        <v>68164.269934763419</v>
      </c>
      <c r="AC86" s="8">
        <f t="shared" si="78"/>
        <v>68164.269934763419</v>
      </c>
      <c r="AD86" s="8">
        <f t="shared" si="78"/>
        <v>68164.269934763419</v>
      </c>
      <c r="AE86" s="8">
        <f t="shared" si="78"/>
        <v>68164.269934763419</v>
      </c>
      <c r="AF86" s="8">
        <f t="shared" si="78"/>
        <v>68164.269934763419</v>
      </c>
      <c r="AG86" s="8">
        <f t="shared" si="73"/>
        <v>68164.269934763419</v>
      </c>
      <c r="AH86" s="8"/>
      <c r="AI86" s="8"/>
      <c r="AJ86" s="8"/>
      <c r="AK86" s="8"/>
      <c r="AL86" s="8"/>
      <c r="AM86" s="8"/>
      <c r="AN86" s="8"/>
      <c r="AO86" s="8"/>
      <c r="AP86" s="8"/>
      <c r="AQ86" s="8"/>
      <c r="AR86" s="8"/>
    </row>
    <row r="87" spans="1:44" hidden="1" outlineLevel="1">
      <c r="A87" t="s">
        <v>77</v>
      </c>
      <c r="Y87" s="8"/>
      <c r="Z87" s="8"/>
      <c r="AA87" s="8">
        <f>+AA$16</f>
        <v>67826.996842662033</v>
      </c>
      <c r="AB87" s="8">
        <f>+AA87</f>
        <v>67826.996842662033</v>
      </c>
      <c r="AC87" s="8">
        <f t="shared" si="78"/>
        <v>67826.996842662033</v>
      </c>
      <c r="AD87" s="8">
        <f t="shared" si="78"/>
        <v>67826.996842662033</v>
      </c>
      <c r="AE87" s="8">
        <f t="shared" si="78"/>
        <v>67826.996842662033</v>
      </c>
      <c r="AF87" s="8">
        <f t="shared" si="78"/>
        <v>67826.996842662033</v>
      </c>
      <c r="AG87" s="8">
        <f t="shared" si="73"/>
        <v>67826.996842662033</v>
      </c>
      <c r="AH87" s="8"/>
      <c r="AI87" s="8"/>
      <c r="AJ87" s="8"/>
      <c r="AK87" s="8"/>
      <c r="AL87" s="8"/>
      <c r="AM87" s="8"/>
      <c r="AN87" s="8"/>
      <c r="AO87" s="8"/>
      <c r="AP87" s="8"/>
      <c r="AQ87" s="8"/>
      <c r="AR87" s="8"/>
    </row>
    <row r="88" spans="1:44" hidden="1" outlineLevel="1">
      <c r="A88" t="s">
        <v>78</v>
      </c>
      <c r="Y88" s="8"/>
      <c r="Z88" s="8"/>
      <c r="AA88" s="8"/>
      <c r="AB88" s="8">
        <f>+AB$16</f>
        <v>71575.570997294068</v>
      </c>
      <c r="AC88" s="8">
        <f>+AB88</f>
        <v>71575.570997294068</v>
      </c>
      <c r="AD88" s="8">
        <f t="shared" si="78"/>
        <v>71575.570997294068</v>
      </c>
      <c r="AE88" s="8">
        <f t="shared" si="78"/>
        <v>71575.570997294068</v>
      </c>
      <c r="AF88" s="8">
        <f t="shared" si="78"/>
        <v>71575.570997294068</v>
      </c>
      <c r="AG88" s="8">
        <f t="shared" si="73"/>
        <v>71575.570997294068</v>
      </c>
      <c r="AH88" s="8"/>
      <c r="AI88" s="8"/>
      <c r="AJ88" s="8"/>
      <c r="AK88" s="8"/>
      <c r="AL88" s="8"/>
      <c r="AM88" s="8"/>
      <c r="AN88" s="8"/>
      <c r="AO88" s="8"/>
      <c r="AP88" s="8"/>
      <c r="AQ88" s="8"/>
      <c r="AR88" s="8"/>
    </row>
    <row r="89" spans="1:44" hidden="1" outlineLevel="1">
      <c r="A89" t="s">
        <v>79</v>
      </c>
      <c r="Y89" s="8"/>
      <c r="Z89" s="8"/>
      <c r="AA89" s="8"/>
      <c r="AB89" s="8"/>
      <c r="AC89" s="8">
        <f>+AC$16</f>
        <v>75039.658911853301</v>
      </c>
      <c r="AD89" s="8">
        <f>+AC89</f>
        <v>75039.658911853301</v>
      </c>
      <c r="AE89" s="8">
        <f t="shared" si="78"/>
        <v>75039.658911853301</v>
      </c>
      <c r="AF89" s="8">
        <f t="shared" si="78"/>
        <v>75039.658911853301</v>
      </c>
      <c r="AG89" s="8">
        <f t="shared" si="73"/>
        <v>75039.658911853301</v>
      </c>
      <c r="AH89" s="8"/>
      <c r="AI89" s="8"/>
      <c r="AJ89" s="8"/>
      <c r="AK89" s="8"/>
      <c r="AL89" s="8"/>
      <c r="AM89" s="8"/>
      <c r="AN89" s="8"/>
      <c r="AO89" s="8"/>
      <c r="AP89" s="8"/>
      <c r="AQ89" s="8"/>
      <c r="AR89" s="8"/>
    </row>
    <row r="90" spans="1:44" hidden="1" outlineLevel="1">
      <c r="A90" t="s">
        <v>80</v>
      </c>
      <c r="Y90" s="8"/>
      <c r="Z90" s="8"/>
      <c r="AA90" s="8"/>
      <c r="AB90" s="8"/>
      <c r="AC90" s="8"/>
      <c r="AD90" s="8">
        <f>+AD$16</f>
        <v>85182.121272241086</v>
      </c>
      <c r="AE90" s="8">
        <f>+AD90</f>
        <v>85182.121272241086</v>
      </c>
      <c r="AF90" s="8">
        <f t="shared" si="78"/>
        <v>85182.121272241086</v>
      </c>
      <c r="AG90" s="8">
        <f t="shared" si="73"/>
        <v>85182.121272241086</v>
      </c>
      <c r="AH90" s="8"/>
      <c r="AI90" s="8"/>
      <c r="AJ90" s="8"/>
      <c r="AK90" s="8"/>
      <c r="AL90" s="8"/>
      <c r="AM90" s="8"/>
      <c r="AN90" s="8"/>
      <c r="AO90" s="8"/>
      <c r="AP90" s="8"/>
      <c r="AQ90" s="8"/>
      <c r="AR90" s="8"/>
    </row>
    <row r="91" spans="1:44" hidden="1" outlineLevel="1">
      <c r="A91" t="s">
        <v>81</v>
      </c>
      <c r="Y91" s="8"/>
      <c r="Z91" s="8"/>
      <c r="AA91" s="8"/>
      <c r="AB91" s="8"/>
      <c r="AC91" s="8"/>
      <c r="AD91" s="8"/>
      <c r="AE91" s="8">
        <f>+AE$16</f>
        <v>96649.687953410656</v>
      </c>
      <c r="AF91" s="8">
        <f>+AE91</f>
        <v>96649.687953410656</v>
      </c>
      <c r="AG91" s="8">
        <f t="shared" si="73"/>
        <v>96649.687953410656</v>
      </c>
      <c r="AH91" s="8"/>
      <c r="AI91" s="8"/>
      <c r="AJ91" s="8"/>
      <c r="AK91" s="8"/>
      <c r="AL91" s="8"/>
      <c r="AM91" s="8"/>
      <c r="AN91" s="8"/>
      <c r="AO91" s="8"/>
      <c r="AP91" s="8"/>
      <c r="AQ91" s="8"/>
      <c r="AR91" s="8"/>
    </row>
    <row r="92" spans="1:44" hidden="1" outlineLevel="1">
      <c r="A92" t="s">
        <v>82</v>
      </c>
      <c r="Y92" s="8"/>
      <c r="Z92" s="8"/>
      <c r="AA92" s="8"/>
      <c r="AB92" s="8"/>
      <c r="AC92" s="8"/>
      <c r="AD92" s="8"/>
      <c r="AE92" s="8"/>
      <c r="AF92" s="8">
        <f>+AF$16</f>
        <v>109614.73444870049</v>
      </c>
      <c r="AG92" s="8">
        <f>+AF92</f>
        <v>109614.73444870049</v>
      </c>
      <c r="AH92" s="8"/>
      <c r="AI92" s="8"/>
      <c r="AJ92" s="8"/>
      <c r="AK92" s="8"/>
      <c r="AL92" s="8"/>
      <c r="AM92" s="8"/>
      <c r="AN92" s="8"/>
      <c r="AO92" s="8"/>
      <c r="AP92" s="8"/>
      <c r="AQ92" s="8"/>
      <c r="AR92" s="8"/>
    </row>
    <row r="93" spans="1:44" hidden="1" outlineLevel="1">
      <c r="A93" t="s">
        <v>83</v>
      </c>
      <c r="Y93" s="8"/>
      <c r="Z93" s="8"/>
      <c r="AA93" s="8"/>
      <c r="AB93" s="8"/>
      <c r="AC93" s="8"/>
      <c r="AD93" s="8"/>
      <c r="AE93" s="8"/>
      <c r="AF93" s="8"/>
      <c r="AG93" s="8">
        <f>+AG$16</f>
        <v>124272.04696842091</v>
      </c>
      <c r="AH93" s="8"/>
      <c r="AI93" s="8"/>
      <c r="AJ93" s="8"/>
      <c r="AK93" s="8"/>
      <c r="AL93" s="8"/>
      <c r="AM93" s="8"/>
      <c r="AN93" s="8"/>
      <c r="AO93" s="8"/>
      <c r="AP93" s="8"/>
      <c r="AQ93" s="8"/>
      <c r="AR93" s="8"/>
    </row>
    <row r="94" spans="1:44" hidden="1" outlineLevel="1">
      <c r="A94" t="s">
        <v>764</v>
      </c>
      <c r="Y94" s="8"/>
      <c r="Z94" s="8"/>
      <c r="AA94" s="8"/>
      <c r="AB94" s="8"/>
      <c r="AC94" s="8"/>
      <c r="AD94" s="8"/>
      <c r="AE94" s="8"/>
      <c r="AF94" s="8"/>
      <c r="AG94" s="8"/>
      <c r="AH94" s="8"/>
      <c r="AI94" s="8"/>
      <c r="AJ94" s="8"/>
      <c r="AK94" s="8"/>
      <c r="AL94" s="8"/>
      <c r="AM94" s="8"/>
      <c r="AN94" s="8"/>
      <c r="AO94" s="8"/>
      <c r="AP94" s="8"/>
      <c r="AQ94" s="8"/>
      <c r="AR94" s="8"/>
    </row>
    <row r="95" spans="1:44" hidden="1" outlineLevel="1"/>
    <row r="96" spans="1:44" ht="10.5" hidden="1" outlineLevel="1">
      <c r="A96" s="45" t="s">
        <v>775</v>
      </c>
    </row>
    <row r="97" spans="1:38" hidden="1" outlineLevel="1">
      <c r="A97" t="str">
        <f>+A64</f>
        <v>FY07 and prior</v>
      </c>
      <c r="D97" s="8">
        <f>+SUM($C19:D19)</f>
        <v>1873.2</v>
      </c>
      <c r="E97" s="8">
        <f>+SUM($C19:E19)</f>
        <v>3746.4</v>
      </c>
      <c r="F97" s="8">
        <f>+SUM($C19:F19)</f>
        <v>5619.6</v>
      </c>
      <c r="G97" s="8">
        <f>+SUM($C19:G19)</f>
        <v>7492.8</v>
      </c>
      <c r="H97" s="8">
        <f>+SUM($C19:H19)</f>
        <v>9366</v>
      </c>
      <c r="I97" s="8">
        <f>+SUM($C19:I19)</f>
        <v>9366</v>
      </c>
      <c r="J97" s="8">
        <f>+SUM($C19:J19)</f>
        <v>9366</v>
      </c>
      <c r="K97" s="8">
        <f>+SUM($C19:K19)</f>
        <v>9366</v>
      </c>
      <c r="L97" s="8">
        <f>+SUM($C19:L19)</f>
        <v>9366</v>
      </c>
      <c r="M97" s="8">
        <f>+SUM($C19:M19)</f>
        <v>9366</v>
      </c>
      <c r="N97" s="8">
        <f>+SUM($C19:N19)</f>
        <v>9366</v>
      </c>
      <c r="O97" s="8">
        <f>+SUM($C19:O19)</f>
        <v>9366</v>
      </c>
      <c r="P97" s="8">
        <f>+SUM($C19:P19)</f>
        <v>9366</v>
      </c>
      <c r="Q97" s="8">
        <f>+SUM($C19:Q19)</f>
        <v>9366</v>
      </c>
      <c r="R97" s="8">
        <f>+SUM($C19:R19)</f>
        <v>9366</v>
      </c>
      <c r="S97" s="8">
        <f>+SUM($C19:S19)</f>
        <v>9366</v>
      </c>
      <c r="T97" s="8">
        <f>+SUM($C19:T19)</f>
        <v>9366</v>
      </c>
      <c r="U97" s="8">
        <f>+SUM($C19:U19)</f>
        <v>9366</v>
      </c>
      <c r="V97" s="8">
        <f>+SUM($C19:V19)</f>
        <v>9366</v>
      </c>
      <c r="W97" s="8">
        <f>+SUM($C19:W19)</f>
        <v>9366</v>
      </c>
      <c r="X97" s="8">
        <f>+SUM($C19:X19)</f>
        <v>9366</v>
      </c>
      <c r="Y97" s="8">
        <f>+SUM($C19:Y19)</f>
        <v>9366</v>
      </c>
      <c r="Z97" s="8">
        <f>+SUM($C19:Z19)</f>
        <v>9366</v>
      </c>
      <c r="AA97" s="8">
        <f>+SUM($C19:AA19)</f>
        <v>9366</v>
      </c>
      <c r="AB97" s="8">
        <f>+SUM($C19:AB19)</f>
        <v>9366</v>
      </c>
      <c r="AC97" s="8">
        <f>+SUM($C19:AC19)</f>
        <v>9366</v>
      </c>
      <c r="AD97" s="8">
        <f>+SUM($C19:AD19)</f>
        <v>9366</v>
      </c>
      <c r="AE97" s="8">
        <f>+SUM($C19:AE19)</f>
        <v>9366</v>
      </c>
      <c r="AF97" s="8">
        <f>+SUM($C19:AF19)</f>
        <v>9366</v>
      </c>
      <c r="AG97" s="8">
        <f>+SUM($C19:AG19)</f>
        <v>9366</v>
      </c>
    </row>
    <row r="98" spans="1:38" hidden="1" outlineLevel="1">
      <c r="A98" t="s">
        <v>249</v>
      </c>
      <c r="E98" s="8">
        <f>+SUM($C20:E20)</f>
        <v>635.6</v>
      </c>
      <c r="F98" s="8">
        <f>+SUM($C20:F20)</f>
        <v>1271.2</v>
      </c>
      <c r="G98" s="8">
        <f>+SUM($C20:G20)</f>
        <v>1906.8000000000002</v>
      </c>
      <c r="H98" s="8">
        <f>+SUM($C20:H20)</f>
        <v>2542.4</v>
      </c>
      <c r="I98" s="8">
        <f>+SUM($C20:I20)</f>
        <v>3178</v>
      </c>
      <c r="J98" s="8">
        <f>+SUM($C20:J20)</f>
        <v>3178</v>
      </c>
      <c r="K98" s="8">
        <f>+SUM($C20:K20)</f>
        <v>3178</v>
      </c>
      <c r="L98" s="8">
        <f>+SUM($C20:L20)</f>
        <v>3178</v>
      </c>
      <c r="M98" s="8">
        <f>+SUM($C20:M20)</f>
        <v>3178</v>
      </c>
      <c r="N98" s="8">
        <f>+SUM($C20:N20)</f>
        <v>3178</v>
      </c>
      <c r="O98" s="8">
        <f>+SUM($C20:O20)</f>
        <v>3178</v>
      </c>
      <c r="P98" s="8">
        <f>+SUM($C20:P20)</f>
        <v>3178</v>
      </c>
      <c r="Q98" s="8">
        <f>+SUM($C20:Q20)</f>
        <v>3178</v>
      </c>
      <c r="R98" s="8">
        <f>+SUM($C20:R20)</f>
        <v>3178</v>
      </c>
      <c r="S98" s="8">
        <f>+SUM($C20:S20)</f>
        <v>3178</v>
      </c>
      <c r="T98" s="8">
        <f>+SUM($C20:T20)</f>
        <v>3178</v>
      </c>
      <c r="U98" s="8">
        <f>+SUM($C20:U20)</f>
        <v>3178</v>
      </c>
      <c r="V98" s="8">
        <f>+SUM($C20:V20)</f>
        <v>3178</v>
      </c>
      <c r="W98" s="8">
        <f>+SUM($C20:W20)</f>
        <v>3178</v>
      </c>
      <c r="X98" s="8">
        <f>+SUM($C20:X20)</f>
        <v>3178</v>
      </c>
      <c r="Y98" s="8">
        <f>+SUM($C20:Y20)</f>
        <v>3178</v>
      </c>
      <c r="Z98" s="8">
        <f>+SUM($C20:Z20)</f>
        <v>3178</v>
      </c>
      <c r="AA98" s="8">
        <f>+SUM($C20:AA20)</f>
        <v>3178</v>
      </c>
      <c r="AB98" s="8">
        <f>+SUM($C20:AB20)</f>
        <v>3178</v>
      </c>
      <c r="AC98" s="8">
        <f>+SUM($C20:AC20)</f>
        <v>3178</v>
      </c>
      <c r="AD98" s="8">
        <f>+SUM($C20:AD20)</f>
        <v>3178</v>
      </c>
      <c r="AE98" s="8">
        <f>+SUM($C20:AE20)</f>
        <v>3178</v>
      </c>
      <c r="AF98" s="8">
        <f>+SUM($C20:AF20)</f>
        <v>3178</v>
      </c>
      <c r="AG98" s="8">
        <f>+SUM($C20:AG20)</f>
        <v>3178</v>
      </c>
    </row>
    <row r="99" spans="1:38" hidden="1" outlineLevel="1">
      <c r="A99" t="s">
        <v>250</v>
      </c>
      <c r="F99" s="8">
        <f>+SUM($C21:F21)</f>
        <v>507.6</v>
      </c>
      <c r="G99" s="8">
        <f>+SUM($C21:G21)</f>
        <v>1015.2</v>
      </c>
      <c r="H99" s="8">
        <f>+SUM($C21:H21)</f>
        <v>1522.8000000000002</v>
      </c>
      <c r="I99" s="8">
        <f>+SUM($C21:I21)</f>
        <v>2030.4</v>
      </c>
      <c r="J99" s="8">
        <f>+SUM($C21:J21)</f>
        <v>2538</v>
      </c>
      <c r="K99" s="8">
        <f>+SUM($C21:K21)</f>
        <v>2538</v>
      </c>
      <c r="L99" s="8">
        <f>+SUM($C21:L21)</f>
        <v>2538</v>
      </c>
      <c r="M99" s="8">
        <f>+SUM($C21:M21)</f>
        <v>2538</v>
      </c>
      <c r="N99" s="8">
        <f>+SUM($C21:N21)</f>
        <v>2538</v>
      </c>
      <c r="O99" s="8">
        <f>+SUM($C21:O21)</f>
        <v>2538</v>
      </c>
      <c r="P99" s="8">
        <f>+SUM($C21:P21)</f>
        <v>2538</v>
      </c>
      <c r="Q99" s="8">
        <f>+SUM($C21:Q21)</f>
        <v>2538</v>
      </c>
      <c r="R99" s="8">
        <f>+SUM($C21:R21)</f>
        <v>2538</v>
      </c>
      <c r="S99" s="8">
        <f>+SUM($C21:S21)</f>
        <v>2538</v>
      </c>
      <c r="T99" s="8">
        <f>+SUM($C21:T21)</f>
        <v>2538</v>
      </c>
      <c r="U99" s="8">
        <f>+SUM($C21:U21)</f>
        <v>2538</v>
      </c>
      <c r="V99" s="8">
        <f>+SUM($C21:V21)</f>
        <v>2538</v>
      </c>
      <c r="W99" s="8">
        <f>+SUM($C21:W21)</f>
        <v>2538</v>
      </c>
      <c r="X99" s="8">
        <f>+SUM($C21:X21)</f>
        <v>2538</v>
      </c>
      <c r="Y99" s="8">
        <f>+SUM($C21:Y21)</f>
        <v>2538</v>
      </c>
      <c r="Z99" s="8">
        <f>+SUM($C21:Z21)</f>
        <v>2538</v>
      </c>
      <c r="AA99" s="8">
        <f>+SUM($C21:AA21)</f>
        <v>2538</v>
      </c>
      <c r="AB99" s="8">
        <f>+SUM($C21:AB21)</f>
        <v>2538</v>
      </c>
      <c r="AC99" s="8">
        <f>+SUM($C21:AC21)</f>
        <v>2538</v>
      </c>
      <c r="AD99" s="8">
        <f>+SUM($C21:AD21)</f>
        <v>2538</v>
      </c>
      <c r="AE99" s="8">
        <f>+SUM($C21:AE21)</f>
        <v>2538</v>
      </c>
      <c r="AF99" s="8">
        <f>+SUM($C21:AF21)</f>
        <v>2538</v>
      </c>
      <c r="AG99" s="8">
        <f>+SUM($C21:AG21)</f>
        <v>2538</v>
      </c>
    </row>
    <row r="100" spans="1:38" hidden="1" outlineLevel="1">
      <c r="A100" t="s">
        <v>251</v>
      </c>
      <c r="G100" s="8">
        <f>+SUM($C22:G22)</f>
        <v>235.4</v>
      </c>
      <c r="H100" s="8">
        <f>+SUM($C22:H22)</f>
        <v>470.8</v>
      </c>
      <c r="I100" s="8">
        <f>+SUM($C22:I22)</f>
        <v>706.2</v>
      </c>
      <c r="J100" s="8">
        <f>+SUM($C22:J22)</f>
        <v>941.6</v>
      </c>
      <c r="K100" s="8">
        <f>+SUM($C22:K22)</f>
        <v>1177</v>
      </c>
      <c r="L100" s="8">
        <f>+SUM($C22:L22)</f>
        <v>1177</v>
      </c>
      <c r="M100" s="8">
        <f>+SUM($C22:M22)</f>
        <v>1177</v>
      </c>
      <c r="N100" s="8">
        <f>+SUM($C22:N22)</f>
        <v>1177</v>
      </c>
      <c r="O100" s="8">
        <f>+SUM($C22:O22)</f>
        <v>1177</v>
      </c>
      <c r="P100" s="8">
        <f>+SUM($C22:P22)</f>
        <v>1177</v>
      </c>
      <c r="Q100" s="8">
        <f>+SUM($C22:Q22)</f>
        <v>1177</v>
      </c>
      <c r="R100" s="8">
        <f>+SUM($C22:R22)</f>
        <v>1177</v>
      </c>
      <c r="S100" s="8">
        <f>+SUM($C22:S22)</f>
        <v>1177</v>
      </c>
      <c r="T100" s="8">
        <f>+SUM($C22:T22)</f>
        <v>1177</v>
      </c>
      <c r="U100" s="8">
        <f>+SUM($C22:U22)</f>
        <v>1177</v>
      </c>
      <c r="V100" s="8">
        <f>+SUM($C22:V22)</f>
        <v>1177</v>
      </c>
      <c r="W100" s="8">
        <f>+SUM($C22:W22)</f>
        <v>1177</v>
      </c>
      <c r="X100" s="8">
        <f>+SUM($C22:X22)</f>
        <v>1177</v>
      </c>
      <c r="Y100" s="8">
        <f>+SUM($C22:Y22)</f>
        <v>1177</v>
      </c>
      <c r="Z100" s="8">
        <f>+SUM($C22:Z22)</f>
        <v>1177</v>
      </c>
      <c r="AA100" s="8">
        <f>+SUM($C22:AA22)</f>
        <v>1177</v>
      </c>
      <c r="AB100" s="8">
        <f>+SUM($C22:AB22)</f>
        <v>1177</v>
      </c>
      <c r="AC100" s="8">
        <f>+SUM($C22:AC22)</f>
        <v>1177</v>
      </c>
      <c r="AD100" s="8">
        <f>+SUM($C22:AD22)</f>
        <v>1177</v>
      </c>
      <c r="AE100" s="8">
        <f>+SUM($C22:AE22)</f>
        <v>1177</v>
      </c>
      <c r="AF100" s="8">
        <f>+SUM($C22:AF22)</f>
        <v>1177</v>
      </c>
      <c r="AG100" s="8">
        <f>+SUM($C22:AG22)</f>
        <v>1177</v>
      </c>
    </row>
    <row r="101" spans="1:38" hidden="1" outlineLevel="1">
      <c r="A101" t="s">
        <v>252</v>
      </c>
      <c r="H101" s="8">
        <f>+SUM($C23:H23)</f>
        <v>346.4</v>
      </c>
      <c r="I101" s="8">
        <f>+SUM($C23:I23)</f>
        <v>692.8</v>
      </c>
      <c r="J101" s="8">
        <f>+SUM($C23:J23)</f>
        <v>1039.1999999999998</v>
      </c>
      <c r="K101" s="8">
        <f>+SUM($C23:K23)</f>
        <v>1385.6</v>
      </c>
      <c r="L101" s="8">
        <f>+SUM($C23:L23)</f>
        <v>1732</v>
      </c>
      <c r="M101" s="8">
        <f>+SUM($C23:M23)</f>
        <v>1732</v>
      </c>
      <c r="N101" s="8">
        <f>+SUM($C23:N23)</f>
        <v>1732</v>
      </c>
      <c r="O101" s="8">
        <f>+SUM($C23:O23)</f>
        <v>1732</v>
      </c>
      <c r="P101" s="8">
        <f>+SUM($C23:P23)</f>
        <v>1732</v>
      </c>
      <c r="Q101" s="8">
        <f>+SUM($C23:Q23)</f>
        <v>1732</v>
      </c>
      <c r="R101" s="8">
        <f>+SUM($C23:R23)</f>
        <v>1732</v>
      </c>
      <c r="S101" s="8">
        <f>+SUM($C23:S23)</f>
        <v>1732</v>
      </c>
      <c r="T101" s="8">
        <f>+SUM($C23:T23)</f>
        <v>1732</v>
      </c>
      <c r="U101" s="8">
        <f>+SUM($C23:U23)</f>
        <v>1732</v>
      </c>
      <c r="V101" s="8">
        <f>+SUM($C23:V23)</f>
        <v>1732</v>
      </c>
      <c r="W101" s="8">
        <f>+SUM($C23:W23)</f>
        <v>1732</v>
      </c>
      <c r="X101" s="8">
        <f>+SUM($C23:X23)</f>
        <v>1732</v>
      </c>
      <c r="Y101" s="8">
        <f>+SUM($C23:Y23)</f>
        <v>1732</v>
      </c>
      <c r="Z101" s="8">
        <f>+SUM($C23:Z23)</f>
        <v>1732</v>
      </c>
      <c r="AA101" s="8">
        <f>+SUM($C23:AA23)</f>
        <v>1732</v>
      </c>
      <c r="AB101" s="8">
        <f>+SUM($C23:AB23)</f>
        <v>1732</v>
      </c>
      <c r="AC101" s="8">
        <f>+SUM($C23:AC23)</f>
        <v>1732</v>
      </c>
      <c r="AD101" s="8">
        <f>+SUM($C23:AD23)</f>
        <v>1732</v>
      </c>
      <c r="AE101" s="8">
        <f>+SUM($C23:AE23)</f>
        <v>1732</v>
      </c>
      <c r="AF101" s="8">
        <f>+SUM($C23:AF23)</f>
        <v>1732</v>
      </c>
      <c r="AG101" s="8">
        <f>+SUM($C23:AG23)</f>
        <v>1732</v>
      </c>
    </row>
    <row r="102" spans="1:38" hidden="1" outlineLevel="1">
      <c r="A102" t="s">
        <v>253</v>
      </c>
      <c r="I102" s="8">
        <f>+SUM($C24:I24)</f>
        <v>248</v>
      </c>
      <c r="J102" s="8">
        <f>+SUM($C24:J24)</f>
        <v>496</v>
      </c>
      <c r="K102" s="8">
        <f>+SUM($C24:K24)</f>
        <v>744</v>
      </c>
      <c r="L102" s="8">
        <f>+SUM($C24:L24)</f>
        <v>992</v>
      </c>
      <c r="M102" s="8">
        <f>+SUM($C24:M24)</f>
        <v>1240</v>
      </c>
      <c r="N102" s="8">
        <f>+SUM($C24:N24)</f>
        <v>1240</v>
      </c>
      <c r="O102" s="8">
        <f>+SUM($C24:O24)</f>
        <v>1240</v>
      </c>
      <c r="P102" s="8">
        <f>+SUM($C24:P24)</f>
        <v>1240</v>
      </c>
      <c r="Q102" s="8">
        <f>+SUM($C24:Q24)</f>
        <v>1240</v>
      </c>
      <c r="R102" s="8">
        <f>+SUM($C24:R24)</f>
        <v>1240</v>
      </c>
      <c r="S102" s="8">
        <f>+SUM($C24:S24)</f>
        <v>1240</v>
      </c>
      <c r="T102" s="8">
        <f>+SUM($C24:T24)</f>
        <v>1240</v>
      </c>
      <c r="U102" s="8">
        <f>+SUM($C24:U24)</f>
        <v>1240</v>
      </c>
      <c r="V102" s="8">
        <f>+SUM($C24:V24)</f>
        <v>1240</v>
      </c>
      <c r="W102" s="8">
        <f>+SUM($C24:W24)</f>
        <v>1240</v>
      </c>
      <c r="X102" s="8">
        <f>+SUM($C24:X24)</f>
        <v>1240</v>
      </c>
      <c r="Y102" s="8">
        <f>+SUM($C24:Y24)</f>
        <v>1240</v>
      </c>
      <c r="Z102" s="8">
        <f>+SUM($C24:Z24)</f>
        <v>1240</v>
      </c>
      <c r="AA102" s="8">
        <f>+SUM($C24:AA24)</f>
        <v>1240</v>
      </c>
      <c r="AB102" s="8">
        <f>+SUM($C24:AB24)</f>
        <v>1240</v>
      </c>
      <c r="AC102" s="8">
        <f>+SUM($C24:AC24)</f>
        <v>1240</v>
      </c>
      <c r="AD102" s="8">
        <f>+SUM($C24:AD24)</f>
        <v>1240</v>
      </c>
      <c r="AE102" s="8">
        <f>+SUM($C24:AE24)</f>
        <v>1240</v>
      </c>
      <c r="AF102" s="8">
        <f>+SUM($C24:AF24)</f>
        <v>1240</v>
      </c>
      <c r="AG102" s="8">
        <f>+SUM($C24:AG24)</f>
        <v>1240</v>
      </c>
    </row>
    <row r="103" spans="1:38" hidden="1" outlineLevel="1">
      <c r="A103" t="s">
        <v>254</v>
      </c>
      <c r="J103" s="8">
        <f>+SUM($C25:J25)</f>
        <v>654.6</v>
      </c>
      <c r="K103" s="8">
        <f>+SUM($C25:K25)</f>
        <v>1309.2</v>
      </c>
      <c r="L103" s="8">
        <f>+SUM($C25:L25)</f>
        <v>1963.8000000000002</v>
      </c>
      <c r="M103" s="8">
        <f>+SUM($C25:M25)</f>
        <v>2618.4</v>
      </c>
      <c r="N103" s="8">
        <f>+SUM($C25:N25)</f>
        <v>3273</v>
      </c>
      <c r="O103" s="8">
        <f>+SUM($C25:O25)</f>
        <v>3273</v>
      </c>
      <c r="P103" s="8">
        <f>+SUM($C25:P25)</f>
        <v>3273</v>
      </c>
      <c r="Q103" s="8">
        <f>+SUM($C25:Q25)</f>
        <v>3273</v>
      </c>
      <c r="R103" s="8">
        <f>+SUM($C25:R25)</f>
        <v>3273</v>
      </c>
      <c r="S103" s="8">
        <f>+SUM($C25:S25)</f>
        <v>3273</v>
      </c>
      <c r="T103" s="8">
        <f>+SUM($C25:T25)</f>
        <v>3273</v>
      </c>
      <c r="U103" s="8">
        <f>+SUM($C25:U25)</f>
        <v>3273</v>
      </c>
      <c r="V103" s="8">
        <f>+SUM($C25:V25)</f>
        <v>3273</v>
      </c>
      <c r="W103" s="8">
        <f>+SUM($C25:W25)</f>
        <v>3273</v>
      </c>
      <c r="X103" s="8">
        <f>+SUM($C25:X25)</f>
        <v>3273</v>
      </c>
      <c r="Y103" s="8">
        <f>+SUM($C25:Y25)</f>
        <v>3273</v>
      </c>
      <c r="Z103" s="8">
        <f>+SUM($C25:Z25)</f>
        <v>3273</v>
      </c>
      <c r="AA103" s="8">
        <f>+SUM($C25:AA25)</f>
        <v>3273</v>
      </c>
      <c r="AB103" s="8">
        <f>+SUM($C25:AB25)</f>
        <v>3273</v>
      </c>
      <c r="AC103" s="8">
        <f>+SUM($C25:AC25)</f>
        <v>3273</v>
      </c>
      <c r="AD103" s="8">
        <f>+SUM($C25:AD25)</f>
        <v>3273</v>
      </c>
      <c r="AE103" s="8">
        <f>+SUM($C25:AE25)</f>
        <v>3273</v>
      </c>
      <c r="AF103" s="8">
        <f>+SUM($C25:AF25)</f>
        <v>3273</v>
      </c>
      <c r="AG103" s="8">
        <f>+SUM($C25:AG25)</f>
        <v>3273</v>
      </c>
    </row>
    <row r="104" spans="1:38" hidden="1" outlineLevel="1">
      <c r="A104" t="s">
        <v>255</v>
      </c>
      <c r="K104" s="8">
        <f>+SUM($C26:K26)</f>
        <v>1060</v>
      </c>
      <c r="L104" s="8">
        <f>+SUM($C26:L26)</f>
        <v>2120</v>
      </c>
      <c r="M104" s="8">
        <f>+SUM($C26:M26)</f>
        <v>3180</v>
      </c>
      <c r="N104" s="8">
        <f>+SUM($C26:N26)</f>
        <v>4240</v>
      </c>
      <c r="O104" s="8">
        <f>+SUM($C26:O26)</f>
        <v>5300</v>
      </c>
      <c r="P104" s="8">
        <f>+SUM($C26:P26)</f>
        <v>5300</v>
      </c>
      <c r="Q104" s="8">
        <f>+SUM($C26:Q26)</f>
        <v>5300</v>
      </c>
      <c r="R104" s="8">
        <f>+SUM($C26:R26)</f>
        <v>5300</v>
      </c>
      <c r="S104" s="8">
        <f>+SUM($C26:S26)</f>
        <v>5300</v>
      </c>
      <c r="T104" s="8">
        <f>+SUM($C26:T26)</f>
        <v>5300</v>
      </c>
      <c r="U104" s="8">
        <f>+SUM($C26:U26)</f>
        <v>5300</v>
      </c>
      <c r="V104" s="8">
        <f>+SUM($C26:V26)</f>
        <v>5300</v>
      </c>
      <c r="W104" s="8">
        <f>+SUM($C26:W26)</f>
        <v>5300</v>
      </c>
      <c r="X104" s="8">
        <f>+SUM($C26:X26)</f>
        <v>5300</v>
      </c>
      <c r="Y104" s="8">
        <f>+SUM($C26:Y26)</f>
        <v>5300</v>
      </c>
      <c r="Z104" s="8">
        <f>+SUM($C26:Z26)</f>
        <v>5300</v>
      </c>
      <c r="AA104" s="8">
        <f>+SUM($C26:AA26)</f>
        <v>5300</v>
      </c>
      <c r="AB104" s="8">
        <f>+SUM($C26:AB26)</f>
        <v>5300</v>
      </c>
      <c r="AC104" s="8">
        <f>+SUM($C26:AC26)</f>
        <v>5300</v>
      </c>
      <c r="AD104" s="8">
        <f>+SUM($C26:AD26)</f>
        <v>5300</v>
      </c>
      <c r="AE104" s="8">
        <f>+SUM($C26:AE26)</f>
        <v>5300</v>
      </c>
      <c r="AF104" s="8">
        <f>+SUM($C26:AF26)</f>
        <v>5300</v>
      </c>
      <c r="AG104" s="8">
        <f>+SUM($C26:AG26)</f>
        <v>5300</v>
      </c>
    </row>
    <row r="105" spans="1:38" hidden="1" outlineLevel="1">
      <c r="A105" t="s">
        <v>256</v>
      </c>
      <c r="L105" s="8">
        <f>+SUM($C27:L27)</f>
        <v>906.6</v>
      </c>
      <c r="M105" s="8">
        <f>+SUM($C27:M27)</f>
        <v>1813.2</v>
      </c>
      <c r="N105" s="8">
        <f>+SUM($C27:N27)</f>
        <v>2719.8</v>
      </c>
      <c r="O105" s="8">
        <f>+SUM($C27:O27)</f>
        <v>3626.4</v>
      </c>
      <c r="P105" s="8">
        <f>+SUM($C27:P27)</f>
        <v>4533</v>
      </c>
      <c r="Q105" s="8">
        <f>+SUM($C27:Q27)</f>
        <v>4533</v>
      </c>
      <c r="R105" s="8">
        <f>+SUM($C27:R27)</f>
        <v>4533</v>
      </c>
      <c r="S105" s="8">
        <f>+SUM($C27:S27)</f>
        <v>4533</v>
      </c>
      <c r="T105" s="8">
        <f>+SUM($C27:T27)</f>
        <v>4533</v>
      </c>
      <c r="U105" s="8">
        <f>+SUM($C27:U27)</f>
        <v>4533</v>
      </c>
      <c r="V105" s="8">
        <f>+SUM($C27:V27)</f>
        <v>4533</v>
      </c>
      <c r="W105" s="8">
        <f>+SUM($C27:W27)</f>
        <v>4533</v>
      </c>
      <c r="X105" s="8">
        <f>+SUM($C27:X27)</f>
        <v>4533</v>
      </c>
      <c r="Y105" s="8">
        <f>+SUM($C27:Y27)</f>
        <v>4533</v>
      </c>
      <c r="Z105" s="8">
        <f>+SUM($C27:Z27)</f>
        <v>4533</v>
      </c>
      <c r="AA105" s="8">
        <f>+SUM($C27:AA27)</f>
        <v>4533</v>
      </c>
      <c r="AB105" s="8">
        <f>+SUM($C27:AB27)</f>
        <v>4533</v>
      </c>
      <c r="AC105" s="8">
        <f>+SUM($C27:AC27)</f>
        <v>4533</v>
      </c>
      <c r="AD105" s="8">
        <f>+SUM($C27:AD27)</f>
        <v>4533</v>
      </c>
      <c r="AE105" s="8">
        <f>+SUM($C27:AE27)</f>
        <v>4533</v>
      </c>
      <c r="AF105" s="8">
        <f>+SUM($C27:AF27)</f>
        <v>4533</v>
      </c>
      <c r="AG105" s="8">
        <f>+SUM($C27:AG27)</f>
        <v>4533</v>
      </c>
    </row>
    <row r="106" spans="1:38" hidden="1" outlineLevel="1">
      <c r="A106" t="s">
        <v>257</v>
      </c>
      <c r="M106" s="8">
        <f>+SUM($C28:M28)</f>
        <v>1163.8</v>
      </c>
      <c r="N106" s="8">
        <f>+SUM($C28:N28)</f>
        <v>2327.6</v>
      </c>
      <c r="O106" s="8">
        <f>+SUM($C28:O28)</f>
        <v>3491.3999999999996</v>
      </c>
      <c r="P106" s="8">
        <f>+SUM($C28:P28)</f>
        <v>4655.2</v>
      </c>
      <c r="Q106" s="8">
        <f>+SUM($C28:Q28)</f>
        <v>5819</v>
      </c>
      <c r="R106" s="8">
        <f>+SUM($C28:R28)</f>
        <v>5819</v>
      </c>
      <c r="S106" s="8">
        <f>+SUM($C28:S28)</f>
        <v>5819</v>
      </c>
      <c r="T106" s="8">
        <f>+SUM($C28:T28)</f>
        <v>5819</v>
      </c>
      <c r="U106" s="8">
        <f>+SUM($C28:U28)</f>
        <v>5819</v>
      </c>
      <c r="V106" s="8">
        <f>+SUM($C28:V28)</f>
        <v>5819</v>
      </c>
      <c r="W106" s="8">
        <f>+SUM($C28:W28)</f>
        <v>5819</v>
      </c>
      <c r="X106" s="8">
        <f>+SUM($C28:X28)</f>
        <v>5819</v>
      </c>
      <c r="Y106" s="8">
        <f>+SUM($C28:Y28)</f>
        <v>5819</v>
      </c>
      <c r="Z106" s="8">
        <f>+SUM($C28:Z28)</f>
        <v>5819</v>
      </c>
      <c r="AA106" s="8">
        <f>+SUM($C28:AA28)</f>
        <v>5819</v>
      </c>
      <c r="AB106" s="8">
        <f>+SUM($C28:AB28)</f>
        <v>5819</v>
      </c>
      <c r="AC106" s="8">
        <f>+SUM($C28:AC28)</f>
        <v>5819</v>
      </c>
      <c r="AD106" s="8">
        <f>+SUM($C28:AD28)</f>
        <v>5819</v>
      </c>
      <c r="AE106" s="8">
        <f>+SUM($C28:AE28)</f>
        <v>5819</v>
      </c>
      <c r="AF106" s="8">
        <f>+SUM($C28:AF28)</f>
        <v>5819</v>
      </c>
      <c r="AG106" s="8">
        <f>+SUM($C28:AG28)</f>
        <v>5819</v>
      </c>
    </row>
    <row r="107" spans="1:38" hidden="1" outlineLevel="1">
      <c r="A107" t="s">
        <v>258</v>
      </c>
      <c r="N107" s="8">
        <f>+SUM($C29:N29)</f>
        <v>1951.4</v>
      </c>
      <c r="O107" s="8">
        <f>+SUM($C29:O29)</f>
        <v>3902.8</v>
      </c>
      <c r="P107" s="8">
        <f>+SUM($C29:P29)</f>
        <v>5854.2000000000007</v>
      </c>
      <c r="Q107" s="8">
        <f>+SUM($C29:Q29)</f>
        <v>7805.6</v>
      </c>
      <c r="R107" s="8">
        <f>+SUM($C29:R29)</f>
        <v>9106.5333333333328</v>
      </c>
      <c r="S107" s="8">
        <f>+SUM($C29:S29)</f>
        <v>9757</v>
      </c>
      <c r="T107" s="8">
        <f>+SUM($C29:T29)</f>
        <v>9757</v>
      </c>
      <c r="U107" s="8">
        <f>+SUM($C29:U29)</f>
        <v>9757</v>
      </c>
      <c r="V107" s="8">
        <f>+SUM($C29:V29)</f>
        <v>9757</v>
      </c>
      <c r="W107" s="8">
        <f>+SUM($C29:W29)</f>
        <v>9757</v>
      </c>
      <c r="X107" s="8">
        <f>+SUM($C29:X29)</f>
        <v>9757</v>
      </c>
      <c r="Y107" s="8">
        <f>+SUM($C29:Y29)</f>
        <v>9757</v>
      </c>
      <c r="Z107" s="8">
        <f>+SUM($C29:Z29)</f>
        <v>9757</v>
      </c>
      <c r="AA107" s="8">
        <f>+SUM($C29:AA29)</f>
        <v>9757</v>
      </c>
      <c r="AB107" s="8">
        <f>+SUM($C29:AB29)</f>
        <v>9757</v>
      </c>
      <c r="AC107" s="8">
        <f>+SUM($C29:AC29)</f>
        <v>9757</v>
      </c>
      <c r="AD107" s="8">
        <f>+SUM($C29:AD29)</f>
        <v>9757</v>
      </c>
      <c r="AE107" s="8">
        <f>+SUM($C29:AE29)</f>
        <v>9757</v>
      </c>
      <c r="AF107" s="8">
        <f>+SUM($C29:AF29)</f>
        <v>9757</v>
      </c>
      <c r="AG107" s="8">
        <f>+SUM($C29:AG29)</f>
        <v>9757</v>
      </c>
    </row>
    <row r="108" spans="1:38" hidden="1" outlineLevel="1">
      <c r="A108" t="s">
        <v>259</v>
      </c>
      <c r="O108" s="8">
        <f>+SUM($C30:O30)</f>
        <v>2154</v>
      </c>
      <c r="P108" s="8">
        <f>+SUM($C30:P30)</f>
        <v>4308</v>
      </c>
      <c r="Q108" s="8">
        <f>+SUM($C30:Q30)</f>
        <v>6462</v>
      </c>
      <c r="R108" s="8">
        <f>+SUM($C30:R30)</f>
        <v>7898</v>
      </c>
      <c r="S108" s="8">
        <f>+SUM($C30:S30)</f>
        <v>9334</v>
      </c>
      <c r="T108" s="8">
        <f>+SUM($C30:T30)</f>
        <v>10467.684210526317</v>
      </c>
      <c r="U108" s="8">
        <f>+SUM($C30:U30)</f>
        <v>10770</v>
      </c>
      <c r="V108" s="8">
        <f>+SUM($C30:V30)</f>
        <v>10770</v>
      </c>
      <c r="W108" s="8">
        <f>+SUM($C30:W30)</f>
        <v>10770</v>
      </c>
      <c r="X108" s="8">
        <f>+SUM($C30:X30)</f>
        <v>10770</v>
      </c>
      <c r="Y108" s="8">
        <f>+SUM($C30:Y30)</f>
        <v>10770</v>
      </c>
      <c r="Z108" s="8">
        <f>+SUM($C30:Z30)</f>
        <v>10770</v>
      </c>
      <c r="AA108" s="8">
        <f>+SUM($C30:AA30)</f>
        <v>10770</v>
      </c>
      <c r="AB108" s="8">
        <f>+SUM($C30:AB30)</f>
        <v>10770</v>
      </c>
      <c r="AC108" s="8">
        <f>+SUM($C30:AC30)</f>
        <v>10770</v>
      </c>
      <c r="AD108" s="8">
        <f>+SUM($C30:AD30)</f>
        <v>10770</v>
      </c>
      <c r="AE108" s="8">
        <f>+SUM($C30:AE30)</f>
        <v>10770</v>
      </c>
      <c r="AF108" s="8">
        <f>+SUM($C30:AF30)</f>
        <v>10770</v>
      </c>
      <c r="AG108" s="8">
        <f>+SUM($C30:AG30)</f>
        <v>10770</v>
      </c>
      <c r="AH108" s="8"/>
    </row>
    <row r="109" spans="1:38" hidden="1" outlineLevel="1">
      <c r="A109" t="s">
        <v>260</v>
      </c>
      <c r="P109" s="8">
        <f>+SUM($C31:P31)</f>
        <v>2624.8</v>
      </c>
      <c r="Q109" s="8">
        <f>+SUM($C31:Q31)</f>
        <v>5249.6</v>
      </c>
      <c r="R109" s="8">
        <f>+SUM($C31:R31)</f>
        <v>6999.4666666666672</v>
      </c>
      <c r="S109" s="8">
        <f>+SUM($C31:S31)</f>
        <v>8749.3333333333339</v>
      </c>
      <c r="T109" s="8">
        <f>+SUM($C31:T31)</f>
        <v>10130.807017543861</v>
      </c>
      <c r="U109" s="8">
        <f>+SUM($C31:U31)</f>
        <v>11512.280701754387</v>
      </c>
      <c r="V109" s="8">
        <f>+SUM($C31:V31)</f>
        <v>12893.754385964914</v>
      </c>
      <c r="W109" s="8">
        <f>+SUM($C31:W31)</f>
        <v>13124</v>
      </c>
      <c r="X109" s="8">
        <f>+SUM($C31:X31)</f>
        <v>13124</v>
      </c>
      <c r="Y109" s="8">
        <f>+SUM($C31:Y31)</f>
        <v>13124</v>
      </c>
      <c r="Z109" s="8">
        <f>+SUM($C31:Z31)</f>
        <v>13124</v>
      </c>
      <c r="AA109" s="8">
        <f>+SUM($C31:AA31)</f>
        <v>13124</v>
      </c>
      <c r="AB109" s="8">
        <f>+SUM($C31:AB31)</f>
        <v>13124</v>
      </c>
      <c r="AC109" s="8">
        <f>+SUM($C31:AC31)</f>
        <v>13124</v>
      </c>
      <c r="AD109" s="8">
        <f>+SUM($C31:AD31)</f>
        <v>13124</v>
      </c>
      <c r="AE109" s="8">
        <f>+SUM($C31:AE31)</f>
        <v>13124</v>
      </c>
      <c r="AF109" s="8">
        <f>+SUM($C31:AF31)</f>
        <v>13124</v>
      </c>
      <c r="AG109" s="8">
        <f>+SUM($C31:AG31)</f>
        <v>13124</v>
      </c>
      <c r="AH109" s="8"/>
      <c r="AI109" s="8"/>
    </row>
    <row r="110" spans="1:38" hidden="1" outlineLevel="1">
      <c r="A110" t="s">
        <v>261</v>
      </c>
      <c r="Q110" s="8">
        <f>+SUM($C32:Q32)</f>
        <v>3108.2</v>
      </c>
      <c r="R110" s="8">
        <f>+SUM($C32:R32)</f>
        <v>5180.333333333333</v>
      </c>
      <c r="S110" s="8">
        <f>+SUM($C32:S32)</f>
        <v>7252.4666666666662</v>
      </c>
      <c r="T110" s="8">
        <f>+SUM($C32:T32)</f>
        <v>8888.3614035087721</v>
      </c>
      <c r="U110" s="8">
        <f>+SUM($C32:U32)</f>
        <v>10524.256140350877</v>
      </c>
      <c r="V110" s="8">
        <f>+SUM($C32:V32)</f>
        <v>12160.150877192982</v>
      </c>
      <c r="W110" s="8">
        <f>+SUM($C32:W32)</f>
        <v>13796.045614035087</v>
      </c>
      <c r="X110" s="8">
        <f>+SUM($C32:X32)</f>
        <v>15431.940350877192</v>
      </c>
      <c r="Y110" s="8">
        <f>+SUM($C32:Y32)</f>
        <v>15541</v>
      </c>
      <c r="Z110" s="8">
        <f>+SUM($C32:Z32)</f>
        <v>15541</v>
      </c>
      <c r="AA110" s="8">
        <f>+SUM($C32:AA32)</f>
        <v>15541</v>
      </c>
      <c r="AB110" s="8">
        <f>+SUM($C32:AB32)</f>
        <v>15541</v>
      </c>
      <c r="AC110" s="8">
        <f>+SUM($C32:AC32)</f>
        <v>15541</v>
      </c>
      <c r="AD110" s="8">
        <f>+SUM($C32:AD32)</f>
        <v>15541</v>
      </c>
      <c r="AE110" s="8">
        <f>+SUM($C32:AE32)</f>
        <v>15541</v>
      </c>
      <c r="AF110" s="8">
        <f>+SUM($C32:AF32)</f>
        <v>15541</v>
      </c>
      <c r="AG110" s="8">
        <f>+SUM($C32:AG32)</f>
        <v>15541</v>
      </c>
      <c r="AH110" s="8"/>
      <c r="AI110" s="8"/>
      <c r="AJ110" s="8"/>
    </row>
    <row r="111" spans="1:38" hidden="1" outlineLevel="1">
      <c r="A111" t="s">
        <v>262</v>
      </c>
      <c r="R111" s="8">
        <f>+SUM($C33:R33)</f>
        <v>3162.4</v>
      </c>
      <c r="S111" s="8">
        <f>+SUM($C33:S33)</f>
        <v>6324.8</v>
      </c>
      <c r="T111" s="8">
        <f>+SUM($C33:T33)</f>
        <v>8821.4315789473694</v>
      </c>
      <c r="U111" s="8">
        <f>+SUM($C33:U33)</f>
        <v>11318.063157894738</v>
      </c>
      <c r="V111" s="8">
        <f>+SUM($C33:V33)</f>
        <v>13814.694736842106</v>
      </c>
      <c r="W111" s="8">
        <f>+SUM($C33:W33)</f>
        <v>16311.326315789474</v>
      </c>
      <c r="X111" s="8">
        <f>+SUM($C33:X33)</f>
        <v>18807.957894736843</v>
      </c>
      <c r="Y111" s="8">
        <f>+SUM($C33:Y33)</f>
        <v>21304.589473684209</v>
      </c>
      <c r="Z111" s="8">
        <f>+SUM($C33:Z33)</f>
        <v>23718</v>
      </c>
      <c r="AA111" s="8">
        <f>+SUM($C33:AA33)</f>
        <v>23718</v>
      </c>
      <c r="AB111" s="8">
        <f>+SUM($C33:AB33)</f>
        <v>23718</v>
      </c>
      <c r="AC111" s="8">
        <f>+SUM($C33:AC33)</f>
        <v>23718</v>
      </c>
      <c r="AD111" s="8">
        <f>+SUM($C33:AD33)</f>
        <v>23718</v>
      </c>
      <c r="AE111" s="8">
        <f>+SUM($C33:AE33)</f>
        <v>23718</v>
      </c>
      <c r="AF111" s="8">
        <f>+SUM($C33:AF33)</f>
        <v>23718</v>
      </c>
      <c r="AG111" s="8">
        <f>+SUM($C33:AG33)</f>
        <v>23718</v>
      </c>
      <c r="AH111" s="8"/>
      <c r="AI111" s="8"/>
      <c r="AJ111" s="8"/>
      <c r="AK111" s="8"/>
    </row>
    <row r="112" spans="1:38" hidden="1" outlineLevel="1">
      <c r="A112" t="s">
        <v>109</v>
      </c>
      <c r="S112" s="8">
        <f>+SUM($C34:S34)</f>
        <v>3065.6</v>
      </c>
      <c r="T112" s="8">
        <f>+SUM($C34:T34)</f>
        <v>5485.8105263157895</v>
      </c>
      <c r="U112" s="8">
        <f>+SUM($C34:U34)</f>
        <v>7906.0210526315786</v>
      </c>
      <c r="V112" s="8">
        <f>+SUM($C34:V34)</f>
        <v>10326.231578947369</v>
      </c>
      <c r="W112" s="8">
        <f>+SUM($C34:W34)</f>
        <v>12746.442105263159</v>
      </c>
      <c r="X112" s="8">
        <f>+SUM($C34:X34)</f>
        <v>15166.652631578949</v>
      </c>
      <c r="Y112" s="8">
        <f>+SUM($C34:Y34)</f>
        <v>17586.863157894739</v>
      </c>
      <c r="Z112" s="8">
        <f>+SUM($C34:Z34)</f>
        <v>20007.073684210529</v>
      </c>
      <c r="AA112" s="8">
        <f>+SUM($C34:AA34)</f>
        <v>22427.284210526319</v>
      </c>
      <c r="AB112" s="8">
        <f>+SUM($C34:AB34)</f>
        <v>22992</v>
      </c>
      <c r="AC112" s="8">
        <f>+SUM($C34:AC34)</f>
        <v>22992</v>
      </c>
      <c r="AD112" s="8">
        <f>+SUM($C34:AD34)</f>
        <v>22992</v>
      </c>
      <c r="AE112" s="8">
        <f>+SUM($C34:AE34)</f>
        <v>22992</v>
      </c>
      <c r="AF112" s="8">
        <f>+SUM($C34:AF34)</f>
        <v>22992</v>
      </c>
      <c r="AG112" s="8">
        <f>+SUM($C34:AG34)</f>
        <v>22992</v>
      </c>
      <c r="AH112" s="8"/>
      <c r="AI112" s="8"/>
      <c r="AJ112" s="8"/>
      <c r="AK112" s="8"/>
      <c r="AL112" s="8"/>
    </row>
    <row r="113" spans="1:44" hidden="1" outlineLevel="1">
      <c r="A113" t="s">
        <v>191</v>
      </c>
      <c r="T113" s="8">
        <f>+SUM($C35:T35)</f>
        <v>3140.4210526315787</v>
      </c>
      <c r="U113" s="8">
        <f>+SUM($C35:U35)</f>
        <v>6280.8421052631575</v>
      </c>
      <c r="V113" s="8">
        <f>+SUM($C35:V35)</f>
        <v>9421.2631578947367</v>
      </c>
      <c r="W113" s="8">
        <f>+SUM($C35:W35)</f>
        <v>12561.684210526315</v>
      </c>
      <c r="X113" s="8">
        <f>+SUM($C35:X35)</f>
        <v>15702.105263157893</v>
      </c>
      <c r="Y113" s="8">
        <f>+SUM($C35:Y35)</f>
        <v>18842.526315789473</v>
      </c>
      <c r="Z113" s="8">
        <f>+SUM($C35:Z35)</f>
        <v>21982.947368421053</v>
      </c>
      <c r="AA113" s="8">
        <f>+SUM($C35:AA35)</f>
        <v>25123.368421052633</v>
      </c>
      <c r="AB113" s="8">
        <f>+SUM($C35:AB35)</f>
        <v>28263.789473684214</v>
      </c>
      <c r="AC113" s="8">
        <f>+SUM($C35:AC35)</f>
        <v>29834</v>
      </c>
      <c r="AD113" s="8">
        <f>+SUM($C35:AD35)</f>
        <v>29834</v>
      </c>
      <c r="AE113" s="8">
        <f>+SUM($C35:AE35)</f>
        <v>29834</v>
      </c>
      <c r="AF113" s="8">
        <f>+SUM($C35:AF35)</f>
        <v>29834</v>
      </c>
      <c r="AG113" s="8">
        <f>+SUM($C35:AG35)</f>
        <v>29834</v>
      </c>
      <c r="AH113" s="8"/>
      <c r="AI113" s="8"/>
      <c r="AJ113" s="8"/>
      <c r="AK113" s="8"/>
      <c r="AL113" s="8"/>
      <c r="AM113" s="8"/>
    </row>
    <row r="114" spans="1:44" hidden="1" outlineLevel="1">
      <c r="A114" t="s">
        <v>263</v>
      </c>
      <c r="U114" s="8">
        <f>+SUM($C36:U36)</f>
        <v>5065.2631578947367</v>
      </c>
      <c r="V114" s="8">
        <f>+SUM($C36:V36)</f>
        <v>10130.526315789473</v>
      </c>
      <c r="W114" s="8">
        <f>+SUM($C36:W36)</f>
        <v>15195.78947368421</v>
      </c>
      <c r="X114" s="8">
        <f>+SUM($C36:X36)</f>
        <v>20261.052631578947</v>
      </c>
      <c r="Y114" s="8">
        <f>+SUM($C36:Y36)</f>
        <v>25326.315789473683</v>
      </c>
      <c r="Z114" s="8">
        <f>+SUM($C36:Z36)</f>
        <v>30391.57894736842</v>
      </c>
      <c r="AA114" s="8">
        <f>+SUM($C36:AA36)</f>
        <v>35456.84210526316</v>
      </c>
      <c r="AB114" s="8">
        <f>+SUM($C36:AB36)</f>
        <v>40522.105263157893</v>
      </c>
      <c r="AC114" s="8">
        <f>+SUM($C36:AC36)</f>
        <v>45587.368421052626</v>
      </c>
      <c r="AD114" s="8">
        <f>+SUM($C36:AD36)</f>
        <v>48120</v>
      </c>
      <c r="AE114" s="8">
        <f>+SUM($C36:AE36)</f>
        <v>48120</v>
      </c>
      <c r="AF114" s="8">
        <f>+SUM($C36:AF36)</f>
        <v>48120</v>
      </c>
      <c r="AG114" s="8">
        <f>+SUM($C36:AG36)</f>
        <v>48120</v>
      </c>
      <c r="AH114" s="8"/>
      <c r="AI114" s="8"/>
      <c r="AJ114" s="8"/>
      <c r="AK114" s="8"/>
      <c r="AL114" s="8"/>
      <c r="AM114" s="8"/>
      <c r="AN114" s="8"/>
    </row>
    <row r="115" spans="1:44" hidden="1" outlineLevel="1">
      <c r="A115" t="s">
        <v>72</v>
      </c>
      <c r="V115" s="8">
        <f>+SUM($C37:V37)</f>
        <v>7938.9473684210525</v>
      </c>
      <c r="W115" s="8">
        <f>+SUM($C37:W37)</f>
        <v>15877.894736842105</v>
      </c>
      <c r="X115" s="8">
        <f>+SUM($C37:X37)</f>
        <v>23816.842105263157</v>
      </c>
      <c r="Y115" s="8">
        <f>+SUM($C37:Y37)</f>
        <v>31755.78947368421</v>
      </c>
      <c r="Z115" s="8">
        <f>+SUM($C37:Z37)</f>
        <v>39694.73684210526</v>
      </c>
      <c r="AA115" s="8">
        <f>+SUM($C37:AA37)</f>
        <v>47633.684210526313</v>
      </c>
      <c r="AB115" s="8">
        <f>+SUM($C37:AB37)</f>
        <v>55572.631578947367</v>
      </c>
      <c r="AC115" s="8">
        <f>+SUM($C37:AC37)</f>
        <v>63511.57894736842</v>
      </c>
      <c r="AD115" s="8">
        <f>+SUM($C37:AD37)</f>
        <v>71450.526315789466</v>
      </c>
      <c r="AE115" s="8">
        <f>+SUM($C37:AE37)</f>
        <v>75420</v>
      </c>
      <c r="AF115" s="8">
        <f>+SUM($C37:AF37)</f>
        <v>75420</v>
      </c>
      <c r="AG115" s="8">
        <f>+SUM($C37:AG37)</f>
        <v>75420</v>
      </c>
      <c r="AH115" s="8"/>
      <c r="AI115" s="8"/>
      <c r="AJ115" s="8"/>
      <c r="AK115" s="8"/>
      <c r="AL115" s="8"/>
      <c r="AM115" s="8"/>
      <c r="AN115" s="8"/>
      <c r="AO115" s="8"/>
    </row>
    <row r="116" spans="1:44" hidden="1" outlineLevel="1">
      <c r="A116" t="s">
        <v>73</v>
      </c>
      <c r="W116" s="8">
        <f>+SUM($C38:W38)</f>
        <v>6675.5419856570215</v>
      </c>
      <c r="X116" s="8">
        <f>+SUM($C38:X38)</f>
        <v>13351.083971314043</v>
      </c>
      <c r="Y116" s="8">
        <f>+SUM($C38:Y38)</f>
        <v>20026.625956971064</v>
      </c>
      <c r="Z116" s="8">
        <f>+SUM($C38:Z38)</f>
        <v>26702.167942628086</v>
      </c>
      <c r="AA116" s="8">
        <f>+SUM($C38:AA38)</f>
        <v>33377.709928285105</v>
      </c>
      <c r="AB116" s="8">
        <f>+SUM($C38:AB38)</f>
        <v>40053.251913942127</v>
      </c>
      <c r="AC116" s="8">
        <f>+SUM($C38:AC38)</f>
        <v>46728.79389959915</v>
      </c>
      <c r="AD116" s="8">
        <f>+SUM($C38:AD38)</f>
        <v>53404.335885256172</v>
      </c>
      <c r="AE116" s="8">
        <f>+SUM($C38:AE38)</f>
        <v>60079.877870913195</v>
      </c>
      <c r="AF116" s="8">
        <f>+SUM($C38:AF38)</f>
        <v>63417.648863741706</v>
      </c>
      <c r="AG116" s="8">
        <f>+SUM($C38:AG38)</f>
        <v>63417.648863741706</v>
      </c>
      <c r="AH116" s="8"/>
      <c r="AI116" s="8"/>
      <c r="AJ116" s="8"/>
      <c r="AK116" s="8"/>
      <c r="AL116" s="8"/>
      <c r="AM116" s="8"/>
      <c r="AN116" s="8"/>
      <c r="AO116" s="8"/>
      <c r="AP116" s="8"/>
    </row>
    <row r="117" spans="1:44" hidden="1" outlineLevel="1">
      <c r="A117" t="s">
        <v>74</v>
      </c>
      <c r="X117" s="8">
        <f>+SUM($C39:X39)</f>
        <v>6919.0143909644075</v>
      </c>
      <c r="Y117" s="8">
        <f>+SUM($C39:Y39)</f>
        <v>13838.028781928815</v>
      </c>
      <c r="Z117" s="8">
        <f>+SUM($C39:Z39)</f>
        <v>20757.043172893224</v>
      </c>
      <c r="AA117" s="8">
        <f>+SUM($C39:AA39)</f>
        <v>27676.05756385763</v>
      </c>
      <c r="AB117" s="8">
        <f>+SUM($C39:AB39)</f>
        <v>34595.071954822037</v>
      </c>
      <c r="AC117" s="8">
        <f>+SUM($C39:AC39)</f>
        <v>41514.086345786447</v>
      </c>
      <c r="AD117" s="8">
        <f>+SUM($C39:AD39)</f>
        <v>48433.100736750857</v>
      </c>
      <c r="AE117" s="8">
        <f>+SUM($C39:AE39)</f>
        <v>55352.115127715268</v>
      </c>
      <c r="AF117" s="8">
        <f>+SUM($C39:AF39)</f>
        <v>62271.129518679678</v>
      </c>
      <c r="AG117" s="8">
        <f>+SUM($C39:AG39)</f>
        <v>65730.636714161868</v>
      </c>
      <c r="AH117" s="8"/>
      <c r="AI117" s="8"/>
      <c r="AJ117" s="8"/>
      <c r="AK117" s="8"/>
      <c r="AL117" s="8"/>
      <c r="AM117" s="8"/>
      <c r="AN117" s="8"/>
      <c r="AO117" s="8"/>
      <c r="AP117" s="8"/>
      <c r="AQ117" s="8"/>
    </row>
    <row r="118" spans="1:44" hidden="1" outlineLevel="1">
      <c r="A118" t="s">
        <v>75</v>
      </c>
      <c r="Y118" s="8">
        <f>+SUM($C40:Y40)</f>
        <v>7092.8481942030548</v>
      </c>
      <c r="Z118" s="8">
        <f>+SUM($C40:Z40)</f>
        <v>14185.69638840611</v>
      </c>
      <c r="AA118" s="8">
        <f>+SUM($C40:AA40)</f>
        <v>21278.544582609164</v>
      </c>
      <c r="AB118" s="8">
        <f>+SUM($C40:AB40)</f>
        <v>28371.392776812219</v>
      </c>
      <c r="AC118" s="8">
        <f>+SUM($C40:AC40)</f>
        <v>35464.240971015271</v>
      </c>
      <c r="AD118" s="8">
        <f>+SUM($C40:AD40)</f>
        <v>42557.089165218327</v>
      </c>
      <c r="AE118" s="8">
        <f>+SUM($C40:AE40)</f>
        <v>49649.937359421383</v>
      </c>
      <c r="AF118" s="8">
        <f>+SUM($C40:AF40)</f>
        <v>56742.785553624439</v>
      </c>
      <c r="AG118" s="8">
        <f>+SUM($C40:AG40)</f>
        <v>63835.633747827495</v>
      </c>
      <c r="AH118" s="8"/>
      <c r="AI118" s="8"/>
      <c r="AJ118" s="8"/>
      <c r="AK118" s="8"/>
      <c r="AL118" s="8"/>
      <c r="AM118" s="8"/>
      <c r="AN118" s="8"/>
      <c r="AO118" s="8"/>
      <c r="AP118" s="8"/>
      <c r="AQ118" s="8"/>
      <c r="AR118" s="8"/>
    </row>
    <row r="119" spans="1:44" hidden="1" outlineLevel="1">
      <c r="A119" t="s">
        <v>76</v>
      </c>
      <c r="Y119" s="8"/>
      <c r="Z119" s="8">
        <f>+SUM($C41:Z41)</f>
        <v>7175.1863089224653</v>
      </c>
      <c r="AA119" s="8">
        <f>+SUM($C41:AA41)</f>
        <v>14350.372617844931</v>
      </c>
      <c r="AB119" s="8">
        <f>+SUM($C41:AB41)</f>
        <v>21525.558926767397</v>
      </c>
      <c r="AC119" s="8">
        <f>+SUM($C41:AC41)</f>
        <v>28700.745235689861</v>
      </c>
      <c r="AD119" s="8">
        <f>+SUM($C41:AD41)</f>
        <v>35875.931544612329</v>
      </c>
      <c r="AE119" s="8">
        <f>+SUM($C41:AE41)</f>
        <v>43051.117853534794</v>
      </c>
      <c r="AF119" s="8">
        <f>+SUM($C41:AF41)</f>
        <v>50226.304162457258</v>
      </c>
      <c r="AG119" s="8">
        <f>+SUM($C41:AG41)</f>
        <v>57401.490471379722</v>
      </c>
      <c r="AH119" s="8"/>
      <c r="AI119" s="8"/>
      <c r="AJ119" s="8"/>
      <c r="AK119" s="8"/>
      <c r="AL119" s="8"/>
      <c r="AM119" s="8"/>
      <c r="AN119" s="8"/>
      <c r="AO119" s="8"/>
      <c r="AP119" s="8"/>
      <c r="AQ119" s="8"/>
      <c r="AR119" s="8"/>
    </row>
    <row r="120" spans="1:44" hidden="1" outlineLevel="1">
      <c r="A120" t="s">
        <v>77</v>
      </c>
      <c r="Y120" s="8"/>
      <c r="Z120" s="8"/>
      <c r="AA120" s="8">
        <f>+SUM($C42:AA42)</f>
        <v>7139.6838781749511</v>
      </c>
      <c r="AB120" s="8">
        <f>+SUM($C42:AB42)</f>
        <v>14279.367756349902</v>
      </c>
      <c r="AC120" s="8">
        <f>+SUM($C42:AC42)</f>
        <v>21419.051634524854</v>
      </c>
      <c r="AD120" s="8">
        <f>+SUM($C42:AD42)</f>
        <v>28558.735512699805</v>
      </c>
      <c r="AE120" s="8">
        <f>+SUM($C42:AE42)</f>
        <v>35698.419390874755</v>
      </c>
      <c r="AF120" s="8">
        <f>+SUM($C42:AF42)</f>
        <v>42838.103269049709</v>
      </c>
      <c r="AG120" s="8">
        <f>+SUM($C42:AG42)</f>
        <v>49977.787147224662</v>
      </c>
      <c r="AH120" s="8"/>
      <c r="AI120" s="8"/>
      <c r="AJ120" s="8"/>
      <c r="AK120" s="8"/>
      <c r="AL120" s="8"/>
      <c r="AM120" s="8"/>
      <c r="AN120" s="8"/>
      <c r="AO120" s="8"/>
      <c r="AP120" s="8"/>
      <c r="AQ120" s="8"/>
      <c r="AR120" s="8"/>
    </row>
    <row r="121" spans="1:44" hidden="1" outlineLevel="1">
      <c r="A121" t="s">
        <v>78</v>
      </c>
      <c r="Y121" s="8"/>
      <c r="Z121" s="8"/>
      <c r="AA121" s="8"/>
      <c r="AB121" s="8">
        <f>+SUM($C43:AB43)</f>
        <v>7534.2706312941127</v>
      </c>
      <c r="AC121" s="8">
        <f>+SUM($C43:AC43)</f>
        <v>15068.541262588225</v>
      </c>
      <c r="AD121" s="8">
        <f>+SUM($C43:AD43)</f>
        <v>22602.811893882339</v>
      </c>
      <c r="AE121" s="8">
        <f>+SUM($C43:AE43)</f>
        <v>30137.082525176451</v>
      </c>
      <c r="AF121" s="8">
        <f>+SUM($C43:AF43)</f>
        <v>37671.353156470563</v>
      </c>
      <c r="AG121" s="8">
        <f>+SUM($C43:AG43)</f>
        <v>45205.623787764678</v>
      </c>
      <c r="AH121" s="8"/>
      <c r="AI121" s="8"/>
      <c r="AJ121" s="8"/>
      <c r="AK121" s="8"/>
      <c r="AL121" s="8"/>
      <c r="AM121" s="8"/>
      <c r="AN121" s="8"/>
      <c r="AO121" s="8"/>
      <c r="AP121" s="8"/>
      <c r="AQ121" s="8"/>
      <c r="AR121" s="8"/>
    </row>
    <row r="122" spans="1:44" hidden="1" outlineLevel="1">
      <c r="A122" t="s">
        <v>79</v>
      </c>
      <c r="Y122" s="8"/>
      <c r="Z122" s="8"/>
      <c r="AA122" s="8"/>
      <c r="AB122" s="8"/>
      <c r="AC122" s="8">
        <f>+SUM($C44:AC44)</f>
        <v>7898.9114644056108</v>
      </c>
      <c r="AD122" s="8">
        <f>+SUM($C44:AD44)</f>
        <v>15797.822928811222</v>
      </c>
      <c r="AE122" s="8">
        <f>+SUM($C44:AE44)</f>
        <v>23696.734393216833</v>
      </c>
      <c r="AF122" s="8">
        <f>+SUM($C44:AF44)</f>
        <v>31595.645857622443</v>
      </c>
      <c r="AG122" s="8">
        <f>+SUM($C44:AG44)</f>
        <v>39494.557322028057</v>
      </c>
      <c r="AH122" s="8"/>
      <c r="AI122" s="8"/>
      <c r="AJ122" s="8"/>
      <c r="AK122" s="8"/>
      <c r="AL122" s="8"/>
      <c r="AM122" s="8"/>
      <c r="AN122" s="8"/>
      <c r="AO122" s="8"/>
      <c r="AP122" s="8"/>
      <c r="AQ122" s="8"/>
      <c r="AR122" s="8"/>
    </row>
    <row r="123" spans="1:44" hidden="1" outlineLevel="1">
      <c r="A123" t="s">
        <v>80</v>
      </c>
      <c r="Y123" s="8"/>
      <c r="Z123" s="8"/>
      <c r="AA123" s="8"/>
      <c r="AB123" s="8"/>
      <c r="AC123" s="8"/>
      <c r="AD123" s="8">
        <f>+SUM($C45:AD45)</f>
        <v>8966.5390812885362</v>
      </c>
      <c r="AE123" s="8">
        <f>+SUM($C45:AE45)</f>
        <v>17933.078162577072</v>
      </c>
      <c r="AF123" s="8">
        <f>+SUM($C45:AF45)</f>
        <v>26899.617243865607</v>
      </c>
      <c r="AG123" s="8">
        <f>+SUM($C45:AG45)</f>
        <v>35866.156325154145</v>
      </c>
      <c r="AH123" s="8"/>
      <c r="AI123" s="8"/>
      <c r="AJ123" s="8"/>
      <c r="AK123" s="8"/>
      <c r="AL123" s="8"/>
      <c r="AM123" s="8"/>
      <c r="AN123" s="8"/>
      <c r="AO123" s="8"/>
      <c r="AP123" s="8"/>
      <c r="AQ123" s="8"/>
      <c r="AR123" s="8"/>
    </row>
    <row r="124" spans="1:44" hidden="1" outlineLevel="1">
      <c r="A124" t="s">
        <v>81</v>
      </c>
      <c r="Y124" s="8"/>
      <c r="Z124" s="8"/>
      <c r="AA124" s="8"/>
      <c r="AB124" s="8"/>
      <c r="AC124" s="8"/>
      <c r="AD124" s="8"/>
      <c r="AE124" s="8">
        <f>+SUM($C46:AE46)</f>
        <v>10173.65136351691</v>
      </c>
      <c r="AF124" s="8">
        <f>+SUM($C46:AF46)</f>
        <v>20347.302727033821</v>
      </c>
      <c r="AG124" s="8">
        <f>+SUM($C46:AG46)</f>
        <v>30520.954090550731</v>
      </c>
      <c r="AH124" s="8"/>
      <c r="AI124" s="8"/>
      <c r="AJ124" s="8"/>
      <c r="AK124" s="8"/>
      <c r="AL124" s="8"/>
      <c r="AM124" s="8"/>
      <c r="AN124" s="8"/>
      <c r="AO124" s="8"/>
      <c r="AP124" s="8"/>
      <c r="AQ124" s="8"/>
      <c r="AR124" s="8"/>
    </row>
    <row r="125" spans="1:44" hidden="1" outlineLevel="1">
      <c r="A125" t="s">
        <v>82</v>
      </c>
      <c r="Y125" s="8"/>
      <c r="Z125" s="8"/>
      <c r="AA125" s="8"/>
      <c r="AB125" s="8"/>
      <c r="AC125" s="8"/>
      <c r="AD125" s="8"/>
      <c r="AE125" s="8"/>
      <c r="AF125" s="8">
        <f>+SUM($C47:AF47)</f>
        <v>11538.393099863209</v>
      </c>
      <c r="AG125" s="8">
        <f>+SUM($C47:AG47)</f>
        <v>23076.786199726419</v>
      </c>
      <c r="AH125" s="8"/>
      <c r="AI125" s="8"/>
      <c r="AJ125" s="8"/>
      <c r="AK125" s="8"/>
      <c r="AL125" s="8"/>
      <c r="AM125" s="8"/>
      <c r="AN125" s="8"/>
      <c r="AO125" s="8"/>
      <c r="AP125" s="8"/>
      <c r="AQ125" s="8"/>
      <c r="AR125" s="8"/>
    </row>
    <row r="126" spans="1:44" hidden="1" outlineLevel="1">
      <c r="A126" t="s">
        <v>83</v>
      </c>
      <c r="Y126" s="8"/>
      <c r="Z126" s="8"/>
      <c r="AA126" s="8"/>
      <c r="AB126" s="8"/>
      <c r="AC126" s="8"/>
      <c r="AD126" s="8"/>
      <c r="AE126" s="8"/>
      <c r="AF126" s="8"/>
      <c r="AG126" s="8">
        <f>+SUM($C48:AG48)</f>
        <v>13081.268101939044</v>
      </c>
      <c r="AH126" s="8"/>
      <c r="AI126" s="8"/>
      <c r="AJ126" s="8"/>
      <c r="AK126" s="8"/>
      <c r="AL126" s="8"/>
      <c r="AM126" s="8"/>
      <c r="AN126" s="8"/>
      <c r="AO126" s="8"/>
      <c r="AP126" s="8"/>
      <c r="AQ126" s="8"/>
      <c r="AR126" s="8"/>
    </row>
    <row r="127" spans="1:44" hidden="1" outlineLevel="1">
      <c r="A127" t="s">
        <v>764</v>
      </c>
      <c r="Y127" s="8"/>
      <c r="Z127" s="8"/>
      <c r="AA127" s="8"/>
      <c r="AB127" s="8"/>
      <c r="AC127" s="8"/>
      <c r="AD127" s="8"/>
      <c r="AE127" s="8"/>
      <c r="AF127" s="8"/>
      <c r="AG127" s="8"/>
      <c r="AH127" s="8"/>
      <c r="AI127" s="8"/>
      <c r="AJ127" s="8"/>
      <c r="AK127" s="8"/>
      <c r="AL127" s="8"/>
      <c r="AM127" s="8"/>
      <c r="AN127" s="8"/>
      <c r="AO127" s="8"/>
      <c r="AP127" s="8"/>
      <c r="AQ127" s="8"/>
      <c r="AR127" s="8"/>
    </row>
    <row r="128" spans="1:44" hidden="1" outlineLevel="1"/>
    <row r="129" spans="1:37" ht="10.5" hidden="1" outlineLevel="1">
      <c r="A129" s="45" t="s">
        <v>776</v>
      </c>
    </row>
    <row r="130" spans="1:37" hidden="1" outlineLevel="1">
      <c r="A130" t="str">
        <f>+A97</f>
        <v>FY07 and prior</v>
      </c>
      <c r="D130" s="8">
        <f t="shared" ref="D130:AF139" si="79">+D64-D97</f>
        <v>7492.8</v>
      </c>
      <c r="E130" s="8">
        <f t="shared" si="79"/>
        <v>5619.6</v>
      </c>
      <c r="F130" s="8">
        <f t="shared" si="79"/>
        <v>3746.3999999999996</v>
      </c>
      <c r="G130" s="8">
        <f t="shared" si="79"/>
        <v>1873.1999999999998</v>
      </c>
      <c r="H130" s="8">
        <f t="shared" si="79"/>
        <v>0</v>
      </c>
      <c r="I130" s="8">
        <f t="shared" si="79"/>
        <v>0</v>
      </c>
      <c r="J130" s="8">
        <f t="shared" si="79"/>
        <v>0</v>
      </c>
      <c r="K130" s="8">
        <f t="shared" si="79"/>
        <v>0</v>
      </c>
      <c r="L130" s="8">
        <f t="shared" si="79"/>
        <v>0</v>
      </c>
      <c r="M130" s="8">
        <f t="shared" si="79"/>
        <v>0</v>
      </c>
      <c r="N130" s="8">
        <f t="shared" si="79"/>
        <v>0</v>
      </c>
      <c r="O130" s="8">
        <f t="shared" si="79"/>
        <v>0</v>
      </c>
      <c r="P130" s="8">
        <f>+P64-P97</f>
        <v>0</v>
      </c>
      <c r="Q130" s="8">
        <f t="shared" si="79"/>
        <v>0</v>
      </c>
      <c r="R130" s="8">
        <f t="shared" si="79"/>
        <v>0</v>
      </c>
      <c r="S130" s="8">
        <f t="shared" si="79"/>
        <v>0</v>
      </c>
      <c r="T130" s="8">
        <f t="shared" si="79"/>
        <v>0</v>
      </c>
      <c r="U130" s="8">
        <f t="shared" ref="U130" si="80">+U64-U97</f>
        <v>0</v>
      </c>
      <c r="V130" s="8">
        <f t="shared" si="79"/>
        <v>0</v>
      </c>
      <c r="W130" s="8">
        <f t="shared" si="79"/>
        <v>0</v>
      </c>
      <c r="X130" s="8">
        <f t="shared" si="79"/>
        <v>0</v>
      </c>
      <c r="Y130" s="8">
        <f t="shared" si="79"/>
        <v>0</v>
      </c>
      <c r="Z130" s="8">
        <f t="shared" si="79"/>
        <v>0</v>
      </c>
      <c r="AA130" s="8">
        <f t="shared" si="79"/>
        <v>0</v>
      </c>
      <c r="AB130" s="8">
        <f t="shared" si="79"/>
        <v>0</v>
      </c>
      <c r="AC130" s="8">
        <f t="shared" si="79"/>
        <v>0</v>
      </c>
      <c r="AD130" s="8">
        <f t="shared" si="79"/>
        <v>0</v>
      </c>
      <c r="AE130" s="8">
        <f t="shared" si="79"/>
        <v>0</v>
      </c>
      <c r="AF130" s="8">
        <f t="shared" si="79"/>
        <v>0</v>
      </c>
      <c r="AG130" s="8">
        <f t="shared" ref="AG130" si="81">+AG64-AG97</f>
        <v>0</v>
      </c>
    </row>
    <row r="131" spans="1:37" hidden="1" outlineLevel="1">
      <c r="A131" t="s">
        <v>249</v>
      </c>
      <c r="E131" s="8">
        <f t="shared" si="79"/>
        <v>2542.4</v>
      </c>
      <c r="F131" s="8">
        <f t="shared" si="79"/>
        <v>1906.8</v>
      </c>
      <c r="G131" s="8">
        <f t="shared" si="79"/>
        <v>1271.1999999999998</v>
      </c>
      <c r="H131" s="8">
        <f t="shared" si="79"/>
        <v>635.59999999999991</v>
      </c>
      <c r="I131" s="8">
        <f t="shared" si="79"/>
        <v>0</v>
      </c>
      <c r="J131" s="8">
        <f t="shared" si="79"/>
        <v>0</v>
      </c>
      <c r="K131" s="8">
        <f t="shared" si="79"/>
        <v>0</v>
      </c>
      <c r="L131" s="8">
        <f t="shared" si="79"/>
        <v>0</v>
      </c>
      <c r="M131" s="8">
        <f t="shared" si="79"/>
        <v>0</v>
      </c>
      <c r="N131" s="8">
        <f t="shared" si="79"/>
        <v>0</v>
      </c>
      <c r="O131" s="8">
        <f t="shared" si="79"/>
        <v>0</v>
      </c>
      <c r="P131" s="8">
        <f t="shared" si="79"/>
        <v>0</v>
      </c>
      <c r="Q131" s="8">
        <f t="shared" si="79"/>
        <v>0</v>
      </c>
      <c r="R131" s="8">
        <f t="shared" si="79"/>
        <v>0</v>
      </c>
      <c r="S131" s="8">
        <f t="shared" si="79"/>
        <v>0</v>
      </c>
      <c r="T131" s="8">
        <f t="shared" si="79"/>
        <v>0</v>
      </c>
      <c r="U131" s="8">
        <f t="shared" ref="U131" si="82">+U65-U98</f>
        <v>0</v>
      </c>
      <c r="V131" s="8">
        <f t="shared" si="79"/>
        <v>0</v>
      </c>
      <c r="W131" s="8">
        <f t="shared" si="79"/>
        <v>0</v>
      </c>
      <c r="X131" s="8">
        <f t="shared" si="79"/>
        <v>0</v>
      </c>
      <c r="Y131" s="8">
        <f t="shared" si="79"/>
        <v>0</v>
      </c>
      <c r="Z131" s="8">
        <f t="shared" si="79"/>
        <v>0</v>
      </c>
      <c r="AA131" s="8">
        <f t="shared" si="79"/>
        <v>0</v>
      </c>
      <c r="AB131" s="8">
        <f t="shared" si="79"/>
        <v>0</v>
      </c>
      <c r="AC131" s="8">
        <f t="shared" si="79"/>
        <v>0</v>
      </c>
      <c r="AD131" s="8">
        <f t="shared" si="79"/>
        <v>0</v>
      </c>
      <c r="AE131" s="8">
        <f t="shared" si="79"/>
        <v>0</v>
      </c>
      <c r="AF131" s="8">
        <f t="shared" si="79"/>
        <v>0</v>
      </c>
      <c r="AG131" s="8">
        <f t="shared" ref="AG131" si="83">+AG65-AG98</f>
        <v>0</v>
      </c>
    </row>
    <row r="132" spans="1:37" hidden="1" outlineLevel="1">
      <c r="A132" t="s">
        <v>250</v>
      </c>
      <c r="F132" s="8">
        <f t="shared" si="79"/>
        <v>2030.4</v>
      </c>
      <c r="G132" s="8">
        <f t="shared" si="79"/>
        <v>1522.8</v>
      </c>
      <c r="H132" s="8">
        <f t="shared" si="79"/>
        <v>1015.1999999999998</v>
      </c>
      <c r="I132" s="8">
        <f t="shared" si="79"/>
        <v>507.59999999999991</v>
      </c>
      <c r="J132" s="8">
        <f t="shared" si="79"/>
        <v>0</v>
      </c>
      <c r="K132" s="8">
        <f t="shared" si="79"/>
        <v>0</v>
      </c>
      <c r="L132" s="8">
        <f t="shared" si="79"/>
        <v>0</v>
      </c>
      <c r="M132" s="8">
        <f t="shared" si="79"/>
        <v>0</v>
      </c>
      <c r="N132" s="8">
        <f t="shared" si="79"/>
        <v>0</v>
      </c>
      <c r="O132" s="8">
        <f t="shared" si="79"/>
        <v>0</v>
      </c>
      <c r="P132" s="8">
        <f t="shared" si="79"/>
        <v>0</v>
      </c>
      <c r="Q132" s="8">
        <f t="shared" si="79"/>
        <v>0</v>
      </c>
      <c r="R132" s="8">
        <f t="shared" si="79"/>
        <v>0</v>
      </c>
      <c r="S132" s="8">
        <f t="shared" si="79"/>
        <v>0</v>
      </c>
      <c r="T132" s="8">
        <f t="shared" si="79"/>
        <v>0</v>
      </c>
      <c r="U132" s="8">
        <f t="shared" ref="U132" si="84">+U66-U99</f>
        <v>0</v>
      </c>
      <c r="V132" s="8">
        <f t="shared" si="79"/>
        <v>0</v>
      </c>
      <c r="W132" s="8">
        <f t="shared" si="79"/>
        <v>0</v>
      </c>
      <c r="X132" s="8">
        <f t="shared" si="79"/>
        <v>0</v>
      </c>
      <c r="Y132" s="8">
        <f t="shared" si="79"/>
        <v>0</v>
      </c>
      <c r="Z132" s="8">
        <f t="shared" si="79"/>
        <v>0</v>
      </c>
      <c r="AA132" s="8">
        <f t="shared" si="79"/>
        <v>0</v>
      </c>
      <c r="AB132" s="8">
        <f t="shared" si="79"/>
        <v>0</v>
      </c>
      <c r="AC132" s="8">
        <f t="shared" si="79"/>
        <v>0</v>
      </c>
      <c r="AD132" s="8">
        <f t="shared" si="79"/>
        <v>0</v>
      </c>
      <c r="AE132" s="8">
        <f t="shared" si="79"/>
        <v>0</v>
      </c>
      <c r="AF132" s="8">
        <f t="shared" si="79"/>
        <v>0</v>
      </c>
      <c r="AG132" s="8">
        <f t="shared" ref="AG132" si="85">+AG66-AG99</f>
        <v>0</v>
      </c>
    </row>
    <row r="133" spans="1:37" hidden="1" outlineLevel="1">
      <c r="A133" t="s">
        <v>251</v>
      </c>
      <c r="G133" s="8">
        <f t="shared" si="79"/>
        <v>941.6</v>
      </c>
      <c r="H133" s="8">
        <f t="shared" si="79"/>
        <v>706.2</v>
      </c>
      <c r="I133" s="8">
        <f t="shared" si="79"/>
        <v>470.79999999999995</v>
      </c>
      <c r="J133" s="8">
        <f t="shared" si="79"/>
        <v>235.39999999999998</v>
      </c>
      <c r="K133" s="8">
        <f t="shared" si="79"/>
        <v>0</v>
      </c>
      <c r="L133" s="8">
        <f t="shared" si="79"/>
        <v>0</v>
      </c>
      <c r="M133" s="8">
        <f t="shared" si="79"/>
        <v>0</v>
      </c>
      <c r="N133" s="8">
        <f t="shared" si="79"/>
        <v>0</v>
      </c>
      <c r="O133" s="8">
        <f t="shared" si="79"/>
        <v>0</v>
      </c>
      <c r="P133" s="8">
        <f t="shared" si="79"/>
        <v>0</v>
      </c>
      <c r="Q133" s="8">
        <f t="shared" si="79"/>
        <v>0</v>
      </c>
      <c r="R133" s="8">
        <f t="shared" si="79"/>
        <v>0</v>
      </c>
      <c r="S133" s="8">
        <f t="shared" si="79"/>
        <v>0</v>
      </c>
      <c r="T133" s="8">
        <f t="shared" si="79"/>
        <v>0</v>
      </c>
      <c r="U133" s="8">
        <f t="shared" ref="U133" si="86">+U67-U100</f>
        <v>0</v>
      </c>
      <c r="V133" s="8">
        <f t="shared" si="79"/>
        <v>0</v>
      </c>
      <c r="W133" s="8">
        <f t="shared" si="79"/>
        <v>0</v>
      </c>
      <c r="X133" s="8">
        <f t="shared" si="79"/>
        <v>0</v>
      </c>
      <c r="Y133" s="8">
        <f t="shared" si="79"/>
        <v>0</v>
      </c>
      <c r="Z133" s="8">
        <f t="shared" si="79"/>
        <v>0</v>
      </c>
      <c r="AA133" s="8">
        <f t="shared" si="79"/>
        <v>0</v>
      </c>
      <c r="AB133" s="8">
        <f t="shared" si="79"/>
        <v>0</v>
      </c>
      <c r="AC133" s="8">
        <f t="shared" si="79"/>
        <v>0</v>
      </c>
      <c r="AD133" s="8">
        <f t="shared" si="79"/>
        <v>0</v>
      </c>
      <c r="AE133" s="8">
        <f t="shared" si="79"/>
        <v>0</v>
      </c>
      <c r="AF133" s="8">
        <f t="shared" si="79"/>
        <v>0</v>
      </c>
      <c r="AG133" s="8">
        <f t="shared" ref="AG133" si="87">+AG67-AG100</f>
        <v>0</v>
      </c>
    </row>
    <row r="134" spans="1:37" hidden="1" outlineLevel="1">
      <c r="A134" t="s">
        <v>252</v>
      </c>
      <c r="H134" s="8">
        <f t="shared" si="79"/>
        <v>1385.6</v>
      </c>
      <c r="I134" s="8">
        <f t="shared" si="79"/>
        <v>1039.2</v>
      </c>
      <c r="J134" s="8">
        <f t="shared" si="79"/>
        <v>692.80000000000018</v>
      </c>
      <c r="K134" s="8">
        <f t="shared" si="79"/>
        <v>346.40000000000009</v>
      </c>
      <c r="L134" s="8">
        <f t="shared" si="79"/>
        <v>0</v>
      </c>
      <c r="M134" s="8">
        <f t="shared" si="79"/>
        <v>0</v>
      </c>
      <c r="N134" s="8">
        <f t="shared" si="79"/>
        <v>0</v>
      </c>
      <c r="O134" s="8">
        <f t="shared" si="79"/>
        <v>0</v>
      </c>
      <c r="P134" s="8">
        <f t="shared" si="79"/>
        <v>0</v>
      </c>
      <c r="Q134" s="8">
        <f t="shared" si="79"/>
        <v>0</v>
      </c>
      <c r="R134" s="8">
        <f t="shared" si="79"/>
        <v>0</v>
      </c>
      <c r="S134" s="8">
        <f t="shared" si="79"/>
        <v>0</v>
      </c>
      <c r="T134" s="8">
        <f t="shared" si="79"/>
        <v>0</v>
      </c>
      <c r="U134" s="8">
        <f t="shared" ref="U134" si="88">+U68-U101</f>
        <v>0</v>
      </c>
      <c r="V134" s="8">
        <f t="shared" si="79"/>
        <v>0</v>
      </c>
      <c r="W134" s="8">
        <f t="shared" si="79"/>
        <v>0</v>
      </c>
      <c r="X134" s="8">
        <f t="shared" si="79"/>
        <v>0</v>
      </c>
      <c r="Y134" s="8">
        <f t="shared" si="79"/>
        <v>0</v>
      </c>
      <c r="Z134" s="8">
        <f t="shared" si="79"/>
        <v>0</v>
      </c>
      <c r="AA134" s="8">
        <f t="shared" si="79"/>
        <v>0</v>
      </c>
      <c r="AB134" s="8">
        <f t="shared" si="79"/>
        <v>0</v>
      </c>
      <c r="AC134" s="8">
        <f t="shared" si="79"/>
        <v>0</v>
      </c>
      <c r="AD134" s="8">
        <f t="shared" si="79"/>
        <v>0</v>
      </c>
      <c r="AE134" s="8">
        <f t="shared" si="79"/>
        <v>0</v>
      </c>
      <c r="AF134" s="8">
        <f t="shared" si="79"/>
        <v>0</v>
      </c>
      <c r="AG134" s="8">
        <f t="shared" ref="AG134" si="89">+AG68-AG101</f>
        <v>0</v>
      </c>
    </row>
    <row r="135" spans="1:37" hidden="1" outlineLevel="1">
      <c r="A135" t="s">
        <v>253</v>
      </c>
      <c r="I135" s="8">
        <f t="shared" si="79"/>
        <v>992</v>
      </c>
      <c r="J135" s="8">
        <f t="shared" si="79"/>
        <v>744</v>
      </c>
      <c r="K135" s="8">
        <f t="shared" si="79"/>
        <v>496</v>
      </c>
      <c r="L135" s="8">
        <f t="shared" si="79"/>
        <v>248</v>
      </c>
      <c r="M135" s="8">
        <f t="shared" si="79"/>
        <v>0</v>
      </c>
      <c r="N135" s="8">
        <f t="shared" si="79"/>
        <v>0</v>
      </c>
      <c r="O135" s="8">
        <f t="shared" si="79"/>
        <v>0</v>
      </c>
      <c r="P135" s="8">
        <f t="shared" si="79"/>
        <v>0</v>
      </c>
      <c r="Q135" s="8">
        <f t="shared" si="79"/>
        <v>0</v>
      </c>
      <c r="R135" s="8">
        <f t="shared" si="79"/>
        <v>0</v>
      </c>
      <c r="S135" s="8">
        <f t="shared" si="79"/>
        <v>0</v>
      </c>
      <c r="T135" s="8">
        <f t="shared" si="79"/>
        <v>0</v>
      </c>
      <c r="U135" s="8">
        <f t="shared" ref="U135" si="90">+U69-U102</f>
        <v>0</v>
      </c>
      <c r="V135" s="8">
        <f t="shared" si="79"/>
        <v>0</v>
      </c>
      <c r="W135" s="8">
        <f t="shared" si="79"/>
        <v>0</v>
      </c>
      <c r="X135" s="8">
        <f t="shared" si="79"/>
        <v>0</v>
      </c>
      <c r="Y135" s="8">
        <f t="shared" si="79"/>
        <v>0</v>
      </c>
      <c r="Z135" s="8">
        <f t="shared" si="79"/>
        <v>0</v>
      </c>
      <c r="AA135" s="8">
        <f t="shared" si="79"/>
        <v>0</v>
      </c>
      <c r="AB135" s="8">
        <f t="shared" si="79"/>
        <v>0</v>
      </c>
      <c r="AC135" s="8">
        <f t="shared" si="79"/>
        <v>0</v>
      </c>
      <c r="AD135" s="8">
        <f t="shared" si="79"/>
        <v>0</v>
      </c>
      <c r="AE135" s="8">
        <f t="shared" si="79"/>
        <v>0</v>
      </c>
      <c r="AF135" s="8">
        <f t="shared" si="79"/>
        <v>0</v>
      </c>
      <c r="AG135" s="8">
        <f t="shared" ref="AG135" si="91">+AG69-AG102</f>
        <v>0</v>
      </c>
    </row>
    <row r="136" spans="1:37" hidden="1" outlineLevel="1">
      <c r="A136" t="s">
        <v>254</v>
      </c>
      <c r="J136" s="8">
        <f t="shared" si="79"/>
        <v>2618.4</v>
      </c>
      <c r="K136" s="8">
        <f t="shared" si="79"/>
        <v>1963.8</v>
      </c>
      <c r="L136" s="8">
        <f t="shared" si="79"/>
        <v>1309.1999999999998</v>
      </c>
      <c r="M136" s="8">
        <f t="shared" si="79"/>
        <v>654.59999999999991</v>
      </c>
      <c r="N136" s="8">
        <f t="shared" si="79"/>
        <v>0</v>
      </c>
      <c r="O136" s="8">
        <f t="shared" si="79"/>
        <v>0</v>
      </c>
      <c r="P136" s="8">
        <f t="shared" si="79"/>
        <v>0</v>
      </c>
      <c r="Q136" s="8">
        <f t="shared" si="79"/>
        <v>0</v>
      </c>
      <c r="R136" s="8">
        <f t="shared" si="79"/>
        <v>0</v>
      </c>
      <c r="S136" s="8">
        <f t="shared" si="79"/>
        <v>0</v>
      </c>
      <c r="T136" s="8">
        <f t="shared" si="79"/>
        <v>0</v>
      </c>
      <c r="U136" s="8">
        <f t="shared" ref="U136" si="92">+U70-U103</f>
        <v>0</v>
      </c>
      <c r="V136" s="8">
        <f t="shared" si="79"/>
        <v>0</v>
      </c>
      <c r="W136" s="8">
        <f t="shared" si="79"/>
        <v>0</v>
      </c>
      <c r="X136" s="8">
        <f t="shared" si="79"/>
        <v>0</v>
      </c>
      <c r="Y136" s="8">
        <f t="shared" si="79"/>
        <v>0</v>
      </c>
      <c r="Z136" s="8">
        <f t="shared" si="79"/>
        <v>0</v>
      </c>
      <c r="AA136" s="8">
        <f t="shared" si="79"/>
        <v>0</v>
      </c>
      <c r="AB136" s="8">
        <f t="shared" si="79"/>
        <v>0</v>
      </c>
      <c r="AC136" s="8">
        <f t="shared" si="79"/>
        <v>0</v>
      </c>
      <c r="AD136" s="8">
        <f t="shared" si="79"/>
        <v>0</v>
      </c>
      <c r="AE136" s="8">
        <f t="shared" si="79"/>
        <v>0</v>
      </c>
      <c r="AF136" s="8">
        <f t="shared" si="79"/>
        <v>0</v>
      </c>
      <c r="AG136" s="8">
        <f t="shared" ref="AG136" si="93">+AG70-AG103</f>
        <v>0</v>
      </c>
    </row>
    <row r="137" spans="1:37" hidden="1" outlineLevel="1">
      <c r="A137" t="s">
        <v>255</v>
      </c>
      <c r="K137" s="8">
        <f t="shared" si="79"/>
        <v>4240</v>
      </c>
      <c r="L137" s="8">
        <f t="shared" si="79"/>
        <v>3180</v>
      </c>
      <c r="M137" s="8">
        <f t="shared" si="79"/>
        <v>2120</v>
      </c>
      <c r="N137" s="8">
        <f t="shared" si="79"/>
        <v>1060</v>
      </c>
      <c r="O137" s="8">
        <f t="shared" si="79"/>
        <v>0</v>
      </c>
      <c r="P137" s="8">
        <f t="shared" si="79"/>
        <v>0</v>
      </c>
      <c r="Q137" s="8">
        <f t="shared" si="79"/>
        <v>0</v>
      </c>
      <c r="R137" s="8">
        <f t="shared" si="79"/>
        <v>0</v>
      </c>
      <c r="S137" s="8">
        <f t="shared" si="79"/>
        <v>0</v>
      </c>
      <c r="T137" s="8">
        <f t="shared" si="79"/>
        <v>0</v>
      </c>
      <c r="U137" s="8">
        <f t="shared" ref="U137" si="94">+U71-U104</f>
        <v>0</v>
      </c>
      <c r="V137" s="8">
        <f t="shared" si="79"/>
        <v>0</v>
      </c>
      <c r="W137" s="8">
        <f t="shared" si="79"/>
        <v>0</v>
      </c>
      <c r="X137" s="8">
        <f t="shared" si="79"/>
        <v>0</v>
      </c>
      <c r="Y137" s="8">
        <f t="shared" si="79"/>
        <v>0</v>
      </c>
      <c r="Z137" s="8">
        <f t="shared" si="79"/>
        <v>0</v>
      </c>
      <c r="AA137" s="8">
        <f t="shared" si="79"/>
        <v>0</v>
      </c>
      <c r="AB137" s="8">
        <f t="shared" si="79"/>
        <v>0</v>
      </c>
      <c r="AC137" s="8">
        <f t="shared" si="79"/>
        <v>0</v>
      </c>
      <c r="AD137" s="8">
        <f t="shared" si="79"/>
        <v>0</v>
      </c>
      <c r="AE137" s="8">
        <f t="shared" si="79"/>
        <v>0</v>
      </c>
      <c r="AF137" s="8">
        <f t="shared" si="79"/>
        <v>0</v>
      </c>
      <c r="AG137" s="8">
        <f t="shared" ref="AG137" si="95">+AG71-AG104</f>
        <v>0</v>
      </c>
    </row>
    <row r="138" spans="1:37" hidden="1" outlineLevel="1">
      <c r="A138" t="s">
        <v>256</v>
      </c>
      <c r="L138" s="8">
        <f t="shared" si="79"/>
        <v>3626.4</v>
      </c>
      <c r="M138" s="8">
        <f t="shared" si="79"/>
        <v>2719.8</v>
      </c>
      <c r="N138" s="8">
        <f>+N72-N105</f>
        <v>1813.1999999999998</v>
      </c>
      <c r="O138" s="8">
        <f t="shared" si="79"/>
        <v>906.59999999999991</v>
      </c>
      <c r="P138" s="8">
        <f t="shared" si="79"/>
        <v>0</v>
      </c>
      <c r="Q138" s="8">
        <f t="shared" si="79"/>
        <v>0</v>
      </c>
      <c r="R138" s="8">
        <f t="shared" si="79"/>
        <v>0</v>
      </c>
      <c r="S138" s="8">
        <f t="shared" si="79"/>
        <v>0</v>
      </c>
      <c r="T138" s="8">
        <f t="shared" si="79"/>
        <v>0</v>
      </c>
      <c r="U138" s="8">
        <f t="shared" ref="U138" si="96">+U72-U105</f>
        <v>0</v>
      </c>
      <c r="V138" s="8">
        <f t="shared" si="79"/>
        <v>0</v>
      </c>
      <c r="W138" s="8">
        <f t="shared" si="79"/>
        <v>0</v>
      </c>
      <c r="X138" s="8">
        <f t="shared" si="79"/>
        <v>0</v>
      </c>
      <c r="Y138" s="8">
        <f t="shared" si="79"/>
        <v>0</v>
      </c>
      <c r="Z138" s="8">
        <f t="shared" si="79"/>
        <v>0</v>
      </c>
      <c r="AA138" s="8">
        <f t="shared" si="79"/>
        <v>0</v>
      </c>
      <c r="AB138" s="8">
        <f t="shared" si="79"/>
        <v>0</v>
      </c>
      <c r="AC138" s="8">
        <f t="shared" si="79"/>
        <v>0</v>
      </c>
      <c r="AD138" s="8">
        <f t="shared" si="79"/>
        <v>0</v>
      </c>
      <c r="AE138" s="8">
        <f t="shared" si="79"/>
        <v>0</v>
      </c>
      <c r="AF138" s="8">
        <f t="shared" si="79"/>
        <v>0</v>
      </c>
      <c r="AG138" s="8">
        <f t="shared" ref="AG138" si="97">+AG72-AG105</f>
        <v>0</v>
      </c>
    </row>
    <row r="139" spans="1:37" hidden="1" outlineLevel="1">
      <c r="A139" t="s">
        <v>257</v>
      </c>
      <c r="M139" s="8">
        <f t="shared" si="79"/>
        <v>4655.2</v>
      </c>
      <c r="N139" s="8">
        <f>+N73-N106</f>
        <v>3491.4</v>
      </c>
      <c r="O139" s="8">
        <f t="shared" si="79"/>
        <v>2327.6000000000004</v>
      </c>
      <c r="P139" s="8">
        <f t="shared" si="79"/>
        <v>1163.8000000000002</v>
      </c>
      <c r="Q139" s="8">
        <f t="shared" si="79"/>
        <v>0</v>
      </c>
      <c r="R139" s="8">
        <f t="shared" si="79"/>
        <v>0</v>
      </c>
      <c r="S139" s="8">
        <f t="shared" si="79"/>
        <v>0</v>
      </c>
      <c r="T139" s="8">
        <f t="shared" si="79"/>
        <v>0</v>
      </c>
      <c r="U139" s="8">
        <f t="shared" ref="U139" si="98">+U73-U106</f>
        <v>0</v>
      </c>
      <c r="V139" s="8">
        <f t="shared" si="79"/>
        <v>0</v>
      </c>
      <c r="W139" s="8">
        <f t="shared" si="79"/>
        <v>0</v>
      </c>
      <c r="X139" s="8">
        <f t="shared" si="79"/>
        <v>0</v>
      </c>
      <c r="Y139" s="8">
        <f t="shared" ref="Y139:AF154" si="99">+Y73-Y106</f>
        <v>0</v>
      </c>
      <c r="Z139" s="8">
        <f t="shared" si="99"/>
        <v>0</v>
      </c>
      <c r="AA139" s="8">
        <f t="shared" si="99"/>
        <v>0</v>
      </c>
      <c r="AB139" s="8">
        <f t="shared" si="99"/>
        <v>0</v>
      </c>
      <c r="AC139" s="8">
        <f t="shared" si="99"/>
        <v>0</v>
      </c>
      <c r="AD139" s="8">
        <f t="shared" si="99"/>
        <v>0</v>
      </c>
      <c r="AE139" s="8">
        <f t="shared" si="99"/>
        <v>0</v>
      </c>
      <c r="AF139" s="8">
        <f t="shared" si="99"/>
        <v>0</v>
      </c>
      <c r="AG139" s="8">
        <f t="shared" ref="AG139" si="100">+AG73-AG106</f>
        <v>0</v>
      </c>
    </row>
    <row r="140" spans="1:37" hidden="1" outlineLevel="1">
      <c r="A140" t="s">
        <v>258</v>
      </c>
      <c r="N140" s="8">
        <f t="shared" ref="N140:Y147" si="101">+N74-N107</f>
        <v>7805.6</v>
      </c>
      <c r="O140" s="8">
        <f t="shared" si="101"/>
        <v>5854.2</v>
      </c>
      <c r="P140" s="8">
        <f t="shared" si="101"/>
        <v>3902.7999999999993</v>
      </c>
      <c r="Q140" s="8">
        <f t="shared" si="101"/>
        <v>1951.3999999999996</v>
      </c>
      <c r="R140" s="8">
        <f t="shared" si="101"/>
        <v>650.46666666666715</v>
      </c>
      <c r="S140" s="8">
        <f t="shared" si="101"/>
        <v>0</v>
      </c>
      <c r="T140" s="8">
        <f t="shared" si="101"/>
        <v>0</v>
      </c>
      <c r="U140" s="8">
        <f t="shared" ref="U140" si="102">+U74-U107</f>
        <v>0</v>
      </c>
      <c r="V140" s="8">
        <f t="shared" si="101"/>
        <v>0</v>
      </c>
      <c r="W140" s="8">
        <f t="shared" si="101"/>
        <v>0</v>
      </c>
      <c r="X140" s="8">
        <f t="shared" si="101"/>
        <v>0</v>
      </c>
      <c r="Y140" s="8">
        <f t="shared" si="101"/>
        <v>0</v>
      </c>
      <c r="Z140" s="8">
        <f t="shared" si="99"/>
        <v>0</v>
      </c>
      <c r="AA140" s="8">
        <f t="shared" si="99"/>
        <v>0</v>
      </c>
      <c r="AB140" s="8">
        <f t="shared" si="99"/>
        <v>0</v>
      </c>
      <c r="AC140" s="8">
        <f t="shared" si="99"/>
        <v>0</v>
      </c>
      <c r="AD140" s="8">
        <f t="shared" si="99"/>
        <v>0</v>
      </c>
      <c r="AE140" s="8">
        <f t="shared" si="99"/>
        <v>0</v>
      </c>
      <c r="AF140" s="8">
        <f t="shared" si="99"/>
        <v>0</v>
      </c>
      <c r="AG140" s="8">
        <f t="shared" ref="AG140" si="103">+AG74-AG107</f>
        <v>0</v>
      </c>
    </row>
    <row r="141" spans="1:37" hidden="1" outlineLevel="1">
      <c r="A141" t="s">
        <v>259</v>
      </c>
      <c r="O141" s="8">
        <f t="shared" si="101"/>
        <v>8616</v>
      </c>
      <c r="P141" s="8">
        <f t="shared" si="101"/>
        <v>6462</v>
      </c>
      <c r="Q141" s="8">
        <f t="shared" si="101"/>
        <v>4308</v>
      </c>
      <c r="R141" s="8">
        <f t="shared" si="101"/>
        <v>2872</v>
      </c>
      <c r="S141" s="8">
        <f t="shared" si="101"/>
        <v>1436</v>
      </c>
      <c r="T141" s="8">
        <f t="shared" si="101"/>
        <v>302.31578947368325</v>
      </c>
      <c r="U141" s="8">
        <f t="shared" ref="U141" si="104">+U75-U108</f>
        <v>0</v>
      </c>
      <c r="V141" s="8">
        <f t="shared" si="101"/>
        <v>0</v>
      </c>
      <c r="W141" s="8">
        <f>+W75-W108</f>
        <v>0</v>
      </c>
      <c r="X141" s="8">
        <f t="shared" si="101"/>
        <v>0</v>
      </c>
      <c r="Y141" s="8">
        <f t="shared" si="101"/>
        <v>0</v>
      </c>
      <c r="Z141" s="8">
        <f t="shared" si="99"/>
        <v>0</v>
      </c>
      <c r="AA141" s="8">
        <f t="shared" si="99"/>
        <v>0</v>
      </c>
      <c r="AB141" s="8">
        <f t="shared" si="99"/>
        <v>0</v>
      </c>
      <c r="AC141" s="8">
        <f t="shared" si="99"/>
        <v>0</v>
      </c>
      <c r="AD141" s="8">
        <f t="shared" si="99"/>
        <v>0</v>
      </c>
      <c r="AE141" s="8">
        <f t="shared" si="99"/>
        <v>0</v>
      </c>
      <c r="AF141" s="8">
        <f t="shared" si="99"/>
        <v>0</v>
      </c>
      <c r="AG141" s="8">
        <f t="shared" ref="AG141" si="105">+AG75-AG108</f>
        <v>0</v>
      </c>
      <c r="AH141" s="8"/>
    </row>
    <row r="142" spans="1:37" hidden="1" outlineLevel="1">
      <c r="A142" t="s">
        <v>260</v>
      </c>
      <c r="P142" s="8">
        <f>+P76-P109</f>
        <v>10499.2</v>
      </c>
      <c r="Q142" s="8">
        <f t="shared" si="101"/>
        <v>7874.4</v>
      </c>
      <c r="R142" s="8">
        <f t="shared" si="101"/>
        <v>6124.5333333333328</v>
      </c>
      <c r="S142" s="8">
        <f t="shared" si="101"/>
        <v>4374.6666666666661</v>
      </c>
      <c r="T142" s="8">
        <f t="shared" si="101"/>
        <v>2993.1929824561394</v>
      </c>
      <c r="U142" s="8">
        <f t="shared" ref="U142" si="106">+U76-U109</f>
        <v>1611.7192982456127</v>
      </c>
      <c r="V142" s="8">
        <f t="shared" si="101"/>
        <v>230.24561403508596</v>
      </c>
      <c r="W142" s="8">
        <f t="shared" si="101"/>
        <v>0</v>
      </c>
      <c r="X142" s="8">
        <f t="shared" si="101"/>
        <v>0</v>
      </c>
      <c r="Y142" s="8">
        <f t="shared" si="101"/>
        <v>0</v>
      </c>
      <c r="Z142" s="8">
        <f t="shared" si="99"/>
        <v>0</v>
      </c>
      <c r="AA142" s="8">
        <f t="shared" si="99"/>
        <v>0</v>
      </c>
      <c r="AB142" s="8">
        <f t="shared" si="99"/>
        <v>0</v>
      </c>
      <c r="AC142" s="8">
        <f t="shared" si="99"/>
        <v>0</v>
      </c>
      <c r="AD142" s="8">
        <f t="shared" si="99"/>
        <v>0</v>
      </c>
      <c r="AE142" s="8">
        <f t="shared" si="99"/>
        <v>0</v>
      </c>
      <c r="AF142" s="8">
        <f t="shared" si="99"/>
        <v>0</v>
      </c>
      <c r="AG142" s="8">
        <f t="shared" ref="AG142" si="107">+AG76-AG109</f>
        <v>0</v>
      </c>
      <c r="AH142" s="8"/>
      <c r="AI142" s="8"/>
    </row>
    <row r="143" spans="1:37" hidden="1" outlineLevel="1">
      <c r="A143" t="s">
        <v>261</v>
      </c>
      <c r="Q143" s="8">
        <f t="shared" si="101"/>
        <v>12432.8</v>
      </c>
      <c r="R143" s="8">
        <f t="shared" si="101"/>
        <v>10360.666666666668</v>
      </c>
      <c r="S143" s="8">
        <f>+S77-S110</f>
        <v>8288.5333333333328</v>
      </c>
      <c r="T143" s="8">
        <f t="shared" si="101"/>
        <v>6652.6385964912279</v>
      </c>
      <c r="U143" s="8">
        <f t="shared" ref="U143" si="108">+U77-U110</f>
        <v>5016.7438596491229</v>
      </c>
      <c r="V143" s="8">
        <f t="shared" si="101"/>
        <v>3380.8491228070179</v>
      </c>
      <c r="W143" s="8">
        <f t="shared" si="101"/>
        <v>1744.9543859649129</v>
      </c>
      <c r="X143" s="8">
        <f t="shared" si="101"/>
        <v>109.05964912280797</v>
      </c>
      <c r="Y143" s="8">
        <f t="shared" si="101"/>
        <v>0</v>
      </c>
      <c r="Z143" s="8">
        <f t="shared" si="99"/>
        <v>0</v>
      </c>
      <c r="AA143" s="8">
        <f t="shared" si="99"/>
        <v>0</v>
      </c>
      <c r="AB143" s="8">
        <f t="shared" si="99"/>
        <v>0</v>
      </c>
      <c r="AC143" s="8">
        <f t="shared" si="99"/>
        <v>0</v>
      </c>
      <c r="AD143" s="8">
        <f t="shared" si="99"/>
        <v>0</v>
      </c>
      <c r="AE143" s="8">
        <f t="shared" si="99"/>
        <v>0</v>
      </c>
      <c r="AF143" s="8">
        <f t="shared" si="99"/>
        <v>0</v>
      </c>
      <c r="AG143" s="8">
        <f t="shared" ref="AG143" si="109">+AG77-AG110</f>
        <v>0</v>
      </c>
      <c r="AH143" s="8"/>
      <c r="AI143" s="8"/>
      <c r="AJ143" s="8"/>
    </row>
    <row r="144" spans="1:37" hidden="1" outlineLevel="1">
      <c r="A144" t="s">
        <v>262</v>
      </c>
      <c r="R144" s="8">
        <f t="shared" si="101"/>
        <v>20555.599999999999</v>
      </c>
      <c r="S144" s="8">
        <f t="shared" si="101"/>
        <v>17393.2</v>
      </c>
      <c r="T144" s="8">
        <f t="shared" si="101"/>
        <v>14896.568421052631</v>
      </c>
      <c r="U144" s="8">
        <f t="shared" ref="U144" si="110">+U78-U111</f>
        <v>12399.936842105262</v>
      </c>
      <c r="V144" s="8">
        <f t="shared" si="101"/>
        <v>9903.3052631578939</v>
      </c>
      <c r="W144" s="8">
        <f t="shared" si="101"/>
        <v>7406.6736842105256</v>
      </c>
      <c r="X144" s="8">
        <f t="shared" si="101"/>
        <v>4910.0421052631573</v>
      </c>
      <c r="Y144" s="8">
        <f t="shared" si="101"/>
        <v>2413.4105263157908</v>
      </c>
      <c r="Z144" s="8">
        <f t="shared" si="99"/>
        <v>0</v>
      </c>
      <c r="AA144" s="8">
        <f t="shared" si="99"/>
        <v>0</v>
      </c>
      <c r="AB144" s="8">
        <f t="shared" si="99"/>
        <v>0</v>
      </c>
      <c r="AC144" s="8">
        <f t="shared" si="99"/>
        <v>0</v>
      </c>
      <c r="AD144" s="8">
        <f t="shared" si="99"/>
        <v>0</v>
      </c>
      <c r="AE144" s="8">
        <f t="shared" si="99"/>
        <v>0</v>
      </c>
      <c r="AF144" s="8">
        <f t="shared" si="99"/>
        <v>0</v>
      </c>
      <c r="AG144" s="8">
        <f t="shared" ref="AG144" si="111">+AG78-AG111</f>
        <v>0</v>
      </c>
      <c r="AH144" s="8"/>
      <c r="AI144" s="8"/>
      <c r="AJ144" s="8"/>
      <c r="AK144" s="8"/>
    </row>
    <row r="145" spans="1:44" hidden="1" outlineLevel="1">
      <c r="A145" t="s">
        <v>109</v>
      </c>
      <c r="S145" s="8">
        <f t="shared" si="101"/>
        <v>19926.400000000001</v>
      </c>
      <c r="T145" s="8">
        <f t="shared" si="101"/>
        <v>17506.189473684211</v>
      </c>
      <c r="U145" s="8">
        <f t="shared" ref="U145" si="112">+U79-U112</f>
        <v>15085.978947368421</v>
      </c>
      <c r="V145" s="8">
        <f t="shared" si="101"/>
        <v>12665.768421052631</v>
      </c>
      <c r="W145" s="8">
        <f t="shared" si="101"/>
        <v>10245.557894736841</v>
      </c>
      <c r="X145" s="8">
        <f t="shared" si="101"/>
        <v>7825.3473684210512</v>
      </c>
      <c r="Y145" s="8">
        <f t="shared" si="101"/>
        <v>5405.1368421052612</v>
      </c>
      <c r="Z145" s="8">
        <f t="shared" si="99"/>
        <v>2984.9263157894711</v>
      </c>
      <c r="AA145" s="8">
        <f t="shared" si="99"/>
        <v>564.71578947368107</v>
      </c>
      <c r="AB145" s="8">
        <f t="shared" si="99"/>
        <v>0</v>
      </c>
      <c r="AC145" s="8">
        <f t="shared" si="99"/>
        <v>0</v>
      </c>
      <c r="AD145" s="8">
        <f t="shared" si="99"/>
        <v>0</v>
      </c>
      <c r="AE145" s="8">
        <f t="shared" si="99"/>
        <v>0</v>
      </c>
      <c r="AF145" s="8">
        <f t="shared" si="99"/>
        <v>0</v>
      </c>
      <c r="AG145" s="8">
        <f t="shared" ref="AG145" si="113">+AG79-AG112</f>
        <v>0</v>
      </c>
      <c r="AH145" s="8"/>
      <c r="AI145" s="8"/>
      <c r="AJ145" s="8"/>
      <c r="AK145" s="8"/>
      <c r="AL145" s="8"/>
    </row>
    <row r="146" spans="1:44" hidden="1" outlineLevel="1">
      <c r="A146" t="s">
        <v>191</v>
      </c>
      <c r="T146" s="8">
        <f t="shared" si="101"/>
        <v>26693.57894736842</v>
      </c>
      <c r="U146" s="8">
        <f t="shared" ref="U146" si="114">+U80-U113</f>
        <v>23553.157894736843</v>
      </c>
      <c r="V146" s="8">
        <f t="shared" si="101"/>
        <v>20412.736842105263</v>
      </c>
      <c r="W146" s="8">
        <f t="shared" si="101"/>
        <v>17272.315789473687</v>
      </c>
      <c r="X146" s="8">
        <f t="shared" si="101"/>
        <v>14131.894736842107</v>
      </c>
      <c r="Y146" s="8">
        <f t="shared" si="101"/>
        <v>10991.473684210527</v>
      </c>
      <c r="Z146" s="8">
        <f t="shared" si="99"/>
        <v>7851.0526315789466</v>
      </c>
      <c r="AA146" s="8">
        <f t="shared" si="99"/>
        <v>4710.6315789473665</v>
      </c>
      <c r="AB146" s="8">
        <f t="shared" si="99"/>
        <v>1570.2105263157864</v>
      </c>
      <c r="AC146" s="8">
        <f t="shared" si="99"/>
        <v>0</v>
      </c>
      <c r="AD146" s="8">
        <f t="shared" si="99"/>
        <v>0</v>
      </c>
      <c r="AE146" s="8">
        <f t="shared" si="99"/>
        <v>0</v>
      </c>
      <c r="AF146" s="8">
        <f t="shared" si="99"/>
        <v>0</v>
      </c>
      <c r="AG146" s="8">
        <f t="shared" ref="AG146" si="115">+AG80-AG113</f>
        <v>0</v>
      </c>
      <c r="AH146" s="8"/>
      <c r="AI146" s="8"/>
      <c r="AJ146" s="8"/>
      <c r="AK146" s="8"/>
      <c r="AL146" s="8"/>
      <c r="AM146" s="8"/>
    </row>
    <row r="147" spans="1:44" hidden="1" outlineLevel="1">
      <c r="A147" t="s">
        <v>263</v>
      </c>
      <c r="U147" s="8">
        <f t="shared" si="101"/>
        <v>43054.736842105267</v>
      </c>
      <c r="V147" s="8">
        <f t="shared" ref="V147:Y148" si="116">+V81-V114</f>
        <v>37989.473684210527</v>
      </c>
      <c r="W147" s="8">
        <f t="shared" si="116"/>
        <v>32924.210526315786</v>
      </c>
      <c r="X147" s="8">
        <f t="shared" si="116"/>
        <v>27858.947368421053</v>
      </c>
      <c r="Y147" s="8">
        <f t="shared" si="116"/>
        <v>22793.684210526317</v>
      </c>
      <c r="Z147" s="8">
        <f t="shared" si="99"/>
        <v>17728.42105263158</v>
      </c>
      <c r="AA147" s="8">
        <f t="shared" si="99"/>
        <v>12663.15789473684</v>
      </c>
      <c r="AB147" s="8">
        <f t="shared" si="99"/>
        <v>7597.8947368421068</v>
      </c>
      <c r="AC147" s="8">
        <f t="shared" si="99"/>
        <v>2532.6315789473738</v>
      </c>
      <c r="AD147" s="8">
        <f t="shared" si="99"/>
        <v>0</v>
      </c>
      <c r="AE147" s="8">
        <f t="shared" si="99"/>
        <v>0</v>
      </c>
      <c r="AF147" s="8">
        <f t="shared" si="99"/>
        <v>0</v>
      </c>
      <c r="AG147" s="8">
        <f t="shared" ref="AG147" si="117">+AG81-AG114</f>
        <v>0</v>
      </c>
      <c r="AH147" s="8"/>
      <c r="AI147" s="8"/>
      <c r="AJ147" s="8"/>
      <c r="AK147" s="8"/>
      <c r="AL147" s="8"/>
      <c r="AM147" s="8"/>
      <c r="AN147" s="8"/>
    </row>
    <row r="148" spans="1:44" hidden="1" outlineLevel="1">
      <c r="A148" t="s">
        <v>72</v>
      </c>
      <c r="V148" s="8">
        <f t="shared" si="116"/>
        <v>67481.052631578947</v>
      </c>
      <c r="W148" s="8">
        <f t="shared" si="116"/>
        <v>59542.105263157893</v>
      </c>
      <c r="X148" s="8">
        <f t="shared" si="116"/>
        <v>51603.15789473684</v>
      </c>
      <c r="Y148" s="8">
        <f t="shared" si="116"/>
        <v>43664.210526315786</v>
      </c>
      <c r="Z148" s="8">
        <f t="shared" si="99"/>
        <v>35725.26315789474</v>
      </c>
      <c r="AA148" s="8">
        <f t="shared" si="99"/>
        <v>27786.315789473687</v>
      </c>
      <c r="AB148" s="8">
        <f t="shared" si="99"/>
        <v>19847.368421052633</v>
      </c>
      <c r="AC148" s="8">
        <f t="shared" si="99"/>
        <v>11908.42105263158</v>
      </c>
      <c r="AD148" s="8">
        <f t="shared" si="99"/>
        <v>3969.473684210534</v>
      </c>
      <c r="AE148" s="8">
        <f t="shared" si="99"/>
        <v>0</v>
      </c>
      <c r="AF148" s="8">
        <f t="shared" si="99"/>
        <v>0</v>
      </c>
      <c r="AG148" s="8">
        <f t="shared" ref="AG148" si="118">+AG82-AG115</f>
        <v>0</v>
      </c>
      <c r="AH148" s="8"/>
      <c r="AI148" s="8"/>
      <c r="AJ148" s="8"/>
      <c r="AK148" s="8"/>
      <c r="AL148" s="8"/>
      <c r="AM148" s="8"/>
      <c r="AN148" s="8"/>
      <c r="AO148" s="8"/>
    </row>
    <row r="149" spans="1:44" hidden="1" outlineLevel="1">
      <c r="A149" t="s">
        <v>73</v>
      </c>
      <c r="W149" s="8">
        <f>+W83-W116</f>
        <v>56742.106878084684</v>
      </c>
      <c r="X149" s="8">
        <f>+X83-X116</f>
        <v>50066.564892427661</v>
      </c>
      <c r="Y149" s="8">
        <f>+Y83-Y116</f>
        <v>43391.022906770639</v>
      </c>
      <c r="Z149" s="8">
        <f t="shared" si="99"/>
        <v>36715.480921113616</v>
      </c>
      <c r="AA149" s="8">
        <f t="shared" si="99"/>
        <v>30039.938935456601</v>
      </c>
      <c r="AB149" s="8">
        <f t="shared" si="99"/>
        <v>23364.396949799579</v>
      </c>
      <c r="AC149" s="8">
        <f t="shared" si="99"/>
        <v>16688.854964142556</v>
      </c>
      <c r="AD149" s="8">
        <f t="shared" si="99"/>
        <v>10013.312978485534</v>
      </c>
      <c r="AE149" s="8">
        <f t="shared" si="99"/>
        <v>3337.7709928285112</v>
      </c>
      <c r="AF149" s="8">
        <f t="shared" si="99"/>
        <v>0</v>
      </c>
      <c r="AG149" s="8">
        <f t="shared" ref="AG149" si="119">+AG83-AG116</f>
        <v>0</v>
      </c>
      <c r="AH149" s="8"/>
      <c r="AI149" s="8"/>
      <c r="AJ149" s="8"/>
      <c r="AK149" s="8"/>
      <c r="AL149" s="8"/>
      <c r="AM149" s="8"/>
      <c r="AN149" s="8"/>
      <c r="AO149" s="8"/>
      <c r="AP149" s="8"/>
    </row>
    <row r="150" spans="1:44" hidden="1" outlineLevel="1">
      <c r="A150" t="s">
        <v>74</v>
      </c>
      <c r="X150" s="8">
        <f>+X84-X117</f>
        <v>58811.622323197458</v>
      </c>
      <c r="Y150" s="8">
        <f>+Y84-Y117</f>
        <v>51892.607932233055</v>
      </c>
      <c r="Z150" s="8">
        <f t="shared" si="99"/>
        <v>44973.593541268645</v>
      </c>
      <c r="AA150" s="8">
        <f t="shared" si="99"/>
        <v>38054.579150304242</v>
      </c>
      <c r="AB150" s="8">
        <f t="shared" si="99"/>
        <v>31135.564759339832</v>
      </c>
      <c r="AC150" s="8">
        <f t="shared" si="99"/>
        <v>24216.550368375421</v>
      </c>
      <c r="AD150" s="8">
        <f t="shared" si="99"/>
        <v>17297.535977411011</v>
      </c>
      <c r="AE150" s="8">
        <f t="shared" si="99"/>
        <v>10378.521586446601</v>
      </c>
      <c r="AF150" s="8">
        <f t="shared" si="99"/>
        <v>3459.5071954821906</v>
      </c>
      <c r="AG150" s="8">
        <f t="shared" ref="AG150" si="120">+AG84-AG117</f>
        <v>0</v>
      </c>
      <c r="AH150" s="8"/>
      <c r="AI150" s="8"/>
      <c r="AJ150" s="8"/>
      <c r="AK150" s="8"/>
      <c r="AL150" s="8"/>
      <c r="AM150" s="8"/>
      <c r="AN150" s="8"/>
      <c r="AO150" s="8"/>
      <c r="AP150" s="8"/>
      <c r="AQ150" s="8"/>
    </row>
    <row r="151" spans="1:44" hidden="1" outlineLevel="1">
      <c r="A151" t="s">
        <v>75</v>
      </c>
      <c r="Y151" s="8">
        <f>+Y85-Y118</f>
        <v>60289.209650725963</v>
      </c>
      <c r="Z151" s="8">
        <f t="shared" si="99"/>
        <v>53196.361456522907</v>
      </c>
      <c r="AA151" s="8">
        <f t="shared" si="99"/>
        <v>46103.513262319859</v>
      </c>
      <c r="AB151" s="8">
        <f t="shared" si="99"/>
        <v>39010.665068116796</v>
      </c>
      <c r="AC151" s="8">
        <f t="shared" si="99"/>
        <v>31917.816873913747</v>
      </c>
      <c r="AD151" s="8">
        <f t="shared" si="99"/>
        <v>24824.968679710692</v>
      </c>
      <c r="AE151" s="8">
        <f t="shared" si="99"/>
        <v>17732.120485507636</v>
      </c>
      <c r="AF151" s="8">
        <f t="shared" si="99"/>
        <v>10639.27229130458</v>
      </c>
      <c r="AG151" s="8">
        <f t="shared" ref="AG151" si="121">+AG85-AG118</f>
        <v>3546.4240971015242</v>
      </c>
      <c r="AH151" s="8"/>
      <c r="AI151" s="8"/>
      <c r="AJ151" s="8"/>
      <c r="AK151" s="8"/>
      <c r="AL151" s="8"/>
      <c r="AM151" s="8"/>
      <c r="AN151" s="8"/>
      <c r="AO151" s="8"/>
      <c r="AP151" s="8"/>
      <c r="AQ151" s="8"/>
      <c r="AR151" s="8"/>
    </row>
    <row r="152" spans="1:44" hidden="1" outlineLevel="1">
      <c r="A152" t="s">
        <v>76</v>
      </c>
      <c r="Y152" s="8"/>
      <c r="Z152" s="8">
        <f>+Z86-Z119</f>
        <v>60989.083625840954</v>
      </c>
      <c r="AA152" s="8">
        <f t="shared" si="99"/>
        <v>53813.89731691849</v>
      </c>
      <c r="AB152" s="8">
        <f t="shared" si="99"/>
        <v>46638.711007996026</v>
      </c>
      <c r="AC152" s="8">
        <f t="shared" si="99"/>
        <v>39463.524699073561</v>
      </c>
      <c r="AD152" s="8">
        <f t="shared" si="99"/>
        <v>32288.33839015109</v>
      </c>
      <c r="AE152" s="8">
        <f t="shared" si="99"/>
        <v>25113.152081228625</v>
      </c>
      <c r="AF152" s="8">
        <f t="shared" si="99"/>
        <v>17937.965772306161</v>
      </c>
      <c r="AG152" s="8">
        <f t="shared" ref="AG152" si="122">+AG86-AG119</f>
        <v>10762.779463383697</v>
      </c>
      <c r="AH152" s="8"/>
      <c r="AI152" s="8"/>
      <c r="AJ152" s="8"/>
      <c r="AK152" s="8"/>
      <c r="AL152" s="8"/>
      <c r="AM152" s="8"/>
      <c r="AN152" s="8"/>
      <c r="AO152" s="8"/>
      <c r="AP152" s="8"/>
      <c r="AQ152" s="8"/>
      <c r="AR152" s="8"/>
    </row>
    <row r="153" spans="1:44" hidden="1" outlineLevel="1">
      <c r="A153" t="s">
        <v>77</v>
      </c>
      <c r="Y153" s="8"/>
      <c r="Z153" s="8"/>
      <c r="AA153" s="8">
        <f>+AA87-AA120</f>
        <v>60687.312964487079</v>
      </c>
      <c r="AB153" s="8">
        <f t="shared" si="99"/>
        <v>53547.629086312132</v>
      </c>
      <c r="AC153" s="8">
        <f t="shared" si="99"/>
        <v>46407.945208137178</v>
      </c>
      <c r="AD153" s="8">
        <f t="shared" si="99"/>
        <v>39268.261329962232</v>
      </c>
      <c r="AE153" s="8">
        <f t="shared" si="99"/>
        <v>32128.577451787278</v>
      </c>
      <c r="AF153" s="8">
        <f t="shared" si="99"/>
        <v>24988.893573612324</v>
      </c>
      <c r="AG153" s="8">
        <f t="shared" ref="AG153" si="123">+AG87-AG120</f>
        <v>17849.20969543737</v>
      </c>
      <c r="AH153" s="8"/>
      <c r="AI153" s="8"/>
      <c r="AJ153" s="8"/>
      <c r="AK153" s="8"/>
      <c r="AL153" s="8"/>
      <c r="AM153" s="8"/>
      <c r="AN153" s="8"/>
      <c r="AO153" s="8"/>
      <c r="AP153" s="8"/>
      <c r="AQ153" s="8"/>
      <c r="AR153" s="8"/>
    </row>
    <row r="154" spans="1:44" hidden="1" outlineLevel="1">
      <c r="A154" t="s">
        <v>78</v>
      </c>
      <c r="Y154" s="8"/>
      <c r="Z154" s="8"/>
      <c r="AA154" s="8"/>
      <c r="AB154" s="8">
        <f>+AB88-AB121</f>
        <v>64041.300365999952</v>
      </c>
      <c r="AC154" s="8">
        <f t="shared" si="99"/>
        <v>56507.029734705844</v>
      </c>
      <c r="AD154" s="8">
        <f t="shared" si="99"/>
        <v>48972.759103411729</v>
      </c>
      <c r="AE154" s="8">
        <f t="shared" si="99"/>
        <v>41438.48847211762</v>
      </c>
      <c r="AF154" s="8">
        <f t="shared" si="99"/>
        <v>33904.217840823505</v>
      </c>
      <c r="AG154" s="8">
        <f t="shared" ref="AG154" si="124">+AG88-AG121</f>
        <v>26369.94720952939</v>
      </c>
      <c r="AH154" s="8"/>
      <c r="AI154" s="8"/>
      <c r="AJ154" s="8"/>
      <c r="AK154" s="8"/>
      <c r="AL154" s="8"/>
      <c r="AM154" s="8"/>
      <c r="AN154" s="8"/>
      <c r="AO154" s="8"/>
      <c r="AP154" s="8"/>
      <c r="AQ154" s="8"/>
      <c r="AR154" s="8"/>
    </row>
    <row r="155" spans="1:44" hidden="1" outlineLevel="1">
      <c r="A155" t="s">
        <v>79</v>
      </c>
      <c r="Y155" s="8"/>
      <c r="Z155" s="8"/>
      <c r="AA155" s="8"/>
      <c r="AB155" s="8"/>
      <c r="AC155" s="8">
        <f>+AC89-AC122</f>
        <v>67140.747447447691</v>
      </c>
      <c r="AD155" s="8">
        <f t="shared" ref="AD155:AF157" si="125">+AD89-AD122</f>
        <v>59241.835983042081</v>
      </c>
      <c r="AE155" s="8">
        <f t="shared" si="125"/>
        <v>51342.924518636471</v>
      </c>
      <c r="AF155" s="8">
        <f t="shared" si="125"/>
        <v>43444.013054230862</v>
      </c>
      <c r="AG155" s="8">
        <f t="shared" ref="AG155" si="126">+AG89-AG122</f>
        <v>35545.101589825244</v>
      </c>
      <c r="AH155" s="8"/>
      <c r="AI155" s="8"/>
      <c r="AJ155" s="8"/>
      <c r="AK155" s="8"/>
      <c r="AL155" s="8"/>
      <c r="AM155" s="8"/>
      <c r="AN155" s="8"/>
      <c r="AO155" s="8"/>
      <c r="AP155" s="8"/>
      <c r="AQ155" s="8"/>
      <c r="AR155" s="8"/>
    </row>
    <row r="156" spans="1:44" hidden="1" outlineLevel="1">
      <c r="A156" t="s">
        <v>80</v>
      </c>
      <c r="Y156" s="8"/>
      <c r="Z156" s="8"/>
      <c r="AA156" s="8"/>
      <c r="AB156" s="8"/>
      <c r="AC156" s="8"/>
      <c r="AD156" s="8">
        <f>+AD90-AD123</f>
        <v>76215.582190952555</v>
      </c>
      <c r="AE156" s="8">
        <f t="shared" si="125"/>
        <v>67249.04310966401</v>
      </c>
      <c r="AF156" s="8">
        <f t="shared" si="125"/>
        <v>58282.504028375479</v>
      </c>
      <c r="AG156" s="8">
        <f t="shared" ref="AG156" si="127">+AG90-AG123</f>
        <v>49315.964947086941</v>
      </c>
      <c r="AH156" s="8"/>
      <c r="AI156" s="8"/>
      <c r="AJ156" s="8"/>
      <c r="AK156" s="8"/>
      <c r="AL156" s="8"/>
      <c r="AM156" s="8"/>
      <c r="AN156" s="8"/>
      <c r="AO156" s="8"/>
      <c r="AP156" s="8"/>
      <c r="AQ156" s="8"/>
      <c r="AR156" s="8"/>
    </row>
    <row r="157" spans="1:44" hidden="1" outlineLevel="1">
      <c r="A157" t="s">
        <v>81</v>
      </c>
      <c r="Y157" s="8"/>
      <c r="Z157" s="8"/>
      <c r="AA157" s="8"/>
      <c r="AB157" s="8"/>
      <c r="AC157" s="8"/>
      <c r="AD157" s="8"/>
      <c r="AE157" s="8">
        <f>+AE91-AE124</f>
        <v>86476.036589893745</v>
      </c>
      <c r="AF157" s="8">
        <f t="shared" si="125"/>
        <v>76302.385226376835</v>
      </c>
      <c r="AG157" s="8">
        <f t="shared" ref="AG157:AG158" si="128">+AG91-AG124</f>
        <v>66128.733862859925</v>
      </c>
      <c r="AH157" s="8"/>
      <c r="AI157" s="8"/>
      <c r="AJ157" s="8"/>
      <c r="AK157" s="8"/>
      <c r="AL157" s="8"/>
      <c r="AM157" s="8"/>
      <c r="AN157" s="8"/>
      <c r="AO157" s="8"/>
      <c r="AP157" s="8"/>
      <c r="AQ157" s="8"/>
      <c r="AR157" s="8"/>
    </row>
    <row r="158" spans="1:44" hidden="1" outlineLevel="1">
      <c r="A158" t="s">
        <v>82</v>
      </c>
      <c r="Y158" s="8"/>
      <c r="Z158" s="8"/>
      <c r="AA158" s="8"/>
      <c r="AB158" s="8"/>
      <c r="AC158" s="8"/>
      <c r="AD158" s="8"/>
      <c r="AE158" s="8"/>
      <c r="AF158" s="8">
        <f>+AF92-AF125</f>
        <v>98076.341348837275</v>
      </c>
      <c r="AG158" s="8">
        <f t="shared" si="128"/>
        <v>86537.948248974077</v>
      </c>
      <c r="AH158" s="8"/>
      <c r="AI158" s="8"/>
      <c r="AJ158" s="8"/>
      <c r="AK158" s="8"/>
      <c r="AL158" s="8"/>
      <c r="AM158" s="8"/>
      <c r="AN158" s="8"/>
      <c r="AO158" s="8"/>
      <c r="AP158" s="8"/>
      <c r="AQ158" s="8"/>
      <c r="AR158" s="8"/>
    </row>
    <row r="159" spans="1:44" hidden="1" outlineLevel="1">
      <c r="A159" t="s">
        <v>83</v>
      </c>
      <c r="Y159" s="8"/>
      <c r="Z159" s="8"/>
      <c r="AA159" s="8"/>
      <c r="AB159" s="8"/>
      <c r="AC159" s="8"/>
      <c r="AD159" s="8"/>
      <c r="AE159" s="8"/>
      <c r="AF159" s="8"/>
      <c r="AG159" s="8">
        <f>+AG93-AG126</f>
        <v>111190.77886648187</v>
      </c>
      <c r="AH159" s="8"/>
      <c r="AI159" s="8"/>
      <c r="AJ159" s="8"/>
      <c r="AK159" s="8"/>
      <c r="AL159" s="8"/>
      <c r="AM159" s="8"/>
      <c r="AN159" s="8"/>
      <c r="AO159" s="8"/>
      <c r="AP159" s="8"/>
      <c r="AQ159" s="8"/>
      <c r="AR159" s="8"/>
    </row>
    <row r="160" spans="1:44" hidden="1" outlineLevel="1">
      <c r="A160" t="s">
        <v>764</v>
      </c>
      <c r="Y160" s="8"/>
      <c r="Z160" s="8"/>
      <c r="AA160" s="8"/>
      <c r="AB160" s="8"/>
      <c r="AC160" s="8"/>
      <c r="AD160" s="8"/>
      <c r="AE160" s="8"/>
      <c r="AF160" s="8"/>
      <c r="AG160" s="8"/>
      <c r="AH160" s="8"/>
      <c r="AI160" s="8"/>
      <c r="AJ160" s="8"/>
      <c r="AK160" s="8"/>
      <c r="AL160" s="8"/>
      <c r="AM160" s="8"/>
      <c r="AN160" s="8"/>
      <c r="AO160" s="8"/>
      <c r="AP160" s="8"/>
      <c r="AQ160" s="8"/>
      <c r="AR160" s="8"/>
    </row>
    <row r="161" spans="1:33" collapsed="1"/>
    <row r="162" spans="1:33" ht="10.5">
      <c r="A162" s="5" t="s">
        <v>777</v>
      </c>
      <c r="B162" s="4"/>
    </row>
    <row r="164" spans="1:33" ht="10.5">
      <c r="A164" s="45" t="s">
        <v>778</v>
      </c>
    </row>
    <row r="165" spans="1:33">
      <c r="A165" t="s">
        <v>779</v>
      </c>
      <c r="C165" s="29">
        <v>362</v>
      </c>
      <c r="D165" s="29">
        <v>428</v>
      </c>
      <c r="E165" s="29">
        <v>518</v>
      </c>
      <c r="F165" s="29">
        <v>526</v>
      </c>
      <c r="G165" s="29">
        <v>526</v>
      </c>
      <c r="H165" s="29">
        <v>533</v>
      </c>
      <c r="I165" s="29">
        <v>528</v>
      </c>
      <c r="J165" s="29">
        <v>525</v>
      </c>
      <c r="K165" s="29">
        <v>541</v>
      </c>
      <c r="L165" s="29">
        <v>769</v>
      </c>
      <c r="M165" s="29">
        <v>824</v>
      </c>
      <c r="N165" s="29">
        <v>1107</v>
      </c>
      <c r="O165" s="29">
        <v>1254</v>
      </c>
      <c r="P165" s="29">
        <v>1540</v>
      </c>
      <c r="Q165" s="29">
        <v>1823</v>
      </c>
      <c r="R165" s="29">
        <v>3660</v>
      </c>
      <c r="S165" s="29">
        <v>4734</v>
      </c>
      <c r="T165" s="29">
        <v>5683</v>
      </c>
      <c r="U165" s="29">
        <v>8163</v>
      </c>
      <c r="V165" s="29"/>
      <c r="W165" s="29"/>
    </row>
    <row r="166" spans="1:33">
      <c r="A166" t="s">
        <v>780</v>
      </c>
      <c r="C166" s="29">
        <v>2228</v>
      </c>
      <c r="D166" s="29">
        <v>3170</v>
      </c>
      <c r="E166" s="29">
        <v>4302</v>
      </c>
      <c r="F166" s="29">
        <v>5886</v>
      </c>
      <c r="G166" s="29">
        <v>6087</v>
      </c>
      <c r="H166" s="29">
        <v>6521</v>
      </c>
      <c r="I166" s="29">
        <v>6768</v>
      </c>
      <c r="J166" s="29">
        <v>7326</v>
      </c>
      <c r="K166" s="29">
        <v>8867</v>
      </c>
      <c r="L166" s="29">
        <v>10800</v>
      </c>
      <c r="M166" s="29">
        <v>12393</v>
      </c>
      <c r="N166" s="29">
        <v>16284</v>
      </c>
      <c r="O166" s="29">
        <v>20604</v>
      </c>
      <c r="P166" s="29">
        <v>26288</v>
      </c>
      <c r="Q166" s="29">
        <v>33995</v>
      </c>
      <c r="R166" s="29">
        <v>43928</v>
      </c>
      <c r="S166" s="29">
        <v>55014</v>
      </c>
      <c r="T166" s="29">
        <v>68465</v>
      </c>
      <c r="U166" s="29">
        <v>93943</v>
      </c>
      <c r="V166" s="29"/>
      <c r="W166" s="29"/>
    </row>
    <row r="167" spans="1:33">
      <c r="A167" t="s">
        <v>781</v>
      </c>
      <c r="C167" s="29">
        <v>918</v>
      </c>
      <c r="D167" s="29">
        <v>1077</v>
      </c>
      <c r="E167" s="29">
        <v>1728</v>
      </c>
      <c r="F167" s="29">
        <v>1938</v>
      </c>
      <c r="G167" s="29">
        <v>2100</v>
      </c>
      <c r="H167" s="29">
        <v>2345</v>
      </c>
      <c r="I167" s="29">
        <v>2550</v>
      </c>
      <c r="J167" s="29">
        <v>2946</v>
      </c>
      <c r="K167" s="29">
        <v>3560</v>
      </c>
      <c r="L167" s="29">
        <v>3577</v>
      </c>
      <c r="M167" s="29">
        <v>3659</v>
      </c>
      <c r="N167" s="29">
        <v>5064</v>
      </c>
      <c r="O167" s="29">
        <v>4735</v>
      </c>
      <c r="P167" s="29">
        <v>5316</v>
      </c>
      <c r="Q167" s="29">
        <v>5487</v>
      </c>
      <c r="R167" s="29">
        <v>6884</v>
      </c>
      <c r="S167" s="29">
        <v>7819</v>
      </c>
      <c r="T167" s="29">
        <v>8537</v>
      </c>
      <c r="U167" s="29">
        <v>9594</v>
      </c>
      <c r="V167" s="29"/>
      <c r="W167" s="29"/>
    </row>
    <row r="168" spans="1:33">
      <c r="A168" t="s">
        <v>782</v>
      </c>
      <c r="C168" s="29">
        <v>2682</v>
      </c>
      <c r="D168" s="29">
        <v>3458</v>
      </c>
      <c r="E168" s="29">
        <v>4475</v>
      </c>
      <c r="F168" s="29">
        <v>4989</v>
      </c>
      <c r="G168" s="29">
        <v>5673</v>
      </c>
      <c r="H168" s="29">
        <v>6601</v>
      </c>
      <c r="I168" s="29">
        <v>7298</v>
      </c>
      <c r="J168" s="29">
        <v>9242</v>
      </c>
      <c r="K168" s="29">
        <v>11430</v>
      </c>
      <c r="L168" s="29">
        <v>13612</v>
      </c>
      <c r="M168" s="29">
        <v>17391</v>
      </c>
      <c r="N168" s="29">
        <v>21414</v>
      </c>
      <c r="O168" s="29">
        <v>27633</v>
      </c>
      <c r="P168" s="29">
        <v>33823</v>
      </c>
      <c r="Q168" s="29">
        <v>41261</v>
      </c>
      <c r="R168" s="29">
        <v>51250</v>
      </c>
      <c r="S168" s="29">
        <v>60631</v>
      </c>
      <c r="T168" s="29">
        <v>74961</v>
      </c>
      <c r="U168" s="29">
        <v>93780</v>
      </c>
      <c r="V168" s="29"/>
      <c r="W168" s="29"/>
    </row>
    <row r="169" spans="1:33" ht="11.45">
      <c r="A169" t="s">
        <v>783</v>
      </c>
      <c r="C169" s="30">
        <v>1033</v>
      </c>
      <c r="D169" s="30">
        <v>1233</v>
      </c>
      <c r="E169" s="30">
        <v>1521</v>
      </c>
      <c r="F169" s="30">
        <v>1743</v>
      </c>
      <c r="G169" s="30">
        <v>1873</v>
      </c>
      <c r="H169" s="30">
        <v>1991</v>
      </c>
      <c r="I169" s="30">
        <v>2087</v>
      </c>
      <c r="J169" s="30">
        <v>2465</v>
      </c>
      <c r="K169" s="30">
        <v>3406</v>
      </c>
      <c r="L169" s="30">
        <v>3579</v>
      </c>
      <c r="M169" s="30">
        <v>3889</v>
      </c>
      <c r="N169" s="30">
        <v>4044</v>
      </c>
      <c r="O169" s="30">
        <v>4457</v>
      </c>
      <c r="P169" s="30">
        <v>4840</v>
      </c>
      <c r="Q169" s="30">
        <v>4782</v>
      </c>
      <c r="R169" s="30">
        <v>5344</v>
      </c>
      <c r="S169" s="30">
        <v>5860</v>
      </c>
      <c r="T169" s="30">
        <v>6246</v>
      </c>
      <c r="U169" s="30">
        <v>6532</v>
      </c>
      <c r="V169" s="30"/>
      <c r="W169" s="30"/>
    </row>
    <row r="170" spans="1:33" s="1" customFormat="1" ht="10.5">
      <c r="A170" s="837" t="s">
        <v>784</v>
      </c>
      <c r="C170" s="936">
        <f>+SUM(C165:C169)</f>
        <v>7223</v>
      </c>
      <c r="D170" s="936">
        <f t="shared" ref="D170:U170" si="129">+SUM(D165:D169)</f>
        <v>9366</v>
      </c>
      <c r="E170" s="936">
        <f t="shared" si="129"/>
        <v>12544</v>
      </c>
      <c r="F170" s="936">
        <f t="shared" si="129"/>
        <v>15082</v>
      </c>
      <c r="G170" s="936">
        <f t="shared" si="129"/>
        <v>16259</v>
      </c>
      <c r="H170" s="936">
        <f t="shared" si="129"/>
        <v>17991</v>
      </c>
      <c r="I170" s="936">
        <f t="shared" si="129"/>
        <v>19231</v>
      </c>
      <c r="J170" s="936">
        <f t="shared" si="129"/>
        <v>22504</v>
      </c>
      <c r="K170" s="936">
        <f t="shared" si="129"/>
        <v>27804</v>
      </c>
      <c r="L170" s="936">
        <f t="shared" si="129"/>
        <v>32337</v>
      </c>
      <c r="M170" s="936">
        <f t="shared" si="129"/>
        <v>38156</v>
      </c>
      <c r="N170" s="936">
        <f t="shared" si="129"/>
        <v>47913</v>
      </c>
      <c r="O170" s="936">
        <f t="shared" si="129"/>
        <v>58683</v>
      </c>
      <c r="P170" s="936">
        <f t="shared" si="129"/>
        <v>71807</v>
      </c>
      <c r="Q170" s="936">
        <f t="shared" si="129"/>
        <v>87348</v>
      </c>
      <c r="R170" s="936">
        <f t="shared" si="129"/>
        <v>111066</v>
      </c>
      <c r="S170" s="936">
        <f t="shared" si="129"/>
        <v>134058</v>
      </c>
      <c r="T170" s="936">
        <f t="shared" si="129"/>
        <v>163892</v>
      </c>
      <c r="U170" s="936">
        <f t="shared" si="129"/>
        <v>212012</v>
      </c>
      <c r="V170" s="838">
        <f t="shared" ref="V170:AF170" si="130">+V179</f>
        <v>285206.45146803994</v>
      </c>
      <c r="W170" s="838">
        <f t="shared" si="130"/>
        <v>341112.5776396009</v>
      </c>
      <c r="X170" s="838">
        <f t="shared" si="130"/>
        <v>396317.50852269388</v>
      </c>
      <c r="Y170" s="838">
        <f t="shared" si="130"/>
        <v>450175.89644889912</v>
      </c>
      <c r="Z170" s="838">
        <f t="shared" si="130"/>
        <v>501864.1714015326</v>
      </c>
      <c r="AA170" s="838">
        <f t="shared" si="130"/>
        <v>550346.14012967562</v>
      </c>
      <c r="AB170" s="838">
        <f t="shared" si="130"/>
        <v>600119.26844235382</v>
      </c>
      <c r="AC170" s="838">
        <f t="shared" si="130"/>
        <v>650830.92243382183</v>
      </c>
      <c r="AD170" s="838">
        <f t="shared" si="130"/>
        <v>709397.893715602</v>
      </c>
      <c r="AE170" s="838">
        <f t="shared" si="130"/>
        <v>776782.96896890702</v>
      </c>
      <c r="AF170" s="838">
        <f t="shared" si="130"/>
        <v>854076.79835292744</v>
      </c>
      <c r="AG170" s="838">
        <f t="shared" ref="AG170" si="131">+AG179</f>
        <v>942514.39282611536</v>
      </c>
    </row>
    <row r="171" spans="1:33" s="1" customFormat="1" ht="10.5">
      <c r="A171" s="837"/>
      <c r="C171" s="838"/>
      <c r="U171" s="838"/>
      <c r="V171" s="838"/>
      <c r="W171" s="838"/>
    </row>
    <row r="172" spans="1:33" s="1" customFormat="1" ht="10.5">
      <c r="A172" s="24" t="s">
        <v>127</v>
      </c>
      <c r="C172" s="838"/>
      <c r="U172" s="838"/>
      <c r="V172" s="838"/>
      <c r="W172" s="838"/>
    </row>
    <row r="173" spans="1:33" s="3" customFormat="1">
      <c r="A173" s="13" t="s">
        <v>785</v>
      </c>
      <c r="C173" s="40">
        <v>122</v>
      </c>
      <c r="D173" s="40">
        <v>234</v>
      </c>
      <c r="E173" s="40">
        <v>821</v>
      </c>
      <c r="F173" s="40">
        <v>1226</v>
      </c>
      <c r="G173" s="40">
        <v>621</v>
      </c>
      <c r="H173" s="40">
        <v>347</v>
      </c>
      <c r="I173" s="40">
        <v>263</v>
      </c>
      <c r="J173" s="40">
        <v>353</v>
      </c>
      <c r="K173" s="40">
        <v>694</v>
      </c>
      <c r="L173" s="40">
        <v>880</v>
      </c>
      <c r="M173" s="40">
        <v>681</v>
      </c>
      <c r="N173" s="40">
        <v>1809</v>
      </c>
      <c r="O173" s="40">
        <v>1067</v>
      </c>
      <c r="P173" s="40">
        <v>1793</v>
      </c>
      <c r="Q173" s="40">
        <v>3443</v>
      </c>
      <c r="R173" s="40">
        <v>4761</v>
      </c>
      <c r="S173" s="40">
        <v>8927</v>
      </c>
      <c r="T173" s="40">
        <v>7942</v>
      </c>
      <c r="U173" s="40">
        <v>12237</v>
      </c>
      <c r="V173" s="40">
        <v>29892</v>
      </c>
      <c r="W173" s="40"/>
    </row>
    <row r="174" spans="1:33" s="3" customFormat="1">
      <c r="A174" s="13" t="str">
        <f>+'Historical Financials'!B1198</f>
        <v>Assets acquired under capital leases</v>
      </c>
      <c r="C174" s="40"/>
      <c r="D174" s="40"/>
      <c r="E174" s="40"/>
      <c r="F174" s="40"/>
      <c r="G174" s="40"/>
      <c r="H174" s="40"/>
      <c r="I174" s="40"/>
      <c r="J174" s="40"/>
      <c r="K174" s="40"/>
      <c r="L174" s="40"/>
      <c r="M174" s="40"/>
      <c r="N174" s="40">
        <f>+'Historical Financials'!BH1198</f>
        <v>2071</v>
      </c>
      <c r="O174" s="40">
        <f>+'Historical Financials'!BI1198</f>
        <v>1968</v>
      </c>
      <c r="P174" s="40">
        <f>+'Historical Financials'!BJ1198</f>
        <v>2975</v>
      </c>
      <c r="Q174" s="40">
        <f>+'Historical Financials'!BK1198</f>
        <v>3559</v>
      </c>
      <c r="R174" s="40">
        <f>+'Historical Financials'!BL1198</f>
        <v>3578</v>
      </c>
      <c r="S174" s="40">
        <f>+'Historical Financials'!BM1198</f>
        <v>5314</v>
      </c>
      <c r="T174" s="40">
        <f>+'Historical Financials'!BN1198</f>
        <v>3793</v>
      </c>
      <c r="U174" s="40">
        <f>+'Historical Financials'!BO1198</f>
        <v>11223</v>
      </c>
      <c r="V174" s="40"/>
      <c r="W174" s="40"/>
    </row>
    <row r="175" spans="1:33" s="1" customFormat="1" ht="10.5">
      <c r="A175" s="837"/>
      <c r="C175" s="838"/>
      <c r="V175" s="838"/>
      <c r="W175" s="838"/>
    </row>
    <row r="176" spans="1:33" s="1" customFormat="1" ht="10.5">
      <c r="A176" t="s">
        <v>786</v>
      </c>
      <c r="D176" s="8">
        <f t="shared" ref="D176:T176" si="132">+C170</f>
        <v>7223</v>
      </c>
      <c r="E176" s="8">
        <f t="shared" si="132"/>
        <v>9366</v>
      </c>
      <c r="F176" s="8">
        <f t="shared" si="132"/>
        <v>12544</v>
      </c>
      <c r="G176" s="8">
        <f t="shared" si="132"/>
        <v>15082</v>
      </c>
      <c r="H176" s="8">
        <f t="shared" si="132"/>
        <v>16259</v>
      </c>
      <c r="I176" s="8">
        <f t="shared" si="132"/>
        <v>17991</v>
      </c>
      <c r="J176" s="8">
        <f t="shared" si="132"/>
        <v>19231</v>
      </c>
      <c r="K176" s="8">
        <f t="shared" si="132"/>
        <v>22504</v>
      </c>
      <c r="L176" s="8">
        <f t="shared" si="132"/>
        <v>27804</v>
      </c>
      <c r="M176" s="8">
        <f t="shared" si="132"/>
        <v>32337</v>
      </c>
      <c r="N176" s="8">
        <f t="shared" si="132"/>
        <v>38156</v>
      </c>
      <c r="O176" s="8">
        <f t="shared" si="132"/>
        <v>47913</v>
      </c>
      <c r="P176" s="8">
        <f t="shared" si="132"/>
        <v>58683</v>
      </c>
      <c r="Q176" s="8">
        <f t="shared" si="132"/>
        <v>71807</v>
      </c>
      <c r="R176" s="8">
        <f t="shared" si="132"/>
        <v>87348</v>
      </c>
      <c r="S176" s="8">
        <f t="shared" si="132"/>
        <v>111066</v>
      </c>
      <c r="T176" s="8">
        <f t="shared" si="132"/>
        <v>134058</v>
      </c>
      <c r="U176" s="8">
        <f t="shared" ref="U176" si="133">+T170</f>
        <v>163892</v>
      </c>
      <c r="V176" s="8">
        <f t="shared" ref="V176:AF176" si="134">+U179</f>
        <v>212012</v>
      </c>
      <c r="W176" s="8">
        <f t="shared" si="134"/>
        <v>285206.45146803994</v>
      </c>
      <c r="X176" s="8">
        <f t="shared" si="134"/>
        <v>341112.5776396009</v>
      </c>
      <c r="Y176" s="8">
        <f t="shared" si="134"/>
        <v>396317.50852269388</v>
      </c>
      <c r="Z176" s="8">
        <f t="shared" si="134"/>
        <v>450175.89644889912</v>
      </c>
      <c r="AA176" s="8">
        <f t="shared" si="134"/>
        <v>501864.1714015326</v>
      </c>
      <c r="AB176" s="8">
        <f t="shared" si="134"/>
        <v>550346.14012967562</v>
      </c>
      <c r="AC176" s="8">
        <f t="shared" si="134"/>
        <v>600119.26844235382</v>
      </c>
      <c r="AD176" s="8">
        <f t="shared" si="134"/>
        <v>650830.92243382183</v>
      </c>
      <c r="AE176" s="8">
        <f t="shared" si="134"/>
        <v>709397.893715602</v>
      </c>
      <c r="AF176" s="8">
        <f t="shared" si="134"/>
        <v>776782.96896890702</v>
      </c>
      <c r="AG176" s="8">
        <f t="shared" ref="AG176" si="135">+AF179</f>
        <v>854076.79835292744</v>
      </c>
    </row>
    <row r="177" spans="1:33" s="1" customFormat="1" ht="10.5">
      <c r="A177" t="s">
        <v>787</v>
      </c>
      <c r="D177" s="29">
        <f>+'Historical Financials'!AU1199</f>
        <v>2264</v>
      </c>
      <c r="E177" s="29">
        <f>+'Historical Financials'!AV1199</f>
        <v>3182</v>
      </c>
      <c r="F177" s="29">
        <f>+'Historical Financials'!AW1199</f>
        <v>3119</v>
      </c>
      <c r="G177" s="29">
        <f>+'Historical Financials'!AX1199</f>
        <v>1977</v>
      </c>
      <c r="H177" s="29">
        <f>+'Historical Financials'!AY1199</f>
        <v>2355</v>
      </c>
      <c r="I177" s="29">
        <f>+'Historical Financials'!AZ1199</f>
        <v>2305</v>
      </c>
      <c r="J177" s="29">
        <f>+'Historical Financials'!BA1199</f>
        <v>4257</v>
      </c>
      <c r="K177" s="29">
        <f>+'Historical Financials'!BB1199</f>
        <v>5485</v>
      </c>
      <c r="L177" s="29">
        <f>+'Historical Financials'!BC1199</f>
        <v>5944</v>
      </c>
      <c r="M177" s="29">
        <f>+'Historical Financials'!BG1199</f>
        <v>8900</v>
      </c>
      <c r="N177" s="29">
        <f>+'Historical Financials'!BH1199</f>
        <v>10200</v>
      </c>
      <c r="O177" s="29">
        <f>+'Historical Financials'!BI1199</f>
        <v>13600</v>
      </c>
      <c r="P177" s="29">
        <f>+'Historical Financials'!BJ1199</f>
        <v>16900</v>
      </c>
      <c r="Q177" s="29">
        <f>+'Historical Financials'!BK1199</f>
        <v>19000</v>
      </c>
      <c r="R177" s="29">
        <f>+'Historical Financials'!BL1199</f>
        <v>24200</v>
      </c>
      <c r="S177" s="29">
        <f>+'Historical Financials'!BM1199</f>
        <v>29200</v>
      </c>
      <c r="T177" s="29">
        <f>+'Historical Financials'!BN1199</f>
        <v>31900</v>
      </c>
      <c r="U177" s="29">
        <f>+'Historical Financials'!BO1199</f>
        <v>55700</v>
      </c>
      <c r="V177" s="8">
        <f t="shared" ref="V177:AF177" si="136">+V14</f>
        <v>83000</v>
      </c>
      <c r="W177" s="8">
        <f t="shared" si="136"/>
        <v>69096.915850909209</v>
      </c>
      <c r="X177" s="8">
        <f t="shared" si="136"/>
        <v>70981.377192297645</v>
      </c>
      <c r="Y177" s="8">
        <f t="shared" si="136"/>
        <v>72188.060604566694</v>
      </c>
      <c r="Z177" s="8">
        <f t="shared" si="136"/>
        <v>72508.896429475877</v>
      </c>
      <c r="AA177" s="8">
        <f t="shared" si="136"/>
        <v>71693.171344644274</v>
      </c>
      <c r="AB177" s="8">
        <f t="shared" si="136"/>
        <v>75226.620503773156</v>
      </c>
      <c r="AC177" s="8">
        <f t="shared" si="136"/>
        <v>78467.151848551061</v>
      </c>
      <c r="AD177" s="8">
        <f t="shared" si="136"/>
        <v>88667.8815888627</v>
      </c>
      <c r="AE177" s="8">
        <f t="shared" si="136"/>
        <v>100194.70619541484</v>
      </c>
      <c r="AF177" s="8">
        <f t="shared" si="136"/>
        <v>113220.01800081875</v>
      </c>
      <c r="AG177" s="8">
        <f t="shared" ref="AG177" si="137">+AG14</f>
        <v>127938.62034092518</v>
      </c>
    </row>
    <row r="178" spans="1:33" s="1" customFormat="1" ht="11.45">
      <c r="A178" t="s">
        <v>200</v>
      </c>
      <c r="D178" s="10">
        <f t="shared" ref="D178:T178" si="138">+D179-SUM(D176:D177)</f>
        <v>-121</v>
      </c>
      <c r="E178" s="10">
        <f t="shared" si="138"/>
        <v>-4</v>
      </c>
      <c r="F178" s="10">
        <f t="shared" si="138"/>
        <v>-581</v>
      </c>
      <c r="G178" s="10">
        <f t="shared" si="138"/>
        <v>-800</v>
      </c>
      <c r="H178" s="10">
        <f t="shared" si="138"/>
        <v>-623</v>
      </c>
      <c r="I178" s="10">
        <f t="shared" si="138"/>
        <v>-1065</v>
      </c>
      <c r="J178" s="10">
        <f t="shared" si="138"/>
        <v>-984</v>
      </c>
      <c r="K178" s="10">
        <f t="shared" si="138"/>
        <v>-185</v>
      </c>
      <c r="L178" s="10">
        <f t="shared" si="138"/>
        <v>-1411</v>
      </c>
      <c r="M178" s="10">
        <f t="shared" si="138"/>
        <v>-3081</v>
      </c>
      <c r="N178" s="10">
        <f t="shared" si="138"/>
        <v>-443</v>
      </c>
      <c r="O178" s="10">
        <f t="shared" si="138"/>
        <v>-2830</v>
      </c>
      <c r="P178" s="10">
        <f t="shared" si="138"/>
        <v>-3776</v>
      </c>
      <c r="Q178" s="10">
        <f t="shared" si="138"/>
        <v>-3459</v>
      </c>
      <c r="R178" s="10">
        <f t="shared" si="138"/>
        <v>-482</v>
      </c>
      <c r="S178" s="10">
        <f t="shared" si="138"/>
        <v>-6208</v>
      </c>
      <c r="T178" s="10">
        <f t="shared" si="138"/>
        <v>-2066</v>
      </c>
      <c r="U178" s="10">
        <f t="shared" ref="U178" si="139">+U179-SUM(U176:U177)</f>
        <v>-7580</v>
      </c>
      <c r="V178" s="58">
        <f t="shared" ref="V178" si="140">+U178/U176*V176</f>
        <v>-9805.5485319600702</v>
      </c>
      <c r="W178" s="58">
        <f t="shared" ref="W178" si="141">+V178/V176*W176</f>
        <v>-13190.789679348245</v>
      </c>
      <c r="X178" s="58">
        <f t="shared" ref="X178" si="142">+W178/W176*X176</f>
        <v>-15776.446309204688</v>
      </c>
      <c r="Y178" s="58">
        <f t="shared" ref="Y178" si="143">+X178/X176*Y176</f>
        <v>-18329.672678361479</v>
      </c>
      <c r="Z178" s="58">
        <f t="shared" ref="Z178" si="144">+Y178/Y176*Z176</f>
        <v>-20820.621476842403</v>
      </c>
      <c r="AA178" s="58">
        <f t="shared" ref="AA178" si="145">+Z178/Z176*AA176</f>
        <v>-23211.202616501214</v>
      </c>
      <c r="AB178" s="58">
        <f t="shared" ref="AB178" si="146">+AA178/AA176*AB176</f>
        <v>-25453.492191094996</v>
      </c>
      <c r="AC178" s="58">
        <f t="shared" ref="AC178" si="147">+AB178/AB176*AC176</f>
        <v>-27755.497857082966</v>
      </c>
      <c r="AD178" s="58">
        <f t="shared" ref="AD178" si="148">+AC178/AC176*AD176</f>
        <v>-30100.910307082526</v>
      </c>
      <c r="AE178" s="58">
        <f t="shared" ref="AE178" si="149">+AD178/AD176*AE176</f>
        <v>-32809.630942109819</v>
      </c>
      <c r="AF178" s="58">
        <f t="shared" ref="AF178" si="150">+AE178/AE176*AF176</f>
        <v>-35926.188616798347</v>
      </c>
      <c r="AG178" s="58">
        <f t="shared" ref="AG178" si="151">+AF178/AF176*AG176</f>
        <v>-39501.025867737226</v>
      </c>
    </row>
    <row r="179" spans="1:33" s="1" customFormat="1" ht="10.5">
      <c r="A179" s="837" t="s">
        <v>784</v>
      </c>
      <c r="D179" s="838">
        <f t="shared" ref="D179:T179" si="152">+D170</f>
        <v>9366</v>
      </c>
      <c r="E179" s="838">
        <f t="shared" si="152"/>
        <v>12544</v>
      </c>
      <c r="F179" s="838">
        <f t="shared" si="152"/>
        <v>15082</v>
      </c>
      <c r="G179" s="838">
        <f t="shared" si="152"/>
        <v>16259</v>
      </c>
      <c r="H179" s="838">
        <f t="shared" si="152"/>
        <v>17991</v>
      </c>
      <c r="I179" s="838">
        <f t="shared" si="152"/>
        <v>19231</v>
      </c>
      <c r="J179" s="838">
        <f t="shared" si="152"/>
        <v>22504</v>
      </c>
      <c r="K179" s="838">
        <f t="shared" si="152"/>
        <v>27804</v>
      </c>
      <c r="L179" s="838">
        <f t="shared" si="152"/>
        <v>32337</v>
      </c>
      <c r="M179" s="838">
        <f t="shared" si="152"/>
        <v>38156</v>
      </c>
      <c r="N179" s="838">
        <f t="shared" si="152"/>
        <v>47913</v>
      </c>
      <c r="O179" s="838">
        <f t="shared" si="152"/>
        <v>58683</v>
      </c>
      <c r="P179" s="838">
        <f t="shared" si="152"/>
        <v>71807</v>
      </c>
      <c r="Q179" s="838">
        <f t="shared" si="152"/>
        <v>87348</v>
      </c>
      <c r="R179" s="838">
        <f t="shared" si="152"/>
        <v>111066</v>
      </c>
      <c r="S179" s="838">
        <f t="shared" si="152"/>
        <v>134058</v>
      </c>
      <c r="T179" s="838">
        <f t="shared" si="152"/>
        <v>163892</v>
      </c>
      <c r="U179" s="838">
        <f t="shared" ref="U179" si="153">+U170</f>
        <v>212012</v>
      </c>
      <c r="V179" s="838">
        <f t="shared" ref="V179:AF179" si="154">+SUM(V176:V178)</f>
        <v>285206.45146803994</v>
      </c>
      <c r="W179" s="838">
        <f t="shared" si="154"/>
        <v>341112.5776396009</v>
      </c>
      <c r="X179" s="838">
        <f t="shared" si="154"/>
        <v>396317.50852269388</v>
      </c>
      <c r="Y179" s="838">
        <f t="shared" si="154"/>
        <v>450175.89644889912</v>
      </c>
      <c r="Z179" s="838">
        <f t="shared" si="154"/>
        <v>501864.1714015326</v>
      </c>
      <c r="AA179" s="838">
        <f t="shared" si="154"/>
        <v>550346.14012967562</v>
      </c>
      <c r="AB179" s="838">
        <f t="shared" si="154"/>
        <v>600119.26844235382</v>
      </c>
      <c r="AC179" s="838">
        <f t="shared" si="154"/>
        <v>650830.92243382183</v>
      </c>
      <c r="AD179" s="838">
        <f t="shared" si="154"/>
        <v>709397.893715602</v>
      </c>
      <c r="AE179" s="838">
        <f t="shared" si="154"/>
        <v>776782.96896890702</v>
      </c>
      <c r="AF179" s="838">
        <f t="shared" si="154"/>
        <v>854076.79835292744</v>
      </c>
      <c r="AG179" s="838">
        <f t="shared" ref="AG179" si="155">+SUM(AG176:AG178)</f>
        <v>942514.39282611536</v>
      </c>
    </row>
    <row r="180" spans="1:33">
      <c r="S180" s="8"/>
      <c r="T180" s="8"/>
      <c r="U180" s="8"/>
      <c r="V180" s="8"/>
    </row>
    <row r="181" spans="1:33" ht="10.5">
      <c r="A181" s="45" t="s">
        <v>788</v>
      </c>
      <c r="C181" s="8"/>
    </row>
    <row r="182" spans="1:33" s="1" customFormat="1" ht="10.5">
      <c r="A182" s="1" t="s">
        <v>775</v>
      </c>
      <c r="C182" s="936">
        <v>4179</v>
      </c>
      <c r="D182" s="936">
        <v>5016</v>
      </c>
      <c r="E182" s="936">
        <v>6302</v>
      </c>
      <c r="F182" s="936">
        <v>7547</v>
      </c>
      <c r="G182" s="936">
        <v>8629</v>
      </c>
      <c r="H182" s="936">
        <v>9829</v>
      </c>
      <c r="I182" s="936">
        <v>10962</v>
      </c>
      <c r="J182" s="936">
        <v>12513</v>
      </c>
      <c r="K182" s="936">
        <v>14793</v>
      </c>
      <c r="L182" s="936">
        <v>17606</v>
      </c>
      <c r="M182" s="936">
        <v>19800</v>
      </c>
      <c r="N182" s="936">
        <v>24179</v>
      </c>
      <c r="O182" s="936">
        <v>29223</v>
      </c>
      <c r="P182" s="936">
        <v>35330</v>
      </c>
      <c r="Q182" s="936">
        <v>43197</v>
      </c>
      <c r="R182" s="936">
        <v>51351</v>
      </c>
      <c r="S182" s="936">
        <v>59660</v>
      </c>
      <c r="T182" s="936">
        <v>68251</v>
      </c>
      <c r="U182" s="936">
        <v>76421</v>
      </c>
      <c r="V182" s="849">
        <f t="shared" ref="V182:AF182" si="156">+V187</f>
        <v>92628.314508597905</v>
      </c>
      <c r="W182" s="849">
        <f t="shared" si="156"/>
        <v>112690.55463074126</v>
      </c>
      <c r="X182" s="849">
        <f t="shared" si="156"/>
        <v>137375.10958688753</v>
      </c>
      <c r="Y182" s="849">
        <f t="shared" si="156"/>
        <v>165083.11532307975</v>
      </c>
      <c r="Z182" s="849">
        <f t="shared" si="156"/>
        <v>196920.04239770505</v>
      </c>
      <c r="AA182" s="849">
        <f t="shared" si="156"/>
        <v>230203.97076466487</v>
      </c>
      <c r="AB182" s="849">
        <f t="shared" si="156"/>
        <v>265738.35871686914</v>
      </c>
      <c r="AC182" s="849">
        <f t="shared" si="156"/>
        <v>303376.61332412908</v>
      </c>
      <c r="AD182" s="849">
        <f t="shared" si="156"/>
        <v>342001.74361704453</v>
      </c>
      <c r="AE182" s="849">
        <f t="shared" si="156"/>
        <v>380319.94839877926</v>
      </c>
      <c r="AF182" s="849">
        <f t="shared" si="156"/>
        <v>418922.4439805107</v>
      </c>
      <c r="AG182" s="849">
        <f t="shared" ref="AG182" si="157">+AG187</f>
        <v>459832.78928833362</v>
      </c>
    </row>
    <row r="183" spans="1:33">
      <c r="V183" s="100"/>
      <c r="W183" s="100"/>
      <c r="X183" s="100"/>
      <c r="Y183" s="100"/>
      <c r="Z183" s="100"/>
      <c r="AA183" s="100"/>
      <c r="AB183" s="100"/>
      <c r="AC183" s="100"/>
      <c r="AD183" s="100"/>
      <c r="AE183" s="100"/>
      <c r="AF183" s="100"/>
      <c r="AG183" s="100"/>
    </row>
    <row r="184" spans="1:33">
      <c r="A184" t="s">
        <v>789</v>
      </c>
      <c r="D184" s="8">
        <f>+C182</f>
        <v>4179</v>
      </c>
      <c r="E184" s="8">
        <f>+D187</f>
        <v>5016</v>
      </c>
      <c r="F184" s="8">
        <f t="shared" ref="F184:T184" si="158">+E187</f>
        <v>6302</v>
      </c>
      <c r="G184" s="8">
        <f t="shared" si="158"/>
        <v>7547</v>
      </c>
      <c r="H184" s="8">
        <f t="shared" si="158"/>
        <v>8629</v>
      </c>
      <c r="I184" s="8">
        <f t="shared" si="158"/>
        <v>9829</v>
      </c>
      <c r="J184" s="8">
        <f t="shared" si="158"/>
        <v>10962</v>
      </c>
      <c r="K184" s="8">
        <f t="shared" si="158"/>
        <v>12513</v>
      </c>
      <c r="L184" s="8">
        <f t="shared" si="158"/>
        <v>14793</v>
      </c>
      <c r="M184" s="8">
        <f t="shared" si="158"/>
        <v>17606</v>
      </c>
      <c r="N184" s="8">
        <f t="shared" si="158"/>
        <v>19800</v>
      </c>
      <c r="O184" s="8">
        <f t="shared" si="158"/>
        <v>24179</v>
      </c>
      <c r="P184" s="8">
        <f t="shared" si="158"/>
        <v>29223</v>
      </c>
      <c r="Q184" s="8">
        <f t="shared" si="158"/>
        <v>35330</v>
      </c>
      <c r="R184" s="8">
        <f t="shared" si="158"/>
        <v>43197</v>
      </c>
      <c r="S184" s="8">
        <f t="shared" si="158"/>
        <v>51351</v>
      </c>
      <c r="T184" s="8">
        <f t="shared" si="158"/>
        <v>59660</v>
      </c>
      <c r="U184" s="8">
        <f t="shared" ref="U184" si="159">+T187</f>
        <v>68251</v>
      </c>
      <c r="V184" s="11">
        <f t="shared" ref="V184:AF184" si="160">+U187</f>
        <v>76421</v>
      </c>
      <c r="W184" s="11">
        <f t="shared" si="160"/>
        <v>92628.314508597905</v>
      </c>
      <c r="X184" s="11">
        <f t="shared" si="160"/>
        <v>112690.55463074126</v>
      </c>
      <c r="Y184" s="11">
        <f t="shared" si="160"/>
        <v>137375.10958688753</v>
      </c>
      <c r="Z184" s="11">
        <f t="shared" si="160"/>
        <v>165083.11532307975</v>
      </c>
      <c r="AA184" s="11">
        <f t="shared" si="160"/>
        <v>196920.04239770505</v>
      </c>
      <c r="AB184" s="11">
        <f t="shared" si="160"/>
        <v>230203.97076466487</v>
      </c>
      <c r="AC184" s="11">
        <f t="shared" si="160"/>
        <v>265738.35871686914</v>
      </c>
      <c r="AD184" s="11">
        <f t="shared" si="160"/>
        <v>303376.61332412908</v>
      </c>
      <c r="AE184" s="11">
        <f t="shared" si="160"/>
        <v>342001.74361704453</v>
      </c>
      <c r="AF184" s="11">
        <f t="shared" si="160"/>
        <v>380319.94839877926</v>
      </c>
      <c r="AG184" s="11">
        <f t="shared" ref="AG184" si="161">+AF187</f>
        <v>418922.4439805107</v>
      </c>
    </row>
    <row r="185" spans="1:33">
      <c r="A185" t="s">
        <v>790</v>
      </c>
      <c r="C185" s="29">
        <f t="shared" ref="C185:S185" si="162">+C214</f>
        <v>0</v>
      </c>
      <c r="D185" s="11">
        <f t="shared" si="162"/>
        <v>940</v>
      </c>
      <c r="E185" s="11">
        <f t="shared" si="162"/>
        <v>1556</v>
      </c>
      <c r="F185" s="11">
        <f t="shared" si="162"/>
        <v>2062</v>
      </c>
      <c r="G185" s="11">
        <f t="shared" si="162"/>
        <v>2173</v>
      </c>
      <c r="H185" s="11">
        <f t="shared" si="162"/>
        <v>2266</v>
      </c>
      <c r="I185" s="11">
        <f t="shared" si="162"/>
        <v>2467</v>
      </c>
      <c r="J185" s="11">
        <f t="shared" si="162"/>
        <v>3255</v>
      </c>
      <c r="K185" s="11">
        <f t="shared" si="162"/>
        <v>4712</v>
      </c>
      <c r="L185" s="11">
        <f t="shared" si="162"/>
        <v>5457</v>
      </c>
      <c r="M185" s="29">
        <f t="shared" si="162"/>
        <v>4900</v>
      </c>
      <c r="N185" s="29">
        <f t="shared" si="162"/>
        <v>6100</v>
      </c>
      <c r="O185" s="29">
        <f t="shared" si="162"/>
        <v>7700</v>
      </c>
      <c r="P185" s="29">
        <f t="shared" si="162"/>
        <v>9700</v>
      </c>
      <c r="Q185" s="29">
        <f t="shared" si="162"/>
        <v>10700</v>
      </c>
      <c r="R185" s="29">
        <f t="shared" si="162"/>
        <v>9300</v>
      </c>
      <c r="S185" s="29">
        <f t="shared" si="162"/>
        <v>12600</v>
      </c>
      <c r="T185" s="29">
        <f>+T214</f>
        <v>11000</v>
      </c>
      <c r="U185" s="29">
        <f t="shared" ref="U185" si="163">+U214</f>
        <v>15200</v>
      </c>
      <c r="V185" s="11">
        <f t="shared" ref="V185:AF185" si="164">+V50</f>
        <v>24078.842105263157</v>
      </c>
      <c r="W185" s="11">
        <f t="shared" si="164"/>
        <v>29603.15602074474</v>
      </c>
      <c r="X185" s="11">
        <f t="shared" si="164"/>
        <v>36291.924797674059</v>
      </c>
      <c r="Y185" s="11">
        <f t="shared" si="164"/>
        <v>41857.937904157821</v>
      </c>
      <c r="Z185" s="11">
        <f t="shared" si="164"/>
        <v>48840.843511325897</v>
      </c>
      <c r="AA185" s="11">
        <f t="shared" si="164"/>
        <v>53567.11686318506</v>
      </c>
      <c r="AB185" s="11">
        <f t="shared" si="164"/>
        <v>59245.892757637062</v>
      </c>
      <c r="AC185" s="11">
        <f t="shared" si="164"/>
        <v>65009.877906253205</v>
      </c>
      <c r="AD185" s="11">
        <f t="shared" si="164"/>
        <v>69873.574882278597</v>
      </c>
      <c r="AE185" s="11">
        <f t="shared" si="164"/>
        <v>73545.1209826376</v>
      </c>
      <c r="AF185" s="11">
        <f t="shared" si="164"/>
        <v>77776.269405461775</v>
      </c>
      <c r="AG185" s="11">
        <f t="shared" ref="AG185" si="165">+AG50</f>
        <v>84060.259319090081</v>
      </c>
    </row>
    <row r="186" spans="1:33" ht="11.45">
      <c r="A186" t="s">
        <v>200</v>
      </c>
      <c r="D186" s="10">
        <f>+D187-SUM(D184:D185)</f>
        <v>-103</v>
      </c>
      <c r="E186" s="10">
        <f t="shared" ref="E186:T186" si="166">+E187-SUM(E184:E185)</f>
        <v>-270</v>
      </c>
      <c r="F186" s="10">
        <f t="shared" si="166"/>
        <v>-817</v>
      </c>
      <c r="G186" s="10">
        <f t="shared" si="166"/>
        <v>-1091</v>
      </c>
      <c r="H186" s="10">
        <f t="shared" si="166"/>
        <v>-1066</v>
      </c>
      <c r="I186" s="10">
        <f t="shared" si="166"/>
        <v>-1334</v>
      </c>
      <c r="J186" s="10">
        <f t="shared" si="166"/>
        <v>-1704</v>
      </c>
      <c r="K186" s="10">
        <f t="shared" si="166"/>
        <v>-2432</v>
      </c>
      <c r="L186" s="10">
        <f t="shared" si="166"/>
        <v>-2644</v>
      </c>
      <c r="M186" s="10">
        <f t="shared" si="166"/>
        <v>-2706</v>
      </c>
      <c r="N186" s="10">
        <f t="shared" si="166"/>
        <v>-1721</v>
      </c>
      <c r="O186" s="10">
        <f t="shared" si="166"/>
        <v>-2656</v>
      </c>
      <c r="P186" s="10">
        <f t="shared" si="166"/>
        <v>-3593</v>
      </c>
      <c r="Q186" s="10">
        <f t="shared" si="166"/>
        <v>-2833</v>
      </c>
      <c r="R186" s="10">
        <f t="shared" si="166"/>
        <v>-1146</v>
      </c>
      <c r="S186" s="10">
        <f t="shared" si="166"/>
        <v>-4291</v>
      </c>
      <c r="T186" s="10">
        <f t="shared" si="166"/>
        <v>-2409</v>
      </c>
      <c r="U186" s="10">
        <f t="shared" ref="U186" si="167">+U187-SUM(U184:U185)</f>
        <v>-7030</v>
      </c>
      <c r="V186" s="58">
        <f t="shared" ref="V186:AF186" si="168">+U186/U184*V184</f>
        <v>-7871.5275966652507</v>
      </c>
      <c r="W186" s="58">
        <f t="shared" si="168"/>
        <v>-9540.9158986013881</v>
      </c>
      <c r="X186" s="58">
        <f t="shared" si="168"/>
        <v>-11607.369841527761</v>
      </c>
      <c r="Y186" s="58">
        <f t="shared" si="168"/>
        <v>-14149.932167965591</v>
      </c>
      <c r="Z186" s="58">
        <f t="shared" si="168"/>
        <v>-17003.916436700576</v>
      </c>
      <c r="AA186" s="58">
        <f t="shared" si="168"/>
        <v>-20283.188496225212</v>
      </c>
      <c r="AB186" s="58">
        <f t="shared" si="168"/>
        <v>-23711.504805432807</v>
      </c>
      <c r="AC186" s="58">
        <f t="shared" si="168"/>
        <v>-27371.623298993283</v>
      </c>
      <c r="AD186" s="58">
        <f t="shared" si="168"/>
        <v>-31248.444589363204</v>
      </c>
      <c r="AE186" s="58">
        <f t="shared" si="168"/>
        <v>-35226.916200902902</v>
      </c>
      <c r="AF186" s="58">
        <f t="shared" si="168"/>
        <v>-39173.773823730342</v>
      </c>
      <c r="AG186" s="58">
        <f t="shared" ref="AG186" si="169">+AF186/AF184*AG184</f>
        <v>-43149.914011267116</v>
      </c>
    </row>
    <row r="187" spans="1:33" s="1" customFormat="1" ht="10.5">
      <c r="A187" s="837" t="s">
        <v>775</v>
      </c>
      <c r="C187" s="838"/>
      <c r="D187" s="838">
        <f>+D182</f>
        <v>5016</v>
      </c>
      <c r="E187" s="838">
        <f t="shared" ref="E187:T187" si="170">+E182</f>
        <v>6302</v>
      </c>
      <c r="F187" s="838">
        <f t="shared" si="170"/>
        <v>7547</v>
      </c>
      <c r="G187" s="838">
        <f t="shared" si="170"/>
        <v>8629</v>
      </c>
      <c r="H187" s="838">
        <f t="shared" si="170"/>
        <v>9829</v>
      </c>
      <c r="I187" s="838">
        <f t="shared" si="170"/>
        <v>10962</v>
      </c>
      <c r="J187" s="838">
        <f t="shared" si="170"/>
        <v>12513</v>
      </c>
      <c r="K187" s="838">
        <f>+K182</f>
        <v>14793</v>
      </c>
      <c r="L187" s="838">
        <f t="shared" si="170"/>
        <v>17606</v>
      </c>
      <c r="M187" s="838">
        <f t="shared" si="170"/>
        <v>19800</v>
      </c>
      <c r="N187" s="838">
        <f t="shared" si="170"/>
        <v>24179</v>
      </c>
      <c r="O187" s="838">
        <f t="shared" si="170"/>
        <v>29223</v>
      </c>
      <c r="P187" s="838">
        <f t="shared" si="170"/>
        <v>35330</v>
      </c>
      <c r="Q187" s="838">
        <f t="shared" si="170"/>
        <v>43197</v>
      </c>
      <c r="R187" s="838">
        <f t="shared" si="170"/>
        <v>51351</v>
      </c>
      <c r="S187" s="838">
        <f t="shared" si="170"/>
        <v>59660</v>
      </c>
      <c r="T187" s="838">
        <f t="shared" si="170"/>
        <v>68251</v>
      </c>
      <c r="U187" s="838">
        <f t="shared" ref="U187" si="171">+U182</f>
        <v>76421</v>
      </c>
      <c r="V187" s="838">
        <f t="shared" ref="V187:AF187" si="172">+SUM(V184:V186)</f>
        <v>92628.314508597905</v>
      </c>
      <c r="W187" s="838">
        <f t="shared" si="172"/>
        <v>112690.55463074126</v>
      </c>
      <c r="X187" s="838">
        <f t="shared" si="172"/>
        <v>137375.10958688753</v>
      </c>
      <c r="Y187" s="838">
        <f t="shared" si="172"/>
        <v>165083.11532307975</v>
      </c>
      <c r="Z187" s="838">
        <f t="shared" si="172"/>
        <v>196920.04239770505</v>
      </c>
      <c r="AA187" s="838">
        <f t="shared" si="172"/>
        <v>230203.97076466487</v>
      </c>
      <c r="AB187" s="838">
        <f t="shared" si="172"/>
        <v>265738.35871686914</v>
      </c>
      <c r="AC187" s="838">
        <f t="shared" si="172"/>
        <v>303376.61332412908</v>
      </c>
      <c r="AD187" s="838">
        <f t="shared" si="172"/>
        <v>342001.74361704453</v>
      </c>
      <c r="AE187" s="838">
        <f t="shared" si="172"/>
        <v>380319.94839877926</v>
      </c>
      <c r="AF187" s="838">
        <f t="shared" si="172"/>
        <v>418922.4439805107</v>
      </c>
      <c r="AG187" s="838">
        <f t="shared" ref="AG187" si="173">+SUM(AG184:AG186)</f>
        <v>459832.78928833362</v>
      </c>
    </row>
    <row r="188" spans="1:33">
      <c r="A188" s="13" t="s">
        <v>791</v>
      </c>
      <c r="D188" s="1220">
        <f t="shared" ref="D188:T188" si="174">+D176/D185</f>
        <v>7.6840425531914898</v>
      </c>
      <c r="E188" s="1220">
        <f t="shared" si="174"/>
        <v>6.0192802056555266</v>
      </c>
      <c r="F188" s="1220">
        <f t="shared" si="174"/>
        <v>6.0834141610087293</v>
      </c>
      <c r="G188" s="1220">
        <f t="shared" si="174"/>
        <v>6.9406350667280261</v>
      </c>
      <c r="H188" s="1220">
        <f t="shared" si="174"/>
        <v>7.1751985878199473</v>
      </c>
      <c r="I188" s="1220">
        <f t="shared" si="174"/>
        <v>7.2926631536278883</v>
      </c>
      <c r="J188" s="1220">
        <f t="shared" si="174"/>
        <v>5.908141321044547</v>
      </c>
      <c r="K188" s="1220">
        <f t="shared" si="174"/>
        <v>4.7758913412563668</v>
      </c>
      <c r="L188" s="1220">
        <f t="shared" si="174"/>
        <v>5.0951072017592081</v>
      </c>
      <c r="M188" s="1220">
        <f t="shared" si="174"/>
        <v>6.5993877551020406</v>
      </c>
      <c r="N188" s="1220">
        <f t="shared" si="174"/>
        <v>6.2550819672131146</v>
      </c>
      <c r="O188" s="1220">
        <f t="shared" si="174"/>
        <v>6.2224675324675323</v>
      </c>
      <c r="P188" s="1220">
        <f t="shared" si="174"/>
        <v>6.0497938144329897</v>
      </c>
      <c r="Q188" s="1220">
        <f t="shared" si="174"/>
        <v>6.7109345794392521</v>
      </c>
      <c r="R188" s="1220">
        <f t="shared" si="174"/>
        <v>9.3922580645161293</v>
      </c>
      <c r="S188" s="1220">
        <f t="shared" si="174"/>
        <v>8.8147619047619052</v>
      </c>
      <c r="T188" s="1220">
        <f t="shared" si="174"/>
        <v>12.187090909090909</v>
      </c>
      <c r="U188" s="1220">
        <f t="shared" ref="U188" si="175">+U176/U185</f>
        <v>10.782368421052631</v>
      </c>
      <c r="V188" s="1220">
        <f t="shared" ref="V188:AF188" si="176">+V176/V185</f>
        <v>8.8049084367581933</v>
      </c>
      <c r="W188" s="1220">
        <f t="shared" si="176"/>
        <v>9.6343258559384122</v>
      </c>
      <c r="X188" s="1220">
        <f t="shared" si="176"/>
        <v>9.3991316123707698</v>
      </c>
      <c r="Y188" s="1220">
        <f t="shared" si="176"/>
        <v>9.4681565401081773</v>
      </c>
      <c r="Z188" s="1220">
        <f t="shared" si="176"/>
        <v>9.2172015076788352</v>
      </c>
      <c r="AA188" s="1220">
        <f t="shared" si="176"/>
        <v>9.368885256291394</v>
      </c>
      <c r="AB188" s="1220">
        <f t="shared" si="176"/>
        <v>9.289186380919773</v>
      </c>
      <c r="AC188" s="1220">
        <f t="shared" si="176"/>
        <v>9.2312012846378408</v>
      </c>
      <c r="AD188" s="1220">
        <f t="shared" si="176"/>
        <v>9.3144071064107834</v>
      </c>
      <c r="AE188" s="1220">
        <f t="shared" si="176"/>
        <v>9.6457505846387193</v>
      </c>
      <c r="AF188" s="1220">
        <f t="shared" si="176"/>
        <v>9.9874032903197865</v>
      </c>
      <c r="AG188" s="1220">
        <f t="shared" ref="AG188" si="177">+AG176/AG185</f>
        <v>10.160292215027305</v>
      </c>
    </row>
    <row r="189" spans="1:33">
      <c r="A189" s="13"/>
      <c r="D189" s="1220"/>
      <c r="E189" s="1220"/>
      <c r="F189" s="1220"/>
      <c r="G189" s="1220"/>
      <c r="H189" s="1220"/>
      <c r="I189" s="1220"/>
      <c r="J189" s="1220"/>
      <c r="K189" s="1220"/>
      <c r="L189" s="1220"/>
      <c r="M189" s="1220"/>
      <c r="N189" s="1220"/>
      <c r="O189" s="1220"/>
      <c r="P189" s="1220"/>
      <c r="Q189" s="1220"/>
      <c r="R189" s="1220"/>
      <c r="S189" s="1220"/>
      <c r="T189" s="1220"/>
      <c r="U189" s="1220"/>
      <c r="V189" s="1220"/>
      <c r="W189" s="1220"/>
    </row>
    <row r="190" spans="1:33">
      <c r="A190" s="24" t="s">
        <v>127</v>
      </c>
      <c r="D190" s="1220"/>
      <c r="E190" s="1220"/>
      <c r="F190" s="1220"/>
      <c r="G190" s="1220"/>
      <c r="H190" s="1220"/>
      <c r="I190" s="1220"/>
      <c r="J190" s="1220"/>
      <c r="K190" s="1220"/>
      <c r="L190" s="1220"/>
      <c r="M190" s="1220"/>
      <c r="N190" s="1220"/>
      <c r="O190" s="1220"/>
      <c r="P190" s="1220"/>
      <c r="Q190" s="1220"/>
      <c r="R190" s="1220"/>
      <c r="S190" s="1220"/>
      <c r="T190" s="1220"/>
      <c r="U190" s="1220"/>
      <c r="V190" s="1220"/>
      <c r="W190" s="1220"/>
    </row>
    <row r="191" spans="1:33">
      <c r="A191" s="13" t="s">
        <v>792</v>
      </c>
      <c r="D191" s="29">
        <f>+'Historical Financials'!AU1142</f>
        <v>1440</v>
      </c>
      <c r="E191" s="29">
        <f>+'Historical Financials'!AV1142</f>
        <v>2056</v>
      </c>
      <c r="F191" s="29">
        <f>+'Historical Financials'!AW1142</f>
        <v>2562</v>
      </c>
      <c r="G191" s="29">
        <f>+'Historical Financials'!AX1142</f>
        <v>2673</v>
      </c>
      <c r="H191" s="29">
        <f>+'Historical Financials'!AY1142</f>
        <v>2766</v>
      </c>
      <c r="I191" s="29">
        <f>+'Historical Financials'!AZ1142</f>
        <v>2967</v>
      </c>
      <c r="J191" s="29">
        <f>+'Historical Financials'!BA1142</f>
        <v>3755</v>
      </c>
      <c r="K191" s="29">
        <f>+'Historical Financials'!BB1142</f>
        <v>5212</v>
      </c>
      <c r="L191" s="29">
        <f>+'Historical Financials'!BC1142</f>
        <v>5957</v>
      </c>
      <c r="M191" s="29">
        <f>+'Historical Financials'!BG1142</f>
        <v>6622</v>
      </c>
      <c r="N191" s="29">
        <f>+'Historical Financials'!BH1142</f>
        <v>8778</v>
      </c>
      <c r="O191" s="29">
        <f>+'Historical Financials'!BI1142</f>
        <v>10261</v>
      </c>
      <c r="P191" s="29">
        <f>+'Historical Financials'!BJ1142</f>
        <v>11682</v>
      </c>
      <c r="Q191" s="29">
        <f>+'Historical Financials'!BK1142</f>
        <v>12796</v>
      </c>
      <c r="R191" s="29">
        <f>+'Historical Financials'!BL1142</f>
        <v>11686</v>
      </c>
      <c r="S191" s="29">
        <f>+'Historical Financials'!BM1142</f>
        <v>14460</v>
      </c>
      <c r="T191" s="29">
        <f>+'Historical Financials'!BN1142</f>
        <v>13861</v>
      </c>
      <c r="U191" s="29">
        <f>+'Historical Financials'!BO1142</f>
        <v>22287</v>
      </c>
      <c r="V191" s="1220"/>
      <c r="W191" s="1220"/>
    </row>
    <row r="192" spans="1:33">
      <c r="A192" s="15" t="s">
        <v>793</v>
      </c>
      <c r="B192" s="11"/>
      <c r="C192" s="11">
        <f t="shared" ref="C192:M192" si="178">+C185</f>
        <v>0</v>
      </c>
      <c r="D192" s="11">
        <f t="shared" si="178"/>
        <v>940</v>
      </c>
      <c r="E192" s="11">
        <f t="shared" si="178"/>
        <v>1556</v>
      </c>
      <c r="F192" s="11">
        <f t="shared" si="178"/>
        <v>2062</v>
      </c>
      <c r="G192" s="11">
        <f t="shared" si="178"/>
        <v>2173</v>
      </c>
      <c r="H192" s="11">
        <f t="shared" si="178"/>
        <v>2266</v>
      </c>
      <c r="I192" s="11">
        <f t="shared" si="178"/>
        <v>2467</v>
      </c>
      <c r="J192" s="11">
        <f t="shared" si="178"/>
        <v>3255</v>
      </c>
      <c r="K192" s="11">
        <f t="shared" si="178"/>
        <v>4712</v>
      </c>
      <c r="L192" s="11">
        <f t="shared" si="178"/>
        <v>5457</v>
      </c>
      <c r="M192" s="11">
        <f t="shared" si="178"/>
        <v>4900</v>
      </c>
      <c r="N192" s="11">
        <f>+N185</f>
        <v>6100</v>
      </c>
      <c r="O192" s="11">
        <f t="shared" ref="O192:U192" si="179">+O185</f>
        <v>7700</v>
      </c>
      <c r="P192" s="11">
        <f t="shared" si="179"/>
        <v>9700</v>
      </c>
      <c r="Q192" s="11">
        <f t="shared" si="179"/>
        <v>10700</v>
      </c>
      <c r="R192" s="11">
        <f t="shared" si="179"/>
        <v>9300</v>
      </c>
      <c r="S192" s="11">
        <f t="shared" si="179"/>
        <v>12600</v>
      </c>
      <c r="T192" s="11">
        <f t="shared" si="179"/>
        <v>11000</v>
      </c>
      <c r="U192" s="11">
        <f t="shared" si="179"/>
        <v>15200</v>
      </c>
      <c r="V192" s="1220"/>
      <c r="W192" s="1220"/>
    </row>
    <row r="193" spans="1:33">
      <c r="A193" s="15" t="s">
        <v>794</v>
      </c>
      <c r="B193" s="11"/>
      <c r="C193" s="11"/>
      <c r="D193" s="29">
        <v>236</v>
      </c>
      <c r="E193" s="29">
        <v>472</v>
      </c>
      <c r="F193" s="29">
        <v>591</v>
      </c>
      <c r="G193" s="29">
        <v>707</v>
      </c>
      <c r="H193" s="29">
        <v>537</v>
      </c>
      <c r="I193" s="29">
        <v>558</v>
      </c>
      <c r="J193" s="29">
        <v>739</v>
      </c>
      <c r="K193" s="29">
        <v>845</v>
      </c>
      <c r="L193" s="29">
        <v>1300</v>
      </c>
      <c r="M193" s="29">
        <v>978</v>
      </c>
      <c r="N193" s="29">
        <v>1700</v>
      </c>
      <c r="O193" s="29">
        <v>2200</v>
      </c>
      <c r="P193" s="29">
        <v>1900</v>
      </c>
      <c r="Q193" s="29">
        <v>1600</v>
      </c>
      <c r="R193" s="29">
        <v>1600</v>
      </c>
      <c r="S193" s="29">
        <v>2000</v>
      </c>
      <c r="T193" s="29">
        <v>2500</v>
      </c>
      <c r="U193" s="29">
        <v>4800</v>
      </c>
      <c r="V193" s="1220"/>
      <c r="W193" s="1220"/>
    </row>
    <row r="194" spans="1:33">
      <c r="A194" s="15" t="s">
        <v>795</v>
      </c>
      <c r="B194" s="11"/>
      <c r="C194" s="11"/>
      <c r="D194" s="61">
        <v>500</v>
      </c>
      <c r="E194" s="61">
        <v>500</v>
      </c>
      <c r="F194" s="61">
        <v>500</v>
      </c>
      <c r="G194" s="61">
        <v>500</v>
      </c>
      <c r="H194" s="61">
        <v>500</v>
      </c>
      <c r="I194" s="61">
        <v>500</v>
      </c>
      <c r="J194" s="61">
        <v>500</v>
      </c>
      <c r="K194" s="61">
        <v>500</v>
      </c>
      <c r="L194" s="61">
        <v>500</v>
      </c>
      <c r="M194" s="11">
        <f t="shared" ref="M194:U194" si="180">+M191-M192-M193</f>
        <v>744</v>
      </c>
      <c r="N194" s="11">
        <f t="shared" si="180"/>
        <v>978</v>
      </c>
      <c r="O194" s="11">
        <f t="shared" si="180"/>
        <v>361</v>
      </c>
      <c r="P194" s="11">
        <f t="shared" si="180"/>
        <v>82</v>
      </c>
      <c r="Q194" s="11">
        <f t="shared" si="180"/>
        <v>496</v>
      </c>
      <c r="R194" s="11">
        <f t="shared" si="180"/>
        <v>786</v>
      </c>
      <c r="S194" s="11">
        <f t="shared" si="180"/>
        <v>-140</v>
      </c>
      <c r="T194" s="11">
        <f t="shared" si="180"/>
        <v>361</v>
      </c>
      <c r="U194" s="11">
        <f t="shared" si="180"/>
        <v>2287</v>
      </c>
      <c r="V194" s="1220"/>
      <c r="W194" s="1220"/>
    </row>
    <row r="195" spans="1:33" hidden="1" outlineLevel="1">
      <c r="A195" s="19" t="s">
        <v>796</v>
      </c>
      <c r="D195" s="1245">
        <f t="shared" ref="D195:K195" si="181">+E195</f>
        <v>0.11235276351555422</v>
      </c>
      <c r="E195" s="1245">
        <f t="shared" si="181"/>
        <v>0.11235276351555422</v>
      </c>
      <c r="F195" s="1245">
        <f t="shared" si="181"/>
        <v>0.11235276351555422</v>
      </c>
      <c r="G195" s="1245">
        <f t="shared" si="181"/>
        <v>0.11235276351555422</v>
      </c>
      <c r="H195" s="1245">
        <f t="shared" si="181"/>
        <v>0.11235276351555422</v>
      </c>
      <c r="I195" s="1245">
        <f t="shared" si="181"/>
        <v>0.11235276351555422</v>
      </c>
      <c r="J195" s="1245">
        <f t="shared" si="181"/>
        <v>0.11235276351555422</v>
      </c>
      <c r="K195" s="1245">
        <f t="shared" si="181"/>
        <v>0.11235276351555422</v>
      </c>
      <c r="L195" s="1245">
        <f>+M195</f>
        <v>0.11235276351555422</v>
      </c>
      <c r="M195" s="1244">
        <f t="shared" ref="M195:U195" si="182">+M194/M191</f>
        <v>0.11235276351555422</v>
      </c>
      <c r="N195" s="1244">
        <f t="shared" si="182"/>
        <v>0.11141490088858511</v>
      </c>
      <c r="O195" s="1244">
        <f t="shared" si="182"/>
        <v>3.5181756164116555E-2</v>
      </c>
      <c r="P195" s="1244">
        <f t="shared" si="182"/>
        <v>7.0193460023968502E-3</v>
      </c>
      <c r="Q195" s="1244">
        <f t="shared" si="182"/>
        <v>3.8762113160362613E-2</v>
      </c>
      <c r="R195" s="1244">
        <f t="shared" si="182"/>
        <v>6.725996919390724E-2</v>
      </c>
      <c r="S195" s="1244">
        <f t="shared" si="182"/>
        <v>-9.6818810511756573E-3</v>
      </c>
      <c r="T195" s="1244">
        <f t="shared" si="182"/>
        <v>2.6044296948272129E-2</v>
      </c>
      <c r="U195" s="1244">
        <f t="shared" si="182"/>
        <v>0.10261587472517611</v>
      </c>
      <c r="V195" s="1220"/>
      <c r="W195" s="1220"/>
    </row>
    <row r="196" spans="1:33" collapsed="1">
      <c r="A196" s="13"/>
      <c r="D196" s="1220"/>
      <c r="E196" s="1220"/>
      <c r="F196" s="1220"/>
      <c r="G196" s="1220"/>
      <c r="H196" s="1220"/>
      <c r="I196" s="1220"/>
      <c r="J196" s="1220"/>
      <c r="K196" s="1220"/>
      <c r="L196" s="1220"/>
      <c r="M196" s="1220"/>
      <c r="N196" s="1220"/>
      <c r="O196" s="1220"/>
      <c r="P196" s="1220"/>
      <c r="Q196" s="1220"/>
      <c r="R196" s="1220"/>
      <c r="S196" s="1220"/>
      <c r="T196" s="1220"/>
      <c r="U196" s="1220"/>
      <c r="V196" s="1220"/>
      <c r="W196" s="1220"/>
    </row>
    <row r="197" spans="1:33" ht="10.5">
      <c r="A197" s="45" t="s">
        <v>797</v>
      </c>
    </row>
    <row r="198" spans="1:33">
      <c r="A198" t="s">
        <v>784</v>
      </c>
      <c r="C198" s="8">
        <f t="shared" ref="C198:AG198" si="183">+C170</f>
        <v>7223</v>
      </c>
      <c r="D198" s="8">
        <f t="shared" si="183"/>
        <v>9366</v>
      </c>
      <c r="E198" s="8">
        <f t="shared" si="183"/>
        <v>12544</v>
      </c>
      <c r="F198" s="8">
        <f t="shared" si="183"/>
        <v>15082</v>
      </c>
      <c r="G198" s="8">
        <f t="shared" si="183"/>
        <v>16259</v>
      </c>
      <c r="H198" s="8">
        <f t="shared" si="183"/>
        <v>17991</v>
      </c>
      <c r="I198" s="8">
        <f t="shared" si="183"/>
        <v>19231</v>
      </c>
      <c r="J198" s="8">
        <f t="shared" si="183"/>
        <v>22504</v>
      </c>
      <c r="K198" s="8">
        <f t="shared" si="183"/>
        <v>27804</v>
      </c>
      <c r="L198" s="8">
        <f t="shared" si="183"/>
        <v>32337</v>
      </c>
      <c r="M198" s="8">
        <f t="shared" si="183"/>
        <v>38156</v>
      </c>
      <c r="N198" s="8">
        <f t="shared" si="183"/>
        <v>47913</v>
      </c>
      <c r="O198" s="8">
        <f t="shared" si="183"/>
        <v>58683</v>
      </c>
      <c r="P198" s="8">
        <f t="shared" si="183"/>
        <v>71807</v>
      </c>
      <c r="Q198" s="8">
        <f t="shared" si="183"/>
        <v>87348</v>
      </c>
      <c r="R198" s="8">
        <f t="shared" si="183"/>
        <v>111066</v>
      </c>
      <c r="S198" s="8">
        <f t="shared" si="183"/>
        <v>134058</v>
      </c>
      <c r="T198" s="8">
        <f t="shared" si="183"/>
        <v>163892</v>
      </c>
      <c r="U198" s="8">
        <f t="shared" si="183"/>
        <v>212012</v>
      </c>
      <c r="V198" s="8">
        <f t="shared" si="183"/>
        <v>285206.45146803994</v>
      </c>
      <c r="W198" s="8">
        <f t="shared" si="183"/>
        <v>341112.5776396009</v>
      </c>
      <c r="X198" s="8">
        <f t="shared" si="183"/>
        <v>396317.50852269388</v>
      </c>
      <c r="Y198" s="8">
        <f t="shared" si="183"/>
        <v>450175.89644889912</v>
      </c>
      <c r="Z198" s="8">
        <f t="shared" si="183"/>
        <v>501864.1714015326</v>
      </c>
      <c r="AA198" s="8">
        <f t="shared" si="183"/>
        <v>550346.14012967562</v>
      </c>
      <c r="AB198" s="8">
        <f t="shared" si="183"/>
        <v>600119.26844235382</v>
      </c>
      <c r="AC198" s="8">
        <f t="shared" si="183"/>
        <v>650830.92243382183</v>
      </c>
      <c r="AD198" s="8">
        <f t="shared" si="183"/>
        <v>709397.893715602</v>
      </c>
      <c r="AE198" s="8">
        <f t="shared" si="183"/>
        <v>776782.96896890702</v>
      </c>
      <c r="AF198" s="8">
        <f t="shared" si="183"/>
        <v>854076.79835292744</v>
      </c>
      <c r="AG198" s="8">
        <f t="shared" si="183"/>
        <v>942514.39282611536</v>
      </c>
    </row>
    <row r="199" spans="1:33" ht="11.45">
      <c r="A199" t="s">
        <v>775</v>
      </c>
      <c r="C199" s="10">
        <f t="shared" ref="C199:AG199" si="184">-C182</f>
        <v>-4179</v>
      </c>
      <c r="D199" s="10">
        <f t="shared" si="184"/>
        <v>-5016</v>
      </c>
      <c r="E199" s="10">
        <f t="shared" si="184"/>
        <v>-6302</v>
      </c>
      <c r="F199" s="10">
        <f t="shared" si="184"/>
        <v>-7547</v>
      </c>
      <c r="G199" s="10">
        <f t="shared" si="184"/>
        <v>-8629</v>
      </c>
      <c r="H199" s="10">
        <f t="shared" si="184"/>
        <v>-9829</v>
      </c>
      <c r="I199" s="10">
        <f t="shared" si="184"/>
        <v>-10962</v>
      </c>
      <c r="J199" s="10">
        <f t="shared" si="184"/>
        <v>-12513</v>
      </c>
      <c r="K199" s="10">
        <f t="shared" si="184"/>
        <v>-14793</v>
      </c>
      <c r="L199" s="10">
        <f t="shared" si="184"/>
        <v>-17606</v>
      </c>
      <c r="M199" s="10">
        <f t="shared" si="184"/>
        <v>-19800</v>
      </c>
      <c r="N199" s="10">
        <f t="shared" si="184"/>
        <v>-24179</v>
      </c>
      <c r="O199" s="10">
        <f t="shared" si="184"/>
        <v>-29223</v>
      </c>
      <c r="P199" s="10">
        <f t="shared" si="184"/>
        <v>-35330</v>
      </c>
      <c r="Q199" s="10">
        <f t="shared" si="184"/>
        <v>-43197</v>
      </c>
      <c r="R199" s="10">
        <f t="shared" si="184"/>
        <v>-51351</v>
      </c>
      <c r="S199" s="10">
        <f t="shared" si="184"/>
        <v>-59660</v>
      </c>
      <c r="T199" s="10">
        <f t="shared" si="184"/>
        <v>-68251</v>
      </c>
      <c r="U199" s="10">
        <f t="shared" si="184"/>
        <v>-76421</v>
      </c>
      <c r="V199" s="10">
        <f t="shared" si="184"/>
        <v>-92628.314508597905</v>
      </c>
      <c r="W199" s="10">
        <f t="shared" si="184"/>
        <v>-112690.55463074126</v>
      </c>
      <c r="X199" s="10">
        <f t="shared" si="184"/>
        <v>-137375.10958688753</v>
      </c>
      <c r="Y199" s="10">
        <f t="shared" si="184"/>
        <v>-165083.11532307975</v>
      </c>
      <c r="Z199" s="10">
        <f t="shared" si="184"/>
        <v>-196920.04239770505</v>
      </c>
      <c r="AA199" s="10">
        <f t="shared" si="184"/>
        <v>-230203.97076466487</v>
      </c>
      <c r="AB199" s="10">
        <f t="shared" si="184"/>
        <v>-265738.35871686914</v>
      </c>
      <c r="AC199" s="10">
        <f t="shared" si="184"/>
        <v>-303376.61332412908</v>
      </c>
      <c r="AD199" s="10">
        <f t="shared" si="184"/>
        <v>-342001.74361704453</v>
      </c>
      <c r="AE199" s="10">
        <f t="shared" si="184"/>
        <v>-380319.94839877926</v>
      </c>
      <c r="AF199" s="10">
        <f t="shared" si="184"/>
        <v>-418922.4439805107</v>
      </c>
      <c r="AG199" s="10">
        <f t="shared" si="184"/>
        <v>-459832.78928833362</v>
      </c>
    </row>
    <row r="200" spans="1:33" s="1" customFormat="1" ht="10.5">
      <c r="A200" s="837" t="s">
        <v>798</v>
      </c>
      <c r="C200" s="838">
        <f>SUM(C198:C199)</f>
        <v>3044</v>
      </c>
      <c r="D200" s="838">
        <f t="shared" ref="D200:T200" si="185">SUM(D198:D199)</f>
        <v>4350</v>
      </c>
      <c r="E200" s="838">
        <f t="shared" si="185"/>
        <v>6242</v>
      </c>
      <c r="F200" s="838">
        <f t="shared" si="185"/>
        <v>7535</v>
      </c>
      <c r="G200" s="838">
        <f t="shared" si="185"/>
        <v>7630</v>
      </c>
      <c r="H200" s="838">
        <f t="shared" si="185"/>
        <v>8162</v>
      </c>
      <c r="I200" s="838">
        <f t="shared" si="185"/>
        <v>8269</v>
      </c>
      <c r="J200" s="838">
        <f t="shared" si="185"/>
        <v>9991</v>
      </c>
      <c r="K200" s="838">
        <f t="shared" si="185"/>
        <v>13011</v>
      </c>
      <c r="L200" s="838">
        <f t="shared" si="185"/>
        <v>14731</v>
      </c>
      <c r="M200" s="838">
        <f t="shared" si="185"/>
        <v>18356</v>
      </c>
      <c r="N200" s="838">
        <f t="shared" si="185"/>
        <v>23734</v>
      </c>
      <c r="O200" s="838">
        <f t="shared" si="185"/>
        <v>29460</v>
      </c>
      <c r="P200" s="838">
        <f t="shared" si="185"/>
        <v>36477</v>
      </c>
      <c r="Q200" s="838">
        <f t="shared" si="185"/>
        <v>44151</v>
      </c>
      <c r="R200" s="838">
        <f t="shared" si="185"/>
        <v>59715</v>
      </c>
      <c r="S200" s="838">
        <f t="shared" si="185"/>
        <v>74398</v>
      </c>
      <c r="T200" s="838">
        <f t="shared" si="185"/>
        <v>95641</v>
      </c>
      <c r="U200" s="838">
        <f t="shared" ref="U200:AF200" si="186">SUM(U198:U199)</f>
        <v>135591</v>
      </c>
      <c r="V200" s="838">
        <f t="shared" si="186"/>
        <v>192578.13695944205</v>
      </c>
      <c r="W200" s="838">
        <f t="shared" si="186"/>
        <v>228422.02300885966</v>
      </c>
      <c r="X200" s="838">
        <f t="shared" si="186"/>
        <v>258942.39893580636</v>
      </c>
      <c r="Y200" s="838">
        <f t="shared" si="186"/>
        <v>285092.78112581937</v>
      </c>
      <c r="Z200" s="838">
        <f t="shared" si="186"/>
        <v>304944.12900382758</v>
      </c>
      <c r="AA200" s="838">
        <f t="shared" si="186"/>
        <v>320142.16936501075</v>
      </c>
      <c r="AB200" s="838">
        <f t="shared" si="186"/>
        <v>334380.90972548467</v>
      </c>
      <c r="AC200" s="838">
        <f t="shared" si="186"/>
        <v>347454.30910969275</v>
      </c>
      <c r="AD200" s="838">
        <f t="shared" si="186"/>
        <v>367396.15009855747</v>
      </c>
      <c r="AE200" s="838">
        <f t="shared" si="186"/>
        <v>396463.02057012776</v>
      </c>
      <c r="AF200" s="838">
        <f t="shared" si="186"/>
        <v>435154.35437241674</v>
      </c>
      <c r="AG200" s="838">
        <f t="shared" ref="AG200" si="187">SUM(AG198:AG199)</f>
        <v>482681.60353778175</v>
      </c>
    </row>
    <row r="202" spans="1:33">
      <c r="A202" t="s">
        <v>799</v>
      </c>
      <c r="D202" s="8">
        <f>+C200</f>
        <v>3044</v>
      </c>
      <c r="E202" s="8">
        <f t="shared" ref="E202:T202" si="188">+D200</f>
        <v>4350</v>
      </c>
      <c r="F202" s="8">
        <f t="shared" si="188"/>
        <v>6242</v>
      </c>
      <c r="G202" s="8">
        <f t="shared" si="188"/>
        <v>7535</v>
      </c>
      <c r="H202" s="8">
        <f t="shared" si="188"/>
        <v>7630</v>
      </c>
      <c r="I202" s="8">
        <f t="shared" si="188"/>
        <v>8162</v>
      </c>
      <c r="J202" s="8">
        <f t="shared" si="188"/>
        <v>8269</v>
      </c>
      <c r="K202" s="8">
        <f t="shared" si="188"/>
        <v>9991</v>
      </c>
      <c r="L202" s="8">
        <f t="shared" si="188"/>
        <v>13011</v>
      </c>
      <c r="M202" s="8">
        <f t="shared" si="188"/>
        <v>14731</v>
      </c>
      <c r="N202" s="8">
        <f t="shared" si="188"/>
        <v>18356</v>
      </c>
      <c r="O202" s="8">
        <f t="shared" si="188"/>
        <v>23734</v>
      </c>
      <c r="P202" s="8">
        <f t="shared" si="188"/>
        <v>29460</v>
      </c>
      <c r="Q202" s="8">
        <f t="shared" si="188"/>
        <v>36477</v>
      </c>
      <c r="R202" s="8">
        <f t="shared" si="188"/>
        <v>44151</v>
      </c>
      <c r="S202" s="8">
        <f t="shared" si="188"/>
        <v>59715</v>
      </c>
      <c r="T202" s="8">
        <f t="shared" si="188"/>
        <v>74398</v>
      </c>
      <c r="U202" s="8">
        <f t="shared" ref="U202" si="189">+T200</f>
        <v>95641</v>
      </c>
      <c r="V202" s="8">
        <f t="shared" ref="V202" si="190">+U200</f>
        <v>135591</v>
      </c>
      <c r="W202" s="8">
        <f t="shared" ref="W202" si="191">+V200</f>
        <v>192578.13695944205</v>
      </c>
      <c r="X202" s="8">
        <f t="shared" ref="X202" si="192">+W200</f>
        <v>228422.02300885966</v>
      </c>
      <c r="Y202" s="8">
        <f t="shared" ref="Y202" si="193">+X200</f>
        <v>258942.39893580636</v>
      </c>
      <c r="Z202" s="8">
        <f t="shared" ref="Z202" si="194">+Y200</f>
        <v>285092.78112581937</v>
      </c>
      <c r="AA202" s="8">
        <f t="shared" ref="AA202" si="195">+Z200</f>
        <v>304944.12900382758</v>
      </c>
      <c r="AB202" s="8">
        <f t="shared" ref="AB202" si="196">+AA200</f>
        <v>320142.16936501075</v>
      </c>
      <c r="AC202" s="8">
        <f t="shared" ref="AC202" si="197">+AB200</f>
        <v>334380.90972548467</v>
      </c>
      <c r="AD202" s="8">
        <f t="shared" ref="AD202" si="198">+AC200</f>
        <v>347454.30910969275</v>
      </c>
      <c r="AE202" s="8">
        <f t="shared" ref="AE202" si="199">+AD200</f>
        <v>367396.15009855747</v>
      </c>
      <c r="AF202" s="8">
        <f t="shared" ref="AF202" si="200">+AE200</f>
        <v>396463.02057012776</v>
      </c>
      <c r="AG202" s="8">
        <f t="shared" ref="AG202" si="201">+AF200</f>
        <v>435154.35437241674</v>
      </c>
    </row>
    <row r="203" spans="1:33">
      <c r="A203" t="s">
        <v>800</v>
      </c>
      <c r="D203" s="8">
        <f t="shared" ref="D203:AG203" si="202">+D177</f>
        <v>2264</v>
      </c>
      <c r="E203" s="8">
        <f t="shared" si="202"/>
        <v>3182</v>
      </c>
      <c r="F203" s="8">
        <f t="shared" si="202"/>
        <v>3119</v>
      </c>
      <c r="G203" s="8">
        <f t="shared" si="202"/>
        <v>1977</v>
      </c>
      <c r="H203" s="8">
        <f t="shared" si="202"/>
        <v>2355</v>
      </c>
      <c r="I203" s="8">
        <f t="shared" si="202"/>
        <v>2305</v>
      </c>
      <c r="J203" s="8">
        <f t="shared" si="202"/>
        <v>4257</v>
      </c>
      <c r="K203" s="8">
        <f t="shared" si="202"/>
        <v>5485</v>
      </c>
      <c r="L203" s="8">
        <f t="shared" si="202"/>
        <v>5944</v>
      </c>
      <c r="M203" s="8">
        <f t="shared" si="202"/>
        <v>8900</v>
      </c>
      <c r="N203" s="8">
        <f t="shared" si="202"/>
        <v>10200</v>
      </c>
      <c r="O203" s="8">
        <f t="shared" si="202"/>
        <v>13600</v>
      </c>
      <c r="P203" s="8">
        <f t="shared" si="202"/>
        <v>16900</v>
      </c>
      <c r="Q203" s="8">
        <f t="shared" si="202"/>
        <v>19000</v>
      </c>
      <c r="R203" s="8">
        <f t="shared" si="202"/>
        <v>24200</v>
      </c>
      <c r="S203" s="8">
        <f t="shared" si="202"/>
        <v>29200</v>
      </c>
      <c r="T203" s="8">
        <f t="shared" si="202"/>
        <v>31900</v>
      </c>
      <c r="U203" s="8">
        <f t="shared" si="202"/>
        <v>55700</v>
      </c>
      <c r="V203" s="8">
        <f t="shared" si="202"/>
        <v>83000</v>
      </c>
      <c r="W203" s="8">
        <f t="shared" si="202"/>
        <v>69096.915850909209</v>
      </c>
      <c r="X203" s="8">
        <f t="shared" si="202"/>
        <v>70981.377192297645</v>
      </c>
      <c r="Y203" s="8">
        <f t="shared" si="202"/>
        <v>72188.060604566694</v>
      </c>
      <c r="Z203" s="8">
        <f t="shared" si="202"/>
        <v>72508.896429475877</v>
      </c>
      <c r="AA203" s="8">
        <f t="shared" si="202"/>
        <v>71693.171344644274</v>
      </c>
      <c r="AB203" s="8">
        <f t="shared" si="202"/>
        <v>75226.620503773156</v>
      </c>
      <c r="AC203" s="8">
        <f t="shared" si="202"/>
        <v>78467.151848551061</v>
      </c>
      <c r="AD203" s="8">
        <f t="shared" si="202"/>
        <v>88667.8815888627</v>
      </c>
      <c r="AE203" s="8">
        <f t="shared" si="202"/>
        <v>100194.70619541484</v>
      </c>
      <c r="AF203" s="8">
        <f t="shared" si="202"/>
        <v>113220.01800081875</v>
      </c>
      <c r="AG203" s="8">
        <f t="shared" si="202"/>
        <v>127938.62034092518</v>
      </c>
    </row>
    <row r="204" spans="1:33">
      <c r="A204" t="s">
        <v>801</v>
      </c>
      <c r="D204" s="8">
        <f t="shared" ref="D204:AG204" si="203">+D185</f>
        <v>940</v>
      </c>
      <c r="E204" s="8">
        <f t="shared" si="203"/>
        <v>1556</v>
      </c>
      <c r="F204" s="8">
        <f t="shared" si="203"/>
        <v>2062</v>
      </c>
      <c r="G204" s="8">
        <f t="shared" si="203"/>
        <v>2173</v>
      </c>
      <c r="H204" s="8">
        <f t="shared" si="203"/>
        <v>2266</v>
      </c>
      <c r="I204" s="8">
        <f t="shared" si="203"/>
        <v>2467</v>
      </c>
      <c r="J204" s="8">
        <f t="shared" si="203"/>
        <v>3255</v>
      </c>
      <c r="K204" s="8">
        <f t="shared" si="203"/>
        <v>4712</v>
      </c>
      <c r="L204" s="8">
        <f t="shared" si="203"/>
        <v>5457</v>
      </c>
      <c r="M204" s="8">
        <f t="shared" si="203"/>
        <v>4900</v>
      </c>
      <c r="N204" s="8">
        <f t="shared" si="203"/>
        <v>6100</v>
      </c>
      <c r="O204" s="8">
        <f t="shared" si="203"/>
        <v>7700</v>
      </c>
      <c r="P204" s="8">
        <f t="shared" si="203"/>
        <v>9700</v>
      </c>
      <c r="Q204" s="8">
        <f t="shared" si="203"/>
        <v>10700</v>
      </c>
      <c r="R204" s="8">
        <f t="shared" si="203"/>
        <v>9300</v>
      </c>
      <c r="S204" s="8">
        <f t="shared" si="203"/>
        <v>12600</v>
      </c>
      <c r="T204" s="8">
        <f t="shared" si="203"/>
        <v>11000</v>
      </c>
      <c r="U204" s="8">
        <f t="shared" si="203"/>
        <v>15200</v>
      </c>
      <c r="V204" s="8">
        <f t="shared" si="203"/>
        <v>24078.842105263157</v>
      </c>
      <c r="W204" s="8">
        <f t="shared" si="203"/>
        <v>29603.15602074474</v>
      </c>
      <c r="X204" s="8">
        <f t="shared" si="203"/>
        <v>36291.924797674059</v>
      </c>
      <c r="Y204" s="8">
        <f t="shared" si="203"/>
        <v>41857.937904157821</v>
      </c>
      <c r="Z204" s="8">
        <f t="shared" si="203"/>
        <v>48840.843511325897</v>
      </c>
      <c r="AA204" s="8">
        <f t="shared" si="203"/>
        <v>53567.11686318506</v>
      </c>
      <c r="AB204" s="8">
        <f t="shared" si="203"/>
        <v>59245.892757637062</v>
      </c>
      <c r="AC204" s="8">
        <f t="shared" si="203"/>
        <v>65009.877906253205</v>
      </c>
      <c r="AD204" s="8">
        <f t="shared" si="203"/>
        <v>69873.574882278597</v>
      </c>
      <c r="AE204" s="8">
        <f t="shared" si="203"/>
        <v>73545.1209826376</v>
      </c>
      <c r="AF204" s="8">
        <f t="shared" si="203"/>
        <v>77776.269405461775</v>
      </c>
      <c r="AG204" s="8">
        <f t="shared" si="203"/>
        <v>84060.259319090081</v>
      </c>
    </row>
    <row r="205" spans="1:33" ht="11.45">
      <c r="A205" t="s">
        <v>200</v>
      </c>
      <c r="D205" s="10">
        <f t="shared" ref="D205:T205" si="204">+D206-SUM(D202:D204)</f>
        <v>-1898</v>
      </c>
      <c r="E205" s="10">
        <f t="shared" si="204"/>
        <v>-2846</v>
      </c>
      <c r="F205" s="10">
        <f t="shared" si="204"/>
        <v>-3888</v>
      </c>
      <c r="G205" s="10">
        <f t="shared" si="204"/>
        <v>-4055</v>
      </c>
      <c r="H205" s="10">
        <f t="shared" si="204"/>
        <v>-4089</v>
      </c>
      <c r="I205" s="10">
        <f t="shared" si="204"/>
        <v>-4665</v>
      </c>
      <c r="J205" s="10">
        <f t="shared" si="204"/>
        <v>-5790</v>
      </c>
      <c r="K205" s="10">
        <f t="shared" si="204"/>
        <v>-7177</v>
      </c>
      <c r="L205" s="10">
        <f t="shared" si="204"/>
        <v>-9681</v>
      </c>
      <c r="M205" s="10">
        <f t="shared" si="204"/>
        <v>-10175</v>
      </c>
      <c r="N205" s="10">
        <f t="shared" si="204"/>
        <v>-10922</v>
      </c>
      <c r="O205" s="10">
        <f t="shared" si="204"/>
        <v>-15574</v>
      </c>
      <c r="P205" s="10">
        <f t="shared" si="204"/>
        <v>-19583</v>
      </c>
      <c r="Q205" s="10">
        <f t="shared" si="204"/>
        <v>-22026</v>
      </c>
      <c r="R205" s="10">
        <f t="shared" si="204"/>
        <v>-17936</v>
      </c>
      <c r="S205" s="10">
        <f t="shared" si="204"/>
        <v>-27117</v>
      </c>
      <c r="T205" s="10">
        <f t="shared" si="204"/>
        <v>-21657</v>
      </c>
      <c r="U205" s="10">
        <f t="shared" ref="U205:AF205" si="205">+U206-SUM(U202:U204)</f>
        <v>-30950</v>
      </c>
      <c r="V205" s="10">
        <f t="shared" si="205"/>
        <v>-50091.705145821092</v>
      </c>
      <c r="W205" s="10">
        <f t="shared" si="205"/>
        <v>-62856.185822236352</v>
      </c>
      <c r="X205" s="10">
        <f t="shared" si="205"/>
        <v>-76752.926063025021</v>
      </c>
      <c r="Y205" s="10">
        <f t="shared" si="205"/>
        <v>-87895.616318711487</v>
      </c>
      <c r="Z205" s="10">
        <f t="shared" si="205"/>
        <v>-101498.39206279354</v>
      </c>
      <c r="AA205" s="10">
        <f t="shared" si="205"/>
        <v>-110062.24784664618</v>
      </c>
      <c r="AB205" s="10">
        <f t="shared" si="205"/>
        <v>-120233.77290093631</v>
      </c>
      <c r="AC205" s="10">
        <f t="shared" si="205"/>
        <v>-130403.63037059619</v>
      </c>
      <c r="AD205" s="10">
        <f t="shared" si="205"/>
        <v>-138599.61548227654</v>
      </c>
      <c r="AE205" s="10">
        <f t="shared" si="205"/>
        <v>-144672.9567064821</v>
      </c>
      <c r="AF205" s="10">
        <f t="shared" si="205"/>
        <v>-152304.95360399154</v>
      </c>
      <c r="AG205" s="10">
        <f t="shared" ref="AG205" si="206">+AG206-SUM(AG202:AG204)</f>
        <v>-164471.63049465022</v>
      </c>
    </row>
    <row r="206" spans="1:33" s="1" customFormat="1" ht="10.5">
      <c r="A206" s="837" t="s">
        <v>798</v>
      </c>
      <c r="D206" s="838">
        <f>+D200</f>
        <v>4350</v>
      </c>
      <c r="E206" s="838">
        <f t="shared" ref="E206:T206" si="207">+E200</f>
        <v>6242</v>
      </c>
      <c r="F206" s="838">
        <f t="shared" si="207"/>
        <v>7535</v>
      </c>
      <c r="G206" s="838">
        <f t="shared" si="207"/>
        <v>7630</v>
      </c>
      <c r="H206" s="838">
        <f t="shared" si="207"/>
        <v>8162</v>
      </c>
      <c r="I206" s="838">
        <f t="shared" si="207"/>
        <v>8269</v>
      </c>
      <c r="J206" s="838">
        <f t="shared" si="207"/>
        <v>9991</v>
      </c>
      <c r="K206" s="838">
        <f t="shared" si="207"/>
        <v>13011</v>
      </c>
      <c r="L206" s="838">
        <f t="shared" si="207"/>
        <v>14731</v>
      </c>
      <c r="M206" s="838">
        <f t="shared" si="207"/>
        <v>18356</v>
      </c>
      <c r="N206" s="838">
        <f t="shared" si="207"/>
        <v>23734</v>
      </c>
      <c r="O206" s="838">
        <f t="shared" si="207"/>
        <v>29460</v>
      </c>
      <c r="P206" s="838">
        <f t="shared" si="207"/>
        <v>36477</v>
      </c>
      <c r="Q206" s="838">
        <f t="shared" si="207"/>
        <v>44151</v>
      </c>
      <c r="R206" s="838">
        <f t="shared" si="207"/>
        <v>59715</v>
      </c>
      <c r="S206" s="838">
        <f t="shared" si="207"/>
        <v>74398</v>
      </c>
      <c r="T206" s="838">
        <f t="shared" si="207"/>
        <v>95641</v>
      </c>
      <c r="U206" s="838">
        <f t="shared" ref="U206:AF206" si="208">+U200</f>
        <v>135591</v>
      </c>
      <c r="V206" s="838">
        <f t="shared" si="208"/>
        <v>192578.13695944205</v>
      </c>
      <c r="W206" s="838">
        <f t="shared" si="208"/>
        <v>228422.02300885966</v>
      </c>
      <c r="X206" s="838">
        <f t="shared" si="208"/>
        <v>258942.39893580636</v>
      </c>
      <c r="Y206" s="838">
        <f t="shared" si="208"/>
        <v>285092.78112581937</v>
      </c>
      <c r="Z206" s="838">
        <f t="shared" si="208"/>
        <v>304944.12900382758</v>
      </c>
      <c r="AA206" s="838">
        <f t="shared" si="208"/>
        <v>320142.16936501075</v>
      </c>
      <c r="AB206" s="838">
        <f t="shared" si="208"/>
        <v>334380.90972548467</v>
      </c>
      <c r="AC206" s="838">
        <f t="shared" si="208"/>
        <v>347454.30910969275</v>
      </c>
      <c r="AD206" s="838">
        <f t="shared" si="208"/>
        <v>367396.15009855747</v>
      </c>
      <c r="AE206" s="838">
        <f t="shared" si="208"/>
        <v>396463.02057012776</v>
      </c>
      <c r="AF206" s="838">
        <f t="shared" si="208"/>
        <v>435154.35437241674</v>
      </c>
      <c r="AG206" s="838">
        <f t="shared" ref="AG206" si="209">+AG200</f>
        <v>482681.60353778175</v>
      </c>
    </row>
    <row r="207" spans="1:33" s="1" customFormat="1" ht="10.5">
      <c r="A207" s="837"/>
      <c r="D207" s="838"/>
      <c r="E207" s="838"/>
      <c r="F207" s="838"/>
      <c r="G207" s="838"/>
      <c r="H207" s="838"/>
      <c r="I207" s="838"/>
      <c r="J207" s="838"/>
      <c r="K207" s="838"/>
      <c r="L207" s="838"/>
      <c r="M207" s="838"/>
      <c r="N207" s="838"/>
      <c r="O207" s="838"/>
      <c r="P207" s="838"/>
      <c r="Q207" s="838"/>
      <c r="R207" s="838"/>
      <c r="S207" s="838"/>
      <c r="T207" s="838"/>
      <c r="U207" s="838"/>
      <c r="V207" s="838"/>
      <c r="W207" s="838"/>
    </row>
    <row r="208" spans="1:33" s="1" customFormat="1" ht="10.5">
      <c r="A208" s="45" t="s">
        <v>802</v>
      </c>
      <c r="B208"/>
      <c r="C208"/>
      <c r="D208"/>
      <c r="E208"/>
      <c r="F208"/>
      <c r="G208"/>
      <c r="H208"/>
      <c r="I208"/>
      <c r="J208"/>
      <c r="K208"/>
      <c r="L208"/>
      <c r="M208"/>
      <c r="N208" s="838"/>
      <c r="O208" s="838"/>
      <c r="P208" s="838"/>
      <c r="Q208" s="838"/>
      <c r="R208" s="838"/>
      <c r="S208" s="838"/>
      <c r="T208" s="838"/>
      <c r="U208" s="838"/>
      <c r="V208" s="838"/>
      <c r="W208" s="838"/>
    </row>
    <row r="209" spans="1:33" s="1" customFormat="1" ht="10.5">
      <c r="A209" t="s">
        <v>803</v>
      </c>
      <c r="B209"/>
      <c r="C209"/>
      <c r="D209"/>
      <c r="E209"/>
      <c r="F209"/>
      <c r="G209"/>
      <c r="H209"/>
      <c r="I209"/>
      <c r="J209"/>
      <c r="K209"/>
      <c r="L209"/>
      <c r="M209" s="1248"/>
      <c r="N209" s="1249">
        <f t="shared" ref="N209:S209" si="210">+N198/N204</f>
        <v>7.854590163934426</v>
      </c>
      <c r="O209" s="1249">
        <f t="shared" si="210"/>
        <v>7.6211688311688315</v>
      </c>
      <c r="P209" s="1249">
        <f t="shared" si="210"/>
        <v>7.4027835051546393</v>
      </c>
      <c r="Q209" s="1249">
        <f t="shared" si="210"/>
        <v>8.1633644859813081</v>
      </c>
      <c r="R209" s="1249">
        <f t="shared" si="210"/>
        <v>11.942580645161291</v>
      </c>
      <c r="S209" s="1249">
        <f t="shared" si="210"/>
        <v>10.63952380952381</v>
      </c>
      <c r="T209" s="1249">
        <f>+T198/T204</f>
        <v>14.899272727272727</v>
      </c>
      <c r="U209" s="1249">
        <f t="shared" ref="U209:AF209" si="211">+U198/U204</f>
        <v>13.948157894736843</v>
      </c>
      <c r="V209" s="1249">
        <f t="shared" si="211"/>
        <v>11.844691294590925</v>
      </c>
      <c r="W209" s="1249">
        <f t="shared" si="211"/>
        <v>11.522844976412733</v>
      </c>
      <c r="X209" s="1249">
        <f t="shared" si="211"/>
        <v>10.920266994163224</v>
      </c>
      <c r="Y209" s="1249">
        <f t="shared" si="211"/>
        <v>10.754851265718523</v>
      </c>
      <c r="Z209" s="1249">
        <f t="shared" si="211"/>
        <v>10.275501717843046</v>
      </c>
      <c r="AA209" s="1249">
        <f t="shared" si="211"/>
        <v>10.273954850609305</v>
      </c>
      <c r="AB209" s="1249">
        <f t="shared" si="211"/>
        <v>10.129297416401844</v>
      </c>
      <c r="AC209" s="1249">
        <f t="shared" si="211"/>
        <v>10.011262032707485</v>
      </c>
      <c r="AD209" s="1249">
        <f t="shared" si="211"/>
        <v>10.152591947825474</v>
      </c>
      <c r="AE209" s="1249">
        <f t="shared" si="211"/>
        <v>10.561991857383559</v>
      </c>
      <c r="AF209" s="1249">
        <f t="shared" si="211"/>
        <v>10.981200369748649</v>
      </c>
      <c r="AG209" s="1249">
        <f t="shared" ref="AG209" si="212">+AG198/AG204</f>
        <v>11.212365991500937</v>
      </c>
    </row>
    <row r="210" spans="1:33" s="1" customFormat="1" ht="10.5">
      <c r="A210" t="s">
        <v>804</v>
      </c>
      <c r="B210"/>
      <c r="C210"/>
      <c r="D210"/>
      <c r="E210"/>
      <c r="F210"/>
      <c r="G210"/>
      <c r="H210"/>
      <c r="I210"/>
      <c r="J210"/>
      <c r="K210"/>
      <c r="L210"/>
      <c r="M210" s="1248"/>
      <c r="N210" s="1249">
        <f t="shared" ref="N210:AG210" si="213">(N170-N173)/N204</f>
        <v>7.5580327868852457</v>
      </c>
      <c r="O210" s="1249">
        <f t="shared" si="213"/>
        <v>7.4825974025974027</v>
      </c>
      <c r="P210" s="1249">
        <f t="shared" si="213"/>
        <v>7.2179381443298967</v>
      </c>
      <c r="Q210" s="1249">
        <f t="shared" si="213"/>
        <v>7.8415887850467287</v>
      </c>
      <c r="R210" s="1249">
        <f t="shared" si="213"/>
        <v>11.430645161290322</v>
      </c>
      <c r="S210" s="1249">
        <f t="shared" si="213"/>
        <v>9.9310317460317457</v>
      </c>
      <c r="T210" s="1249">
        <f t="shared" si="213"/>
        <v>14.177272727272728</v>
      </c>
      <c r="U210" s="1249">
        <f t="shared" si="213"/>
        <v>13.143092105263158</v>
      </c>
      <c r="V210" s="1249">
        <f t="shared" si="213"/>
        <v>10.603269474167666</v>
      </c>
      <c r="W210" s="1249">
        <f t="shared" si="213"/>
        <v>11.522844976412733</v>
      </c>
      <c r="X210" s="1249">
        <f t="shared" si="213"/>
        <v>10.920266994163224</v>
      </c>
      <c r="Y210" s="1249">
        <f t="shared" si="213"/>
        <v>10.754851265718523</v>
      </c>
      <c r="Z210" s="1249">
        <f t="shared" si="213"/>
        <v>10.275501717843046</v>
      </c>
      <c r="AA210" s="1249">
        <f t="shared" si="213"/>
        <v>10.273954850609305</v>
      </c>
      <c r="AB210" s="1249">
        <f t="shared" si="213"/>
        <v>10.129297416401844</v>
      </c>
      <c r="AC210" s="1249">
        <f t="shared" si="213"/>
        <v>10.011262032707485</v>
      </c>
      <c r="AD210" s="1249">
        <f t="shared" si="213"/>
        <v>10.152591947825474</v>
      </c>
      <c r="AE210" s="1249">
        <f t="shared" si="213"/>
        <v>10.561991857383559</v>
      </c>
      <c r="AF210" s="1249">
        <f t="shared" si="213"/>
        <v>10.981200369748649</v>
      </c>
      <c r="AG210" s="1249">
        <f t="shared" si="213"/>
        <v>11.212365991500937</v>
      </c>
    </row>
    <row r="211" spans="1:33" s="1" customFormat="1" ht="10.5">
      <c r="A211" t="s">
        <v>805</v>
      </c>
      <c r="B211"/>
      <c r="C211"/>
      <c r="D211"/>
      <c r="E211"/>
      <c r="F211"/>
      <c r="G211"/>
      <c r="H211"/>
      <c r="I211"/>
      <c r="J211"/>
      <c r="K211"/>
      <c r="L211"/>
      <c r="M211" s="1248"/>
      <c r="N211" s="1249">
        <f t="shared" ref="N211:S211" si="214">+N206/N204</f>
        <v>3.8908196721311477</v>
      </c>
      <c r="O211" s="1249">
        <f t="shared" si="214"/>
        <v>3.825974025974026</v>
      </c>
      <c r="P211" s="1249">
        <f t="shared" si="214"/>
        <v>3.7605154639175256</v>
      </c>
      <c r="Q211" s="1249">
        <f t="shared" si="214"/>
        <v>4.1262616822429905</v>
      </c>
      <c r="R211" s="1249">
        <f t="shared" si="214"/>
        <v>6.4209677419354838</v>
      </c>
      <c r="S211" s="1249">
        <f t="shared" si="214"/>
        <v>5.9046031746031744</v>
      </c>
      <c r="T211" s="1249">
        <f>+T206/T204</f>
        <v>8.6946363636363628</v>
      </c>
      <c r="U211" s="1249">
        <f t="shared" ref="U211:AF211" si="215">+U206/U204</f>
        <v>8.9204605263157895</v>
      </c>
      <c r="V211" s="1249">
        <f t="shared" si="215"/>
        <v>7.9978155144490231</v>
      </c>
      <c r="W211" s="1249">
        <f t="shared" si="215"/>
        <v>7.7161375242825594</v>
      </c>
      <c r="X211" s="1249">
        <f t="shared" si="215"/>
        <v>7.1349866500440315</v>
      </c>
      <c r="Y211" s="1249">
        <f t="shared" si="215"/>
        <v>6.8109609646465792</v>
      </c>
      <c r="Z211" s="1249">
        <f t="shared" si="215"/>
        <v>6.243629451917899</v>
      </c>
      <c r="AA211" s="1249">
        <f t="shared" si="215"/>
        <v>5.9764681788396583</v>
      </c>
      <c r="AB211" s="1249">
        <f t="shared" si="215"/>
        <v>5.6439508995732277</v>
      </c>
      <c r="AC211" s="1249">
        <f t="shared" si="215"/>
        <v>5.3446386964567987</v>
      </c>
      <c r="AD211" s="1249">
        <f t="shared" si="215"/>
        <v>5.2580127854849001</v>
      </c>
      <c r="AE211" s="1249">
        <f t="shared" si="215"/>
        <v>5.3907453719971992</v>
      </c>
      <c r="AF211" s="1249">
        <f t="shared" si="215"/>
        <v>5.5949502039481773</v>
      </c>
      <c r="AG211" s="1249">
        <f t="shared" ref="AG211" si="216">+AG206/AG204</f>
        <v>5.7420903462305262</v>
      </c>
    </row>
    <row r="212" spans="1:33" s="1" customFormat="1" ht="10.5">
      <c r="A212" s="837"/>
      <c r="D212" s="838"/>
      <c r="E212" s="838"/>
      <c r="F212" s="838"/>
      <c r="G212" s="838"/>
      <c r="H212" s="838"/>
      <c r="I212" s="838"/>
      <c r="J212" s="838"/>
      <c r="K212" s="838"/>
      <c r="L212" s="838"/>
      <c r="M212" s="838"/>
      <c r="N212" s="838"/>
      <c r="O212" s="838"/>
      <c r="P212" s="838"/>
      <c r="Q212" s="838"/>
      <c r="R212" s="838"/>
      <c r="S212" s="838"/>
      <c r="T212" s="838"/>
      <c r="U212" s="838"/>
      <c r="V212" s="838"/>
      <c r="W212" s="838"/>
    </row>
    <row r="213" spans="1:33" s="1" customFormat="1" ht="10.5">
      <c r="A213" s="45"/>
      <c r="D213" s="838"/>
      <c r="E213" s="838"/>
      <c r="F213" s="838"/>
      <c r="G213" s="838"/>
      <c r="H213" s="838"/>
      <c r="I213" s="838"/>
      <c r="J213" s="838"/>
      <c r="K213" s="838"/>
      <c r="L213" s="838"/>
      <c r="M213" s="838"/>
      <c r="N213" s="838"/>
      <c r="O213" s="838"/>
      <c r="P213" s="838"/>
      <c r="Q213" s="838"/>
      <c r="R213" s="838"/>
      <c r="S213" s="838"/>
      <c r="T213" s="838"/>
      <c r="U213" s="838"/>
      <c r="V213" s="838"/>
      <c r="W213" s="838"/>
    </row>
    <row r="214" spans="1:33">
      <c r="A214" t="s">
        <v>801</v>
      </c>
      <c r="C214" s="29"/>
      <c r="D214" s="11">
        <f t="shared" ref="D214:L214" si="217">+D191-D194</f>
        <v>940</v>
      </c>
      <c r="E214" s="11">
        <f t="shared" si="217"/>
        <v>1556</v>
      </c>
      <c r="F214" s="11">
        <f t="shared" si="217"/>
        <v>2062</v>
      </c>
      <c r="G214" s="11">
        <f t="shared" si="217"/>
        <v>2173</v>
      </c>
      <c r="H214" s="11">
        <f t="shared" si="217"/>
        <v>2266</v>
      </c>
      <c r="I214" s="11">
        <f t="shared" si="217"/>
        <v>2467</v>
      </c>
      <c r="J214" s="11">
        <f t="shared" si="217"/>
        <v>3255</v>
      </c>
      <c r="K214" s="11">
        <f t="shared" si="217"/>
        <v>4712</v>
      </c>
      <c r="L214" s="11">
        <f t="shared" si="217"/>
        <v>5457</v>
      </c>
      <c r="M214" s="29">
        <v>4900</v>
      </c>
      <c r="N214" s="29">
        <v>6100</v>
      </c>
      <c r="O214" s="29">
        <v>7700</v>
      </c>
      <c r="P214" s="29">
        <v>9700</v>
      </c>
      <c r="Q214" s="29">
        <v>10700</v>
      </c>
      <c r="R214" s="29">
        <v>9300</v>
      </c>
      <c r="S214" s="29">
        <v>12600</v>
      </c>
      <c r="T214" s="29">
        <v>11000</v>
      </c>
      <c r="U214" s="29">
        <v>15200</v>
      </c>
      <c r="V214" s="29"/>
      <c r="W214" s="29"/>
    </row>
    <row r="215" spans="1:33">
      <c r="A215" s="15" t="s">
        <v>806</v>
      </c>
      <c r="B215" s="11"/>
      <c r="C215" s="11"/>
      <c r="D215" s="29"/>
      <c r="E215" s="29"/>
      <c r="F215" s="29"/>
      <c r="G215" s="29"/>
      <c r="H215" s="29"/>
      <c r="I215" s="29"/>
      <c r="J215" s="29"/>
      <c r="K215" s="29"/>
      <c r="L215" s="29"/>
      <c r="M215" s="29"/>
      <c r="N215" s="29">
        <v>104</v>
      </c>
      <c r="O215" s="29">
        <v>243</v>
      </c>
      <c r="P215" s="29">
        <v>370</v>
      </c>
      <c r="Q215" s="29">
        <v>611</v>
      </c>
      <c r="R215" s="29">
        <v>921</v>
      </c>
      <c r="S215" s="29">
        <v>980</v>
      </c>
      <c r="T215" s="29">
        <v>1352</v>
      </c>
      <c r="U215" s="29">
        <v>1800</v>
      </c>
      <c r="V215" s="1220"/>
      <c r="W215" s="1220"/>
    </row>
    <row r="216" spans="1:33" s="1" customFormat="1" ht="10.5">
      <c r="A216"/>
      <c r="D216" s="838"/>
      <c r="E216" s="838"/>
      <c r="F216" s="838"/>
      <c r="G216" s="838"/>
      <c r="H216" s="838"/>
      <c r="I216" s="838"/>
      <c r="J216" s="838"/>
      <c r="K216" s="838"/>
      <c r="L216" s="838"/>
      <c r="M216" s="1221"/>
      <c r="N216" s="1221"/>
      <c r="O216" s="1221"/>
      <c r="P216" s="1221"/>
      <c r="Q216" s="1221"/>
      <c r="R216" s="1221"/>
      <c r="S216" s="1221"/>
      <c r="T216" s="1221"/>
      <c r="U216" s="1221"/>
      <c r="V216" s="1221"/>
      <c r="W216" s="1221"/>
    </row>
    <row r="217" spans="1:33" s="1" customFormat="1" ht="10.5">
      <c r="A217"/>
      <c r="D217" s="838"/>
      <c r="E217" s="838"/>
      <c r="F217" s="838"/>
      <c r="G217" s="838"/>
      <c r="H217" s="838"/>
      <c r="I217" s="838"/>
      <c r="J217" s="838"/>
      <c r="K217" s="838"/>
      <c r="L217" s="838"/>
      <c r="M217" s="1221"/>
      <c r="N217" s="1221"/>
      <c r="O217" s="1221"/>
      <c r="P217" s="1221"/>
      <c r="Q217" s="1221"/>
      <c r="R217" s="1221"/>
      <c r="S217" s="1221"/>
      <c r="T217" s="1221"/>
      <c r="U217" s="1221"/>
      <c r="V217" s="1221"/>
      <c r="W217" s="956"/>
    </row>
    <row r="218" spans="1:33" ht="10.5">
      <c r="A218" s="45" t="s">
        <v>807</v>
      </c>
    </row>
    <row r="219" spans="1:33">
      <c r="A219" t="s">
        <v>779</v>
      </c>
      <c r="N219" s="29"/>
      <c r="O219" s="29"/>
      <c r="P219" s="29"/>
      <c r="Q219" s="29"/>
      <c r="R219" s="29"/>
      <c r="S219" s="29"/>
      <c r="T219" s="29"/>
      <c r="U219" s="956" t="s">
        <v>273</v>
      </c>
    </row>
    <row r="220" spans="1:33">
      <c r="A220" t="s">
        <v>780</v>
      </c>
      <c r="N220" s="29"/>
      <c r="O220" s="29"/>
      <c r="P220" s="29"/>
      <c r="Q220" s="29"/>
      <c r="R220" s="29"/>
      <c r="S220" s="29"/>
      <c r="T220" s="29"/>
      <c r="U220" s="1320" t="s">
        <v>808</v>
      </c>
    </row>
    <row r="221" spans="1:33">
      <c r="A221" t="s">
        <v>781</v>
      </c>
      <c r="N221" s="29"/>
      <c r="O221" s="29"/>
      <c r="P221" s="29"/>
      <c r="Q221" s="29"/>
      <c r="R221" s="29"/>
      <c r="S221" s="29"/>
      <c r="T221" s="29"/>
      <c r="U221" s="1320" t="s">
        <v>809</v>
      </c>
    </row>
    <row r="222" spans="1:33">
      <c r="A222" t="s">
        <v>810</v>
      </c>
      <c r="N222" s="29"/>
      <c r="O222" s="29"/>
      <c r="P222" s="29"/>
      <c r="Q222" s="29"/>
      <c r="R222" s="29"/>
      <c r="S222" s="29"/>
      <c r="T222" s="29"/>
      <c r="U222" s="1320" t="s">
        <v>811</v>
      </c>
    </row>
    <row r="223" spans="1:33">
      <c r="A223" t="s">
        <v>812</v>
      </c>
      <c r="N223" s="29"/>
      <c r="O223" s="29"/>
      <c r="P223" s="29"/>
      <c r="Q223" s="29"/>
      <c r="R223" s="29"/>
      <c r="S223" s="29"/>
      <c r="T223" s="29"/>
      <c r="U223" s="956">
        <v>3</v>
      </c>
    </row>
    <row r="224" spans="1:33">
      <c r="A224" t="s">
        <v>783</v>
      </c>
      <c r="N224" s="29"/>
      <c r="O224" s="29"/>
      <c r="P224" s="29"/>
      <c r="Q224" s="29"/>
      <c r="R224" s="29"/>
      <c r="S224" s="29"/>
      <c r="T224" s="29"/>
      <c r="U224" s="1320" t="s">
        <v>813</v>
      </c>
    </row>
    <row r="225" spans="1:21" ht="10.5">
      <c r="A225" s="837" t="s">
        <v>784</v>
      </c>
      <c r="U225" s="1321"/>
    </row>
    <row r="227" spans="1:21" ht="10.5">
      <c r="A227" s="45" t="s">
        <v>814</v>
      </c>
    </row>
    <row r="228" spans="1:21">
      <c r="A228" t="s">
        <v>779</v>
      </c>
      <c r="N228" s="29"/>
      <c r="O228" s="29"/>
      <c r="P228" s="29"/>
      <c r="Q228" s="29"/>
      <c r="R228" s="29"/>
      <c r="S228" s="29"/>
      <c r="T228" s="29"/>
      <c r="U228" s="1319">
        <f>+U165</f>
        <v>8163</v>
      </c>
    </row>
    <row r="229" spans="1:21">
      <c r="A229" t="s">
        <v>780</v>
      </c>
      <c r="N229" s="29"/>
      <c r="O229" s="29"/>
      <c r="P229" s="29"/>
      <c r="Q229" s="29"/>
      <c r="R229" s="29"/>
      <c r="S229" s="29"/>
      <c r="T229" s="29"/>
      <c r="U229" s="1319">
        <f t="shared" ref="U229:U232" si="218">+U166</f>
        <v>93943</v>
      </c>
    </row>
    <row r="230" spans="1:21">
      <c r="A230" t="s">
        <v>781</v>
      </c>
      <c r="N230" s="29"/>
      <c r="O230" s="29"/>
      <c r="P230" s="29"/>
      <c r="Q230" s="29"/>
      <c r="R230" s="29"/>
      <c r="S230" s="29"/>
      <c r="T230" s="29"/>
      <c r="U230" s="1319">
        <f t="shared" si="218"/>
        <v>9594</v>
      </c>
    </row>
    <row r="231" spans="1:21">
      <c r="A231" t="s">
        <v>815</v>
      </c>
      <c r="N231" s="29"/>
      <c r="O231" s="29"/>
      <c r="P231" s="29"/>
      <c r="Q231" s="29"/>
      <c r="R231" s="29"/>
      <c r="S231" s="29"/>
      <c r="T231" s="29"/>
      <c r="U231" s="1319">
        <f t="shared" si="218"/>
        <v>93780</v>
      </c>
    </row>
    <row r="232" spans="1:21" ht="11.45">
      <c r="A232" t="s">
        <v>783</v>
      </c>
      <c r="N232" s="29"/>
      <c r="O232" s="29"/>
      <c r="P232" s="29"/>
      <c r="Q232" s="29"/>
      <c r="R232" s="29"/>
      <c r="S232" s="29"/>
      <c r="T232" s="29"/>
      <c r="U232" s="1322">
        <f t="shared" si="218"/>
        <v>6532</v>
      </c>
    </row>
    <row r="233" spans="1:21" ht="10.5">
      <c r="A233" s="837" t="s">
        <v>784</v>
      </c>
      <c r="U233" s="1321">
        <f>+SUM(U228:U232)</f>
        <v>212012</v>
      </c>
    </row>
    <row r="234" spans="1:21" ht="10.5">
      <c r="A234" s="837"/>
    </row>
    <row r="235" spans="1:21" ht="10.5">
      <c r="A235" s="45" t="s">
        <v>816</v>
      </c>
    </row>
    <row r="236" spans="1:21">
      <c r="A236" t="s">
        <v>779</v>
      </c>
      <c r="N236" s="29"/>
      <c r="O236" s="29"/>
      <c r="P236" s="29"/>
      <c r="Q236" s="29"/>
      <c r="R236" s="29"/>
      <c r="S236" s="29"/>
      <c r="T236" s="29"/>
      <c r="U236" s="1319">
        <v>0</v>
      </c>
    </row>
    <row r="237" spans="1:21">
      <c r="A237" t="s">
        <v>780</v>
      </c>
      <c r="N237" s="29"/>
      <c r="O237" s="29"/>
      <c r="P237" s="29"/>
      <c r="Q237" s="29"/>
      <c r="R237" s="29"/>
      <c r="S237" s="29"/>
      <c r="T237" s="29"/>
      <c r="U237" s="1318">
        <v>15</v>
      </c>
    </row>
    <row r="238" spans="1:21">
      <c r="A238" t="s">
        <v>781</v>
      </c>
      <c r="N238" s="29"/>
      <c r="O238" s="29"/>
      <c r="P238" s="29"/>
      <c r="Q238" s="29"/>
      <c r="R238" s="29"/>
      <c r="S238" s="29"/>
      <c r="T238" s="29"/>
      <c r="U238" s="1318">
        <v>18</v>
      </c>
    </row>
    <row r="239" spans="1:21">
      <c r="A239" t="s">
        <v>815</v>
      </c>
      <c r="N239" s="29"/>
      <c r="O239" s="29"/>
      <c r="P239" s="29"/>
      <c r="Q239" s="29"/>
      <c r="R239" s="29"/>
      <c r="S239" s="29"/>
      <c r="T239" s="29"/>
      <c r="U239" s="1318">
        <v>5.0999999999999996</v>
      </c>
    </row>
    <row r="240" spans="1:21" ht="11.45">
      <c r="A240" t="s">
        <v>783</v>
      </c>
      <c r="N240" s="29"/>
      <c r="O240" s="29"/>
      <c r="P240" s="29"/>
      <c r="Q240" s="29"/>
      <c r="R240" s="29"/>
      <c r="S240" s="29"/>
      <c r="T240" s="29"/>
      <c r="U240" s="1323">
        <v>8</v>
      </c>
    </row>
    <row r="241" spans="1:21" ht="10.5">
      <c r="A241" s="837" t="s">
        <v>784</v>
      </c>
      <c r="U241" s="227">
        <f>SUMPRODUCT(U236:U240,U228:U232)/U233</f>
        <v>9.9634501820651664</v>
      </c>
    </row>
  </sheetData>
  <pageMargins left="0.3" right="0.3" top="0.3" bottom="0.3" header="0.3" footer="0.3"/>
  <pageSetup scale="60" fitToHeight="0" orientation="portrait" r:id="rId1"/>
  <headerFooter>
    <oddFooter>Page &amp;P</oddFooter>
  </headerFooter>
  <rowBreaks count="1" manualBreakCount="1">
    <brk id="217" max="32" man="1"/>
  </rowBreaks>
  <colBreaks count="1" manualBreakCount="1">
    <brk id="33" max="104857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8A12E-1174-476B-B2DD-0587EB35F837}">
  <sheetPr>
    <pageSetUpPr fitToPage="1"/>
  </sheetPr>
  <dimension ref="A1:AR217"/>
  <sheetViews>
    <sheetView view="pageBreakPreview" zoomScale="70" zoomScaleNormal="100" zoomScaleSheetLayoutView="70" workbookViewId="0">
      <pane xSplit="1" ySplit="5" topLeftCell="B6" activePane="bottomRight" state="frozen"/>
      <selection pane="bottomRight" activeCell="B6" sqref="B6"/>
      <selection pane="bottomLeft" activeCell="B6" sqref="B6"/>
      <selection pane="topRight" activeCell="B6" sqref="B6"/>
    </sheetView>
  </sheetViews>
  <sheetFormatPr defaultRowHeight="9.9499999999999993" outlineLevelRow="1" outlineLevelCol="1"/>
  <cols>
    <col min="1" max="1" width="20.83203125" customWidth="1"/>
    <col min="2" max="2" width="2.83203125" customWidth="1"/>
    <col min="3" max="12" width="9.33203125" hidden="1" customWidth="1" outlineLevel="1"/>
    <col min="13" max="13" width="9.33203125" hidden="1" customWidth="1" outlineLevel="1" collapsed="1"/>
    <col min="14" max="14" width="9.33203125" collapsed="1"/>
    <col min="21" max="21" width="9.83203125" bestFit="1" customWidth="1"/>
    <col min="22" max="22" width="10.1640625" bestFit="1" customWidth="1"/>
    <col min="23" max="24" width="9.5" bestFit="1" customWidth="1"/>
    <col min="25" max="26" width="9.83203125" bestFit="1" customWidth="1"/>
    <col min="27" max="27" width="9.5" bestFit="1" customWidth="1"/>
    <col min="28" max="28" width="9.83203125" bestFit="1" customWidth="1"/>
    <col min="29" max="29" width="9.5" bestFit="1" customWidth="1"/>
    <col min="30" max="30" width="10.33203125" bestFit="1" customWidth="1"/>
    <col min="31" max="31" width="9.83203125" bestFit="1" customWidth="1"/>
    <col min="32" max="32" width="9.6640625" bestFit="1" customWidth="1"/>
    <col min="33" max="33" width="9.6640625" customWidth="1"/>
  </cols>
  <sheetData>
    <row r="1" spans="1:35" s="1" customFormat="1" ht="10.5">
      <c r="A1" s="1" t="s">
        <v>306</v>
      </c>
      <c r="AF1" s="1216"/>
      <c r="AG1" s="1216">
        <f ca="1">+TODAY()</f>
        <v>45797</v>
      </c>
    </row>
    <row r="2" spans="1:35" s="2" customFormat="1" ht="10.5">
      <c r="A2" s="2" t="s">
        <v>753</v>
      </c>
    </row>
    <row r="3" spans="1:35">
      <c r="A3" s="3" t="s">
        <v>63</v>
      </c>
    </row>
    <row r="4" spans="1:35" ht="10.5">
      <c r="A4" s="3"/>
      <c r="D4" s="89" t="str">
        <f>+'EBIT growth'!B4</f>
        <v>FYE June 30th</v>
      </c>
      <c r="E4" s="89"/>
      <c r="F4" s="89"/>
      <c r="G4" s="89"/>
      <c r="H4" s="89"/>
      <c r="I4" s="89"/>
      <c r="J4" s="89"/>
      <c r="K4" s="89"/>
      <c r="L4" s="89"/>
      <c r="M4" s="89" t="str">
        <f>+D4</f>
        <v>FYE June 30th</v>
      </c>
      <c r="N4" s="89" t="str">
        <f>+M4</f>
        <v>FYE June 30th</v>
      </c>
      <c r="O4" s="89"/>
      <c r="P4" s="89"/>
      <c r="Q4" s="89"/>
      <c r="R4" s="89"/>
      <c r="S4" s="89"/>
      <c r="T4" s="89"/>
      <c r="U4" s="89"/>
      <c r="V4" s="89"/>
      <c r="W4" s="89"/>
      <c r="X4" s="89"/>
      <c r="Y4" s="89"/>
      <c r="Z4" s="89"/>
      <c r="AA4" s="89"/>
      <c r="AB4" s="89"/>
      <c r="AC4" s="89"/>
      <c r="AD4" s="89"/>
      <c r="AE4" s="89"/>
      <c r="AF4" s="89"/>
      <c r="AG4" s="89"/>
    </row>
    <row r="5" spans="1:35" ht="13.5">
      <c r="C5" s="6" t="s">
        <v>247</v>
      </c>
      <c r="D5" s="6" t="s">
        <v>248</v>
      </c>
      <c r="E5" s="6" t="s">
        <v>249</v>
      </c>
      <c r="F5" s="6" t="s">
        <v>250</v>
      </c>
      <c r="G5" s="6" t="s">
        <v>251</v>
      </c>
      <c r="H5" s="6" t="s">
        <v>252</v>
      </c>
      <c r="I5" s="6" t="s">
        <v>253</v>
      </c>
      <c r="J5" s="6" t="s">
        <v>254</v>
      </c>
      <c r="K5" s="6" t="s">
        <v>255</v>
      </c>
      <c r="L5" s="6" t="s">
        <v>256</v>
      </c>
      <c r="M5" s="6" t="s">
        <v>257</v>
      </c>
      <c r="N5" s="6" t="s">
        <v>258</v>
      </c>
      <c r="O5" s="6" t="s">
        <v>259</v>
      </c>
      <c r="P5" s="6" t="s">
        <v>260</v>
      </c>
      <c r="Q5" s="6" t="s">
        <v>261</v>
      </c>
      <c r="R5" s="6" t="s">
        <v>262</v>
      </c>
      <c r="S5" s="6" t="s">
        <v>109</v>
      </c>
      <c r="T5" s="6" t="s">
        <v>191</v>
      </c>
      <c r="U5" s="6" t="s">
        <v>263</v>
      </c>
      <c r="V5" s="6" t="s">
        <v>72</v>
      </c>
      <c r="W5" s="6" t="s">
        <v>73</v>
      </c>
      <c r="X5" s="6" t="s">
        <v>74</v>
      </c>
      <c r="Y5" s="6" t="s">
        <v>75</v>
      </c>
      <c r="Z5" s="6" t="s">
        <v>76</v>
      </c>
      <c r="AA5" s="6" t="s">
        <v>77</v>
      </c>
      <c r="AB5" s="6" t="s">
        <v>78</v>
      </c>
      <c r="AC5" s="6" t="s">
        <v>79</v>
      </c>
      <c r="AD5" s="6" t="s">
        <v>80</v>
      </c>
      <c r="AE5" s="6" t="s">
        <v>81</v>
      </c>
      <c r="AF5" s="6" t="s">
        <v>82</v>
      </c>
      <c r="AG5" s="6" t="s">
        <v>83</v>
      </c>
    </row>
    <row r="7" spans="1:35" ht="10.5">
      <c r="A7" s="5" t="s">
        <v>754</v>
      </c>
      <c r="B7" s="4"/>
      <c r="AI7" t="s">
        <v>126</v>
      </c>
    </row>
    <row r="8" spans="1:35">
      <c r="AI8" t="s">
        <v>755</v>
      </c>
    </row>
    <row r="9" spans="1:35" ht="10.5">
      <c r="A9" s="45" t="s">
        <v>756</v>
      </c>
    </row>
    <row r="10" spans="1:35">
      <c r="A10" t="s">
        <v>758</v>
      </c>
      <c r="N10" s="1317">
        <f>+'D&amp;A forecast - Case 1'!N10</f>
        <v>5</v>
      </c>
    </row>
    <row r="11" spans="1:35">
      <c r="A11" s="1218" t="s">
        <v>759</v>
      </c>
      <c r="N11" s="1317">
        <f>+'D&amp;A forecast - Case 1'!N11</f>
        <v>7.5</v>
      </c>
    </row>
    <row r="12" spans="1:35">
      <c r="A12" s="1218" t="s">
        <v>760</v>
      </c>
      <c r="N12" s="1317">
        <f>+'D&amp;A forecast - Case 1'!N12</f>
        <v>9.5</v>
      </c>
    </row>
    <row r="14" spans="1:35">
      <c r="A14" t="str">
        <f>+A177</f>
        <v>Purchase of PP&amp;E + Finance Leases</v>
      </c>
      <c r="D14" s="8">
        <f>+D177</f>
        <v>2264</v>
      </c>
      <c r="E14" s="8">
        <f t="shared" ref="E14:U14" si="0">+E177</f>
        <v>3182</v>
      </c>
      <c r="F14" s="8">
        <f t="shared" si="0"/>
        <v>3119</v>
      </c>
      <c r="G14" s="8">
        <f t="shared" si="0"/>
        <v>1977</v>
      </c>
      <c r="H14" s="8">
        <f t="shared" si="0"/>
        <v>2355</v>
      </c>
      <c r="I14" s="8">
        <f t="shared" si="0"/>
        <v>2305</v>
      </c>
      <c r="J14" s="8">
        <f t="shared" si="0"/>
        <v>4257</v>
      </c>
      <c r="K14" s="8">
        <f t="shared" si="0"/>
        <v>5485</v>
      </c>
      <c r="L14" s="8">
        <f t="shared" si="0"/>
        <v>5944</v>
      </c>
      <c r="M14" s="8">
        <f t="shared" si="0"/>
        <v>8900</v>
      </c>
      <c r="N14" s="8">
        <f t="shared" si="0"/>
        <v>10200</v>
      </c>
      <c r="O14" s="8">
        <f t="shared" si="0"/>
        <v>13600</v>
      </c>
      <c r="P14" s="8">
        <f t="shared" si="0"/>
        <v>16900</v>
      </c>
      <c r="Q14" s="8">
        <f t="shared" si="0"/>
        <v>19000</v>
      </c>
      <c r="R14" s="8">
        <f t="shared" si="0"/>
        <v>24200</v>
      </c>
      <c r="S14" s="8">
        <f t="shared" si="0"/>
        <v>29200</v>
      </c>
      <c r="T14" s="8">
        <f t="shared" si="0"/>
        <v>31900</v>
      </c>
      <c r="U14" s="8">
        <f t="shared" si="0"/>
        <v>55700</v>
      </c>
      <c r="V14" s="1098">
        <f>+'Case 2 - upside'!K50</f>
        <v>83000</v>
      </c>
      <c r="W14" s="1098">
        <f>+'Case 2 - upside'!L50</f>
        <v>70319.870113757162</v>
      </c>
      <c r="X14" s="1098">
        <f>+'Case 2 - upside'!M50</f>
        <v>73516.227846200665</v>
      </c>
      <c r="Y14" s="1098">
        <f>+'Case 2 - upside'!N50</f>
        <v>76089.295820817671</v>
      </c>
      <c r="Z14" s="1098">
        <f>+'Case 2 - upside'!O50</f>
        <v>77780.169061280292</v>
      </c>
      <c r="AA14" s="1098">
        <f>+'Case 2 - upside'!P50</f>
        <v>78266.295117913294</v>
      </c>
      <c r="AB14" s="1098">
        <f>+'Case 2 - upside'!Q50</f>
        <v>83577.222286628836</v>
      </c>
      <c r="AC14" s="1098">
        <f>+'Case 2 - upside'!R50</f>
        <v>88720.435965805969</v>
      </c>
      <c r="AD14" s="1098">
        <f>+'Case 2 - upside'!S50</f>
        <v>102028.50136067685</v>
      </c>
      <c r="AE14" s="1098">
        <f>+'Case 2 - upside'!T50</f>
        <v>117332.77656477837</v>
      </c>
      <c r="AF14" s="1098">
        <f>+'Case 2 - upside'!U50</f>
        <v>134932.69304949511</v>
      </c>
      <c r="AG14" s="1098">
        <f>+'Case 2 - upside'!V50</f>
        <v>155172.59700691939</v>
      </c>
    </row>
    <row r="15" spans="1:35" s="852" customFormat="1" ht="11.45">
      <c r="A15" t="s">
        <v>761</v>
      </c>
      <c r="D15" s="853">
        <f t="shared" ref="D15:U15" si="1">+D16-D14</f>
        <v>-121</v>
      </c>
      <c r="E15" s="853">
        <f t="shared" si="1"/>
        <v>-4</v>
      </c>
      <c r="F15" s="853">
        <f t="shared" si="1"/>
        <v>-581</v>
      </c>
      <c r="G15" s="853">
        <f t="shared" si="1"/>
        <v>-800</v>
      </c>
      <c r="H15" s="853">
        <f t="shared" si="1"/>
        <v>-623</v>
      </c>
      <c r="I15" s="853">
        <f t="shared" si="1"/>
        <v>-1065</v>
      </c>
      <c r="J15" s="853">
        <f t="shared" si="1"/>
        <v>-984</v>
      </c>
      <c r="K15" s="853">
        <f t="shared" si="1"/>
        <v>-185</v>
      </c>
      <c r="L15" s="853">
        <f t="shared" si="1"/>
        <v>-1411</v>
      </c>
      <c r="M15" s="853">
        <f t="shared" si="1"/>
        <v>-3081</v>
      </c>
      <c r="N15" s="853">
        <f t="shared" si="1"/>
        <v>-443</v>
      </c>
      <c r="O15" s="853">
        <f t="shared" si="1"/>
        <v>-2830</v>
      </c>
      <c r="P15" s="853">
        <f t="shared" si="1"/>
        <v>-3776</v>
      </c>
      <c r="Q15" s="853">
        <f t="shared" si="1"/>
        <v>-3459</v>
      </c>
      <c r="R15" s="853">
        <f t="shared" si="1"/>
        <v>-482</v>
      </c>
      <c r="S15" s="853">
        <f t="shared" si="1"/>
        <v>-6208</v>
      </c>
      <c r="T15" s="853">
        <f t="shared" si="1"/>
        <v>-2066</v>
      </c>
      <c r="U15" s="853">
        <f t="shared" si="1"/>
        <v>-7580</v>
      </c>
      <c r="V15" s="58">
        <f>+U15</f>
        <v>-7580</v>
      </c>
      <c r="W15" s="58">
        <f t="shared" ref="W15:AG15" si="2">+V15/V14*W14*0.9</f>
        <v>-5779.7849869403772</v>
      </c>
      <c r="X15" s="58">
        <f t="shared" si="2"/>
        <v>-5438.2522377120822</v>
      </c>
      <c r="Y15" s="58">
        <f t="shared" si="2"/>
        <v>-5065.7319594288028</v>
      </c>
      <c r="Z15" s="58">
        <f t="shared" si="2"/>
        <v>-4660.4734026745</v>
      </c>
      <c r="AA15" s="58">
        <f t="shared" si="2"/>
        <v>-4220.641225297094</v>
      </c>
      <c r="AB15" s="58">
        <f t="shared" si="2"/>
        <v>-4056.3376918837425</v>
      </c>
      <c r="AC15" s="58">
        <f t="shared" si="2"/>
        <v>-3875.3626256304669</v>
      </c>
      <c r="AD15" s="58">
        <f t="shared" si="2"/>
        <v>-4011.0003175275324</v>
      </c>
      <c r="AE15" s="58">
        <f t="shared" si="2"/>
        <v>-4151.3853286409958</v>
      </c>
      <c r="AF15" s="58">
        <f t="shared" si="2"/>
        <v>-4296.6838151434313</v>
      </c>
      <c r="AG15" s="58">
        <f t="shared" si="2"/>
        <v>-4447.0677486734521</v>
      </c>
    </row>
    <row r="16" spans="1:35">
      <c r="A16" s="12" t="s">
        <v>762</v>
      </c>
      <c r="D16" s="8">
        <f t="shared" ref="D16:S16" si="3">+(D170)-(C170)</f>
        <v>2143</v>
      </c>
      <c r="E16" s="8">
        <f t="shared" si="3"/>
        <v>3178</v>
      </c>
      <c r="F16" s="8">
        <f t="shared" si="3"/>
        <v>2538</v>
      </c>
      <c r="G16" s="8">
        <f t="shared" si="3"/>
        <v>1177</v>
      </c>
      <c r="H16" s="8">
        <f t="shared" si="3"/>
        <v>1732</v>
      </c>
      <c r="I16" s="8">
        <f t="shared" si="3"/>
        <v>1240</v>
      </c>
      <c r="J16" s="8">
        <f t="shared" si="3"/>
        <v>3273</v>
      </c>
      <c r="K16" s="8">
        <f t="shared" si="3"/>
        <v>5300</v>
      </c>
      <c r="L16" s="8">
        <f t="shared" si="3"/>
        <v>4533</v>
      </c>
      <c r="M16" s="8">
        <f t="shared" si="3"/>
        <v>5819</v>
      </c>
      <c r="N16" s="8">
        <f t="shared" si="3"/>
        <v>9757</v>
      </c>
      <c r="O16" s="8">
        <f t="shared" si="3"/>
        <v>10770</v>
      </c>
      <c r="P16" s="8">
        <f t="shared" si="3"/>
        <v>13124</v>
      </c>
      <c r="Q16" s="8">
        <f t="shared" si="3"/>
        <v>15541</v>
      </c>
      <c r="R16" s="8">
        <f t="shared" si="3"/>
        <v>23718</v>
      </c>
      <c r="S16" s="8">
        <f t="shared" si="3"/>
        <v>22992</v>
      </c>
      <c r="T16" s="8">
        <f>+(T170)-(S170)</f>
        <v>29834</v>
      </c>
      <c r="U16" s="8">
        <f>+(U170)-(T170)</f>
        <v>48120</v>
      </c>
      <c r="V16" s="8">
        <f t="shared" ref="V16:AF16" si="4">+SUM(V14:V15)</f>
        <v>75420</v>
      </c>
      <c r="W16" s="8">
        <f t="shared" si="4"/>
        <v>64540.085126816783</v>
      </c>
      <c r="X16" s="8">
        <f t="shared" si="4"/>
        <v>68077.975608488588</v>
      </c>
      <c r="Y16" s="8">
        <f t="shared" si="4"/>
        <v>71023.563861388873</v>
      </c>
      <c r="Z16" s="8">
        <f t="shared" si="4"/>
        <v>73119.695658605793</v>
      </c>
      <c r="AA16" s="8">
        <f t="shared" si="4"/>
        <v>74045.653892616203</v>
      </c>
      <c r="AB16" s="8">
        <f t="shared" si="4"/>
        <v>79520.88459474509</v>
      </c>
      <c r="AC16" s="8">
        <f t="shared" si="4"/>
        <v>84845.073340175499</v>
      </c>
      <c r="AD16" s="8">
        <f t="shared" si="4"/>
        <v>98017.501043149314</v>
      </c>
      <c r="AE16" s="8">
        <f t="shared" si="4"/>
        <v>113181.39123613737</v>
      </c>
      <c r="AF16" s="8">
        <f t="shared" si="4"/>
        <v>130636.00923435167</v>
      </c>
      <c r="AG16" s="8">
        <f t="shared" ref="AG16" si="5">+SUM(AG14:AG15)</f>
        <v>150725.52925824592</v>
      </c>
      <c r="AH16" s="8"/>
    </row>
    <row r="18" spans="1:36" ht="10.5">
      <c r="A18" s="45" t="s">
        <v>763</v>
      </c>
    </row>
    <row r="19" spans="1:36">
      <c r="A19" t="s">
        <v>248</v>
      </c>
      <c r="D19" s="8">
        <f>+D64/$N$10</f>
        <v>1873.2</v>
      </c>
      <c r="E19" s="8">
        <f t="shared" ref="E19:Q26" si="6">+IF(D130&gt;0,MIN(E64/$N$10,D130),0)</f>
        <v>1873.2</v>
      </c>
      <c r="F19" s="8">
        <f t="shared" si="6"/>
        <v>1873.2</v>
      </c>
      <c r="G19" s="8">
        <f t="shared" si="6"/>
        <v>1873.2</v>
      </c>
      <c r="H19" s="8">
        <f t="shared" si="6"/>
        <v>1873.1999999999998</v>
      </c>
      <c r="I19" s="8">
        <f t="shared" si="6"/>
        <v>0</v>
      </c>
      <c r="J19" s="8">
        <f t="shared" si="6"/>
        <v>0</v>
      </c>
      <c r="K19" s="8">
        <f t="shared" si="6"/>
        <v>0</v>
      </c>
      <c r="L19" s="8">
        <f t="shared" si="6"/>
        <v>0</v>
      </c>
      <c r="M19" s="8">
        <f>+IF(L130&gt;0,MIN(M64/$N$10,L130),0)</f>
        <v>0</v>
      </c>
      <c r="N19" s="8">
        <f t="shared" si="6"/>
        <v>0</v>
      </c>
      <c r="O19" s="8">
        <f t="shared" si="6"/>
        <v>0</v>
      </c>
      <c r="P19" s="8">
        <f t="shared" si="6"/>
        <v>0</v>
      </c>
      <c r="Q19" s="8">
        <f t="shared" si="6"/>
        <v>0</v>
      </c>
      <c r="R19" s="8">
        <f>+IF(Q130&gt;0,MIN(R64/$N$11,Q130),0)</f>
        <v>0</v>
      </c>
      <c r="S19" s="8">
        <f>+IF(R130&gt;0,MIN(S64/$N$11,R130),0)</f>
        <v>0</v>
      </c>
      <c r="T19" s="8">
        <f t="shared" ref="T19:AG34" si="7">+IF(S130&gt;0,MIN(T64/$N$12,S130),0)</f>
        <v>0</v>
      </c>
      <c r="U19" s="8">
        <f t="shared" si="7"/>
        <v>0</v>
      </c>
      <c r="V19" s="8">
        <f t="shared" si="7"/>
        <v>0</v>
      </c>
      <c r="W19" s="8">
        <f t="shared" si="7"/>
        <v>0</v>
      </c>
      <c r="X19" s="8">
        <f t="shared" si="7"/>
        <v>0</v>
      </c>
      <c r="Y19" s="8">
        <f t="shared" si="7"/>
        <v>0</v>
      </c>
      <c r="Z19" s="8">
        <f t="shared" si="7"/>
        <v>0</v>
      </c>
      <c r="AA19" s="8">
        <f t="shared" si="7"/>
        <v>0</v>
      </c>
      <c r="AB19" s="8">
        <f t="shared" si="7"/>
        <v>0</v>
      </c>
      <c r="AC19" s="8">
        <f t="shared" si="7"/>
        <v>0</v>
      </c>
      <c r="AD19" s="8">
        <f t="shared" si="7"/>
        <v>0</v>
      </c>
      <c r="AE19" s="8">
        <f t="shared" si="7"/>
        <v>0</v>
      </c>
      <c r="AF19" s="8">
        <f t="shared" si="7"/>
        <v>0</v>
      </c>
      <c r="AG19" s="8">
        <f t="shared" si="7"/>
        <v>0</v>
      </c>
    </row>
    <row r="20" spans="1:36">
      <c r="A20" t="s">
        <v>249</v>
      </c>
      <c r="E20" s="8">
        <f>+E65/$N$10</f>
        <v>635.6</v>
      </c>
      <c r="F20" s="8">
        <f t="shared" si="6"/>
        <v>635.6</v>
      </c>
      <c r="G20" s="8">
        <f t="shared" si="6"/>
        <v>635.6</v>
      </c>
      <c r="H20" s="8">
        <f t="shared" si="6"/>
        <v>635.6</v>
      </c>
      <c r="I20" s="8">
        <f t="shared" si="6"/>
        <v>635.59999999999991</v>
      </c>
      <c r="J20" s="8">
        <f t="shared" si="6"/>
        <v>0</v>
      </c>
      <c r="K20" s="8">
        <f t="shared" si="6"/>
        <v>0</v>
      </c>
      <c r="L20" s="8">
        <f t="shared" si="6"/>
        <v>0</v>
      </c>
      <c r="M20" s="8">
        <f t="shared" si="6"/>
        <v>0</v>
      </c>
      <c r="N20" s="8">
        <f t="shared" si="6"/>
        <v>0</v>
      </c>
      <c r="O20" s="8">
        <f t="shared" si="6"/>
        <v>0</v>
      </c>
      <c r="P20" s="8">
        <f t="shared" si="6"/>
        <v>0</v>
      </c>
      <c r="Q20" s="8">
        <f t="shared" si="6"/>
        <v>0</v>
      </c>
      <c r="R20" s="8">
        <f t="shared" ref="R20:S32" si="8">+IF(Q131&gt;0,MIN(R65/$N$11,Q131),0)</f>
        <v>0</v>
      </c>
      <c r="S20" s="8">
        <f t="shared" si="8"/>
        <v>0</v>
      </c>
      <c r="T20" s="8">
        <f t="shared" si="7"/>
        <v>0</v>
      </c>
      <c r="U20" s="8">
        <f t="shared" si="7"/>
        <v>0</v>
      </c>
      <c r="V20" s="8">
        <f t="shared" si="7"/>
        <v>0</v>
      </c>
      <c r="W20" s="8">
        <f t="shared" si="7"/>
        <v>0</v>
      </c>
      <c r="X20" s="8">
        <f t="shared" si="7"/>
        <v>0</v>
      </c>
      <c r="Y20" s="8">
        <f t="shared" si="7"/>
        <v>0</v>
      </c>
      <c r="Z20" s="8">
        <f t="shared" si="7"/>
        <v>0</v>
      </c>
      <c r="AA20" s="8">
        <f t="shared" si="7"/>
        <v>0</v>
      </c>
      <c r="AB20" s="8">
        <f t="shared" si="7"/>
        <v>0</v>
      </c>
      <c r="AC20" s="8">
        <f t="shared" si="7"/>
        <v>0</v>
      </c>
      <c r="AD20" s="8">
        <f t="shared" si="7"/>
        <v>0</v>
      </c>
      <c r="AE20" s="8">
        <f t="shared" si="7"/>
        <v>0</v>
      </c>
      <c r="AF20" s="8">
        <f t="shared" si="7"/>
        <v>0</v>
      </c>
      <c r="AG20" s="8">
        <f t="shared" si="7"/>
        <v>0</v>
      </c>
    </row>
    <row r="21" spans="1:36">
      <c r="A21" t="s">
        <v>250</v>
      </c>
      <c r="F21" s="8">
        <f>+F66/$N$10</f>
        <v>507.6</v>
      </c>
      <c r="G21" s="8">
        <f t="shared" si="6"/>
        <v>507.6</v>
      </c>
      <c r="H21" s="8">
        <f t="shared" si="6"/>
        <v>507.6</v>
      </c>
      <c r="I21" s="8">
        <f t="shared" si="6"/>
        <v>507.6</v>
      </c>
      <c r="J21" s="8">
        <f t="shared" si="6"/>
        <v>507.59999999999991</v>
      </c>
      <c r="K21" s="8">
        <f t="shared" si="6"/>
        <v>0</v>
      </c>
      <c r="L21" s="8">
        <f t="shared" si="6"/>
        <v>0</v>
      </c>
      <c r="M21" s="8">
        <f t="shared" si="6"/>
        <v>0</v>
      </c>
      <c r="N21" s="8">
        <f t="shared" si="6"/>
        <v>0</v>
      </c>
      <c r="O21" s="8">
        <f t="shared" si="6"/>
        <v>0</v>
      </c>
      <c r="P21" s="8">
        <f t="shared" si="6"/>
        <v>0</v>
      </c>
      <c r="Q21" s="8">
        <f t="shared" si="6"/>
        <v>0</v>
      </c>
      <c r="R21" s="8">
        <f t="shared" si="8"/>
        <v>0</v>
      </c>
      <c r="S21" s="8">
        <f t="shared" si="8"/>
        <v>0</v>
      </c>
      <c r="T21" s="8">
        <f t="shared" si="7"/>
        <v>0</v>
      </c>
      <c r="U21" s="8">
        <f t="shared" si="7"/>
        <v>0</v>
      </c>
      <c r="V21" s="8">
        <f t="shared" si="7"/>
        <v>0</v>
      </c>
      <c r="W21" s="8">
        <f t="shared" si="7"/>
        <v>0</v>
      </c>
      <c r="X21" s="8">
        <f t="shared" si="7"/>
        <v>0</v>
      </c>
      <c r="Y21" s="8">
        <f t="shared" si="7"/>
        <v>0</v>
      </c>
      <c r="Z21" s="8">
        <f t="shared" si="7"/>
        <v>0</v>
      </c>
      <c r="AA21" s="8">
        <f t="shared" si="7"/>
        <v>0</v>
      </c>
      <c r="AB21" s="8">
        <f t="shared" si="7"/>
        <v>0</v>
      </c>
      <c r="AC21" s="8">
        <f t="shared" si="7"/>
        <v>0</v>
      </c>
      <c r="AD21" s="8">
        <f t="shared" si="7"/>
        <v>0</v>
      </c>
      <c r="AE21" s="8">
        <f t="shared" si="7"/>
        <v>0</v>
      </c>
      <c r="AF21" s="8">
        <f t="shared" si="7"/>
        <v>0</v>
      </c>
      <c r="AG21" s="8">
        <f t="shared" si="7"/>
        <v>0</v>
      </c>
    </row>
    <row r="22" spans="1:36">
      <c r="A22" t="s">
        <v>251</v>
      </c>
      <c r="G22" s="8">
        <f>+G67/$N$10</f>
        <v>235.4</v>
      </c>
      <c r="H22" s="8">
        <f t="shared" si="6"/>
        <v>235.4</v>
      </c>
      <c r="I22" s="8">
        <f t="shared" si="6"/>
        <v>235.4</v>
      </c>
      <c r="J22" s="8">
        <f t="shared" si="6"/>
        <v>235.4</v>
      </c>
      <c r="K22" s="8">
        <f t="shared" si="6"/>
        <v>235.39999999999998</v>
      </c>
      <c r="L22" s="8">
        <f t="shared" si="6"/>
        <v>0</v>
      </c>
      <c r="M22" s="8">
        <f t="shared" si="6"/>
        <v>0</v>
      </c>
      <c r="N22" s="8">
        <f t="shared" si="6"/>
        <v>0</v>
      </c>
      <c r="O22" s="8">
        <f t="shared" si="6"/>
        <v>0</v>
      </c>
      <c r="P22" s="8">
        <f t="shared" si="6"/>
        <v>0</v>
      </c>
      <c r="Q22" s="8">
        <f t="shared" si="6"/>
        <v>0</v>
      </c>
      <c r="R22" s="8">
        <f t="shared" si="8"/>
        <v>0</v>
      </c>
      <c r="S22" s="8">
        <f t="shared" si="8"/>
        <v>0</v>
      </c>
      <c r="T22" s="8">
        <f t="shared" si="7"/>
        <v>0</v>
      </c>
      <c r="U22" s="8">
        <f t="shared" si="7"/>
        <v>0</v>
      </c>
      <c r="V22" s="8">
        <f t="shared" si="7"/>
        <v>0</v>
      </c>
      <c r="W22" s="8">
        <f t="shared" si="7"/>
        <v>0</v>
      </c>
      <c r="X22" s="8">
        <f t="shared" si="7"/>
        <v>0</v>
      </c>
      <c r="Y22" s="8">
        <f t="shared" si="7"/>
        <v>0</v>
      </c>
      <c r="Z22" s="8">
        <f t="shared" si="7"/>
        <v>0</v>
      </c>
      <c r="AA22" s="8">
        <f t="shared" si="7"/>
        <v>0</v>
      </c>
      <c r="AB22" s="8">
        <f t="shared" si="7"/>
        <v>0</v>
      </c>
      <c r="AC22" s="8">
        <f t="shared" si="7"/>
        <v>0</v>
      </c>
      <c r="AD22" s="8">
        <f t="shared" si="7"/>
        <v>0</v>
      </c>
      <c r="AE22" s="8">
        <f t="shared" si="7"/>
        <v>0</v>
      </c>
      <c r="AF22" s="8">
        <f t="shared" si="7"/>
        <v>0</v>
      </c>
      <c r="AG22" s="8">
        <f t="shared" si="7"/>
        <v>0</v>
      </c>
    </row>
    <row r="23" spans="1:36">
      <c r="A23" t="s">
        <v>252</v>
      </c>
      <c r="H23" s="8">
        <f>+H68/$N$10</f>
        <v>346.4</v>
      </c>
      <c r="I23" s="8">
        <f t="shared" si="6"/>
        <v>346.4</v>
      </c>
      <c r="J23" s="8">
        <f t="shared" si="6"/>
        <v>346.4</v>
      </c>
      <c r="K23" s="8">
        <f t="shared" si="6"/>
        <v>346.4</v>
      </c>
      <c r="L23" s="8">
        <f t="shared" si="6"/>
        <v>346.4</v>
      </c>
      <c r="M23" s="8">
        <f t="shared" si="6"/>
        <v>0</v>
      </c>
      <c r="N23" s="8">
        <f t="shared" si="6"/>
        <v>0</v>
      </c>
      <c r="O23" s="8">
        <f t="shared" si="6"/>
        <v>0</v>
      </c>
      <c r="P23" s="8">
        <f t="shared" si="6"/>
        <v>0</v>
      </c>
      <c r="Q23" s="8">
        <f t="shared" si="6"/>
        <v>0</v>
      </c>
      <c r="R23" s="8">
        <f t="shared" si="8"/>
        <v>0</v>
      </c>
      <c r="S23" s="8">
        <f t="shared" si="8"/>
        <v>0</v>
      </c>
      <c r="T23" s="8">
        <f t="shared" si="7"/>
        <v>0</v>
      </c>
      <c r="U23" s="8">
        <f t="shared" si="7"/>
        <v>0</v>
      </c>
      <c r="V23" s="8">
        <f t="shared" si="7"/>
        <v>0</v>
      </c>
      <c r="W23" s="8">
        <f t="shared" si="7"/>
        <v>0</v>
      </c>
      <c r="X23" s="8">
        <f t="shared" si="7"/>
        <v>0</v>
      </c>
      <c r="Y23" s="8">
        <f t="shared" si="7"/>
        <v>0</v>
      </c>
      <c r="Z23" s="8">
        <f t="shared" si="7"/>
        <v>0</v>
      </c>
      <c r="AA23" s="8">
        <f t="shared" si="7"/>
        <v>0</v>
      </c>
      <c r="AB23" s="8">
        <f t="shared" si="7"/>
        <v>0</v>
      </c>
      <c r="AC23" s="8">
        <f t="shared" si="7"/>
        <v>0</v>
      </c>
      <c r="AD23" s="8">
        <f t="shared" si="7"/>
        <v>0</v>
      </c>
      <c r="AE23" s="8">
        <f t="shared" si="7"/>
        <v>0</v>
      </c>
      <c r="AF23" s="8">
        <f t="shared" si="7"/>
        <v>0</v>
      </c>
      <c r="AG23" s="8">
        <f t="shared" si="7"/>
        <v>0</v>
      </c>
    </row>
    <row r="24" spans="1:36">
      <c r="A24" t="s">
        <v>253</v>
      </c>
      <c r="I24" s="8">
        <f>+I69/$N$10</f>
        <v>248</v>
      </c>
      <c r="J24" s="8">
        <f t="shared" si="6"/>
        <v>248</v>
      </c>
      <c r="K24" s="8">
        <f t="shared" si="6"/>
        <v>248</v>
      </c>
      <c r="L24" s="8">
        <f t="shared" si="6"/>
        <v>248</v>
      </c>
      <c r="M24" s="8">
        <f t="shared" si="6"/>
        <v>248</v>
      </c>
      <c r="N24" s="8">
        <f t="shared" si="6"/>
        <v>0</v>
      </c>
      <c r="O24" s="8">
        <f t="shared" si="6"/>
        <v>0</v>
      </c>
      <c r="P24" s="8">
        <f t="shared" si="6"/>
        <v>0</v>
      </c>
      <c r="Q24" s="8">
        <f t="shared" si="6"/>
        <v>0</v>
      </c>
      <c r="R24" s="8">
        <f t="shared" si="8"/>
        <v>0</v>
      </c>
      <c r="S24" s="8">
        <f t="shared" si="8"/>
        <v>0</v>
      </c>
      <c r="T24" s="8">
        <f t="shared" si="7"/>
        <v>0</v>
      </c>
      <c r="U24" s="8">
        <f t="shared" si="7"/>
        <v>0</v>
      </c>
      <c r="V24" s="8">
        <f t="shared" si="7"/>
        <v>0</v>
      </c>
      <c r="W24" s="8">
        <f t="shared" si="7"/>
        <v>0</v>
      </c>
      <c r="X24" s="8">
        <f t="shared" si="7"/>
        <v>0</v>
      </c>
      <c r="Y24" s="8">
        <f t="shared" si="7"/>
        <v>0</v>
      </c>
      <c r="Z24" s="8">
        <f t="shared" si="7"/>
        <v>0</v>
      </c>
      <c r="AA24" s="8">
        <f t="shared" si="7"/>
        <v>0</v>
      </c>
      <c r="AB24" s="8">
        <f t="shared" si="7"/>
        <v>0</v>
      </c>
      <c r="AC24" s="8">
        <f t="shared" si="7"/>
        <v>0</v>
      </c>
      <c r="AD24" s="8">
        <f t="shared" si="7"/>
        <v>0</v>
      </c>
      <c r="AE24" s="8">
        <f t="shared" si="7"/>
        <v>0</v>
      </c>
      <c r="AF24" s="8">
        <f t="shared" si="7"/>
        <v>0</v>
      </c>
      <c r="AG24" s="8">
        <f t="shared" si="7"/>
        <v>0</v>
      </c>
    </row>
    <row r="25" spans="1:36">
      <c r="A25" t="s">
        <v>254</v>
      </c>
      <c r="J25" s="8">
        <f>+J70/$N$10</f>
        <v>654.6</v>
      </c>
      <c r="K25" s="8">
        <f t="shared" si="6"/>
        <v>654.6</v>
      </c>
      <c r="L25" s="8">
        <f t="shared" si="6"/>
        <v>654.6</v>
      </c>
      <c r="M25" s="8">
        <f t="shared" si="6"/>
        <v>654.6</v>
      </c>
      <c r="N25" s="8">
        <f t="shared" si="6"/>
        <v>654.59999999999991</v>
      </c>
      <c r="O25" s="8">
        <f t="shared" si="6"/>
        <v>0</v>
      </c>
      <c r="P25" s="8">
        <f t="shared" si="6"/>
        <v>0</v>
      </c>
      <c r="Q25" s="8">
        <f t="shared" si="6"/>
        <v>0</v>
      </c>
      <c r="R25" s="8">
        <f t="shared" si="8"/>
        <v>0</v>
      </c>
      <c r="S25" s="8">
        <f t="shared" si="8"/>
        <v>0</v>
      </c>
      <c r="T25" s="8">
        <f t="shared" si="7"/>
        <v>0</v>
      </c>
      <c r="U25" s="8">
        <f t="shared" si="7"/>
        <v>0</v>
      </c>
      <c r="V25" s="8">
        <f t="shared" si="7"/>
        <v>0</v>
      </c>
      <c r="W25" s="8">
        <f t="shared" si="7"/>
        <v>0</v>
      </c>
      <c r="X25" s="8">
        <f t="shared" si="7"/>
        <v>0</v>
      </c>
      <c r="Y25" s="8">
        <f t="shared" si="7"/>
        <v>0</v>
      </c>
      <c r="Z25" s="8">
        <f t="shared" si="7"/>
        <v>0</v>
      </c>
      <c r="AA25" s="8">
        <f t="shared" si="7"/>
        <v>0</v>
      </c>
      <c r="AB25" s="8">
        <f t="shared" si="7"/>
        <v>0</v>
      </c>
      <c r="AC25" s="8">
        <f t="shared" si="7"/>
        <v>0</v>
      </c>
      <c r="AD25" s="8">
        <f t="shared" si="7"/>
        <v>0</v>
      </c>
      <c r="AE25" s="8">
        <f t="shared" si="7"/>
        <v>0</v>
      </c>
      <c r="AF25" s="8">
        <f t="shared" si="7"/>
        <v>0</v>
      </c>
      <c r="AG25" s="8">
        <f t="shared" si="7"/>
        <v>0</v>
      </c>
    </row>
    <row r="26" spans="1:36">
      <c r="A26" t="s">
        <v>255</v>
      </c>
      <c r="K26" s="8">
        <f>+K71/$N$10</f>
        <v>1060</v>
      </c>
      <c r="L26" s="8">
        <f t="shared" si="6"/>
        <v>1060</v>
      </c>
      <c r="M26" s="8">
        <f t="shared" si="6"/>
        <v>1060</v>
      </c>
      <c r="N26" s="8">
        <f t="shared" si="6"/>
        <v>1060</v>
      </c>
      <c r="O26" s="8">
        <f t="shared" si="6"/>
        <v>1060</v>
      </c>
      <c r="P26" s="8">
        <f t="shared" si="6"/>
        <v>0</v>
      </c>
      <c r="Q26" s="8">
        <f t="shared" si="6"/>
        <v>0</v>
      </c>
      <c r="R26" s="8">
        <f t="shared" si="8"/>
        <v>0</v>
      </c>
      <c r="S26" s="8">
        <f t="shared" si="8"/>
        <v>0</v>
      </c>
      <c r="T26" s="8">
        <f t="shared" si="7"/>
        <v>0</v>
      </c>
      <c r="U26" s="8">
        <f t="shared" si="7"/>
        <v>0</v>
      </c>
      <c r="V26" s="8">
        <f t="shared" si="7"/>
        <v>0</v>
      </c>
      <c r="W26" s="8">
        <f t="shared" si="7"/>
        <v>0</v>
      </c>
      <c r="X26" s="8">
        <f t="shared" si="7"/>
        <v>0</v>
      </c>
      <c r="Y26" s="8">
        <f t="shared" si="7"/>
        <v>0</v>
      </c>
      <c r="Z26" s="8">
        <f t="shared" si="7"/>
        <v>0</v>
      </c>
      <c r="AA26" s="8">
        <f t="shared" si="7"/>
        <v>0</v>
      </c>
      <c r="AB26" s="8">
        <f t="shared" si="7"/>
        <v>0</v>
      </c>
      <c r="AC26" s="8">
        <f t="shared" si="7"/>
        <v>0</v>
      </c>
      <c r="AD26" s="8">
        <f t="shared" si="7"/>
        <v>0</v>
      </c>
      <c r="AE26" s="8">
        <f t="shared" si="7"/>
        <v>0</v>
      </c>
      <c r="AF26" s="8">
        <f t="shared" si="7"/>
        <v>0</v>
      </c>
      <c r="AG26" s="8">
        <f t="shared" si="7"/>
        <v>0</v>
      </c>
    </row>
    <row r="27" spans="1:36">
      <c r="A27" t="s">
        <v>256</v>
      </c>
      <c r="L27" s="8">
        <f>+L72/$N$10</f>
        <v>906.6</v>
      </c>
      <c r="M27" s="8">
        <f>+IF(L138&gt;0,MIN(M72/$N$10,L138),0)</f>
        <v>906.6</v>
      </c>
      <c r="N27" s="8">
        <f>+IF(M138&gt;0,MIN(N72/$N$10,M138),0)</f>
        <v>906.6</v>
      </c>
      <c r="O27" s="8">
        <f>+IF(N138&gt;0,MIN(O72/$N$10,N138),0)</f>
        <v>906.6</v>
      </c>
      <c r="P27" s="8">
        <f>+IF(O138&gt;0,MIN(P72/$N$10,O138),0)</f>
        <v>906.59999999999991</v>
      </c>
      <c r="Q27" s="8">
        <f>+IF(P138&gt;0,MIN(Q72/$N$10,P138),0)</f>
        <v>0</v>
      </c>
      <c r="R27" s="8">
        <f t="shared" si="8"/>
        <v>0</v>
      </c>
      <c r="S27" s="8">
        <f t="shared" si="8"/>
        <v>0</v>
      </c>
      <c r="T27" s="8">
        <f t="shared" si="7"/>
        <v>0</v>
      </c>
      <c r="U27" s="8">
        <f t="shared" si="7"/>
        <v>0</v>
      </c>
      <c r="V27" s="8">
        <f t="shared" si="7"/>
        <v>0</v>
      </c>
      <c r="W27" s="8">
        <f t="shared" si="7"/>
        <v>0</v>
      </c>
      <c r="X27" s="8">
        <f t="shared" si="7"/>
        <v>0</v>
      </c>
      <c r="Y27" s="8">
        <f t="shared" si="7"/>
        <v>0</v>
      </c>
      <c r="Z27" s="8">
        <f t="shared" si="7"/>
        <v>0</v>
      </c>
      <c r="AA27" s="8">
        <f t="shared" si="7"/>
        <v>0</v>
      </c>
      <c r="AB27" s="8">
        <f t="shared" si="7"/>
        <v>0</v>
      </c>
      <c r="AC27" s="8">
        <f t="shared" si="7"/>
        <v>0</v>
      </c>
      <c r="AD27" s="8">
        <f t="shared" si="7"/>
        <v>0</v>
      </c>
      <c r="AE27" s="8">
        <f t="shared" si="7"/>
        <v>0</v>
      </c>
      <c r="AF27" s="8">
        <f t="shared" si="7"/>
        <v>0</v>
      </c>
      <c r="AG27" s="8">
        <f t="shared" si="7"/>
        <v>0</v>
      </c>
    </row>
    <row r="28" spans="1:36">
      <c r="A28" t="s">
        <v>257</v>
      </c>
      <c r="M28" s="8">
        <f>+M73/$N$10</f>
        <v>1163.8</v>
      </c>
      <c r="N28" s="8">
        <f>+IF(M139&gt;0,MIN(N73/$N$10,M139),0)</f>
        <v>1163.8</v>
      </c>
      <c r="O28" s="8">
        <f>+IF(N139&gt;0,MIN(O73/$N$10,N139),0)</f>
        <v>1163.8</v>
      </c>
      <c r="P28" s="8">
        <f>+IF(O139&gt;0,MIN(P73/$N$10,O139),0)</f>
        <v>1163.8</v>
      </c>
      <c r="Q28" s="8">
        <f>+IF(P139&gt;0,MIN(Q73/$N$10,P139),0)</f>
        <v>1163.8</v>
      </c>
      <c r="R28" s="8">
        <f t="shared" si="8"/>
        <v>0</v>
      </c>
      <c r="S28" s="8">
        <f t="shared" si="8"/>
        <v>0</v>
      </c>
      <c r="T28" s="8">
        <f t="shared" si="7"/>
        <v>0</v>
      </c>
      <c r="U28" s="8">
        <f t="shared" si="7"/>
        <v>0</v>
      </c>
      <c r="V28" s="8">
        <f t="shared" si="7"/>
        <v>0</v>
      </c>
      <c r="W28" s="8">
        <f t="shared" si="7"/>
        <v>0</v>
      </c>
      <c r="X28" s="8">
        <f t="shared" si="7"/>
        <v>0</v>
      </c>
      <c r="Y28" s="8">
        <f t="shared" si="7"/>
        <v>0</v>
      </c>
      <c r="Z28" s="8">
        <f t="shared" si="7"/>
        <v>0</v>
      </c>
      <c r="AA28" s="8">
        <f t="shared" si="7"/>
        <v>0</v>
      </c>
      <c r="AB28" s="8">
        <f t="shared" si="7"/>
        <v>0</v>
      </c>
      <c r="AC28" s="8">
        <f t="shared" si="7"/>
        <v>0</v>
      </c>
      <c r="AD28" s="8">
        <f t="shared" si="7"/>
        <v>0</v>
      </c>
      <c r="AE28" s="8">
        <f t="shared" si="7"/>
        <v>0</v>
      </c>
      <c r="AF28" s="8">
        <f t="shared" si="7"/>
        <v>0</v>
      </c>
      <c r="AG28" s="8">
        <f t="shared" si="7"/>
        <v>0</v>
      </c>
    </row>
    <row r="29" spans="1:36">
      <c r="A29" t="s">
        <v>258</v>
      </c>
      <c r="N29" s="8">
        <f>+N74/$N$10</f>
        <v>1951.4</v>
      </c>
      <c r="O29" s="8">
        <f>+IF(N140&gt;0,MIN(O74/$N$10,N140),0)</f>
        <v>1951.4</v>
      </c>
      <c r="P29" s="8">
        <f>+IF(O140&gt;0,MIN(P74/$N$10,O140),0)</f>
        <v>1951.4</v>
      </c>
      <c r="Q29" s="8">
        <f>+IF(P140&gt;0,MIN(Q74/$N$10,P140),0)</f>
        <v>1951.4</v>
      </c>
      <c r="R29" s="8">
        <f t="shared" si="8"/>
        <v>1300.9333333333334</v>
      </c>
      <c r="S29" s="8">
        <f t="shared" si="8"/>
        <v>650.46666666666715</v>
      </c>
      <c r="T29" s="8">
        <f t="shared" si="7"/>
        <v>0</v>
      </c>
      <c r="U29" s="8">
        <f t="shared" si="7"/>
        <v>0</v>
      </c>
      <c r="V29" s="8">
        <f t="shared" si="7"/>
        <v>0</v>
      </c>
      <c r="W29" s="8">
        <f t="shared" si="7"/>
        <v>0</v>
      </c>
      <c r="X29" s="8">
        <f t="shared" si="7"/>
        <v>0</v>
      </c>
      <c r="Y29" s="8">
        <f t="shared" si="7"/>
        <v>0</v>
      </c>
      <c r="Z29" s="8">
        <f t="shared" si="7"/>
        <v>0</v>
      </c>
      <c r="AA29" s="8">
        <f t="shared" si="7"/>
        <v>0</v>
      </c>
      <c r="AB29" s="8">
        <f t="shared" si="7"/>
        <v>0</v>
      </c>
      <c r="AC29" s="8">
        <f t="shared" si="7"/>
        <v>0</v>
      </c>
      <c r="AD29" s="8">
        <f t="shared" si="7"/>
        <v>0</v>
      </c>
      <c r="AE29" s="8">
        <f t="shared" si="7"/>
        <v>0</v>
      </c>
      <c r="AF29" s="8">
        <f t="shared" si="7"/>
        <v>0</v>
      </c>
      <c r="AG29" s="8">
        <f t="shared" si="7"/>
        <v>0</v>
      </c>
    </row>
    <row r="30" spans="1:36">
      <c r="A30" t="s">
        <v>259</v>
      </c>
      <c r="O30" s="8">
        <f>+O75/$N$10</f>
        <v>2154</v>
      </c>
      <c r="P30" s="8">
        <f>+IF(O141&gt;0,MIN(P75/$N$10,O141),0)</f>
        <v>2154</v>
      </c>
      <c r="Q30" s="8">
        <f>+IF(P141&gt;0,MIN(Q75/$N$10,P141),0)</f>
        <v>2154</v>
      </c>
      <c r="R30" s="8">
        <f t="shared" si="8"/>
        <v>1436</v>
      </c>
      <c r="S30" s="8">
        <f t="shared" si="8"/>
        <v>1436</v>
      </c>
      <c r="T30" s="8">
        <f t="shared" si="7"/>
        <v>1133.6842105263158</v>
      </c>
      <c r="U30" s="8">
        <f t="shared" si="7"/>
        <v>302.31578947368325</v>
      </c>
      <c r="V30" s="8">
        <f t="shared" si="7"/>
        <v>0</v>
      </c>
      <c r="W30" s="8">
        <f t="shared" si="7"/>
        <v>0</v>
      </c>
      <c r="X30" s="8">
        <f t="shared" si="7"/>
        <v>0</v>
      </c>
      <c r="Y30" s="8">
        <f t="shared" si="7"/>
        <v>0</v>
      </c>
      <c r="Z30" s="8">
        <f t="shared" si="7"/>
        <v>0</v>
      </c>
      <c r="AA30" s="8">
        <f t="shared" si="7"/>
        <v>0</v>
      </c>
      <c r="AB30" s="8">
        <f t="shared" si="7"/>
        <v>0</v>
      </c>
      <c r="AC30" s="8">
        <f t="shared" si="7"/>
        <v>0</v>
      </c>
      <c r="AD30" s="8">
        <f t="shared" si="7"/>
        <v>0</v>
      </c>
      <c r="AE30" s="8">
        <f t="shared" si="7"/>
        <v>0</v>
      </c>
      <c r="AF30" s="8">
        <f t="shared" si="7"/>
        <v>0</v>
      </c>
      <c r="AG30" s="8">
        <f t="shared" si="7"/>
        <v>0</v>
      </c>
      <c r="AH30" s="8"/>
    </row>
    <row r="31" spans="1:36">
      <c r="A31" t="s">
        <v>260</v>
      </c>
      <c r="P31" s="8">
        <f>+P76/$N$10</f>
        <v>2624.8</v>
      </c>
      <c r="Q31" s="8">
        <f>+IF(P142&gt;0,MIN(Q76/$N$10,P142),0)</f>
        <v>2624.8</v>
      </c>
      <c r="R31" s="8">
        <f t="shared" si="8"/>
        <v>1749.8666666666666</v>
      </c>
      <c r="S31" s="8">
        <f t="shared" si="8"/>
        <v>1749.8666666666666</v>
      </c>
      <c r="T31" s="8">
        <f t="shared" si="7"/>
        <v>1381.4736842105262</v>
      </c>
      <c r="U31" s="8">
        <f t="shared" si="7"/>
        <v>1381.4736842105262</v>
      </c>
      <c r="V31" s="8">
        <f t="shared" si="7"/>
        <v>1381.4736842105262</v>
      </c>
      <c r="W31" s="8">
        <f t="shared" si="7"/>
        <v>230.24561403508596</v>
      </c>
      <c r="X31" s="8">
        <f t="shared" si="7"/>
        <v>0</v>
      </c>
      <c r="Y31" s="8">
        <f t="shared" si="7"/>
        <v>0</v>
      </c>
      <c r="Z31" s="8">
        <f t="shared" si="7"/>
        <v>0</v>
      </c>
      <c r="AA31" s="8">
        <f t="shared" si="7"/>
        <v>0</v>
      </c>
      <c r="AB31" s="8">
        <f t="shared" si="7"/>
        <v>0</v>
      </c>
      <c r="AC31" s="8">
        <f t="shared" si="7"/>
        <v>0</v>
      </c>
      <c r="AD31" s="8">
        <f t="shared" si="7"/>
        <v>0</v>
      </c>
      <c r="AE31" s="8">
        <f t="shared" si="7"/>
        <v>0</v>
      </c>
      <c r="AF31" s="8">
        <f t="shared" si="7"/>
        <v>0</v>
      </c>
      <c r="AG31" s="8">
        <f t="shared" si="7"/>
        <v>0</v>
      </c>
      <c r="AH31" s="8"/>
      <c r="AI31" s="8"/>
    </row>
    <row r="32" spans="1:36">
      <c r="A32" t="s">
        <v>261</v>
      </c>
      <c r="Q32" s="8">
        <f>+Q77/$N$10</f>
        <v>3108.2</v>
      </c>
      <c r="R32" s="8">
        <f t="shared" si="8"/>
        <v>2072.1333333333332</v>
      </c>
      <c r="S32" s="8">
        <f t="shared" si="8"/>
        <v>2072.1333333333332</v>
      </c>
      <c r="T32" s="8">
        <f t="shared" si="7"/>
        <v>1635.8947368421052</v>
      </c>
      <c r="U32" s="8">
        <f t="shared" si="7"/>
        <v>1635.8947368421052</v>
      </c>
      <c r="V32" s="8">
        <f t="shared" si="7"/>
        <v>1635.8947368421052</v>
      </c>
      <c r="W32" s="8">
        <f t="shared" si="7"/>
        <v>1635.8947368421052</v>
      </c>
      <c r="X32" s="8">
        <f t="shared" si="7"/>
        <v>1635.8947368421052</v>
      </c>
      <c r="Y32" s="8">
        <f t="shared" si="7"/>
        <v>109.05964912280797</v>
      </c>
      <c r="Z32" s="8">
        <f t="shared" si="7"/>
        <v>0</v>
      </c>
      <c r="AA32" s="8">
        <f t="shared" si="7"/>
        <v>0</v>
      </c>
      <c r="AB32" s="8">
        <f t="shared" si="7"/>
        <v>0</v>
      </c>
      <c r="AC32" s="8">
        <f t="shared" si="7"/>
        <v>0</v>
      </c>
      <c r="AD32" s="8">
        <f t="shared" si="7"/>
        <v>0</v>
      </c>
      <c r="AE32" s="8">
        <f t="shared" si="7"/>
        <v>0</v>
      </c>
      <c r="AF32" s="8">
        <f t="shared" si="7"/>
        <v>0</v>
      </c>
      <c r="AG32" s="8">
        <f t="shared" si="7"/>
        <v>0</v>
      </c>
      <c r="AH32" s="8"/>
      <c r="AI32" s="8"/>
      <c r="AJ32" s="8"/>
    </row>
    <row r="33" spans="1:44">
      <c r="A33" t="s">
        <v>262</v>
      </c>
      <c r="R33" s="8">
        <f>+R78/$N$11</f>
        <v>3162.4</v>
      </c>
      <c r="S33" s="8">
        <f>+IF(R144&gt;0,MIN(S78/$N$11,R144),0)</f>
        <v>3162.4</v>
      </c>
      <c r="T33" s="8">
        <f t="shared" si="7"/>
        <v>2496.6315789473683</v>
      </c>
      <c r="U33" s="8">
        <f t="shared" si="7"/>
        <v>2496.6315789473683</v>
      </c>
      <c r="V33" s="8">
        <f t="shared" si="7"/>
        <v>2496.6315789473683</v>
      </c>
      <c r="W33" s="8">
        <f t="shared" si="7"/>
        <v>2496.6315789473683</v>
      </c>
      <c r="X33" s="8">
        <f t="shared" si="7"/>
        <v>2496.6315789473683</v>
      </c>
      <c r="Y33" s="8">
        <f t="shared" si="7"/>
        <v>2496.6315789473683</v>
      </c>
      <c r="Z33" s="8">
        <f t="shared" si="7"/>
        <v>2413.4105263157908</v>
      </c>
      <c r="AA33" s="8">
        <f t="shared" si="7"/>
        <v>0</v>
      </c>
      <c r="AB33" s="8">
        <f t="shared" si="7"/>
        <v>0</v>
      </c>
      <c r="AC33" s="8">
        <f t="shared" si="7"/>
        <v>0</v>
      </c>
      <c r="AD33" s="8">
        <f t="shared" si="7"/>
        <v>0</v>
      </c>
      <c r="AE33" s="8">
        <f t="shared" si="7"/>
        <v>0</v>
      </c>
      <c r="AF33" s="8">
        <f t="shared" si="7"/>
        <v>0</v>
      </c>
      <c r="AG33" s="8">
        <f t="shared" si="7"/>
        <v>0</v>
      </c>
      <c r="AH33" s="8"/>
      <c r="AI33" s="8"/>
      <c r="AJ33" s="8"/>
      <c r="AK33" s="8"/>
    </row>
    <row r="34" spans="1:44">
      <c r="A34" t="s">
        <v>109</v>
      </c>
      <c r="S34" s="8">
        <f>+S79/$N$11</f>
        <v>3065.6</v>
      </c>
      <c r="T34" s="8">
        <f t="shared" si="7"/>
        <v>2420.2105263157896</v>
      </c>
      <c r="U34" s="8">
        <f t="shared" si="7"/>
        <v>2420.2105263157896</v>
      </c>
      <c r="V34" s="8">
        <f t="shared" si="7"/>
        <v>2420.2105263157896</v>
      </c>
      <c r="W34" s="8">
        <f t="shared" si="7"/>
        <v>2420.2105263157896</v>
      </c>
      <c r="X34" s="8">
        <f t="shared" si="7"/>
        <v>2420.2105263157896</v>
      </c>
      <c r="Y34" s="8">
        <f t="shared" si="7"/>
        <v>2420.2105263157896</v>
      </c>
      <c r="Z34" s="8">
        <f t="shared" si="7"/>
        <v>2420.2105263157896</v>
      </c>
      <c r="AA34" s="8">
        <f t="shared" si="7"/>
        <v>2420.2105263157896</v>
      </c>
      <c r="AB34" s="8">
        <f t="shared" si="7"/>
        <v>564.71578947368107</v>
      </c>
      <c r="AC34" s="8">
        <f t="shared" si="7"/>
        <v>0</v>
      </c>
      <c r="AD34" s="8">
        <f t="shared" si="7"/>
        <v>0</v>
      </c>
      <c r="AE34" s="8">
        <f t="shared" si="7"/>
        <v>0</v>
      </c>
      <c r="AF34" s="8">
        <f t="shared" si="7"/>
        <v>0</v>
      </c>
      <c r="AG34" s="8">
        <f t="shared" si="7"/>
        <v>0</v>
      </c>
      <c r="AH34" s="8"/>
      <c r="AI34" s="8"/>
      <c r="AJ34" s="8"/>
      <c r="AK34" s="8"/>
      <c r="AL34" s="8"/>
    </row>
    <row r="35" spans="1:44">
      <c r="A35" t="s">
        <v>191</v>
      </c>
      <c r="T35" s="8">
        <f>+T80/$N$12</f>
        <v>3140.4210526315787</v>
      </c>
      <c r="U35" s="8">
        <f t="shared" ref="U35:AG46" si="9">+IF(T146&gt;0,MIN(U80/$N$12,T146),0)</f>
        <v>3140.4210526315787</v>
      </c>
      <c r="V35" s="8">
        <f t="shared" si="9"/>
        <v>3140.4210526315787</v>
      </c>
      <c r="W35" s="8">
        <f t="shared" si="9"/>
        <v>3140.4210526315787</v>
      </c>
      <c r="X35" s="8">
        <f t="shared" si="9"/>
        <v>3140.4210526315787</v>
      </c>
      <c r="Y35" s="8">
        <f t="shared" si="9"/>
        <v>3140.4210526315787</v>
      </c>
      <c r="Z35" s="8">
        <f t="shared" si="9"/>
        <v>3140.4210526315787</v>
      </c>
      <c r="AA35" s="8">
        <f t="shared" si="9"/>
        <v>3140.4210526315787</v>
      </c>
      <c r="AB35" s="8">
        <f t="shared" si="9"/>
        <v>3140.4210526315787</v>
      </c>
      <c r="AC35" s="8">
        <f t="shared" si="9"/>
        <v>1570.2105263157864</v>
      </c>
      <c r="AD35" s="8">
        <f t="shared" si="9"/>
        <v>0</v>
      </c>
      <c r="AE35" s="8">
        <f t="shared" si="9"/>
        <v>0</v>
      </c>
      <c r="AF35" s="8">
        <f t="shared" si="9"/>
        <v>0</v>
      </c>
      <c r="AG35" s="8">
        <f t="shared" si="9"/>
        <v>0</v>
      </c>
      <c r="AH35" s="8"/>
      <c r="AI35" s="8"/>
      <c r="AJ35" s="8"/>
      <c r="AK35" s="8"/>
      <c r="AL35" s="8"/>
      <c r="AM35" s="8"/>
    </row>
    <row r="36" spans="1:44">
      <c r="A36" t="s">
        <v>263</v>
      </c>
      <c r="U36" s="8">
        <f>+U81/$N$12</f>
        <v>5065.2631578947367</v>
      </c>
      <c r="V36" s="8">
        <f>+IF(U147&gt;0,MIN(V81/$N$12,U147),0)</f>
        <v>5065.2631578947367</v>
      </c>
      <c r="W36" s="8">
        <f>+IF(V147&gt;0,MIN(W81/$N$12,V147),0)</f>
        <v>5065.2631578947367</v>
      </c>
      <c r="X36" s="8">
        <f t="shared" si="9"/>
        <v>5065.2631578947367</v>
      </c>
      <c r="Y36" s="8">
        <f t="shared" si="9"/>
        <v>5065.2631578947367</v>
      </c>
      <c r="Z36" s="8">
        <f t="shared" si="9"/>
        <v>5065.2631578947367</v>
      </c>
      <c r="AA36" s="8">
        <f t="shared" si="9"/>
        <v>5065.2631578947367</v>
      </c>
      <c r="AB36" s="8">
        <f t="shared" si="9"/>
        <v>5065.2631578947367</v>
      </c>
      <c r="AC36" s="8">
        <f t="shared" si="9"/>
        <v>5065.2631578947367</v>
      </c>
      <c r="AD36" s="8">
        <f t="shared" si="9"/>
        <v>2532.6315789473738</v>
      </c>
      <c r="AE36" s="8">
        <f t="shared" si="9"/>
        <v>0</v>
      </c>
      <c r="AF36" s="8">
        <f t="shared" si="9"/>
        <v>0</v>
      </c>
      <c r="AG36" s="8">
        <f t="shared" si="9"/>
        <v>0</v>
      </c>
      <c r="AH36" s="8"/>
      <c r="AI36" s="8"/>
      <c r="AJ36" s="8"/>
      <c r="AK36" s="8"/>
      <c r="AL36" s="8"/>
      <c r="AM36" s="8"/>
      <c r="AN36" s="8"/>
    </row>
    <row r="37" spans="1:44">
      <c r="A37" t="s">
        <v>72</v>
      </c>
      <c r="V37" s="8">
        <f>+V82/$N$12</f>
        <v>7938.9473684210525</v>
      </c>
      <c r="W37" s="8">
        <f t="shared" ref="W37:AF41" si="10">+IF(V148&gt;0,MIN(W82/$N$12,V148),0)</f>
        <v>7938.9473684210525</v>
      </c>
      <c r="X37" s="8">
        <f t="shared" si="10"/>
        <v>7938.9473684210525</v>
      </c>
      <c r="Y37" s="8">
        <f t="shared" si="10"/>
        <v>7938.9473684210525</v>
      </c>
      <c r="Z37" s="8">
        <f t="shared" si="10"/>
        <v>7938.9473684210525</v>
      </c>
      <c r="AA37" s="8">
        <f t="shared" si="10"/>
        <v>7938.9473684210525</v>
      </c>
      <c r="AB37" s="8">
        <f t="shared" si="10"/>
        <v>7938.9473684210525</v>
      </c>
      <c r="AC37" s="8">
        <f t="shared" si="10"/>
        <v>7938.9473684210525</v>
      </c>
      <c r="AD37" s="8">
        <f t="shared" si="10"/>
        <v>7938.9473684210525</v>
      </c>
      <c r="AE37" s="8">
        <f t="shared" si="10"/>
        <v>3969.473684210534</v>
      </c>
      <c r="AF37" s="8">
        <f t="shared" si="10"/>
        <v>0</v>
      </c>
      <c r="AG37" s="8">
        <f t="shared" si="9"/>
        <v>0</v>
      </c>
      <c r="AH37" s="8"/>
      <c r="AI37" s="8"/>
      <c r="AJ37" s="8"/>
      <c r="AK37" s="8"/>
      <c r="AL37" s="8"/>
      <c r="AM37" s="8"/>
      <c r="AN37" s="8"/>
      <c r="AO37" s="8"/>
    </row>
    <row r="38" spans="1:44">
      <c r="A38" t="s">
        <v>73</v>
      </c>
      <c r="W38" s="8">
        <f>+W83/$N$12</f>
        <v>6793.6931712438718</v>
      </c>
      <c r="X38" s="8">
        <f t="shared" si="10"/>
        <v>6793.6931712438718</v>
      </c>
      <c r="Y38" s="8">
        <f t="shared" si="10"/>
        <v>6793.6931712438718</v>
      </c>
      <c r="Z38" s="8">
        <f t="shared" si="10"/>
        <v>6793.6931712438718</v>
      </c>
      <c r="AA38" s="8">
        <f t="shared" si="10"/>
        <v>6793.6931712438718</v>
      </c>
      <c r="AB38" s="8">
        <f t="shared" si="10"/>
        <v>6793.6931712438718</v>
      </c>
      <c r="AC38" s="8">
        <f t="shared" si="10"/>
        <v>6793.6931712438718</v>
      </c>
      <c r="AD38" s="8">
        <f t="shared" si="10"/>
        <v>6793.6931712438718</v>
      </c>
      <c r="AE38" s="8">
        <f t="shared" si="10"/>
        <v>6793.6931712438718</v>
      </c>
      <c r="AF38" s="8">
        <f t="shared" si="10"/>
        <v>3396.8465856219264</v>
      </c>
      <c r="AG38" s="8">
        <f t="shared" si="9"/>
        <v>0</v>
      </c>
      <c r="AH38" s="8"/>
      <c r="AI38" s="8"/>
      <c r="AJ38" s="8"/>
      <c r="AK38" s="8"/>
      <c r="AL38" s="8"/>
      <c r="AM38" s="8"/>
      <c r="AN38" s="8"/>
      <c r="AO38" s="8"/>
      <c r="AP38" s="8"/>
    </row>
    <row r="39" spans="1:44">
      <c r="A39" t="s">
        <v>74</v>
      </c>
      <c r="X39" s="8">
        <f>+X84/$N$12</f>
        <v>7166.1026956303776</v>
      </c>
      <c r="Y39" s="8">
        <f t="shared" si="10"/>
        <v>7166.1026956303776</v>
      </c>
      <c r="Z39" s="8">
        <f t="shared" si="10"/>
        <v>7166.1026956303776</v>
      </c>
      <c r="AA39" s="8">
        <f t="shared" si="10"/>
        <v>7166.1026956303776</v>
      </c>
      <c r="AB39" s="8">
        <f t="shared" si="10"/>
        <v>7166.1026956303776</v>
      </c>
      <c r="AC39" s="8">
        <f t="shared" si="10"/>
        <v>7166.1026956303776</v>
      </c>
      <c r="AD39" s="8">
        <f t="shared" si="10"/>
        <v>7166.1026956303776</v>
      </c>
      <c r="AE39" s="8">
        <f t="shared" si="10"/>
        <v>7166.1026956303776</v>
      </c>
      <c r="AF39" s="8">
        <f t="shared" si="10"/>
        <v>7166.1026956303776</v>
      </c>
      <c r="AG39" s="8">
        <f t="shared" si="9"/>
        <v>3583.0513478151988</v>
      </c>
      <c r="AH39" s="8"/>
      <c r="AI39" s="8"/>
      <c r="AJ39" s="8"/>
      <c r="AK39" s="8"/>
      <c r="AL39" s="8"/>
      <c r="AM39" s="8"/>
      <c r="AN39" s="8"/>
      <c r="AO39" s="8"/>
      <c r="AP39" s="8"/>
      <c r="AQ39" s="8"/>
    </row>
    <row r="40" spans="1:44">
      <c r="A40" t="s">
        <v>75</v>
      </c>
      <c r="Y40" s="8">
        <f>+Y85/$N$12</f>
        <v>7476.1646169883024</v>
      </c>
      <c r="Z40" s="8">
        <f t="shared" si="10"/>
        <v>7476.1646169883024</v>
      </c>
      <c r="AA40" s="8">
        <f t="shared" si="10"/>
        <v>7476.1646169883024</v>
      </c>
      <c r="AB40" s="8">
        <f t="shared" si="10"/>
        <v>7476.1646169883024</v>
      </c>
      <c r="AC40" s="8">
        <f t="shared" si="10"/>
        <v>7476.1646169883024</v>
      </c>
      <c r="AD40" s="8">
        <f t="shared" si="10"/>
        <v>7476.1646169883024</v>
      </c>
      <c r="AE40" s="8">
        <f t="shared" si="10"/>
        <v>7476.1646169883024</v>
      </c>
      <c r="AF40" s="8">
        <f t="shared" si="10"/>
        <v>7476.1646169883024</v>
      </c>
      <c r="AG40" s="8">
        <f t="shared" si="9"/>
        <v>7476.1646169883024</v>
      </c>
      <c r="AH40" s="8"/>
      <c r="AI40" s="8"/>
      <c r="AJ40" s="8"/>
      <c r="AK40" s="8"/>
      <c r="AL40" s="8"/>
      <c r="AM40" s="8"/>
      <c r="AN40" s="8"/>
      <c r="AO40" s="8"/>
      <c r="AP40" s="8"/>
      <c r="AQ40" s="8"/>
      <c r="AR40" s="8"/>
    </row>
    <row r="41" spans="1:44">
      <c r="A41" t="s">
        <v>76</v>
      </c>
      <c r="Y41" s="8"/>
      <c r="Z41" s="8">
        <f>+Z86/$N$12</f>
        <v>7696.8100693269253</v>
      </c>
      <c r="AA41" s="8">
        <f t="shared" si="10"/>
        <v>7696.8100693269253</v>
      </c>
      <c r="AB41" s="8">
        <f t="shared" si="10"/>
        <v>7696.8100693269253</v>
      </c>
      <c r="AC41" s="8">
        <f t="shared" si="10"/>
        <v>7696.8100693269253</v>
      </c>
      <c r="AD41" s="8">
        <f t="shared" si="10"/>
        <v>7696.8100693269253</v>
      </c>
      <c r="AE41" s="8">
        <f t="shared" si="10"/>
        <v>7696.8100693269253</v>
      </c>
      <c r="AF41" s="8">
        <f t="shared" si="10"/>
        <v>7696.8100693269253</v>
      </c>
      <c r="AG41" s="8">
        <f t="shared" si="9"/>
        <v>7696.8100693269253</v>
      </c>
      <c r="AH41" s="8"/>
      <c r="AI41" s="8"/>
      <c r="AJ41" s="8"/>
      <c r="AK41" s="8"/>
      <c r="AL41" s="8"/>
      <c r="AM41" s="8"/>
      <c r="AN41" s="8"/>
      <c r="AO41" s="8"/>
      <c r="AP41" s="8"/>
      <c r="AQ41" s="8"/>
      <c r="AR41" s="8"/>
    </row>
    <row r="42" spans="1:44">
      <c r="A42" t="s">
        <v>77</v>
      </c>
      <c r="Y42" s="8"/>
      <c r="Z42" s="8"/>
      <c r="AA42" s="8">
        <f>+AA87/$N$12</f>
        <v>7794.2793571174952</v>
      </c>
      <c r="AB42" s="8">
        <f>+IF(AA153&gt;0,MIN(AB87/$N$12,AA153),0)</f>
        <v>7794.2793571174952</v>
      </c>
      <c r="AC42" s="8">
        <f>+IF(AB153&gt;0,MIN(AC87/$N$12,AB153),0)</f>
        <v>7794.2793571174952</v>
      </c>
      <c r="AD42" s="8">
        <f>+IF(AC153&gt;0,MIN(AD87/$N$12,AC153),0)</f>
        <v>7794.2793571174952</v>
      </c>
      <c r="AE42" s="8">
        <f>+IF(AD153&gt;0,MIN(AE87/$N$12,AD153),0)</f>
        <v>7794.2793571174952</v>
      </c>
      <c r="AF42" s="8">
        <f>+IF(AE153&gt;0,MIN(AF87/$N$12,AE153),0)</f>
        <v>7794.2793571174952</v>
      </c>
      <c r="AG42" s="8">
        <f t="shared" si="9"/>
        <v>7794.2793571174952</v>
      </c>
      <c r="AH42" s="8"/>
      <c r="AI42" s="8"/>
      <c r="AJ42" s="8"/>
      <c r="AK42" s="8"/>
      <c r="AL42" s="8"/>
      <c r="AM42" s="8"/>
      <c r="AN42" s="8"/>
      <c r="AO42" s="8"/>
      <c r="AP42" s="8"/>
      <c r="AQ42" s="8"/>
      <c r="AR42" s="8"/>
    </row>
    <row r="43" spans="1:44">
      <c r="A43" t="s">
        <v>78</v>
      </c>
      <c r="Y43" s="8"/>
      <c r="Z43" s="8"/>
      <c r="AA43" s="8"/>
      <c r="AB43" s="8">
        <f>+AB88/$N$12</f>
        <v>8370.6194310257997</v>
      </c>
      <c r="AC43" s="8">
        <f>+IF(AB154&gt;0,MIN(AC88/$N$12,AB154),0)</f>
        <v>8370.6194310257997</v>
      </c>
      <c r="AD43" s="8">
        <f>+IF(AC154&gt;0,MIN(AD88/$N$12,AC154),0)</f>
        <v>8370.6194310257997</v>
      </c>
      <c r="AE43" s="8">
        <f>+IF(AD154&gt;0,MIN(AE88/$N$12,AD154),0)</f>
        <v>8370.6194310257997</v>
      </c>
      <c r="AF43" s="8">
        <f>+IF(AE154&gt;0,MIN(AF88/$N$12,AE154),0)</f>
        <v>8370.6194310257997</v>
      </c>
      <c r="AG43" s="8">
        <f t="shared" si="9"/>
        <v>8370.6194310257997</v>
      </c>
      <c r="AH43" s="8"/>
      <c r="AI43" s="8"/>
      <c r="AJ43" s="8"/>
      <c r="AK43" s="8"/>
      <c r="AL43" s="8"/>
      <c r="AM43" s="8"/>
      <c r="AN43" s="8"/>
      <c r="AO43" s="8"/>
      <c r="AP43" s="8"/>
      <c r="AQ43" s="8"/>
      <c r="AR43" s="8"/>
    </row>
    <row r="44" spans="1:44">
      <c r="A44" t="s">
        <v>79</v>
      </c>
      <c r="Y44" s="8"/>
      <c r="Z44" s="8"/>
      <c r="AA44" s="8"/>
      <c r="AB44" s="8"/>
      <c r="AC44" s="8">
        <f>+AC89/$N$12</f>
        <v>8931.0603515974217</v>
      </c>
      <c r="AD44" s="8">
        <f>+IF(AC155&gt;0,MIN(AD89/$N$12,AC155),0)</f>
        <v>8931.0603515974217</v>
      </c>
      <c r="AE44" s="8">
        <f>+IF(AD155&gt;0,MIN(AE89/$N$12,AD155),0)</f>
        <v>8931.0603515974217</v>
      </c>
      <c r="AF44" s="8">
        <f>+IF(AE155&gt;0,MIN(AF89/$N$12,AE155),0)</f>
        <v>8931.0603515974217</v>
      </c>
      <c r="AG44" s="8">
        <f t="shared" si="9"/>
        <v>8931.0603515974217</v>
      </c>
      <c r="AH44" s="8"/>
      <c r="AI44" s="8"/>
      <c r="AJ44" s="8"/>
      <c r="AK44" s="8"/>
      <c r="AL44" s="8"/>
      <c r="AM44" s="8"/>
      <c r="AN44" s="8"/>
      <c r="AO44" s="8"/>
      <c r="AP44" s="8"/>
      <c r="AQ44" s="8"/>
      <c r="AR44" s="8"/>
    </row>
    <row r="45" spans="1:44">
      <c r="A45" t="s">
        <v>80</v>
      </c>
      <c r="Y45" s="8"/>
      <c r="Z45" s="8"/>
      <c r="AA45" s="8"/>
      <c r="AB45" s="8"/>
      <c r="AC45" s="8"/>
      <c r="AD45" s="8">
        <f>+AD90/$N$12</f>
        <v>10317.631688752559</v>
      </c>
      <c r="AE45" s="8">
        <f>+IF(AD156&gt;0,MIN(AE90/$N$12,AD156),0)</f>
        <v>10317.631688752559</v>
      </c>
      <c r="AF45" s="8">
        <f>+IF(AE156&gt;0,MIN(AF90/$N$12,AE156),0)</f>
        <v>10317.631688752559</v>
      </c>
      <c r="AG45" s="8">
        <f t="shared" si="9"/>
        <v>10317.631688752559</v>
      </c>
      <c r="AH45" s="8"/>
      <c r="AI45" s="8"/>
      <c r="AJ45" s="8"/>
      <c r="AK45" s="8"/>
      <c r="AL45" s="8"/>
      <c r="AM45" s="8"/>
      <c r="AN45" s="8"/>
      <c r="AO45" s="8"/>
      <c r="AP45" s="8"/>
      <c r="AQ45" s="8"/>
      <c r="AR45" s="8"/>
    </row>
    <row r="46" spans="1:44">
      <c r="A46" t="s">
        <v>81</v>
      </c>
      <c r="Y46" s="8"/>
      <c r="Z46" s="8"/>
      <c r="AA46" s="8"/>
      <c r="AB46" s="8"/>
      <c r="AC46" s="8"/>
      <c r="AD46" s="8"/>
      <c r="AE46" s="8">
        <f>+AE91/$N$12</f>
        <v>11913.830656435512</v>
      </c>
      <c r="AF46" s="8">
        <f>+IF(AE157&gt;0,MIN(AF91/$N$12,AE157),0)</f>
        <v>11913.830656435512</v>
      </c>
      <c r="AG46" s="8">
        <f t="shared" si="9"/>
        <v>11913.830656435512</v>
      </c>
      <c r="AH46" s="8"/>
      <c r="AI46" s="8"/>
      <c r="AJ46" s="8"/>
      <c r="AK46" s="8"/>
      <c r="AL46" s="8"/>
      <c r="AM46" s="8"/>
      <c r="AN46" s="8"/>
      <c r="AO46" s="8"/>
      <c r="AP46" s="8"/>
      <c r="AQ46" s="8"/>
      <c r="AR46" s="8"/>
    </row>
    <row r="47" spans="1:44">
      <c r="A47" t="s">
        <v>82</v>
      </c>
      <c r="Y47" s="8"/>
      <c r="Z47" s="8"/>
      <c r="AA47" s="8"/>
      <c r="AB47" s="8"/>
      <c r="AC47" s="8"/>
      <c r="AD47" s="8"/>
      <c r="AE47" s="8"/>
      <c r="AF47" s="8">
        <f>+AF92/$N$12</f>
        <v>13751.15886677386</v>
      </c>
      <c r="AG47" s="8">
        <f>+IF(AF158&gt;0,MIN(AG92/$N$12,AF158),0)</f>
        <v>13751.15886677386</v>
      </c>
      <c r="AH47" s="8"/>
      <c r="AI47" s="8"/>
      <c r="AJ47" s="8"/>
      <c r="AK47" s="8"/>
      <c r="AL47" s="8"/>
      <c r="AM47" s="8"/>
      <c r="AN47" s="8"/>
      <c r="AO47" s="8"/>
      <c r="AP47" s="8"/>
      <c r="AQ47" s="8"/>
      <c r="AR47" s="8"/>
    </row>
    <row r="48" spans="1:44">
      <c r="A48" t="s">
        <v>83</v>
      </c>
      <c r="Y48" s="8"/>
      <c r="Z48" s="8"/>
      <c r="AA48" s="8"/>
      <c r="AB48" s="8"/>
      <c r="AC48" s="8"/>
      <c r="AD48" s="8"/>
      <c r="AE48" s="8"/>
      <c r="AF48" s="8"/>
      <c r="AG48" s="8">
        <f>+AG93/$N$12</f>
        <v>15865.845185078519</v>
      </c>
      <c r="AH48" s="8"/>
      <c r="AI48" s="8"/>
      <c r="AJ48" s="8"/>
      <c r="AK48" s="8"/>
      <c r="AL48" s="8"/>
      <c r="AM48" s="8"/>
      <c r="AN48" s="8"/>
      <c r="AO48" s="8"/>
      <c r="AP48" s="8"/>
      <c r="AQ48" s="8"/>
      <c r="AR48" s="8"/>
    </row>
    <row r="49" spans="1:44">
      <c r="A49" t="s">
        <v>764</v>
      </c>
      <c r="Y49" s="8"/>
      <c r="Z49" s="8"/>
      <c r="AA49" s="8"/>
      <c r="AB49" s="8"/>
      <c r="AC49" s="8"/>
      <c r="AD49" s="8"/>
      <c r="AE49" s="8"/>
      <c r="AF49" s="8"/>
      <c r="AG49" s="8"/>
      <c r="AH49" s="8"/>
      <c r="AI49" s="8"/>
      <c r="AJ49" s="8"/>
      <c r="AK49" s="8"/>
      <c r="AL49" s="8"/>
      <c r="AM49" s="8"/>
      <c r="AN49" s="8"/>
      <c r="AO49" s="8"/>
      <c r="AP49" s="8"/>
      <c r="AQ49" s="8"/>
      <c r="AR49" s="8"/>
    </row>
    <row r="50" spans="1:44" ht="11.45">
      <c r="A50" s="12" t="s">
        <v>765</v>
      </c>
      <c r="D50" s="8">
        <f t="shared" ref="D50" si="11">+SUM(D19:D49)</f>
        <v>1873.2</v>
      </c>
      <c r="E50" s="8">
        <f t="shared" ref="E50" si="12">+SUM(E19:E49)</f>
        <v>2508.8000000000002</v>
      </c>
      <c r="F50" s="8">
        <f>+SUM(F19:F49)</f>
        <v>3016.4</v>
      </c>
      <c r="G50" s="8">
        <f t="shared" ref="G50:X50" si="13">+SUM(G19:G49)</f>
        <v>3251.8</v>
      </c>
      <c r="H50" s="8">
        <f t="shared" si="13"/>
        <v>3598.2</v>
      </c>
      <c r="I50" s="8">
        <f t="shared" si="13"/>
        <v>1973</v>
      </c>
      <c r="J50" s="8">
        <f t="shared" si="13"/>
        <v>1992</v>
      </c>
      <c r="K50" s="8">
        <f t="shared" si="13"/>
        <v>2544.4</v>
      </c>
      <c r="L50" s="8">
        <f t="shared" si="13"/>
        <v>3215.6</v>
      </c>
      <c r="M50" s="8">
        <f t="shared" si="13"/>
        <v>4033</v>
      </c>
      <c r="N50" s="8">
        <f t="shared" si="13"/>
        <v>5736.4</v>
      </c>
      <c r="O50" s="8">
        <f t="shared" si="13"/>
        <v>7235.7999999999993</v>
      </c>
      <c r="P50" s="8">
        <f t="shared" si="13"/>
        <v>8800.5999999999985</v>
      </c>
      <c r="Q50" s="8">
        <f t="shared" si="13"/>
        <v>11002.2</v>
      </c>
      <c r="R50" s="8">
        <f t="shared" si="13"/>
        <v>9721.3333333333339</v>
      </c>
      <c r="S50" s="8">
        <f t="shared" si="13"/>
        <v>12136.466666666667</v>
      </c>
      <c r="T50" s="8">
        <f>+SUM(T19:T49)</f>
        <v>12208.315789473683</v>
      </c>
      <c r="U50" s="8">
        <f t="shared" ref="U50" si="14">+SUM(U19:U49)</f>
        <v>16442.210526315786</v>
      </c>
      <c r="V50" s="8">
        <f t="shared" si="13"/>
        <v>24078.842105263157</v>
      </c>
      <c r="W50" s="8">
        <f t="shared" si="13"/>
        <v>29721.307206331589</v>
      </c>
      <c r="X50" s="8">
        <f t="shared" si="13"/>
        <v>36657.164287926877</v>
      </c>
      <c r="Y50" s="8">
        <f>+SUM(Y19:Y49)</f>
        <v>42606.493817195886</v>
      </c>
      <c r="Z50" s="8">
        <f t="shared" ref="Z50:AE50" si="15">+SUM(Z19:Z49)</f>
        <v>50111.023184768419</v>
      </c>
      <c r="AA50" s="8">
        <f t="shared" si="15"/>
        <v>55491.89201557012</v>
      </c>
      <c r="AB50" s="8">
        <f t="shared" si="15"/>
        <v>62007.016709753821</v>
      </c>
      <c r="AC50" s="8">
        <f t="shared" si="15"/>
        <v>68803.150745561768</v>
      </c>
      <c r="AD50" s="8">
        <f t="shared" si="15"/>
        <v>75017.940329051184</v>
      </c>
      <c r="AE50" s="8">
        <f t="shared" si="15"/>
        <v>80429.665722328806</v>
      </c>
      <c r="AF50" s="8">
        <f>+SUM(AF19:AF49)</f>
        <v>86814.504319270171</v>
      </c>
      <c r="AG50" s="8">
        <f t="shared" ref="AG50" si="16">+SUM(AG19:AG49)</f>
        <v>95700.451570911595</v>
      </c>
      <c r="AH50" s="8"/>
      <c r="AI50" s="10" t="s">
        <v>817</v>
      </c>
      <c r="AJ50" s="8"/>
      <c r="AK50" s="8"/>
      <c r="AL50" s="8"/>
      <c r="AM50" s="8"/>
      <c r="AN50" s="8"/>
      <c r="AO50" s="8"/>
      <c r="AP50" s="8"/>
      <c r="AQ50" s="8"/>
      <c r="AR50" s="8"/>
    </row>
    <row r="51" spans="1:44" s="953" customFormat="1" ht="11.45">
      <c r="A51" s="12" t="s">
        <v>766</v>
      </c>
      <c r="D51" s="10">
        <f t="shared" ref="D51:T51" si="17">+D193</f>
        <v>236</v>
      </c>
      <c r="E51" s="10">
        <f t="shared" si="17"/>
        <v>472</v>
      </c>
      <c r="F51" s="10">
        <f t="shared" si="17"/>
        <v>591</v>
      </c>
      <c r="G51" s="10">
        <f t="shared" si="17"/>
        <v>707</v>
      </c>
      <c r="H51" s="10">
        <f t="shared" si="17"/>
        <v>537</v>
      </c>
      <c r="I51" s="10">
        <f t="shared" si="17"/>
        <v>558</v>
      </c>
      <c r="J51" s="10">
        <f t="shared" si="17"/>
        <v>739</v>
      </c>
      <c r="K51" s="10">
        <f t="shared" si="17"/>
        <v>845</v>
      </c>
      <c r="L51" s="10">
        <f t="shared" si="17"/>
        <v>1300</v>
      </c>
      <c r="M51" s="10">
        <f t="shared" si="17"/>
        <v>978</v>
      </c>
      <c r="N51" s="10">
        <f t="shared" si="17"/>
        <v>1700</v>
      </c>
      <c r="O51" s="10">
        <f t="shared" si="17"/>
        <v>2200</v>
      </c>
      <c r="P51" s="10">
        <f t="shared" si="17"/>
        <v>1900</v>
      </c>
      <c r="Q51" s="10">
        <f t="shared" si="17"/>
        <v>1600</v>
      </c>
      <c r="R51" s="10">
        <f t="shared" si="17"/>
        <v>1600</v>
      </c>
      <c r="S51" s="10">
        <f t="shared" si="17"/>
        <v>2000</v>
      </c>
      <c r="T51" s="10">
        <f t="shared" si="17"/>
        <v>2500</v>
      </c>
      <c r="U51" s="10">
        <f>+U193</f>
        <v>4800</v>
      </c>
      <c r="V51" s="30">
        <v>5892</v>
      </c>
      <c r="W51" s="30">
        <v>4471</v>
      </c>
      <c r="X51" s="30">
        <v>2793</v>
      </c>
      <c r="Y51" s="30">
        <v>1909</v>
      </c>
      <c r="Z51" s="30">
        <v>1728</v>
      </c>
      <c r="AA51" s="58">
        <f>+Z51-Y51+Z51</f>
        <v>1547</v>
      </c>
      <c r="AB51" s="58">
        <f t="shared" ref="AB51:AG51" si="18">+AA51-Z51+AA51</f>
        <v>1366</v>
      </c>
      <c r="AC51" s="58">
        <f t="shared" si="18"/>
        <v>1185</v>
      </c>
      <c r="AD51" s="58">
        <f t="shared" si="18"/>
        <v>1004</v>
      </c>
      <c r="AE51" s="58">
        <f t="shared" si="18"/>
        <v>823</v>
      </c>
      <c r="AF51" s="58">
        <f t="shared" si="18"/>
        <v>642</v>
      </c>
      <c r="AG51" s="58">
        <f t="shared" si="18"/>
        <v>461</v>
      </c>
      <c r="AH51" s="10"/>
      <c r="AI51" s="10" t="s">
        <v>818</v>
      </c>
      <c r="AJ51" s="10"/>
      <c r="AK51" s="10"/>
      <c r="AL51" s="10"/>
      <c r="AM51" s="10"/>
      <c r="AN51" s="10"/>
      <c r="AO51" s="10"/>
      <c r="AP51" s="10"/>
      <c r="AQ51" s="10"/>
      <c r="AR51" s="10"/>
    </row>
    <row r="52" spans="1:44" s="1" customFormat="1" ht="10.5">
      <c r="A52" s="848" t="s">
        <v>767</v>
      </c>
      <c r="B52" s="838"/>
      <c r="C52" s="838">
        <f t="shared" ref="C52:M52" si="19">+C51+C50</f>
        <v>0</v>
      </c>
      <c r="D52" s="838">
        <f t="shared" si="19"/>
        <v>2109.1999999999998</v>
      </c>
      <c r="E52" s="838">
        <f t="shared" si="19"/>
        <v>2980.8</v>
      </c>
      <c r="F52" s="838">
        <f t="shared" si="19"/>
        <v>3607.4</v>
      </c>
      <c r="G52" s="838">
        <f t="shared" si="19"/>
        <v>3958.8</v>
      </c>
      <c r="H52" s="838">
        <f t="shared" si="19"/>
        <v>4135.2</v>
      </c>
      <c r="I52" s="838">
        <f t="shared" si="19"/>
        <v>2531</v>
      </c>
      <c r="J52" s="838">
        <f t="shared" si="19"/>
        <v>2731</v>
      </c>
      <c r="K52" s="838">
        <f t="shared" si="19"/>
        <v>3389.4</v>
      </c>
      <c r="L52" s="838">
        <f t="shared" si="19"/>
        <v>4515.6000000000004</v>
      </c>
      <c r="M52" s="838">
        <f t="shared" si="19"/>
        <v>5011</v>
      </c>
      <c r="N52" s="838">
        <f>+N51+N50</f>
        <v>7436.4</v>
      </c>
      <c r="O52" s="838">
        <f t="shared" ref="O52:AG52" si="20">+O51+O50</f>
        <v>9435.7999999999993</v>
      </c>
      <c r="P52" s="838">
        <f t="shared" si="20"/>
        <v>10700.599999999999</v>
      </c>
      <c r="Q52" s="838">
        <f t="shared" si="20"/>
        <v>12602.2</v>
      </c>
      <c r="R52" s="838">
        <f t="shared" si="20"/>
        <v>11321.333333333334</v>
      </c>
      <c r="S52" s="838">
        <f t="shared" si="20"/>
        <v>14136.466666666667</v>
      </c>
      <c r="T52" s="838">
        <f t="shared" si="20"/>
        <v>14708.315789473683</v>
      </c>
      <c r="U52" s="838">
        <f t="shared" si="20"/>
        <v>21242.210526315786</v>
      </c>
      <c r="V52" s="838">
        <f t="shared" si="20"/>
        <v>29970.842105263157</v>
      </c>
      <c r="W52" s="838">
        <f t="shared" si="20"/>
        <v>34192.307206331592</v>
      </c>
      <c r="X52" s="838">
        <f t="shared" si="20"/>
        <v>39450.164287926877</v>
      </c>
      <c r="Y52" s="838">
        <f t="shared" si="20"/>
        <v>44515.493817195886</v>
      </c>
      <c r="Z52" s="838">
        <f t="shared" si="20"/>
        <v>51839.023184768419</v>
      </c>
      <c r="AA52" s="838">
        <f t="shared" si="20"/>
        <v>57038.89201557012</v>
      </c>
      <c r="AB52" s="838">
        <f t="shared" si="20"/>
        <v>63373.016709753821</v>
      </c>
      <c r="AC52" s="838">
        <f t="shared" si="20"/>
        <v>69988.150745561768</v>
      </c>
      <c r="AD52" s="838">
        <f t="shared" si="20"/>
        <v>76021.940329051184</v>
      </c>
      <c r="AE52" s="838">
        <f t="shared" si="20"/>
        <v>81252.665722328806</v>
      </c>
      <c r="AF52" s="838">
        <f t="shared" si="20"/>
        <v>87456.504319270171</v>
      </c>
      <c r="AG52" s="838">
        <f t="shared" si="20"/>
        <v>96161.451570911595</v>
      </c>
      <c r="AH52" s="838"/>
      <c r="AI52" s="838"/>
      <c r="AJ52" s="838"/>
      <c r="AK52" s="838"/>
      <c r="AL52" s="838"/>
      <c r="AM52" s="838"/>
      <c r="AN52" s="838"/>
      <c r="AO52" s="838"/>
      <c r="AP52" s="838"/>
      <c r="AQ52" s="838"/>
      <c r="AR52" s="838"/>
    </row>
    <row r="53" spans="1:44" ht="11.45">
      <c r="A53" s="12" t="s">
        <v>768</v>
      </c>
      <c r="D53" s="34">
        <f t="shared" ref="D53:T53" si="21">+D194</f>
        <v>500</v>
      </c>
      <c r="E53" s="34">
        <f t="shared" si="21"/>
        <v>500</v>
      </c>
      <c r="F53" s="34">
        <f t="shared" si="21"/>
        <v>500</v>
      </c>
      <c r="G53" s="34">
        <f t="shared" si="21"/>
        <v>500</v>
      </c>
      <c r="H53" s="34">
        <f t="shared" si="21"/>
        <v>500</v>
      </c>
      <c r="I53" s="34">
        <f t="shared" si="21"/>
        <v>500</v>
      </c>
      <c r="J53" s="34">
        <f t="shared" si="21"/>
        <v>500</v>
      </c>
      <c r="K53" s="34">
        <f t="shared" si="21"/>
        <v>500</v>
      </c>
      <c r="L53" s="34">
        <f t="shared" si="21"/>
        <v>500</v>
      </c>
      <c r="M53" s="34">
        <f t="shared" si="21"/>
        <v>744</v>
      </c>
      <c r="N53" s="34">
        <f t="shared" si="21"/>
        <v>978</v>
      </c>
      <c r="O53" s="34">
        <f t="shared" si="21"/>
        <v>361</v>
      </c>
      <c r="P53" s="34">
        <f t="shared" si="21"/>
        <v>82</v>
      </c>
      <c r="Q53" s="34">
        <f t="shared" si="21"/>
        <v>496</v>
      </c>
      <c r="R53" s="34">
        <f t="shared" si="21"/>
        <v>786</v>
      </c>
      <c r="S53" s="34">
        <f t="shared" si="21"/>
        <v>-140</v>
      </c>
      <c r="T53" s="34">
        <f t="shared" si="21"/>
        <v>361</v>
      </c>
      <c r="U53" s="34">
        <f>+U194</f>
        <v>2287</v>
      </c>
      <c r="V53" s="1223">
        <f>+U53</f>
        <v>2287</v>
      </c>
      <c r="W53" s="1223">
        <f t="shared" ref="W53:AG53" si="22">+V53</f>
        <v>2287</v>
      </c>
      <c r="X53" s="1223">
        <f t="shared" si="22"/>
        <v>2287</v>
      </c>
      <c r="Y53" s="1223">
        <f t="shared" si="22"/>
        <v>2287</v>
      </c>
      <c r="Z53" s="1223">
        <f t="shared" si="22"/>
        <v>2287</v>
      </c>
      <c r="AA53" s="1223">
        <f t="shared" si="22"/>
        <v>2287</v>
      </c>
      <c r="AB53" s="1223">
        <f t="shared" si="22"/>
        <v>2287</v>
      </c>
      <c r="AC53" s="1223">
        <f t="shared" si="22"/>
        <v>2287</v>
      </c>
      <c r="AD53" s="1223">
        <f t="shared" si="22"/>
        <v>2287</v>
      </c>
      <c r="AE53" s="1223">
        <f t="shared" si="22"/>
        <v>2287</v>
      </c>
      <c r="AF53" s="1223">
        <f t="shared" si="22"/>
        <v>2287</v>
      </c>
      <c r="AG53" s="1223">
        <f t="shared" si="22"/>
        <v>2287</v>
      </c>
      <c r="AH53" s="8"/>
      <c r="AI53" s="8"/>
      <c r="AJ53" s="8"/>
      <c r="AK53" s="8"/>
      <c r="AL53" s="8"/>
      <c r="AM53" s="8"/>
      <c r="AN53" s="8"/>
      <c r="AO53" s="8"/>
      <c r="AP53" s="8"/>
      <c r="AQ53" s="8"/>
      <c r="AR53" s="8"/>
    </row>
    <row r="54" spans="1:44" s="1" customFormat="1" ht="10.5">
      <c r="A54" s="848" t="s">
        <v>769</v>
      </c>
      <c r="D54" s="838">
        <f t="shared" ref="D54:S54" si="23">+D53+D51+D50</f>
        <v>2609.1999999999998</v>
      </c>
      <c r="E54" s="838">
        <f t="shared" si="23"/>
        <v>3480.8</v>
      </c>
      <c r="F54" s="838">
        <f t="shared" si="23"/>
        <v>4107.3999999999996</v>
      </c>
      <c r="G54" s="838">
        <f t="shared" si="23"/>
        <v>4458.8</v>
      </c>
      <c r="H54" s="838">
        <f t="shared" si="23"/>
        <v>4635.2</v>
      </c>
      <c r="I54" s="838">
        <f t="shared" si="23"/>
        <v>3031</v>
      </c>
      <c r="J54" s="838">
        <f t="shared" si="23"/>
        <v>3231</v>
      </c>
      <c r="K54" s="838">
        <f t="shared" si="23"/>
        <v>3889.4</v>
      </c>
      <c r="L54" s="838">
        <f t="shared" si="23"/>
        <v>5015.6000000000004</v>
      </c>
      <c r="M54" s="838">
        <f t="shared" si="23"/>
        <v>5755</v>
      </c>
      <c r="N54" s="838">
        <f t="shared" si="23"/>
        <v>8414.4</v>
      </c>
      <c r="O54" s="838">
        <f t="shared" si="23"/>
        <v>9796.7999999999993</v>
      </c>
      <c r="P54" s="838">
        <f t="shared" si="23"/>
        <v>10782.599999999999</v>
      </c>
      <c r="Q54" s="838">
        <f t="shared" si="23"/>
        <v>13098.2</v>
      </c>
      <c r="R54" s="838">
        <f t="shared" si="23"/>
        <v>12107.333333333334</v>
      </c>
      <c r="S54" s="838">
        <f t="shared" si="23"/>
        <v>13996.466666666667</v>
      </c>
      <c r="T54" s="838">
        <f>+T53+T51+T50</f>
        <v>15069.315789473683</v>
      </c>
      <c r="U54" s="838">
        <f t="shared" ref="U54" si="24">+U53+U51+U50</f>
        <v>23529.210526315786</v>
      </c>
      <c r="V54" s="849">
        <f t="shared" ref="V54:AG54" si="25">+V53+V50+V51</f>
        <v>32257.842105263157</v>
      </c>
      <c r="W54" s="849">
        <f t="shared" si="25"/>
        <v>36479.307206331592</v>
      </c>
      <c r="X54" s="849">
        <f t="shared" si="25"/>
        <v>41737.164287926877</v>
      </c>
      <c r="Y54" s="849">
        <f t="shared" si="25"/>
        <v>46802.493817195886</v>
      </c>
      <c r="Z54" s="849">
        <f t="shared" si="25"/>
        <v>54126.023184768419</v>
      </c>
      <c r="AA54" s="849">
        <f t="shared" si="25"/>
        <v>59325.89201557012</v>
      </c>
      <c r="AB54" s="849">
        <f t="shared" si="25"/>
        <v>65660.016709753821</v>
      </c>
      <c r="AC54" s="849">
        <f t="shared" si="25"/>
        <v>72275.150745561768</v>
      </c>
      <c r="AD54" s="849">
        <f t="shared" si="25"/>
        <v>78308.940329051184</v>
      </c>
      <c r="AE54" s="849">
        <f t="shared" si="25"/>
        <v>83539.665722328806</v>
      </c>
      <c r="AF54" s="849">
        <f t="shared" si="25"/>
        <v>89743.504319270171</v>
      </c>
      <c r="AG54" s="849">
        <f t="shared" si="25"/>
        <v>98448.451570911595</v>
      </c>
      <c r="AH54" s="838"/>
      <c r="AI54" s="838"/>
      <c r="AJ54" s="838"/>
      <c r="AK54" s="838"/>
      <c r="AL54" s="838"/>
      <c r="AM54" s="838"/>
      <c r="AN54" s="838"/>
      <c r="AO54" s="838"/>
      <c r="AP54" s="838"/>
      <c r="AQ54" s="838"/>
      <c r="AR54" s="838"/>
    </row>
    <row r="55" spans="1:44" s="1" customFormat="1" ht="10.5">
      <c r="A55" s="848"/>
      <c r="D55" s="838"/>
      <c r="E55" s="838"/>
      <c r="F55" s="838"/>
      <c r="G55" s="838"/>
      <c r="H55" s="838"/>
      <c r="I55" s="838"/>
      <c r="J55" s="838"/>
      <c r="K55" s="838"/>
      <c r="L55" s="838"/>
      <c r="M55" s="838"/>
      <c r="N55" s="838"/>
      <c r="O55" s="838"/>
      <c r="P55" s="838"/>
      <c r="Q55" s="838"/>
      <c r="R55" s="838"/>
      <c r="S55" s="838"/>
      <c r="T55" s="838"/>
      <c r="U55" s="838"/>
      <c r="V55" s="849"/>
      <c r="W55" s="849"/>
      <c r="X55" s="849"/>
      <c r="Y55" s="849"/>
      <c r="Z55" s="849"/>
      <c r="AA55" s="849"/>
      <c r="AB55" s="849"/>
      <c r="AC55" s="849"/>
      <c r="AD55" s="849"/>
      <c r="AE55" s="849"/>
      <c r="AF55" s="849"/>
      <c r="AG55" s="849"/>
      <c r="AH55" s="838"/>
      <c r="AI55" s="838"/>
      <c r="AJ55" s="838"/>
      <c r="AK55" s="838"/>
      <c r="AL55" s="838"/>
      <c r="AM55" s="838"/>
      <c r="AN55" s="838"/>
      <c r="AO55" s="838"/>
      <c r="AP55" s="838"/>
      <c r="AQ55" s="838"/>
      <c r="AR55" s="838"/>
    </row>
    <row r="56" spans="1:44" s="1" customFormat="1" ht="10.5">
      <c r="A56" s="24" t="s">
        <v>127</v>
      </c>
      <c r="D56" s="838"/>
      <c r="E56" s="838"/>
      <c r="F56" s="838"/>
      <c r="G56" s="838"/>
      <c r="H56" s="838"/>
      <c r="I56" s="838"/>
      <c r="J56" s="838"/>
      <c r="K56" s="838"/>
      <c r="L56" s="838"/>
      <c r="M56" s="838"/>
      <c r="N56" s="838"/>
      <c r="O56" s="838"/>
      <c r="P56" s="838"/>
      <c r="Q56" s="838"/>
      <c r="R56" s="838"/>
      <c r="S56" s="838"/>
      <c r="T56" s="838"/>
      <c r="U56" s="838"/>
      <c r="V56" s="838"/>
      <c r="W56" s="838"/>
      <c r="X56" s="838"/>
      <c r="Y56" s="838"/>
      <c r="Z56" s="838"/>
      <c r="AA56" s="838"/>
      <c r="AB56" s="838"/>
      <c r="AC56" s="838"/>
      <c r="AD56" s="838"/>
      <c r="AE56" s="838"/>
      <c r="AF56" s="838"/>
      <c r="AG56" s="838"/>
      <c r="AH56" s="838"/>
      <c r="AI56" s="838"/>
      <c r="AJ56" s="838"/>
      <c r="AK56" s="838"/>
      <c r="AL56" s="838"/>
      <c r="AM56" s="838"/>
      <c r="AN56" s="838"/>
      <c r="AO56" s="838"/>
      <c r="AP56" s="838"/>
      <c r="AQ56" s="838"/>
      <c r="AR56" s="838"/>
    </row>
    <row r="57" spans="1:44" s="1" customFormat="1" ht="10.5">
      <c r="A57" s="13" t="s">
        <v>770</v>
      </c>
      <c r="D57" s="92">
        <f t="shared" ref="D57:S57" si="26">+D214</f>
        <v>940</v>
      </c>
      <c r="E57" s="92">
        <f t="shared" si="26"/>
        <v>1556</v>
      </c>
      <c r="F57" s="92">
        <f t="shared" si="26"/>
        <v>2062</v>
      </c>
      <c r="G57" s="92">
        <f t="shared" si="26"/>
        <v>2173</v>
      </c>
      <c r="H57" s="92">
        <f t="shared" si="26"/>
        <v>2266</v>
      </c>
      <c r="I57" s="92">
        <f t="shared" si="26"/>
        <v>2467</v>
      </c>
      <c r="J57" s="92">
        <f t="shared" si="26"/>
        <v>3255</v>
      </c>
      <c r="K57" s="92">
        <f t="shared" si="26"/>
        <v>4712</v>
      </c>
      <c r="L57" s="92">
        <f t="shared" si="26"/>
        <v>5457</v>
      </c>
      <c r="M57" s="92">
        <f t="shared" si="26"/>
        <v>4900</v>
      </c>
      <c r="N57" s="92">
        <f t="shared" si="26"/>
        <v>6100</v>
      </c>
      <c r="O57" s="92">
        <f t="shared" si="26"/>
        <v>7700</v>
      </c>
      <c r="P57" s="92">
        <f t="shared" si="26"/>
        <v>9700</v>
      </c>
      <c r="Q57" s="92">
        <f t="shared" si="26"/>
        <v>10700</v>
      </c>
      <c r="R57" s="92">
        <f t="shared" si="26"/>
        <v>9300</v>
      </c>
      <c r="S57" s="92">
        <f t="shared" si="26"/>
        <v>12600</v>
      </c>
      <c r="T57" s="92">
        <f>+T214</f>
        <v>11000</v>
      </c>
      <c r="U57" s="92">
        <f t="shared" ref="U57" si="27">+U214</f>
        <v>15200</v>
      </c>
      <c r="V57" s="1222"/>
      <c r="W57" s="1222"/>
      <c r="X57" s="1222"/>
      <c r="Y57" s="1222"/>
      <c r="Z57" s="1222"/>
      <c r="AA57" s="1222"/>
      <c r="AB57" s="1222"/>
      <c r="AC57" s="1222"/>
      <c r="AD57" s="1222"/>
      <c r="AE57" s="1222"/>
      <c r="AF57" s="1222"/>
      <c r="AG57" s="1222"/>
      <c r="AH57" s="838"/>
      <c r="AI57" s="838"/>
      <c r="AJ57" s="838"/>
      <c r="AK57" s="838"/>
      <c r="AL57" s="838"/>
      <c r="AM57" s="838"/>
      <c r="AN57" s="838"/>
      <c r="AO57" s="838"/>
      <c r="AP57" s="838"/>
      <c r="AQ57" s="838"/>
      <c r="AR57" s="838"/>
    </row>
    <row r="58" spans="1:44" s="1" customFormat="1" ht="10.5">
      <c r="A58" s="15" t="s">
        <v>771</v>
      </c>
      <c r="D58" s="1219">
        <f t="shared" ref="D58:U58" si="28">+D57/D50-1</f>
        <v>-0.49818492419389282</v>
      </c>
      <c r="E58" s="1219">
        <f t="shared" si="28"/>
        <v>-0.37978316326530615</v>
      </c>
      <c r="F58" s="1219">
        <f t="shared" si="28"/>
        <v>-0.31640365999204356</v>
      </c>
      <c r="G58" s="1219">
        <f t="shared" si="28"/>
        <v>-0.33175472046251309</v>
      </c>
      <c r="H58" s="1219">
        <f t="shared" si="28"/>
        <v>-0.37024067589350229</v>
      </c>
      <c r="I58" s="1219">
        <f t="shared" si="28"/>
        <v>0.25038013177901663</v>
      </c>
      <c r="J58" s="1219">
        <f t="shared" si="28"/>
        <v>0.63403614457831314</v>
      </c>
      <c r="K58" s="1219">
        <f t="shared" si="28"/>
        <v>0.85191007703191324</v>
      </c>
      <c r="L58" s="1219">
        <f t="shared" si="28"/>
        <v>0.69703943276526936</v>
      </c>
      <c r="M58" s="1219">
        <f t="shared" si="28"/>
        <v>0.21497644433424257</v>
      </c>
      <c r="N58" s="1219">
        <f t="shared" si="28"/>
        <v>6.3384701206331551E-2</v>
      </c>
      <c r="O58" s="1219">
        <f t="shared" si="28"/>
        <v>6.4153238066281704E-2</v>
      </c>
      <c r="P58" s="1219">
        <f t="shared" si="28"/>
        <v>0.10219757743790225</v>
      </c>
      <c r="Q58" s="1219">
        <f t="shared" si="28"/>
        <v>-2.7467233825962167E-2</v>
      </c>
      <c r="R58" s="1219">
        <f t="shared" si="28"/>
        <v>-4.3341105472500363E-2</v>
      </c>
      <c r="S58" s="1219">
        <f t="shared" si="28"/>
        <v>3.8193433563859847E-2</v>
      </c>
      <c r="T58" s="1219">
        <f t="shared" si="28"/>
        <v>-9.8974814406056155E-2</v>
      </c>
      <c r="U58" s="1219">
        <f t="shared" si="28"/>
        <v>-7.555009250901068E-2</v>
      </c>
      <c r="V58" s="1219"/>
      <c r="W58" s="1219"/>
      <c r="X58" s="1219"/>
      <c r="Y58" s="1219"/>
      <c r="Z58" s="1219"/>
      <c r="AA58" s="1219"/>
      <c r="AB58" s="1219"/>
      <c r="AC58" s="1219"/>
      <c r="AD58" s="1219"/>
      <c r="AE58" s="1219"/>
      <c r="AF58" s="1219"/>
      <c r="AG58" s="1219"/>
      <c r="AH58" s="838"/>
      <c r="AI58" s="838"/>
      <c r="AJ58" s="838"/>
      <c r="AK58" s="838"/>
      <c r="AL58" s="838"/>
      <c r="AM58" s="838"/>
      <c r="AN58" s="838"/>
      <c r="AO58" s="838"/>
      <c r="AP58" s="838"/>
      <c r="AQ58" s="838"/>
      <c r="AR58" s="838"/>
    </row>
    <row r="59" spans="1:44">
      <c r="A59" s="15" t="s">
        <v>772</v>
      </c>
      <c r="D59" s="92">
        <f t="shared" ref="D59:U59" si="29">+D57-D50</f>
        <v>-933.2</v>
      </c>
      <c r="E59" s="92">
        <f t="shared" si="29"/>
        <v>-952.80000000000018</v>
      </c>
      <c r="F59" s="92">
        <f t="shared" si="29"/>
        <v>-954.40000000000009</v>
      </c>
      <c r="G59" s="92">
        <f t="shared" si="29"/>
        <v>-1078.8000000000002</v>
      </c>
      <c r="H59" s="92">
        <f t="shared" si="29"/>
        <v>-1332.1999999999998</v>
      </c>
      <c r="I59" s="92">
        <f t="shared" si="29"/>
        <v>494</v>
      </c>
      <c r="J59" s="92">
        <f t="shared" si="29"/>
        <v>1263</v>
      </c>
      <c r="K59" s="92">
        <f t="shared" si="29"/>
        <v>2167.6</v>
      </c>
      <c r="L59" s="92">
        <f t="shared" si="29"/>
        <v>2241.4</v>
      </c>
      <c r="M59" s="92">
        <f t="shared" si="29"/>
        <v>867</v>
      </c>
      <c r="N59" s="92">
        <f t="shared" si="29"/>
        <v>363.60000000000036</v>
      </c>
      <c r="O59" s="92">
        <f t="shared" si="29"/>
        <v>464.20000000000073</v>
      </c>
      <c r="P59" s="92">
        <f t="shared" si="29"/>
        <v>899.40000000000146</v>
      </c>
      <c r="Q59" s="92">
        <f t="shared" si="29"/>
        <v>-302.20000000000073</v>
      </c>
      <c r="R59" s="92">
        <f t="shared" si="29"/>
        <v>-421.33333333333394</v>
      </c>
      <c r="S59" s="92">
        <f t="shared" si="29"/>
        <v>463.53333333333285</v>
      </c>
      <c r="T59" s="92">
        <f t="shared" si="29"/>
        <v>-1208.3157894736833</v>
      </c>
      <c r="U59" s="92">
        <f t="shared" si="29"/>
        <v>-1242.2105263157864</v>
      </c>
      <c r="V59" s="92"/>
      <c r="W59" s="92"/>
      <c r="X59" s="92"/>
      <c r="Y59" s="92"/>
      <c r="Z59" s="92"/>
      <c r="AA59" s="92"/>
      <c r="AB59" s="92"/>
      <c r="AC59" s="92"/>
      <c r="AD59" s="92"/>
      <c r="AE59" s="92"/>
      <c r="AF59" s="92"/>
      <c r="AG59" s="92"/>
    </row>
    <row r="60" spans="1:44">
      <c r="D60" s="92"/>
      <c r="E60" s="92"/>
      <c r="F60" s="92"/>
      <c r="G60" s="92"/>
      <c r="H60" s="92"/>
      <c r="I60" s="92"/>
      <c r="J60" s="92"/>
      <c r="K60" s="92"/>
      <c r="L60" s="92"/>
      <c r="M60" s="92"/>
      <c r="N60" s="92"/>
      <c r="O60" s="92"/>
      <c r="P60" s="92"/>
      <c r="Q60" s="92"/>
      <c r="R60" s="92"/>
      <c r="S60" s="92"/>
      <c r="T60" s="92"/>
      <c r="U60" s="92"/>
      <c r="V60" s="92"/>
      <c r="W60" s="92"/>
      <c r="X60" s="92"/>
      <c r="Y60" s="92"/>
    </row>
    <row r="61" spans="1:44" s="1" customFormat="1" ht="10.5">
      <c r="A61" s="1" t="s">
        <v>765</v>
      </c>
      <c r="D61" s="838">
        <f t="shared" ref="D61:AG61" si="30">+D50</f>
        <v>1873.2</v>
      </c>
      <c r="E61" s="838">
        <f t="shared" si="30"/>
        <v>2508.8000000000002</v>
      </c>
      <c r="F61" s="838">
        <f t="shared" si="30"/>
        <v>3016.4</v>
      </c>
      <c r="G61" s="838">
        <f t="shared" si="30"/>
        <v>3251.8</v>
      </c>
      <c r="H61" s="838">
        <f t="shared" si="30"/>
        <v>3598.2</v>
      </c>
      <c r="I61" s="838">
        <f t="shared" si="30"/>
        <v>1973</v>
      </c>
      <c r="J61" s="838">
        <f t="shared" si="30"/>
        <v>1992</v>
      </c>
      <c r="K61" s="838">
        <f t="shared" si="30"/>
        <v>2544.4</v>
      </c>
      <c r="L61" s="838">
        <f t="shared" si="30"/>
        <v>3215.6</v>
      </c>
      <c r="M61" s="838">
        <f t="shared" si="30"/>
        <v>4033</v>
      </c>
      <c r="N61" s="838">
        <f t="shared" si="30"/>
        <v>5736.4</v>
      </c>
      <c r="O61" s="838">
        <f t="shared" si="30"/>
        <v>7235.7999999999993</v>
      </c>
      <c r="P61" s="838">
        <f t="shared" si="30"/>
        <v>8800.5999999999985</v>
      </c>
      <c r="Q61" s="838">
        <f t="shared" si="30"/>
        <v>11002.2</v>
      </c>
      <c r="R61" s="838">
        <f t="shared" si="30"/>
        <v>9721.3333333333339</v>
      </c>
      <c r="S61" s="838">
        <f t="shared" si="30"/>
        <v>12136.466666666667</v>
      </c>
      <c r="T61" s="838">
        <f t="shared" si="30"/>
        <v>12208.315789473683</v>
      </c>
      <c r="U61" s="838">
        <f t="shared" si="30"/>
        <v>16442.210526315786</v>
      </c>
      <c r="V61" s="838">
        <f t="shared" si="30"/>
        <v>24078.842105263157</v>
      </c>
      <c r="W61" s="838">
        <f t="shared" si="30"/>
        <v>29721.307206331589</v>
      </c>
      <c r="X61" s="838">
        <f t="shared" si="30"/>
        <v>36657.164287926877</v>
      </c>
      <c r="Y61" s="838">
        <f t="shared" si="30"/>
        <v>42606.493817195886</v>
      </c>
      <c r="Z61" s="838">
        <f t="shared" si="30"/>
        <v>50111.023184768419</v>
      </c>
      <c r="AA61" s="838">
        <f t="shared" si="30"/>
        <v>55491.89201557012</v>
      </c>
      <c r="AB61" s="838">
        <f t="shared" si="30"/>
        <v>62007.016709753821</v>
      </c>
      <c r="AC61" s="838">
        <f t="shared" si="30"/>
        <v>68803.150745561768</v>
      </c>
      <c r="AD61" s="838">
        <f t="shared" si="30"/>
        <v>75017.940329051184</v>
      </c>
      <c r="AE61" s="838">
        <f t="shared" si="30"/>
        <v>80429.665722328806</v>
      </c>
      <c r="AF61" s="838">
        <f t="shared" si="30"/>
        <v>86814.504319270171</v>
      </c>
      <c r="AG61" s="838">
        <f t="shared" si="30"/>
        <v>95700.451570911595</v>
      </c>
    </row>
    <row r="62" spans="1:44" hidden="1" outlineLevel="1">
      <c r="A62" s="15"/>
    </row>
    <row r="63" spans="1:44" ht="10.5" hidden="1" outlineLevel="1">
      <c r="A63" s="45" t="s">
        <v>773</v>
      </c>
    </row>
    <row r="64" spans="1:44" hidden="1" outlineLevel="1">
      <c r="A64" t="s">
        <v>774</v>
      </c>
      <c r="D64" s="8">
        <f>+D170-SUM(D65:D94)</f>
        <v>9366</v>
      </c>
      <c r="E64" s="8">
        <f t="shared" ref="E64:Q64" si="31">+E170-SUM(E65:E94)</f>
        <v>9366</v>
      </c>
      <c r="F64" s="8">
        <f t="shared" si="31"/>
        <v>9366</v>
      </c>
      <c r="G64" s="8">
        <f t="shared" si="31"/>
        <v>9366</v>
      </c>
      <c r="H64" s="8">
        <f t="shared" si="31"/>
        <v>9366</v>
      </c>
      <c r="I64" s="8">
        <f t="shared" si="31"/>
        <v>9366</v>
      </c>
      <c r="J64" s="8">
        <f t="shared" si="31"/>
        <v>9366</v>
      </c>
      <c r="K64" s="8">
        <f t="shared" si="31"/>
        <v>9366</v>
      </c>
      <c r="L64" s="8">
        <f t="shared" si="31"/>
        <v>9366</v>
      </c>
      <c r="M64" s="8">
        <f>+M170-SUM(M65:M94)</f>
        <v>9366</v>
      </c>
      <c r="N64" s="8">
        <f t="shared" si="31"/>
        <v>9366</v>
      </c>
      <c r="O64" s="8">
        <f t="shared" si="31"/>
        <v>9366</v>
      </c>
      <c r="P64" s="8">
        <f t="shared" si="31"/>
        <v>9366</v>
      </c>
      <c r="Q64" s="8">
        <f t="shared" si="31"/>
        <v>9366</v>
      </c>
      <c r="R64" s="8">
        <f>+R170-SUM(R65:R94)</f>
        <v>9366</v>
      </c>
      <c r="S64" s="8">
        <f>+S170-SUM(S65:S94)</f>
        <v>9366</v>
      </c>
      <c r="T64" s="8">
        <f>+T170-SUM(T65:T94)</f>
        <v>9366</v>
      </c>
      <c r="U64" s="8">
        <f t="shared" ref="U64" si="32">+U170-SUM(U65:U94)</f>
        <v>9366</v>
      </c>
      <c r="V64" s="8">
        <f t="shared" ref="S64:AG83" si="33">+U64</f>
        <v>9366</v>
      </c>
      <c r="W64" s="8">
        <f t="shared" si="33"/>
        <v>9366</v>
      </c>
      <c r="X64" s="8">
        <f t="shared" si="33"/>
        <v>9366</v>
      </c>
      <c r="Y64" s="8">
        <f t="shared" si="33"/>
        <v>9366</v>
      </c>
      <c r="Z64" s="8">
        <f t="shared" si="33"/>
        <v>9366</v>
      </c>
      <c r="AA64" s="8">
        <f t="shared" si="33"/>
        <v>9366</v>
      </c>
      <c r="AB64" s="8">
        <f t="shared" si="33"/>
        <v>9366</v>
      </c>
      <c r="AC64" s="8">
        <f t="shared" si="33"/>
        <v>9366</v>
      </c>
      <c r="AD64" s="8">
        <f t="shared" si="33"/>
        <v>9366</v>
      </c>
      <c r="AE64" s="8">
        <f t="shared" si="33"/>
        <v>9366</v>
      </c>
      <c r="AF64" s="8">
        <f t="shared" si="33"/>
        <v>9366</v>
      </c>
      <c r="AG64" s="8">
        <f t="shared" si="33"/>
        <v>9366</v>
      </c>
    </row>
    <row r="65" spans="1:39" hidden="1" outlineLevel="1">
      <c r="A65" t="s">
        <v>249</v>
      </c>
      <c r="E65" s="8">
        <f>+E$16</f>
        <v>3178</v>
      </c>
      <c r="F65" s="8">
        <f>+E65</f>
        <v>3178</v>
      </c>
      <c r="G65" s="8">
        <f t="shared" ref="G65:U80" si="34">+F65</f>
        <v>3178</v>
      </c>
      <c r="H65" s="8">
        <f t="shared" si="34"/>
        <v>3178</v>
      </c>
      <c r="I65" s="8">
        <f t="shared" si="34"/>
        <v>3178</v>
      </c>
      <c r="J65" s="8">
        <f t="shared" si="34"/>
        <v>3178</v>
      </c>
      <c r="K65" s="8">
        <f t="shared" si="34"/>
        <v>3178</v>
      </c>
      <c r="L65" s="8">
        <f t="shared" si="34"/>
        <v>3178</v>
      </c>
      <c r="M65" s="8">
        <f t="shared" si="34"/>
        <v>3178</v>
      </c>
      <c r="N65" s="8">
        <f t="shared" si="34"/>
        <v>3178</v>
      </c>
      <c r="O65" s="8">
        <f t="shared" si="34"/>
        <v>3178</v>
      </c>
      <c r="P65" s="8">
        <f t="shared" si="34"/>
        <v>3178</v>
      </c>
      <c r="Q65" s="8">
        <f t="shared" si="34"/>
        <v>3178</v>
      </c>
      <c r="R65" s="8">
        <f t="shared" si="34"/>
        <v>3178</v>
      </c>
      <c r="S65" s="8">
        <f t="shared" si="34"/>
        <v>3178</v>
      </c>
      <c r="T65" s="8">
        <f t="shared" si="34"/>
        <v>3178</v>
      </c>
      <c r="U65" s="8">
        <f t="shared" si="34"/>
        <v>3178</v>
      </c>
      <c r="V65" s="8">
        <f t="shared" si="33"/>
        <v>3178</v>
      </c>
      <c r="W65" s="8">
        <f t="shared" si="33"/>
        <v>3178</v>
      </c>
      <c r="X65" s="8">
        <f t="shared" si="33"/>
        <v>3178</v>
      </c>
      <c r="Y65" s="8">
        <f t="shared" si="33"/>
        <v>3178</v>
      </c>
      <c r="Z65" s="8">
        <f t="shared" si="33"/>
        <v>3178</v>
      </c>
      <c r="AA65" s="8">
        <f t="shared" si="33"/>
        <v>3178</v>
      </c>
      <c r="AB65" s="8">
        <f t="shared" si="33"/>
        <v>3178</v>
      </c>
      <c r="AC65" s="8">
        <f t="shared" si="33"/>
        <v>3178</v>
      </c>
      <c r="AD65" s="8">
        <f t="shared" si="33"/>
        <v>3178</v>
      </c>
      <c r="AE65" s="8">
        <f t="shared" si="33"/>
        <v>3178</v>
      </c>
      <c r="AF65" s="8">
        <f t="shared" si="33"/>
        <v>3178</v>
      </c>
      <c r="AG65" s="8">
        <f t="shared" si="33"/>
        <v>3178</v>
      </c>
    </row>
    <row r="66" spans="1:39" hidden="1" outlineLevel="1">
      <c r="A66" t="s">
        <v>250</v>
      </c>
      <c r="F66" s="8">
        <f>+F$16</f>
        <v>2538</v>
      </c>
      <c r="G66" s="8">
        <f>+F66</f>
        <v>2538</v>
      </c>
      <c r="H66" s="8">
        <f t="shared" si="34"/>
        <v>2538</v>
      </c>
      <c r="I66" s="8">
        <f t="shared" si="34"/>
        <v>2538</v>
      </c>
      <c r="J66" s="8">
        <f t="shared" si="34"/>
        <v>2538</v>
      </c>
      <c r="K66" s="8">
        <f t="shared" si="34"/>
        <v>2538</v>
      </c>
      <c r="L66" s="8">
        <f t="shared" si="34"/>
        <v>2538</v>
      </c>
      <c r="M66" s="8">
        <f t="shared" si="34"/>
        <v>2538</v>
      </c>
      <c r="N66" s="8">
        <f t="shared" si="34"/>
        <v>2538</v>
      </c>
      <c r="O66" s="8">
        <f t="shared" si="34"/>
        <v>2538</v>
      </c>
      <c r="P66" s="8">
        <f t="shared" si="34"/>
        <v>2538</v>
      </c>
      <c r="Q66" s="8">
        <f t="shared" si="34"/>
        <v>2538</v>
      </c>
      <c r="R66" s="8">
        <f t="shared" si="34"/>
        <v>2538</v>
      </c>
      <c r="S66" s="8">
        <f t="shared" si="34"/>
        <v>2538</v>
      </c>
      <c r="T66" s="8">
        <f t="shared" si="34"/>
        <v>2538</v>
      </c>
      <c r="U66" s="8">
        <f t="shared" si="34"/>
        <v>2538</v>
      </c>
      <c r="V66" s="8">
        <f t="shared" si="33"/>
        <v>2538</v>
      </c>
      <c r="W66" s="8">
        <f t="shared" si="33"/>
        <v>2538</v>
      </c>
      <c r="X66" s="8">
        <f t="shared" si="33"/>
        <v>2538</v>
      </c>
      <c r="Y66" s="8">
        <f t="shared" si="33"/>
        <v>2538</v>
      </c>
      <c r="Z66" s="8">
        <f t="shared" si="33"/>
        <v>2538</v>
      </c>
      <c r="AA66" s="8">
        <f t="shared" si="33"/>
        <v>2538</v>
      </c>
      <c r="AB66" s="8">
        <f t="shared" si="33"/>
        <v>2538</v>
      </c>
      <c r="AC66" s="8">
        <f t="shared" si="33"/>
        <v>2538</v>
      </c>
      <c r="AD66" s="8">
        <f t="shared" si="33"/>
        <v>2538</v>
      </c>
      <c r="AE66" s="8">
        <f t="shared" si="33"/>
        <v>2538</v>
      </c>
      <c r="AF66" s="8">
        <f t="shared" si="33"/>
        <v>2538</v>
      </c>
      <c r="AG66" s="8">
        <f t="shared" si="33"/>
        <v>2538</v>
      </c>
    </row>
    <row r="67" spans="1:39" hidden="1" outlineLevel="1">
      <c r="A67" t="s">
        <v>251</v>
      </c>
      <c r="G67" s="8">
        <f>+G$16</f>
        <v>1177</v>
      </c>
      <c r="H67" s="8">
        <f>+G67</f>
        <v>1177</v>
      </c>
      <c r="I67" s="8">
        <f t="shared" si="34"/>
        <v>1177</v>
      </c>
      <c r="J67" s="8">
        <f t="shared" si="34"/>
        <v>1177</v>
      </c>
      <c r="K67" s="8">
        <f t="shared" si="34"/>
        <v>1177</v>
      </c>
      <c r="L67" s="8">
        <f t="shared" si="34"/>
        <v>1177</v>
      </c>
      <c r="M67" s="8">
        <f t="shared" si="34"/>
        <v>1177</v>
      </c>
      <c r="N67" s="8">
        <f t="shared" si="34"/>
        <v>1177</v>
      </c>
      <c r="O67" s="8">
        <f t="shared" si="34"/>
        <v>1177</v>
      </c>
      <c r="P67" s="8">
        <f t="shared" si="34"/>
        <v>1177</v>
      </c>
      <c r="Q67" s="8">
        <f t="shared" si="34"/>
        <v>1177</v>
      </c>
      <c r="R67" s="8">
        <f t="shared" si="34"/>
        <v>1177</v>
      </c>
      <c r="S67" s="8">
        <f t="shared" si="34"/>
        <v>1177</v>
      </c>
      <c r="T67" s="8">
        <f t="shared" si="34"/>
        <v>1177</v>
      </c>
      <c r="U67" s="8">
        <f t="shared" si="34"/>
        <v>1177</v>
      </c>
      <c r="V67" s="8">
        <f t="shared" si="33"/>
        <v>1177</v>
      </c>
      <c r="W67" s="8">
        <f t="shared" si="33"/>
        <v>1177</v>
      </c>
      <c r="X67" s="8">
        <f t="shared" si="33"/>
        <v>1177</v>
      </c>
      <c r="Y67" s="8">
        <f t="shared" si="33"/>
        <v>1177</v>
      </c>
      <c r="Z67" s="8">
        <f t="shared" si="33"/>
        <v>1177</v>
      </c>
      <c r="AA67" s="8">
        <f t="shared" si="33"/>
        <v>1177</v>
      </c>
      <c r="AB67" s="8">
        <f t="shared" si="33"/>
        <v>1177</v>
      </c>
      <c r="AC67" s="8">
        <f t="shared" si="33"/>
        <v>1177</v>
      </c>
      <c r="AD67" s="8">
        <f t="shared" si="33"/>
        <v>1177</v>
      </c>
      <c r="AE67" s="8">
        <f t="shared" si="33"/>
        <v>1177</v>
      </c>
      <c r="AF67" s="8">
        <f t="shared" si="33"/>
        <v>1177</v>
      </c>
      <c r="AG67" s="8">
        <f t="shared" si="33"/>
        <v>1177</v>
      </c>
    </row>
    <row r="68" spans="1:39" hidden="1" outlineLevel="1">
      <c r="A68" t="s">
        <v>252</v>
      </c>
      <c r="H68" s="8">
        <f>+H$16</f>
        <v>1732</v>
      </c>
      <c r="I68" s="8">
        <f>+H68</f>
        <v>1732</v>
      </c>
      <c r="J68" s="8">
        <f t="shared" si="34"/>
        <v>1732</v>
      </c>
      <c r="K68" s="8">
        <f t="shared" si="34"/>
        <v>1732</v>
      </c>
      <c r="L68" s="8">
        <f t="shared" si="34"/>
        <v>1732</v>
      </c>
      <c r="M68" s="8">
        <f t="shared" si="34"/>
        <v>1732</v>
      </c>
      <c r="N68" s="8">
        <f t="shared" si="34"/>
        <v>1732</v>
      </c>
      <c r="O68" s="8">
        <f t="shared" si="34"/>
        <v>1732</v>
      </c>
      <c r="P68" s="8">
        <f t="shared" si="34"/>
        <v>1732</v>
      </c>
      <c r="Q68" s="8">
        <f t="shared" si="34"/>
        <v>1732</v>
      </c>
      <c r="R68" s="8">
        <f t="shared" si="34"/>
        <v>1732</v>
      </c>
      <c r="S68" s="8">
        <f t="shared" si="34"/>
        <v>1732</v>
      </c>
      <c r="T68" s="8">
        <f t="shared" si="34"/>
        <v>1732</v>
      </c>
      <c r="U68" s="8">
        <f t="shared" si="34"/>
        <v>1732</v>
      </c>
      <c r="V68" s="8">
        <f t="shared" si="33"/>
        <v>1732</v>
      </c>
      <c r="W68" s="8">
        <f t="shared" si="33"/>
        <v>1732</v>
      </c>
      <c r="X68" s="8">
        <f t="shared" si="33"/>
        <v>1732</v>
      </c>
      <c r="Y68" s="8">
        <f t="shared" si="33"/>
        <v>1732</v>
      </c>
      <c r="Z68" s="8">
        <f t="shared" si="33"/>
        <v>1732</v>
      </c>
      <c r="AA68" s="8">
        <f t="shared" si="33"/>
        <v>1732</v>
      </c>
      <c r="AB68" s="8">
        <f t="shared" si="33"/>
        <v>1732</v>
      </c>
      <c r="AC68" s="8">
        <f t="shared" si="33"/>
        <v>1732</v>
      </c>
      <c r="AD68" s="8">
        <f t="shared" si="33"/>
        <v>1732</v>
      </c>
      <c r="AE68" s="8">
        <f t="shared" si="33"/>
        <v>1732</v>
      </c>
      <c r="AF68" s="8">
        <f t="shared" si="33"/>
        <v>1732</v>
      </c>
      <c r="AG68" s="8">
        <f t="shared" si="33"/>
        <v>1732</v>
      </c>
    </row>
    <row r="69" spans="1:39" hidden="1" outlineLevel="1">
      <c r="A69" t="s">
        <v>253</v>
      </c>
      <c r="I69" s="8">
        <f>+I$16</f>
        <v>1240</v>
      </c>
      <c r="J69" s="8">
        <f>+I69</f>
        <v>1240</v>
      </c>
      <c r="K69" s="8">
        <f t="shared" si="34"/>
        <v>1240</v>
      </c>
      <c r="L69" s="8">
        <f t="shared" si="34"/>
        <v>1240</v>
      </c>
      <c r="M69" s="8">
        <f t="shared" si="34"/>
        <v>1240</v>
      </c>
      <c r="N69" s="8">
        <f t="shared" si="34"/>
        <v>1240</v>
      </c>
      <c r="O69" s="8">
        <f t="shared" si="34"/>
        <v>1240</v>
      </c>
      <c r="P69" s="8">
        <f t="shared" si="34"/>
        <v>1240</v>
      </c>
      <c r="Q69" s="8">
        <f t="shared" si="34"/>
        <v>1240</v>
      </c>
      <c r="R69" s="8">
        <f t="shared" si="34"/>
        <v>1240</v>
      </c>
      <c r="S69" s="8">
        <f t="shared" si="34"/>
        <v>1240</v>
      </c>
      <c r="T69" s="8">
        <f t="shared" si="34"/>
        <v>1240</v>
      </c>
      <c r="U69" s="8">
        <f t="shared" si="34"/>
        <v>1240</v>
      </c>
      <c r="V69" s="8">
        <f t="shared" si="33"/>
        <v>1240</v>
      </c>
      <c r="W69" s="8">
        <f t="shared" si="33"/>
        <v>1240</v>
      </c>
      <c r="X69" s="8">
        <f t="shared" si="33"/>
        <v>1240</v>
      </c>
      <c r="Y69" s="8">
        <f t="shared" si="33"/>
        <v>1240</v>
      </c>
      <c r="Z69" s="8">
        <f t="shared" si="33"/>
        <v>1240</v>
      </c>
      <c r="AA69" s="8">
        <f t="shared" si="33"/>
        <v>1240</v>
      </c>
      <c r="AB69" s="8">
        <f t="shared" si="33"/>
        <v>1240</v>
      </c>
      <c r="AC69" s="8">
        <f t="shared" si="33"/>
        <v>1240</v>
      </c>
      <c r="AD69" s="8">
        <f t="shared" si="33"/>
        <v>1240</v>
      </c>
      <c r="AE69" s="8">
        <f t="shared" si="33"/>
        <v>1240</v>
      </c>
      <c r="AF69" s="8">
        <f t="shared" si="33"/>
        <v>1240</v>
      </c>
      <c r="AG69" s="8">
        <f t="shared" si="33"/>
        <v>1240</v>
      </c>
    </row>
    <row r="70" spans="1:39" hidden="1" outlineLevel="1">
      <c r="A70" t="s">
        <v>254</v>
      </c>
      <c r="J70" s="8">
        <f>+J$16</f>
        <v>3273</v>
      </c>
      <c r="K70" s="8">
        <f>+J70</f>
        <v>3273</v>
      </c>
      <c r="L70" s="8">
        <f t="shared" si="34"/>
        <v>3273</v>
      </c>
      <c r="M70" s="8">
        <f t="shared" si="34"/>
        <v>3273</v>
      </c>
      <c r="N70" s="8">
        <f t="shared" si="34"/>
        <v>3273</v>
      </c>
      <c r="O70" s="8">
        <f t="shared" si="34"/>
        <v>3273</v>
      </c>
      <c r="P70" s="8">
        <f t="shared" si="34"/>
        <v>3273</v>
      </c>
      <c r="Q70" s="8">
        <f t="shared" si="34"/>
        <v>3273</v>
      </c>
      <c r="R70" s="8">
        <f t="shared" si="34"/>
        <v>3273</v>
      </c>
      <c r="S70" s="8">
        <f t="shared" si="34"/>
        <v>3273</v>
      </c>
      <c r="T70" s="8">
        <f t="shared" si="34"/>
        <v>3273</v>
      </c>
      <c r="U70" s="8">
        <f t="shared" si="34"/>
        <v>3273</v>
      </c>
      <c r="V70" s="8">
        <f t="shared" si="33"/>
        <v>3273</v>
      </c>
      <c r="W70" s="8">
        <f t="shared" si="33"/>
        <v>3273</v>
      </c>
      <c r="X70" s="8">
        <f t="shared" si="33"/>
        <v>3273</v>
      </c>
      <c r="Y70" s="8">
        <f t="shared" si="33"/>
        <v>3273</v>
      </c>
      <c r="Z70" s="8">
        <f t="shared" si="33"/>
        <v>3273</v>
      </c>
      <c r="AA70" s="8">
        <f t="shared" si="33"/>
        <v>3273</v>
      </c>
      <c r="AB70" s="8">
        <f t="shared" si="33"/>
        <v>3273</v>
      </c>
      <c r="AC70" s="8">
        <f t="shared" si="33"/>
        <v>3273</v>
      </c>
      <c r="AD70" s="8">
        <f t="shared" si="33"/>
        <v>3273</v>
      </c>
      <c r="AE70" s="8">
        <f t="shared" si="33"/>
        <v>3273</v>
      </c>
      <c r="AF70" s="8">
        <f t="shared" si="33"/>
        <v>3273</v>
      </c>
      <c r="AG70" s="8">
        <f t="shared" si="33"/>
        <v>3273</v>
      </c>
    </row>
    <row r="71" spans="1:39" hidden="1" outlineLevel="1">
      <c r="A71" t="s">
        <v>255</v>
      </c>
      <c r="K71" s="8">
        <f>+K$16</f>
        <v>5300</v>
      </c>
      <c r="L71" s="8">
        <f>+K71</f>
        <v>5300</v>
      </c>
      <c r="M71" s="8">
        <f t="shared" si="34"/>
        <v>5300</v>
      </c>
      <c r="N71" s="8">
        <f t="shared" si="34"/>
        <v>5300</v>
      </c>
      <c r="O71" s="8">
        <f t="shared" si="34"/>
        <v>5300</v>
      </c>
      <c r="P71" s="8">
        <f t="shared" si="34"/>
        <v>5300</v>
      </c>
      <c r="Q71" s="8">
        <f t="shared" si="34"/>
        <v>5300</v>
      </c>
      <c r="R71" s="8">
        <f t="shared" si="34"/>
        <v>5300</v>
      </c>
      <c r="S71" s="8">
        <f t="shared" si="34"/>
        <v>5300</v>
      </c>
      <c r="T71" s="8">
        <f t="shared" si="34"/>
        <v>5300</v>
      </c>
      <c r="U71" s="8">
        <f t="shared" si="34"/>
        <v>5300</v>
      </c>
      <c r="V71" s="8">
        <f t="shared" si="33"/>
        <v>5300</v>
      </c>
      <c r="W71" s="8">
        <f t="shared" si="33"/>
        <v>5300</v>
      </c>
      <c r="X71" s="8">
        <f t="shared" si="33"/>
        <v>5300</v>
      </c>
      <c r="Y71" s="8">
        <f t="shared" si="33"/>
        <v>5300</v>
      </c>
      <c r="Z71" s="8">
        <f t="shared" si="33"/>
        <v>5300</v>
      </c>
      <c r="AA71" s="8">
        <f t="shared" si="33"/>
        <v>5300</v>
      </c>
      <c r="AB71" s="8">
        <f t="shared" si="33"/>
        <v>5300</v>
      </c>
      <c r="AC71" s="8">
        <f t="shared" si="33"/>
        <v>5300</v>
      </c>
      <c r="AD71" s="8">
        <f t="shared" si="33"/>
        <v>5300</v>
      </c>
      <c r="AE71" s="8">
        <f t="shared" si="33"/>
        <v>5300</v>
      </c>
      <c r="AF71" s="8">
        <f t="shared" si="33"/>
        <v>5300</v>
      </c>
      <c r="AG71" s="8">
        <f t="shared" si="33"/>
        <v>5300</v>
      </c>
    </row>
    <row r="72" spans="1:39" hidden="1" outlineLevel="1">
      <c r="A72" t="s">
        <v>256</v>
      </c>
      <c r="L72" s="8">
        <f>+L$16</f>
        <v>4533</v>
      </c>
      <c r="M72" s="8">
        <f>+L72</f>
        <v>4533</v>
      </c>
      <c r="N72" s="8">
        <f t="shared" si="34"/>
        <v>4533</v>
      </c>
      <c r="O72" s="8">
        <f t="shared" si="34"/>
        <v>4533</v>
      </c>
      <c r="P72" s="8">
        <f t="shared" si="34"/>
        <v>4533</v>
      </c>
      <c r="Q72" s="8">
        <f t="shared" si="34"/>
        <v>4533</v>
      </c>
      <c r="R72" s="8">
        <f t="shared" si="34"/>
        <v>4533</v>
      </c>
      <c r="S72" s="8">
        <f t="shared" si="34"/>
        <v>4533</v>
      </c>
      <c r="T72" s="8">
        <f t="shared" si="34"/>
        <v>4533</v>
      </c>
      <c r="U72" s="8">
        <f t="shared" si="34"/>
        <v>4533</v>
      </c>
      <c r="V72" s="8">
        <f t="shared" si="33"/>
        <v>4533</v>
      </c>
      <c r="W72" s="8">
        <f t="shared" si="33"/>
        <v>4533</v>
      </c>
      <c r="X72" s="8">
        <f t="shared" si="33"/>
        <v>4533</v>
      </c>
      <c r="Y72" s="8">
        <f t="shared" si="33"/>
        <v>4533</v>
      </c>
      <c r="Z72" s="8">
        <f t="shared" si="33"/>
        <v>4533</v>
      </c>
      <c r="AA72" s="8">
        <f t="shared" si="33"/>
        <v>4533</v>
      </c>
      <c r="AB72" s="8">
        <f t="shared" si="33"/>
        <v>4533</v>
      </c>
      <c r="AC72" s="8">
        <f t="shared" si="33"/>
        <v>4533</v>
      </c>
      <c r="AD72" s="8">
        <f t="shared" si="33"/>
        <v>4533</v>
      </c>
      <c r="AE72" s="8">
        <f t="shared" si="33"/>
        <v>4533</v>
      </c>
      <c r="AF72" s="8">
        <f t="shared" si="33"/>
        <v>4533</v>
      </c>
      <c r="AG72" s="8">
        <f t="shared" si="33"/>
        <v>4533</v>
      </c>
    </row>
    <row r="73" spans="1:39" hidden="1" outlineLevel="1">
      <c r="A73" t="s">
        <v>257</v>
      </c>
      <c r="M73" s="8">
        <f>+M$16</f>
        <v>5819</v>
      </c>
      <c r="N73" s="8">
        <f>+M73</f>
        <v>5819</v>
      </c>
      <c r="O73" s="8">
        <f t="shared" si="34"/>
        <v>5819</v>
      </c>
      <c r="P73" s="8">
        <f t="shared" si="34"/>
        <v>5819</v>
      </c>
      <c r="Q73" s="8">
        <f t="shared" si="34"/>
        <v>5819</v>
      </c>
      <c r="R73" s="8">
        <f t="shared" si="34"/>
        <v>5819</v>
      </c>
      <c r="S73" s="8">
        <f t="shared" si="34"/>
        <v>5819</v>
      </c>
      <c r="T73" s="8">
        <f t="shared" si="34"/>
        <v>5819</v>
      </c>
      <c r="U73" s="8">
        <f t="shared" si="34"/>
        <v>5819</v>
      </c>
      <c r="V73" s="8">
        <f t="shared" si="33"/>
        <v>5819</v>
      </c>
      <c r="W73" s="8">
        <f t="shared" si="33"/>
        <v>5819</v>
      </c>
      <c r="X73" s="8">
        <f t="shared" si="33"/>
        <v>5819</v>
      </c>
      <c r="Y73" s="8">
        <f t="shared" si="33"/>
        <v>5819</v>
      </c>
      <c r="Z73" s="8">
        <f t="shared" si="33"/>
        <v>5819</v>
      </c>
      <c r="AA73" s="8">
        <f t="shared" si="33"/>
        <v>5819</v>
      </c>
      <c r="AB73" s="8">
        <f t="shared" si="33"/>
        <v>5819</v>
      </c>
      <c r="AC73" s="8">
        <f t="shared" si="33"/>
        <v>5819</v>
      </c>
      <c r="AD73" s="8">
        <f t="shared" si="33"/>
        <v>5819</v>
      </c>
      <c r="AE73" s="8">
        <f t="shared" si="33"/>
        <v>5819</v>
      </c>
      <c r="AF73" s="8">
        <f t="shared" si="33"/>
        <v>5819</v>
      </c>
      <c r="AG73" s="8">
        <f t="shared" si="33"/>
        <v>5819</v>
      </c>
    </row>
    <row r="74" spans="1:39" hidden="1" outlineLevel="1">
      <c r="A74" t="s">
        <v>258</v>
      </c>
      <c r="N74" s="8">
        <f>+N$16</f>
        <v>9757</v>
      </c>
      <c r="O74" s="8">
        <f>+N74</f>
        <v>9757</v>
      </c>
      <c r="P74" s="8">
        <f t="shared" si="34"/>
        <v>9757</v>
      </c>
      <c r="Q74" s="8">
        <f t="shared" si="34"/>
        <v>9757</v>
      </c>
      <c r="R74" s="8">
        <f t="shared" si="34"/>
        <v>9757</v>
      </c>
      <c r="S74" s="8">
        <f t="shared" si="34"/>
        <v>9757</v>
      </c>
      <c r="T74" s="8">
        <f t="shared" si="34"/>
        <v>9757</v>
      </c>
      <c r="U74" s="8">
        <f t="shared" si="34"/>
        <v>9757</v>
      </c>
      <c r="V74" s="8">
        <f t="shared" si="33"/>
        <v>9757</v>
      </c>
      <c r="W74" s="8">
        <f t="shared" si="33"/>
        <v>9757</v>
      </c>
      <c r="X74" s="8">
        <f t="shared" si="33"/>
        <v>9757</v>
      </c>
      <c r="Y74" s="8">
        <f t="shared" si="33"/>
        <v>9757</v>
      </c>
      <c r="Z74" s="8">
        <f t="shared" si="33"/>
        <v>9757</v>
      </c>
      <c r="AA74" s="8">
        <f t="shared" si="33"/>
        <v>9757</v>
      </c>
      <c r="AB74" s="8">
        <f t="shared" si="33"/>
        <v>9757</v>
      </c>
      <c r="AC74" s="8">
        <f t="shared" si="33"/>
        <v>9757</v>
      </c>
      <c r="AD74" s="8">
        <f t="shared" si="33"/>
        <v>9757</v>
      </c>
      <c r="AE74" s="8">
        <f t="shared" si="33"/>
        <v>9757</v>
      </c>
      <c r="AF74" s="8">
        <f t="shared" si="33"/>
        <v>9757</v>
      </c>
      <c r="AG74" s="8">
        <f t="shared" si="33"/>
        <v>9757</v>
      </c>
    </row>
    <row r="75" spans="1:39" hidden="1" outlineLevel="1">
      <c r="A75" t="s">
        <v>259</v>
      </c>
      <c r="O75" s="8">
        <f>+O$16</f>
        <v>10770</v>
      </c>
      <c r="P75" s="8">
        <f>+O75</f>
        <v>10770</v>
      </c>
      <c r="Q75" s="8">
        <f t="shared" si="34"/>
        <v>10770</v>
      </c>
      <c r="R75" s="8">
        <f t="shared" si="34"/>
        <v>10770</v>
      </c>
      <c r="S75" s="8">
        <f t="shared" si="34"/>
        <v>10770</v>
      </c>
      <c r="T75" s="8">
        <f t="shared" si="34"/>
        <v>10770</v>
      </c>
      <c r="U75" s="8">
        <f t="shared" si="34"/>
        <v>10770</v>
      </c>
      <c r="V75" s="8">
        <f t="shared" si="33"/>
        <v>10770</v>
      </c>
      <c r="W75" s="8">
        <f t="shared" si="33"/>
        <v>10770</v>
      </c>
      <c r="X75" s="8">
        <f t="shared" si="33"/>
        <v>10770</v>
      </c>
      <c r="Y75" s="8">
        <f t="shared" si="33"/>
        <v>10770</v>
      </c>
      <c r="Z75" s="8">
        <f t="shared" si="33"/>
        <v>10770</v>
      </c>
      <c r="AA75" s="8">
        <f t="shared" si="33"/>
        <v>10770</v>
      </c>
      <c r="AB75" s="8">
        <f t="shared" si="33"/>
        <v>10770</v>
      </c>
      <c r="AC75" s="8">
        <f t="shared" si="33"/>
        <v>10770</v>
      </c>
      <c r="AD75" s="8">
        <f t="shared" si="33"/>
        <v>10770</v>
      </c>
      <c r="AE75" s="8">
        <f t="shared" si="33"/>
        <v>10770</v>
      </c>
      <c r="AF75" s="8">
        <f t="shared" si="33"/>
        <v>10770</v>
      </c>
      <c r="AG75" s="8">
        <f t="shared" si="33"/>
        <v>10770</v>
      </c>
      <c r="AH75" s="8"/>
    </row>
    <row r="76" spans="1:39" hidden="1" outlineLevel="1">
      <c r="A76" t="s">
        <v>260</v>
      </c>
      <c r="P76" s="8">
        <f>+P$16</f>
        <v>13124</v>
      </c>
      <c r="Q76" s="8">
        <f>+P76</f>
        <v>13124</v>
      </c>
      <c r="R76" s="8">
        <f t="shared" si="34"/>
        <v>13124</v>
      </c>
      <c r="S76" s="8">
        <f t="shared" si="34"/>
        <v>13124</v>
      </c>
      <c r="T76" s="8">
        <f t="shared" si="34"/>
        <v>13124</v>
      </c>
      <c r="U76" s="8">
        <f t="shared" si="34"/>
        <v>13124</v>
      </c>
      <c r="V76" s="8">
        <f t="shared" si="33"/>
        <v>13124</v>
      </c>
      <c r="W76" s="8">
        <f t="shared" si="33"/>
        <v>13124</v>
      </c>
      <c r="X76" s="8">
        <f t="shared" si="33"/>
        <v>13124</v>
      </c>
      <c r="Y76" s="8">
        <f t="shared" si="33"/>
        <v>13124</v>
      </c>
      <c r="Z76" s="8">
        <f t="shared" si="33"/>
        <v>13124</v>
      </c>
      <c r="AA76" s="8">
        <f t="shared" si="33"/>
        <v>13124</v>
      </c>
      <c r="AB76" s="8">
        <f t="shared" si="33"/>
        <v>13124</v>
      </c>
      <c r="AC76" s="8">
        <f t="shared" si="33"/>
        <v>13124</v>
      </c>
      <c r="AD76" s="8">
        <f t="shared" si="33"/>
        <v>13124</v>
      </c>
      <c r="AE76" s="8">
        <f t="shared" si="33"/>
        <v>13124</v>
      </c>
      <c r="AF76" s="8">
        <f t="shared" si="33"/>
        <v>13124</v>
      </c>
      <c r="AG76" s="8">
        <f t="shared" si="33"/>
        <v>13124</v>
      </c>
      <c r="AH76" s="8"/>
      <c r="AI76" s="8"/>
    </row>
    <row r="77" spans="1:39" hidden="1" outlineLevel="1">
      <c r="A77" t="s">
        <v>261</v>
      </c>
      <c r="Q77" s="8">
        <f>+Q$16</f>
        <v>15541</v>
      </c>
      <c r="R77" s="8">
        <f>+Q77</f>
        <v>15541</v>
      </c>
      <c r="S77" s="8">
        <f t="shared" si="33"/>
        <v>15541</v>
      </c>
      <c r="T77" s="8">
        <f t="shared" si="33"/>
        <v>15541</v>
      </c>
      <c r="U77" s="8">
        <f t="shared" si="34"/>
        <v>15541</v>
      </c>
      <c r="V77" s="8">
        <f t="shared" si="33"/>
        <v>15541</v>
      </c>
      <c r="W77" s="8">
        <f t="shared" si="33"/>
        <v>15541</v>
      </c>
      <c r="X77" s="8">
        <f t="shared" si="33"/>
        <v>15541</v>
      </c>
      <c r="Y77" s="8">
        <f t="shared" si="33"/>
        <v>15541</v>
      </c>
      <c r="Z77" s="8">
        <f t="shared" si="33"/>
        <v>15541</v>
      </c>
      <c r="AA77" s="8">
        <f t="shared" si="33"/>
        <v>15541</v>
      </c>
      <c r="AB77" s="8">
        <f t="shared" si="33"/>
        <v>15541</v>
      </c>
      <c r="AC77" s="8">
        <f t="shared" si="33"/>
        <v>15541</v>
      </c>
      <c r="AD77" s="8">
        <f t="shared" si="33"/>
        <v>15541</v>
      </c>
      <c r="AE77" s="8">
        <f t="shared" si="33"/>
        <v>15541</v>
      </c>
      <c r="AF77" s="8">
        <f t="shared" si="33"/>
        <v>15541</v>
      </c>
      <c r="AG77" s="8">
        <f t="shared" si="33"/>
        <v>15541</v>
      </c>
      <c r="AH77" s="8"/>
      <c r="AI77" s="8"/>
      <c r="AJ77" s="8"/>
    </row>
    <row r="78" spans="1:39" hidden="1" outlineLevel="1">
      <c r="A78" t="s">
        <v>262</v>
      </c>
      <c r="R78" s="8">
        <f>+R$16</f>
        <v>23718</v>
      </c>
      <c r="S78" s="8">
        <f>+R78</f>
        <v>23718</v>
      </c>
      <c r="T78" s="8">
        <f t="shared" si="33"/>
        <v>23718</v>
      </c>
      <c r="U78" s="8">
        <f t="shared" si="34"/>
        <v>23718</v>
      </c>
      <c r="V78" s="8">
        <f t="shared" si="33"/>
        <v>23718</v>
      </c>
      <c r="W78" s="8">
        <f t="shared" si="33"/>
        <v>23718</v>
      </c>
      <c r="X78" s="8">
        <f t="shared" si="33"/>
        <v>23718</v>
      </c>
      <c r="Y78" s="8">
        <f t="shared" si="33"/>
        <v>23718</v>
      </c>
      <c r="Z78" s="8">
        <f t="shared" si="33"/>
        <v>23718</v>
      </c>
      <c r="AA78" s="8">
        <f t="shared" si="33"/>
        <v>23718</v>
      </c>
      <c r="AB78" s="8">
        <f t="shared" si="33"/>
        <v>23718</v>
      </c>
      <c r="AC78" s="8">
        <f t="shared" si="33"/>
        <v>23718</v>
      </c>
      <c r="AD78" s="8">
        <f t="shared" si="33"/>
        <v>23718</v>
      </c>
      <c r="AE78" s="8">
        <f t="shared" si="33"/>
        <v>23718</v>
      </c>
      <c r="AF78" s="8">
        <f t="shared" si="33"/>
        <v>23718</v>
      </c>
      <c r="AG78" s="8">
        <f t="shared" si="33"/>
        <v>23718</v>
      </c>
      <c r="AH78" s="8"/>
      <c r="AI78" s="8"/>
      <c r="AJ78" s="8"/>
      <c r="AK78" s="8"/>
    </row>
    <row r="79" spans="1:39" hidden="1" outlineLevel="1">
      <c r="A79" t="s">
        <v>109</v>
      </c>
      <c r="S79" s="8">
        <f>+S$16</f>
        <v>22992</v>
      </c>
      <c r="T79" s="8">
        <f>+S79</f>
        <v>22992</v>
      </c>
      <c r="U79" s="8">
        <f t="shared" si="34"/>
        <v>22992</v>
      </c>
      <c r="V79" s="8">
        <f t="shared" si="33"/>
        <v>22992</v>
      </c>
      <c r="W79" s="8">
        <f t="shared" si="33"/>
        <v>22992</v>
      </c>
      <c r="X79" s="8">
        <f t="shared" si="33"/>
        <v>22992</v>
      </c>
      <c r="Y79" s="8">
        <f t="shared" si="33"/>
        <v>22992</v>
      </c>
      <c r="Z79" s="8">
        <f t="shared" si="33"/>
        <v>22992</v>
      </c>
      <c r="AA79" s="8">
        <f t="shared" si="33"/>
        <v>22992</v>
      </c>
      <c r="AB79" s="8">
        <f t="shared" si="33"/>
        <v>22992</v>
      </c>
      <c r="AC79" s="8">
        <f t="shared" si="33"/>
        <v>22992</v>
      </c>
      <c r="AD79" s="8">
        <f t="shared" si="33"/>
        <v>22992</v>
      </c>
      <c r="AE79" s="8">
        <f t="shared" si="33"/>
        <v>22992</v>
      </c>
      <c r="AF79" s="8">
        <f t="shared" si="33"/>
        <v>22992</v>
      </c>
      <c r="AG79" s="8">
        <f t="shared" si="33"/>
        <v>22992</v>
      </c>
      <c r="AH79" s="8"/>
      <c r="AI79" s="8"/>
      <c r="AJ79" s="8"/>
      <c r="AK79" s="8"/>
      <c r="AL79" s="8"/>
    </row>
    <row r="80" spans="1:39" hidden="1" outlineLevel="1">
      <c r="A80" t="s">
        <v>191</v>
      </c>
      <c r="T80" s="8">
        <f>+T$16</f>
        <v>29834</v>
      </c>
      <c r="U80" s="8">
        <f t="shared" si="34"/>
        <v>29834</v>
      </c>
      <c r="V80" s="8">
        <f t="shared" si="33"/>
        <v>29834</v>
      </c>
      <c r="W80" s="8">
        <f t="shared" si="33"/>
        <v>29834</v>
      </c>
      <c r="X80" s="8">
        <f t="shared" si="33"/>
        <v>29834</v>
      </c>
      <c r="Y80" s="8">
        <f t="shared" si="33"/>
        <v>29834</v>
      </c>
      <c r="Z80" s="8">
        <f t="shared" si="33"/>
        <v>29834</v>
      </c>
      <c r="AA80" s="8">
        <f t="shared" si="33"/>
        <v>29834</v>
      </c>
      <c r="AB80" s="8">
        <f t="shared" si="33"/>
        <v>29834</v>
      </c>
      <c r="AC80" s="8">
        <f t="shared" si="33"/>
        <v>29834</v>
      </c>
      <c r="AD80" s="8">
        <f t="shared" si="33"/>
        <v>29834</v>
      </c>
      <c r="AE80" s="8">
        <f t="shared" si="33"/>
        <v>29834</v>
      </c>
      <c r="AF80" s="8">
        <f t="shared" si="33"/>
        <v>29834</v>
      </c>
      <c r="AG80" s="8">
        <f t="shared" si="33"/>
        <v>29834</v>
      </c>
      <c r="AH80" s="8"/>
      <c r="AI80" s="8"/>
      <c r="AJ80" s="8"/>
      <c r="AK80" s="8"/>
      <c r="AL80" s="8"/>
      <c r="AM80" s="8"/>
    </row>
    <row r="81" spans="1:44" hidden="1" outlineLevel="1">
      <c r="A81" t="s">
        <v>192</v>
      </c>
      <c r="U81" s="8">
        <f>+U$16</f>
        <v>48120</v>
      </c>
      <c r="V81" s="8">
        <f>+U81</f>
        <v>48120</v>
      </c>
      <c r="W81" s="8">
        <f t="shared" si="33"/>
        <v>48120</v>
      </c>
      <c r="X81" s="8">
        <f t="shared" si="33"/>
        <v>48120</v>
      </c>
      <c r="Y81" s="8">
        <f t="shared" si="33"/>
        <v>48120</v>
      </c>
      <c r="Z81" s="8">
        <f t="shared" si="33"/>
        <v>48120</v>
      </c>
      <c r="AA81" s="8">
        <f t="shared" si="33"/>
        <v>48120</v>
      </c>
      <c r="AB81" s="8">
        <f t="shared" si="33"/>
        <v>48120</v>
      </c>
      <c r="AC81" s="8">
        <f t="shared" si="33"/>
        <v>48120</v>
      </c>
      <c r="AD81" s="8">
        <f t="shared" si="33"/>
        <v>48120</v>
      </c>
      <c r="AE81" s="8">
        <f t="shared" si="33"/>
        <v>48120</v>
      </c>
      <c r="AF81" s="8">
        <f t="shared" si="33"/>
        <v>48120</v>
      </c>
      <c r="AG81" s="8">
        <f t="shared" si="33"/>
        <v>48120</v>
      </c>
      <c r="AH81" s="8"/>
      <c r="AI81" s="8"/>
      <c r="AJ81" s="8"/>
      <c r="AK81" s="8"/>
      <c r="AL81" s="8"/>
      <c r="AM81" s="8"/>
      <c r="AN81" s="8"/>
    </row>
    <row r="82" spans="1:44" hidden="1" outlineLevel="1">
      <c r="A82" t="s">
        <v>72</v>
      </c>
      <c r="V82" s="8">
        <f>+V$16</f>
        <v>75420</v>
      </c>
      <c r="W82" s="8">
        <f>+V82</f>
        <v>75420</v>
      </c>
      <c r="X82" s="8">
        <f t="shared" si="33"/>
        <v>75420</v>
      </c>
      <c r="Y82" s="8">
        <f t="shared" si="33"/>
        <v>75420</v>
      </c>
      <c r="Z82" s="8">
        <f t="shared" si="33"/>
        <v>75420</v>
      </c>
      <c r="AA82" s="8">
        <f t="shared" si="33"/>
        <v>75420</v>
      </c>
      <c r="AB82" s="8">
        <f t="shared" si="33"/>
        <v>75420</v>
      </c>
      <c r="AC82" s="8">
        <f t="shared" si="33"/>
        <v>75420</v>
      </c>
      <c r="AD82" s="8">
        <f t="shared" si="33"/>
        <v>75420</v>
      </c>
      <c r="AE82" s="8">
        <f t="shared" si="33"/>
        <v>75420</v>
      </c>
      <c r="AF82" s="8">
        <f t="shared" si="33"/>
        <v>75420</v>
      </c>
      <c r="AG82" s="8">
        <f t="shared" si="33"/>
        <v>75420</v>
      </c>
      <c r="AH82" s="8"/>
      <c r="AI82" s="8"/>
      <c r="AJ82" s="8"/>
      <c r="AK82" s="8"/>
      <c r="AL82" s="8"/>
      <c r="AM82" s="8"/>
      <c r="AN82" s="8"/>
      <c r="AO82" s="8"/>
    </row>
    <row r="83" spans="1:44" hidden="1" outlineLevel="1">
      <c r="A83" t="s">
        <v>73</v>
      </c>
      <c r="W83" s="8">
        <f>+W$16</f>
        <v>64540.085126816783</v>
      </c>
      <c r="X83" s="8">
        <f>+W83</f>
        <v>64540.085126816783</v>
      </c>
      <c r="Y83" s="8">
        <f t="shared" si="33"/>
        <v>64540.085126816783</v>
      </c>
      <c r="Z83" s="8">
        <f t="shared" si="33"/>
        <v>64540.085126816783</v>
      </c>
      <c r="AA83" s="8">
        <f t="shared" si="33"/>
        <v>64540.085126816783</v>
      </c>
      <c r="AB83" s="8">
        <f t="shared" si="33"/>
        <v>64540.085126816783</v>
      </c>
      <c r="AC83" s="8">
        <f t="shared" si="33"/>
        <v>64540.085126816783</v>
      </c>
      <c r="AD83" s="8">
        <f t="shared" si="33"/>
        <v>64540.085126816783</v>
      </c>
      <c r="AE83" s="8">
        <f t="shared" si="33"/>
        <v>64540.085126816783</v>
      </c>
      <c r="AF83" s="8">
        <f t="shared" si="33"/>
        <v>64540.085126816783</v>
      </c>
      <c r="AG83" s="8">
        <f t="shared" si="33"/>
        <v>64540.085126816783</v>
      </c>
      <c r="AH83" s="8"/>
      <c r="AI83" s="8"/>
      <c r="AJ83" s="8"/>
      <c r="AK83" s="8"/>
      <c r="AL83" s="8"/>
      <c r="AM83" s="8"/>
      <c r="AN83" s="8"/>
      <c r="AO83" s="8"/>
      <c r="AP83" s="8"/>
    </row>
    <row r="84" spans="1:44" hidden="1" outlineLevel="1">
      <c r="A84" t="s">
        <v>74</v>
      </c>
      <c r="X84" s="8">
        <f>+X$16</f>
        <v>68077.975608488588</v>
      </c>
      <c r="Y84" s="8">
        <f>+X84</f>
        <v>68077.975608488588</v>
      </c>
      <c r="Z84" s="8">
        <f t="shared" ref="Z84:AG91" si="35">+Y84</f>
        <v>68077.975608488588</v>
      </c>
      <c r="AA84" s="8">
        <f t="shared" si="35"/>
        <v>68077.975608488588</v>
      </c>
      <c r="AB84" s="8">
        <f t="shared" si="35"/>
        <v>68077.975608488588</v>
      </c>
      <c r="AC84" s="8">
        <f t="shared" si="35"/>
        <v>68077.975608488588</v>
      </c>
      <c r="AD84" s="8">
        <f t="shared" si="35"/>
        <v>68077.975608488588</v>
      </c>
      <c r="AE84" s="8">
        <f t="shared" si="35"/>
        <v>68077.975608488588</v>
      </c>
      <c r="AF84" s="8">
        <f t="shared" si="35"/>
        <v>68077.975608488588</v>
      </c>
      <c r="AG84" s="8">
        <f t="shared" si="35"/>
        <v>68077.975608488588</v>
      </c>
      <c r="AH84" s="8"/>
      <c r="AI84" s="8"/>
      <c r="AJ84" s="8"/>
      <c r="AK84" s="8"/>
      <c r="AL84" s="8"/>
      <c r="AM84" s="8"/>
      <c r="AN84" s="8"/>
      <c r="AO84" s="8"/>
      <c r="AP84" s="8"/>
      <c r="AQ84" s="8"/>
    </row>
    <row r="85" spans="1:44" hidden="1" outlineLevel="1">
      <c r="A85" t="s">
        <v>75</v>
      </c>
      <c r="Y85" s="8">
        <f>+Y$16</f>
        <v>71023.563861388873</v>
      </c>
      <c r="Z85" s="8">
        <f>+Y85</f>
        <v>71023.563861388873</v>
      </c>
      <c r="AA85" s="8">
        <f t="shared" si="35"/>
        <v>71023.563861388873</v>
      </c>
      <c r="AB85" s="8">
        <f t="shared" si="35"/>
        <v>71023.563861388873</v>
      </c>
      <c r="AC85" s="8">
        <f t="shared" si="35"/>
        <v>71023.563861388873</v>
      </c>
      <c r="AD85" s="8">
        <f t="shared" si="35"/>
        <v>71023.563861388873</v>
      </c>
      <c r="AE85" s="8">
        <f t="shared" si="35"/>
        <v>71023.563861388873</v>
      </c>
      <c r="AF85" s="8">
        <f t="shared" si="35"/>
        <v>71023.563861388873</v>
      </c>
      <c r="AG85" s="8">
        <f t="shared" si="35"/>
        <v>71023.563861388873</v>
      </c>
      <c r="AH85" s="8"/>
      <c r="AI85" s="8"/>
      <c r="AJ85" s="8"/>
      <c r="AK85" s="8"/>
      <c r="AL85" s="8"/>
      <c r="AM85" s="8"/>
      <c r="AN85" s="8"/>
      <c r="AO85" s="8"/>
      <c r="AP85" s="8"/>
      <c r="AQ85" s="8"/>
      <c r="AR85" s="8"/>
    </row>
    <row r="86" spans="1:44" hidden="1" outlineLevel="1">
      <c r="A86" t="s">
        <v>76</v>
      </c>
      <c r="Y86" s="8"/>
      <c r="Z86" s="8">
        <f>+Z$16</f>
        <v>73119.695658605793</v>
      </c>
      <c r="AA86" s="8">
        <f>+Z86</f>
        <v>73119.695658605793</v>
      </c>
      <c r="AB86" s="8">
        <f t="shared" si="35"/>
        <v>73119.695658605793</v>
      </c>
      <c r="AC86" s="8">
        <f t="shared" si="35"/>
        <v>73119.695658605793</v>
      </c>
      <c r="AD86" s="8">
        <f t="shared" si="35"/>
        <v>73119.695658605793</v>
      </c>
      <c r="AE86" s="8">
        <f t="shared" si="35"/>
        <v>73119.695658605793</v>
      </c>
      <c r="AF86" s="8">
        <f t="shared" si="35"/>
        <v>73119.695658605793</v>
      </c>
      <c r="AG86" s="8">
        <f t="shared" si="35"/>
        <v>73119.695658605793</v>
      </c>
      <c r="AH86" s="8"/>
      <c r="AI86" s="8"/>
      <c r="AJ86" s="8"/>
      <c r="AK86" s="8"/>
      <c r="AL86" s="8"/>
      <c r="AM86" s="8"/>
      <c r="AN86" s="8"/>
      <c r="AO86" s="8"/>
      <c r="AP86" s="8"/>
      <c r="AQ86" s="8"/>
      <c r="AR86" s="8"/>
    </row>
    <row r="87" spans="1:44" hidden="1" outlineLevel="1">
      <c r="A87" t="s">
        <v>77</v>
      </c>
      <c r="Y87" s="8"/>
      <c r="Z87" s="8"/>
      <c r="AA87" s="8">
        <f>+AA$16</f>
        <v>74045.653892616203</v>
      </c>
      <c r="AB87" s="8">
        <f>+AA87</f>
        <v>74045.653892616203</v>
      </c>
      <c r="AC87" s="8">
        <f t="shared" si="35"/>
        <v>74045.653892616203</v>
      </c>
      <c r="AD87" s="8">
        <f t="shared" si="35"/>
        <v>74045.653892616203</v>
      </c>
      <c r="AE87" s="8">
        <f t="shared" si="35"/>
        <v>74045.653892616203</v>
      </c>
      <c r="AF87" s="8">
        <f t="shared" si="35"/>
        <v>74045.653892616203</v>
      </c>
      <c r="AG87" s="8">
        <f t="shared" si="35"/>
        <v>74045.653892616203</v>
      </c>
      <c r="AH87" s="8"/>
      <c r="AI87" s="8"/>
      <c r="AJ87" s="8"/>
      <c r="AK87" s="8"/>
      <c r="AL87" s="8"/>
      <c r="AM87" s="8"/>
      <c r="AN87" s="8"/>
      <c r="AO87" s="8"/>
      <c r="AP87" s="8"/>
      <c r="AQ87" s="8"/>
      <c r="AR87" s="8"/>
    </row>
    <row r="88" spans="1:44" hidden="1" outlineLevel="1">
      <c r="A88" t="s">
        <v>78</v>
      </c>
      <c r="Y88" s="8"/>
      <c r="Z88" s="8"/>
      <c r="AA88" s="8"/>
      <c r="AB88" s="8">
        <f>+AB$16</f>
        <v>79520.88459474509</v>
      </c>
      <c r="AC88" s="8">
        <f>+AB88</f>
        <v>79520.88459474509</v>
      </c>
      <c r="AD88" s="8">
        <f t="shared" si="35"/>
        <v>79520.88459474509</v>
      </c>
      <c r="AE88" s="8">
        <f t="shared" si="35"/>
        <v>79520.88459474509</v>
      </c>
      <c r="AF88" s="8">
        <f t="shared" si="35"/>
        <v>79520.88459474509</v>
      </c>
      <c r="AG88" s="8">
        <f t="shared" si="35"/>
        <v>79520.88459474509</v>
      </c>
      <c r="AH88" s="8"/>
      <c r="AI88" s="8"/>
      <c r="AJ88" s="8"/>
      <c r="AK88" s="8"/>
      <c r="AL88" s="8"/>
      <c r="AM88" s="8"/>
      <c r="AN88" s="8"/>
      <c r="AO88" s="8"/>
      <c r="AP88" s="8"/>
      <c r="AQ88" s="8"/>
      <c r="AR88" s="8"/>
    </row>
    <row r="89" spans="1:44" hidden="1" outlineLevel="1">
      <c r="A89" t="s">
        <v>79</v>
      </c>
      <c r="Y89" s="8"/>
      <c r="Z89" s="8"/>
      <c r="AA89" s="8"/>
      <c r="AB89" s="8"/>
      <c r="AC89" s="8">
        <f>+AC$16</f>
        <v>84845.073340175499</v>
      </c>
      <c r="AD89" s="8">
        <f>+AC89</f>
        <v>84845.073340175499</v>
      </c>
      <c r="AE89" s="8">
        <f t="shared" si="35"/>
        <v>84845.073340175499</v>
      </c>
      <c r="AF89" s="8">
        <f t="shared" si="35"/>
        <v>84845.073340175499</v>
      </c>
      <c r="AG89" s="8">
        <f t="shared" si="35"/>
        <v>84845.073340175499</v>
      </c>
      <c r="AH89" s="8"/>
      <c r="AI89" s="8"/>
      <c r="AJ89" s="8"/>
      <c r="AK89" s="8"/>
      <c r="AL89" s="8"/>
      <c r="AM89" s="8"/>
      <c r="AN89" s="8"/>
      <c r="AO89" s="8"/>
      <c r="AP89" s="8"/>
      <c r="AQ89" s="8"/>
      <c r="AR89" s="8"/>
    </row>
    <row r="90" spans="1:44" hidden="1" outlineLevel="1">
      <c r="A90" t="s">
        <v>80</v>
      </c>
      <c r="Y90" s="8"/>
      <c r="Z90" s="8"/>
      <c r="AA90" s="8"/>
      <c r="AB90" s="8"/>
      <c r="AC90" s="8"/>
      <c r="AD90" s="8">
        <f>+AD$16</f>
        <v>98017.501043149314</v>
      </c>
      <c r="AE90" s="8">
        <f>+AD90</f>
        <v>98017.501043149314</v>
      </c>
      <c r="AF90" s="8">
        <f t="shared" si="35"/>
        <v>98017.501043149314</v>
      </c>
      <c r="AG90" s="8">
        <f t="shared" si="35"/>
        <v>98017.501043149314</v>
      </c>
      <c r="AH90" s="8"/>
      <c r="AI90" s="8"/>
      <c r="AJ90" s="8"/>
      <c r="AK90" s="8"/>
      <c r="AL90" s="8"/>
      <c r="AM90" s="8"/>
      <c r="AN90" s="8"/>
      <c r="AO90" s="8"/>
      <c r="AP90" s="8"/>
      <c r="AQ90" s="8"/>
      <c r="AR90" s="8"/>
    </row>
    <row r="91" spans="1:44" hidden="1" outlineLevel="1">
      <c r="A91" t="s">
        <v>81</v>
      </c>
      <c r="Y91" s="8"/>
      <c r="Z91" s="8"/>
      <c r="AA91" s="8"/>
      <c r="AB91" s="8"/>
      <c r="AC91" s="8"/>
      <c r="AD91" s="8"/>
      <c r="AE91" s="8">
        <f>+AE$16</f>
        <v>113181.39123613737</v>
      </c>
      <c r="AF91" s="8">
        <f>+AE91</f>
        <v>113181.39123613737</v>
      </c>
      <c r="AG91" s="8">
        <f t="shared" si="35"/>
        <v>113181.39123613737</v>
      </c>
      <c r="AH91" s="8"/>
      <c r="AI91" s="8"/>
      <c r="AJ91" s="8"/>
      <c r="AK91" s="8"/>
      <c r="AL91" s="8"/>
      <c r="AM91" s="8"/>
      <c r="AN91" s="8"/>
      <c r="AO91" s="8"/>
      <c r="AP91" s="8"/>
      <c r="AQ91" s="8"/>
      <c r="AR91" s="8"/>
    </row>
    <row r="92" spans="1:44" hidden="1" outlineLevel="1">
      <c r="A92" t="s">
        <v>82</v>
      </c>
      <c r="Y92" s="8"/>
      <c r="Z92" s="8"/>
      <c r="AA92" s="8"/>
      <c r="AB92" s="8"/>
      <c r="AC92" s="8"/>
      <c r="AD92" s="8"/>
      <c r="AE92" s="8"/>
      <c r="AF92" s="8">
        <f>+AF$16</f>
        <v>130636.00923435167</v>
      </c>
      <c r="AG92" s="8">
        <f>+AF92</f>
        <v>130636.00923435167</v>
      </c>
      <c r="AH92" s="8"/>
      <c r="AI92" s="8"/>
      <c r="AJ92" s="8"/>
      <c r="AK92" s="8"/>
      <c r="AL92" s="8"/>
      <c r="AM92" s="8"/>
      <c r="AN92" s="8"/>
      <c r="AO92" s="8"/>
      <c r="AP92" s="8"/>
      <c r="AQ92" s="8"/>
      <c r="AR92" s="8"/>
    </row>
    <row r="93" spans="1:44" hidden="1" outlineLevel="1">
      <c r="A93" t="s">
        <v>83</v>
      </c>
      <c r="Y93" s="8"/>
      <c r="Z93" s="8"/>
      <c r="AA93" s="8"/>
      <c r="AB93" s="8"/>
      <c r="AC93" s="8"/>
      <c r="AD93" s="8"/>
      <c r="AE93" s="8"/>
      <c r="AF93" s="8"/>
      <c r="AG93" s="8">
        <f>+AG$16</f>
        <v>150725.52925824592</v>
      </c>
      <c r="AH93" s="8"/>
      <c r="AI93" s="8"/>
      <c r="AJ93" s="8"/>
      <c r="AK93" s="8"/>
      <c r="AL93" s="8"/>
      <c r="AM93" s="8"/>
      <c r="AN93" s="8"/>
      <c r="AO93" s="8"/>
      <c r="AP93" s="8"/>
      <c r="AQ93" s="8"/>
      <c r="AR93" s="8"/>
    </row>
    <row r="94" spans="1:44" hidden="1" outlineLevel="1">
      <c r="A94" t="s">
        <v>764</v>
      </c>
      <c r="Y94" s="8"/>
      <c r="Z94" s="8"/>
      <c r="AA94" s="8"/>
      <c r="AB94" s="8"/>
      <c r="AC94" s="8"/>
      <c r="AD94" s="8"/>
      <c r="AE94" s="8"/>
      <c r="AF94" s="8"/>
      <c r="AG94" s="8"/>
      <c r="AH94" s="8"/>
      <c r="AI94" s="8"/>
      <c r="AJ94" s="8"/>
      <c r="AK94" s="8"/>
      <c r="AL94" s="8"/>
      <c r="AM94" s="8"/>
      <c r="AN94" s="8"/>
      <c r="AO94" s="8"/>
      <c r="AP94" s="8"/>
      <c r="AQ94" s="8"/>
      <c r="AR94" s="8"/>
    </row>
    <row r="95" spans="1:44" hidden="1" outlineLevel="1"/>
    <row r="96" spans="1:44" ht="10.5" hidden="1" outlineLevel="1">
      <c r="A96" s="45" t="s">
        <v>775</v>
      </c>
    </row>
    <row r="97" spans="1:38" hidden="1" outlineLevel="1">
      <c r="A97" t="str">
        <f>+A64</f>
        <v>FY07 and prior</v>
      </c>
      <c r="D97" s="8">
        <f>+SUM($C19:D19)</f>
        <v>1873.2</v>
      </c>
      <c r="E97" s="8">
        <f>+SUM($C19:E19)</f>
        <v>3746.4</v>
      </c>
      <c r="F97" s="8">
        <f>+SUM($C19:F19)</f>
        <v>5619.6</v>
      </c>
      <c r="G97" s="8">
        <f>+SUM($C19:G19)</f>
        <v>7492.8</v>
      </c>
      <c r="H97" s="8">
        <f>+SUM($C19:H19)</f>
        <v>9366</v>
      </c>
      <c r="I97" s="8">
        <f>+SUM($C19:I19)</f>
        <v>9366</v>
      </c>
      <c r="J97" s="8">
        <f>+SUM($C19:J19)</f>
        <v>9366</v>
      </c>
      <c r="K97" s="8">
        <f>+SUM($C19:K19)</f>
        <v>9366</v>
      </c>
      <c r="L97" s="8">
        <f>+SUM($C19:L19)</f>
        <v>9366</v>
      </c>
      <c r="M97" s="8">
        <f>+SUM($C19:M19)</f>
        <v>9366</v>
      </c>
      <c r="N97" s="8">
        <f>+SUM($C19:N19)</f>
        <v>9366</v>
      </c>
      <c r="O97" s="8">
        <f>+SUM($C19:O19)</f>
        <v>9366</v>
      </c>
      <c r="P97" s="8">
        <f>+SUM($C19:P19)</f>
        <v>9366</v>
      </c>
      <c r="Q97" s="8">
        <f>+SUM($C19:Q19)</f>
        <v>9366</v>
      </c>
      <c r="R97" s="8">
        <f>+SUM($C19:R19)</f>
        <v>9366</v>
      </c>
      <c r="S97" s="8">
        <f>+SUM($C19:S19)</f>
        <v>9366</v>
      </c>
      <c r="T97" s="8">
        <f>+SUM($C19:T19)</f>
        <v>9366</v>
      </c>
      <c r="U97" s="8">
        <f>+SUM($C19:U19)</f>
        <v>9366</v>
      </c>
      <c r="V97" s="8">
        <f>+SUM($C19:V19)</f>
        <v>9366</v>
      </c>
      <c r="W97" s="8">
        <f>+SUM($C19:W19)</f>
        <v>9366</v>
      </c>
      <c r="X97" s="8">
        <f>+SUM($C19:X19)</f>
        <v>9366</v>
      </c>
      <c r="Y97" s="8">
        <f>+SUM($C19:Y19)</f>
        <v>9366</v>
      </c>
      <c r="Z97" s="8">
        <f>+SUM($C19:Z19)</f>
        <v>9366</v>
      </c>
      <c r="AA97" s="8">
        <f>+SUM($C19:AA19)</f>
        <v>9366</v>
      </c>
      <c r="AB97" s="8">
        <f>+SUM($C19:AB19)</f>
        <v>9366</v>
      </c>
      <c r="AC97" s="8">
        <f>+SUM($C19:AC19)</f>
        <v>9366</v>
      </c>
      <c r="AD97" s="8">
        <f>+SUM($C19:AD19)</f>
        <v>9366</v>
      </c>
      <c r="AE97" s="8">
        <f>+SUM($C19:AE19)</f>
        <v>9366</v>
      </c>
      <c r="AF97" s="8">
        <f>+SUM($C19:AF19)</f>
        <v>9366</v>
      </c>
      <c r="AG97" s="8">
        <f>+SUM($C19:AG19)</f>
        <v>9366</v>
      </c>
    </row>
    <row r="98" spans="1:38" hidden="1" outlineLevel="1">
      <c r="A98" t="s">
        <v>249</v>
      </c>
      <c r="E98" s="8">
        <f>+SUM($C20:E20)</f>
        <v>635.6</v>
      </c>
      <c r="F98" s="8">
        <f>+SUM($C20:F20)</f>
        <v>1271.2</v>
      </c>
      <c r="G98" s="8">
        <f>+SUM($C20:G20)</f>
        <v>1906.8000000000002</v>
      </c>
      <c r="H98" s="8">
        <f>+SUM($C20:H20)</f>
        <v>2542.4</v>
      </c>
      <c r="I98" s="8">
        <f>+SUM($C20:I20)</f>
        <v>3178</v>
      </c>
      <c r="J98" s="8">
        <f>+SUM($C20:J20)</f>
        <v>3178</v>
      </c>
      <c r="K98" s="8">
        <f>+SUM($C20:K20)</f>
        <v>3178</v>
      </c>
      <c r="L98" s="8">
        <f>+SUM($C20:L20)</f>
        <v>3178</v>
      </c>
      <c r="M98" s="8">
        <f>+SUM($C20:M20)</f>
        <v>3178</v>
      </c>
      <c r="N98" s="8">
        <f>+SUM($C20:N20)</f>
        <v>3178</v>
      </c>
      <c r="O98" s="8">
        <f>+SUM($C20:O20)</f>
        <v>3178</v>
      </c>
      <c r="P98" s="8">
        <f>+SUM($C20:P20)</f>
        <v>3178</v>
      </c>
      <c r="Q98" s="8">
        <f>+SUM($C20:Q20)</f>
        <v>3178</v>
      </c>
      <c r="R98" s="8">
        <f>+SUM($C20:R20)</f>
        <v>3178</v>
      </c>
      <c r="S98" s="8">
        <f>+SUM($C20:S20)</f>
        <v>3178</v>
      </c>
      <c r="T98" s="8">
        <f>+SUM($C20:T20)</f>
        <v>3178</v>
      </c>
      <c r="U98" s="8">
        <f>+SUM($C20:U20)</f>
        <v>3178</v>
      </c>
      <c r="V98" s="8">
        <f>+SUM($C20:V20)</f>
        <v>3178</v>
      </c>
      <c r="W98" s="8">
        <f>+SUM($C20:W20)</f>
        <v>3178</v>
      </c>
      <c r="X98" s="8">
        <f>+SUM($C20:X20)</f>
        <v>3178</v>
      </c>
      <c r="Y98" s="8">
        <f>+SUM($C20:Y20)</f>
        <v>3178</v>
      </c>
      <c r="Z98" s="8">
        <f>+SUM($C20:Z20)</f>
        <v>3178</v>
      </c>
      <c r="AA98" s="8">
        <f>+SUM($C20:AA20)</f>
        <v>3178</v>
      </c>
      <c r="AB98" s="8">
        <f>+SUM($C20:AB20)</f>
        <v>3178</v>
      </c>
      <c r="AC98" s="8">
        <f>+SUM($C20:AC20)</f>
        <v>3178</v>
      </c>
      <c r="AD98" s="8">
        <f>+SUM($C20:AD20)</f>
        <v>3178</v>
      </c>
      <c r="AE98" s="8">
        <f>+SUM($C20:AE20)</f>
        <v>3178</v>
      </c>
      <c r="AF98" s="8">
        <f>+SUM($C20:AF20)</f>
        <v>3178</v>
      </c>
      <c r="AG98" s="8">
        <f>+SUM($C20:AG20)</f>
        <v>3178</v>
      </c>
    </row>
    <row r="99" spans="1:38" hidden="1" outlineLevel="1">
      <c r="A99" t="s">
        <v>250</v>
      </c>
      <c r="F99" s="8">
        <f>+SUM($C21:F21)</f>
        <v>507.6</v>
      </c>
      <c r="G99" s="8">
        <f>+SUM($C21:G21)</f>
        <v>1015.2</v>
      </c>
      <c r="H99" s="8">
        <f>+SUM($C21:H21)</f>
        <v>1522.8000000000002</v>
      </c>
      <c r="I99" s="8">
        <f>+SUM($C21:I21)</f>
        <v>2030.4</v>
      </c>
      <c r="J99" s="8">
        <f>+SUM($C21:J21)</f>
        <v>2538</v>
      </c>
      <c r="K99" s="8">
        <f>+SUM($C21:K21)</f>
        <v>2538</v>
      </c>
      <c r="L99" s="8">
        <f>+SUM($C21:L21)</f>
        <v>2538</v>
      </c>
      <c r="M99" s="8">
        <f>+SUM($C21:M21)</f>
        <v>2538</v>
      </c>
      <c r="N99" s="8">
        <f>+SUM($C21:N21)</f>
        <v>2538</v>
      </c>
      <c r="O99" s="8">
        <f>+SUM($C21:O21)</f>
        <v>2538</v>
      </c>
      <c r="P99" s="8">
        <f>+SUM($C21:P21)</f>
        <v>2538</v>
      </c>
      <c r="Q99" s="8">
        <f>+SUM($C21:Q21)</f>
        <v>2538</v>
      </c>
      <c r="R99" s="8">
        <f>+SUM($C21:R21)</f>
        <v>2538</v>
      </c>
      <c r="S99" s="8">
        <f>+SUM($C21:S21)</f>
        <v>2538</v>
      </c>
      <c r="T99" s="8">
        <f>+SUM($C21:T21)</f>
        <v>2538</v>
      </c>
      <c r="U99" s="8">
        <f>+SUM($C21:U21)</f>
        <v>2538</v>
      </c>
      <c r="V99" s="8">
        <f>+SUM($C21:V21)</f>
        <v>2538</v>
      </c>
      <c r="W99" s="8">
        <f>+SUM($C21:W21)</f>
        <v>2538</v>
      </c>
      <c r="X99" s="8">
        <f>+SUM($C21:X21)</f>
        <v>2538</v>
      </c>
      <c r="Y99" s="8">
        <f>+SUM($C21:Y21)</f>
        <v>2538</v>
      </c>
      <c r="Z99" s="8">
        <f>+SUM($C21:Z21)</f>
        <v>2538</v>
      </c>
      <c r="AA99" s="8">
        <f>+SUM($C21:AA21)</f>
        <v>2538</v>
      </c>
      <c r="AB99" s="8">
        <f>+SUM($C21:AB21)</f>
        <v>2538</v>
      </c>
      <c r="AC99" s="8">
        <f>+SUM($C21:AC21)</f>
        <v>2538</v>
      </c>
      <c r="AD99" s="8">
        <f>+SUM($C21:AD21)</f>
        <v>2538</v>
      </c>
      <c r="AE99" s="8">
        <f>+SUM($C21:AE21)</f>
        <v>2538</v>
      </c>
      <c r="AF99" s="8">
        <f>+SUM($C21:AF21)</f>
        <v>2538</v>
      </c>
      <c r="AG99" s="8">
        <f>+SUM($C21:AG21)</f>
        <v>2538</v>
      </c>
    </row>
    <row r="100" spans="1:38" hidden="1" outlineLevel="1">
      <c r="A100" t="s">
        <v>251</v>
      </c>
      <c r="G100" s="8">
        <f>+SUM($C22:G22)</f>
        <v>235.4</v>
      </c>
      <c r="H100" s="8">
        <f>+SUM($C22:H22)</f>
        <v>470.8</v>
      </c>
      <c r="I100" s="8">
        <f>+SUM($C22:I22)</f>
        <v>706.2</v>
      </c>
      <c r="J100" s="8">
        <f>+SUM($C22:J22)</f>
        <v>941.6</v>
      </c>
      <c r="K100" s="8">
        <f>+SUM($C22:K22)</f>
        <v>1177</v>
      </c>
      <c r="L100" s="8">
        <f>+SUM($C22:L22)</f>
        <v>1177</v>
      </c>
      <c r="M100" s="8">
        <f>+SUM($C22:M22)</f>
        <v>1177</v>
      </c>
      <c r="N100" s="8">
        <f>+SUM($C22:N22)</f>
        <v>1177</v>
      </c>
      <c r="O100" s="8">
        <f>+SUM($C22:O22)</f>
        <v>1177</v>
      </c>
      <c r="P100" s="8">
        <f>+SUM($C22:P22)</f>
        <v>1177</v>
      </c>
      <c r="Q100" s="8">
        <f>+SUM($C22:Q22)</f>
        <v>1177</v>
      </c>
      <c r="R100" s="8">
        <f>+SUM($C22:R22)</f>
        <v>1177</v>
      </c>
      <c r="S100" s="8">
        <f>+SUM($C22:S22)</f>
        <v>1177</v>
      </c>
      <c r="T100" s="8">
        <f>+SUM($C22:T22)</f>
        <v>1177</v>
      </c>
      <c r="U100" s="8">
        <f>+SUM($C22:U22)</f>
        <v>1177</v>
      </c>
      <c r="V100" s="8">
        <f>+SUM($C22:V22)</f>
        <v>1177</v>
      </c>
      <c r="W100" s="8">
        <f>+SUM($C22:W22)</f>
        <v>1177</v>
      </c>
      <c r="X100" s="8">
        <f>+SUM($C22:X22)</f>
        <v>1177</v>
      </c>
      <c r="Y100" s="8">
        <f>+SUM($C22:Y22)</f>
        <v>1177</v>
      </c>
      <c r="Z100" s="8">
        <f>+SUM($C22:Z22)</f>
        <v>1177</v>
      </c>
      <c r="AA100" s="8">
        <f>+SUM($C22:AA22)</f>
        <v>1177</v>
      </c>
      <c r="AB100" s="8">
        <f>+SUM($C22:AB22)</f>
        <v>1177</v>
      </c>
      <c r="AC100" s="8">
        <f>+SUM($C22:AC22)</f>
        <v>1177</v>
      </c>
      <c r="AD100" s="8">
        <f>+SUM($C22:AD22)</f>
        <v>1177</v>
      </c>
      <c r="AE100" s="8">
        <f>+SUM($C22:AE22)</f>
        <v>1177</v>
      </c>
      <c r="AF100" s="8">
        <f>+SUM($C22:AF22)</f>
        <v>1177</v>
      </c>
      <c r="AG100" s="8">
        <f>+SUM($C22:AG22)</f>
        <v>1177</v>
      </c>
    </row>
    <row r="101" spans="1:38" hidden="1" outlineLevel="1">
      <c r="A101" t="s">
        <v>252</v>
      </c>
      <c r="H101" s="8">
        <f>+SUM($C23:H23)</f>
        <v>346.4</v>
      </c>
      <c r="I101" s="8">
        <f>+SUM($C23:I23)</f>
        <v>692.8</v>
      </c>
      <c r="J101" s="8">
        <f>+SUM($C23:J23)</f>
        <v>1039.1999999999998</v>
      </c>
      <c r="K101" s="8">
        <f>+SUM($C23:K23)</f>
        <v>1385.6</v>
      </c>
      <c r="L101" s="8">
        <f>+SUM($C23:L23)</f>
        <v>1732</v>
      </c>
      <c r="M101" s="8">
        <f>+SUM($C23:M23)</f>
        <v>1732</v>
      </c>
      <c r="N101" s="8">
        <f>+SUM($C23:N23)</f>
        <v>1732</v>
      </c>
      <c r="O101" s="8">
        <f>+SUM($C23:O23)</f>
        <v>1732</v>
      </c>
      <c r="P101" s="8">
        <f>+SUM($C23:P23)</f>
        <v>1732</v>
      </c>
      <c r="Q101" s="8">
        <f>+SUM($C23:Q23)</f>
        <v>1732</v>
      </c>
      <c r="R101" s="8">
        <f>+SUM($C23:R23)</f>
        <v>1732</v>
      </c>
      <c r="S101" s="8">
        <f>+SUM($C23:S23)</f>
        <v>1732</v>
      </c>
      <c r="T101" s="8">
        <f>+SUM($C23:T23)</f>
        <v>1732</v>
      </c>
      <c r="U101" s="8">
        <f>+SUM($C23:U23)</f>
        <v>1732</v>
      </c>
      <c r="V101" s="8">
        <f>+SUM($C23:V23)</f>
        <v>1732</v>
      </c>
      <c r="W101" s="8">
        <f>+SUM($C23:W23)</f>
        <v>1732</v>
      </c>
      <c r="X101" s="8">
        <f>+SUM($C23:X23)</f>
        <v>1732</v>
      </c>
      <c r="Y101" s="8">
        <f>+SUM($C23:Y23)</f>
        <v>1732</v>
      </c>
      <c r="Z101" s="8">
        <f>+SUM($C23:Z23)</f>
        <v>1732</v>
      </c>
      <c r="AA101" s="8">
        <f>+SUM($C23:AA23)</f>
        <v>1732</v>
      </c>
      <c r="AB101" s="8">
        <f>+SUM($C23:AB23)</f>
        <v>1732</v>
      </c>
      <c r="AC101" s="8">
        <f>+SUM($C23:AC23)</f>
        <v>1732</v>
      </c>
      <c r="AD101" s="8">
        <f>+SUM($C23:AD23)</f>
        <v>1732</v>
      </c>
      <c r="AE101" s="8">
        <f>+SUM($C23:AE23)</f>
        <v>1732</v>
      </c>
      <c r="AF101" s="8">
        <f>+SUM($C23:AF23)</f>
        <v>1732</v>
      </c>
      <c r="AG101" s="8">
        <f>+SUM($C23:AG23)</f>
        <v>1732</v>
      </c>
    </row>
    <row r="102" spans="1:38" hidden="1" outlineLevel="1">
      <c r="A102" t="s">
        <v>253</v>
      </c>
      <c r="I102" s="8">
        <f>+SUM($C24:I24)</f>
        <v>248</v>
      </c>
      <c r="J102" s="8">
        <f>+SUM($C24:J24)</f>
        <v>496</v>
      </c>
      <c r="K102" s="8">
        <f>+SUM($C24:K24)</f>
        <v>744</v>
      </c>
      <c r="L102" s="8">
        <f>+SUM($C24:L24)</f>
        <v>992</v>
      </c>
      <c r="M102" s="8">
        <f>+SUM($C24:M24)</f>
        <v>1240</v>
      </c>
      <c r="N102" s="8">
        <f>+SUM($C24:N24)</f>
        <v>1240</v>
      </c>
      <c r="O102" s="8">
        <f>+SUM($C24:O24)</f>
        <v>1240</v>
      </c>
      <c r="P102" s="8">
        <f>+SUM($C24:P24)</f>
        <v>1240</v>
      </c>
      <c r="Q102" s="8">
        <f>+SUM($C24:Q24)</f>
        <v>1240</v>
      </c>
      <c r="R102" s="8">
        <f>+SUM($C24:R24)</f>
        <v>1240</v>
      </c>
      <c r="S102" s="8">
        <f>+SUM($C24:S24)</f>
        <v>1240</v>
      </c>
      <c r="T102" s="8">
        <f>+SUM($C24:T24)</f>
        <v>1240</v>
      </c>
      <c r="U102" s="8">
        <f>+SUM($C24:U24)</f>
        <v>1240</v>
      </c>
      <c r="V102" s="8">
        <f>+SUM($C24:V24)</f>
        <v>1240</v>
      </c>
      <c r="W102" s="8">
        <f>+SUM($C24:W24)</f>
        <v>1240</v>
      </c>
      <c r="X102" s="8">
        <f>+SUM($C24:X24)</f>
        <v>1240</v>
      </c>
      <c r="Y102" s="8">
        <f>+SUM($C24:Y24)</f>
        <v>1240</v>
      </c>
      <c r="Z102" s="8">
        <f>+SUM($C24:Z24)</f>
        <v>1240</v>
      </c>
      <c r="AA102" s="8">
        <f>+SUM($C24:AA24)</f>
        <v>1240</v>
      </c>
      <c r="AB102" s="8">
        <f>+SUM($C24:AB24)</f>
        <v>1240</v>
      </c>
      <c r="AC102" s="8">
        <f>+SUM($C24:AC24)</f>
        <v>1240</v>
      </c>
      <c r="AD102" s="8">
        <f>+SUM($C24:AD24)</f>
        <v>1240</v>
      </c>
      <c r="AE102" s="8">
        <f>+SUM($C24:AE24)</f>
        <v>1240</v>
      </c>
      <c r="AF102" s="8">
        <f>+SUM($C24:AF24)</f>
        <v>1240</v>
      </c>
      <c r="AG102" s="8">
        <f>+SUM($C24:AG24)</f>
        <v>1240</v>
      </c>
    </row>
    <row r="103" spans="1:38" hidden="1" outlineLevel="1">
      <c r="A103" t="s">
        <v>254</v>
      </c>
      <c r="J103" s="8">
        <f>+SUM($C25:J25)</f>
        <v>654.6</v>
      </c>
      <c r="K103" s="8">
        <f>+SUM($C25:K25)</f>
        <v>1309.2</v>
      </c>
      <c r="L103" s="8">
        <f>+SUM($C25:L25)</f>
        <v>1963.8000000000002</v>
      </c>
      <c r="M103" s="8">
        <f>+SUM($C25:M25)</f>
        <v>2618.4</v>
      </c>
      <c r="N103" s="8">
        <f>+SUM($C25:N25)</f>
        <v>3273</v>
      </c>
      <c r="O103" s="8">
        <f>+SUM($C25:O25)</f>
        <v>3273</v>
      </c>
      <c r="P103" s="8">
        <f>+SUM($C25:P25)</f>
        <v>3273</v>
      </c>
      <c r="Q103" s="8">
        <f>+SUM($C25:Q25)</f>
        <v>3273</v>
      </c>
      <c r="R103" s="8">
        <f>+SUM($C25:R25)</f>
        <v>3273</v>
      </c>
      <c r="S103" s="8">
        <f>+SUM($C25:S25)</f>
        <v>3273</v>
      </c>
      <c r="T103" s="8">
        <f>+SUM($C25:T25)</f>
        <v>3273</v>
      </c>
      <c r="U103" s="8">
        <f>+SUM($C25:U25)</f>
        <v>3273</v>
      </c>
      <c r="V103" s="8">
        <f>+SUM($C25:V25)</f>
        <v>3273</v>
      </c>
      <c r="W103" s="8">
        <f>+SUM($C25:W25)</f>
        <v>3273</v>
      </c>
      <c r="X103" s="8">
        <f>+SUM($C25:X25)</f>
        <v>3273</v>
      </c>
      <c r="Y103" s="8">
        <f>+SUM($C25:Y25)</f>
        <v>3273</v>
      </c>
      <c r="Z103" s="8">
        <f>+SUM($C25:Z25)</f>
        <v>3273</v>
      </c>
      <c r="AA103" s="8">
        <f>+SUM($C25:AA25)</f>
        <v>3273</v>
      </c>
      <c r="AB103" s="8">
        <f>+SUM($C25:AB25)</f>
        <v>3273</v>
      </c>
      <c r="AC103" s="8">
        <f>+SUM($C25:AC25)</f>
        <v>3273</v>
      </c>
      <c r="AD103" s="8">
        <f>+SUM($C25:AD25)</f>
        <v>3273</v>
      </c>
      <c r="AE103" s="8">
        <f>+SUM($C25:AE25)</f>
        <v>3273</v>
      </c>
      <c r="AF103" s="8">
        <f>+SUM($C25:AF25)</f>
        <v>3273</v>
      </c>
      <c r="AG103" s="8">
        <f>+SUM($C25:AG25)</f>
        <v>3273</v>
      </c>
    </row>
    <row r="104" spans="1:38" hidden="1" outlineLevel="1">
      <c r="A104" t="s">
        <v>255</v>
      </c>
      <c r="K104" s="8">
        <f>+SUM($C26:K26)</f>
        <v>1060</v>
      </c>
      <c r="L104" s="8">
        <f>+SUM($C26:L26)</f>
        <v>2120</v>
      </c>
      <c r="M104" s="8">
        <f>+SUM($C26:M26)</f>
        <v>3180</v>
      </c>
      <c r="N104" s="8">
        <f>+SUM($C26:N26)</f>
        <v>4240</v>
      </c>
      <c r="O104" s="8">
        <f>+SUM($C26:O26)</f>
        <v>5300</v>
      </c>
      <c r="P104" s="8">
        <f>+SUM($C26:P26)</f>
        <v>5300</v>
      </c>
      <c r="Q104" s="8">
        <f>+SUM($C26:Q26)</f>
        <v>5300</v>
      </c>
      <c r="R104" s="8">
        <f>+SUM($C26:R26)</f>
        <v>5300</v>
      </c>
      <c r="S104" s="8">
        <f>+SUM($C26:S26)</f>
        <v>5300</v>
      </c>
      <c r="T104" s="8">
        <f>+SUM($C26:T26)</f>
        <v>5300</v>
      </c>
      <c r="U104" s="8">
        <f>+SUM($C26:U26)</f>
        <v>5300</v>
      </c>
      <c r="V104" s="8">
        <f>+SUM($C26:V26)</f>
        <v>5300</v>
      </c>
      <c r="W104" s="8">
        <f>+SUM($C26:W26)</f>
        <v>5300</v>
      </c>
      <c r="X104" s="8">
        <f>+SUM($C26:X26)</f>
        <v>5300</v>
      </c>
      <c r="Y104" s="8">
        <f>+SUM($C26:Y26)</f>
        <v>5300</v>
      </c>
      <c r="Z104" s="8">
        <f>+SUM($C26:Z26)</f>
        <v>5300</v>
      </c>
      <c r="AA104" s="8">
        <f>+SUM($C26:AA26)</f>
        <v>5300</v>
      </c>
      <c r="AB104" s="8">
        <f>+SUM($C26:AB26)</f>
        <v>5300</v>
      </c>
      <c r="AC104" s="8">
        <f>+SUM($C26:AC26)</f>
        <v>5300</v>
      </c>
      <c r="AD104" s="8">
        <f>+SUM($C26:AD26)</f>
        <v>5300</v>
      </c>
      <c r="AE104" s="8">
        <f>+SUM($C26:AE26)</f>
        <v>5300</v>
      </c>
      <c r="AF104" s="8">
        <f>+SUM($C26:AF26)</f>
        <v>5300</v>
      </c>
      <c r="AG104" s="8">
        <f>+SUM($C26:AG26)</f>
        <v>5300</v>
      </c>
    </row>
    <row r="105" spans="1:38" hidden="1" outlineLevel="1">
      <c r="A105" t="s">
        <v>256</v>
      </c>
      <c r="L105" s="8">
        <f>+SUM($C27:L27)</f>
        <v>906.6</v>
      </c>
      <c r="M105" s="8">
        <f>+SUM($C27:M27)</f>
        <v>1813.2</v>
      </c>
      <c r="N105" s="8">
        <f>+SUM($C27:N27)</f>
        <v>2719.8</v>
      </c>
      <c r="O105" s="8">
        <f>+SUM($C27:O27)</f>
        <v>3626.4</v>
      </c>
      <c r="P105" s="8">
        <f>+SUM($C27:P27)</f>
        <v>4533</v>
      </c>
      <c r="Q105" s="8">
        <f>+SUM($C27:Q27)</f>
        <v>4533</v>
      </c>
      <c r="R105" s="8">
        <f>+SUM($C27:R27)</f>
        <v>4533</v>
      </c>
      <c r="S105" s="8">
        <f>+SUM($C27:S27)</f>
        <v>4533</v>
      </c>
      <c r="T105" s="8">
        <f>+SUM($C27:T27)</f>
        <v>4533</v>
      </c>
      <c r="U105" s="8">
        <f>+SUM($C27:U27)</f>
        <v>4533</v>
      </c>
      <c r="V105" s="8">
        <f>+SUM($C27:V27)</f>
        <v>4533</v>
      </c>
      <c r="W105" s="8">
        <f>+SUM($C27:W27)</f>
        <v>4533</v>
      </c>
      <c r="X105" s="8">
        <f>+SUM($C27:X27)</f>
        <v>4533</v>
      </c>
      <c r="Y105" s="8">
        <f>+SUM($C27:Y27)</f>
        <v>4533</v>
      </c>
      <c r="Z105" s="8">
        <f>+SUM($C27:Z27)</f>
        <v>4533</v>
      </c>
      <c r="AA105" s="8">
        <f>+SUM($C27:AA27)</f>
        <v>4533</v>
      </c>
      <c r="AB105" s="8">
        <f>+SUM($C27:AB27)</f>
        <v>4533</v>
      </c>
      <c r="AC105" s="8">
        <f>+SUM($C27:AC27)</f>
        <v>4533</v>
      </c>
      <c r="AD105" s="8">
        <f>+SUM($C27:AD27)</f>
        <v>4533</v>
      </c>
      <c r="AE105" s="8">
        <f>+SUM($C27:AE27)</f>
        <v>4533</v>
      </c>
      <c r="AF105" s="8">
        <f>+SUM($C27:AF27)</f>
        <v>4533</v>
      </c>
      <c r="AG105" s="8">
        <f>+SUM($C27:AG27)</f>
        <v>4533</v>
      </c>
    </row>
    <row r="106" spans="1:38" hidden="1" outlineLevel="1">
      <c r="A106" t="s">
        <v>257</v>
      </c>
      <c r="M106" s="8">
        <f>+SUM($C28:M28)</f>
        <v>1163.8</v>
      </c>
      <c r="N106" s="8">
        <f>+SUM($C28:N28)</f>
        <v>2327.6</v>
      </c>
      <c r="O106" s="8">
        <f>+SUM($C28:O28)</f>
        <v>3491.3999999999996</v>
      </c>
      <c r="P106" s="8">
        <f>+SUM($C28:P28)</f>
        <v>4655.2</v>
      </c>
      <c r="Q106" s="8">
        <f>+SUM($C28:Q28)</f>
        <v>5819</v>
      </c>
      <c r="R106" s="8">
        <f>+SUM($C28:R28)</f>
        <v>5819</v>
      </c>
      <c r="S106" s="8">
        <f>+SUM($C28:S28)</f>
        <v>5819</v>
      </c>
      <c r="T106" s="8">
        <f>+SUM($C28:T28)</f>
        <v>5819</v>
      </c>
      <c r="U106" s="8">
        <f>+SUM($C28:U28)</f>
        <v>5819</v>
      </c>
      <c r="V106" s="8">
        <f>+SUM($C28:V28)</f>
        <v>5819</v>
      </c>
      <c r="W106" s="8">
        <f>+SUM($C28:W28)</f>
        <v>5819</v>
      </c>
      <c r="X106" s="8">
        <f>+SUM($C28:X28)</f>
        <v>5819</v>
      </c>
      <c r="Y106" s="8">
        <f>+SUM($C28:Y28)</f>
        <v>5819</v>
      </c>
      <c r="Z106" s="8">
        <f>+SUM($C28:Z28)</f>
        <v>5819</v>
      </c>
      <c r="AA106" s="8">
        <f>+SUM($C28:AA28)</f>
        <v>5819</v>
      </c>
      <c r="AB106" s="8">
        <f>+SUM($C28:AB28)</f>
        <v>5819</v>
      </c>
      <c r="AC106" s="8">
        <f>+SUM($C28:AC28)</f>
        <v>5819</v>
      </c>
      <c r="AD106" s="8">
        <f>+SUM($C28:AD28)</f>
        <v>5819</v>
      </c>
      <c r="AE106" s="8">
        <f>+SUM($C28:AE28)</f>
        <v>5819</v>
      </c>
      <c r="AF106" s="8">
        <f>+SUM($C28:AF28)</f>
        <v>5819</v>
      </c>
      <c r="AG106" s="8">
        <f>+SUM($C28:AG28)</f>
        <v>5819</v>
      </c>
    </row>
    <row r="107" spans="1:38" hidden="1" outlineLevel="1">
      <c r="A107" t="s">
        <v>258</v>
      </c>
      <c r="N107" s="8">
        <f>+SUM($C29:N29)</f>
        <v>1951.4</v>
      </c>
      <c r="O107" s="8">
        <f>+SUM($C29:O29)</f>
        <v>3902.8</v>
      </c>
      <c r="P107" s="8">
        <f>+SUM($C29:P29)</f>
        <v>5854.2000000000007</v>
      </c>
      <c r="Q107" s="8">
        <f>+SUM($C29:Q29)</f>
        <v>7805.6</v>
      </c>
      <c r="R107" s="8">
        <f>+SUM($C29:R29)</f>
        <v>9106.5333333333328</v>
      </c>
      <c r="S107" s="8">
        <f>+SUM($C29:S29)</f>
        <v>9757</v>
      </c>
      <c r="T107" s="8">
        <f>+SUM($C29:T29)</f>
        <v>9757</v>
      </c>
      <c r="U107" s="8">
        <f>+SUM($C29:U29)</f>
        <v>9757</v>
      </c>
      <c r="V107" s="8">
        <f>+SUM($C29:V29)</f>
        <v>9757</v>
      </c>
      <c r="W107" s="8">
        <f>+SUM($C29:W29)</f>
        <v>9757</v>
      </c>
      <c r="X107" s="8">
        <f>+SUM($C29:X29)</f>
        <v>9757</v>
      </c>
      <c r="Y107" s="8">
        <f>+SUM($C29:Y29)</f>
        <v>9757</v>
      </c>
      <c r="Z107" s="8">
        <f>+SUM($C29:Z29)</f>
        <v>9757</v>
      </c>
      <c r="AA107" s="8">
        <f>+SUM($C29:AA29)</f>
        <v>9757</v>
      </c>
      <c r="AB107" s="8">
        <f>+SUM($C29:AB29)</f>
        <v>9757</v>
      </c>
      <c r="AC107" s="8">
        <f>+SUM($C29:AC29)</f>
        <v>9757</v>
      </c>
      <c r="AD107" s="8">
        <f>+SUM($C29:AD29)</f>
        <v>9757</v>
      </c>
      <c r="AE107" s="8">
        <f>+SUM($C29:AE29)</f>
        <v>9757</v>
      </c>
      <c r="AF107" s="8">
        <f>+SUM($C29:AF29)</f>
        <v>9757</v>
      </c>
      <c r="AG107" s="8">
        <f>+SUM($C29:AG29)</f>
        <v>9757</v>
      </c>
    </row>
    <row r="108" spans="1:38" hidden="1" outlineLevel="1">
      <c r="A108" t="s">
        <v>259</v>
      </c>
      <c r="O108" s="8">
        <f>+SUM($C30:O30)</f>
        <v>2154</v>
      </c>
      <c r="P108" s="8">
        <f>+SUM($C30:P30)</f>
        <v>4308</v>
      </c>
      <c r="Q108" s="8">
        <f>+SUM($C30:Q30)</f>
        <v>6462</v>
      </c>
      <c r="R108" s="8">
        <f>+SUM($C30:R30)</f>
        <v>7898</v>
      </c>
      <c r="S108" s="8">
        <f>+SUM($C30:S30)</f>
        <v>9334</v>
      </c>
      <c r="T108" s="8">
        <f>+SUM($C30:T30)</f>
        <v>10467.684210526317</v>
      </c>
      <c r="U108" s="8">
        <f>+SUM($C30:U30)</f>
        <v>10770</v>
      </c>
      <c r="V108" s="8">
        <f>+SUM($C30:V30)</f>
        <v>10770</v>
      </c>
      <c r="W108" s="8">
        <f>+SUM($C30:W30)</f>
        <v>10770</v>
      </c>
      <c r="X108" s="8">
        <f>+SUM($C30:X30)</f>
        <v>10770</v>
      </c>
      <c r="Y108" s="8">
        <f>+SUM($C30:Y30)</f>
        <v>10770</v>
      </c>
      <c r="Z108" s="8">
        <f>+SUM($C30:Z30)</f>
        <v>10770</v>
      </c>
      <c r="AA108" s="8">
        <f>+SUM($C30:AA30)</f>
        <v>10770</v>
      </c>
      <c r="AB108" s="8">
        <f>+SUM($C30:AB30)</f>
        <v>10770</v>
      </c>
      <c r="AC108" s="8">
        <f>+SUM($C30:AC30)</f>
        <v>10770</v>
      </c>
      <c r="AD108" s="8">
        <f>+SUM($C30:AD30)</f>
        <v>10770</v>
      </c>
      <c r="AE108" s="8">
        <f>+SUM($C30:AE30)</f>
        <v>10770</v>
      </c>
      <c r="AF108" s="8">
        <f>+SUM($C30:AF30)</f>
        <v>10770</v>
      </c>
      <c r="AG108" s="8">
        <f>+SUM($C30:AG30)</f>
        <v>10770</v>
      </c>
      <c r="AH108" s="8"/>
    </row>
    <row r="109" spans="1:38" hidden="1" outlineLevel="1">
      <c r="A109" t="s">
        <v>260</v>
      </c>
      <c r="P109" s="8">
        <f>+SUM($C31:P31)</f>
        <v>2624.8</v>
      </c>
      <c r="Q109" s="8">
        <f>+SUM($C31:Q31)</f>
        <v>5249.6</v>
      </c>
      <c r="R109" s="8">
        <f>+SUM($C31:R31)</f>
        <v>6999.4666666666672</v>
      </c>
      <c r="S109" s="8">
        <f>+SUM($C31:S31)</f>
        <v>8749.3333333333339</v>
      </c>
      <c r="T109" s="8">
        <f>+SUM($C31:T31)</f>
        <v>10130.807017543861</v>
      </c>
      <c r="U109" s="8">
        <f>+SUM($C31:U31)</f>
        <v>11512.280701754387</v>
      </c>
      <c r="V109" s="8">
        <f>+SUM($C31:V31)</f>
        <v>12893.754385964914</v>
      </c>
      <c r="W109" s="8">
        <f>+SUM($C31:W31)</f>
        <v>13124</v>
      </c>
      <c r="X109" s="8">
        <f>+SUM($C31:X31)</f>
        <v>13124</v>
      </c>
      <c r="Y109" s="8">
        <f>+SUM($C31:Y31)</f>
        <v>13124</v>
      </c>
      <c r="Z109" s="8">
        <f>+SUM($C31:Z31)</f>
        <v>13124</v>
      </c>
      <c r="AA109" s="8">
        <f>+SUM($C31:AA31)</f>
        <v>13124</v>
      </c>
      <c r="AB109" s="8">
        <f>+SUM($C31:AB31)</f>
        <v>13124</v>
      </c>
      <c r="AC109" s="8">
        <f>+SUM($C31:AC31)</f>
        <v>13124</v>
      </c>
      <c r="AD109" s="8">
        <f>+SUM($C31:AD31)</f>
        <v>13124</v>
      </c>
      <c r="AE109" s="8">
        <f>+SUM($C31:AE31)</f>
        <v>13124</v>
      </c>
      <c r="AF109" s="8">
        <f>+SUM($C31:AF31)</f>
        <v>13124</v>
      </c>
      <c r="AG109" s="8">
        <f>+SUM($C31:AG31)</f>
        <v>13124</v>
      </c>
      <c r="AH109" s="8"/>
      <c r="AI109" s="8"/>
    </row>
    <row r="110" spans="1:38" hidden="1" outlineLevel="1">
      <c r="A110" t="s">
        <v>261</v>
      </c>
      <c r="Q110" s="8">
        <f>+SUM($C32:Q32)</f>
        <v>3108.2</v>
      </c>
      <c r="R110" s="8">
        <f>+SUM($C32:R32)</f>
        <v>5180.333333333333</v>
      </c>
      <c r="S110" s="8">
        <f>+SUM($C32:S32)</f>
        <v>7252.4666666666662</v>
      </c>
      <c r="T110" s="8">
        <f>+SUM($C32:T32)</f>
        <v>8888.3614035087721</v>
      </c>
      <c r="U110" s="8">
        <f>+SUM($C32:U32)</f>
        <v>10524.256140350877</v>
      </c>
      <c r="V110" s="8">
        <f>+SUM($C32:V32)</f>
        <v>12160.150877192982</v>
      </c>
      <c r="W110" s="8">
        <f>+SUM($C32:W32)</f>
        <v>13796.045614035087</v>
      </c>
      <c r="X110" s="8">
        <f>+SUM($C32:X32)</f>
        <v>15431.940350877192</v>
      </c>
      <c r="Y110" s="8">
        <f>+SUM($C32:Y32)</f>
        <v>15541</v>
      </c>
      <c r="Z110" s="8">
        <f>+SUM($C32:Z32)</f>
        <v>15541</v>
      </c>
      <c r="AA110" s="8">
        <f>+SUM($C32:AA32)</f>
        <v>15541</v>
      </c>
      <c r="AB110" s="8">
        <f>+SUM($C32:AB32)</f>
        <v>15541</v>
      </c>
      <c r="AC110" s="8">
        <f>+SUM($C32:AC32)</f>
        <v>15541</v>
      </c>
      <c r="AD110" s="8">
        <f>+SUM($C32:AD32)</f>
        <v>15541</v>
      </c>
      <c r="AE110" s="8">
        <f>+SUM($C32:AE32)</f>
        <v>15541</v>
      </c>
      <c r="AF110" s="8">
        <f>+SUM($C32:AF32)</f>
        <v>15541</v>
      </c>
      <c r="AG110" s="8">
        <f>+SUM($C32:AG32)</f>
        <v>15541</v>
      </c>
      <c r="AH110" s="8"/>
      <c r="AI110" s="8"/>
      <c r="AJ110" s="8"/>
    </row>
    <row r="111" spans="1:38" hidden="1" outlineLevel="1">
      <c r="A111" t="s">
        <v>262</v>
      </c>
      <c r="R111" s="8">
        <f>+SUM($C33:R33)</f>
        <v>3162.4</v>
      </c>
      <c r="S111" s="8">
        <f>+SUM($C33:S33)</f>
        <v>6324.8</v>
      </c>
      <c r="T111" s="8">
        <f>+SUM($C33:T33)</f>
        <v>8821.4315789473694</v>
      </c>
      <c r="U111" s="8">
        <f>+SUM($C33:U33)</f>
        <v>11318.063157894738</v>
      </c>
      <c r="V111" s="8">
        <f>+SUM($C33:V33)</f>
        <v>13814.694736842106</v>
      </c>
      <c r="W111" s="8">
        <f>+SUM($C33:W33)</f>
        <v>16311.326315789474</v>
      </c>
      <c r="X111" s="8">
        <f>+SUM($C33:X33)</f>
        <v>18807.957894736843</v>
      </c>
      <c r="Y111" s="8">
        <f>+SUM($C33:Y33)</f>
        <v>21304.589473684209</v>
      </c>
      <c r="Z111" s="8">
        <f>+SUM($C33:Z33)</f>
        <v>23718</v>
      </c>
      <c r="AA111" s="8">
        <f>+SUM($C33:AA33)</f>
        <v>23718</v>
      </c>
      <c r="AB111" s="8">
        <f>+SUM($C33:AB33)</f>
        <v>23718</v>
      </c>
      <c r="AC111" s="8">
        <f>+SUM($C33:AC33)</f>
        <v>23718</v>
      </c>
      <c r="AD111" s="8">
        <f>+SUM($C33:AD33)</f>
        <v>23718</v>
      </c>
      <c r="AE111" s="8">
        <f>+SUM($C33:AE33)</f>
        <v>23718</v>
      </c>
      <c r="AF111" s="8">
        <f>+SUM($C33:AF33)</f>
        <v>23718</v>
      </c>
      <c r="AG111" s="8">
        <f>+SUM($C33:AG33)</f>
        <v>23718</v>
      </c>
      <c r="AH111" s="8"/>
      <c r="AI111" s="8"/>
      <c r="AJ111" s="8"/>
      <c r="AK111" s="8"/>
    </row>
    <row r="112" spans="1:38" hidden="1" outlineLevel="1">
      <c r="A112" t="s">
        <v>109</v>
      </c>
      <c r="S112" s="8">
        <f>+SUM($C34:S34)</f>
        <v>3065.6</v>
      </c>
      <c r="T112" s="8">
        <f>+SUM($C34:T34)</f>
        <v>5485.8105263157895</v>
      </c>
      <c r="U112" s="8">
        <f>+SUM($C34:U34)</f>
        <v>7906.0210526315786</v>
      </c>
      <c r="V112" s="8">
        <f>+SUM($C34:V34)</f>
        <v>10326.231578947369</v>
      </c>
      <c r="W112" s="8">
        <f>+SUM($C34:W34)</f>
        <v>12746.442105263159</v>
      </c>
      <c r="X112" s="8">
        <f>+SUM($C34:X34)</f>
        <v>15166.652631578949</v>
      </c>
      <c r="Y112" s="8">
        <f>+SUM($C34:Y34)</f>
        <v>17586.863157894739</v>
      </c>
      <c r="Z112" s="8">
        <f>+SUM($C34:Z34)</f>
        <v>20007.073684210529</v>
      </c>
      <c r="AA112" s="8">
        <f>+SUM($C34:AA34)</f>
        <v>22427.284210526319</v>
      </c>
      <c r="AB112" s="8">
        <f>+SUM($C34:AB34)</f>
        <v>22992</v>
      </c>
      <c r="AC112" s="8">
        <f>+SUM($C34:AC34)</f>
        <v>22992</v>
      </c>
      <c r="AD112" s="8">
        <f>+SUM($C34:AD34)</f>
        <v>22992</v>
      </c>
      <c r="AE112" s="8">
        <f>+SUM($C34:AE34)</f>
        <v>22992</v>
      </c>
      <c r="AF112" s="8">
        <f>+SUM($C34:AF34)</f>
        <v>22992</v>
      </c>
      <c r="AG112" s="8">
        <f>+SUM($C34:AG34)</f>
        <v>22992</v>
      </c>
      <c r="AH112" s="8"/>
      <c r="AI112" s="8"/>
      <c r="AJ112" s="8"/>
      <c r="AK112" s="8"/>
      <c r="AL112" s="8"/>
    </row>
    <row r="113" spans="1:44" hidden="1" outlineLevel="1">
      <c r="A113" t="s">
        <v>191</v>
      </c>
      <c r="T113" s="8">
        <f>+SUM($C35:T35)</f>
        <v>3140.4210526315787</v>
      </c>
      <c r="U113" s="8">
        <f>+SUM($C35:U35)</f>
        <v>6280.8421052631575</v>
      </c>
      <c r="V113" s="8">
        <f>+SUM($C35:V35)</f>
        <v>9421.2631578947367</v>
      </c>
      <c r="W113" s="8">
        <f>+SUM($C35:W35)</f>
        <v>12561.684210526315</v>
      </c>
      <c r="X113" s="8">
        <f>+SUM($C35:X35)</f>
        <v>15702.105263157893</v>
      </c>
      <c r="Y113" s="8">
        <f>+SUM($C35:Y35)</f>
        <v>18842.526315789473</v>
      </c>
      <c r="Z113" s="8">
        <f>+SUM($C35:Z35)</f>
        <v>21982.947368421053</v>
      </c>
      <c r="AA113" s="8">
        <f>+SUM($C35:AA35)</f>
        <v>25123.368421052633</v>
      </c>
      <c r="AB113" s="8">
        <f>+SUM($C35:AB35)</f>
        <v>28263.789473684214</v>
      </c>
      <c r="AC113" s="8">
        <f>+SUM($C35:AC35)</f>
        <v>29834</v>
      </c>
      <c r="AD113" s="8">
        <f>+SUM($C35:AD35)</f>
        <v>29834</v>
      </c>
      <c r="AE113" s="8">
        <f>+SUM($C35:AE35)</f>
        <v>29834</v>
      </c>
      <c r="AF113" s="8">
        <f>+SUM($C35:AF35)</f>
        <v>29834</v>
      </c>
      <c r="AG113" s="8">
        <f>+SUM($C35:AG35)</f>
        <v>29834</v>
      </c>
      <c r="AH113" s="8"/>
      <c r="AI113" s="8"/>
      <c r="AJ113" s="8"/>
      <c r="AK113" s="8"/>
      <c r="AL113" s="8"/>
      <c r="AM113" s="8"/>
    </row>
    <row r="114" spans="1:44" hidden="1" outlineLevel="1">
      <c r="A114" t="s">
        <v>192</v>
      </c>
      <c r="V114" s="8">
        <f>+SUM($C36:V36)</f>
        <v>10130.526315789473</v>
      </c>
      <c r="W114" s="8">
        <f>+SUM($C36:W36)</f>
        <v>15195.78947368421</v>
      </c>
      <c r="X114" s="8">
        <f>+SUM($C36:X36)</f>
        <v>20261.052631578947</v>
      </c>
      <c r="Y114" s="8">
        <f>+SUM($C36:Y36)</f>
        <v>25326.315789473683</v>
      </c>
      <c r="Z114" s="8">
        <f>+SUM($C36:Z36)</f>
        <v>30391.57894736842</v>
      </c>
      <c r="AA114" s="8">
        <f>+SUM($C36:AA36)</f>
        <v>35456.84210526316</v>
      </c>
      <c r="AB114" s="8">
        <f>+SUM($C36:AB36)</f>
        <v>40522.105263157893</v>
      </c>
      <c r="AC114" s="8">
        <f>+SUM($C36:AC36)</f>
        <v>45587.368421052626</v>
      </c>
      <c r="AD114" s="8">
        <f>+SUM($C36:AD36)</f>
        <v>48120</v>
      </c>
      <c r="AE114" s="8">
        <f>+SUM($C36:AE36)</f>
        <v>48120</v>
      </c>
      <c r="AF114" s="8">
        <f>+SUM($C36:AF36)</f>
        <v>48120</v>
      </c>
      <c r="AG114" s="8">
        <f>+SUM($C36:AG36)</f>
        <v>48120</v>
      </c>
      <c r="AH114" s="8"/>
      <c r="AI114" s="8"/>
      <c r="AJ114" s="8"/>
      <c r="AK114" s="8"/>
      <c r="AL114" s="8"/>
      <c r="AM114" s="8"/>
      <c r="AN114" s="8"/>
    </row>
    <row r="115" spans="1:44" hidden="1" outlineLevel="1">
      <c r="A115" t="s">
        <v>72</v>
      </c>
      <c r="V115" s="8">
        <f>+SUM($C37:V37)</f>
        <v>7938.9473684210525</v>
      </c>
      <c r="W115" s="8">
        <f>+SUM($C37:W37)</f>
        <v>15877.894736842105</v>
      </c>
      <c r="X115" s="8">
        <f>+SUM($C37:X37)</f>
        <v>23816.842105263157</v>
      </c>
      <c r="Y115" s="8">
        <f>+SUM($C37:Y37)</f>
        <v>31755.78947368421</v>
      </c>
      <c r="Z115" s="8">
        <f>+SUM($C37:Z37)</f>
        <v>39694.73684210526</v>
      </c>
      <c r="AA115" s="8">
        <f>+SUM($C37:AA37)</f>
        <v>47633.684210526313</v>
      </c>
      <c r="AB115" s="8">
        <f>+SUM($C37:AB37)</f>
        <v>55572.631578947367</v>
      </c>
      <c r="AC115" s="8">
        <f>+SUM($C37:AC37)</f>
        <v>63511.57894736842</v>
      </c>
      <c r="AD115" s="8">
        <f>+SUM($C37:AD37)</f>
        <v>71450.526315789466</v>
      </c>
      <c r="AE115" s="8">
        <f>+SUM($C37:AE37)</f>
        <v>75420</v>
      </c>
      <c r="AF115" s="8">
        <f>+SUM($C37:AF37)</f>
        <v>75420</v>
      </c>
      <c r="AG115" s="8">
        <f>+SUM($C37:AG37)</f>
        <v>75420</v>
      </c>
      <c r="AH115" s="8"/>
      <c r="AI115" s="8"/>
      <c r="AJ115" s="8"/>
      <c r="AK115" s="8"/>
      <c r="AL115" s="8"/>
      <c r="AM115" s="8"/>
      <c r="AN115" s="8"/>
      <c r="AO115" s="8"/>
    </row>
    <row r="116" spans="1:44" hidden="1" outlineLevel="1">
      <c r="A116" t="s">
        <v>73</v>
      </c>
      <c r="W116" s="8">
        <f>+SUM($C38:W38)</f>
        <v>6793.6931712438718</v>
      </c>
      <c r="X116" s="8">
        <f>+SUM($C38:X38)</f>
        <v>13587.386342487744</v>
      </c>
      <c r="Y116" s="8">
        <f>+SUM($C38:Y38)</f>
        <v>20381.079513731616</v>
      </c>
      <c r="Z116" s="8">
        <f>+SUM($C38:Z38)</f>
        <v>27174.772684975487</v>
      </c>
      <c r="AA116" s="8">
        <f>+SUM($C38:AA38)</f>
        <v>33968.465856219358</v>
      </c>
      <c r="AB116" s="8">
        <f>+SUM($C38:AB38)</f>
        <v>40762.159027463233</v>
      </c>
      <c r="AC116" s="8">
        <f>+SUM($C38:AC38)</f>
        <v>47555.852198707107</v>
      </c>
      <c r="AD116" s="8">
        <f>+SUM($C38:AD38)</f>
        <v>54349.545369950982</v>
      </c>
      <c r="AE116" s="8">
        <f>+SUM($C38:AE38)</f>
        <v>61143.238541194856</v>
      </c>
      <c r="AF116" s="8">
        <f>+SUM($C38:AF38)</f>
        <v>64540.085126816783</v>
      </c>
      <c r="AG116" s="8">
        <f>+SUM($C38:AG38)</f>
        <v>64540.085126816783</v>
      </c>
      <c r="AH116" s="8"/>
      <c r="AI116" s="8"/>
      <c r="AJ116" s="8"/>
      <c r="AK116" s="8"/>
      <c r="AL116" s="8"/>
      <c r="AM116" s="8"/>
      <c r="AN116" s="8"/>
      <c r="AO116" s="8"/>
      <c r="AP116" s="8"/>
    </row>
    <row r="117" spans="1:44" hidden="1" outlineLevel="1">
      <c r="A117" t="s">
        <v>74</v>
      </c>
      <c r="X117" s="8">
        <f>+SUM($C39:X39)</f>
        <v>7166.1026956303776</v>
      </c>
      <c r="Y117" s="8">
        <f>+SUM($C39:Y39)</f>
        <v>14332.205391260755</v>
      </c>
      <c r="Z117" s="8">
        <f>+SUM($C39:Z39)</f>
        <v>21498.308086891135</v>
      </c>
      <c r="AA117" s="8">
        <f>+SUM($C39:AA39)</f>
        <v>28664.410782521511</v>
      </c>
      <c r="AB117" s="8">
        <f>+SUM($C39:AB39)</f>
        <v>35830.513478151886</v>
      </c>
      <c r="AC117" s="8">
        <f>+SUM($C39:AC39)</f>
        <v>42996.616173782262</v>
      </c>
      <c r="AD117" s="8">
        <f>+SUM($C39:AD39)</f>
        <v>50162.718869412638</v>
      </c>
      <c r="AE117" s="8">
        <f>+SUM($C39:AE39)</f>
        <v>57328.821565043014</v>
      </c>
      <c r="AF117" s="8">
        <f>+SUM($C39:AF39)</f>
        <v>64494.92426067339</v>
      </c>
      <c r="AG117" s="8">
        <f>+SUM($C39:AG39)</f>
        <v>68077.975608488588</v>
      </c>
      <c r="AH117" s="8"/>
      <c r="AI117" s="8"/>
      <c r="AJ117" s="8"/>
      <c r="AK117" s="8"/>
      <c r="AL117" s="8"/>
      <c r="AM117" s="8"/>
      <c r="AN117" s="8"/>
      <c r="AO117" s="8"/>
      <c r="AP117" s="8"/>
      <c r="AQ117" s="8"/>
    </row>
    <row r="118" spans="1:44" hidden="1" outlineLevel="1">
      <c r="A118" t="s">
        <v>75</v>
      </c>
      <c r="Y118" s="8">
        <f>+SUM($C40:Y40)</f>
        <v>7476.1646169883024</v>
      </c>
      <c r="Z118" s="8">
        <f>+SUM($C40:Z40)</f>
        <v>14952.329233976605</v>
      </c>
      <c r="AA118" s="8">
        <f>+SUM($C40:AA40)</f>
        <v>22428.493850964907</v>
      </c>
      <c r="AB118" s="8">
        <f>+SUM($C40:AB40)</f>
        <v>29904.65846795321</v>
      </c>
      <c r="AC118" s="8">
        <f>+SUM($C40:AC40)</f>
        <v>37380.823084941512</v>
      </c>
      <c r="AD118" s="8">
        <f>+SUM($C40:AD40)</f>
        <v>44856.987701929815</v>
      </c>
      <c r="AE118" s="8">
        <f>+SUM($C40:AE40)</f>
        <v>52333.152318918117</v>
      </c>
      <c r="AF118" s="8">
        <f>+SUM($C40:AF40)</f>
        <v>59809.31693590642</v>
      </c>
      <c r="AG118" s="8">
        <f>+SUM($C40:AG40)</f>
        <v>67285.481552894722</v>
      </c>
      <c r="AH118" s="8"/>
      <c r="AI118" s="8"/>
      <c r="AJ118" s="8"/>
      <c r="AK118" s="8"/>
      <c r="AL118" s="8"/>
      <c r="AM118" s="8"/>
      <c r="AN118" s="8"/>
      <c r="AO118" s="8"/>
      <c r="AP118" s="8"/>
      <c r="AQ118" s="8"/>
      <c r="AR118" s="8"/>
    </row>
    <row r="119" spans="1:44" hidden="1" outlineLevel="1">
      <c r="A119" t="s">
        <v>76</v>
      </c>
      <c r="Y119" s="8"/>
      <c r="Z119" s="8">
        <f>+SUM($C41:Z41)</f>
        <v>7696.8100693269253</v>
      </c>
      <c r="AA119" s="8">
        <f>+SUM($C41:AA41)</f>
        <v>15393.620138653851</v>
      </c>
      <c r="AB119" s="8">
        <f>+SUM($C41:AB41)</f>
        <v>23090.430207980775</v>
      </c>
      <c r="AC119" s="8">
        <f>+SUM($C41:AC41)</f>
        <v>30787.240277307701</v>
      </c>
      <c r="AD119" s="8">
        <f>+SUM($C41:AD41)</f>
        <v>38484.050346634627</v>
      </c>
      <c r="AE119" s="8">
        <f>+SUM($C41:AE41)</f>
        <v>46180.86041596155</v>
      </c>
      <c r="AF119" s="8">
        <f>+SUM($C41:AF41)</f>
        <v>53877.670485288472</v>
      </c>
      <c r="AG119" s="8">
        <f>+SUM($C41:AG41)</f>
        <v>61574.480554615395</v>
      </c>
      <c r="AH119" s="8"/>
      <c r="AI119" s="8"/>
      <c r="AJ119" s="8"/>
      <c r="AK119" s="8"/>
      <c r="AL119" s="8"/>
      <c r="AM119" s="8"/>
      <c r="AN119" s="8"/>
      <c r="AO119" s="8"/>
      <c r="AP119" s="8"/>
      <c r="AQ119" s="8"/>
      <c r="AR119" s="8"/>
    </row>
    <row r="120" spans="1:44" hidden="1" outlineLevel="1">
      <c r="A120" t="s">
        <v>77</v>
      </c>
      <c r="Y120" s="8"/>
      <c r="Z120" s="8"/>
      <c r="AA120" s="8">
        <f>+SUM($C42:AA42)</f>
        <v>7794.2793571174952</v>
      </c>
      <c r="AB120" s="8">
        <f>+SUM($C42:AB42)</f>
        <v>15588.55871423499</v>
      </c>
      <c r="AC120" s="8">
        <f>+SUM($C42:AC42)</f>
        <v>23382.838071352486</v>
      </c>
      <c r="AD120" s="8">
        <f>+SUM($C42:AD42)</f>
        <v>31177.117428469981</v>
      </c>
      <c r="AE120" s="8">
        <f>+SUM($C42:AE42)</f>
        <v>38971.39678558748</v>
      </c>
      <c r="AF120" s="8">
        <f>+SUM($C42:AF42)</f>
        <v>46765.676142704979</v>
      </c>
      <c r="AG120" s="8">
        <f>+SUM($C42:AG42)</f>
        <v>54559.955499822478</v>
      </c>
      <c r="AH120" s="8"/>
      <c r="AI120" s="8"/>
      <c r="AJ120" s="8"/>
      <c r="AK120" s="8"/>
      <c r="AL120" s="8"/>
      <c r="AM120" s="8"/>
      <c r="AN120" s="8"/>
      <c r="AO120" s="8"/>
      <c r="AP120" s="8"/>
      <c r="AQ120" s="8"/>
      <c r="AR120" s="8"/>
    </row>
    <row r="121" spans="1:44" hidden="1" outlineLevel="1">
      <c r="A121" t="s">
        <v>78</v>
      </c>
      <c r="Y121" s="8"/>
      <c r="Z121" s="8"/>
      <c r="AA121" s="8"/>
      <c r="AB121" s="8">
        <f>+SUM($C43:AB43)</f>
        <v>8370.6194310257997</v>
      </c>
      <c r="AC121" s="8">
        <f>+SUM($C43:AC43)</f>
        <v>16741.238862051599</v>
      </c>
      <c r="AD121" s="8">
        <f>+SUM($C43:AD43)</f>
        <v>25111.858293077399</v>
      </c>
      <c r="AE121" s="8">
        <f>+SUM($C43:AE43)</f>
        <v>33482.477724103199</v>
      </c>
      <c r="AF121" s="8">
        <f>+SUM($C43:AF43)</f>
        <v>41853.097155128999</v>
      </c>
      <c r="AG121" s="8">
        <f>+SUM($C43:AG43)</f>
        <v>50223.716586154798</v>
      </c>
      <c r="AH121" s="8"/>
      <c r="AI121" s="8"/>
      <c r="AJ121" s="8"/>
      <c r="AK121" s="8"/>
      <c r="AL121" s="8"/>
      <c r="AM121" s="8"/>
      <c r="AN121" s="8"/>
      <c r="AO121" s="8"/>
      <c r="AP121" s="8"/>
      <c r="AQ121" s="8"/>
      <c r="AR121" s="8"/>
    </row>
    <row r="122" spans="1:44" hidden="1" outlineLevel="1">
      <c r="A122" t="s">
        <v>79</v>
      </c>
      <c r="Y122" s="8"/>
      <c r="Z122" s="8"/>
      <c r="AA122" s="8"/>
      <c r="AB122" s="8"/>
      <c r="AC122" s="8">
        <f>+SUM($C44:AC44)</f>
        <v>8931.0603515974217</v>
      </c>
      <c r="AD122" s="8">
        <f>+SUM($C44:AD44)</f>
        <v>17862.120703194843</v>
      </c>
      <c r="AE122" s="8">
        <f>+SUM($C44:AE44)</f>
        <v>26793.181054792265</v>
      </c>
      <c r="AF122" s="8">
        <f>+SUM($C44:AF44)</f>
        <v>35724.241406389687</v>
      </c>
      <c r="AG122" s="8">
        <f>+SUM($C44:AG44)</f>
        <v>44655.301757987108</v>
      </c>
      <c r="AH122" s="8"/>
      <c r="AI122" s="8"/>
      <c r="AJ122" s="8"/>
      <c r="AK122" s="8"/>
      <c r="AL122" s="8"/>
      <c r="AM122" s="8"/>
      <c r="AN122" s="8"/>
      <c r="AO122" s="8"/>
      <c r="AP122" s="8"/>
      <c r="AQ122" s="8"/>
      <c r="AR122" s="8"/>
    </row>
    <row r="123" spans="1:44" hidden="1" outlineLevel="1">
      <c r="A123" t="s">
        <v>80</v>
      </c>
      <c r="Y123" s="8"/>
      <c r="Z123" s="8"/>
      <c r="AA123" s="8"/>
      <c r="AB123" s="8"/>
      <c r="AC123" s="8"/>
      <c r="AD123" s="8">
        <f>+SUM($C45:AD45)</f>
        <v>10317.631688752559</v>
      </c>
      <c r="AE123" s="8">
        <f>+SUM($C45:AE45)</f>
        <v>20635.263377505118</v>
      </c>
      <c r="AF123" s="8">
        <f>+SUM($C45:AF45)</f>
        <v>30952.895066257675</v>
      </c>
      <c r="AG123" s="8">
        <f>+SUM($C45:AG45)</f>
        <v>41270.526755010236</v>
      </c>
      <c r="AH123" s="8"/>
      <c r="AI123" s="8"/>
      <c r="AJ123" s="8"/>
      <c r="AK123" s="8"/>
      <c r="AL123" s="8"/>
      <c r="AM123" s="8"/>
      <c r="AN123" s="8"/>
      <c r="AO123" s="8"/>
      <c r="AP123" s="8"/>
      <c r="AQ123" s="8"/>
      <c r="AR123" s="8"/>
    </row>
    <row r="124" spans="1:44" hidden="1" outlineLevel="1">
      <c r="A124" t="s">
        <v>81</v>
      </c>
      <c r="Y124" s="8"/>
      <c r="Z124" s="8"/>
      <c r="AA124" s="8"/>
      <c r="AB124" s="8"/>
      <c r="AC124" s="8"/>
      <c r="AD124" s="8"/>
      <c r="AE124" s="8">
        <f>+SUM($C46:AE46)</f>
        <v>11913.830656435512</v>
      </c>
      <c r="AF124" s="8">
        <f>+SUM($C46:AF46)</f>
        <v>23827.661312871023</v>
      </c>
      <c r="AG124" s="8">
        <f>+SUM($C46:AG46)</f>
        <v>35741.491969306531</v>
      </c>
      <c r="AH124" s="8"/>
      <c r="AI124" s="8"/>
      <c r="AJ124" s="8"/>
      <c r="AK124" s="8"/>
      <c r="AL124" s="8"/>
      <c r="AM124" s="8"/>
      <c r="AN124" s="8"/>
      <c r="AO124" s="8"/>
      <c r="AP124" s="8"/>
      <c r="AQ124" s="8"/>
      <c r="AR124" s="8"/>
    </row>
    <row r="125" spans="1:44" hidden="1" outlineLevel="1">
      <c r="A125" t="s">
        <v>82</v>
      </c>
      <c r="Y125" s="8"/>
      <c r="Z125" s="8"/>
      <c r="AA125" s="8"/>
      <c r="AB125" s="8"/>
      <c r="AC125" s="8"/>
      <c r="AD125" s="8"/>
      <c r="AE125" s="8"/>
      <c r="AF125" s="8">
        <f>+SUM($C47:AF47)</f>
        <v>13751.15886677386</v>
      </c>
      <c r="AG125" s="8">
        <f>+SUM($C47:AG47)</f>
        <v>27502.317733547719</v>
      </c>
      <c r="AH125" s="8"/>
      <c r="AI125" s="8"/>
      <c r="AJ125" s="8"/>
      <c r="AK125" s="8"/>
      <c r="AL125" s="8"/>
      <c r="AM125" s="8"/>
      <c r="AN125" s="8"/>
      <c r="AO125" s="8"/>
      <c r="AP125" s="8"/>
      <c r="AQ125" s="8"/>
      <c r="AR125" s="8"/>
    </row>
    <row r="126" spans="1:44" hidden="1" outlineLevel="1">
      <c r="A126" t="s">
        <v>83</v>
      </c>
      <c r="Y126" s="8"/>
      <c r="Z126" s="8"/>
      <c r="AA126" s="8"/>
      <c r="AB126" s="8"/>
      <c r="AC126" s="8"/>
      <c r="AD126" s="8"/>
      <c r="AE126" s="8"/>
      <c r="AF126" s="8"/>
      <c r="AG126" s="8">
        <f>+SUM($C48:AG48)</f>
        <v>15865.845185078519</v>
      </c>
      <c r="AH126" s="8"/>
      <c r="AI126" s="8"/>
      <c r="AJ126" s="8"/>
      <c r="AK126" s="8"/>
      <c r="AL126" s="8"/>
      <c r="AM126" s="8"/>
      <c r="AN126" s="8"/>
      <c r="AO126" s="8"/>
      <c r="AP126" s="8"/>
      <c r="AQ126" s="8"/>
      <c r="AR126" s="8"/>
    </row>
    <row r="127" spans="1:44" hidden="1" outlineLevel="1">
      <c r="A127" t="s">
        <v>764</v>
      </c>
      <c r="Y127" s="8"/>
      <c r="Z127" s="8"/>
      <c r="AA127" s="8"/>
      <c r="AB127" s="8"/>
      <c r="AC127" s="8"/>
      <c r="AD127" s="8"/>
      <c r="AE127" s="8"/>
      <c r="AF127" s="8"/>
      <c r="AG127" s="8"/>
      <c r="AH127" s="8"/>
      <c r="AI127" s="8"/>
      <c r="AJ127" s="8"/>
      <c r="AK127" s="8"/>
      <c r="AL127" s="8"/>
      <c r="AM127" s="8"/>
      <c r="AN127" s="8"/>
      <c r="AO127" s="8"/>
      <c r="AP127" s="8"/>
      <c r="AQ127" s="8"/>
      <c r="AR127" s="8"/>
    </row>
    <row r="128" spans="1:44" hidden="1" outlineLevel="1"/>
    <row r="129" spans="1:37" ht="10.5" hidden="1" outlineLevel="1">
      <c r="A129" s="45" t="s">
        <v>776</v>
      </c>
    </row>
    <row r="130" spans="1:37" hidden="1" outlineLevel="1">
      <c r="A130" t="str">
        <f>+A97</f>
        <v>FY07 and prior</v>
      </c>
      <c r="D130" s="8">
        <f t="shared" ref="D130:AG140" si="36">+D64-D97</f>
        <v>7492.8</v>
      </c>
      <c r="E130" s="8">
        <f t="shared" si="36"/>
        <v>5619.6</v>
      </c>
      <c r="F130" s="8">
        <f t="shared" si="36"/>
        <v>3746.3999999999996</v>
      </c>
      <c r="G130" s="8">
        <f t="shared" si="36"/>
        <v>1873.1999999999998</v>
      </c>
      <c r="H130" s="8">
        <f t="shared" si="36"/>
        <v>0</v>
      </c>
      <c r="I130" s="8">
        <f t="shared" si="36"/>
        <v>0</v>
      </c>
      <c r="J130" s="8">
        <f t="shared" si="36"/>
        <v>0</v>
      </c>
      <c r="K130" s="8">
        <f t="shared" si="36"/>
        <v>0</v>
      </c>
      <c r="L130" s="8">
        <f t="shared" si="36"/>
        <v>0</v>
      </c>
      <c r="M130" s="8">
        <f t="shared" si="36"/>
        <v>0</v>
      </c>
      <c r="N130" s="8">
        <f t="shared" si="36"/>
        <v>0</v>
      </c>
      <c r="O130" s="8">
        <f t="shared" si="36"/>
        <v>0</v>
      </c>
      <c r="P130" s="8">
        <f>+P64-P97</f>
        <v>0</v>
      </c>
      <c r="Q130" s="8">
        <f t="shared" si="36"/>
        <v>0</v>
      </c>
      <c r="R130" s="8">
        <f t="shared" si="36"/>
        <v>0</v>
      </c>
      <c r="S130" s="8">
        <f t="shared" si="36"/>
        <v>0</v>
      </c>
      <c r="T130" s="8">
        <f t="shared" si="36"/>
        <v>0</v>
      </c>
      <c r="U130" s="8">
        <f t="shared" si="36"/>
        <v>0</v>
      </c>
      <c r="V130" s="8">
        <f t="shared" si="36"/>
        <v>0</v>
      </c>
      <c r="W130" s="8">
        <f t="shared" si="36"/>
        <v>0</v>
      </c>
      <c r="X130" s="8">
        <f t="shared" si="36"/>
        <v>0</v>
      </c>
      <c r="Y130" s="8">
        <f t="shared" si="36"/>
        <v>0</v>
      </c>
      <c r="Z130" s="8">
        <f t="shared" si="36"/>
        <v>0</v>
      </c>
      <c r="AA130" s="8">
        <f t="shared" si="36"/>
        <v>0</v>
      </c>
      <c r="AB130" s="8">
        <f t="shared" si="36"/>
        <v>0</v>
      </c>
      <c r="AC130" s="8">
        <f t="shared" si="36"/>
        <v>0</v>
      </c>
      <c r="AD130" s="8">
        <f t="shared" si="36"/>
        <v>0</v>
      </c>
      <c r="AE130" s="8">
        <f t="shared" si="36"/>
        <v>0</v>
      </c>
      <c r="AF130" s="8">
        <f t="shared" si="36"/>
        <v>0</v>
      </c>
      <c r="AG130" s="8">
        <f t="shared" si="36"/>
        <v>0</v>
      </c>
    </row>
    <row r="131" spans="1:37" hidden="1" outlineLevel="1">
      <c r="A131" t="s">
        <v>249</v>
      </c>
      <c r="E131" s="8">
        <f t="shared" si="36"/>
        <v>2542.4</v>
      </c>
      <c r="F131" s="8">
        <f t="shared" si="36"/>
        <v>1906.8</v>
      </c>
      <c r="G131" s="8">
        <f t="shared" si="36"/>
        <v>1271.1999999999998</v>
      </c>
      <c r="H131" s="8">
        <f t="shared" si="36"/>
        <v>635.59999999999991</v>
      </c>
      <c r="I131" s="8">
        <f t="shared" si="36"/>
        <v>0</v>
      </c>
      <c r="J131" s="8">
        <f t="shared" si="36"/>
        <v>0</v>
      </c>
      <c r="K131" s="8">
        <f t="shared" si="36"/>
        <v>0</v>
      </c>
      <c r="L131" s="8">
        <f t="shared" si="36"/>
        <v>0</v>
      </c>
      <c r="M131" s="8">
        <f t="shared" si="36"/>
        <v>0</v>
      </c>
      <c r="N131" s="8">
        <f t="shared" si="36"/>
        <v>0</v>
      </c>
      <c r="O131" s="8">
        <f t="shared" si="36"/>
        <v>0</v>
      </c>
      <c r="P131" s="8">
        <f t="shared" si="36"/>
        <v>0</v>
      </c>
      <c r="Q131" s="8">
        <f t="shared" si="36"/>
        <v>0</v>
      </c>
      <c r="R131" s="8">
        <f t="shared" si="36"/>
        <v>0</v>
      </c>
      <c r="S131" s="8">
        <f t="shared" si="36"/>
        <v>0</v>
      </c>
      <c r="T131" s="8">
        <f t="shared" si="36"/>
        <v>0</v>
      </c>
      <c r="U131" s="8">
        <f t="shared" si="36"/>
        <v>0</v>
      </c>
      <c r="V131" s="8">
        <f t="shared" si="36"/>
        <v>0</v>
      </c>
      <c r="W131" s="8">
        <f t="shared" si="36"/>
        <v>0</v>
      </c>
      <c r="X131" s="8">
        <f t="shared" si="36"/>
        <v>0</v>
      </c>
      <c r="Y131" s="8">
        <f t="shared" si="36"/>
        <v>0</v>
      </c>
      <c r="Z131" s="8">
        <f t="shared" si="36"/>
        <v>0</v>
      </c>
      <c r="AA131" s="8">
        <f t="shared" si="36"/>
        <v>0</v>
      </c>
      <c r="AB131" s="8">
        <f t="shared" si="36"/>
        <v>0</v>
      </c>
      <c r="AC131" s="8">
        <f t="shared" si="36"/>
        <v>0</v>
      </c>
      <c r="AD131" s="8">
        <f t="shared" si="36"/>
        <v>0</v>
      </c>
      <c r="AE131" s="8">
        <f t="shared" si="36"/>
        <v>0</v>
      </c>
      <c r="AF131" s="8">
        <f t="shared" si="36"/>
        <v>0</v>
      </c>
      <c r="AG131" s="8">
        <f t="shared" si="36"/>
        <v>0</v>
      </c>
    </row>
    <row r="132" spans="1:37" hidden="1" outlineLevel="1">
      <c r="A132" t="s">
        <v>250</v>
      </c>
      <c r="F132" s="8">
        <f t="shared" si="36"/>
        <v>2030.4</v>
      </c>
      <c r="G132" s="8">
        <f t="shared" si="36"/>
        <v>1522.8</v>
      </c>
      <c r="H132" s="8">
        <f t="shared" si="36"/>
        <v>1015.1999999999998</v>
      </c>
      <c r="I132" s="8">
        <f t="shared" si="36"/>
        <v>507.59999999999991</v>
      </c>
      <c r="J132" s="8">
        <f t="shared" si="36"/>
        <v>0</v>
      </c>
      <c r="K132" s="8">
        <f t="shared" si="36"/>
        <v>0</v>
      </c>
      <c r="L132" s="8">
        <f t="shared" si="36"/>
        <v>0</v>
      </c>
      <c r="M132" s="8">
        <f t="shared" si="36"/>
        <v>0</v>
      </c>
      <c r="N132" s="8">
        <f t="shared" si="36"/>
        <v>0</v>
      </c>
      <c r="O132" s="8">
        <f t="shared" si="36"/>
        <v>0</v>
      </c>
      <c r="P132" s="8">
        <f t="shared" si="36"/>
        <v>0</v>
      </c>
      <c r="Q132" s="8">
        <f t="shared" si="36"/>
        <v>0</v>
      </c>
      <c r="R132" s="8">
        <f t="shared" si="36"/>
        <v>0</v>
      </c>
      <c r="S132" s="8">
        <f t="shared" si="36"/>
        <v>0</v>
      </c>
      <c r="T132" s="8">
        <f t="shared" si="36"/>
        <v>0</v>
      </c>
      <c r="U132" s="8">
        <f t="shared" si="36"/>
        <v>0</v>
      </c>
      <c r="V132" s="8">
        <f t="shared" si="36"/>
        <v>0</v>
      </c>
      <c r="W132" s="8">
        <f t="shared" si="36"/>
        <v>0</v>
      </c>
      <c r="X132" s="8">
        <f t="shared" si="36"/>
        <v>0</v>
      </c>
      <c r="Y132" s="8">
        <f t="shared" si="36"/>
        <v>0</v>
      </c>
      <c r="Z132" s="8">
        <f t="shared" si="36"/>
        <v>0</v>
      </c>
      <c r="AA132" s="8">
        <f t="shared" si="36"/>
        <v>0</v>
      </c>
      <c r="AB132" s="8">
        <f t="shared" si="36"/>
        <v>0</v>
      </c>
      <c r="AC132" s="8">
        <f t="shared" si="36"/>
        <v>0</v>
      </c>
      <c r="AD132" s="8">
        <f t="shared" si="36"/>
        <v>0</v>
      </c>
      <c r="AE132" s="8">
        <f t="shared" si="36"/>
        <v>0</v>
      </c>
      <c r="AF132" s="8">
        <f t="shared" si="36"/>
        <v>0</v>
      </c>
      <c r="AG132" s="8">
        <f t="shared" si="36"/>
        <v>0</v>
      </c>
    </row>
    <row r="133" spans="1:37" hidden="1" outlineLevel="1">
      <c r="A133" t="s">
        <v>251</v>
      </c>
      <c r="G133" s="8">
        <f t="shared" si="36"/>
        <v>941.6</v>
      </c>
      <c r="H133" s="8">
        <f t="shared" si="36"/>
        <v>706.2</v>
      </c>
      <c r="I133" s="8">
        <f t="shared" si="36"/>
        <v>470.79999999999995</v>
      </c>
      <c r="J133" s="8">
        <f t="shared" si="36"/>
        <v>235.39999999999998</v>
      </c>
      <c r="K133" s="8">
        <f t="shared" si="36"/>
        <v>0</v>
      </c>
      <c r="L133" s="8">
        <f t="shared" si="36"/>
        <v>0</v>
      </c>
      <c r="M133" s="8">
        <f t="shared" si="36"/>
        <v>0</v>
      </c>
      <c r="N133" s="8">
        <f t="shared" si="36"/>
        <v>0</v>
      </c>
      <c r="O133" s="8">
        <f t="shared" si="36"/>
        <v>0</v>
      </c>
      <c r="P133" s="8">
        <f t="shared" si="36"/>
        <v>0</v>
      </c>
      <c r="Q133" s="8">
        <f t="shared" si="36"/>
        <v>0</v>
      </c>
      <c r="R133" s="8">
        <f t="shared" si="36"/>
        <v>0</v>
      </c>
      <c r="S133" s="8">
        <f t="shared" si="36"/>
        <v>0</v>
      </c>
      <c r="T133" s="8">
        <f t="shared" si="36"/>
        <v>0</v>
      </c>
      <c r="U133" s="8">
        <f t="shared" si="36"/>
        <v>0</v>
      </c>
      <c r="V133" s="8">
        <f t="shared" si="36"/>
        <v>0</v>
      </c>
      <c r="W133" s="8">
        <f t="shared" si="36"/>
        <v>0</v>
      </c>
      <c r="X133" s="8">
        <f t="shared" si="36"/>
        <v>0</v>
      </c>
      <c r="Y133" s="8">
        <f t="shared" si="36"/>
        <v>0</v>
      </c>
      <c r="Z133" s="8">
        <f t="shared" si="36"/>
        <v>0</v>
      </c>
      <c r="AA133" s="8">
        <f t="shared" si="36"/>
        <v>0</v>
      </c>
      <c r="AB133" s="8">
        <f t="shared" si="36"/>
        <v>0</v>
      </c>
      <c r="AC133" s="8">
        <f t="shared" si="36"/>
        <v>0</v>
      </c>
      <c r="AD133" s="8">
        <f t="shared" si="36"/>
        <v>0</v>
      </c>
      <c r="AE133" s="8">
        <f t="shared" si="36"/>
        <v>0</v>
      </c>
      <c r="AF133" s="8">
        <f t="shared" si="36"/>
        <v>0</v>
      </c>
      <c r="AG133" s="8">
        <f t="shared" si="36"/>
        <v>0</v>
      </c>
    </row>
    <row r="134" spans="1:37" hidden="1" outlineLevel="1">
      <c r="A134" t="s">
        <v>252</v>
      </c>
      <c r="H134" s="8">
        <f t="shared" si="36"/>
        <v>1385.6</v>
      </c>
      <c r="I134" s="8">
        <f t="shared" si="36"/>
        <v>1039.2</v>
      </c>
      <c r="J134" s="8">
        <f t="shared" si="36"/>
        <v>692.80000000000018</v>
      </c>
      <c r="K134" s="8">
        <f t="shared" si="36"/>
        <v>346.40000000000009</v>
      </c>
      <c r="L134" s="8">
        <f t="shared" si="36"/>
        <v>0</v>
      </c>
      <c r="M134" s="8">
        <f t="shared" si="36"/>
        <v>0</v>
      </c>
      <c r="N134" s="8">
        <f t="shared" si="36"/>
        <v>0</v>
      </c>
      <c r="O134" s="8">
        <f t="shared" si="36"/>
        <v>0</v>
      </c>
      <c r="P134" s="8">
        <f t="shared" si="36"/>
        <v>0</v>
      </c>
      <c r="Q134" s="8">
        <f t="shared" si="36"/>
        <v>0</v>
      </c>
      <c r="R134" s="8">
        <f t="shared" si="36"/>
        <v>0</v>
      </c>
      <c r="S134" s="8">
        <f t="shared" si="36"/>
        <v>0</v>
      </c>
      <c r="T134" s="8">
        <f t="shared" si="36"/>
        <v>0</v>
      </c>
      <c r="U134" s="8">
        <f t="shared" si="36"/>
        <v>0</v>
      </c>
      <c r="V134" s="8">
        <f t="shared" si="36"/>
        <v>0</v>
      </c>
      <c r="W134" s="8">
        <f t="shared" si="36"/>
        <v>0</v>
      </c>
      <c r="X134" s="8">
        <f t="shared" si="36"/>
        <v>0</v>
      </c>
      <c r="Y134" s="8">
        <f t="shared" si="36"/>
        <v>0</v>
      </c>
      <c r="Z134" s="8">
        <f t="shared" si="36"/>
        <v>0</v>
      </c>
      <c r="AA134" s="8">
        <f t="shared" si="36"/>
        <v>0</v>
      </c>
      <c r="AB134" s="8">
        <f t="shared" si="36"/>
        <v>0</v>
      </c>
      <c r="AC134" s="8">
        <f t="shared" si="36"/>
        <v>0</v>
      </c>
      <c r="AD134" s="8">
        <f t="shared" si="36"/>
        <v>0</v>
      </c>
      <c r="AE134" s="8">
        <f t="shared" si="36"/>
        <v>0</v>
      </c>
      <c r="AF134" s="8">
        <f t="shared" si="36"/>
        <v>0</v>
      </c>
      <c r="AG134" s="8">
        <f t="shared" si="36"/>
        <v>0</v>
      </c>
    </row>
    <row r="135" spans="1:37" hidden="1" outlineLevel="1">
      <c r="A135" t="s">
        <v>253</v>
      </c>
      <c r="I135" s="8">
        <f t="shared" si="36"/>
        <v>992</v>
      </c>
      <c r="J135" s="8">
        <f t="shared" si="36"/>
        <v>744</v>
      </c>
      <c r="K135" s="8">
        <f t="shared" si="36"/>
        <v>496</v>
      </c>
      <c r="L135" s="8">
        <f t="shared" si="36"/>
        <v>248</v>
      </c>
      <c r="M135" s="8">
        <f t="shared" si="36"/>
        <v>0</v>
      </c>
      <c r="N135" s="8">
        <f t="shared" si="36"/>
        <v>0</v>
      </c>
      <c r="O135" s="8">
        <f t="shared" si="36"/>
        <v>0</v>
      </c>
      <c r="P135" s="8">
        <f t="shared" si="36"/>
        <v>0</v>
      </c>
      <c r="Q135" s="8">
        <f t="shared" si="36"/>
        <v>0</v>
      </c>
      <c r="R135" s="8">
        <f t="shared" si="36"/>
        <v>0</v>
      </c>
      <c r="S135" s="8">
        <f t="shared" si="36"/>
        <v>0</v>
      </c>
      <c r="T135" s="8">
        <f t="shared" si="36"/>
        <v>0</v>
      </c>
      <c r="U135" s="8">
        <f t="shared" si="36"/>
        <v>0</v>
      </c>
      <c r="V135" s="8">
        <f t="shared" si="36"/>
        <v>0</v>
      </c>
      <c r="W135" s="8">
        <f t="shared" si="36"/>
        <v>0</v>
      </c>
      <c r="X135" s="8">
        <f t="shared" si="36"/>
        <v>0</v>
      </c>
      <c r="Y135" s="8">
        <f t="shared" si="36"/>
        <v>0</v>
      </c>
      <c r="Z135" s="8">
        <f t="shared" si="36"/>
        <v>0</v>
      </c>
      <c r="AA135" s="8">
        <f t="shared" si="36"/>
        <v>0</v>
      </c>
      <c r="AB135" s="8">
        <f t="shared" si="36"/>
        <v>0</v>
      </c>
      <c r="AC135" s="8">
        <f t="shared" si="36"/>
        <v>0</v>
      </c>
      <c r="AD135" s="8">
        <f t="shared" si="36"/>
        <v>0</v>
      </c>
      <c r="AE135" s="8">
        <f t="shared" si="36"/>
        <v>0</v>
      </c>
      <c r="AF135" s="8">
        <f t="shared" si="36"/>
        <v>0</v>
      </c>
      <c r="AG135" s="8">
        <f t="shared" si="36"/>
        <v>0</v>
      </c>
    </row>
    <row r="136" spans="1:37" hidden="1" outlineLevel="1">
      <c r="A136" t="s">
        <v>254</v>
      </c>
      <c r="J136" s="8">
        <f t="shared" si="36"/>
        <v>2618.4</v>
      </c>
      <c r="K136" s="8">
        <f t="shared" si="36"/>
        <v>1963.8</v>
      </c>
      <c r="L136" s="8">
        <f t="shared" si="36"/>
        <v>1309.1999999999998</v>
      </c>
      <c r="M136" s="8">
        <f t="shared" si="36"/>
        <v>654.59999999999991</v>
      </c>
      <c r="N136" s="8">
        <f t="shared" si="36"/>
        <v>0</v>
      </c>
      <c r="O136" s="8">
        <f t="shared" si="36"/>
        <v>0</v>
      </c>
      <c r="P136" s="8">
        <f t="shared" si="36"/>
        <v>0</v>
      </c>
      <c r="Q136" s="8">
        <f t="shared" si="36"/>
        <v>0</v>
      </c>
      <c r="R136" s="8">
        <f t="shared" si="36"/>
        <v>0</v>
      </c>
      <c r="S136" s="8">
        <f t="shared" si="36"/>
        <v>0</v>
      </c>
      <c r="T136" s="8">
        <f t="shared" si="36"/>
        <v>0</v>
      </c>
      <c r="U136" s="8">
        <f t="shared" si="36"/>
        <v>0</v>
      </c>
      <c r="V136" s="8">
        <f t="shared" si="36"/>
        <v>0</v>
      </c>
      <c r="W136" s="8">
        <f t="shared" si="36"/>
        <v>0</v>
      </c>
      <c r="X136" s="8">
        <f t="shared" si="36"/>
        <v>0</v>
      </c>
      <c r="Y136" s="8">
        <f t="shared" si="36"/>
        <v>0</v>
      </c>
      <c r="Z136" s="8">
        <f t="shared" si="36"/>
        <v>0</v>
      </c>
      <c r="AA136" s="8">
        <f t="shared" si="36"/>
        <v>0</v>
      </c>
      <c r="AB136" s="8">
        <f t="shared" si="36"/>
        <v>0</v>
      </c>
      <c r="AC136" s="8">
        <f t="shared" si="36"/>
        <v>0</v>
      </c>
      <c r="AD136" s="8">
        <f t="shared" si="36"/>
        <v>0</v>
      </c>
      <c r="AE136" s="8">
        <f t="shared" si="36"/>
        <v>0</v>
      </c>
      <c r="AF136" s="8">
        <f t="shared" si="36"/>
        <v>0</v>
      </c>
      <c r="AG136" s="8">
        <f t="shared" si="36"/>
        <v>0</v>
      </c>
    </row>
    <row r="137" spans="1:37" hidden="1" outlineLevel="1">
      <c r="A137" t="s">
        <v>255</v>
      </c>
      <c r="K137" s="8">
        <f t="shared" si="36"/>
        <v>4240</v>
      </c>
      <c r="L137" s="8">
        <f t="shared" si="36"/>
        <v>3180</v>
      </c>
      <c r="M137" s="8">
        <f t="shared" si="36"/>
        <v>2120</v>
      </c>
      <c r="N137" s="8">
        <f t="shared" si="36"/>
        <v>1060</v>
      </c>
      <c r="O137" s="8">
        <f t="shared" si="36"/>
        <v>0</v>
      </c>
      <c r="P137" s="8">
        <f t="shared" si="36"/>
        <v>0</v>
      </c>
      <c r="Q137" s="8">
        <f t="shared" si="36"/>
        <v>0</v>
      </c>
      <c r="R137" s="8">
        <f t="shared" si="36"/>
        <v>0</v>
      </c>
      <c r="S137" s="8">
        <f t="shared" si="36"/>
        <v>0</v>
      </c>
      <c r="T137" s="8">
        <f t="shared" si="36"/>
        <v>0</v>
      </c>
      <c r="U137" s="8">
        <f t="shared" si="36"/>
        <v>0</v>
      </c>
      <c r="V137" s="8">
        <f t="shared" si="36"/>
        <v>0</v>
      </c>
      <c r="W137" s="8">
        <f t="shared" si="36"/>
        <v>0</v>
      </c>
      <c r="X137" s="8">
        <f t="shared" si="36"/>
        <v>0</v>
      </c>
      <c r="Y137" s="8">
        <f t="shared" si="36"/>
        <v>0</v>
      </c>
      <c r="Z137" s="8">
        <f t="shared" si="36"/>
        <v>0</v>
      </c>
      <c r="AA137" s="8">
        <f t="shared" si="36"/>
        <v>0</v>
      </c>
      <c r="AB137" s="8">
        <f t="shared" si="36"/>
        <v>0</v>
      </c>
      <c r="AC137" s="8">
        <f t="shared" si="36"/>
        <v>0</v>
      </c>
      <c r="AD137" s="8">
        <f t="shared" si="36"/>
        <v>0</v>
      </c>
      <c r="AE137" s="8">
        <f t="shared" si="36"/>
        <v>0</v>
      </c>
      <c r="AF137" s="8">
        <f t="shared" si="36"/>
        <v>0</v>
      </c>
      <c r="AG137" s="8">
        <f t="shared" si="36"/>
        <v>0</v>
      </c>
    </row>
    <row r="138" spans="1:37" hidden="1" outlineLevel="1">
      <c r="A138" t="s">
        <v>256</v>
      </c>
      <c r="L138" s="8">
        <f t="shared" si="36"/>
        <v>3626.4</v>
      </c>
      <c r="M138" s="8">
        <f t="shared" si="36"/>
        <v>2719.8</v>
      </c>
      <c r="N138" s="8">
        <f>+N72-N105</f>
        <v>1813.1999999999998</v>
      </c>
      <c r="O138" s="8">
        <f t="shared" si="36"/>
        <v>906.59999999999991</v>
      </c>
      <c r="P138" s="8">
        <f t="shared" si="36"/>
        <v>0</v>
      </c>
      <c r="Q138" s="8">
        <f t="shared" si="36"/>
        <v>0</v>
      </c>
      <c r="R138" s="8">
        <f t="shared" si="36"/>
        <v>0</v>
      </c>
      <c r="S138" s="8">
        <f t="shared" si="36"/>
        <v>0</v>
      </c>
      <c r="T138" s="8">
        <f t="shared" si="36"/>
        <v>0</v>
      </c>
      <c r="U138" s="8">
        <f t="shared" si="36"/>
        <v>0</v>
      </c>
      <c r="V138" s="8">
        <f t="shared" si="36"/>
        <v>0</v>
      </c>
      <c r="W138" s="8">
        <f t="shared" si="36"/>
        <v>0</v>
      </c>
      <c r="X138" s="8">
        <f t="shared" si="36"/>
        <v>0</v>
      </c>
      <c r="Y138" s="8">
        <f t="shared" si="36"/>
        <v>0</v>
      </c>
      <c r="Z138" s="8">
        <f t="shared" si="36"/>
        <v>0</v>
      </c>
      <c r="AA138" s="8">
        <f t="shared" si="36"/>
        <v>0</v>
      </c>
      <c r="AB138" s="8">
        <f t="shared" si="36"/>
        <v>0</v>
      </c>
      <c r="AC138" s="8">
        <f t="shared" si="36"/>
        <v>0</v>
      </c>
      <c r="AD138" s="8">
        <f t="shared" si="36"/>
        <v>0</v>
      </c>
      <c r="AE138" s="8">
        <f t="shared" si="36"/>
        <v>0</v>
      </c>
      <c r="AF138" s="8">
        <f t="shared" si="36"/>
        <v>0</v>
      </c>
      <c r="AG138" s="8">
        <f t="shared" si="36"/>
        <v>0</v>
      </c>
    </row>
    <row r="139" spans="1:37" hidden="1" outlineLevel="1">
      <c r="A139" t="s">
        <v>257</v>
      </c>
      <c r="M139" s="8">
        <f t="shared" si="36"/>
        <v>4655.2</v>
      </c>
      <c r="N139" s="8">
        <f>+N73-N106</f>
        <v>3491.4</v>
      </c>
      <c r="O139" s="8">
        <f t="shared" si="36"/>
        <v>2327.6000000000004</v>
      </c>
      <c r="P139" s="8">
        <f t="shared" si="36"/>
        <v>1163.8000000000002</v>
      </c>
      <c r="Q139" s="8">
        <f t="shared" si="36"/>
        <v>0</v>
      </c>
      <c r="R139" s="8">
        <f t="shared" si="36"/>
        <v>0</v>
      </c>
      <c r="S139" s="8">
        <f t="shared" si="36"/>
        <v>0</v>
      </c>
      <c r="T139" s="8">
        <f t="shared" si="36"/>
        <v>0</v>
      </c>
      <c r="U139" s="8">
        <f t="shared" si="36"/>
        <v>0</v>
      </c>
      <c r="V139" s="8">
        <f t="shared" si="36"/>
        <v>0</v>
      </c>
      <c r="W139" s="8">
        <f t="shared" si="36"/>
        <v>0</v>
      </c>
      <c r="X139" s="8">
        <f t="shared" si="36"/>
        <v>0</v>
      </c>
      <c r="Y139" s="8">
        <f t="shared" si="36"/>
        <v>0</v>
      </c>
      <c r="Z139" s="8">
        <f t="shared" si="36"/>
        <v>0</v>
      </c>
      <c r="AA139" s="8">
        <f t="shared" si="36"/>
        <v>0</v>
      </c>
      <c r="AB139" s="8">
        <f t="shared" si="36"/>
        <v>0</v>
      </c>
      <c r="AC139" s="8">
        <f t="shared" si="36"/>
        <v>0</v>
      </c>
      <c r="AD139" s="8">
        <f t="shared" si="36"/>
        <v>0</v>
      </c>
      <c r="AE139" s="8">
        <f t="shared" si="36"/>
        <v>0</v>
      </c>
      <c r="AF139" s="8">
        <f t="shared" si="36"/>
        <v>0</v>
      </c>
      <c r="AG139" s="8">
        <f t="shared" si="36"/>
        <v>0</v>
      </c>
    </row>
    <row r="140" spans="1:37" hidden="1" outlineLevel="1">
      <c r="A140" t="s">
        <v>258</v>
      </c>
      <c r="N140" s="8">
        <f t="shared" ref="N140:Y148" si="37">+N74-N107</f>
        <v>7805.6</v>
      </c>
      <c r="O140" s="8">
        <f t="shared" si="37"/>
        <v>5854.2</v>
      </c>
      <c r="P140" s="8">
        <f t="shared" si="37"/>
        <v>3902.7999999999993</v>
      </c>
      <c r="Q140" s="8">
        <f t="shared" si="37"/>
        <v>1951.3999999999996</v>
      </c>
      <c r="R140" s="8">
        <f t="shared" si="37"/>
        <v>650.46666666666715</v>
      </c>
      <c r="S140" s="8">
        <f t="shared" si="37"/>
        <v>0</v>
      </c>
      <c r="T140" s="8">
        <f t="shared" si="37"/>
        <v>0</v>
      </c>
      <c r="U140" s="8">
        <f t="shared" si="36"/>
        <v>0</v>
      </c>
      <c r="V140" s="8">
        <f t="shared" si="37"/>
        <v>0</v>
      </c>
      <c r="W140" s="8">
        <f t="shared" si="37"/>
        <v>0</v>
      </c>
      <c r="X140" s="8">
        <f t="shared" si="37"/>
        <v>0</v>
      </c>
      <c r="Y140" s="8">
        <f t="shared" si="37"/>
        <v>0</v>
      </c>
      <c r="Z140" s="8">
        <f t="shared" si="36"/>
        <v>0</v>
      </c>
      <c r="AA140" s="8">
        <f t="shared" si="36"/>
        <v>0</v>
      </c>
      <c r="AB140" s="8">
        <f t="shared" ref="Z140:AG155" si="38">+AB74-AB107</f>
        <v>0</v>
      </c>
      <c r="AC140" s="8">
        <f t="shared" si="38"/>
        <v>0</v>
      </c>
      <c r="AD140" s="8">
        <f t="shared" si="38"/>
        <v>0</v>
      </c>
      <c r="AE140" s="8">
        <f t="shared" si="38"/>
        <v>0</v>
      </c>
      <c r="AF140" s="8">
        <f t="shared" si="38"/>
        <v>0</v>
      </c>
      <c r="AG140" s="8">
        <f t="shared" si="38"/>
        <v>0</v>
      </c>
    </row>
    <row r="141" spans="1:37" hidden="1" outlineLevel="1">
      <c r="A141" t="s">
        <v>259</v>
      </c>
      <c r="O141" s="8">
        <f t="shared" si="37"/>
        <v>8616</v>
      </c>
      <c r="P141" s="8">
        <f t="shared" si="37"/>
        <v>6462</v>
      </c>
      <c r="Q141" s="8">
        <f t="shared" si="37"/>
        <v>4308</v>
      </c>
      <c r="R141" s="8">
        <f t="shared" si="37"/>
        <v>2872</v>
      </c>
      <c r="S141" s="8">
        <f t="shared" si="37"/>
        <v>1436</v>
      </c>
      <c r="T141" s="8">
        <f t="shared" si="37"/>
        <v>302.31578947368325</v>
      </c>
      <c r="U141" s="8">
        <f t="shared" si="37"/>
        <v>0</v>
      </c>
      <c r="V141" s="8">
        <f t="shared" si="37"/>
        <v>0</v>
      </c>
      <c r="W141" s="8">
        <f t="shared" si="37"/>
        <v>0</v>
      </c>
      <c r="X141" s="8">
        <f t="shared" si="37"/>
        <v>0</v>
      </c>
      <c r="Y141" s="8">
        <f t="shared" si="37"/>
        <v>0</v>
      </c>
      <c r="Z141" s="8">
        <f t="shared" si="38"/>
        <v>0</v>
      </c>
      <c r="AA141" s="8">
        <f t="shared" si="38"/>
        <v>0</v>
      </c>
      <c r="AB141" s="8">
        <f t="shared" si="38"/>
        <v>0</v>
      </c>
      <c r="AC141" s="8">
        <f t="shared" si="38"/>
        <v>0</v>
      </c>
      <c r="AD141" s="8">
        <f t="shared" si="38"/>
        <v>0</v>
      </c>
      <c r="AE141" s="8">
        <f t="shared" si="38"/>
        <v>0</v>
      </c>
      <c r="AF141" s="8">
        <f t="shared" si="38"/>
        <v>0</v>
      </c>
      <c r="AG141" s="8">
        <f t="shared" si="38"/>
        <v>0</v>
      </c>
      <c r="AH141" s="8"/>
    </row>
    <row r="142" spans="1:37" hidden="1" outlineLevel="1">
      <c r="A142" t="s">
        <v>260</v>
      </c>
      <c r="P142" s="8">
        <f>+P76-P109</f>
        <v>10499.2</v>
      </c>
      <c r="Q142" s="8">
        <f t="shared" si="37"/>
        <v>7874.4</v>
      </c>
      <c r="R142" s="8">
        <f t="shared" si="37"/>
        <v>6124.5333333333328</v>
      </c>
      <c r="S142" s="8">
        <f t="shared" si="37"/>
        <v>4374.6666666666661</v>
      </c>
      <c r="T142" s="8">
        <f t="shared" si="37"/>
        <v>2993.1929824561394</v>
      </c>
      <c r="U142" s="8">
        <f t="shared" si="37"/>
        <v>1611.7192982456127</v>
      </c>
      <c r="V142" s="8">
        <f t="shared" si="37"/>
        <v>230.24561403508596</v>
      </c>
      <c r="W142" s="8">
        <f t="shared" si="37"/>
        <v>0</v>
      </c>
      <c r="X142" s="8">
        <f t="shared" si="37"/>
        <v>0</v>
      </c>
      <c r="Y142" s="8">
        <f t="shared" si="37"/>
        <v>0</v>
      </c>
      <c r="Z142" s="8">
        <f t="shared" si="38"/>
        <v>0</v>
      </c>
      <c r="AA142" s="8">
        <f t="shared" si="38"/>
        <v>0</v>
      </c>
      <c r="AB142" s="8">
        <f t="shared" si="38"/>
        <v>0</v>
      </c>
      <c r="AC142" s="8">
        <f t="shared" si="38"/>
        <v>0</v>
      </c>
      <c r="AD142" s="8">
        <f t="shared" si="38"/>
        <v>0</v>
      </c>
      <c r="AE142" s="8">
        <f t="shared" si="38"/>
        <v>0</v>
      </c>
      <c r="AF142" s="8">
        <f t="shared" si="38"/>
        <v>0</v>
      </c>
      <c r="AG142" s="8">
        <f t="shared" si="38"/>
        <v>0</v>
      </c>
      <c r="AH142" s="8"/>
      <c r="AI142" s="8"/>
    </row>
    <row r="143" spans="1:37" hidden="1" outlineLevel="1">
      <c r="A143" t="s">
        <v>261</v>
      </c>
      <c r="Q143" s="8">
        <f t="shared" si="37"/>
        <v>12432.8</v>
      </c>
      <c r="R143" s="8">
        <f t="shared" si="37"/>
        <v>10360.666666666668</v>
      </c>
      <c r="S143" s="8">
        <f>+S77-S110</f>
        <v>8288.5333333333328</v>
      </c>
      <c r="T143" s="8">
        <f t="shared" si="37"/>
        <v>6652.6385964912279</v>
      </c>
      <c r="U143" s="8">
        <f t="shared" si="37"/>
        <v>5016.7438596491229</v>
      </c>
      <c r="V143" s="8">
        <f t="shared" si="37"/>
        <v>3380.8491228070179</v>
      </c>
      <c r="W143" s="8">
        <f t="shared" si="37"/>
        <v>1744.9543859649129</v>
      </c>
      <c r="X143" s="8">
        <f t="shared" si="37"/>
        <v>109.05964912280797</v>
      </c>
      <c r="Y143" s="8">
        <f t="shared" si="37"/>
        <v>0</v>
      </c>
      <c r="Z143" s="8">
        <f t="shared" si="38"/>
        <v>0</v>
      </c>
      <c r="AA143" s="8">
        <f t="shared" si="38"/>
        <v>0</v>
      </c>
      <c r="AB143" s="8">
        <f t="shared" si="38"/>
        <v>0</v>
      </c>
      <c r="AC143" s="8">
        <f t="shared" si="38"/>
        <v>0</v>
      </c>
      <c r="AD143" s="8">
        <f t="shared" si="38"/>
        <v>0</v>
      </c>
      <c r="AE143" s="8">
        <f t="shared" si="38"/>
        <v>0</v>
      </c>
      <c r="AF143" s="8">
        <f t="shared" si="38"/>
        <v>0</v>
      </c>
      <c r="AG143" s="8">
        <f t="shared" si="38"/>
        <v>0</v>
      </c>
      <c r="AH143" s="8"/>
      <c r="AI143" s="8"/>
      <c r="AJ143" s="8"/>
    </row>
    <row r="144" spans="1:37" hidden="1" outlineLevel="1">
      <c r="A144" t="s">
        <v>262</v>
      </c>
      <c r="R144" s="8">
        <f t="shared" si="37"/>
        <v>20555.599999999999</v>
      </c>
      <c r="S144" s="8">
        <f t="shared" si="37"/>
        <v>17393.2</v>
      </c>
      <c r="T144" s="8">
        <f t="shared" si="37"/>
        <v>14896.568421052631</v>
      </c>
      <c r="U144" s="8">
        <f t="shared" si="37"/>
        <v>12399.936842105262</v>
      </c>
      <c r="V144" s="8">
        <f t="shared" si="37"/>
        <v>9903.3052631578939</v>
      </c>
      <c r="W144" s="8">
        <f t="shared" si="37"/>
        <v>7406.6736842105256</v>
      </c>
      <c r="X144" s="8">
        <f t="shared" si="37"/>
        <v>4910.0421052631573</v>
      </c>
      <c r="Y144" s="8">
        <f t="shared" si="37"/>
        <v>2413.4105263157908</v>
      </c>
      <c r="Z144" s="8">
        <f t="shared" si="38"/>
        <v>0</v>
      </c>
      <c r="AA144" s="8">
        <f t="shared" si="38"/>
        <v>0</v>
      </c>
      <c r="AB144" s="8">
        <f t="shared" si="38"/>
        <v>0</v>
      </c>
      <c r="AC144" s="8">
        <f t="shared" si="38"/>
        <v>0</v>
      </c>
      <c r="AD144" s="8">
        <f t="shared" si="38"/>
        <v>0</v>
      </c>
      <c r="AE144" s="8">
        <f t="shared" si="38"/>
        <v>0</v>
      </c>
      <c r="AF144" s="8">
        <f t="shared" si="38"/>
        <v>0</v>
      </c>
      <c r="AG144" s="8">
        <f t="shared" si="38"/>
        <v>0</v>
      </c>
      <c r="AH144" s="8"/>
      <c r="AI144" s="8"/>
      <c r="AJ144" s="8"/>
      <c r="AK144" s="8"/>
    </row>
    <row r="145" spans="1:44" hidden="1" outlineLevel="1">
      <c r="A145" t="s">
        <v>109</v>
      </c>
      <c r="S145" s="8">
        <f t="shared" si="37"/>
        <v>19926.400000000001</v>
      </c>
      <c r="T145" s="8">
        <f t="shared" si="37"/>
        <v>17506.189473684211</v>
      </c>
      <c r="U145" s="8">
        <f t="shared" si="37"/>
        <v>15085.978947368421</v>
      </c>
      <c r="V145" s="8">
        <f t="shared" si="37"/>
        <v>12665.768421052631</v>
      </c>
      <c r="W145" s="8">
        <f t="shared" si="37"/>
        <v>10245.557894736841</v>
      </c>
      <c r="X145" s="8">
        <f t="shared" si="37"/>
        <v>7825.3473684210512</v>
      </c>
      <c r="Y145" s="8">
        <f t="shared" si="37"/>
        <v>5405.1368421052612</v>
      </c>
      <c r="Z145" s="8">
        <f t="shared" si="38"/>
        <v>2984.9263157894711</v>
      </c>
      <c r="AA145" s="8">
        <f t="shared" si="38"/>
        <v>564.71578947368107</v>
      </c>
      <c r="AB145" s="8">
        <f t="shared" si="38"/>
        <v>0</v>
      </c>
      <c r="AC145" s="8">
        <f t="shared" si="38"/>
        <v>0</v>
      </c>
      <c r="AD145" s="8">
        <f t="shared" si="38"/>
        <v>0</v>
      </c>
      <c r="AE145" s="8">
        <f t="shared" si="38"/>
        <v>0</v>
      </c>
      <c r="AF145" s="8">
        <f t="shared" si="38"/>
        <v>0</v>
      </c>
      <c r="AG145" s="8">
        <f t="shared" si="38"/>
        <v>0</v>
      </c>
      <c r="AH145" s="8"/>
      <c r="AI145" s="8"/>
      <c r="AJ145" s="8"/>
      <c r="AK145" s="8"/>
      <c r="AL145" s="8"/>
    </row>
    <row r="146" spans="1:44" hidden="1" outlineLevel="1">
      <c r="A146" t="s">
        <v>191</v>
      </c>
      <c r="T146" s="8">
        <f t="shared" si="37"/>
        <v>26693.57894736842</v>
      </c>
      <c r="U146" s="8">
        <f t="shared" si="37"/>
        <v>23553.157894736843</v>
      </c>
      <c r="V146" s="8">
        <f t="shared" si="37"/>
        <v>20412.736842105263</v>
      </c>
      <c r="W146" s="8">
        <f t="shared" si="37"/>
        <v>17272.315789473687</v>
      </c>
      <c r="X146" s="8">
        <f t="shared" si="37"/>
        <v>14131.894736842107</v>
      </c>
      <c r="Y146" s="8">
        <f t="shared" si="37"/>
        <v>10991.473684210527</v>
      </c>
      <c r="Z146" s="8">
        <f t="shared" si="38"/>
        <v>7851.0526315789466</v>
      </c>
      <c r="AA146" s="8">
        <f t="shared" si="38"/>
        <v>4710.6315789473665</v>
      </c>
      <c r="AB146" s="8">
        <f t="shared" si="38"/>
        <v>1570.2105263157864</v>
      </c>
      <c r="AC146" s="8">
        <f t="shared" si="38"/>
        <v>0</v>
      </c>
      <c r="AD146" s="8">
        <f t="shared" si="38"/>
        <v>0</v>
      </c>
      <c r="AE146" s="8">
        <f t="shared" si="38"/>
        <v>0</v>
      </c>
      <c r="AF146" s="8">
        <f t="shared" si="38"/>
        <v>0</v>
      </c>
      <c r="AG146" s="8">
        <f t="shared" si="38"/>
        <v>0</v>
      </c>
      <c r="AH146" s="8"/>
      <c r="AI146" s="8"/>
      <c r="AJ146" s="8"/>
      <c r="AK146" s="8"/>
      <c r="AL146" s="8"/>
      <c r="AM146" s="8"/>
    </row>
    <row r="147" spans="1:44" hidden="1" outlineLevel="1">
      <c r="A147" t="s">
        <v>192</v>
      </c>
      <c r="U147" s="8">
        <f t="shared" si="37"/>
        <v>48120</v>
      </c>
      <c r="V147" s="8">
        <f t="shared" si="37"/>
        <v>37989.473684210527</v>
      </c>
      <c r="W147" s="8">
        <f t="shared" si="37"/>
        <v>32924.210526315786</v>
      </c>
      <c r="X147" s="8">
        <f t="shared" si="37"/>
        <v>27858.947368421053</v>
      </c>
      <c r="Y147" s="8">
        <f t="shared" si="37"/>
        <v>22793.684210526317</v>
      </c>
      <c r="Z147" s="8">
        <f t="shared" si="38"/>
        <v>17728.42105263158</v>
      </c>
      <c r="AA147" s="8">
        <f t="shared" si="38"/>
        <v>12663.15789473684</v>
      </c>
      <c r="AB147" s="8">
        <f t="shared" si="38"/>
        <v>7597.8947368421068</v>
      </c>
      <c r="AC147" s="8">
        <f t="shared" si="38"/>
        <v>2532.6315789473738</v>
      </c>
      <c r="AD147" s="8">
        <f t="shared" si="38"/>
        <v>0</v>
      </c>
      <c r="AE147" s="8">
        <f t="shared" si="38"/>
        <v>0</v>
      </c>
      <c r="AF147" s="8">
        <f t="shared" si="38"/>
        <v>0</v>
      </c>
      <c r="AG147" s="8">
        <f t="shared" si="38"/>
        <v>0</v>
      </c>
      <c r="AH147" s="8"/>
      <c r="AI147" s="8"/>
      <c r="AJ147" s="8"/>
      <c r="AK147" s="8"/>
      <c r="AL147" s="8"/>
      <c r="AM147" s="8"/>
      <c r="AN147" s="8"/>
    </row>
    <row r="148" spans="1:44" hidden="1" outlineLevel="1">
      <c r="A148" t="s">
        <v>72</v>
      </c>
      <c r="V148" s="8">
        <f t="shared" si="37"/>
        <v>67481.052631578947</v>
      </c>
      <c r="W148" s="8">
        <f t="shared" si="37"/>
        <v>59542.105263157893</v>
      </c>
      <c r="X148" s="8">
        <f t="shared" si="37"/>
        <v>51603.15789473684</v>
      </c>
      <c r="Y148" s="8">
        <f t="shared" si="37"/>
        <v>43664.210526315786</v>
      </c>
      <c r="Z148" s="8">
        <f t="shared" si="38"/>
        <v>35725.26315789474</v>
      </c>
      <c r="AA148" s="8">
        <f t="shared" si="38"/>
        <v>27786.315789473687</v>
      </c>
      <c r="AB148" s="8">
        <f t="shared" si="38"/>
        <v>19847.368421052633</v>
      </c>
      <c r="AC148" s="8">
        <f t="shared" si="38"/>
        <v>11908.42105263158</v>
      </c>
      <c r="AD148" s="8">
        <f t="shared" si="38"/>
        <v>3969.473684210534</v>
      </c>
      <c r="AE148" s="8">
        <f t="shared" si="38"/>
        <v>0</v>
      </c>
      <c r="AF148" s="8">
        <f t="shared" si="38"/>
        <v>0</v>
      </c>
      <c r="AG148" s="8">
        <f t="shared" si="38"/>
        <v>0</v>
      </c>
      <c r="AH148" s="8"/>
      <c r="AI148" s="8"/>
      <c r="AJ148" s="8"/>
      <c r="AK148" s="8"/>
      <c r="AL148" s="8"/>
      <c r="AM148" s="8"/>
      <c r="AN148" s="8"/>
      <c r="AO148" s="8"/>
    </row>
    <row r="149" spans="1:44" hidden="1" outlineLevel="1">
      <c r="A149" t="s">
        <v>73</v>
      </c>
      <c r="W149" s="8">
        <f>+W83-W116</f>
        <v>57746.391955572908</v>
      </c>
      <c r="X149" s="8">
        <f>+X83-X116</f>
        <v>50952.698784329041</v>
      </c>
      <c r="Y149" s="8">
        <f>+Y83-Y116</f>
        <v>44159.005613085166</v>
      </c>
      <c r="Z149" s="8">
        <f t="shared" si="38"/>
        <v>37365.312441841292</v>
      </c>
      <c r="AA149" s="8">
        <f t="shared" si="38"/>
        <v>30571.619270597424</v>
      </c>
      <c r="AB149" s="8">
        <f t="shared" si="38"/>
        <v>23777.92609935355</v>
      </c>
      <c r="AC149" s="8">
        <f t="shared" si="38"/>
        <v>16984.232928109675</v>
      </c>
      <c r="AD149" s="8">
        <f t="shared" si="38"/>
        <v>10190.539756865801</v>
      </c>
      <c r="AE149" s="8">
        <f t="shared" si="38"/>
        <v>3396.8465856219264</v>
      </c>
      <c r="AF149" s="8">
        <f t="shared" si="38"/>
        <v>0</v>
      </c>
      <c r="AG149" s="8">
        <f t="shared" si="38"/>
        <v>0</v>
      </c>
      <c r="AH149" s="8"/>
      <c r="AI149" s="8"/>
      <c r="AJ149" s="8"/>
      <c r="AK149" s="8"/>
      <c r="AL149" s="8"/>
      <c r="AM149" s="8"/>
      <c r="AN149" s="8"/>
      <c r="AO149" s="8"/>
      <c r="AP149" s="8"/>
    </row>
    <row r="150" spans="1:44" hidden="1" outlineLevel="1">
      <c r="A150" t="s">
        <v>74</v>
      </c>
      <c r="X150" s="8">
        <f>+X84-X117</f>
        <v>60911.872912858213</v>
      </c>
      <c r="Y150" s="8">
        <f>+Y84-Y117</f>
        <v>53745.770217227837</v>
      </c>
      <c r="Z150" s="8">
        <f t="shared" si="38"/>
        <v>46579.667521597454</v>
      </c>
      <c r="AA150" s="8">
        <f t="shared" si="38"/>
        <v>39413.564825967078</v>
      </c>
      <c r="AB150" s="8">
        <f t="shared" si="38"/>
        <v>32247.462130336702</v>
      </c>
      <c r="AC150" s="8">
        <f t="shared" si="38"/>
        <v>25081.359434706326</v>
      </c>
      <c r="AD150" s="8">
        <f t="shared" si="38"/>
        <v>17915.25673907595</v>
      </c>
      <c r="AE150" s="8">
        <f t="shared" si="38"/>
        <v>10749.154043445575</v>
      </c>
      <c r="AF150" s="8">
        <f t="shared" si="38"/>
        <v>3583.0513478151988</v>
      </c>
      <c r="AG150" s="8">
        <f t="shared" si="38"/>
        <v>0</v>
      </c>
      <c r="AH150" s="8"/>
      <c r="AI150" s="8"/>
      <c r="AJ150" s="8"/>
      <c r="AK150" s="8"/>
      <c r="AL150" s="8"/>
      <c r="AM150" s="8"/>
      <c r="AN150" s="8"/>
      <c r="AO150" s="8"/>
      <c r="AP150" s="8"/>
      <c r="AQ150" s="8"/>
    </row>
    <row r="151" spans="1:44" hidden="1" outlineLevel="1">
      <c r="A151" t="s">
        <v>75</v>
      </c>
      <c r="Y151" s="8">
        <f>+Y85-Y118</f>
        <v>63547.399244400571</v>
      </c>
      <c r="Z151" s="8">
        <f t="shared" si="38"/>
        <v>56071.234627412268</v>
      </c>
      <c r="AA151" s="8">
        <f t="shared" si="38"/>
        <v>48595.070010423966</v>
      </c>
      <c r="AB151" s="8">
        <f t="shared" si="38"/>
        <v>41118.905393435663</v>
      </c>
      <c r="AC151" s="8">
        <f t="shared" si="38"/>
        <v>33642.740776447361</v>
      </c>
      <c r="AD151" s="8">
        <f t="shared" si="38"/>
        <v>26166.576159459059</v>
      </c>
      <c r="AE151" s="8">
        <f t="shared" si="38"/>
        <v>18690.411542470756</v>
      </c>
      <c r="AF151" s="8">
        <f t="shared" si="38"/>
        <v>11214.246925482454</v>
      </c>
      <c r="AG151" s="8">
        <f t="shared" si="38"/>
        <v>3738.0823084941512</v>
      </c>
      <c r="AH151" s="8"/>
      <c r="AI151" s="8"/>
      <c r="AJ151" s="8"/>
      <c r="AK151" s="8"/>
      <c r="AL151" s="8"/>
      <c r="AM151" s="8"/>
      <c r="AN151" s="8"/>
      <c r="AO151" s="8"/>
      <c r="AP151" s="8"/>
      <c r="AQ151" s="8"/>
      <c r="AR151" s="8"/>
    </row>
    <row r="152" spans="1:44" hidden="1" outlineLevel="1">
      <c r="A152" t="s">
        <v>76</v>
      </c>
      <c r="Y152" s="8"/>
      <c r="Z152" s="8">
        <f>+Z86-Z119</f>
        <v>65422.885589278871</v>
      </c>
      <c r="AA152" s="8">
        <f t="shared" si="38"/>
        <v>57726.075519951941</v>
      </c>
      <c r="AB152" s="8">
        <f t="shared" si="38"/>
        <v>50029.265450625018</v>
      </c>
      <c r="AC152" s="8">
        <f t="shared" si="38"/>
        <v>42332.455381298088</v>
      </c>
      <c r="AD152" s="8">
        <f t="shared" si="38"/>
        <v>34635.645311971166</v>
      </c>
      <c r="AE152" s="8">
        <f t="shared" si="38"/>
        <v>26938.835242644243</v>
      </c>
      <c r="AF152" s="8">
        <f t="shared" si="38"/>
        <v>19242.025173317321</v>
      </c>
      <c r="AG152" s="8">
        <f t="shared" si="38"/>
        <v>11545.215103990398</v>
      </c>
      <c r="AH152" s="8"/>
      <c r="AI152" s="8"/>
      <c r="AJ152" s="8"/>
      <c r="AK152" s="8"/>
      <c r="AL152" s="8"/>
      <c r="AM152" s="8"/>
      <c r="AN152" s="8"/>
      <c r="AO152" s="8"/>
      <c r="AP152" s="8"/>
      <c r="AQ152" s="8"/>
      <c r="AR152" s="8"/>
    </row>
    <row r="153" spans="1:44" hidden="1" outlineLevel="1">
      <c r="A153" t="s">
        <v>77</v>
      </c>
      <c r="Y153" s="8"/>
      <c r="Z153" s="8"/>
      <c r="AA153" s="8">
        <f>+AA87-AA120</f>
        <v>66251.374535498704</v>
      </c>
      <c r="AB153" s="8">
        <f t="shared" si="38"/>
        <v>58457.095178381212</v>
      </c>
      <c r="AC153" s="8">
        <f t="shared" si="38"/>
        <v>50662.815821263721</v>
      </c>
      <c r="AD153" s="8">
        <f t="shared" si="38"/>
        <v>42868.536464146222</v>
      </c>
      <c r="AE153" s="8">
        <f t="shared" si="38"/>
        <v>35074.257107028723</v>
      </c>
      <c r="AF153" s="8">
        <f t="shared" si="38"/>
        <v>27279.977749911224</v>
      </c>
      <c r="AG153" s="8">
        <f t="shared" si="38"/>
        <v>19485.698392793725</v>
      </c>
      <c r="AH153" s="8"/>
      <c r="AI153" s="8"/>
      <c r="AJ153" s="8"/>
      <c r="AK153" s="8"/>
      <c r="AL153" s="8"/>
      <c r="AM153" s="8"/>
      <c r="AN153" s="8"/>
      <c r="AO153" s="8"/>
      <c r="AP153" s="8"/>
      <c r="AQ153" s="8"/>
      <c r="AR153" s="8"/>
    </row>
    <row r="154" spans="1:44" hidden="1" outlineLevel="1">
      <c r="A154" t="s">
        <v>78</v>
      </c>
      <c r="Y154" s="8"/>
      <c r="Z154" s="8"/>
      <c r="AA154" s="8"/>
      <c r="AB154" s="8">
        <f>+AB88-AB121</f>
        <v>71150.26516371929</v>
      </c>
      <c r="AC154" s="8">
        <f t="shared" si="38"/>
        <v>62779.645732693491</v>
      </c>
      <c r="AD154" s="8">
        <f t="shared" si="38"/>
        <v>54409.026301667691</v>
      </c>
      <c r="AE154" s="8">
        <f t="shared" si="38"/>
        <v>46038.406870641891</v>
      </c>
      <c r="AF154" s="8">
        <f t="shared" si="38"/>
        <v>37667.787439616091</v>
      </c>
      <c r="AG154" s="8">
        <f t="shared" si="38"/>
        <v>29297.168008590292</v>
      </c>
      <c r="AH154" s="8"/>
      <c r="AI154" s="8"/>
      <c r="AJ154" s="8"/>
      <c r="AK154" s="8"/>
      <c r="AL154" s="8"/>
      <c r="AM154" s="8"/>
      <c r="AN154" s="8"/>
      <c r="AO154" s="8"/>
      <c r="AP154" s="8"/>
      <c r="AQ154" s="8"/>
      <c r="AR154" s="8"/>
    </row>
    <row r="155" spans="1:44" hidden="1" outlineLevel="1">
      <c r="A155" t="s">
        <v>79</v>
      </c>
      <c r="Y155" s="8"/>
      <c r="Z155" s="8"/>
      <c r="AA155" s="8"/>
      <c r="AB155" s="8"/>
      <c r="AC155" s="8">
        <f>+AC89-AC122</f>
        <v>75914.012988578077</v>
      </c>
      <c r="AD155" s="8">
        <f t="shared" si="38"/>
        <v>66982.952636980655</v>
      </c>
      <c r="AE155" s="8">
        <f t="shared" si="38"/>
        <v>58051.892285383234</v>
      </c>
      <c r="AF155" s="8">
        <f t="shared" si="38"/>
        <v>49120.831933785812</v>
      </c>
      <c r="AG155" s="8">
        <f t="shared" si="38"/>
        <v>40189.77158218839</v>
      </c>
      <c r="AH155" s="8"/>
      <c r="AI155" s="8"/>
      <c r="AJ155" s="8"/>
      <c r="AK155" s="8"/>
      <c r="AL155" s="8"/>
      <c r="AM155" s="8"/>
      <c r="AN155" s="8"/>
      <c r="AO155" s="8"/>
      <c r="AP155" s="8"/>
      <c r="AQ155" s="8"/>
      <c r="AR155" s="8"/>
    </row>
    <row r="156" spans="1:44" hidden="1" outlineLevel="1">
      <c r="A156" t="s">
        <v>80</v>
      </c>
      <c r="Y156" s="8"/>
      <c r="Z156" s="8"/>
      <c r="AA156" s="8"/>
      <c r="AB156" s="8"/>
      <c r="AC156" s="8"/>
      <c r="AD156" s="8">
        <f>+AD90-AD123</f>
        <v>87699.869354396753</v>
      </c>
      <c r="AE156" s="8">
        <f t="shared" ref="AE156:AG158" si="39">+AE90-AE123</f>
        <v>77382.237665644192</v>
      </c>
      <c r="AF156" s="8">
        <f t="shared" si="39"/>
        <v>67064.605976891646</v>
      </c>
      <c r="AG156" s="8">
        <f t="shared" si="39"/>
        <v>56746.974288139078</v>
      </c>
      <c r="AH156" s="8"/>
      <c r="AI156" s="8"/>
      <c r="AJ156" s="8"/>
      <c r="AK156" s="8"/>
      <c r="AL156" s="8"/>
      <c r="AM156" s="8"/>
      <c r="AN156" s="8"/>
      <c r="AO156" s="8"/>
      <c r="AP156" s="8"/>
      <c r="AQ156" s="8"/>
      <c r="AR156" s="8"/>
    </row>
    <row r="157" spans="1:44" hidden="1" outlineLevel="1">
      <c r="A157" t="s">
        <v>81</v>
      </c>
      <c r="Y157" s="8"/>
      <c r="Z157" s="8"/>
      <c r="AA157" s="8"/>
      <c r="AB157" s="8"/>
      <c r="AC157" s="8"/>
      <c r="AD157" s="8"/>
      <c r="AE157" s="8">
        <f>+AE91-AE124</f>
        <v>101267.56057970185</v>
      </c>
      <c r="AF157" s="8">
        <f t="shared" si="39"/>
        <v>89353.729923266335</v>
      </c>
      <c r="AG157" s="8">
        <f t="shared" si="39"/>
        <v>77439.899266830835</v>
      </c>
      <c r="AH157" s="8"/>
      <c r="AI157" s="8"/>
      <c r="AJ157" s="8"/>
      <c r="AK157" s="8"/>
      <c r="AL157" s="8"/>
      <c r="AM157" s="8"/>
      <c r="AN157" s="8"/>
      <c r="AO157" s="8"/>
      <c r="AP157" s="8"/>
      <c r="AQ157" s="8"/>
      <c r="AR157" s="8"/>
    </row>
    <row r="158" spans="1:44" hidden="1" outlineLevel="1">
      <c r="A158" t="s">
        <v>82</v>
      </c>
      <c r="Y158" s="8"/>
      <c r="Z158" s="8"/>
      <c r="AA158" s="8"/>
      <c r="AB158" s="8"/>
      <c r="AC158" s="8"/>
      <c r="AD158" s="8"/>
      <c r="AE158" s="8"/>
      <c r="AF158" s="8">
        <f>+AF92-AF125</f>
        <v>116884.85036757782</v>
      </c>
      <c r="AG158" s="8">
        <f t="shared" si="39"/>
        <v>103133.69150080395</v>
      </c>
      <c r="AH158" s="8"/>
      <c r="AI158" s="8"/>
      <c r="AJ158" s="8"/>
      <c r="AK158" s="8"/>
      <c r="AL158" s="8"/>
      <c r="AM158" s="8"/>
      <c r="AN158" s="8"/>
      <c r="AO158" s="8"/>
      <c r="AP158" s="8"/>
      <c r="AQ158" s="8"/>
      <c r="AR158" s="8"/>
    </row>
    <row r="159" spans="1:44" hidden="1" outlineLevel="1">
      <c r="A159" t="s">
        <v>83</v>
      </c>
      <c r="Y159" s="8"/>
      <c r="Z159" s="8"/>
      <c r="AA159" s="8"/>
      <c r="AB159" s="8"/>
      <c r="AC159" s="8"/>
      <c r="AD159" s="8"/>
      <c r="AE159" s="8"/>
      <c r="AF159" s="8"/>
      <c r="AG159" s="8">
        <f>+AG93-AG126</f>
        <v>134859.68407316742</v>
      </c>
      <c r="AH159" s="8"/>
      <c r="AI159" s="8"/>
      <c r="AJ159" s="8"/>
      <c r="AK159" s="8"/>
      <c r="AL159" s="8"/>
      <c r="AM159" s="8"/>
      <c r="AN159" s="8"/>
      <c r="AO159" s="8"/>
      <c r="AP159" s="8"/>
      <c r="AQ159" s="8"/>
      <c r="AR159" s="8"/>
    </row>
    <row r="160" spans="1:44" hidden="1" outlineLevel="1">
      <c r="A160" t="s">
        <v>764</v>
      </c>
      <c r="Y160" s="8"/>
      <c r="Z160" s="8"/>
      <c r="AA160" s="8"/>
      <c r="AB160" s="8"/>
      <c r="AC160" s="8"/>
      <c r="AD160" s="8"/>
      <c r="AE160" s="8"/>
      <c r="AF160" s="8"/>
      <c r="AG160" s="8"/>
      <c r="AH160" s="8"/>
      <c r="AI160" s="8"/>
      <c r="AJ160" s="8"/>
      <c r="AK160" s="8"/>
      <c r="AL160" s="8"/>
      <c r="AM160" s="8"/>
      <c r="AN160" s="8"/>
      <c r="AO160" s="8"/>
      <c r="AP160" s="8"/>
      <c r="AQ160" s="8"/>
      <c r="AR160" s="8"/>
    </row>
    <row r="161" spans="1:33" collapsed="1"/>
    <row r="162" spans="1:33" ht="10.5">
      <c r="A162" s="5" t="s">
        <v>777</v>
      </c>
      <c r="B162" s="4"/>
    </row>
    <row r="164" spans="1:33" ht="10.5">
      <c r="A164" s="45" t="s">
        <v>778</v>
      </c>
    </row>
    <row r="165" spans="1:33">
      <c r="A165" t="s">
        <v>779</v>
      </c>
      <c r="C165" s="29">
        <v>362</v>
      </c>
      <c r="D165" s="29">
        <v>428</v>
      </c>
      <c r="E165" s="29">
        <v>518</v>
      </c>
      <c r="F165" s="29">
        <v>526</v>
      </c>
      <c r="G165" s="29">
        <v>526</v>
      </c>
      <c r="H165" s="29">
        <v>533</v>
      </c>
      <c r="I165" s="29">
        <v>528</v>
      </c>
      <c r="J165" s="29">
        <v>525</v>
      </c>
      <c r="K165" s="29">
        <v>541</v>
      </c>
      <c r="L165" s="29">
        <v>769</v>
      </c>
      <c r="M165" s="29">
        <v>824</v>
      </c>
      <c r="N165" s="29">
        <v>1107</v>
      </c>
      <c r="O165" s="29">
        <v>1254</v>
      </c>
      <c r="P165" s="29">
        <v>1540</v>
      </c>
      <c r="Q165" s="29">
        <v>1823</v>
      </c>
      <c r="R165" s="29">
        <v>3660</v>
      </c>
      <c r="S165" s="29">
        <v>4734</v>
      </c>
      <c r="T165" s="29">
        <v>5683</v>
      </c>
      <c r="U165" s="29">
        <v>8163</v>
      </c>
      <c r="V165" s="29"/>
      <c r="W165" s="29"/>
    </row>
    <row r="166" spans="1:33">
      <c r="A166" t="s">
        <v>780</v>
      </c>
      <c r="C166" s="29">
        <v>2228</v>
      </c>
      <c r="D166" s="29">
        <v>3170</v>
      </c>
      <c r="E166" s="29">
        <v>4302</v>
      </c>
      <c r="F166" s="29">
        <v>5886</v>
      </c>
      <c r="G166" s="29">
        <v>6087</v>
      </c>
      <c r="H166" s="29">
        <v>6521</v>
      </c>
      <c r="I166" s="29">
        <v>6768</v>
      </c>
      <c r="J166" s="29">
        <v>7326</v>
      </c>
      <c r="K166" s="29">
        <v>8867</v>
      </c>
      <c r="L166" s="29">
        <v>10800</v>
      </c>
      <c r="M166" s="29">
        <v>12393</v>
      </c>
      <c r="N166" s="29">
        <v>16284</v>
      </c>
      <c r="O166" s="29">
        <v>20604</v>
      </c>
      <c r="P166" s="29">
        <v>26288</v>
      </c>
      <c r="Q166" s="29">
        <v>33995</v>
      </c>
      <c r="R166" s="29">
        <v>43928</v>
      </c>
      <c r="S166" s="29">
        <v>55014</v>
      </c>
      <c r="T166" s="29">
        <v>68465</v>
      </c>
      <c r="U166" s="29">
        <v>93943</v>
      </c>
      <c r="V166" s="29"/>
      <c r="W166" s="29"/>
    </row>
    <row r="167" spans="1:33">
      <c r="A167" t="s">
        <v>781</v>
      </c>
      <c r="C167" s="29">
        <v>918</v>
      </c>
      <c r="D167" s="29">
        <v>1077</v>
      </c>
      <c r="E167" s="29">
        <v>1728</v>
      </c>
      <c r="F167" s="29">
        <v>1938</v>
      </c>
      <c r="G167" s="29">
        <v>2100</v>
      </c>
      <c r="H167" s="29">
        <v>2345</v>
      </c>
      <c r="I167" s="29">
        <v>2550</v>
      </c>
      <c r="J167" s="29">
        <v>2946</v>
      </c>
      <c r="K167" s="29">
        <v>3560</v>
      </c>
      <c r="L167" s="29">
        <v>3577</v>
      </c>
      <c r="M167" s="29">
        <v>3659</v>
      </c>
      <c r="N167" s="29">
        <v>5064</v>
      </c>
      <c r="O167" s="29">
        <v>4735</v>
      </c>
      <c r="P167" s="29">
        <v>5316</v>
      </c>
      <c r="Q167" s="29">
        <v>5487</v>
      </c>
      <c r="R167" s="29">
        <v>6884</v>
      </c>
      <c r="S167" s="29">
        <v>7819</v>
      </c>
      <c r="T167" s="29">
        <v>8537</v>
      </c>
      <c r="U167" s="29">
        <v>9594</v>
      </c>
      <c r="V167" s="29"/>
      <c r="W167" s="29"/>
    </row>
    <row r="168" spans="1:33">
      <c r="A168" t="s">
        <v>782</v>
      </c>
      <c r="C168" s="29">
        <v>2682</v>
      </c>
      <c r="D168" s="29">
        <v>3458</v>
      </c>
      <c r="E168" s="29">
        <v>4475</v>
      </c>
      <c r="F168" s="29">
        <v>4989</v>
      </c>
      <c r="G168" s="29">
        <v>5673</v>
      </c>
      <c r="H168" s="29">
        <v>6601</v>
      </c>
      <c r="I168" s="29">
        <v>7298</v>
      </c>
      <c r="J168" s="29">
        <v>9242</v>
      </c>
      <c r="K168" s="29">
        <v>11430</v>
      </c>
      <c r="L168" s="29">
        <v>13612</v>
      </c>
      <c r="M168" s="29">
        <v>17391</v>
      </c>
      <c r="N168" s="29">
        <v>21414</v>
      </c>
      <c r="O168" s="29">
        <v>27633</v>
      </c>
      <c r="P168" s="29">
        <v>33823</v>
      </c>
      <c r="Q168" s="29">
        <v>41261</v>
      </c>
      <c r="R168" s="29">
        <v>51250</v>
      </c>
      <c r="S168" s="29">
        <v>60631</v>
      </c>
      <c r="T168" s="29">
        <v>74961</v>
      </c>
      <c r="U168" s="29">
        <v>93780</v>
      </c>
      <c r="V168" s="29"/>
      <c r="W168" s="29"/>
    </row>
    <row r="169" spans="1:33" ht="11.45">
      <c r="A169" t="s">
        <v>783</v>
      </c>
      <c r="C169" s="30">
        <v>1033</v>
      </c>
      <c r="D169" s="30">
        <v>1233</v>
      </c>
      <c r="E169" s="30">
        <v>1521</v>
      </c>
      <c r="F169" s="30">
        <v>1743</v>
      </c>
      <c r="G169" s="30">
        <v>1873</v>
      </c>
      <c r="H169" s="30">
        <v>1991</v>
      </c>
      <c r="I169" s="30">
        <v>2087</v>
      </c>
      <c r="J169" s="30">
        <v>2465</v>
      </c>
      <c r="K169" s="30">
        <v>3406</v>
      </c>
      <c r="L169" s="30">
        <v>3579</v>
      </c>
      <c r="M169" s="30">
        <v>3889</v>
      </c>
      <c r="N169" s="30">
        <v>4044</v>
      </c>
      <c r="O169" s="30">
        <v>4457</v>
      </c>
      <c r="P169" s="30">
        <v>4840</v>
      </c>
      <c r="Q169" s="30">
        <v>4782</v>
      </c>
      <c r="R169" s="30">
        <v>5344</v>
      </c>
      <c r="S169" s="30">
        <v>5860</v>
      </c>
      <c r="T169" s="30">
        <v>6246</v>
      </c>
      <c r="U169" s="30">
        <v>6532</v>
      </c>
      <c r="V169" s="30"/>
      <c r="W169" s="30"/>
    </row>
    <row r="170" spans="1:33" s="1" customFormat="1" ht="10.5">
      <c r="A170" s="837" t="s">
        <v>784</v>
      </c>
      <c r="C170" s="936">
        <f>+SUM(C165:C169)</f>
        <v>7223</v>
      </c>
      <c r="D170" s="936">
        <f t="shared" ref="D170:U170" si="40">+SUM(D165:D169)</f>
        <v>9366</v>
      </c>
      <c r="E170" s="936">
        <f t="shared" si="40"/>
        <v>12544</v>
      </c>
      <c r="F170" s="936">
        <f t="shared" si="40"/>
        <v>15082</v>
      </c>
      <c r="G170" s="936">
        <f t="shared" si="40"/>
        <v>16259</v>
      </c>
      <c r="H170" s="936">
        <f t="shared" si="40"/>
        <v>17991</v>
      </c>
      <c r="I170" s="936">
        <f t="shared" si="40"/>
        <v>19231</v>
      </c>
      <c r="J170" s="936">
        <f t="shared" si="40"/>
        <v>22504</v>
      </c>
      <c r="K170" s="936">
        <f t="shared" si="40"/>
        <v>27804</v>
      </c>
      <c r="L170" s="936">
        <f t="shared" si="40"/>
        <v>32337</v>
      </c>
      <c r="M170" s="936">
        <f t="shared" si="40"/>
        <v>38156</v>
      </c>
      <c r="N170" s="936">
        <f t="shared" si="40"/>
        <v>47913</v>
      </c>
      <c r="O170" s="936">
        <f t="shared" si="40"/>
        <v>58683</v>
      </c>
      <c r="P170" s="936">
        <f t="shared" si="40"/>
        <v>71807</v>
      </c>
      <c r="Q170" s="936">
        <f t="shared" si="40"/>
        <v>87348</v>
      </c>
      <c r="R170" s="936">
        <f t="shared" si="40"/>
        <v>111066</v>
      </c>
      <c r="S170" s="936">
        <f t="shared" si="40"/>
        <v>134058</v>
      </c>
      <c r="T170" s="936">
        <f t="shared" si="40"/>
        <v>163892</v>
      </c>
      <c r="U170" s="936">
        <f t="shared" si="40"/>
        <v>212012</v>
      </c>
      <c r="V170" s="838">
        <f t="shared" ref="V170:AG170" si="41">+V179</f>
        <v>285206.45146803994</v>
      </c>
      <c r="W170" s="838">
        <f t="shared" si="41"/>
        <v>342335.53190244886</v>
      </c>
      <c r="X170" s="838">
        <f t="shared" si="41"/>
        <v>400018.7518420979</v>
      </c>
      <c r="Y170" s="838">
        <f t="shared" si="41"/>
        <v>457607.1925939488</v>
      </c>
      <c r="Z170" s="838">
        <f t="shared" si="41"/>
        <v>514223.04295839136</v>
      </c>
      <c r="AA170" s="838">
        <f t="shared" si="41"/>
        <v>568706.53802734183</v>
      </c>
      <c r="AB170" s="838">
        <f t="shared" si="41"/>
        <v>625981.10028024565</v>
      </c>
      <c r="AC170" s="838">
        <f t="shared" si="41"/>
        <v>685749.92945545621</v>
      </c>
      <c r="AD170" s="838">
        <f t="shared" si="41"/>
        <v>756062.51749960531</v>
      </c>
      <c r="AE170" s="838">
        <f t="shared" si="41"/>
        <v>838427.42569590325</v>
      </c>
      <c r="AF170" s="838">
        <f t="shared" si="41"/>
        <v>934582.87588561908</v>
      </c>
      <c r="AG170" s="838">
        <f t="shared" si="41"/>
        <v>1046531.0433949851</v>
      </c>
    </row>
    <row r="171" spans="1:33" s="1" customFormat="1" ht="10.5">
      <c r="A171" s="837"/>
      <c r="C171" s="838"/>
      <c r="U171" s="838"/>
      <c r="V171" s="838"/>
      <c r="W171" s="838"/>
    </row>
    <row r="172" spans="1:33" s="1" customFormat="1" ht="10.5">
      <c r="A172" s="24" t="s">
        <v>127</v>
      </c>
      <c r="C172" s="838"/>
      <c r="U172" s="838"/>
      <c r="V172" s="838"/>
      <c r="W172" s="838"/>
    </row>
    <row r="173" spans="1:33" s="3" customFormat="1">
      <c r="A173" s="13" t="s">
        <v>785</v>
      </c>
      <c r="C173" s="40">
        <v>122</v>
      </c>
      <c r="D173" s="40">
        <v>234</v>
      </c>
      <c r="E173" s="40">
        <v>821</v>
      </c>
      <c r="F173" s="40">
        <v>1226</v>
      </c>
      <c r="G173" s="40">
        <v>621</v>
      </c>
      <c r="H173" s="40">
        <v>347</v>
      </c>
      <c r="I173" s="40">
        <v>263</v>
      </c>
      <c r="J173" s="40">
        <v>353</v>
      </c>
      <c r="K173" s="40">
        <v>694</v>
      </c>
      <c r="L173" s="40">
        <v>880</v>
      </c>
      <c r="M173" s="40">
        <v>681</v>
      </c>
      <c r="N173" s="40">
        <v>1809</v>
      </c>
      <c r="O173" s="40">
        <v>1067</v>
      </c>
      <c r="P173" s="40">
        <v>1793</v>
      </c>
      <c r="Q173" s="40">
        <v>3443</v>
      </c>
      <c r="R173" s="40">
        <v>4761</v>
      </c>
      <c r="S173" s="40">
        <v>8927</v>
      </c>
      <c r="T173" s="40">
        <v>7942</v>
      </c>
      <c r="U173" s="40">
        <v>12237</v>
      </c>
      <c r="V173" s="40">
        <v>29892</v>
      </c>
      <c r="W173" s="40"/>
    </row>
    <row r="174" spans="1:33" s="3" customFormat="1">
      <c r="A174" s="13" t="str">
        <f>+'D&amp;A forecast - Case 1'!A174</f>
        <v>Assets acquired under capital leases</v>
      </c>
      <c r="C174" s="40">
        <f>+'D&amp;A forecast - Case 1'!C174</f>
        <v>0</v>
      </c>
      <c r="D174" s="40">
        <f>+'D&amp;A forecast - Case 1'!D174</f>
        <v>0</v>
      </c>
      <c r="E174" s="40">
        <f>+'D&amp;A forecast - Case 1'!E174</f>
        <v>0</v>
      </c>
      <c r="F174" s="40">
        <f>+'D&amp;A forecast - Case 1'!F174</f>
        <v>0</v>
      </c>
      <c r="G174" s="40">
        <f>+'D&amp;A forecast - Case 1'!G174</f>
        <v>0</v>
      </c>
      <c r="H174" s="40">
        <f>+'D&amp;A forecast - Case 1'!H174</f>
        <v>0</v>
      </c>
      <c r="I174" s="40">
        <f>+'D&amp;A forecast - Case 1'!I174</f>
        <v>0</v>
      </c>
      <c r="J174" s="40">
        <f>+'D&amp;A forecast - Case 1'!J174</f>
        <v>0</v>
      </c>
      <c r="K174" s="40">
        <f>+'D&amp;A forecast - Case 1'!K174</f>
        <v>0</v>
      </c>
      <c r="L174" s="40">
        <f>+'D&amp;A forecast - Case 1'!L174</f>
        <v>0</v>
      </c>
      <c r="M174" s="40">
        <f>+'D&amp;A forecast - Case 1'!M174</f>
        <v>0</v>
      </c>
      <c r="N174" s="40">
        <f>+'D&amp;A forecast - Case 1'!N174</f>
        <v>2071</v>
      </c>
      <c r="O174" s="40">
        <f>+'D&amp;A forecast - Case 1'!O174</f>
        <v>1968</v>
      </c>
      <c r="P174" s="40">
        <f>+'D&amp;A forecast - Case 1'!P174</f>
        <v>2975</v>
      </c>
      <c r="Q174" s="40">
        <f>+'D&amp;A forecast - Case 1'!Q174</f>
        <v>3559</v>
      </c>
      <c r="R174" s="40">
        <f>+'D&amp;A forecast - Case 1'!R174</f>
        <v>3578</v>
      </c>
      <c r="S174" s="40">
        <f>+'D&amp;A forecast - Case 1'!S174</f>
        <v>5314</v>
      </c>
      <c r="T174" s="40">
        <f>+'D&amp;A forecast - Case 1'!T174</f>
        <v>3793</v>
      </c>
      <c r="U174" s="40">
        <f>+'D&amp;A forecast - Case 1'!U174</f>
        <v>11223</v>
      </c>
      <c r="V174" s="40"/>
      <c r="W174" s="40"/>
    </row>
    <row r="175" spans="1:33" s="1" customFormat="1" ht="10.5">
      <c r="A175" s="837"/>
      <c r="C175" s="838"/>
      <c r="V175" s="838"/>
      <c r="W175" s="838"/>
    </row>
    <row r="176" spans="1:33" s="1" customFormat="1" ht="10.5">
      <c r="A176" t="s">
        <v>786</v>
      </c>
      <c r="D176" s="8">
        <f t="shared" ref="D176:U176" si="42">+C170</f>
        <v>7223</v>
      </c>
      <c r="E176" s="8">
        <f t="shared" si="42"/>
        <v>9366</v>
      </c>
      <c r="F176" s="8">
        <f t="shared" si="42"/>
        <v>12544</v>
      </c>
      <c r="G176" s="8">
        <f t="shared" si="42"/>
        <v>15082</v>
      </c>
      <c r="H176" s="8">
        <f t="shared" si="42"/>
        <v>16259</v>
      </c>
      <c r="I176" s="8">
        <f t="shared" si="42"/>
        <v>17991</v>
      </c>
      <c r="J176" s="8">
        <f t="shared" si="42"/>
        <v>19231</v>
      </c>
      <c r="K176" s="8">
        <f t="shared" si="42"/>
        <v>22504</v>
      </c>
      <c r="L176" s="8">
        <f t="shared" si="42"/>
        <v>27804</v>
      </c>
      <c r="M176" s="8">
        <f t="shared" si="42"/>
        <v>32337</v>
      </c>
      <c r="N176" s="8">
        <f t="shared" si="42"/>
        <v>38156</v>
      </c>
      <c r="O176" s="8">
        <f t="shared" si="42"/>
        <v>47913</v>
      </c>
      <c r="P176" s="8">
        <f t="shared" si="42"/>
        <v>58683</v>
      </c>
      <c r="Q176" s="8">
        <f t="shared" si="42"/>
        <v>71807</v>
      </c>
      <c r="R176" s="8">
        <f t="shared" si="42"/>
        <v>87348</v>
      </c>
      <c r="S176" s="8">
        <f t="shared" si="42"/>
        <v>111066</v>
      </c>
      <c r="T176" s="8">
        <f t="shared" si="42"/>
        <v>134058</v>
      </c>
      <c r="U176" s="8">
        <f t="shared" si="42"/>
        <v>163892</v>
      </c>
      <c r="V176" s="8">
        <f t="shared" ref="V176:AG176" si="43">+U179</f>
        <v>212012</v>
      </c>
      <c r="W176" s="8">
        <f t="shared" si="43"/>
        <v>285206.45146803994</v>
      </c>
      <c r="X176" s="8">
        <f t="shared" si="43"/>
        <v>342335.53190244886</v>
      </c>
      <c r="Y176" s="8">
        <f t="shared" si="43"/>
        <v>400018.7518420979</v>
      </c>
      <c r="Z176" s="8">
        <f t="shared" si="43"/>
        <v>457607.1925939488</v>
      </c>
      <c r="AA176" s="8">
        <f t="shared" si="43"/>
        <v>514223.04295839136</v>
      </c>
      <c r="AB176" s="8">
        <f t="shared" si="43"/>
        <v>568706.53802734183</v>
      </c>
      <c r="AC176" s="8">
        <f t="shared" si="43"/>
        <v>625981.10028024565</v>
      </c>
      <c r="AD176" s="8">
        <f t="shared" si="43"/>
        <v>685749.92945545621</v>
      </c>
      <c r="AE176" s="8">
        <f t="shared" si="43"/>
        <v>756062.51749960531</v>
      </c>
      <c r="AF176" s="8">
        <f t="shared" si="43"/>
        <v>838427.42569590325</v>
      </c>
      <c r="AG176" s="8">
        <f t="shared" si="43"/>
        <v>934582.87588561908</v>
      </c>
    </row>
    <row r="177" spans="1:33" s="1" customFormat="1" ht="10.5">
      <c r="A177" t="s">
        <v>787</v>
      </c>
      <c r="D177" s="29">
        <f>+'Historical Financials'!AU1199</f>
        <v>2264</v>
      </c>
      <c r="E177" s="29">
        <f>+'Historical Financials'!AV1199</f>
        <v>3182</v>
      </c>
      <c r="F177" s="29">
        <f>+'Historical Financials'!AW1199</f>
        <v>3119</v>
      </c>
      <c r="G177" s="29">
        <f>+'Historical Financials'!AX1199</f>
        <v>1977</v>
      </c>
      <c r="H177" s="29">
        <f>+'Historical Financials'!AY1199</f>
        <v>2355</v>
      </c>
      <c r="I177" s="29">
        <f>+'Historical Financials'!AZ1199</f>
        <v>2305</v>
      </c>
      <c r="J177" s="29">
        <f>+'Historical Financials'!BA1199</f>
        <v>4257</v>
      </c>
      <c r="K177" s="29">
        <f>+'Historical Financials'!BB1199</f>
        <v>5485</v>
      </c>
      <c r="L177" s="29">
        <f>+'Historical Financials'!BC1199</f>
        <v>5944</v>
      </c>
      <c r="M177" s="29">
        <f>+'Historical Financials'!BG1199</f>
        <v>8900</v>
      </c>
      <c r="N177" s="29">
        <f>+'Historical Financials'!BH1199</f>
        <v>10200</v>
      </c>
      <c r="O177" s="29">
        <f>+'Historical Financials'!BI1199</f>
        <v>13600</v>
      </c>
      <c r="P177" s="29">
        <f>+'Historical Financials'!BJ1199</f>
        <v>16900</v>
      </c>
      <c r="Q177" s="29">
        <f>+'Historical Financials'!BK1199</f>
        <v>19000</v>
      </c>
      <c r="R177" s="29">
        <f>+'Historical Financials'!BL1199</f>
        <v>24200</v>
      </c>
      <c r="S177" s="29">
        <f>+'Historical Financials'!BM1199</f>
        <v>29200</v>
      </c>
      <c r="T177" s="29">
        <f>+'Historical Financials'!BN1199</f>
        <v>31900</v>
      </c>
      <c r="U177" s="29">
        <f>+'Historical Financials'!BO1199</f>
        <v>55700</v>
      </c>
      <c r="V177" s="8">
        <f t="shared" ref="V177:AG177" si="44">+V14</f>
        <v>83000</v>
      </c>
      <c r="W177" s="8">
        <f t="shared" si="44"/>
        <v>70319.870113757162</v>
      </c>
      <c r="X177" s="8">
        <f t="shared" si="44"/>
        <v>73516.227846200665</v>
      </c>
      <c r="Y177" s="8">
        <f t="shared" si="44"/>
        <v>76089.295820817671</v>
      </c>
      <c r="Z177" s="8">
        <f t="shared" si="44"/>
        <v>77780.169061280292</v>
      </c>
      <c r="AA177" s="8">
        <f t="shared" si="44"/>
        <v>78266.295117913294</v>
      </c>
      <c r="AB177" s="8">
        <f t="shared" si="44"/>
        <v>83577.222286628836</v>
      </c>
      <c r="AC177" s="8">
        <f t="shared" si="44"/>
        <v>88720.435965805969</v>
      </c>
      <c r="AD177" s="8">
        <f t="shared" si="44"/>
        <v>102028.50136067685</v>
      </c>
      <c r="AE177" s="8">
        <f t="shared" si="44"/>
        <v>117332.77656477837</v>
      </c>
      <c r="AF177" s="8">
        <f t="shared" si="44"/>
        <v>134932.69304949511</v>
      </c>
      <c r="AG177" s="8">
        <f t="shared" si="44"/>
        <v>155172.59700691939</v>
      </c>
    </row>
    <row r="178" spans="1:33" s="1" customFormat="1" ht="11.45">
      <c r="A178" t="s">
        <v>200</v>
      </c>
      <c r="D178" s="10">
        <f t="shared" ref="D178:U178" si="45">+D179-SUM(D176:D177)</f>
        <v>-121</v>
      </c>
      <c r="E178" s="10">
        <f t="shared" si="45"/>
        <v>-4</v>
      </c>
      <c r="F178" s="10">
        <f t="shared" si="45"/>
        <v>-581</v>
      </c>
      <c r="G178" s="10">
        <f t="shared" si="45"/>
        <v>-800</v>
      </c>
      <c r="H178" s="10">
        <f t="shared" si="45"/>
        <v>-623</v>
      </c>
      <c r="I178" s="10">
        <f t="shared" si="45"/>
        <v>-1065</v>
      </c>
      <c r="J178" s="10">
        <f t="shared" si="45"/>
        <v>-984</v>
      </c>
      <c r="K178" s="10">
        <f t="shared" si="45"/>
        <v>-185</v>
      </c>
      <c r="L178" s="10">
        <f t="shared" si="45"/>
        <v>-1411</v>
      </c>
      <c r="M178" s="10">
        <f t="shared" si="45"/>
        <v>-3081</v>
      </c>
      <c r="N178" s="10">
        <f t="shared" si="45"/>
        <v>-443</v>
      </c>
      <c r="O178" s="10">
        <f t="shared" si="45"/>
        <v>-2830</v>
      </c>
      <c r="P178" s="10">
        <f t="shared" si="45"/>
        <v>-3776</v>
      </c>
      <c r="Q178" s="10">
        <f t="shared" si="45"/>
        <v>-3459</v>
      </c>
      <c r="R178" s="10">
        <f t="shared" si="45"/>
        <v>-482</v>
      </c>
      <c r="S178" s="10">
        <f t="shared" si="45"/>
        <v>-6208</v>
      </c>
      <c r="T178" s="10">
        <f t="shared" si="45"/>
        <v>-2066</v>
      </c>
      <c r="U178" s="10">
        <f t="shared" si="45"/>
        <v>-7580</v>
      </c>
      <c r="V178" s="58">
        <f t="shared" ref="V178:AG178" si="46">+U178/U176*V176</f>
        <v>-9805.5485319600702</v>
      </c>
      <c r="W178" s="58">
        <f t="shared" si="46"/>
        <v>-13190.789679348245</v>
      </c>
      <c r="X178" s="58">
        <f t="shared" si="46"/>
        <v>-15833.007906551644</v>
      </c>
      <c r="Y178" s="58">
        <f t="shared" si="46"/>
        <v>-18500.855068966772</v>
      </c>
      <c r="Z178" s="58">
        <f t="shared" si="46"/>
        <v>-21164.318696837749</v>
      </c>
      <c r="AA178" s="58">
        <f t="shared" si="46"/>
        <v>-23782.800048962774</v>
      </c>
      <c r="AB178" s="58">
        <f t="shared" si="46"/>
        <v>-26302.660033724962</v>
      </c>
      <c r="AC178" s="58">
        <f t="shared" si="46"/>
        <v>-28951.606790595408</v>
      </c>
      <c r="AD178" s="58">
        <f t="shared" si="46"/>
        <v>-31715.913316527705</v>
      </c>
      <c r="AE178" s="58">
        <f t="shared" si="46"/>
        <v>-34967.868368480515</v>
      </c>
      <c r="AF178" s="58">
        <f t="shared" si="46"/>
        <v>-38777.24285977929</v>
      </c>
      <c r="AG178" s="58">
        <f t="shared" si="46"/>
        <v>-43224.429497553225</v>
      </c>
    </row>
    <row r="179" spans="1:33" s="1" customFormat="1" ht="10.5">
      <c r="A179" s="837" t="s">
        <v>784</v>
      </c>
      <c r="D179" s="838">
        <f t="shared" ref="D179:U179" si="47">+D170</f>
        <v>9366</v>
      </c>
      <c r="E179" s="838">
        <f t="shared" si="47"/>
        <v>12544</v>
      </c>
      <c r="F179" s="838">
        <f t="shared" si="47"/>
        <v>15082</v>
      </c>
      <c r="G179" s="838">
        <f t="shared" si="47"/>
        <v>16259</v>
      </c>
      <c r="H179" s="838">
        <f t="shared" si="47"/>
        <v>17991</v>
      </c>
      <c r="I179" s="838">
        <f t="shared" si="47"/>
        <v>19231</v>
      </c>
      <c r="J179" s="838">
        <f t="shared" si="47"/>
        <v>22504</v>
      </c>
      <c r="K179" s="838">
        <f t="shared" si="47"/>
        <v>27804</v>
      </c>
      <c r="L179" s="838">
        <f t="shared" si="47"/>
        <v>32337</v>
      </c>
      <c r="M179" s="838">
        <f t="shared" si="47"/>
        <v>38156</v>
      </c>
      <c r="N179" s="838">
        <f t="shared" si="47"/>
        <v>47913</v>
      </c>
      <c r="O179" s="838">
        <f t="shared" si="47"/>
        <v>58683</v>
      </c>
      <c r="P179" s="838">
        <f t="shared" si="47"/>
        <v>71807</v>
      </c>
      <c r="Q179" s="838">
        <f t="shared" si="47"/>
        <v>87348</v>
      </c>
      <c r="R179" s="838">
        <f t="shared" si="47"/>
        <v>111066</v>
      </c>
      <c r="S179" s="838">
        <f t="shared" si="47"/>
        <v>134058</v>
      </c>
      <c r="T179" s="838">
        <f t="shared" si="47"/>
        <v>163892</v>
      </c>
      <c r="U179" s="838">
        <f t="shared" si="47"/>
        <v>212012</v>
      </c>
      <c r="V179" s="838">
        <f t="shared" ref="V179:AF179" si="48">+SUM(V176:V178)</f>
        <v>285206.45146803994</v>
      </c>
      <c r="W179" s="838">
        <f t="shared" si="48"/>
        <v>342335.53190244886</v>
      </c>
      <c r="X179" s="838">
        <f t="shared" si="48"/>
        <v>400018.7518420979</v>
      </c>
      <c r="Y179" s="838">
        <f t="shared" si="48"/>
        <v>457607.1925939488</v>
      </c>
      <c r="Z179" s="838">
        <f t="shared" si="48"/>
        <v>514223.04295839136</v>
      </c>
      <c r="AA179" s="838">
        <f t="shared" si="48"/>
        <v>568706.53802734183</v>
      </c>
      <c r="AB179" s="838">
        <f t="shared" si="48"/>
        <v>625981.10028024565</v>
      </c>
      <c r="AC179" s="838">
        <f t="shared" si="48"/>
        <v>685749.92945545621</v>
      </c>
      <c r="AD179" s="838">
        <f t="shared" si="48"/>
        <v>756062.51749960531</v>
      </c>
      <c r="AE179" s="838">
        <f t="shared" si="48"/>
        <v>838427.42569590325</v>
      </c>
      <c r="AF179" s="838">
        <f t="shared" si="48"/>
        <v>934582.87588561908</v>
      </c>
      <c r="AG179" s="838">
        <f t="shared" ref="AG179" si="49">+SUM(AG176:AG178)</f>
        <v>1046531.0433949851</v>
      </c>
    </row>
    <row r="180" spans="1:33">
      <c r="S180" s="8"/>
      <c r="T180" s="8"/>
      <c r="U180" s="8"/>
      <c r="V180" s="8"/>
    </row>
    <row r="181" spans="1:33" ht="10.5">
      <c r="A181" s="45" t="s">
        <v>788</v>
      </c>
      <c r="C181" s="8"/>
    </row>
    <row r="182" spans="1:33" s="1" customFormat="1" ht="10.5">
      <c r="A182" s="1" t="s">
        <v>775</v>
      </c>
      <c r="C182" s="936">
        <v>4179</v>
      </c>
      <c r="D182" s="936">
        <v>5016</v>
      </c>
      <c r="E182" s="936">
        <v>6302</v>
      </c>
      <c r="F182" s="936">
        <v>7547</v>
      </c>
      <c r="G182" s="936">
        <v>8629</v>
      </c>
      <c r="H182" s="936">
        <v>9829</v>
      </c>
      <c r="I182" s="936">
        <v>10962</v>
      </c>
      <c r="J182" s="936">
        <v>12513</v>
      </c>
      <c r="K182" s="936">
        <v>14793</v>
      </c>
      <c r="L182" s="936">
        <v>17606</v>
      </c>
      <c r="M182" s="936">
        <v>19800</v>
      </c>
      <c r="N182" s="936">
        <v>24179</v>
      </c>
      <c r="O182" s="936">
        <v>29223</v>
      </c>
      <c r="P182" s="936">
        <v>35330</v>
      </c>
      <c r="Q182" s="936">
        <v>43197</v>
      </c>
      <c r="R182" s="936">
        <v>51351</v>
      </c>
      <c r="S182" s="936">
        <v>59660</v>
      </c>
      <c r="T182" s="936">
        <v>68251</v>
      </c>
      <c r="U182" s="936">
        <v>76421</v>
      </c>
      <c r="V182" s="849">
        <f t="shared" ref="V182:AG182" si="50">+V187</f>
        <v>92628.314508597905</v>
      </c>
      <c r="W182" s="849">
        <f t="shared" si="50"/>
        <v>112808.7058163281</v>
      </c>
      <c r="X182" s="849">
        <f t="shared" si="50"/>
        <v>137846.33043613602</v>
      </c>
      <c r="Y182" s="849">
        <f t="shared" si="50"/>
        <v>166254.35532297136</v>
      </c>
      <c r="Z182" s="849">
        <f t="shared" si="50"/>
        <v>199240.82182841655</v>
      </c>
      <c r="AA182" s="849">
        <f t="shared" si="50"/>
        <v>234210.48006786959</v>
      </c>
      <c r="AB182" s="849">
        <f t="shared" si="50"/>
        <v>272093.31288468232</v>
      </c>
      <c r="AC182" s="849">
        <f t="shared" si="50"/>
        <v>312870.26636457298</v>
      </c>
      <c r="AD182" s="849">
        <f t="shared" si="50"/>
        <v>355661.89539352676</v>
      </c>
      <c r="AE182" s="849">
        <f t="shared" si="50"/>
        <v>399457.61986054073</v>
      </c>
      <c r="AF182" s="849">
        <f t="shared" si="50"/>
        <v>445127.128976523</v>
      </c>
      <c r="AG182" s="849">
        <f t="shared" si="50"/>
        <v>494978.52754154522</v>
      </c>
    </row>
    <row r="183" spans="1:33">
      <c r="V183" s="100"/>
      <c r="W183" s="100"/>
      <c r="X183" s="100"/>
      <c r="Y183" s="100"/>
      <c r="Z183" s="100"/>
      <c r="AA183" s="100"/>
      <c r="AB183" s="100"/>
      <c r="AC183" s="100"/>
      <c r="AD183" s="100"/>
      <c r="AE183" s="100"/>
      <c r="AF183" s="100"/>
      <c r="AG183" s="100"/>
    </row>
    <row r="184" spans="1:33">
      <c r="A184" t="s">
        <v>789</v>
      </c>
      <c r="D184" s="8">
        <f>+C182</f>
        <v>4179</v>
      </c>
      <c r="E184" s="8">
        <f>+D187</f>
        <v>5016</v>
      </c>
      <c r="F184" s="8">
        <f t="shared" ref="F184:AG184" si="51">+E187</f>
        <v>6302</v>
      </c>
      <c r="G184" s="8">
        <f t="shared" si="51"/>
        <v>7547</v>
      </c>
      <c r="H184" s="8">
        <f t="shared" si="51"/>
        <v>8629</v>
      </c>
      <c r="I184" s="8">
        <f t="shared" si="51"/>
        <v>9829</v>
      </c>
      <c r="J184" s="8">
        <f t="shared" si="51"/>
        <v>10962</v>
      </c>
      <c r="K184" s="8">
        <f t="shared" si="51"/>
        <v>12513</v>
      </c>
      <c r="L184" s="8">
        <f t="shared" si="51"/>
        <v>14793</v>
      </c>
      <c r="M184" s="8">
        <f t="shared" si="51"/>
        <v>17606</v>
      </c>
      <c r="N184" s="8">
        <f t="shared" si="51"/>
        <v>19800</v>
      </c>
      <c r="O184" s="8">
        <f t="shared" si="51"/>
        <v>24179</v>
      </c>
      <c r="P184" s="8">
        <f t="shared" si="51"/>
        <v>29223</v>
      </c>
      <c r="Q184" s="8">
        <f t="shared" si="51"/>
        <v>35330</v>
      </c>
      <c r="R184" s="8">
        <f t="shared" si="51"/>
        <v>43197</v>
      </c>
      <c r="S184" s="8">
        <f t="shared" si="51"/>
        <v>51351</v>
      </c>
      <c r="T184" s="8">
        <f t="shared" si="51"/>
        <v>59660</v>
      </c>
      <c r="U184" s="8">
        <f t="shared" si="51"/>
        <v>68251</v>
      </c>
      <c r="V184" s="11">
        <f t="shared" si="51"/>
        <v>76421</v>
      </c>
      <c r="W184" s="11">
        <f t="shared" si="51"/>
        <v>92628.314508597905</v>
      </c>
      <c r="X184" s="11">
        <f t="shared" si="51"/>
        <v>112808.7058163281</v>
      </c>
      <c r="Y184" s="11">
        <f t="shared" si="51"/>
        <v>137846.33043613602</v>
      </c>
      <c r="Z184" s="11">
        <f t="shared" si="51"/>
        <v>166254.35532297136</v>
      </c>
      <c r="AA184" s="11">
        <f t="shared" si="51"/>
        <v>199240.82182841655</v>
      </c>
      <c r="AB184" s="11">
        <f t="shared" si="51"/>
        <v>234210.48006786959</v>
      </c>
      <c r="AC184" s="11">
        <f t="shared" si="51"/>
        <v>272093.31288468232</v>
      </c>
      <c r="AD184" s="11">
        <f t="shared" si="51"/>
        <v>312870.26636457298</v>
      </c>
      <c r="AE184" s="11">
        <f t="shared" si="51"/>
        <v>355661.89539352676</v>
      </c>
      <c r="AF184" s="11">
        <f t="shared" si="51"/>
        <v>399457.61986054073</v>
      </c>
      <c r="AG184" s="11">
        <f t="shared" si="51"/>
        <v>445127.128976523</v>
      </c>
    </row>
    <row r="185" spans="1:33">
      <c r="A185" t="s">
        <v>790</v>
      </c>
      <c r="C185" s="29">
        <f t="shared" ref="C185:S185" si="52">+C214</f>
        <v>0</v>
      </c>
      <c r="D185" s="11">
        <f t="shared" si="52"/>
        <v>940</v>
      </c>
      <c r="E185" s="11">
        <f t="shared" si="52"/>
        <v>1556</v>
      </c>
      <c r="F185" s="11">
        <f t="shared" si="52"/>
        <v>2062</v>
      </c>
      <c r="G185" s="11">
        <f t="shared" si="52"/>
        <v>2173</v>
      </c>
      <c r="H185" s="11">
        <f t="shared" si="52"/>
        <v>2266</v>
      </c>
      <c r="I185" s="11">
        <f t="shared" si="52"/>
        <v>2467</v>
      </c>
      <c r="J185" s="11">
        <f t="shared" si="52"/>
        <v>3255</v>
      </c>
      <c r="K185" s="11">
        <f t="shared" si="52"/>
        <v>4712</v>
      </c>
      <c r="L185" s="11">
        <f t="shared" si="52"/>
        <v>5457</v>
      </c>
      <c r="M185" s="29">
        <f t="shared" si="52"/>
        <v>4900</v>
      </c>
      <c r="N185" s="29">
        <f t="shared" si="52"/>
        <v>6100</v>
      </c>
      <c r="O185" s="29">
        <f t="shared" si="52"/>
        <v>7700</v>
      </c>
      <c r="P185" s="29">
        <f t="shared" si="52"/>
        <v>9700</v>
      </c>
      <c r="Q185" s="29">
        <f t="shared" si="52"/>
        <v>10700</v>
      </c>
      <c r="R185" s="29">
        <f t="shared" si="52"/>
        <v>9300</v>
      </c>
      <c r="S185" s="29">
        <f t="shared" si="52"/>
        <v>12600</v>
      </c>
      <c r="T185" s="29">
        <f>+T214</f>
        <v>11000</v>
      </c>
      <c r="U185" s="29">
        <f t="shared" ref="U185" si="53">+U214</f>
        <v>15200</v>
      </c>
      <c r="V185" s="11">
        <f t="shared" ref="V185:AG185" si="54">+V50</f>
        <v>24078.842105263157</v>
      </c>
      <c r="W185" s="11">
        <f t="shared" si="54"/>
        <v>29721.307206331589</v>
      </c>
      <c r="X185" s="11">
        <f t="shared" si="54"/>
        <v>36657.164287926877</v>
      </c>
      <c r="Y185" s="11">
        <f t="shared" si="54"/>
        <v>42606.493817195886</v>
      </c>
      <c r="Z185" s="11">
        <f t="shared" si="54"/>
        <v>50111.023184768419</v>
      </c>
      <c r="AA185" s="11">
        <f t="shared" si="54"/>
        <v>55491.89201557012</v>
      </c>
      <c r="AB185" s="11">
        <f t="shared" si="54"/>
        <v>62007.016709753821</v>
      </c>
      <c r="AC185" s="11">
        <f t="shared" si="54"/>
        <v>68803.150745561768</v>
      </c>
      <c r="AD185" s="11">
        <f t="shared" si="54"/>
        <v>75017.940329051184</v>
      </c>
      <c r="AE185" s="11">
        <f t="shared" si="54"/>
        <v>80429.665722328806</v>
      </c>
      <c r="AF185" s="11">
        <f t="shared" si="54"/>
        <v>86814.504319270171</v>
      </c>
      <c r="AG185" s="11">
        <f t="shared" si="54"/>
        <v>95700.451570911595</v>
      </c>
    </row>
    <row r="186" spans="1:33" ht="11.45">
      <c r="A186" t="s">
        <v>200</v>
      </c>
      <c r="D186" s="10">
        <f>+D187-SUM(D184:D185)</f>
        <v>-103</v>
      </c>
      <c r="E186" s="10">
        <f t="shared" ref="E186:U186" si="55">+E187-SUM(E184:E185)</f>
        <v>-270</v>
      </c>
      <c r="F186" s="10">
        <f t="shared" si="55"/>
        <v>-817</v>
      </c>
      <c r="G186" s="10">
        <f t="shared" si="55"/>
        <v>-1091</v>
      </c>
      <c r="H186" s="10">
        <f t="shared" si="55"/>
        <v>-1066</v>
      </c>
      <c r="I186" s="10">
        <f t="shared" si="55"/>
        <v>-1334</v>
      </c>
      <c r="J186" s="10">
        <f t="shared" si="55"/>
        <v>-1704</v>
      </c>
      <c r="K186" s="10">
        <f t="shared" si="55"/>
        <v>-2432</v>
      </c>
      <c r="L186" s="10">
        <f t="shared" si="55"/>
        <v>-2644</v>
      </c>
      <c r="M186" s="10">
        <f t="shared" si="55"/>
        <v>-2706</v>
      </c>
      <c r="N186" s="10">
        <f t="shared" si="55"/>
        <v>-1721</v>
      </c>
      <c r="O186" s="10">
        <f t="shared" si="55"/>
        <v>-2656</v>
      </c>
      <c r="P186" s="10">
        <f t="shared" si="55"/>
        <v>-3593</v>
      </c>
      <c r="Q186" s="10">
        <f t="shared" si="55"/>
        <v>-2833</v>
      </c>
      <c r="R186" s="10">
        <f t="shared" si="55"/>
        <v>-1146</v>
      </c>
      <c r="S186" s="10">
        <f t="shared" si="55"/>
        <v>-4291</v>
      </c>
      <c r="T186" s="10">
        <f t="shared" si="55"/>
        <v>-2409</v>
      </c>
      <c r="U186" s="10">
        <f t="shared" si="55"/>
        <v>-7030</v>
      </c>
      <c r="V186" s="58">
        <f t="shared" ref="V186:AG186" si="56">+U186/U184*V184</f>
        <v>-7871.5275966652507</v>
      </c>
      <c r="W186" s="58">
        <f t="shared" si="56"/>
        <v>-9540.9158986013881</v>
      </c>
      <c r="X186" s="58">
        <f t="shared" si="56"/>
        <v>-11619.539668118954</v>
      </c>
      <c r="Y186" s="58">
        <f t="shared" si="56"/>
        <v>-14198.468930360528</v>
      </c>
      <c r="Z186" s="58">
        <f t="shared" si="56"/>
        <v>-17124.556679323217</v>
      </c>
      <c r="AA186" s="58">
        <f t="shared" si="56"/>
        <v>-20522.233776117104</v>
      </c>
      <c r="AB186" s="58">
        <f t="shared" si="56"/>
        <v>-24124.183892941102</v>
      </c>
      <c r="AC186" s="58">
        <f t="shared" si="56"/>
        <v>-28026.197265671079</v>
      </c>
      <c r="AD186" s="58">
        <f t="shared" si="56"/>
        <v>-32226.311300097408</v>
      </c>
      <c r="AE186" s="58">
        <f t="shared" si="56"/>
        <v>-36633.941255314843</v>
      </c>
      <c r="AF186" s="58">
        <f t="shared" si="56"/>
        <v>-41144.995203287886</v>
      </c>
      <c r="AG186" s="58">
        <f t="shared" si="56"/>
        <v>-45849.053005889393</v>
      </c>
    </row>
    <row r="187" spans="1:33" s="1" customFormat="1" ht="10.5">
      <c r="A187" s="837" t="s">
        <v>775</v>
      </c>
      <c r="C187" s="838"/>
      <c r="D187" s="838">
        <f>+D182</f>
        <v>5016</v>
      </c>
      <c r="E187" s="838">
        <f t="shared" ref="E187:U187" si="57">+E182</f>
        <v>6302</v>
      </c>
      <c r="F187" s="838">
        <f t="shared" si="57"/>
        <v>7547</v>
      </c>
      <c r="G187" s="838">
        <f t="shared" si="57"/>
        <v>8629</v>
      </c>
      <c r="H187" s="838">
        <f t="shared" si="57"/>
        <v>9829</v>
      </c>
      <c r="I187" s="838">
        <f t="shared" si="57"/>
        <v>10962</v>
      </c>
      <c r="J187" s="838">
        <f t="shared" si="57"/>
        <v>12513</v>
      </c>
      <c r="K187" s="838">
        <f>+K182</f>
        <v>14793</v>
      </c>
      <c r="L187" s="838">
        <f t="shared" si="57"/>
        <v>17606</v>
      </c>
      <c r="M187" s="838">
        <f t="shared" si="57"/>
        <v>19800</v>
      </c>
      <c r="N187" s="838">
        <f t="shared" si="57"/>
        <v>24179</v>
      </c>
      <c r="O187" s="838">
        <f t="shared" si="57"/>
        <v>29223</v>
      </c>
      <c r="P187" s="838">
        <f t="shared" si="57"/>
        <v>35330</v>
      </c>
      <c r="Q187" s="838">
        <f t="shared" si="57"/>
        <v>43197</v>
      </c>
      <c r="R187" s="838">
        <f t="shared" si="57"/>
        <v>51351</v>
      </c>
      <c r="S187" s="838">
        <f t="shared" si="57"/>
        <v>59660</v>
      </c>
      <c r="T187" s="838">
        <f t="shared" si="57"/>
        <v>68251</v>
      </c>
      <c r="U187" s="838">
        <f t="shared" si="57"/>
        <v>76421</v>
      </c>
      <c r="V187" s="838">
        <f t="shared" ref="V187:AF187" si="58">+SUM(V184:V186)</f>
        <v>92628.314508597905</v>
      </c>
      <c r="W187" s="838">
        <f t="shared" si="58"/>
        <v>112808.7058163281</v>
      </c>
      <c r="X187" s="838">
        <f t="shared" si="58"/>
        <v>137846.33043613602</v>
      </c>
      <c r="Y187" s="838">
        <f t="shared" si="58"/>
        <v>166254.35532297136</v>
      </c>
      <c r="Z187" s="838">
        <f t="shared" si="58"/>
        <v>199240.82182841655</v>
      </c>
      <c r="AA187" s="838">
        <f t="shared" si="58"/>
        <v>234210.48006786959</v>
      </c>
      <c r="AB187" s="838">
        <f t="shared" si="58"/>
        <v>272093.31288468232</v>
      </c>
      <c r="AC187" s="838">
        <f t="shared" si="58"/>
        <v>312870.26636457298</v>
      </c>
      <c r="AD187" s="838">
        <f t="shared" si="58"/>
        <v>355661.89539352676</v>
      </c>
      <c r="AE187" s="838">
        <f t="shared" si="58"/>
        <v>399457.61986054073</v>
      </c>
      <c r="AF187" s="838">
        <f t="shared" si="58"/>
        <v>445127.128976523</v>
      </c>
      <c r="AG187" s="838">
        <f t="shared" ref="AG187" si="59">+SUM(AG184:AG186)</f>
        <v>494978.52754154522</v>
      </c>
    </row>
    <row r="188" spans="1:33">
      <c r="A188" s="13" t="s">
        <v>791</v>
      </c>
      <c r="D188" s="1220">
        <f t="shared" ref="D188:AG188" si="60">+D176/D185</f>
        <v>7.6840425531914898</v>
      </c>
      <c r="E188" s="1220">
        <f t="shared" si="60"/>
        <v>6.0192802056555266</v>
      </c>
      <c r="F188" s="1220">
        <f t="shared" si="60"/>
        <v>6.0834141610087293</v>
      </c>
      <c r="G188" s="1220">
        <f t="shared" si="60"/>
        <v>6.9406350667280261</v>
      </c>
      <c r="H188" s="1220">
        <f t="shared" si="60"/>
        <v>7.1751985878199473</v>
      </c>
      <c r="I188" s="1220">
        <f t="shared" si="60"/>
        <v>7.2926631536278883</v>
      </c>
      <c r="J188" s="1220">
        <f t="shared" si="60"/>
        <v>5.908141321044547</v>
      </c>
      <c r="K188" s="1220">
        <f t="shared" si="60"/>
        <v>4.7758913412563668</v>
      </c>
      <c r="L188" s="1220">
        <f t="shared" si="60"/>
        <v>5.0951072017592081</v>
      </c>
      <c r="M188" s="1220">
        <f t="shared" si="60"/>
        <v>6.5993877551020406</v>
      </c>
      <c r="N188" s="1220">
        <f t="shared" si="60"/>
        <v>6.2550819672131146</v>
      </c>
      <c r="O188" s="1220">
        <f t="shared" si="60"/>
        <v>6.2224675324675323</v>
      </c>
      <c r="P188" s="1220">
        <f t="shared" si="60"/>
        <v>6.0497938144329897</v>
      </c>
      <c r="Q188" s="1220">
        <f t="shared" si="60"/>
        <v>6.7109345794392521</v>
      </c>
      <c r="R188" s="1220">
        <f t="shared" si="60"/>
        <v>9.3922580645161293</v>
      </c>
      <c r="S188" s="1220">
        <f t="shared" si="60"/>
        <v>8.8147619047619052</v>
      </c>
      <c r="T188" s="1220">
        <f t="shared" si="60"/>
        <v>12.187090909090909</v>
      </c>
      <c r="U188" s="1220">
        <f t="shared" si="60"/>
        <v>10.782368421052631</v>
      </c>
      <c r="V188" s="1220">
        <f t="shared" si="60"/>
        <v>8.8049084367581933</v>
      </c>
      <c r="W188" s="1220">
        <f t="shared" si="60"/>
        <v>9.596026496683896</v>
      </c>
      <c r="X188" s="1220">
        <f t="shared" si="60"/>
        <v>9.3388438127277045</v>
      </c>
      <c r="Y188" s="1220">
        <f t="shared" si="60"/>
        <v>9.3886803631011571</v>
      </c>
      <c r="Z188" s="1220">
        <f t="shared" si="60"/>
        <v>9.1318668730165058</v>
      </c>
      <c r="AA188" s="1220">
        <f t="shared" si="60"/>
        <v>9.2666338140733924</v>
      </c>
      <c r="AB188" s="1220">
        <f t="shared" si="60"/>
        <v>9.1716481166861747</v>
      </c>
      <c r="AC188" s="1220">
        <f t="shared" si="60"/>
        <v>9.0981458479301587</v>
      </c>
      <c r="AD188" s="1220">
        <f t="shared" si="60"/>
        <v>9.1411457905609161</v>
      </c>
      <c r="AE188" s="1220">
        <f t="shared" si="60"/>
        <v>9.4002941664558968</v>
      </c>
      <c r="AF188" s="1220">
        <f t="shared" si="60"/>
        <v>9.6576883352635576</v>
      </c>
      <c r="AG188" s="1220">
        <f t="shared" si="60"/>
        <v>9.7657101982754693</v>
      </c>
    </row>
    <row r="189" spans="1:33">
      <c r="A189" s="13"/>
      <c r="D189" s="1220"/>
      <c r="E189" s="1220"/>
      <c r="F189" s="1220"/>
      <c r="G189" s="1220"/>
      <c r="H189" s="1220"/>
      <c r="I189" s="1220"/>
      <c r="J189" s="1220"/>
      <c r="K189" s="1220"/>
      <c r="L189" s="1220"/>
      <c r="M189" s="1220"/>
      <c r="N189" s="1220"/>
      <c r="O189" s="1220"/>
      <c r="P189" s="1220"/>
      <c r="Q189" s="1220"/>
      <c r="R189" s="1220"/>
      <c r="S189" s="1220"/>
      <c r="T189" s="1220"/>
      <c r="U189" s="1220"/>
      <c r="V189" s="1220"/>
      <c r="W189" s="1220"/>
    </row>
    <row r="190" spans="1:33">
      <c r="A190" s="24" t="s">
        <v>127</v>
      </c>
      <c r="D190" s="1220"/>
      <c r="E190" s="1220"/>
      <c r="F190" s="1220"/>
      <c r="G190" s="1220"/>
      <c r="H190" s="1220"/>
      <c r="I190" s="1220"/>
      <c r="J190" s="1220"/>
      <c r="K190" s="1220"/>
      <c r="L190" s="1220"/>
      <c r="M190" s="1220"/>
      <c r="N190" s="1220"/>
      <c r="O190" s="1220"/>
      <c r="P190" s="1220"/>
      <c r="Q190" s="1220"/>
      <c r="R190" s="1220"/>
      <c r="S190" s="1220"/>
      <c r="T190" s="1220"/>
      <c r="U190" s="1220"/>
      <c r="V190" s="1220"/>
      <c r="W190" s="1220"/>
    </row>
    <row r="191" spans="1:33">
      <c r="A191" s="13" t="s">
        <v>792</v>
      </c>
      <c r="D191" s="29">
        <f>+'Historical Financials'!AU1142</f>
        <v>1440</v>
      </c>
      <c r="E191" s="29">
        <f>+'Historical Financials'!AV1142</f>
        <v>2056</v>
      </c>
      <c r="F191" s="29">
        <f>+'Historical Financials'!AW1142</f>
        <v>2562</v>
      </c>
      <c r="G191" s="29">
        <f>+'Historical Financials'!AX1142</f>
        <v>2673</v>
      </c>
      <c r="H191" s="29">
        <f>+'Historical Financials'!AY1142</f>
        <v>2766</v>
      </c>
      <c r="I191" s="29">
        <f>+'Historical Financials'!AZ1142</f>
        <v>2967</v>
      </c>
      <c r="J191" s="29">
        <f>+'Historical Financials'!BA1142</f>
        <v>3755</v>
      </c>
      <c r="K191" s="29">
        <f>+'Historical Financials'!BB1142</f>
        <v>5212</v>
      </c>
      <c r="L191" s="29">
        <f>+'Historical Financials'!BC1142</f>
        <v>5957</v>
      </c>
      <c r="M191" s="29">
        <f>+'Historical Financials'!BG1142</f>
        <v>6622</v>
      </c>
      <c r="N191" s="29">
        <f>+'Historical Financials'!BH1142</f>
        <v>8778</v>
      </c>
      <c r="O191" s="29">
        <f>+'Historical Financials'!BI1142</f>
        <v>10261</v>
      </c>
      <c r="P191" s="29">
        <f>+'Historical Financials'!BJ1142</f>
        <v>11682</v>
      </c>
      <c r="Q191" s="29">
        <f>+'Historical Financials'!BK1142</f>
        <v>12796</v>
      </c>
      <c r="R191" s="29">
        <f>+'Historical Financials'!BL1142</f>
        <v>11686</v>
      </c>
      <c r="S191" s="29">
        <f>+'Historical Financials'!BM1142</f>
        <v>14460</v>
      </c>
      <c r="T191" s="29">
        <f>+'Historical Financials'!BN1142</f>
        <v>13861</v>
      </c>
      <c r="U191" s="29">
        <f>+'Historical Financials'!BO1142</f>
        <v>22287</v>
      </c>
      <c r="V191" s="1220"/>
      <c r="W191" s="1220"/>
    </row>
    <row r="192" spans="1:33">
      <c r="A192" s="15" t="s">
        <v>793</v>
      </c>
      <c r="B192" s="11"/>
      <c r="C192" s="11">
        <f t="shared" ref="C192:M192" si="61">+C185</f>
        <v>0</v>
      </c>
      <c r="D192" s="11">
        <f t="shared" si="61"/>
        <v>940</v>
      </c>
      <c r="E192" s="11">
        <f t="shared" si="61"/>
        <v>1556</v>
      </c>
      <c r="F192" s="11">
        <f t="shared" si="61"/>
        <v>2062</v>
      </c>
      <c r="G192" s="11">
        <f t="shared" si="61"/>
        <v>2173</v>
      </c>
      <c r="H192" s="11">
        <f t="shared" si="61"/>
        <v>2266</v>
      </c>
      <c r="I192" s="11">
        <f t="shared" si="61"/>
        <v>2467</v>
      </c>
      <c r="J192" s="11">
        <f t="shared" si="61"/>
        <v>3255</v>
      </c>
      <c r="K192" s="11">
        <f t="shared" si="61"/>
        <v>4712</v>
      </c>
      <c r="L192" s="11">
        <f t="shared" si="61"/>
        <v>5457</v>
      </c>
      <c r="M192" s="11">
        <f t="shared" si="61"/>
        <v>4900</v>
      </c>
      <c r="N192" s="11">
        <f>+N185</f>
        <v>6100</v>
      </c>
      <c r="O192" s="11">
        <f t="shared" ref="O192:U192" si="62">+O185</f>
        <v>7700</v>
      </c>
      <c r="P192" s="11">
        <f t="shared" si="62"/>
        <v>9700</v>
      </c>
      <c r="Q192" s="11">
        <f t="shared" si="62"/>
        <v>10700</v>
      </c>
      <c r="R192" s="11">
        <f t="shared" si="62"/>
        <v>9300</v>
      </c>
      <c r="S192" s="11">
        <f t="shared" si="62"/>
        <v>12600</v>
      </c>
      <c r="T192" s="11">
        <f t="shared" si="62"/>
        <v>11000</v>
      </c>
      <c r="U192" s="11">
        <f t="shared" si="62"/>
        <v>15200</v>
      </c>
      <c r="V192" s="1220"/>
      <c r="W192" s="1220"/>
    </row>
    <row r="193" spans="1:33">
      <c r="A193" s="15" t="s">
        <v>794</v>
      </c>
      <c r="B193" s="11"/>
      <c r="C193" s="11"/>
      <c r="D193" s="29">
        <v>236</v>
      </c>
      <c r="E193" s="29">
        <v>472</v>
      </c>
      <c r="F193" s="29">
        <v>591</v>
      </c>
      <c r="G193" s="29">
        <v>707</v>
      </c>
      <c r="H193" s="29">
        <v>537</v>
      </c>
      <c r="I193" s="29">
        <v>558</v>
      </c>
      <c r="J193" s="29">
        <v>739</v>
      </c>
      <c r="K193" s="29">
        <v>845</v>
      </c>
      <c r="L193" s="29">
        <v>1300</v>
      </c>
      <c r="M193" s="29">
        <v>978</v>
      </c>
      <c r="N193" s="29">
        <v>1700</v>
      </c>
      <c r="O193" s="29">
        <v>2200</v>
      </c>
      <c r="P193" s="29">
        <v>1900</v>
      </c>
      <c r="Q193" s="29">
        <v>1600</v>
      </c>
      <c r="R193" s="29">
        <v>1600</v>
      </c>
      <c r="S193" s="29">
        <v>2000</v>
      </c>
      <c r="T193" s="29">
        <v>2500</v>
      </c>
      <c r="U193" s="29">
        <v>4800</v>
      </c>
      <c r="V193" s="1220"/>
      <c r="W193" s="1220"/>
    </row>
    <row r="194" spans="1:33">
      <c r="A194" s="15" t="s">
        <v>795</v>
      </c>
      <c r="B194" s="11"/>
      <c r="C194" s="11"/>
      <c r="D194" s="61">
        <v>500</v>
      </c>
      <c r="E194" s="61">
        <v>500</v>
      </c>
      <c r="F194" s="61">
        <v>500</v>
      </c>
      <c r="G194" s="61">
        <v>500</v>
      </c>
      <c r="H194" s="61">
        <v>500</v>
      </c>
      <c r="I194" s="61">
        <v>500</v>
      </c>
      <c r="J194" s="61">
        <v>500</v>
      </c>
      <c r="K194" s="61">
        <v>500</v>
      </c>
      <c r="L194" s="61">
        <v>500</v>
      </c>
      <c r="M194" s="11">
        <f t="shared" ref="M194:U194" si="63">+M191-M192-M193</f>
        <v>744</v>
      </c>
      <c r="N194" s="11">
        <f t="shared" si="63"/>
        <v>978</v>
      </c>
      <c r="O194" s="11">
        <f t="shared" si="63"/>
        <v>361</v>
      </c>
      <c r="P194" s="11">
        <f t="shared" si="63"/>
        <v>82</v>
      </c>
      <c r="Q194" s="11">
        <f t="shared" si="63"/>
        <v>496</v>
      </c>
      <c r="R194" s="11">
        <f t="shared" si="63"/>
        <v>786</v>
      </c>
      <c r="S194" s="11">
        <f t="shared" si="63"/>
        <v>-140</v>
      </c>
      <c r="T194" s="11">
        <f t="shared" si="63"/>
        <v>361</v>
      </c>
      <c r="U194" s="11">
        <f t="shared" si="63"/>
        <v>2287</v>
      </c>
      <c r="V194" s="1220"/>
      <c r="W194" s="1220"/>
    </row>
    <row r="195" spans="1:33" hidden="1" outlineLevel="1">
      <c r="A195" s="19" t="s">
        <v>796</v>
      </c>
      <c r="D195" s="1245">
        <f t="shared" ref="D195:K195" si="64">+E195</f>
        <v>0.11235276351555422</v>
      </c>
      <c r="E195" s="1245">
        <f t="shared" si="64"/>
        <v>0.11235276351555422</v>
      </c>
      <c r="F195" s="1245">
        <f t="shared" si="64"/>
        <v>0.11235276351555422</v>
      </c>
      <c r="G195" s="1245">
        <f t="shared" si="64"/>
        <v>0.11235276351555422</v>
      </c>
      <c r="H195" s="1245">
        <f t="shared" si="64"/>
        <v>0.11235276351555422</v>
      </c>
      <c r="I195" s="1245">
        <f t="shared" si="64"/>
        <v>0.11235276351555422</v>
      </c>
      <c r="J195" s="1245">
        <f t="shared" si="64"/>
        <v>0.11235276351555422</v>
      </c>
      <c r="K195" s="1245">
        <f t="shared" si="64"/>
        <v>0.11235276351555422</v>
      </c>
      <c r="L195" s="1245">
        <f>+M195</f>
        <v>0.11235276351555422</v>
      </c>
      <c r="M195" s="1244">
        <f t="shared" ref="M195:U195" si="65">+M194/M191</f>
        <v>0.11235276351555422</v>
      </c>
      <c r="N195" s="1244">
        <f t="shared" si="65"/>
        <v>0.11141490088858511</v>
      </c>
      <c r="O195" s="1244">
        <f t="shared" si="65"/>
        <v>3.5181756164116555E-2</v>
      </c>
      <c r="P195" s="1244">
        <f t="shared" si="65"/>
        <v>7.0193460023968502E-3</v>
      </c>
      <c r="Q195" s="1244">
        <f t="shared" si="65"/>
        <v>3.8762113160362613E-2</v>
      </c>
      <c r="R195" s="1244">
        <f t="shared" si="65"/>
        <v>6.725996919390724E-2</v>
      </c>
      <c r="S195" s="1244">
        <f t="shared" si="65"/>
        <v>-9.6818810511756573E-3</v>
      </c>
      <c r="T195" s="1244">
        <f t="shared" si="65"/>
        <v>2.6044296948272129E-2</v>
      </c>
      <c r="U195" s="1244">
        <f t="shared" si="65"/>
        <v>0.10261587472517611</v>
      </c>
      <c r="V195" s="1220"/>
      <c r="W195" s="1220"/>
    </row>
    <row r="196" spans="1:33" collapsed="1">
      <c r="A196" s="13"/>
      <c r="D196" s="1220"/>
      <c r="E196" s="1220"/>
      <c r="F196" s="1220"/>
      <c r="G196" s="1220"/>
      <c r="H196" s="1220"/>
      <c r="I196" s="1220"/>
      <c r="J196" s="1220"/>
      <c r="K196" s="1220"/>
      <c r="L196" s="1220"/>
      <c r="M196" s="1220"/>
      <c r="N196" s="1220"/>
      <c r="O196" s="1220"/>
      <c r="P196" s="1220"/>
      <c r="Q196" s="1220"/>
      <c r="R196" s="1220"/>
      <c r="S196" s="1220"/>
      <c r="T196" s="1220"/>
      <c r="U196" s="1220"/>
      <c r="V196" s="1220"/>
      <c r="W196" s="1220"/>
    </row>
    <row r="197" spans="1:33" ht="10.5">
      <c r="A197" s="45" t="s">
        <v>797</v>
      </c>
    </row>
    <row r="198" spans="1:33">
      <c r="A198" t="s">
        <v>784</v>
      </c>
      <c r="C198" s="8">
        <f t="shared" ref="C198:AG198" si="66">+C170</f>
        <v>7223</v>
      </c>
      <c r="D198" s="8">
        <f t="shared" si="66"/>
        <v>9366</v>
      </c>
      <c r="E198" s="8">
        <f t="shared" si="66"/>
        <v>12544</v>
      </c>
      <c r="F198" s="8">
        <f t="shared" si="66"/>
        <v>15082</v>
      </c>
      <c r="G198" s="8">
        <f t="shared" si="66"/>
        <v>16259</v>
      </c>
      <c r="H198" s="8">
        <f t="shared" si="66"/>
        <v>17991</v>
      </c>
      <c r="I198" s="8">
        <f t="shared" si="66"/>
        <v>19231</v>
      </c>
      <c r="J198" s="8">
        <f t="shared" si="66"/>
        <v>22504</v>
      </c>
      <c r="K198" s="8">
        <f t="shared" si="66"/>
        <v>27804</v>
      </c>
      <c r="L198" s="8">
        <f t="shared" si="66"/>
        <v>32337</v>
      </c>
      <c r="M198" s="8">
        <f t="shared" si="66"/>
        <v>38156</v>
      </c>
      <c r="N198" s="8">
        <f t="shared" si="66"/>
        <v>47913</v>
      </c>
      <c r="O198" s="8">
        <f t="shared" si="66"/>
        <v>58683</v>
      </c>
      <c r="P198" s="8">
        <f t="shared" si="66"/>
        <v>71807</v>
      </c>
      <c r="Q198" s="8">
        <f t="shared" si="66"/>
        <v>87348</v>
      </c>
      <c r="R198" s="8">
        <f t="shared" si="66"/>
        <v>111066</v>
      </c>
      <c r="S198" s="8">
        <f t="shared" si="66"/>
        <v>134058</v>
      </c>
      <c r="T198" s="8">
        <f t="shared" si="66"/>
        <v>163892</v>
      </c>
      <c r="U198" s="8">
        <f t="shared" si="66"/>
        <v>212012</v>
      </c>
      <c r="V198" s="8">
        <f t="shared" si="66"/>
        <v>285206.45146803994</v>
      </c>
      <c r="W198" s="8">
        <f t="shared" si="66"/>
        <v>342335.53190244886</v>
      </c>
      <c r="X198" s="8">
        <f t="shared" si="66"/>
        <v>400018.7518420979</v>
      </c>
      <c r="Y198" s="8">
        <f t="shared" si="66"/>
        <v>457607.1925939488</v>
      </c>
      <c r="Z198" s="8">
        <f t="shared" si="66"/>
        <v>514223.04295839136</v>
      </c>
      <c r="AA198" s="8">
        <f t="shared" si="66"/>
        <v>568706.53802734183</v>
      </c>
      <c r="AB198" s="8">
        <f t="shared" si="66"/>
        <v>625981.10028024565</v>
      </c>
      <c r="AC198" s="8">
        <f t="shared" si="66"/>
        <v>685749.92945545621</v>
      </c>
      <c r="AD198" s="8">
        <f t="shared" si="66"/>
        <v>756062.51749960531</v>
      </c>
      <c r="AE198" s="8">
        <f t="shared" si="66"/>
        <v>838427.42569590325</v>
      </c>
      <c r="AF198" s="8">
        <f t="shared" si="66"/>
        <v>934582.87588561908</v>
      </c>
      <c r="AG198" s="8">
        <f t="shared" si="66"/>
        <v>1046531.0433949851</v>
      </c>
    </row>
    <row r="199" spans="1:33" ht="11.45">
      <c r="A199" t="s">
        <v>775</v>
      </c>
      <c r="C199" s="10">
        <f t="shared" ref="C199:AG199" si="67">-C182</f>
        <v>-4179</v>
      </c>
      <c r="D199" s="10">
        <f t="shared" si="67"/>
        <v>-5016</v>
      </c>
      <c r="E199" s="10">
        <f t="shared" si="67"/>
        <v>-6302</v>
      </c>
      <c r="F199" s="10">
        <f t="shared" si="67"/>
        <v>-7547</v>
      </c>
      <c r="G199" s="10">
        <f t="shared" si="67"/>
        <v>-8629</v>
      </c>
      <c r="H199" s="10">
        <f t="shared" si="67"/>
        <v>-9829</v>
      </c>
      <c r="I199" s="10">
        <f t="shared" si="67"/>
        <v>-10962</v>
      </c>
      <c r="J199" s="10">
        <f t="shared" si="67"/>
        <v>-12513</v>
      </c>
      <c r="K199" s="10">
        <f t="shared" si="67"/>
        <v>-14793</v>
      </c>
      <c r="L199" s="10">
        <f t="shared" si="67"/>
        <v>-17606</v>
      </c>
      <c r="M199" s="10">
        <f t="shared" si="67"/>
        <v>-19800</v>
      </c>
      <c r="N199" s="10">
        <f t="shared" si="67"/>
        <v>-24179</v>
      </c>
      <c r="O199" s="10">
        <f t="shared" si="67"/>
        <v>-29223</v>
      </c>
      <c r="P199" s="10">
        <f t="shared" si="67"/>
        <v>-35330</v>
      </c>
      <c r="Q199" s="10">
        <f t="shared" si="67"/>
        <v>-43197</v>
      </c>
      <c r="R199" s="10">
        <f t="shared" si="67"/>
        <v>-51351</v>
      </c>
      <c r="S199" s="10">
        <f t="shared" si="67"/>
        <v>-59660</v>
      </c>
      <c r="T199" s="10">
        <f t="shared" si="67"/>
        <v>-68251</v>
      </c>
      <c r="U199" s="10">
        <f t="shared" si="67"/>
        <v>-76421</v>
      </c>
      <c r="V199" s="10">
        <f t="shared" si="67"/>
        <v>-92628.314508597905</v>
      </c>
      <c r="W199" s="10">
        <f t="shared" si="67"/>
        <v>-112808.7058163281</v>
      </c>
      <c r="X199" s="10">
        <f t="shared" si="67"/>
        <v>-137846.33043613602</v>
      </c>
      <c r="Y199" s="10">
        <f t="shared" si="67"/>
        <v>-166254.35532297136</v>
      </c>
      <c r="Z199" s="10">
        <f t="shared" si="67"/>
        <v>-199240.82182841655</v>
      </c>
      <c r="AA199" s="10">
        <f t="shared" si="67"/>
        <v>-234210.48006786959</v>
      </c>
      <c r="AB199" s="10">
        <f t="shared" si="67"/>
        <v>-272093.31288468232</v>
      </c>
      <c r="AC199" s="10">
        <f t="shared" si="67"/>
        <v>-312870.26636457298</v>
      </c>
      <c r="AD199" s="10">
        <f t="shared" si="67"/>
        <v>-355661.89539352676</v>
      </c>
      <c r="AE199" s="10">
        <f t="shared" si="67"/>
        <v>-399457.61986054073</v>
      </c>
      <c r="AF199" s="10">
        <f t="shared" si="67"/>
        <v>-445127.128976523</v>
      </c>
      <c r="AG199" s="10">
        <f t="shared" si="67"/>
        <v>-494978.52754154522</v>
      </c>
    </row>
    <row r="200" spans="1:33" s="1" customFormat="1" ht="10.5">
      <c r="A200" s="837" t="s">
        <v>798</v>
      </c>
      <c r="C200" s="838">
        <f>SUM(C198:C199)</f>
        <v>3044</v>
      </c>
      <c r="D200" s="838">
        <f t="shared" ref="D200:AG200" si="68">SUM(D198:D199)</f>
        <v>4350</v>
      </c>
      <c r="E200" s="838">
        <f t="shared" si="68"/>
        <v>6242</v>
      </c>
      <c r="F200" s="838">
        <f t="shared" si="68"/>
        <v>7535</v>
      </c>
      <c r="G200" s="838">
        <f t="shared" si="68"/>
        <v>7630</v>
      </c>
      <c r="H200" s="838">
        <f t="shared" si="68"/>
        <v>8162</v>
      </c>
      <c r="I200" s="838">
        <f t="shared" si="68"/>
        <v>8269</v>
      </c>
      <c r="J200" s="838">
        <f t="shared" si="68"/>
        <v>9991</v>
      </c>
      <c r="K200" s="838">
        <f t="shared" si="68"/>
        <v>13011</v>
      </c>
      <c r="L200" s="838">
        <f t="shared" si="68"/>
        <v>14731</v>
      </c>
      <c r="M200" s="838">
        <f t="shared" si="68"/>
        <v>18356</v>
      </c>
      <c r="N200" s="838">
        <f t="shared" si="68"/>
        <v>23734</v>
      </c>
      <c r="O200" s="838">
        <f t="shared" si="68"/>
        <v>29460</v>
      </c>
      <c r="P200" s="838">
        <f t="shared" si="68"/>
        <v>36477</v>
      </c>
      <c r="Q200" s="838">
        <f t="shared" si="68"/>
        <v>44151</v>
      </c>
      <c r="R200" s="838">
        <f t="shared" si="68"/>
        <v>59715</v>
      </c>
      <c r="S200" s="838">
        <f t="shared" si="68"/>
        <v>74398</v>
      </c>
      <c r="T200" s="838">
        <f t="shared" si="68"/>
        <v>95641</v>
      </c>
      <c r="U200" s="838">
        <f t="shared" si="68"/>
        <v>135591</v>
      </c>
      <c r="V200" s="838">
        <f t="shared" si="68"/>
        <v>192578.13695944205</v>
      </c>
      <c r="W200" s="838">
        <f t="shared" si="68"/>
        <v>229526.82608612074</v>
      </c>
      <c r="X200" s="838">
        <f t="shared" si="68"/>
        <v>262172.42140596185</v>
      </c>
      <c r="Y200" s="838">
        <f t="shared" si="68"/>
        <v>291352.83727097744</v>
      </c>
      <c r="Z200" s="838">
        <f t="shared" si="68"/>
        <v>314982.22112997482</v>
      </c>
      <c r="AA200" s="838">
        <f t="shared" si="68"/>
        <v>334496.05795947224</v>
      </c>
      <c r="AB200" s="838">
        <f t="shared" si="68"/>
        <v>353887.78739556333</v>
      </c>
      <c r="AC200" s="838">
        <f t="shared" si="68"/>
        <v>372879.66309088323</v>
      </c>
      <c r="AD200" s="838">
        <f t="shared" si="68"/>
        <v>400400.62210607855</v>
      </c>
      <c r="AE200" s="838">
        <f t="shared" si="68"/>
        <v>438969.80583536252</v>
      </c>
      <c r="AF200" s="838">
        <f t="shared" si="68"/>
        <v>489455.74690909608</v>
      </c>
      <c r="AG200" s="838">
        <f t="shared" si="68"/>
        <v>551552.51585343992</v>
      </c>
    </row>
    <row r="202" spans="1:33">
      <c r="A202" t="s">
        <v>799</v>
      </c>
      <c r="D202" s="8">
        <f>+C200</f>
        <v>3044</v>
      </c>
      <c r="E202" s="8">
        <f t="shared" ref="E202:AG202" si="69">+D200</f>
        <v>4350</v>
      </c>
      <c r="F202" s="8">
        <f t="shared" si="69"/>
        <v>6242</v>
      </c>
      <c r="G202" s="8">
        <f t="shared" si="69"/>
        <v>7535</v>
      </c>
      <c r="H202" s="8">
        <f t="shared" si="69"/>
        <v>7630</v>
      </c>
      <c r="I202" s="8">
        <f t="shared" si="69"/>
        <v>8162</v>
      </c>
      <c r="J202" s="8">
        <f t="shared" si="69"/>
        <v>8269</v>
      </c>
      <c r="K202" s="8">
        <f t="shared" si="69"/>
        <v>9991</v>
      </c>
      <c r="L202" s="8">
        <f t="shared" si="69"/>
        <v>13011</v>
      </c>
      <c r="M202" s="8">
        <f t="shared" si="69"/>
        <v>14731</v>
      </c>
      <c r="N202" s="8">
        <f t="shared" si="69"/>
        <v>18356</v>
      </c>
      <c r="O202" s="8">
        <f t="shared" si="69"/>
        <v>23734</v>
      </c>
      <c r="P202" s="8">
        <f t="shared" si="69"/>
        <v>29460</v>
      </c>
      <c r="Q202" s="8">
        <f t="shared" si="69"/>
        <v>36477</v>
      </c>
      <c r="R202" s="8">
        <f t="shared" si="69"/>
        <v>44151</v>
      </c>
      <c r="S202" s="8">
        <f t="shared" si="69"/>
        <v>59715</v>
      </c>
      <c r="T202" s="8">
        <f t="shared" si="69"/>
        <v>74398</v>
      </c>
      <c r="U202" s="8">
        <f t="shared" si="69"/>
        <v>95641</v>
      </c>
      <c r="V202" s="8">
        <f t="shared" si="69"/>
        <v>135591</v>
      </c>
      <c r="W202" s="8">
        <f t="shared" si="69"/>
        <v>192578.13695944205</v>
      </c>
      <c r="X202" s="8">
        <f t="shared" si="69"/>
        <v>229526.82608612074</v>
      </c>
      <c r="Y202" s="8">
        <f t="shared" si="69"/>
        <v>262172.42140596185</v>
      </c>
      <c r="Z202" s="8">
        <f t="shared" si="69"/>
        <v>291352.83727097744</v>
      </c>
      <c r="AA202" s="8">
        <f t="shared" si="69"/>
        <v>314982.22112997482</v>
      </c>
      <c r="AB202" s="8">
        <f t="shared" si="69"/>
        <v>334496.05795947224</v>
      </c>
      <c r="AC202" s="8">
        <f t="shared" si="69"/>
        <v>353887.78739556333</v>
      </c>
      <c r="AD202" s="8">
        <f t="shared" si="69"/>
        <v>372879.66309088323</v>
      </c>
      <c r="AE202" s="8">
        <f t="shared" si="69"/>
        <v>400400.62210607855</v>
      </c>
      <c r="AF202" s="8">
        <f t="shared" si="69"/>
        <v>438969.80583536252</v>
      </c>
      <c r="AG202" s="8">
        <f t="shared" si="69"/>
        <v>489455.74690909608</v>
      </c>
    </row>
    <row r="203" spans="1:33">
      <c r="A203" t="s">
        <v>800</v>
      </c>
      <c r="D203" s="8">
        <f t="shared" ref="D203:AG203" si="70">+D177</f>
        <v>2264</v>
      </c>
      <c r="E203" s="8">
        <f t="shared" si="70"/>
        <v>3182</v>
      </c>
      <c r="F203" s="8">
        <f t="shared" si="70"/>
        <v>3119</v>
      </c>
      <c r="G203" s="8">
        <f t="shared" si="70"/>
        <v>1977</v>
      </c>
      <c r="H203" s="8">
        <f t="shared" si="70"/>
        <v>2355</v>
      </c>
      <c r="I203" s="8">
        <f t="shared" si="70"/>
        <v>2305</v>
      </c>
      <c r="J203" s="8">
        <f t="shared" si="70"/>
        <v>4257</v>
      </c>
      <c r="K203" s="8">
        <f t="shared" si="70"/>
        <v>5485</v>
      </c>
      <c r="L203" s="8">
        <f t="shared" si="70"/>
        <v>5944</v>
      </c>
      <c r="M203" s="8">
        <f t="shared" si="70"/>
        <v>8900</v>
      </c>
      <c r="N203" s="8">
        <f t="shared" si="70"/>
        <v>10200</v>
      </c>
      <c r="O203" s="8">
        <f t="shared" si="70"/>
        <v>13600</v>
      </c>
      <c r="P203" s="8">
        <f t="shared" si="70"/>
        <v>16900</v>
      </c>
      <c r="Q203" s="8">
        <f t="shared" si="70"/>
        <v>19000</v>
      </c>
      <c r="R203" s="8">
        <f t="shared" si="70"/>
        <v>24200</v>
      </c>
      <c r="S203" s="8">
        <f t="shared" si="70"/>
        <v>29200</v>
      </c>
      <c r="T203" s="8">
        <f t="shared" si="70"/>
        <v>31900</v>
      </c>
      <c r="U203" s="8">
        <f t="shared" si="70"/>
        <v>55700</v>
      </c>
      <c r="V203" s="8">
        <f t="shared" si="70"/>
        <v>83000</v>
      </c>
      <c r="W203" s="8">
        <f t="shared" si="70"/>
        <v>70319.870113757162</v>
      </c>
      <c r="X203" s="8">
        <f t="shared" si="70"/>
        <v>73516.227846200665</v>
      </c>
      <c r="Y203" s="8">
        <f t="shared" si="70"/>
        <v>76089.295820817671</v>
      </c>
      <c r="Z203" s="8">
        <f t="shared" si="70"/>
        <v>77780.169061280292</v>
      </c>
      <c r="AA203" s="8">
        <f t="shared" si="70"/>
        <v>78266.295117913294</v>
      </c>
      <c r="AB203" s="8">
        <f t="shared" si="70"/>
        <v>83577.222286628836</v>
      </c>
      <c r="AC203" s="8">
        <f t="shared" si="70"/>
        <v>88720.435965805969</v>
      </c>
      <c r="AD203" s="8">
        <f t="shared" si="70"/>
        <v>102028.50136067685</v>
      </c>
      <c r="AE203" s="8">
        <f t="shared" si="70"/>
        <v>117332.77656477837</v>
      </c>
      <c r="AF203" s="8">
        <f t="shared" si="70"/>
        <v>134932.69304949511</v>
      </c>
      <c r="AG203" s="8">
        <f t="shared" si="70"/>
        <v>155172.59700691939</v>
      </c>
    </row>
    <row r="204" spans="1:33">
      <c r="A204" t="s">
        <v>801</v>
      </c>
      <c r="D204" s="8">
        <f t="shared" ref="D204:AG204" si="71">+D185</f>
        <v>940</v>
      </c>
      <c r="E204" s="8">
        <f t="shared" si="71"/>
        <v>1556</v>
      </c>
      <c r="F204" s="8">
        <f t="shared" si="71"/>
        <v>2062</v>
      </c>
      <c r="G204" s="8">
        <f t="shared" si="71"/>
        <v>2173</v>
      </c>
      <c r="H204" s="8">
        <f t="shared" si="71"/>
        <v>2266</v>
      </c>
      <c r="I204" s="8">
        <f t="shared" si="71"/>
        <v>2467</v>
      </c>
      <c r="J204" s="8">
        <f t="shared" si="71"/>
        <v>3255</v>
      </c>
      <c r="K204" s="8">
        <f t="shared" si="71"/>
        <v>4712</v>
      </c>
      <c r="L204" s="8">
        <f t="shared" si="71"/>
        <v>5457</v>
      </c>
      <c r="M204" s="8">
        <f t="shared" si="71"/>
        <v>4900</v>
      </c>
      <c r="N204" s="8">
        <f t="shared" si="71"/>
        <v>6100</v>
      </c>
      <c r="O204" s="8">
        <f t="shared" si="71"/>
        <v>7700</v>
      </c>
      <c r="P204" s="8">
        <f t="shared" si="71"/>
        <v>9700</v>
      </c>
      <c r="Q204" s="8">
        <f t="shared" si="71"/>
        <v>10700</v>
      </c>
      <c r="R204" s="8">
        <f t="shared" si="71"/>
        <v>9300</v>
      </c>
      <c r="S204" s="8">
        <f t="shared" si="71"/>
        <v>12600</v>
      </c>
      <c r="T204" s="8">
        <f t="shared" si="71"/>
        <v>11000</v>
      </c>
      <c r="U204" s="8">
        <f t="shared" si="71"/>
        <v>15200</v>
      </c>
      <c r="V204" s="8">
        <f t="shared" si="71"/>
        <v>24078.842105263157</v>
      </c>
      <c r="W204" s="8">
        <f t="shared" si="71"/>
        <v>29721.307206331589</v>
      </c>
      <c r="X204" s="8">
        <f t="shared" si="71"/>
        <v>36657.164287926877</v>
      </c>
      <c r="Y204" s="8">
        <f t="shared" si="71"/>
        <v>42606.493817195886</v>
      </c>
      <c r="Z204" s="8">
        <f t="shared" si="71"/>
        <v>50111.023184768419</v>
      </c>
      <c r="AA204" s="8">
        <f t="shared" si="71"/>
        <v>55491.89201557012</v>
      </c>
      <c r="AB204" s="8">
        <f t="shared" si="71"/>
        <v>62007.016709753821</v>
      </c>
      <c r="AC204" s="8">
        <f t="shared" si="71"/>
        <v>68803.150745561768</v>
      </c>
      <c r="AD204" s="8">
        <f t="shared" si="71"/>
        <v>75017.940329051184</v>
      </c>
      <c r="AE204" s="8">
        <f t="shared" si="71"/>
        <v>80429.665722328806</v>
      </c>
      <c r="AF204" s="8">
        <f t="shared" si="71"/>
        <v>86814.504319270171</v>
      </c>
      <c r="AG204" s="8">
        <f t="shared" si="71"/>
        <v>95700.451570911595</v>
      </c>
    </row>
    <row r="205" spans="1:33" ht="11.45">
      <c r="A205" t="s">
        <v>200</v>
      </c>
      <c r="D205" s="10">
        <f t="shared" ref="D205:AG205" si="72">+D206-SUM(D202:D204)</f>
        <v>-1898</v>
      </c>
      <c r="E205" s="10">
        <f t="shared" si="72"/>
        <v>-2846</v>
      </c>
      <c r="F205" s="10">
        <f t="shared" si="72"/>
        <v>-3888</v>
      </c>
      <c r="G205" s="10">
        <f t="shared" si="72"/>
        <v>-4055</v>
      </c>
      <c r="H205" s="10">
        <f t="shared" si="72"/>
        <v>-4089</v>
      </c>
      <c r="I205" s="10">
        <f t="shared" si="72"/>
        <v>-4665</v>
      </c>
      <c r="J205" s="10">
        <f t="shared" si="72"/>
        <v>-5790</v>
      </c>
      <c r="K205" s="10">
        <f t="shared" si="72"/>
        <v>-7177</v>
      </c>
      <c r="L205" s="10">
        <f t="shared" si="72"/>
        <v>-9681</v>
      </c>
      <c r="M205" s="10">
        <f t="shared" si="72"/>
        <v>-10175</v>
      </c>
      <c r="N205" s="10">
        <f t="shared" si="72"/>
        <v>-10922</v>
      </c>
      <c r="O205" s="10">
        <f t="shared" si="72"/>
        <v>-15574</v>
      </c>
      <c r="P205" s="10">
        <f t="shared" si="72"/>
        <v>-19583</v>
      </c>
      <c r="Q205" s="10">
        <f t="shared" si="72"/>
        <v>-22026</v>
      </c>
      <c r="R205" s="10">
        <f t="shared" si="72"/>
        <v>-17936</v>
      </c>
      <c r="S205" s="10">
        <f t="shared" si="72"/>
        <v>-27117</v>
      </c>
      <c r="T205" s="10">
        <f t="shared" si="72"/>
        <v>-21657</v>
      </c>
      <c r="U205" s="10">
        <f t="shared" si="72"/>
        <v>-30950</v>
      </c>
      <c r="V205" s="10">
        <f t="shared" si="72"/>
        <v>-50091.705145821092</v>
      </c>
      <c r="W205" s="10">
        <f t="shared" si="72"/>
        <v>-63092.488193410041</v>
      </c>
      <c r="X205" s="10">
        <f t="shared" si="72"/>
        <v>-77527.796814286383</v>
      </c>
      <c r="Y205" s="10">
        <f t="shared" si="72"/>
        <v>-89515.373772997991</v>
      </c>
      <c r="Z205" s="10">
        <f t="shared" si="72"/>
        <v>-104261.80838705134</v>
      </c>
      <c r="AA205" s="10">
        <f t="shared" si="72"/>
        <v>-114244.35030398599</v>
      </c>
      <c r="AB205" s="10">
        <f t="shared" si="72"/>
        <v>-126192.5095602916</v>
      </c>
      <c r="AC205" s="10">
        <f t="shared" si="72"/>
        <v>-138531.7110160478</v>
      </c>
      <c r="AD205" s="10">
        <f t="shared" si="72"/>
        <v>-149525.48267453269</v>
      </c>
      <c r="AE205" s="10">
        <f t="shared" si="72"/>
        <v>-159193.25855782314</v>
      </c>
      <c r="AF205" s="10">
        <f t="shared" si="72"/>
        <v>-171261.25629503169</v>
      </c>
      <c r="AG205" s="10">
        <f t="shared" si="72"/>
        <v>-188776.27963348711</v>
      </c>
    </row>
    <row r="206" spans="1:33" s="1" customFormat="1" ht="10.5">
      <c r="A206" s="837" t="s">
        <v>798</v>
      </c>
      <c r="D206" s="838">
        <f>+D200</f>
        <v>4350</v>
      </c>
      <c r="E206" s="838">
        <f t="shared" ref="E206:AG206" si="73">+E200</f>
        <v>6242</v>
      </c>
      <c r="F206" s="838">
        <f t="shared" si="73"/>
        <v>7535</v>
      </c>
      <c r="G206" s="838">
        <f t="shared" si="73"/>
        <v>7630</v>
      </c>
      <c r="H206" s="838">
        <f t="shared" si="73"/>
        <v>8162</v>
      </c>
      <c r="I206" s="838">
        <f t="shared" si="73"/>
        <v>8269</v>
      </c>
      <c r="J206" s="838">
        <f t="shared" si="73"/>
        <v>9991</v>
      </c>
      <c r="K206" s="838">
        <f t="shared" si="73"/>
        <v>13011</v>
      </c>
      <c r="L206" s="838">
        <f t="shared" si="73"/>
        <v>14731</v>
      </c>
      <c r="M206" s="838">
        <f t="shared" si="73"/>
        <v>18356</v>
      </c>
      <c r="N206" s="838">
        <f t="shared" si="73"/>
        <v>23734</v>
      </c>
      <c r="O206" s="838">
        <f t="shared" si="73"/>
        <v>29460</v>
      </c>
      <c r="P206" s="838">
        <f t="shared" si="73"/>
        <v>36477</v>
      </c>
      <c r="Q206" s="838">
        <f t="shared" si="73"/>
        <v>44151</v>
      </c>
      <c r="R206" s="838">
        <f t="shared" si="73"/>
        <v>59715</v>
      </c>
      <c r="S206" s="838">
        <f t="shared" si="73"/>
        <v>74398</v>
      </c>
      <c r="T206" s="838">
        <f t="shared" si="73"/>
        <v>95641</v>
      </c>
      <c r="U206" s="838">
        <f t="shared" si="73"/>
        <v>135591</v>
      </c>
      <c r="V206" s="838">
        <f t="shared" si="73"/>
        <v>192578.13695944205</v>
      </c>
      <c r="W206" s="838">
        <f t="shared" si="73"/>
        <v>229526.82608612074</v>
      </c>
      <c r="X206" s="838">
        <f t="shared" si="73"/>
        <v>262172.42140596185</v>
      </c>
      <c r="Y206" s="838">
        <f t="shared" si="73"/>
        <v>291352.83727097744</v>
      </c>
      <c r="Z206" s="838">
        <f t="shared" si="73"/>
        <v>314982.22112997482</v>
      </c>
      <c r="AA206" s="838">
        <f t="shared" si="73"/>
        <v>334496.05795947224</v>
      </c>
      <c r="AB206" s="838">
        <f t="shared" si="73"/>
        <v>353887.78739556333</v>
      </c>
      <c r="AC206" s="838">
        <f t="shared" si="73"/>
        <v>372879.66309088323</v>
      </c>
      <c r="AD206" s="838">
        <f t="shared" si="73"/>
        <v>400400.62210607855</v>
      </c>
      <c r="AE206" s="838">
        <f t="shared" si="73"/>
        <v>438969.80583536252</v>
      </c>
      <c r="AF206" s="838">
        <f t="shared" si="73"/>
        <v>489455.74690909608</v>
      </c>
      <c r="AG206" s="838">
        <f t="shared" si="73"/>
        <v>551552.51585343992</v>
      </c>
    </row>
    <row r="207" spans="1:33" s="1" customFormat="1" ht="10.5">
      <c r="A207" s="837"/>
      <c r="D207" s="838"/>
      <c r="E207" s="838"/>
      <c r="F207" s="838"/>
      <c r="G207" s="838"/>
      <c r="H207" s="838"/>
      <c r="I207" s="838"/>
      <c r="J207" s="838"/>
      <c r="K207" s="838"/>
      <c r="L207" s="838"/>
      <c r="M207" s="838"/>
      <c r="N207" s="838"/>
      <c r="O207" s="838"/>
      <c r="P207" s="838"/>
      <c r="Q207" s="838"/>
      <c r="R207" s="838"/>
      <c r="S207" s="838"/>
      <c r="T207" s="838"/>
      <c r="U207" s="838"/>
      <c r="V207" s="838"/>
      <c r="W207" s="838"/>
    </row>
    <row r="208" spans="1:33" s="1" customFormat="1" ht="10.5">
      <c r="A208" s="45" t="s">
        <v>802</v>
      </c>
      <c r="B208"/>
      <c r="C208"/>
      <c r="D208"/>
      <c r="E208"/>
      <c r="F208"/>
      <c r="G208"/>
      <c r="H208"/>
      <c r="I208"/>
      <c r="J208"/>
      <c r="K208"/>
      <c r="L208"/>
      <c r="M208"/>
      <c r="N208" s="838"/>
      <c r="O208" s="838"/>
      <c r="P208" s="838"/>
      <c r="Q208" s="838"/>
      <c r="R208" s="838"/>
      <c r="S208" s="838"/>
      <c r="T208" s="838"/>
      <c r="U208" s="838"/>
      <c r="V208" s="838"/>
      <c r="W208" s="838"/>
    </row>
    <row r="209" spans="1:33" s="1" customFormat="1" ht="10.5">
      <c r="A209" t="s">
        <v>803</v>
      </c>
      <c r="B209"/>
      <c r="C209"/>
      <c r="D209"/>
      <c r="E209"/>
      <c r="F209"/>
      <c r="G209"/>
      <c r="H209"/>
      <c r="I209"/>
      <c r="J209"/>
      <c r="K209"/>
      <c r="L209"/>
      <c r="M209" s="1248"/>
      <c r="N209" s="1249">
        <f t="shared" ref="N209:S209" si="74">+N198/N204</f>
        <v>7.854590163934426</v>
      </c>
      <c r="O209" s="1249">
        <f t="shared" si="74"/>
        <v>7.6211688311688315</v>
      </c>
      <c r="P209" s="1249">
        <f t="shared" si="74"/>
        <v>7.4027835051546393</v>
      </c>
      <c r="Q209" s="1249">
        <f t="shared" si="74"/>
        <v>8.1633644859813081</v>
      </c>
      <c r="R209" s="1249">
        <f t="shared" si="74"/>
        <v>11.942580645161291</v>
      </c>
      <c r="S209" s="1249">
        <f t="shared" si="74"/>
        <v>10.63952380952381</v>
      </c>
      <c r="T209" s="1249">
        <f>+T198/T204</f>
        <v>14.899272727272727</v>
      </c>
      <c r="U209" s="1249">
        <f t="shared" ref="U209:AG209" si="75">+U198/U204</f>
        <v>13.948157894736843</v>
      </c>
      <c r="V209" s="1249">
        <f t="shared" si="75"/>
        <v>11.844691294590925</v>
      </c>
      <c r="W209" s="1249">
        <f t="shared" si="75"/>
        <v>11.518185573934664</v>
      </c>
      <c r="X209" s="1249">
        <f t="shared" si="75"/>
        <v>10.912430342404992</v>
      </c>
      <c r="Y209" s="1249">
        <f t="shared" si="75"/>
        <v>10.740315656043482</v>
      </c>
      <c r="Z209" s="1249">
        <f t="shared" si="75"/>
        <v>10.261675181972594</v>
      </c>
      <c r="AA209" s="1249">
        <f t="shared" si="75"/>
        <v>10.248461844980381</v>
      </c>
      <c r="AB209" s="1249">
        <f t="shared" si="75"/>
        <v>10.095326843579263</v>
      </c>
      <c r="AC209" s="1249">
        <f t="shared" si="75"/>
        <v>9.9668390476971194</v>
      </c>
      <c r="AD209" s="1249">
        <f t="shared" si="75"/>
        <v>10.078422763718763</v>
      </c>
      <c r="AE209" s="1249">
        <f t="shared" si="75"/>
        <v>10.424355468421894</v>
      </c>
      <c r="AF209" s="1249">
        <f t="shared" si="75"/>
        <v>10.765284939583191</v>
      </c>
      <c r="AG209" s="1249">
        <f t="shared" si="75"/>
        <v>10.935486993178213</v>
      </c>
    </row>
    <row r="210" spans="1:33" s="1" customFormat="1" ht="10.5">
      <c r="A210" t="s">
        <v>804</v>
      </c>
      <c r="B210"/>
      <c r="C210"/>
      <c r="D210"/>
      <c r="E210"/>
      <c r="F210"/>
      <c r="G210"/>
      <c r="H210"/>
      <c r="I210"/>
      <c r="J210"/>
      <c r="K210"/>
      <c r="L210"/>
      <c r="M210" s="1248"/>
      <c r="N210" s="1249">
        <f t="shared" ref="N210:AG210" si="76">(N170-N173)/N204</f>
        <v>7.5580327868852457</v>
      </c>
      <c r="O210" s="1249">
        <f t="shared" si="76"/>
        <v>7.4825974025974027</v>
      </c>
      <c r="P210" s="1249">
        <f t="shared" si="76"/>
        <v>7.2179381443298967</v>
      </c>
      <c r="Q210" s="1249">
        <f t="shared" si="76"/>
        <v>7.8415887850467287</v>
      </c>
      <c r="R210" s="1249">
        <f t="shared" si="76"/>
        <v>11.430645161290322</v>
      </c>
      <c r="S210" s="1249">
        <f t="shared" si="76"/>
        <v>9.9310317460317457</v>
      </c>
      <c r="T210" s="1249">
        <f t="shared" si="76"/>
        <v>14.177272727272728</v>
      </c>
      <c r="U210" s="1249">
        <f t="shared" si="76"/>
        <v>13.143092105263158</v>
      </c>
      <c r="V210" s="1249">
        <f t="shared" si="76"/>
        <v>10.603269474167666</v>
      </c>
      <c r="W210" s="1249">
        <f t="shared" si="76"/>
        <v>11.518185573934664</v>
      </c>
      <c r="X210" s="1249">
        <f t="shared" si="76"/>
        <v>10.912430342404992</v>
      </c>
      <c r="Y210" s="1249">
        <f t="shared" si="76"/>
        <v>10.740315656043482</v>
      </c>
      <c r="Z210" s="1249">
        <f t="shared" si="76"/>
        <v>10.261675181972594</v>
      </c>
      <c r="AA210" s="1249">
        <f t="shared" si="76"/>
        <v>10.248461844980381</v>
      </c>
      <c r="AB210" s="1249">
        <f t="shared" si="76"/>
        <v>10.095326843579263</v>
      </c>
      <c r="AC210" s="1249">
        <f t="shared" si="76"/>
        <v>9.9668390476971194</v>
      </c>
      <c r="AD210" s="1249">
        <f t="shared" si="76"/>
        <v>10.078422763718763</v>
      </c>
      <c r="AE210" s="1249">
        <f t="shared" si="76"/>
        <v>10.424355468421894</v>
      </c>
      <c r="AF210" s="1249">
        <f t="shared" si="76"/>
        <v>10.765284939583191</v>
      </c>
      <c r="AG210" s="1249">
        <f t="shared" si="76"/>
        <v>10.935486993178213</v>
      </c>
    </row>
    <row r="211" spans="1:33" s="1" customFormat="1" ht="10.5">
      <c r="A211" t="s">
        <v>805</v>
      </c>
      <c r="B211"/>
      <c r="C211"/>
      <c r="D211"/>
      <c r="E211"/>
      <c r="F211"/>
      <c r="G211"/>
      <c r="H211"/>
      <c r="I211"/>
      <c r="J211"/>
      <c r="K211"/>
      <c r="L211"/>
      <c r="M211" s="1248"/>
      <c r="N211" s="1249">
        <f t="shared" ref="N211:S211" si="77">+N206/N204</f>
        <v>3.8908196721311477</v>
      </c>
      <c r="O211" s="1249">
        <f t="shared" si="77"/>
        <v>3.825974025974026</v>
      </c>
      <c r="P211" s="1249">
        <f t="shared" si="77"/>
        <v>3.7605154639175256</v>
      </c>
      <c r="Q211" s="1249">
        <f t="shared" si="77"/>
        <v>4.1262616822429905</v>
      </c>
      <c r="R211" s="1249">
        <f t="shared" si="77"/>
        <v>6.4209677419354838</v>
      </c>
      <c r="S211" s="1249">
        <f t="shared" si="77"/>
        <v>5.9046031746031744</v>
      </c>
      <c r="T211" s="1249">
        <f>+T206/T204</f>
        <v>8.6946363636363628</v>
      </c>
      <c r="U211" s="1249">
        <f t="shared" ref="U211:AG211" si="78">+U206/U204</f>
        <v>8.9204605263157895</v>
      </c>
      <c r="V211" s="1249">
        <f t="shared" si="78"/>
        <v>7.9978155144490231</v>
      </c>
      <c r="W211" s="1249">
        <f t="shared" si="78"/>
        <v>7.7226356328373127</v>
      </c>
      <c r="X211" s="1249">
        <f t="shared" si="78"/>
        <v>7.152010432304742</v>
      </c>
      <c r="Y211" s="1249">
        <f t="shared" si="78"/>
        <v>6.8382260817102978</v>
      </c>
      <c r="Z211" s="1249">
        <f t="shared" si="78"/>
        <v>6.2856872821889569</v>
      </c>
      <c r="AA211" s="1249">
        <f t="shared" si="78"/>
        <v>6.0278366047713439</v>
      </c>
      <c r="AB211" s="1249">
        <f t="shared" si="78"/>
        <v>5.707221636739316</v>
      </c>
      <c r="AC211" s="1249">
        <f t="shared" si="78"/>
        <v>5.4195143543616906</v>
      </c>
      <c r="AD211" s="1249">
        <f t="shared" si="78"/>
        <v>5.3373982323401759</v>
      </c>
      <c r="AE211" s="1249">
        <f t="shared" si="78"/>
        <v>5.4578096513646974</v>
      </c>
      <c r="AF211" s="1249">
        <f t="shared" si="78"/>
        <v>5.6379489895958761</v>
      </c>
      <c r="AG211" s="1249">
        <f t="shared" si="78"/>
        <v>5.7633219781074239</v>
      </c>
    </row>
    <row r="212" spans="1:33" s="1" customFormat="1" ht="10.5">
      <c r="A212" s="837"/>
      <c r="D212" s="838"/>
      <c r="E212" s="838"/>
      <c r="F212" s="838"/>
      <c r="G212" s="838"/>
      <c r="H212" s="838"/>
      <c r="I212" s="838"/>
      <c r="J212" s="838"/>
      <c r="K212" s="838"/>
      <c r="L212" s="838"/>
      <c r="M212" s="838"/>
      <c r="N212" s="838"/>
      <c r="O212" s="838"/>
      <c r="P212" s="838"/>
      <c r="Q212" s="838"/>
      <c r="R212" s="838"/>
      <c r="S212" s="838"/>
      <c r="T212" s="838"/>
      <c r="U212" s="838"/>
      <c r="V212" s="838"/>
      <c r="W212" s="838"/>
    </row>
    <row r="213" spans="1:33" s="1" customFormat="1" ht="10.5">
      <c r="A213" s="45"/>
      <c r="D213" s="838"/>
      <c r="E213" s="838"/>
      <c r="F213" s="838"/>
      <c r="G213" s="838"/>
      <c r="H213" s="838"/>
      <c r="I213" s="838"/>
      <c r="J213" s="838"/>
      <c r="K213" s="838"/>
      <c r="L213" s="838"/>
      <c r="M213" s="838"/>
      <c r="N213" s="838"/>
      <c r="O213" s="838"/>
      <c r="P213" s="838"/>
      <c r="Q213" s="838"/>
      <c r="R213" s="838"/>
      <c r="S213" s="838"/>
      <c r="T213" s="838"/>
      <c r="U213" s="838"/>
      <c r="V213" s="838"/>
      <c r="W213" s="838"/>
    </row>
    <row r="214" spans="1:33">
      <c r="A214" t="s">
        <v>801</v>
      </c>
      <c r="C214" s="29"/>
      <c r="D214" s="11">
        <f t="shared" ref="D214:L214" si="79">+D191-D194</f>
        <v>940</v>
      </c>
      <c r="E214" s="11">
        <f t="shared" si="79"/>
        <v>1556</v>
      </c>
      <c r="F214" s="11">
        <f t="shared" si="79"/>
        <v>2062</v>
      </c>
      <c r="G214" s="11">
        <f t="shared" si="79"/>
        <v>2173</v>
      </c>
      <c r="H214" s="11">
        <f t="shared" si="79"/>
        <v>2266</v>
      </c>
      <c r="I214" s="11">
        <f t="shared" si="79"/>
        <v>2467</v>
      </c>
      <c r="J214" s="11">
        <f t="shared" si="79"/>
        <v>3255</v>
      </c>
      <c r="K214" s="11">
        <f t="shared" si="79"/>
        <v>4712</v>
      </c>
      <c r="L214" s="11">
        <f t="shared" si="79"/>
        <v>5457</v>
      </c>
      <c r="M214" s="29">
        <v>4900</v>
      </c>
      <c r="N214" s="29">
        <v>6100</v>
      </c>
      <c r="O214" s="29">
        <v>7700</v>
      </c>
      <c r="P214" s="29">
        <v>9700</v>
      </c>
      <c r="Q214" s="29">
        <v>10700</v>
      </c>
      <c r="R214" s="29">
        <v>9300</v>
      </c>
      <c r="S214" s="29">
        <v>12600</v>
      </c>
      <c r="T214" s="29">
        <v>11000</v>
      </c>
      <c r="U214" s="29">
        <v>15200</v>
      </c>
      <c r="V214" s="29"/>
      <c r="W214" s="29"/>
    </row>
    <row r="215" spans="1:33">
      <c r="A215" s="15" t="s">
        <v>806</v>
      </c>
      <c r="B215" s="11"/>
      <c r="C215" s="11"/>
      <c r="D215" s="29"/>
      <c r="E215" s="29"/>
      <c r="F215" s="29"/>
      <c r="G215" s="29"/>
      <c r="H215" s="29"/>
      <c r="I215" s="29"/>
      <c r="J215" s="29"/>
      <c r="K215" s="29"/>
      <c r="L215" s="29"/>
      <c r="M215" s="29"/>
      <c r="N215" s="29">
        <v>104</v>
      </c>
      <c r="O215" s="29">
        <v>243</v>
      </c>
      <c r="P215" s="29">
        <v>370</v>
      </c>
      <c r="Q215" s="29">
        <v>611</v>
      </c>
      <c r="R215" s="29">
        <v>921</v>
      </c>
      <c r="S215" s="29">
        <v>980</v>
      </c>
      <c r="T215" s="29">
        <v>1352</v>
      </c>
      <c r="U215" s="29">
        <v>1800</v>
      </c>
      <c r="V215" s="1220"/>
      <c r="W215" s="1220"/>
    </row>
    <row r="216" spans="1:33" s="1" customFormat="1" ht="10.5">
      <c r="A216"/>
      <c r="D216" s="838"/>
      <c r="E216" s="838"/>
      <c r="F216" s="838"/>
      <c r="G216" s="838"/>
      <c r="H216" s="838"/>
      <c r="I216" s="838"/>
      <c r="J216" s="838"/>
      <c r="K216" s="838"/>
      <c r="L216" s="838"/>
      <c r="M216" s="1221"/>
      <c r="N216" s="1221"/>
      <c r="O216" s="1221"/>
      <c r="P216" s="1221"/>
      <c r="Q216" s="1221"/>
      <c r="R216" s="1221"/>
      <c r="S216" s="1221"/>
      <c r="T216" s="1221"/>
      <c r="U216" s="1221"/>
      <c r="V216" s="1221"/>
      <c r="W216" s="1221"/>
    </row>
    <row r="217" spans="1:33" s="1" customFormat="1" ht="10.5">
      <c r="A217"/>
      <c r="D217" s="838"/>
      <c r="E217" s="838"/>
      <c r="F217" s="838"/>
      <c r="G217" s="838"/>
      <c r="H217" s="838"/>
      <c r="I217" s="838"/>
      <c r="J217" s="838"/>
      <c r="K217" s="838"/>
      <c r="L217" s="838"/>
      <c r="M217" s="1221"/>
      <c r="N217" s="1221"/>
      <c r="O217" s="1221"/>
      <c r="P217" s="1221"/>
      <c r="Q217" s="1221"/>
      <c r="R217" s="1221"/>
      <c r="S217" s="1221"/>
      <c r="T217" s="1221"/>
      <c r="U217" s="1221"/>
      <c r="V217" s="1221"/>
      <c r="W217" s="956"/>
    </row>
  </sheetData>
  <pageMargins left="0.3" right="0.3" top="0.3" bottom="0.3" header="0.3" footer="0.3"/>
  <pageSetup scale="60" fitToHeight="0" orientation="portrait" r:id="rId1"/>
  <headerFooter>
    <oddFooter>Page &amp;P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2AFC4-31F2-418C-9AA3-C3B521B955C4}">
  <sheetPr>
    <pageSetUpPr fitToPage="1"/>
  </sheetPr>
  <dimension ref="A1:AR217"/>
  <sheetViews>
    <sheetView view="pageBreakPreview" zoomScale="85" zoomScaleNormal="100" zoomScaleSheetLayoutView="85" workbookViewId="0">
      <pane xSplit="1" ySplit="5" topLeftCell="B7" activePane="bottomRight" state="frozen"/>
      <selection pane="bottomRight" activeCell="B6" sqref="B6"/>
      <selection pane="bottomLeft" activeCell="B6" sqref="B6"/>
      <selection pane="topRight" activeCell="B6" sqref="B6"/>
    </sheetView>
  </sheetViews>
  <sheetFormatPr defaultRowHeight="9.9499999999999993" outlineLevelRow="1" outlineLevelCol="1"/>
  <cols>
    <col min="1" max="1" width="20.83203125" customWidth="1"/>
    <col min="2" max="2" width="2.83203125" customWidth="1"/>
    <col min="3" max="12" width="9.33203125" hidden="1" customWidth="1" outlineLevel="1"/>
    <col min="13" max="13" width="9.33203125" hidden="1" customWidth="1" outlineLevel="1" collapsed="1"/>
    <col min="14" max="14" width="9.33203125" collapsed="1"/>
    <col min="21" max="21" width="9.83203125" bestFit="1" customWidth="1"/>
    <col min="22" max="22" width="10.1640625" bestFit="1" customWidth="1"/>
    <col min="23" max="24" width="9.5" bestFit="1" customWidth="1"/>
    <col min="25" max="26" width="9.83203125" bestFit="1" customWidth="1"/>
    <col min="27" max="27" width="9.5" bestFit="1" customWidth="1"/>
    <col min="28" max="28" width="9.83203125" bestFit="1" customWidth="1"/>
    <col min="29" max="29" width="9.5" bestFit="1" customWidth="1"/>
    <col min="30" max="30" width="10.33203125" bestFit="1" customWidth="1"/>
    <col min="31" max="31" width="9.83203125" bestFit="1" customWidth="1"/>
    <col min="32" max="32" width="9.6640625" bestFit="1" customWidth="1"/>
    <col min="33" max="33" width="9.6640625" customWidth="1"/>
  </cols>
  <sheetData>
    <row r="1" spans="1:35" s="1" customFormat="1" ht="10.5">
      <c r="A1" s="1" t="s">
        <v>306</v>
      </c>
      <c r="AF1" s="1216"/>
      <c r="AG1" s="1216">
        <f ca="1">+TODAY()</f>
        <v>45797</v>
      </c>
    </row>
    <row r="2" spans="1:35" s="2" customFormat="1" ht="10.5">
      <c r="A2" s="2" t="s">
        <v>753</v>
      </c>
    </row>
    <row r="3" spans="1:35">
      <c r="A3" s="3" t="s">
        <v>63</v>
      </c>
    </row>
    <row r="4" spans="1:35" ht="10.5">
      <c r="A4" s="3"/>
      <c r="D4" s="89" t="str">
        <f>+'EBIT growth'!B4</f>
        <v>FYE June 30th</v>
      </c>
      <c r="E4" s="89"/>
      <c r="F4" s="89"/>
      <c r="G4" s="89"/>
      <c r="H4" s="89"/>
      <c r="I4" s="89"/>
      <c r="J4" s="89"/>
      <c r="K4" s="89"/>
      <c r="L4" s="89"/>
      <c r="M4" s="89" t="str">
        <f>+D4</f>
        <v>FYE June 30th</v>
      </c>
      <c r="N4" s="89" t="str">
        <f>+M4</f>
        <v>FYE June 30th</v>
      </c>
      <c r="O4" s="89"/>
      <c r="P4" s="89"/>
      <c r="Q4" s="89"/>
      <c r="R4" s="89"/>
      <c r="S4" s="89"/>
      <c r="T4" s="89"/>
      <c r="U4" s="89"/>
      <c r="V4" s="89"/>
      <c r="W4" s="89"/>
      <c r="X4" s="89"/>
      <c r="Y4" s="89"/>
      <c r="Z4" s="89"/>
      <c r="AA4" s="89"/>
      <c r="AB4" s="89"/>
      <c r="AC4" s="89"/>
      <c r="AD4" s="89"/>
      <c r="AE4" s="89"/>
      <c r="AF4" s="89"/>
      <c r="AG4" s="89"/>
    </row>
    <row r="5" spans="1:35" ht="13.5">
      <c r="C5" s="6" t="s">
        <v>247</v>
      </c>
      <c r="D5" s="6" t="s">
        <v>248</v>
      </c>
      <c r="E5" s="6" t="s">
        <v>249</v>
      </c>
      <c r="F5" s="6" t="s">
        <v>250</v>
      </c>
      <c r="G5" s="6" t="s">
        <v>251</v>
      </c>
      <c r="H5" s="6" t="s">
        <v>252</v>
      </c>
      <c r="I5" s="6" t="s">
        <v>253</v>
      </c>
      <c r="J5" s="6" t="s">
        <v>254</v>
      </c>
      <c r="K5" s="6" t="s">
        <v>255</v>
      </c>
      <c r="L5" s="6" t="s">
        <v>256</v>
      </c>
      <c r="M5" s="6" t="s">
        <v>257</v>
      </c>
      <c r="N5" s="6" t="s">
        <v>258</v>
      </c>
      <c r="O5" s="6" t="s">
        <v>259</v>
      </c>
      <c r="P5" s="6" t="s">
        <v>260</v>
      </c>
      <c r="Q5" s="6" t="s">
        <v>261</v>
      </c>
      <c r="R5" s="6" t="s">
        <v>262</v>
      </c>
      <c r="S5" s="6" t="s">
        <v>109</v>
      </c>
      <c r="T5" s="6" t="s">
        <v>191</v>
      </c>
      <c r="U5" s="6" t="s">
        <v>263</v>
      </c>
      <c r="V5" s="6" t="s">
        <v>72</v>
      </c>
      <c r="W5" s="6" t="s">
        <v>73</v>
      </c>
      <c r="X5" s="6" t="s">
        <v>74</v>
      </c>
      <c r="Y5" s="6" t="s">
        <v>75</v>
      </c>
      <c r="Z5" s="6" t="s">
        <v>76</v>
      </c>
      <c r="AA5" s="6" t="s">
        <v>77</v>
      </c>
      <c r="AB5" s="6" t="s">
        <v>78</v>
      </c>
      <c r="AC5" s="6" t="s">
        <v>79</v>
      </c>
      <c r="AD5" s="6" t="s">
        <v>80</v>
      </c>
      <c r="AE5" s="6" t="s">
        <v>81</v>
      </c>
      <c r="AF5" s="6" t="s">
        <v>82</v>
      </c>
      <c r="AG5" s="6" t="s">
        <v>83</v>
      </c>
    </row>
    <row r="7" spans="1:35" ht="10.5">
      <c r="A7" s="5" t="s">
        <v>754</v>
      </c>
      <c r="B7" s="4"/>
      <c r="AI7" t="s">
        <v>126</v>
      </c>
    </row>
    <row r="8" spans="1:35">
      <c r="AI8" t="s">
        <v>755</v>
      </c>
    </row>
    <row r="9" spans="1:35" ht="10.5">
      <c r="A9" s="45" t="s">
        <v>756</v>
      </c>
    </row>
    <row r="10" spans="1:35">
      <c r="A10" t="s">
        <v>758</v>
      </c>
      <c r="N10" s="1317">
        <f>+'D&amp;A forecast - Case 1'!N10</f>
        <v>5</v>
      </c>
    </row>
    <row r="11" spans="1:35">
      <c r="A11" s="1218" t="s">
        <v>759</v>
      </c>
      <c r="N11" s="1317">
        <f>+'D&amp;A forecast - Case 1'!N11</f>
        <v>7.5</v>
      </c>
    </row>
    <row r="12" spans="1:35">
      <c r="A12" s="1218" t="s">
        <v>760</v>
      </c>
      <c r="N12" s="1317">
        <f>+'D&amp;A forecast - Case 1'!N12</f>
        <v>9.5</v>
      </c>
    </row>
    <row r="14" spans="1:35">
      <c r="A14" t="str">
        <f>+A177</f>
        <v>Purchase of PP&amp;E + Finance Leases</v>
      </c>
      <c r="D14" s="8">
        <f>+D177</f>
        <v>2264</v>
      </c>
      <c r="E14" s="8">
        <f t="shared" ref="E14:U14" si="0">+E177</f>
        <v>3182</v>
      </c>
      <c r="F14" s="8">
        <f t="shared" si="0"/>
        <v>3119</v>
      </c>
      <c r="G14" s="8">
        <f t="shared" si="0"/>
        <v>1977</v>
      </c>
      <c r="H14" s="8">
        <f t="shared" si="0"/>
        <v>2355</v>
      </c>
      <c r="I14" s="8">
        <f t="shared" si="0"/>
        <v>2305</v>
      </c>
      <c r="J14" s="8">
        <f t="shared" si="0"/>
        <v>4257</v>
      </c>
      <c r="K14" s="8">
        <f t="shared" si="0"/>
        <v>5485</v>
      </c>
      <c r="L14" s="8">
        <f t="shared" si="0"/>
        <v>5944</v>
      </c>
      <c r="M14" s="8">
        <f t="shared" si="0"/>
        <v>8900</v>
      </c>
      <c r="N14" s="8">
        <f t="shared" si="0"/>
        <v>10200</v>
      </c>
      <c r="O14" s="8">
        <f t="shared" si="0"/>
        <v>13600</v>
      </c>
      <c r="P14" s="8">
        <f t="shared" si="0"/>
        <v>16900</v>
      </c>
      <c r="Q14" s="8">
        <f t="shared" si="0"/>
        <v>19000</v>
      </c>
      <c r="R14" s="8">
        <f t="shared" si="0"/>
        <v>24200</v>
      </c>
      <c r="S14" s="8">
        <f t="shared" si="0"/>
        <v>29200</v>
      </c>
      <c r="T14" s="8">
        <f t="shared" si="0"/>
        <v>31900</v>
      </c>
      <c r="U14" s="8">
        <f t="shared" si="0"/>
        <v>55700</v>
      </c>
      <c r="V14" s="1098">
        <f>+'Case 3 - downside'!K50</f>
        <v>83000</v>
      </c>
      <c r="W14" s="1098">
        <f>+'Case 3 - downside'!L50</f>
        <v>66039.530193789353</v>
      </c>
      <c r="X14" s="1098">
        <f>+'Case 3 - downside'!M50</f>
        <v>64838.811462993188</v>
      </c>
      <c r="Y14" s="1098">
        <f>+'Case 3 - downside'!N50</f>
        <v>63023.324742029377</v>
      </c>
      <c r="Z14" s="1098">
        <f>+'Case 3 - downside'!O50</f>
        <v>60502.391752348209</v>
      </c>
      <c r="AA14" s="1098">
        <f>+'Case 3 - downside'!P50</f>
        <v>57174.760205969069</v>
      </c>
      <c r="AB14" s="1098">
        <f>+'Case 3 - downside'!Q50</f>
        <v>57338.116663700406</v>
      </c>
      <c r="AC14" s="1098">
        <f>+'Case 3 - downside'!R50</f>
        <v>57161.691689350555</v>
      </c>
      <c r="AD14" s="1098">
        <f>+'Case 3 - downside'!S50</f>
        <v>61734.627024498601</v>
      </c>
      <c r="AE14" s="1098">
        <f>+'Case 3 - downside'!T50</f>
        <v>66673.397186458504</v>
      </c>
      <c r="AF14" s="1098">
        <f>+'Case 3 - downside'!U50</f>
        <v>72007.268961375186</v>
      </c>
      <c r="AG14" s="1098">
        <f>+'Case 3 - downside'!V50</f>
        <v>77767.850478285211</v>
      </c>
    </row>
    <row r="15" spans="1:35" s="852" customFormat="1" ht="11.45">
      <c r="A15" t="s">
        <v>761</v>
      </c>
      <c r="D15" s="853">
        <f t="shared" ref="D15:U15" si="1">+D16-D14</f>
        <v>-121</v>
      </c>
      <c r="E15" s="853">
        <f t="shared" si="1"/>
        <v>-4</v>
      </c>
      <c r="F15" s="853">
        <f t="shared" si="1"/>
        <v>-581</v>
      </c>
      <c r="G15" s="853">
        <f t="shared" si="1"/>
        <v>-800</v>
      </c>
      <c r="H15" s="853">
        <f t="shared" si="1"/>
        <v>-623</v>
      </c>
      <c r="I15" s="853">
        <f t="shared" si="1"/>
        <v>-1065</v>
      </c>
      <c r="J15" s="853">
        <f t="shared" si="1"/>
        <v>-984</v>
      </c>
      <c r="K15" s="853">
        <f t="shared" si="1"/>
        <v>-185</v>
      </c>
      <c r="L15" s="853">
        <f t="shared" si="1"/>
        <v>-1411</v>
      </c>
      <c r="M15" s="853">
        <f t="shared" si="1"/>
        <v>-3081</v>
      </c>
      <c r="N15" s="853">
        <f t="shared" si="1"/>
        <v>-443</v>
      </c>
      <c r="O15" s="853">
        <f t="shared" si="1"/>
        <v>-2830</v>
      </c>
      <c r="P15" s="853">
        <f t="shared" si="1"/>
        <v>-3776</v>
      </c>
      <c r="Q15" s="853">
        <f t="shared" si="1"/>
        <v>-3459</v>
      </c>
      <c r="R15" s="853">
        <f t="shared" si="1"/>
        <v>-482</v>
      </c>
      <c r="S15" s="853">
        <f t="shared" si="1"/>
        <v>-6208</v>
      </c>
      <c r="T15" s="853">
        <f t="shared" si="1"/>
        <v>-2066</v>
      </c>
      <c r="U15" s="853">
        <f t="shared" si="1"/>
        <v>-7580</v>
      </c>
      <c r="V15" s="58">
        <f>+U15</f>
        <v>-7580</v>
      </c>
      <c r="W15" s="58">
        <f t="shared" ref="W15:AG15" si="2">+V15/V14*W14*0.9</f>
        <v>-5427.9719877353127</v>
      </c>
      <c r="X15" s="58">
        <f t="shared" si="2"/>
        <v>-4796.3534291624774</v>
      </c>
      <c r="Y15" s="58">
        <f t="shared" si="2"/>
        <v>-4195.8499798313351</v>
      </c>
      <c r="Z15" s="58">
        <f t="shared" si="2"/>
        <v>-3625.2143825742737</v>
      </c>
      <c r="AA15" s="58">
        <f t="shared" si="2"/>
        <v>-3083.2448323794206</v>
      </c>
      <c r="AB15" s="58">
        <f t="shared" si="2"/>
        <v>-2782.8486929961687</v>
      </c>
      <c r="AC15" s="58">
        <f t="shared" si="2"/>
        <v>-2496.8574734697931</v>
      </c>
      <c r="AD15" s="58">
        <f t="shared" si="2"/>
        <v>-2426.9454642126389</v>
      </c>
      <c r="AE15" s="58">
        <f t="shared" si="2"/>
        <v>-2358.9909912146854</v>
      </c>
      <c r="AF15" s="58">
        <f t="shared" si="2"/>
        <v>-2292.9392434606743</v>
      </c>
      <c r="AG15" s="58">
        <f t="shared" si="2"/>
        <v>-2228.7369446437756</v>
      </c>
    </row>
    <row r="16" spans="1:35">
      <c r="A16" s="12" t="s">
        <v>762</v>
      </c>
      <c r="D16" s="8">
        <f t="shared" ref="D16:S16" si="3">+(D170)-(C170)</f>
        <v>2143</v>
      </c>
      <c r="E16" s="8">
        <f t="shared" si="3"/>
        <v>3178</v>
      </c>
      <c r="F16" s="8">
        <f t="shared" si="3"/>
        <v>2538</v>
      </c>
      <c r="G16" s="8">
        <f t="shared" si="3"/>
        <v>1177</v>
      </c>
      <c r="H16" s="8">
        <f t="shared" si="3"/>
        <v>1732</v>
      </c>
      <c r="I16" s="8">
        <f t="shared" si="3"/>
        <v>1240</v>
      </c>
      <c r="J16" s="8">
        <f t="shared" si="3"/>
        <v>3273</v>
      </c>
      <c r="K16" s="8">
        <f t="shared" si="3"/>
        <v>5300</v>
      </c>
      <c r="L16" s="8">
        <f t="shared" si="3"/>
        <v>4533</v>
      </c>
      <c r="M16" s="8">
        <f t="shared" si="3"/>
        <v>5819</v>
      </c>
      <c r="N16" s="8">
        <f t="shared" si="3"/>
        <v>9757</v>
      </c>
      <c r="O16" s="8">
        <f t="shared" si="3"/>
        <v>10770</v>
      </c>
      <c r="P16" s="8">
        <f t="shared" si="3"/>
        <v>13124</v>
      </c>
      <c r="Q16" s="8">
        <f t="shared" si="3"/>
        <v>15541</v>
      </c>
      <c r="R16" s="8">
        <f t="shared" si="3"/>
        <v>23718</v>
      </c>
      <c r="S16" s="8">
        <f t="shared" si="3"/>
        <v>22992</v>
      </c>
      <c r="T16" s="8">
        <f>+(T170)-(S170)</f>
        <v>29834</v>
      </c>
      <c r="U16" s="8">
        <f>+(U170)-(T170)</f>
        <v>48120</v>
      </c>
      <c r="V16" s="8">
        <f t="shared" ref="V16:AF16" si="4">+SUM(V14:V15)</f>
        <v>75420</v>
      </c>
      <c r="W16" s="8">
        <f t="shared" si="4"/>
        <v>60611.55820605404</v>
      </c>
      <c r="X16" s="8">
        <f t="shared" si="4"/>
        <v>60042.458033830713</v>
      </c>
      <c r="Y16" s="8">
        <f t="shared" si="4"/>
        <v>58827.474762198042</v>
      </c>
      <c r="Z16" s="8">
        <f t="shared" si="4"/>
        <v>56877.177369773934</v>
      </c>
      <c r="AA16" s="8">
        <f t="shared" si="4"/>
        <v>54091.515373589646</v>
      </c>
      <c r="AB16" s="8">
        <f t="shared" si="4"/>
        <v>54555.267970704241</v>
      </c>
      <c r="AC16" s="8">
        <f t="shared" si="4"/>
        <v>54664.834215880765</v>
      </c>
      <c r="AD16" s="8">
        <f t="shared" si="4"/>
        <v>59307.681560285964</v>
      </c>
      <c r="AE16" s="8">
        <f t="shared" si="4"/>
        <v>64314.406195243821</v>
      </c>
      <c r="AF16" s="8">
        <f t="shared" si="4"/>
        <v>69714.329717914516</v>
      </c>
      <c r="AG16" s="8">
        <f t="shared" ref="AG16" si="5">+SUM(AG14:AG15)</f>
        <v>75539.11353364143</v>
      </c>
      <c r="AH16" s="8"/>
    </row>
    <row r="18" spans="1:36" ht="10.5">
      <c r="A18" s="45" t="s">
        <v>763</v>
      </c>
    </row>
    <row r="19" spans="1:36">
      <c r="A19" t="s">
        <v>248</v>
      </c>
      <c r="D19" s="8">
        <f>+D64/$N$10</f>
        <v>1873.2</v>
      </c>
      <c r="E19" s="8">
        <f t="shared" ref="E19:Q26" si="6">+IF(D130&gt;0,MIN(E64/$N$10,D130),0)</f>
        <v>1873.2</v>
      </c>
      <c r="F19" s="8">
        <f t="shared" si="6"/>
        <v>1873.2</v>
      </c>
      <c r="G19" s="8">
        <f t="shared" si="6"/>
        <v>1873.2</v>
      </c>
      <c r="H19" s="8">
        <f t="shared" si="6"/>
        <v>1873.1999999999998</v>
      </c>
      <c r="I19" s="8">
        <f t="shared" si="6"/>
        <v>0</v>
      </c>
      <c r="J19" s="8">
        <f t="shared" si="6"/>
        <v>0</v>
      </c>
      <c r="K19" s="8">
        <f t="shared" si="6"/>
        <v>0</v>
      </c>
      <c r="L19" s="8">
        <f t="shared" si="6"/>
        <v>0</v>
      </c>
      <c r="M19" s="8">
        <f>+IF(L130&gt;0,MIN(M64/$N$10,L130),0)</f>
        <v>0</v>
      </c>
      <c r="N19" s="8">
        <f t="shared" si="6"/>
        <v>0</v>
      </c>
      <c r="O19" s="8">
        <f t="shared" si="6"/>
        <v>0</v>
      </c>
      <c r="P19" s="8">
        <f t="shared" si="6"/>
        <v>0</v>
      </c>
      <c r="Q19" s="8">
        <f t="shared" si="6"/>
        <v>0</v>
      </c>
      <c r="R19" s="8">
        <f>+IF(Q130&gt;0,MIN(R64/$N$11,Q130),0)</f>
        <v>0</v>
      </c>
      <c r="S19" s="8">
        <f>+IF(R130&gt;0,MIN(S64/$N$11,R130),0)</f>
        <v>0</v>
      </c>
      <c r="T19" s="8">
        <f t="shared" ref="T19:AG34" si="7">+IF(S130&gt;0,MIN(T64/$N$12,S130),0)</f>
        <v>0</v>
      </c>
      <c r="U19" s="8">
        <f t="shared" si="7"/>
        <v>0</v>
      </c>
      <c r="V19" s="8">
        <f t="shared" si="7"/>
        <v>0</v>
      </c>
      <c r="W19" s="8">
        <f t="shared" si="7"/>
        <v>0</v>
      </c>
      <c r="X19" s="8">
        <f t="shared" si="7"/>
        <v>0</v>
      </c>
      <c r="Y19" s="8">
        <f t="shared" si="7"/>
        <v>0</v>
      </c>
      <c r="Z19" s="8">
        <f t="shared" si="7"/>
        <v>0</v>
      </c>
      <c r="AA19" s="8">
        <f t="shared" si="7"/>
        <v>0</v>
      </c>
      <c r="AB19" s="8">
        <f t="shared" si="7"/>
        <v>0</v>
      </c>
      <c r="AC19" s="8">
        <f t="shared" si="7"/>
        <v>0</v>
      </c>
      <c r="AD19" s="8">
        <f t="shared" si="7"/>
        <v>0</v>
      </c>
      <c r="AE19" s="8">
        <f t="shared" si="7"/>
        <v>0</v>
      </c>
      <c r="AF19" s="8">
        <f t="shared" si="7"/>
        <v>0</v>
      </c>
      <c r="AG19" s="8">
        <f t="shared" si="7"/>
        <v>0</v>
      </c>
    </row>
    <row r="20" spans="1:36">
      <c r="A20" t="s">
        <v>249</v>
      </c>
      <c r="E20" s="8">
        <f>+E65/$N$10</f>
        <v>635.6</v>
      </c>
      <c r="F20" s="8">
        <f t="shared" si="6"/>
        <v>635.6</v>
      </c>
      <c r="G20" s="8">
        <f t="shared" si="6"/>
        <v>635.6</v>
      </c>
      <c r="H20" s="8">
        <f t="shared" si="6"/>
        <v>635.6</v>
      </c>
      <c r="I20" s="8">
        <f t="shared" si="6"/>
        <v>635.59999999999991</v>
      </c>
      <c r="J20" s="8">
        <f t="shared" si="6"/>
        <v>0</v>
      </c>
      <c r="K20" s="8">
        <f t="shared" si="6"/>
        <v>0</v>
      </c>
      <c r="L20" s="8">
        <f t="shared" si="6"/>
        <v>0</v>
      </c>
      <c r="M20" s="8">
        <f t="shared" si="6"/>
        <v>0</v>
      </c>
      <c r="N20" s="8">
        <f t="shared" si="6"/>
        <v>0</v>
      </c>
      <c r="O20" s="8">
        <f t="shared" si="6"/>
        <v>0</v>
      </c>
      <c r="P20" s="8">
        <f t="shared" si="6"/>
        <v>0</v>
      </c>
      <c r="Q20" s="8">
        <f t="shared" si="6"/>
        <v>0</v>
      </c>
      <c r="R20" s="8">
        <f t="shared" ref="R20:S32" si="8">+IF(Q131&gt;0,MIN(R65/$N$11,Q131),0)</f>
        <v>0</v>
      </c>
      <c r="S20" s="8">
        <f t="shared" si="8"/>
        <v>0</v>
      </c>
      <c r="T20" s="8">
        <f t="shared" si="7"/>
        <v>0</v>
      </c>
      <c r="U20" s="8">
        <f t="shared" si="7"/>
        <v>0</v>
      </c>
      <c r="V20" s="8">
        <f t="shared" si="7"/>
        <v>0</v>
      </c>
      <c r="W20" s="8">
        <f t="shared" si="7"/>
        <v>0</v>
      </c>
      <c r="X20" s="8">
        <f t="shared" si="7"/>
        <v>0</v>
      </c>
      <c r="Y20" s="8">
        <f t="shared" si="7"/>
        <v>0</v>
      </c>
      <c r="Z20" s="8">
        <f t="shared" si="7"/>
        <v>0</v>
      </c>
      <c r="AA20" s="8">
        <f t="shared" si="7"/>
        <v>0</v>
      </c>
      <c r="AB20" s="8">
        <f t="shared" si="7"/>
        <v>0</v>
      </c>
      <c r="AC20" s="8">
        <f t="shared" si="7"/>
        <v>0</v>
      </c>
      <c r="AD20" s="8">
        <f t="shared" si="7"/>
        <v>0</v>
      </c>
      <c r="AE20" s="8">
        <f t="shared" si="7"/>
        <v>0</v>
      </c>
      <c r="AF20" s="8">
        <f t="shared" si="7"/>
        <v>0</v>
      </c>
      <c r="AG20" s="8">
        <f t="shared" si="7"/>
        <v>0</v>
      </c>
    </row>
    <row r="21" spans="1:36">
      <c r="A21" t="s">
        <v>250</v>
      </c>
      <c r="F21" s="8">
        <f>+F66/$N$10</f>
        <v>507.6</v>
      </c>
      <c r="G21" s="8">
        <f t="shared" si="6"/>
        <v>507.6</v>
      </c>
      <c r="H21" s="8">
        <f t="shared" si="6"/>
        <v>507.6</v>
      </c>
      <c r="I21" s="8">
        <f t="shared" si="6"/>
        <v>507.6</v>
      </c>
      <c r="J21" s="8">
        <f t="shared" si="6"/>
        <v>507.59999999999991</v>
      </c>
      <c r="K21" s="8">
        <f t="shared" si="6"/>
        <v>0</v>
      </c>
      <c r="L21" s="8">
        <f t="shared" si="6"/>
        <v>0</v>
      </c>
      <c r="M21" s="8">
        <f t="shared" si="6"/>
        <v>0</v>
      </c>
      <c r="N21" s="8">
        <f t="shared" si="6"/>
        <v>0</v>
      </c>
      <c r="O21" s="8">
        <f t="shared" si="6"/>
        <v>0</v>
      </c>
      <c r="P21" s="8">
        <f t="shared" si="6"/>
        <v>0</v>
      </c>
      <c r="Q21" s="8">
        <f t="shared" si="6"/>
        <v>0</v>
      </c>
      <c r="R21" s="8">
        <f t="shared" si="8"/>
        <v>0</v>
      </c>
      <c r="S21" s="8">
        <f t="shared" si="8"/>
        <v>0</v>
      </c>
      <c r="T21" s="8">
        <f t="shared" si="7"/>
        <v>0</v>
      </c>
      <c r="U21" s="8">
        <f t="shared" si="7"/>
        <v>0</v>
      </c>
      <c r="V21" s="8">
        <f t="shared" si="7"/>
        <v>0</v>
      </c>
      <c r="W21" s="8">
        <f t="shared" si="7"/>
        <v>0</v>
      </c>
      <c r="X21" s="8">
        <f t="shared" si="7"/>
        <v>0</v>
      </c>
      <c r="Y21" s="8">
        <f t="shared" si="7"/>
        <v>0</v>
      </c>
      <c r="Z21" s="8">
        <f t="shared" si="7"/>
        <v>0</v>
      </c>
      <c r="AA21" s="8">
        <f t="shared" si="7"/>
        <v>0</v>
      </c>
      <c r="AB21" s="8">
        <f t="shared" si="7"/>
        <v>0</v>
      </c>
      <c r="AC21" s="8">
        <f t="shared" si="7"/>
        <v>0</v>
      </c>
      <c r="AD21" s="8">
        <f t="shared" si="7"/>
        <v>0</v>
      </c>
      <c r="AE21" s="8">
        <f t="shared" si="7"/>
        <v>0</v>
      </c>
      <c r="AF21" s="8">
        <f t="shared" si="7"/>
        <v>0</v>
      </c>
      <c r="AG21" s="8">
        <f t="shared" si="7"/>
        <v>0</v>
      </c>
    </row>
    <row r="22" spans="1:36">
      <c r="A22" t="s">
        <v>251</v>
      </c>
      <c r="G22" s="8">
        <f>+G67/$N$10</f>
        <v>235.4</v>
      </c>
      <c r="H22" s="8">
        <f t="shared" si="6"/>
        <v>235.4</v>
      </c>
      <c r="I22" s="8">
        <f t="shared" si="6"/>
        <v>235.4</v>
      </c>
      <c r="J22" s="8">
        <f t="shared" si="6"/>
        <v>235.4</v>
      </c>
      <c r="K22" s="8">
        <f t="shared" si="6"/>
        <v>235.39999999999998</v>
      </c>
      <c r="L22" s="8">
        <f t="shared" si="6"/>
        <v>0</v>
      </c>
      <c r="M22" s="8">
        <f t="shared" si="6"/>
        <v>0</v>
      </c>
      <c r="N22" s="8">
        <f t="shared" si="6"/>
        <v>0</v>
      </c>
      <c r="O22" s="8">
        <f t="shared" si="6"/>
        <v>0</v>
      </c>
      <c r="P22" s="8">
        <f t="shared" si="6"/>
        <v>0</v>
      </c>
      <c r="Q22" s="8">
        <f t="shared" si="6"/>
        <v>0</v>
      </c>
      <c r="R22" s="8">
        <f t="shared" si="8"/>
        <v>0</v>
      </c>
      <c r="S22" s="8">
        <f t="shared" si="8"/>
        <v>0</v>
      </c>
      <c r="T22" s="8">
        <f t="shared" si="7"/>
        <v>0</v>
      </c>
      <c r="U22" s="8">
        <f t="shared" si="7"/>
        <v>0</v>
      </c>
      <c r="V22" s="8">
        <f t="shared" si="7"/>
        <v>0</v>
      </c>
      <c r="W22" s="8">
        <f t="shared" si="7"/>
        <v>0</v>
      </c>
      <c r="X22" s="8">
        <f t="shared" si="7"/>
        <v>0</v>
      </c>
      <c r="Y22" s="8">
        <f t="shared" si="7"/>
        <v>0</v>
      </c>
      <c r="Z22" s="8">
        <f t="shared" si="7"/>
        <v>0</v>
      </c>
      <c r="AA22" s="8">
        <f t="shared" si="7"/>
        <v>0</v>
      </c>
      <c r="AB22" s="8">
        <f t="shared" si="7"/>
        <v>0</v>
      </c>
      <c r="AC22" s="8">
        <f t="shared" si="7"/>
        <v>0</v>
      </c>
      <c r="AD22" s="8">
        <f t="shared" si="7"/>
        <v>0</v>
      </c>
      <c r="AE22" s="8">
        <f t="shared" si="7"/>
        <v>0</v>
      </c>
      <c r="AF22" s="8">
        <f t="shared" si="7"/>
        <v>0</v>
      </c>
      <c r="AG22" s="8">
        <f t="shared" si="7"/>
        <v>0</v>
      </c>
    </row>
    <row r="23" spans="1:36">
      <c r="A23" t="s">
        <v>252</v>
      </c>
      <c r="H23" s="8">
        <f>+H68/$N$10</f>
        <v>346.4</v>
      </c>
      <c r="I23" s="8">
        <f t="shared" si="6"/>
        <v>346.4</v>
      </c>
      <c r="J23" s="8">
        <f t="shared" si="6"/>
        <v>346.4</v>
      </c>
      <c r="K23" s="8">
        <f t="shared" si="6"/>
        <v>346.4</v>
      </c>
      <c r="L23" s="8">
        <f t="shared" si="6"/>
        <v>346.4</v>
      </c>
      <c r="M23" s="8">
        <f t="shared" si="6"/>
        <v>0</v>
      </c>
      <c r="N23" s="8">
        <f t="shared" si="6"/>
        <v>0</v>
      </c>
      <c r="O23" s="8">
        <f t="shared" si="6"/>
        <v>0</v>
      </c>
      <c r="P23" s="8">
        <f t="shared" si="6"/>
        <v>0</v>
      </c>
      <c r="Q23" s="8">
        <f t="shared" si="6"/>
        <v>0</v>
      </c>
      <c r="R23" s="8">
        <f t="shared" si="8"/>
        <v>0</v>
      </c>
      <c r="S23" s="8">
        <f t="shared" si="8"/>
        <v>0</v>
      </c>
      <c r="T23" s="8">
        <f t="shared" si="7"/>
        <v>0</v>
      </c>
      <c r="U23" s="8">
        <f t="shared" si="7"/>
        <v>0</v>
      </c>
      <c r="V23" s="8">
        <f t="shared" si="7"/>
        <v>0</v>
      </c>
      <c r="W23" s="8">
        <f t="shared" si="7"/>
        <v>0</v>
      </c>
      <c r="X23" s="8">
        <f t="shared" si="7"/>
        <v>0</v>
      </c>
      <c r="Y23" s="8">
        <f t="shared" si="7"/>
        <v>0</v>
      </c>
      <c r="Z23" s="8">
        <f t="shared" si="7"/>
        <v>0</v>
      </c>
      <c r="AA23" s="8">
        <f t="shared" si="7"/>
        <v>0</v>
      </c>
      <c r="AB23" s="8">
        <f t="shared" si="7"/>
        <v>0</v>
      </c>
      <c r="AC23" s="8">
        <f t="shared" si="7"/>
        <v>0</v>
      </c>
      <c r="AD23" s="8">
        <f t="shared" si="7"/>
        <v>0</v>
      </c>
      <c r="AE23" s="8">
        <f t="shared" si="7"/>
        <v>0</v>
      </c>
      <c r="AF23" s="8">
        <f t="shared" si="7"/>
        <v>0</v>
      </c>
      <c r="AG23" s="8">
        <f t="shared" si="7"/>
        <v>0</v>
      </c>
    </row>
    <row r="24" spans="1:36">
      <c r="A24" t="s">
        <v>253</v>
      </c>
      <c r="I24" s="8">
        <f>+I69/$N$10</f>
        <v>248</v>
      </c>
      <c r="J24" s="8">
        <f t="shared" si="6"/>
        <v>248</v>
      </c>
      <c r="K24" s="8">
        <f t="shared" si="6"/>
        <v>248</v>
      </c>
      <c r="L24" s="8">
        <f t="shared" si="6"/>
        <v>248</v>
      </c>
      <c r="M24" s="8">
        <f t="shared" si="6"/>
        <v>248</v>
      </c>
      <c r="N24" s="8">
        <f t="shared" si="6"/>
        <v>0</v>
      </c>
      <c r="O24" s="8">
        <f t="shared" si="6"/>
        <v>0</v>
      </c>
      <c r="P24" s="8">
        <f t="shared" si="6"/>
        <v>0</v>
      </c>
      <c r="Q24" s="8">
        <f t="shared" si="6"/>
        <v>0</v>
      </c>
      <c r="R24" s="8">
        <f t="shared" si="8"/>
        <v>0</v>
      </c>
      <c r="S24" s="8">
        <f t="shared" si="8"/>
        <v>0</v>
      </c>
      <c r="T24" s="8">
        <f t="shared" si="7"/>
        <v>0</v>
      </c>
      <c r="U24" s="8">
        <f t="shared" si="7"/>
        <v>0</v>
      </c>
      <c r="V24" s="8">
        <f t="shared" si="7"/>
        <v>0</v>
      </c>
      <c r="W24" s="8">
        <f t="shared" si="7"/>
        <v>0</v>
      </c>
      <c r="X24" s="8">
        <f t="shared" si="7"/>
        <v>0</v>
      </c>
      <c r="Y24" s="8">
        <f t="shared" si="7"/>
        <v>0</v>
      </c>
      <c r="Z24" s="8">
        <f t="shared" si="7"/>
        <v>0</v>
      </c>
      <c r="AA24" s="8">
        <f t="shared" si="7"/>
        <v>0</v>
      </c>
      <c r="AB24" s="8">
        <f t="shared" si="7"/>
        <v>0</v>
      </c>
      <c r="AC24" s="8">
        <f t="shared" si="7"/>
        <v>0</v>
      </c>
      <c r="AD24" s="8">
        <f t="shared" si="7"/>
        <v>0</v>
      </c>
      <c r="AE24" s="8">
        <f t="shared" si="7"/>
        <v>0</v>
      </c>
      <c r="AF24" s="8">
        <f t="shared" si="7"/>
        <v>0</v>
      </c>
      <c r="AG24" s="8">
        <f t="shared" si="7"/>
        <v>0</v>
      </c>
    </row>
    <row r="25" spans="1:36">
      <c r="A25" t="s">
        <v>254</v>
      </c>
      <c r="J25" s="8">
        <f>+J70/$N$10</f>
        <v>654.6</v>
      </c>
      <c r="K25" s="8">
        <f t="shared" si="6"/>
        <v>654.6</v>
      </c>
      <c r="L25" s="8">
        <f t="shared" si="6"/>
        <v>654.6</v>
      </c>
      <c r="M25" s="8">
        <f t="shared" si="6"/>
        <v>654.6</v>
      </c>
      <c r="N25" s="8">
        <f t="shared" si="6"/>
        <v>654.59999999999991</v>
      </c>
      <c r="O25" s="8">
        <f t="shared" si="6"/>
        <v>0</v>
      </c>
      <c r="P25" s="8">
        <f t="shared" si="6"/>
        <v>0</v>
      </c>
      <c r="Q25" s="8">
        <f t="shared" si="6"/>
        <v>0</v>
      </c>
      <c r="R25" s="8">
        <f t="shared" si="8"/>
        <v>0</v>
      </c>
      <c r="S25" s="8">
        <f t="shared" si="8"/>
        <v>0</v>
      </c>
      <c r="T25" s="8">
        <f t="shared" si="7"/>
        <v>0</v>
      </c>
      <c r="U25" s="8">
        <f t="shared" si="7"/>
        <v>0</v>
      </c>
      <c r="V25" s="8">
        <f t="shared" si="7"/>
        <v>0</v>
      </c>
      <c r="W25" s="8">
        <f t="shared" si="7"/>
        <v>0</v>
      </c>
      <c r="X25" s="8">
        <f t="shared" si="7"/>
        <v>0</v>
      </c>
      <c r="Y25" s="8">
        <f t="shared" si="7"/>
        <v>0</v>
      </c>
      <c r="Z25" s="8">
        <f t="shared" si="7"/>
        <v>0</v>
      </c>
      <c r="AA25" s="8">
        <f t="shared" si="7"/>
        <v>0</v>
      </c>
      <c r="AB25" s="8">
        <f t="shared" si="7"/>
        <v>0</v>
      </c>
      <c r="AC25" s="8">
        <f t="shared" si="7"/>
        <v>0</v>
      </c>
      <c r="AD25" s="8">
        <f t="shared" si="7"/>
        <v>0</v>
      </c>
      <c r="AE25" s="8">
        <f t="shared" si="7"/>
        <v>0</v>
      </c>
      <c r="AF25" s="8">
        <f t="shared" si="7"/>
        <v>0</v>
      </c>
      <c r="AG25" s="8">
        <f t="shared" si="7"/>
        <v>0</v>
      </c>
    </row>
    <row r="26" spans="1:36">
      <c r="A26" t="s">
        <v>255</v>
      </c>
      <c r="K26" s="8">
        <f>+K71/$N$10</f>
        <v>1060</v>
      </c>
      <c r="L26" s="8">
        <f t="shared" si="6"/>
        <v>1060</v>
      </c>
      <c r="M26" s="8">
        <f t="shared" si="6"/>
        <v>1060</v>
      </c>
      <c r="N26" s="8">
        <f t="shared" si="6"/>
        <v>1060</v>
      </c>
      <c r="O26" s="8">
        <f t="shared" si="6"/>
        <v>1060</v>
      </c>
      <c r="P26" s="8">
        <f t="shared" si="6"/>
        <v>0</v>
      </c>
      <c r="Q26" s="8">
        <f t="shared" si="6"/>
        <v>0</v>
      </c>
      <c r="R26" s="8">
        <f t="shared" si="8"/>
        <v>0</v>
      </c>
      <c r="S26" s="8">
        <f t="shared" si="8"/>
        <v>0</v>
      </c>
      <c r="T26" s="8">
        <f t="shared" si="7"/>
        <v>0</v>
      </c>
      <c r="U26" s="8">
        <f t="shared" si="7"/>
        <v>0</v>
      </c>
      <c r="V26" s="8">
        <f t="shared" si="7"/>
        <v>0</v>
      </c>
      <c r="W26" s="8">
        <f t="shared" si="7"/>
        <v>0</v>
      </c>
      <c r="X26" s="8">
        <f t="shared" si="7"/>
        <v>0</v>
      </c>
      <c r="Y26" s="8">
        <f t="shared" si="7"/>
        <v>0</v>
      </c>
      <c r="Z26" s="8">
        <f t="shared" si="7"/>
        <v>0</v>
      </c>
      <c r="AA26" s="8">
        <f t="shared" si="7"/>
        <v>0</v>
      </c>
      <c r="AB26" s="8">
        <f t="shared" si="7"/>
        <v>0</v>
      </c>
      <c r="AC26" s="8">
        <f t="shared" si="7"/>
        <v>0</v>
      </c>
      <c r="AD26" s="8">
        <f t="shared" si="7"/>
        <v>0</v>
      </c>
      <c r="AE26" s="8">
        <f t="shared" si="7"/>
        <v>0</v>
      </c>
      <c r="AF26" s="8">
        <f t="shared" si="7"/>
        <v>0</v>
      </c>
      <c r="AG26" s="8">
        <f t="shared" si="7"/>
        <v>0</v>
      </c>
    </row>
    <row r="27" spans="1:36">
      <c r="A27" t="s">
        <v>256</v>
      </c>
      <c r="L27" s="8">
        <f>+L72/$N$10</f>
        <v>906.6</v>
      </c>
      <c r="M27" s="8">
        <f>+IF(L138&gt;0,MIN(M72/$N$10,L138),0)</f>
        <v>906.6</v>
      </c>
      <c r="N27" s="8">
        <f>+IF(M138&gt;0,MIN(N72/$N$10,M138),0)</f>
        <v>906.6</v>
      </c>
      <c r="O27" s="8">
        <f>+IF(N138&gt;0,MIN(O72/$N$10,N138),0)</f>
        <v>906.6</v>
      </c>
      <c r="P27" s="8">
        <f>+IF(O138&gt;0,MIN(P72/$N$10,O138),0)</f>
        <v>906.59999999999991</v>
      </c>
      <c r="Q27" s="8">
        <f>+IF(P138&gt;0,MIN(Q72/$N$10,P138),0)</f>
        <v>0</v>
      </c>
      <c r="R27" s="8">
        <f t="shared" si="8"/>
        <v>0</v>
      </c>
      <c r="S27" s="8">
        <f t="shared" si="8"/>
        <v>0</v>
      </c>
      <c r="T27" s="8">
        <f t="shared" si="7"/>
        <v>0</v>
      </c>
      <c r="U27" s="8">
        <f t="shared" si="7"/>
        <v>0</v>
      </c>
      <c r="V27" s="8">
        <f t="shared" si="7"/>
        <v>0</v>
      </c>
      <c r="W27" s="8">
        <f t="shared" si="7"/>
        <v>0</v>
      </c>
      <c r="X27" s="8">
        <f t="shared" si="7"/>
        <v>0</v>
      </c>
      <c r="Y27" s="8">
        <f t="shared" si="7"/>
        <v>0</v>
      </c>
      <c r="Z27" s="8">
        <f t="shared" si="7"/>
        <v>0</v>
      </c>
      <c r="AA27" s="8">
        <f t="shared" si="7"/>
        <v>0</v>
      </c>
      <c r="AB27" s="8">
        <f t="shared" si="7"/>
        <v>0</v>
      </c>
      <c r="AC27" s="8">
        <f t="shared" si="7"/>
        <v>0</v>
      </c>
      <c r="AD27" s="8">
        <f t="shared" si="7"/>
        <v>0</v>
      </c>
      <c r="AE27" s="8">
        <f t="shared" si="7"/>
        <v>0</v>
      </c>
      <c r="AF27" s="8">
        <f t="shared" si="7"/>
        <v>0</v>
      </c>
      <c r="AG27" s="8">
        <f t="shared" si="7"/>
        <v>0</v>
      </c>
    </row>
    <row r="28" spans="1:36">
      <c r="A28" t="s">
        <v>257</v>
      </c>
      <c r="M28" s="8">
        <f>+M73/$N$10</f>
        <v>1163.8</v>
      </c>
      <c r="N28" s="8">
        <f>+IF(M139&gt;0,MIN(N73/$N$10,M139),0)</f>
        <v>1163.8</v>
      </c>
      <c r="O28" s="8">
        <f>+IF(N139&gt;0,MIN(O73/$N$10,N139),0)</f>
        <v>1163.8</v>
      </c>
      <c r="P28" s="8">
        <f>+IF(O139&gt;0,MIN(P73/$N$10,O139),0)</f>
        <v>1163.8</v>
      </c>
      <c r="Q28" s="8">
        <f>+IF(P139&gt;0,MIN(Q73/$N$10,P139),0)</f>
        <v>1163.8</v>
      </c>
      <c r="R28" s="8">
        <f t="shared" si="8"/>
        <v>0</v>
      </c>
      <c r="S28" s="8">
        <f t="shared" si="8"/>
        <v>0</v>
      </c>
      <c r="T28" s="8">
        <f t="shared" si="7"/>
        <v>0</v>
      </c>
      <c r="U28" s="8">
        <f t="shared" si="7"/>
        <v>0</v>
      </c>
      <c r="V28" s="8">
        <f t="shared" si="7"/>
        <v>0</v>
      </c>
      <c r="W28" s="8">
        <f t="shared" si="7"/>
        <v>0</v>
      </c>
      <c r="X28" s="8">
        <f t="shared" si="7"/>
        <v>0</v>
      </c>
      <c r="Y28" s="8">
        <f t="shared" si="7"/>
        <v>0</v>
      </c>
      <c r="Z28" s="8">
        <f t="shared" si="7"/>
        <v>0</v>
      </c>
      <c r="AA28" s="8">
        <f t="shared" si="7"/>
        <v>0</v>
      </c>
      <c r="AB28" s="8">
        <f t="shared" si="7"/>
        <v>0</v>
      </c>
      <c r="AC28" s="8">
        <f t="shared" si="7"/>
        <v>0</v>
      </c>
      <c r="AD28" s="8">
        <f t="shared" si="7"/>
        <v>0</v>
      </c>
      <c r="AE28" s="8">
        <f t="shared" si="7"/>
        <v>0</v>
      </c>
      <c r="AF28" s="8">
        <f t="shared" si="7"/>
        <v>0</v>
      </c>
      <c r="AG28" s="8">
        <f t="shared" si="7"/>
        <v>0</v>
      </c>
    </row>
    <row r="29" spans="1:36">
      <c r="A29" t="s">
        <v>258</v>
      </c>
      <c r="N29" s="8">
        <f>+N74/$N$10</f>
        <v>1951.4</v>
      </c>
      <c r="O29" s="8">
        <f>+IF(N140&gt;0,MIN(O74/$N$10,N140),0)</f>
        <v>1951.4</v>
      </c>
      <c r="P29" s="8">
        <f>+IF(O140&gt;0,MIN(P74/$N$10,O140),0)</f>
        <v>1951.4</v>
      </c>
      <c r="Q29" s="8">
        <f>+IF(P140&gt;0,MIN(Q74/$N$10,P140),0)</f>
        <v>1951.4</v>
      </c>
      <c r="R29" s="8">
        <f t="shared" si="8"/>
        <v>1300.9333333333334</v>
      </c>
      <c r="S29" s="8">
        <f t="shared" si="8"/>
        <v>650.46666666666715</v>
      </c>
      <c r="T29" s="8">
        <f t="shared" si="7"/>
        <v>0</v>
      </c>
      <c r="U29" s="8">
        <f t="shared" si="7"/>
        <v>0</v>
      </c>
      <c r="V29" s="8">
        <f t="shared" si="7"/>
        <v>0</v>
      </c>
      <c r="W29" s="8">
        <f t="shared" si="7"/>
        <v>0</v>
      </c>
      <c r="X29" s="8">
        <f t="shared" si="7"/>
        <v>0</v>
      </c>
      <c r="Y29" s="8">
        <f t="shared" si="7"/>
        <v>0</v>
      </c>
      <c r="Z29" s="8">
        <f t="shared" si="7"/>
        <v>0</v>
      </c>
      <c r="AA29" s="8">
        <f t="shared" si="7"/>
        <v>0</v>
      </c>
      <c r="AB29" s="8">
        <f t="shared" si="7"/>
        <v>0</v>
      </c>
      <c r="AC29" s="8">
        <f t="shared" si="7"/>
        <v>0</v>
      </c>
      <c r="AD29" s="8">
        <f t="shared" si="7"/>
        <v>0</v>
      </c>
      <c r="AE29" s="8">
        <f t="shared" si="7"/>
        <v>0</v>
      </c>
      <c r="AF29" s="8">
        <f t="shared" si="7"/>
        <v>0</v>
      </c>
      <c r="AG29" s="8">
        <f t="shared" si="7"/>
        <v>0</v>
      </c>
    </row>
    <row r="30" spans="1:36">
      <c r="A30" t="s">
        <v>259</v>
      </c>
      <c r="O30" s="8">
        <f>+O75/$N$10</f>
        <v>2154</v>
      </c>
      <c r="P30" s="8">
        <f>+IF(O141&gt;0,MIN(P75/$N$10,O141),0)</f>
        <v>2154</v>
      </c>
      <c r="Q30" s="8">
        <f>+IF(P141&gt;0,MIN(Q75/$N$10,P141),0)</f>
        <v>2154</v>
      </c>
      <c r="R30" s="8">
        <f t="shared" si="8"/>
        <v>1436</v>
      </c>
      <c r="S30" s="8">
        <f t="shared" si="8"/>
        <v>1436</v>
      </c>
      <c r="T30" s="8">
        <f t="shared" si="7"/>
        <v>1133.6842105263158</v>
      </c>
      <c r="U30" s="8">
        <f t="shared" si="7"/>
        <v>302.31578947368325</v>
      </c>
      <c r="V30" s="8">
        <f t="shared" si="7"/>
        <v>0</v>
      </c>
      <c r="W30" s="8">
        <f t="shared" si="7"/>
        <v>0</v>
      </c>
      <c r="X30" s="8">
        <f t="shared" si="7"/>
        <v>0</v>
      </c>
      <c r="Y30" s="8">
        <f t="shared" si="7"/>
        <v>0</v>
      </c>
      <c r="Z30" s="8">
        <f t="shared" si="7"/>
        <v>0</v>
      </c>
      <c r="AA30" s="8">
        <f t="shared" si="7"/>
        <v>0</v>
      </c>
      <c r="AB30" s="8">
        <f t="shared" si="7"/>
        <v>0</v>
      </c>
      <c r="AC30" s="8">
        <f t="shared" si="7"/>
        <v>0</v>
      </c>
      <c r="AD30" s="8">
        <f t="shared" si="7"/>
        <v>0</v>
      </c>
      <c r="AE30" s="8">
        <f t="shared" si="7"/>
        <v>0</v>
      </c>
      <c r="AF30" s="8">
        <f t="shared" si="7"/>
        <v>0</v>
      </c>
      <c r="AG30" s="8">
        <f t="shared" si="7"/>
        <v>0</v>
      </c>
      <c r="AH30" s="8"/>
    </row>
    <row r="31" spans="1:36">
      <c r="A31" t="s">
        <v>260</v>
      </c>
      <c r="P31" s="8">
        <f>+P76/$N$10</f>
        <v>2624.8</v>
      </c>
      <c r="Q31" s="8">
        <f>+IF(P142&gt;0,MIN(Q76/$N$10,P142),0)</f>
        <v>2624.8</v>
      </c>
      <c r="R31" s="8">
        <f t="shared" si="8"/>
        <v>1749.8666666666666</v>
      </c>
      <c r="S31" s="8">
        <f t="shared" si="8"/>
        <v>1749.8666666666666</v>
      </c>
      <c r="T31" s="8">
        <f t="shared" si="7"/>
        <v>1381.4736842105262</v>
      </c>
      <c r="U31" s="8">
        <f t="shared" si="7"/>
        <v>1381.4736842105262</v>
      </c>
      <c r="V31" s="8">
        <f t="shared" si="7"/>
        <v>1381.4736842105262</v>
      </c>
      <c r="W31" s="8">
        <f t="shared" si="7"/>
        <v>230.24561403508596</v>
      </c>
      <c r="X31" s="8">
        <f t="shared" si="7"/>
        <v>0</v>
      </c>
      <c r="Y31" s="8">
        <f t="shared" si="7"/>
        <v>0</v>
      </c>
      <c r="Z31" s="8">
        <f t="shared" si="7"/>
        <v>0</v>
      </c>
      <c r="AA31" s="8">
        <f t="shared" si="7"/>
        <v>0</v>
      </c>
      <c r="AB31" s="8">
        <f t="shared" si="7"/>
        <v>0</v>
      </c>
      <c r="AC31" s="8">
        <f t="shared" si="7"/>
        <v>0</v>
      </c>
      <c r="AD31" s="8">
        <f t="shared" si="7"/>
        <v>0</v>
      </c>
      <c r="AE31" s="8">
        <f t="shared" si="7"/>
        <v>0</v>
      </c>
      <c r="AF31" s="8">
        <f t="shared" si="7"/>
        <v>0</v>
      </c>
      <c r="AG31" s="8">
        <f t="shared" si="7"/>
        <v>0</v>
      </c>
      <c r="AH31" s="8"/>
      <c r="AI31" s="8"/>
    </row>
    <row r="32" spans="1:36">
      <c r="A32" t="s">
        <v>261</v>
      </c>
      <c r="Q32" s="8">
        <f>+Q77/$N$10</f>
        <v>3108.2</v>
      </c>
      <c r="R32" s="8">
        <f t="shared" si="8"/>
        <v>2072.1333333333332</v>
      </c>
      <c r="S32" s="8">
        <f t="shared" si="8"/>
        <v>2072.1333333333332</v>
      </c>
      <c r="T32" s="8">
        <f t="shared" si="7"/>
        <v>1635.8947368421052</v>
      </c>
      <c r="U32" s="8">
        <f t="shared" si="7"/>
        <v>1635.8947368421052</v>
      </c>
      <c r="V32" s="8">
        <f t="shared" si="7"/>
        <v>1635.8947368421052</v>
      </c>
      <c r="W32" s="8">
        <f t="shared" si="7"/>
        <v>1635.8947368421052</v>
      </c>
      <c r="X32" s="8">
        <f t="shared" si="7"/>
        <v>1635.8947368421052</v>
      </c>
      <c r="Y32" s="8">
        <f t="shared" si="7"/>
        <v>109.05964912280797</v>
      </c>
      <c r="Z32" s="8">
        <f t="shared" si="7"/>
        <v>0</v>
      </c>
      <c r="AA32" s="8">
        <f t="shared" si="7"/>
        <v>0</v>
      </c>
      <c r="AB32" s="8">
        <f t="shared" si="7"/>
        <v>0</v>
      </c>
      <c r="AC32" s="8">
        <f t="shared" si="7"/>
        <v>0</v>
      </c>
      <c r="AD32" s="8">
        <f t="shared" si="7"/>
        <v>0</v>
      </c>
      <c r="AE32" s="8">
        <f t="shared" si="7"/>
        <v>0</v>
      </c>
      <c r="AF32" s="8">
        <f t="shared" si="7"/>
        <v>0</v>
      </c>
      <c r="AG32" s="8">
        <f t="shared" si="7"/>
        <v>0</v>
      </c>
      <c r="AH32" s="8"/>
      <c r="AI32" s="8"/>
      <c r="AJ32" s="8"/>
    </row>
    <row r="33" spans="1:44">
      <c r="A33" t="s">
        <v>262</v>
      </c>
      <c r="R33" s="8">
        <f>+R78/$N$11</f>
        <v>3162.4</v>
      </c>
      <c r="S33" s="8">
        <f>+IF(R144&gt;0,MIN(S78/$N$11,R144),0)</f>
        <v>3162.4</v>
      </c>
      <c r="T33" s="8">
        <f t="shared" si="7"/>
        <v>2496.6315789473683</v>
      </c>
      <c r="U33" s="8">
        <f t="shared" si="7"/>
        <v>2496.6315789473683</v>
      </c>
      <c r="V33" s="8">
        <f t="shared" si="7"/>
        <v>2496.6315789473683</v>
      </c>
      <c r="W33" s="8">
        <f t="shared" si="7"/>
        <v>2496.6315789473683</v>
      </c>
      <c r="X33" s="8">
        <f t="shared" si="7"/>
        <v>2496.6315789473683</v>
      </c>
      <c r="Y33" s="8">
        <f t="shared" si="7"/>
        <v>2496.6315789473683</v>
      </c>
      <c r="Z33" s="8">
        <f t="shared" si="7"/>
        <v>2413.4105263157908</v>
      </c>
      <c r="AA33" s="8">
        <f t="shared" si="7"/>
        <v>0</v>
      </c>
      <c r="AB33" s="8">
        <f t="shared" si="7"/>
        <v>0</v>
      </c>
      <c r="AC33" s="8">
        <f t="shared" si="7"/>
        <v>0</v>
      </c>
      <c r="AD33" s="8">
        <f t="shared" si="7"/>
        <v>0</v>
      </c>
      <c r="AE33" s="8">
        <f t="shared" si="7"/>
        <v>0</v>
      </c>
      <c r="AF33" s="8">
        <f t="shared" si="7"/>
        <v>0</v>
      </c>
      <c r="AG33" s="8">
        <f t="shared" si="7"/>
        <v>0</v>
      </c>
      <c r="AH33" s="8"/>
      <c r="AI33" s="8"/>
      <c r="AJ33" s="8"/>
      <c r="AK33" s="8"/>
    </row>
    <row r="34" spans="1:44">
      <c r="A34" t="s">
        <v>109</v>
      </c>
      <c r="S34" s="8">
        <f>+S79/$N$11</f>
        <v>3065.6</v>
      </c>
      <c r="T34" s="8">
        <f t="shared" si="7"/>
        <v>2420.2105263157896</v>
      </c>
      <c r="U34" s="8">
        <f t="shared" si="7"/>
        <v>2420.2105263157896</v>
      </c>
      <c r="V34" s="8">
        <f t="shared" si="7"/>
        <v>2420.2105263157896</v>
      </c>
      <c r="W34" s="8">
        <f t="shared" si="7"/>
        <v>2420.2105263157896</v>
      </c>
      <c r="X34" s="8">
        <f t="shared" si="7"/>
        <v>2420.2105263157896</v>
      </c>
      <c r="Y34" s="8">
        <f t="shared" si="7"/>
        <v>2420.2105263157896</v>
      </c>
      <c r="Z34" s="8">
        <f t="shared" si="7"/>
        <v>2420.2105263157896</v>
      </c>
      <c r="AA34" s="8">
        <f t="shared" si="7"/>
        <v>2420.2105263157896</v>
      </c>
      <c r="AB34" s="8">
        <f t="shared" si="7"/>
        <v>564.71578947368107</v>
      </c>
      <c r="AC34" s="8">
        <f t="shared" si="7"/>
        <v>0</v>
      </c>
      <c r="AD34" s="8">
        <f t="shared" si="7"/>
        <v>0</v>
      </c>
      <c r="AE34" s="8">
        <f t="shared" si="7"/>
        <v>0</v>
      </c>
      <c r="AF34" s="8">
        <f t="shared" si="7"/>
        <v>0</v>
      </c>
      <c r="AG34" s="8">
        <f t="shared" si="7"/>
        <v>0</v>
      </c>
      <c r="AH34" s="8"/>
      <c r="AI34" s="8"/>
      <c r="AJ34" s="8"/>
      <c r="AK34" s="8"/>
      <c r="AL34" s="8"/>
    </row>
    <row r="35" spans="1:44">
      <c r="A35" t="s">
        <v>191</v>
      </c>
      <c r="T35" s="8">
        <f>+T80/$N$12</f>
        <v>3140.4210526315787</v>
      </c>
      <c r="U35" s="8">
        <f t="shared" ref="U35:AG46" si="9">+IF(T146&gt;0,MIN(U80/$N$12,T146),0)</f>
        <v>3140.4210526315787</v>
      </c>
      <c r="V35" s="8">
        <f t="shared" si="9"/>
        <v>3140.4210526315787</v>
      </c>
      <c r="W35" s="8">
        <f t="shared" si="9"/>
        <v>3140.4210526315787</v>
      </c>
      <c r="X35" s="8">
        <f t="shared" si="9"/>
        <v>3140.4210526315787</v>
      </c>
      <c r="Y35" s="8">
        <f t="shared" si="9"/>
        <v>3140.4210526315787</v>
      </c>
      <c r="Z35" s="8">
        <f t="shared" si="9"/>
        <v>3140.4210526315787</v>
      </c>
      <c r="AA35" s="8">
        <f t="shared" si="9"/>
        <v>3140.4210526315787</v>
      </c>
      <c r="AB35" s="8">
        <f t="shared" si="9"/>
        <v>3140.4210526315787</v>
      </c>
      <c r="AC35" s="8">
        <f t="shared" si="9"/>
        <v>1570.2105263157864</v>
      </c>
      <c r="AD35" s="8">
        <f t="shared" si="9"/>
        <v>0</v>
      </c>
      <c r="AE35" s="8">
        <f t="shared" si="9"/>
        <v>0</v>
      </c>
      <c r="AF35" s="8">
        <f t="shared" si="9"/>
        <v>0</v>
      </c>
      <c r="AG35" s="8">
        <f t="shared" si="9"/>
        <v>0</v>
      </c>
      <c r="AH35" s="8"/>
      <c r="AI35" s="8"/>
      <c r="AJ35" s="8"/>
      <c r="AK35" s="8"/>
      <c r="AL35" s="8"/>
      <c r="AM35" s="8"/>
    </row>
    <row r="36" spans="1:44">
      <c r="A36" t="s">
        <v>263</v>
      </c>
      <c r="U36" s="8">
        <f>+U81/$N$12</f>
        <v>5065.2631578947367</v>
      </c>
      <c r="V36" s="8">
        <f>+IF(U147&gt;0,MIN(V81/$N$12,U147),0)</f>
        <v>5065.2631578947367</v>
      </c>
      <c r="W36" s="8">
        <f>+IF(V147&gt;0,MIN(W81/$N$12,V147),0)</f>
        <v>5065.2631578947367</v>
      </c>
      <c r="X36" s="8">
        <f t="shared" si="9"/>
        <v>5065.2631578947367</v>
      </c>
      <c r="Y36" s="8">
        <f t="shared" si="9"/>
        <v>5065.2631578947367</v>
      </c>
      <c r="Z36" s="8">
        <f t="shared" si="9"/>
        <v>5065.2631578947367</v>
      </c>
      <c r="AA36" s="8">
        <f t="shared" si="9"/>
        <v>5065.2631578947367</v>
      </c>
      <c r="AB36" s="8">
        <f t="shared" si="9"/>
        <v>5065.2631578947367</v>
      </c>
      <c r="AC36" s="8">
        <f t="shared" si="9"/>
        <v>5065.2631578947367</v>
      </c>
      <c r="AD36" s="8">
        <f t="shared" si="9"/>
        <v>2532.6315789473738</v>
      </c>
      <c r="AE36" s="8">
        <f t="shared" si="9"/>
        <v>0</v>
      </c>
      <c r="AF36" s="8">
        <f t="shared" si="9"/>
        <v>0</v>
      </c>
      <c r="AG36" s="8">
        <f t="shared" si="9"/>
        <v>0</v>
      </c>
      <c r="AH36" s="8"/>
      <c r="AI36" s="8"/>
      <c r="AJ36" s="8"/>
      <c r="AK36" s="8"/>
      <c r="AL36" s="8"/>
      <c r="AM36" s="8"/>
      <c r="AN36" s="8"/>
    </row>
    <row r="37" spans="1:44">
      <c r="A37" t="s">
        <v>72</v>
      </c>
      <c r="V37" s="8">
        <f>+V82/$N$12</f>
        <v>7938.9473684210525</v>
      </c>
      <c r="W37" s="8">
        <f t="shared" ref="W37:AF41" si="10">+IF(V148&gt;0,MIN(W82/$N$12,V148),0)</f>
        <v>7938.9473684210525</v>
      </c>
      <c r="X37" s="8">
        <f t="shared" si="10"/>
        <v>7938.9473684210525</v>
      </c>
      <c r="Y37" s="8">
        <f t="shared" si="10"/>
        <v>7938.9473684210525</v>
      </c>
      <c r="Z37" s="8">
        <f t="shared" si="10"/>
        <v>7938.9473684210525</v>
      </c>
      <c r="AA37" s="8">
        <f t="shared" si="10"/>
        <v>7938.9473684210525</v>
      </c>
      <c r="AB37" s="8">
        <f t="shared" si="10"/>
        <v>7938.9473684210525</v>
      </c>
      <c r="AC37" s="8">
        <f t="shared" si="10"/>
        <v>7938.9473684210525</v>
      </c>
      <c r="AD37" s="8">
        <f t="shared" si="10"/>
        <v>7938.9473684210525</v>
      </c>
      <c r="AE37" s="8">
        <f t="shared" si="10"/>
        <v>3969.473684210534</v>
      </c>
      <c r="AF37" s="8">
        <f t="shared" si="10"/>
        <v>0</v>
      </c>
      <c r="AG37" s="8">
        <f t="shared" si="9"/>
        <v>0</v>
      </c>
      <c r="AH37" s="8"/>
      <c r="AI37" s="8"/>
      <c r="AJ37" s="8"/>
      <c r="AK37" s="8"/>
      <c r="AL37" s="8"/>
      <c r="AM37" s="8"/>
      <c r="AN37" s="8"/>
      <c r="AO37" s="8"/>
    </row>
    <row r="38" spans="1:44">
      <c r="A38" t="s">
        <v>73</v>
      </c>
      <c r="W38" s="8">
        <f>+W83/$N$12</f>
        <v>6380.1640216898986</v>
      </c>
      <c r="X38" s="8">
        <f t="shared" si="10"/>
        <v>6380.1640216898986</v>
      </c>
      <c r="Y38" s="8">
        <f t="shared" si="10"/>
        <v>6380.1640216898986</v>
      </c>
      <c r="Z38" s="8">
        <f t="shared" si="10"/>
        <v>6380.1640216898986</v>
      </c>
      <c r="AA38" s="8">
        <f t="shared" si="10"/>
        <v>6380.1640216898986</v>
      </c>
      <c r="AB38" s="8">
        <f t="shared" si="10"/>
        <v>6380.1640216898986</v>
      </c>
      <c r="AC38" s="8">
        <f t="shared" si="10"/>
        <v>6380.1640216898986</v>
      </c>
      <c r="AD38" s="8">
        <f t="shared" si="10"/>
        <v>6380.1640216898986</v>
      </c>
      <c r="AE38" s="8">
        <f t="shared" si="10"/>
        <v>6380.1640216898986</v>
      </c>
      <c r="AF38" s="8">
        <f t="shared" si="10"/>
        <v>3190.0820108449625</v>
      </c>
      <c r="AG38" s="8">
        <f t="shared" si="9"/>
        <v>0</v>
      </c>
      <c r="AH38" s="8"/>
      <c r="AI38" s="8"/>
      <c r="AJ38" s="8"/>
      <c r="AK38" s="8"/>
      <c r="AL38" s="8"/>
      <c r="AM38" s="8"/>
      <c r="AN38" s="8"/>
      <c r="AO38" s="8"/>
      <c r="AP38" s="8"/>
    </row>
    <row r="39" spans="1:44">
      <c r="A39" t="s">
        <v>74</v>
      </c>
      <c r="X39" s="8">
        <f>+X84/$N$12</f>
        <v>6320.2587404032329</v>
      </c>
      <c r="Y39" s="8">
        <f t="shared" si="10"/>
        <v>6320.2587404032329</v>
      </c>
      <c r="Z39" s="8">
        <f t="shared" si="10"/>
        <v>6320.2587404032329</v>
      </c>
      <c r="AA39" s="8">
        <f t="shared" si="10"/>
        <v>6320.2587404032329</v>
      </c>
      <c r="AB39" s="8">
        <f t="shared" si="10"/>
        <v>6320.2587404032329</v>
      </c>
      <c r="AC39" s="8">
        <f t="shared" si="10"/>
        <v>6320.2587404032329</v>
      </c>
      <c r="AD39" s="8">
        <f t="shared" si="10"/>
        <v>6320.2587404032329</v>
      </c>
      <c r="AE39" s="8">
        <f t="shared" si="10"/>
        <v>6320.2587404032329</v>
      </c>
      <c r="AF39" s="8">
        <f t="shared" si="10"/>
        <v>6320.2587404032329</v>
      </c>
      <c r="AG39" s="8">
        <f t="shared" si="9"/>
        <v>3160.1293702016264</v>
      </c>
      <c r="AH39" s="8"/>
      <c r="AI39" s="8"/>
      <c r="AJ39" s="8"/>
      <c r="AK39" s="8"/>
      <c r="AL39" s="8"/>
      <c r="AM39" s="8"/>
      <c r="AN39" s="8"/>
      <c r="AO39" s="8"/>
      <c r="AP39" s="8"/>
      <c r="AQ39" s="8"/>
    </row>
    <row r="40" spans="1:44">
      <c r="A40" t="s">
        <v>75</v>
      </c>
      <c r="Y40" s="8">
        <f>+Y85/$N$12</f>
        <v>6192.365764441899</v>
      </c>
      <c r="Z40" s="8">
        <f t="shared" si="10"/>
        <v>6192.365764441899</v>
      </c>
      <c r="AA40" s="8">
        <f t="shared" si="10"/>
        <v>6192.365764441899</v>
      </c>
      <c r="AB40" s="8">
        <f t="shared" si="10"/>
        <v>6192.365764441899</v>
      </c>
      <c r="AC40" s="8">
        <f t="shared" si="10"/>
        <v>6192.365764441899</v>
      </c>
      <c r="AD40" s="8">
        <f t="shared" si="10"/>
        <v>6192.365764441899</v>
      </c>
      <c r="AE40" s="8">
        <f t="shared" si="10"/>
        <v>6192.365764441899</v>
      </c>
      <c r="AF40" s="8">
        <f t="shared" si="10"/>
        <v>6192.365764441899</v>
      </c>
      <c r="AG40" s="8">
        <f t="shared" si="9"/>
        <v>6192.365764441899</v>
      </c>
      <c r="AH40" s="8"/>
      <c r="AI40" s="8"/>
      <c r="AJ40" s="8"/>
      <c r="AK40" s="8"/>
      <c r="AL40" s="8"/>
      <c r="AM40" s="8"/>
      <c r="AN40" s="8"/>
      <c r="AO40" s="8"/>
      <c r="AP40" s="8"/>
      <c r="AQ40" s="8"/>
      <c r="AR40" s="8"/>
    </row>
    <row r="41" spans="1:44">
      <c r="A41" t="s">
        <v>76</v>
      </c>
      <c r="Y41" s="8"/>
      <c r="Z41" s="8">
        <f>+Z86/$N$12</f>
        <v>5987.0713020814665</v>
      </c>
      <c r="AA41" s="8">
        <f t="shared" si="10"/>
        <v>5987.0713020814665</v>
      </c>
      <c r="AB41" s="8">
        <f t="shared" si="10"/>
        <v>5987.0713020814665</v>
      </c>
      <c r="AC41" s="8">
        <f t="shared" si="10"/>
        <v>5987.0713020814665</v>
      </c>
      <c r="AD41" s="8">
        <f t="shared" si="10"/>
        <v>5987.0713020814665</v>
      </c>
      <c r="AE41" s="8">
        <f t="shared" si="10"/>
        <v>5987.0713020814665</v>
      </c>
      <c r="AF41" s="8">
        <f t="shared" si="10"/>
        <v>5987.0713020814665</v>
      </c>
      <c r="AG41" s="8">
        <f t="shared" si="9"/>
        <v>5987.0713020814665</v>
      </c>
      <c r="AH41" s="8"/>
      <c r="AI41" s="8"/>
      <c r="AJ41" s="8"/>
      <c r="AK41" s="8"/>
      <c r="AL41" s="8"/>
      <c r="AM41" s="8"/>
      <c r="AN41" s="8"/>
      <c r="AO41" s="8"/>
      <c r="AP41" s="8"/>
      <c r="AQ41" s="8"/>
      <c r="AR41" s="8"/>
    </row>
    <row r="42" spans="1:44">
      <c r="A42" t="s">
        <v>77</v>
      </c>
      <c r="Y42" s="8"/>
      <c r="Z42" s="8"/>
      <c r="AA42" s="8">
        <f>+AA87/$N$12</f>
        <v>5693.8437235357524</v>
      </c>
      <c r="AB42" s="8">
        <f>+IF(AA153&gt;0,MIN(AB87/$N$12,AA153),0)</f>
        <v>5693.8437235357524</v>
      </c>
      <c r="AC42" s="8">
        <f>+IF(AB153&gt;0,MIN(AC87/$N$12,AB153),0)</f>
        <v>5693.8437235357524</v>
      </c>
      <c r="AD42" s="8">
        <f>+IF(AC153&gt;0,MIN(AD87/$N$12,AC153),0)</f>
        <v>5693.8437235357524</v>
      </c>
      <c r="AE42" s="8">
        <f>+IF(AD153&gt;0,MIN(AE87/$N$12,AD153),0)</f>
        <v>5693.8437235357524</v>
      </c>
      <c r="AF42" s="8">
        <f>+IF(AE153&gt;0,MIN(AF87/$N$12,AE153),0)</f>
        <v>5693.8437235357524</v>
      </c>
      <c r="AG42" s="8">
        <f t="shared" si="9"/>
        <v>5693.8437235357524</v>
      </c>
      <c r="AH42" s="8"/>
      <c r="AI42" s="8"/>
      <c r="AJ42" s="8"/>
      <c r="AK42" s="8"/>
      <c r="AL42" s="8"/>
      <c r="AM42" s="8"/>
      <c r="AN42" s="8"/>
      <c r="AO42" s="8"/>
      <c r="AP42" s="8"/>
      <c r="AQ42" s="8"/>
      <c r="AR42" s="8"/>
    </row>
    <row r="43" spans="1:44">
      <c r="A43" t="s">
        <v>78</v>
      </c>
      <c r="Y43" s="8"/>
      <c r="Z43" s="8"/>
      <c r="AA43" s="8"/>
      <c r="AB43" s="8">
        <f>+AB88/$N$12</f>
        <v>5742.6597863899196</v>
      </c>
      <c r="AC43" s="8">
        <f>+IF(AB154&gt;0,MIN(AC88/$N$12,AB154),0)</f>
        <v>5742.6597863899196</v>
      </c>
      <c r="AD43" s="8">
        <f>+IF(AC154&gt;0,MIN(AD88/$N$12,AC154),0)</f>
        <v>5742.6597863899196</v>
      </c>
      <c r="AE43" s="8">
        <f>+IF(AD154&gt;0,MIN(AE88/$N$12,AD154),0)</f>
        <v>5742.6597863899196</v>
      </c>
      <c r="AF43" s="8">
        <f>+IF(AE154&gt;0,MIN(AF88/$N$12,AE154),0)</f>
        <v>5742.6597863899196</v>
      </c>
      <c r="AG43" s="8">
        <f t="shared" si="9"/>
        <v>5742.6597863899196</v>
      </c>
      <c r="AH43" s="8"/>
      <c r="AI43" s="8"/>
      <c r="AJ43" s="8"/>
      <c r="AK43" s="8"/>
      <c r="AL43" s="8"/>
      <c r="AM43" s="8"/>
      <c r="AN43" s="8"/>
      <c r="AO43" s="8"/>
      <c r="AP43" s="8"/>
      <c r="AQ43" s="8"/>
      <c r="AR43" s="8"/>
    </row>
    <row r="44" spans="1:44">
      <c r="A44" t="s">
        <v>79</v>
      </c>
      <c r="Y44" s="8"/>
      <c r="Z44" s="8"/>
      <c r="AA44" s="8"/>
      <c r="AB44" s="8"/>
      <c r="AC44" s="8">
        <f>+AC89/$N$12</f>
        <v>5754.19307535587</v>
      </c>
      <c r="AD44" s="8">
        <f>+IF(AC155&gt;0,MIN(AD89/$N$12,AC155),0)</f>
        <v>5754.19307535587</v>
      </c>
      <c r="AE44" s="8">
        <f>+IF(AD155&gt;0,MIN(AE89/$N$12,AD155),0)</f>
        <v>5754.19307535587</v>
      </c>
      <c r="AF44" s="8">
        <f>+IF(AE155&gt;0,MIN(AF89/$N$12,AE155),0)</f>
        <v>5754.19307535587</v>
      </c>
      <c r="AG44" s="8">
        <f t="shared" si="9"/>
        <v>5754.19307535587</v>
      </c>
      <c r="AH44" s="8"/>
      <c r="AI44" s="8"/>
      <c r="AJ44" s="8"/>
      <c r="AK44" s="8"/>
      <c r="AL44" s="8"/>
      <c r="AM44" s="8"/>
      <c r="AN44" s="8"/>
      <c r="AO44" s="8"/>
      <c r="AP44" s="8"/>
      <c r="AQ44" s="8"/>
      <c r="AR44" s="8"/>
    </row>
    <row r="45" spans="1:44">
      <c r="A45" t="s">
        <v>80</v>
      </c>
      <c r="Y45" s="8"/>
      <c r="Z45" s="8"/>
      <c r="AA45" s="8"/>
      <c r="AB45" s="8"/>
      <c r="AC45" s="8"/>
      <c r="AD45" s="8">
        <f>+AD90/$N$12</f>
        <v>6242.9138484511541</v>
      </c>
      <c r="AE45" s="8">
        <f>+IF(AD156&gt;0,MIN(AE90/$N$12,AD156),0)</f>
        <v>6242.9138484511541</v>
      </c>
      <c r="AF45" s="8">
        <f>+IF(AE156&gt;0,MIN(AF90/$N$12,AE156),0)</f>
        <v>6242.9138484511541</v>
      </c>
      <c r="AG45" s="8">
        <f t="shared" si="9"/>
        <v>6242.9138484511541</v>
      </c>
      <c r="AH45" s="8"/>
      <c r="AI45" s="8"/>
      <c r="AJ45" s="8"/>
      <c r="AK45" s="8"/>
      <c r="AL45" s="8"/>
      <c r="AM45" s="8"/>
      <c r="AN45" s="8"/>
      <c r="AO45" s="8"/>
      <c r="AP45" s="8"/>
      <c r="AQ45" s="8"/>
      <c r="AR45" s="8"/>
    </row>
    <row r="46" spans="1:44">
      <c r="A46" t="s">
        <v>81</v>
      </c>
      <c r="Y46" s="8"/>
      <c r="Z46" s="8"/>
      <c r="AA46" s="8"/>
      <c r="AB46" s="8"/>
      <c r="AC46" s="8"/>
      <c r="AD46" s="8"/>
      <c r="AE46" s="8">
        <f>+AE91/$N$12</f>
        <v>6769.9374942361919</v>
      </c>
      <c r="AF46" s="8">
        <f>+IF(AE157&gt;0,MIN(AF91/$N$12,AE157),0)</f>
        <v>6769.9374942361919</v>
      </c>
      <c r="AG46" s="8">
        <f t="shared" si="9"/>
        <v>6769.9374942361919</v>
      </c>
      <c r="AH46" s="8"/>
      <c r="AI46" s="8"/>
      <c r="AJ46" s="8"/>
      <c r="AK46" s="8"/>
      <c r="AL46" s="8"/>
      <c r="AM46" s="8"/>
      <c r="AN46" s="8"/>
      <c r="AO46" s="8"/>
      <c r="AP46" s="8"/>
      <c r="AQ46" s="8"/>
      <c r="AR46" s="8"/>
    </row>
    <row r="47" spans="1:44">
      <c r="A47" t="s">
        <v>82</v>
      </c>
      <c r="Y47" s="8"/>
      <c r="Z47" s="8"/>
      <c r="AA47" s="8"/>
      <c r="AB47" s="8"/>
      <c r="AC47" s="8"/>
      <c r="AD47" s="8"/>
      <c r="AE47" s="8"/>
      <c r="AF47" s="8">
        <f>+AF92/$N$12</f>
        <v>7338.350496622581</v>
      </c>
      <c r="AG47" s="8">
        <f>+IF(AF158&gt;0,MIN(AG92/$N$12,AF158),0)</f>
        <v>7338.350496622581</v>
      </c>
      <c r="AH47" s="8"/>
      <c r="AI47" s="8"/>
      <c r="AJ47" s="8"/>
      <c r="AK47" s="8"/>
      <c r="AL47" s="8"/>
      <c r="AM47" s="8"/>
      <c r="AN47" s="8"/>
      <c r="AO47" s="8"/>
      <c r="AP47" s="8"/>
      <c r="AQ47" s="8"/>
      <c r="AR47" s="8"/>
    </row>
    <row r="48" spans="1:44">
      <c r="A48" t="s">
        <v>83</v>
      </c>
      <c r="Y48" s="8"/>
      <c r="Z48" s="8"/>
      <c r="AA48" s="8"/>
      <c r="AB48" s="8"/>
      <c r="AC48" s="8"/>
      <c r="AD48" s="8"/>
      <c r="AE48" s="8"/>
      <c r="AF48" s="8"/>
      <c r="AG48" s="8">
        <f>+AG93/$N$12</f>
        <v>7951.4856351201506</v>
      </c>
      <c r="AH48" s="8"/>
      <c r="AI48" s="8"/>
      <c r="AJ48" s="8"/>
      <c r="AK48" s="8"/>
      <c r="AL48" s="8"/>
      <c r="AM48" s="8"/>
      <c r="AN48" s="8"/>
      <c r="AO48" s="8"/>
      <c r="AP48" s="8"/>
      <c r="AQ48" s="8"/>
      <c r="AR48" s="8"/>
    </row>
    <row r="49" spans="1:44">
      <c r="A49" t="s">
        <v>764</v>
      </c>
      <c r="Y49" s="8"/>
      <c r="Z49" s="8"/>
      <c r="AA49" s="8"/>
      <c r="AB49" s="8"/>
      <c r="AC49" s="8"/>
      <c r="AD49" s="8"/>
      <c r="AE49" s="8"/>
      <c r="AF49" s="8"/>
      <c r="AG49" s="8"/>
      <c r="AH49" s="8"/>
      <c r="AI49" s="8"/>
      <c r="AJ49" s="8"/>
      <c r="AK49" s="8"/>
      <c r="AL49" s="8"/>
      <c r="AM49" s="8"/>
      <c r="AN49" s="8"/>
      <c r="AO49" s="8"/>
      <c r="AP49" s="8"/>
      <c r="AQ49" s="8"/>
      <c r="AR49" s="8"/>
    </row>
    <row r="50" spans="1:44" ht="11.45">
      <c r="A50" s="12" t="s">
        <v>765</v>
      </c>
      <c r="D50" s="8">
        <f t="shared" ref="D50" si="11">+SUM(D19:D49)</f>
        <v>1873.2</v>
      </c>
      <c r="E50" s="8">
        <f t="shared" ref="E50" si="12">+SUM(E19:E49)</f>
        <v>2508.8000000000002</v>
      </c>
      <c r="F50" s="8">
        <f>+SUM(F19:F49)</f>
        <v>3016.4</v>
      </c>
      <c r="G50" s="8">
        <f t="shared" ref="G50:X50" si="13">+SUM(G19:G49)</f>
        <v>3251.8</v>
      </c>
      <c r="H50" s="8">
        <f t="shared" si="13"/>
        <v>3598.2</v>
      </c>
      <c r="I50" s="8">
        <f t="shared" si="13"/>
        <v>1973</v>
      </c>
      <c r="J50" s="8">
        <f t="shared" si="13"/>
        <v>1992</v>
      </c>
      <c r="K50" s="8">
        <f t="shared" si="13"/>
        <v>2544.4</v>
      </c>
      <c r="L50" s="8">
        <f t="shared" si="13"/>
        <v>3215.6</v>
      </c>
      <c r="M50" s="8">
        <f t="shared" si="13"/>
        <v>4033</v>
      </c>
      <c r="N50" s="8">
        <f t="shared" si="13"/>
        <v>5736.4</v>
      </c>
      <c r="O50" s="8">
        <f t="shared" si="13"/>
        <v>7235.7999999999993</v>
      </c>
      <c r="P50" s="8">
        <f t="shared" si="13"/>
        <v>8800.5999999999985</v>
      </c>
      <c r="Q50" s="8">
        <f t="shared" si="13"/>
        <v>11002.2</v>
      </c>
      <c r="R50" s="8">
        <f t="shared" si="13"/>
        <v>9721.3333333333339</v>
      </c>
      <c r="S50" s="8">
        <f t="shared" si="13"/>
        <v>12136.466666666667</v>
      </c>
      <c r="T50" s="8">
        <f>+SUM(T19:T49)</f>
        <v>12208.315789473683</v>
      </c>
      <c r="U50" s="8">
        <f t="shared" ref="U50" si="14">+SUM(U19:U49)</f>
        <v>16442.210526315786</v>
      </c>
      <c r="V50" s="8">
        <f t="shared" si="13"/>
        <v>24078.842105263157</v>
      </c>
      <c r="W50" s="8">
        <f t="shared" si="13"/>
        <v>29307.778056777617</v>
      </c>
      <c r="X50" s="8">
        <f t="shared" si="13"/>
        <v>35397.79118314576</v>
      </c>
      <c r="Y50" s="8">
        <f>+SUM(Y19:Y49)</f>
        <v>40063.321859868367</v>
      </c>
      <c r="Z50" s="8">
        <f t="shared" ref="Z50:AE50" si="15">+SUM(Z19:Z49)</f>
        <v>45858.112460195443</v>
      </c>
      <c r="AA50" s="8">
        <f t="shared" si="15"/>
        <v>49138.545657415409</v>
      </c>
      <c r="AB50" s="8">
        <f t="shared" si="15"/>
        <v>53025.710706963218</v>
      </c>
      <c r="AC50" s="8">
        <f t="shared" si="15"/>
        <v>56644.977466529614</v>
      </c>
      <c r="AD50" s="8">
        <f t="shared" si="15"/>
        <v>58785.049209717625</v>
      </c>
      <c r="AE50" s="8">
        <f t="shared" si="15"/>
        <v>59052.881440795922</v>
      </c>
      <c r="AF50" s="8">
        <f>+SUM(AF19:AF49)</f>
        <v>59231.676242363028</v>
      </c>
      <c r="AG50" s="8">
        <f t="shared" ref="AG50" si="16">+SUM(AG19:AG49)</f>
        <v>60832.950496436613</v>
      </c>
      <c r="AH50" s="8"/>
      <c r="AI50" s="10" t="s">
        <v>817</v>
      </c>
      <c r="AJ50" s="8"/>
      <c r="AK50" s="8"/>
      <c r="AL50" s="8"/>
      <c r="AM50" s="8"/>
      <c r="AN50" s="8"/>
      <c r="AO50" s="8"/>
      <c r="AP50" s="8"/>
      <c r="AQ50" s="8"/>
      <c r="AR50" s="8"/>
    </row>
    <row r="51" spans="1:44" s="953" customFormat="1" ht="11.45">
      <c r="A51" s="12" t="s">
        <v>766</v>
      </c>
      <c r="D51" s="10">
        <f t="shared" ref="D51:T51" si="17">+D193</f>
        <v>236</v>
      </c>
      <c r="E51" s="10">
        <f t="shared" si="17"/>
        <v>472</v>
      </c>
      <c r="F51" s="10">
        <f t="shared" si="17"/>
        <v>591</v>
      </c>
      <c r="G51" s="10">
        <f t="shared" si="17"/>
        <v>707</v>
      </c>
      <c r="H51" s="10">
        <f t="shared" si="17"/>
        <v>537</v>
      </c>
      <c r="I51" s="10">
        <f t="shared" si="17"/>
        <v>558</v>
      </c>
      <c r="J51" s="10">
        <f t="shared" si="17"/>
        <v>739</v>
      </c>
      <c r="K51" s="10">
        <f t="shared" si="17"/>
        <v>845</v>
      </c>
      <c r="L51" s="10">
        <f t="shared" si="17"/>
        <v>1300</v>
      </c>
      <c r="M51" s="10">
        <f t="shared" si="17"/>
        <v>978</v>
      </c>
      <c r="N51" s="10">
        <f t="shared" si="17"/>
        <v>1700</v>
      </c>
      <c r="O51" s="10">
        <f t="shared" si="17"/>
        <v>2200</v>
      </c>
      <c r="P51" s="10">
        <f t="shared" si="17"/>
        <v>1900</v>
      </c>
      <c r="Q51" s="10">
        <f t="shared" si="17"/>
        <v>1600</v>
      </c>
      <c r="R51" s="10">
        <f t="shared" si="17"/>
        <v>1600</v>
      </c>
      <c r="S51" s="10">
        <f t="shared" si="17"/>
        <v>2000</v>
      </c>
      <c r="T51" s="10">
        <f t="shared" si="17"/>
        <v>2500</v>
      </c>
      <c r="U51" s="10">
        <f>+U193</f>
        <v>4800</v>
      </c>
      <c r="V51" s="30">
        <v>5892</v>
      </c>
      <c r="W51" s="30">
        <v>4471</v>
      </c>
      <c r="X51" s="30">
        <v>2793</v>
      </c>
      <c r="Y51" s="30">
        <v>1909</v>
      </c>
      <c r="Z51" s="30">
        <v>1728</v>
      </c>
      <c r="AA51" s="58">
        <f>+Z51-Y51+Z51</f>
        <v>1547</v>
      </c>
      <c r="AB51" s="58">
        <f t="shared" ref="AB51:AG51" si="18">+AA51-Z51+AA51</f>
        <v>1366</v>
      </c>
      <c r="AC51" s="58">
        <f t="shared" si="18"/>
        <v>1185</v>
      </c>
      <c r="AD51" s="58">
        <f t="shared" si="18"/>
        <v>1004</v>
      </c>
      <c r="AE51" s="58">
        <f t="shared" si="18"/>
        <v>823</v>
      </c>
      <c r="AF51" s="58">
        <f t="shared" si="18"/>
        <v>642</v>
      </c>
      <c r="AG51" s="58">
        <f t="shared" si="18"/>
        <v>461</v>
      </c>
      <c r="AH51" s="10"/>
      <c r="AI51" s="10" t="s">
        <v>818</v>
      </c>
      <c r="AJ51" s="10"/>
      <c r="AK51" s="10"/>
      <c r="AL51" s="10"/>
      <c r="AM51" s="10"/>
      <c r="AN51" s="10"/>
      <c r="AO51" s="10"/>
      <c r="AP51" s="10"/>
      <c r="AQ51" s="10"/>
      <c r="AR51" s="10"/>
    </row>
    <row r="52" spans="1:44" s="1" customFormat="1" ht="10.5">
      <c r="A52" s="848" t="s">
        <v>767</v>
      </c>
      <c r="B52" s="838"/>
      <c r="C52" s="838">
        <f t="shared" ref="C52:M52" si="19">+C51+C50</f>
        <v>0</v>
      </c>
      <c r="D52" s="838">
        <f t="shared" si="19"/>
        <v>2109.1999999999998</v>
      </c>
      <c r="E52" s="838">
        <f t="shared" si="19"/>
        <v>2980.8</v>
      </c>
      <c r="F52" s="838">
        <f t="shared" si="19"/>
        <v>3607.4</v>
      </c>
      <c r="G52" s="838">
        <f t="shared" si="19"/>
        <v>3958.8</v>
      </c>
      <c r="H52" s="838">
        <f t="shared" si="19"/>
        <v>4135.2</v>
      </c>
      <c r="I52" s="838">
        <f t="shared" si="19"/>
        <v>2531</v>
      </c>
      <c r="J52" s="838">
        <f t="shared" si="19"/>
        <v>2731</v>
      </c>
      <c r="K52" s="838">
        <f t="shared" si="19"/>
        <v>3389.4</v>
      </c>
      <c r="L52" s="838">
        <f t="shared" si="19"/>
        <v>4515.6000000000004</v>
      </c>
      <c r="M52" s="838">
        <f t="shared" si="19"/>
        <v>5011</v>
      </c>
      <c r="N52" s="838">
        <f>+N51+N50</f>
        <v>7436.4</v>
      </c>
      <c r="O52" s="838">
        <f t="shared" ref="O52:AG52" si="20">+O51+O50</f>
        <v>9435.7999999999993</v>
      </c>
      <c r="P52" s="838">
        <f t="shared" si="20"/>
        <v>10700.599999999999</v>
      </c>
      <c r="Q52" s="838">
        <f t="shared" si="20"/>
        <v>12602.2</v>
      </c>
      <c r="R52" s="838">
        <f t="shared" si="20"/>
        <v>11321.333333333334</v>
      </c>
      <c r="S52" s="838">
        <f t="shared" si="20"/>
        <v>14136.466666666667</v>
      </c>
      <c r="T52" s="838">
        <f t="shared" si="20"/>
        <v>14708.315789473683</v>
      </c>
      <c r="U52" s="838">
        <f t="shared" si="20"/>
        <v>21242.210526315786</v>
      </c>
      <c r="V52" s="838">
        <f t="shared" si="20"/>
        <v>29970.842105263157</v>
      </c>
      <c r="W52" s="838">
        <f t="shared" si="20"/>
        <v>33778.778056777621</v>
      </c>
      <c r="X52" s="838">
        <f t="shared" si="20"/>
        <v>38190.79118314576</v>
      </c>
      <c r="Y52" s="838">
        <f t="shared" si="20"/>
        <v>41972.321859868367</v>
      </c>
      <c r="Z52" s="838">
        <f t="shared" si="20"/>
        <v>47586.112460195443</v>
      </c>
      <c r="AA52" s="838">
        <f t="shared" si="20"/>
        <v>50685.545657415409</v>
      </c>
      <c r="AB52" s="838">
        <f t="shared" si="20"/>
        <v>54391.710706963218</v>
      </c>
      <c r="AC52" s="838">
        <f t="shared" si="20"/>
        <v>57829.977466529614</v>
      </c>
      <c r="AD52" s="838">
        <f t="shared" si="20"/>
        <v>59789.049209717625</v>
      </c>
      <c r="AE52" s="838">
        <f t="shared" si="20"/>
        <v>59875.881440795922</v>
      </c>
      <c r="AF52" s="838">
        <f t="shared" si="20"/>
        <v>59873.676242363028</v>
      </c>
      <c r="AG52" s="838">
        <f t="shared" si="20"/>
        <v>61293.950496436613</v>
      </c>
      <c r="AH52" s="838"/>
      <c r="AI52" s="838"/>
      <c r="AJ52" s="838"/>
      <c r="AK52" s="838"/>
      <c r="AL52" s="838"/>
      <c r="AM52" s="838"/>
      <c r="AN52" s="838"/>
      <c r="AO52" s="838"/>
      <c r="AP52" s="838"/>
      <c r="AQ52" s="838"/>
      <c r="AR52" s="838"/>
    </row>
    <row r="53" spans="1:44" ht="11.45">
      <c r="A53" s="12" t="s">
        <v>768</v>
      </c>
      <c r="D53" s="34">
        <f t="shared" ref="D53:T53" si="21">+D194</f>
        <v>500</v>
      </c>
      <c r="E53" s="34">
        <f t="shared" si="21"/>
        <v>500</v>
      </c>
      <c r="F53" s="34">
        <f t="shared" si="21"/>
        <v>500</v>
      </c>
      <c r="G53" s="34">
        <f t="shared" si="21"/>
        <v>500</v>
      </c>
      <c r="H53" s="34">
        <f t="shared" si="21"/>
        <v>500</v>
      </c>
      <c r="I53" s="34">
        <f t="shared" si="21"/>
        <v>500</v>
      </c>
      <c r="J53" s="34">
        <f t="shared" si="21"/>
        <v>500</v>
      </c>
      <c r="K53" s="34">
        <f t="shared" si="21"/>
        <v>500</v>
      </c>
      <c r="L53" s="34">
        <f t="shared" si="21"/>
        <v>500</v>
      </c>
      <c r="M53" s="34">
        <f t="shared" si="21"/>
        <v>744</v>
      </c>
      <c r="N53" s="34">
        <f t="shared" si="21"/>
        <v>978</v>
      </c>
      <c r="O53" s="34">
        <f t="shared" si="21"/>
        <v>361</v>
      </c>
      <c r="P53" s="34">
        <f t="shared" si="21"/>
        <v>82</v>
      </c>
      <c r="Q53" s="34">
        <f t="shared" si="21"/>
        <v>496</v>
      </c>
      <c r="R53" s="34">
        <f t="shared" si="21"/>
        <v>786</v>
      </c>
      <c r="S53" s="34">
        <f t="shared" si="21"/>
        <v>-140</v>
      </c>
      <c r="T53" s="34">
        <f t="shared" si="21"/>
        <v>361</v>
      </c>
      <c r="U53" s="34">
        <f>+U194</f>
        <v>2287</v>
      </c>
      <c r="V53" s="1223">
        <f>+U53</f>
        <v>2287</v>
      </c>
      <c r="W53" s="1223">
        <f t="shared" ref="W53:AG53" si="22">+V53</f>
        <v>2287</v>
      </c>
      <c r="X53" s="1223">
        <f t="shared" si="22"/>
        <v>2287</v>
      </c>
      <c r="Y53" s="1223">
        <f t="shared" si="22"/>
        <v>2287</v>
      </c>
      <c r="Z53" s="1223">
        <f t="shared" si="22"/>
        <v>2287</v>
      </c>
      <c r="AA53" s="1223">
        <f t="shared" si="22"/>
        <v>2287</v>
      </c>
      <c r="AB53" s="1223">
        <f t="shared" si="22"/>
        <v>2287</v>
      </c>
      <c r="AC53" s="1223">
        <f t="shared" si="22"/>
        <v>2287</v>
      </c>
      <c r="AD53" s="1223">
        <f t="shared" si="22"/>
        <v>2287</v>
      </c>
      <c r="AE53" s="1223">
        <f t="shared" si="22"/>
        <v>2287</v>
      </c>
      <c r="AF53" s="1223">
        <f t="shared" si="22"/>
        <v>2287</v>
      </c>
      <c r="AG53" s="1223">
        <f t="shared" si="22"/>
        <v>2287</v>
      </c>
      <c r="AH53" s="8"/>
      <c r="AI53" s="8" t="s">
        <v>819</v>
      </c>
      <c r="AJ53" s="8"/>
      <c r="AK53" s="8"/>
      <c r="AL53" s="8"/>
      <c r="AM53" s="8"/>
      <c r="AN53" s="8"/>
      <c r="AO53" s="8"/>
      <c r="AP53" s="8"/>
      <c r="AQ53" s="8"/>
      <c r="AR53" s="8"/>
    </row>
    <row r="54" spans="1:44" s="1" customFormat="1" ht="10.5">
      <c r="A54" s="848" t="s">
        <v>769</v>
      </c>
      <c r="D54" s="838">
        <f t="shared" ref="D54:S54" si="23">+D53+D51+D50</f>
        <v>2609.1999999999998</v>
      </c>
      <c r="E54" s="838">
        <f t="shared" si="23"/>
        <v>3480.8</v>
      </c>
      <c r="F54" s="838">
        <f t="shared" si="23"/>
        <v>4107.3999999999996</v>
      </c>
      <c r="G54" s="838">
        <f t="shared" si="23"/>
        <v>4458.8</v>
      </c>
      <c r="H54" s="838">
        <f t="shared" si="23"/>
        <v>4635.2</v>
      </c>
      <c r="I54" s="838">
        <f t="shared" si="23"/>
        <v>3031</v>
      </c>
      <c r="J54" s="838">
        <f t="shared" si="23"/>
        <v>3231</v>
      </c>
      <c r="K54" s="838">
        <f t="shared" si="23"/>
        <v>3889.4</v>
      </c>
      <c r="L54" s="838">
        <f t="shared" si="23"/>
        <v>5015.6000000000004</v>
      </c>
      <c r="M54" s="838">
        <f t="shared" si="23"/>
        <v>5755</v>
      </c>
      <c r="N54" s="838">
        <f t="shared" si="23"/>
        <v>8414.4</v>
      </c>
      <c r="O54" s="838">
        <f t="shared" si="23"/>
        <v>9796.7999999999993</v>
      </c>
      <c r="P54" s="838">
        <f t="shared" si="23"/>
        <v>10782.599999999999</v>
      </c>
      <c r="Q54" s="838">
        <f t="shared" si="23"/>
        <v>13098.2</v>
      </c>
      <c r="R54" s="838">
        <f t="shared" si="23"/>
        <v>12107.333333333334</v>
      </c>
      <c r="S54" s="838">
        <f t="shared" si="23"/>
        <v>13996.466666666667</v>
      </c>
      <c r="T54" s="838">
        <f>+T53+T51+T50</f>
        <v>15069.315789473683</v>
      </c>
      <c r="U54" s="838">
        <f t="shared" ref="U54" si="24">+U53+U51+U50</f>
        <v>23529.210526315786</v>
      </c>
      <c r="V54" s="849">
        <f t="shared" ref="V54:AG54" si="25">+V53+V50+V51</f>
        <v>32257.842105263157</v>
      </c>
      <c r="W54" s="849">
        <f t="shared" si="25"/>
        <v>36065.778056777621</v>
      </c>
      <c r="X54" s="849">
        <f t="shared" si="25"/>
        <v>40477.79118314576</v>
      </c>
      <c r="Y54" s="849">
        <f t="shared" si="25"/>
        <v>44259.321859868367</v>
      </c>
      <c r="Z54" s="849">
        <f t="shared" si="25"/>
        <v>49873.112460195443</v>
      </c>
      <c r="AA54" s="849">
        <f t="shared" si="25"/>
        <v>52972.545657415409</v>
      </c>
      <c r="AB54" s="849">
        <f t="shared" si="25"/>
        <v>56678.710706963218</v>
      </c>
      <c r="AC54" s="849">
        <f t="shared" si="25"/>
        <v>60116.977466529614</v>
      </c>
      <c r="AD54" s="849">
        <f t="shared" si="25"/>
        <v>62076.049209717625</v>
      </c>
      <c r="AE54" s="849">
        <f t="shared" si="25"/>
        <v>62162.881440795922</v>
      </c>
      <c r="AF54" s="849">
        <f t="shared" si="25"/>
        <v>62160.676242363028</v>
      </c>
      <c r="AG54" s="849">
        <f t="shared" si="25"/>
        <v>63580.950496436613</v>
      </c>
      <c r="AH54" s="838"/>
      <c r="AI54" s="838"/>
      <c r="AJ54" s="838"/>
      <c r="AK54" s="838"/>
      <c r="AL54" s="838"/>
      <c r="AM54" s="838"/>
      <c r="AN54" s="838"/>
      <c r="AO54" s="838"/>
      <c r="AP54" s="838"/>
      <c r="AQ54" s="838"/>
      <c r="AR54" s="838"/>
    </row>
    <row r="55" spans="1:44" s="1" customFormat="1" ht="10.5">
      <c r="A55" s="848"/>
      <c r="D55" s="838"/>
      <c r="E55" s="838"/>
      <c r="F55" s="838"/>
      <c r="G55" s="838"/>
      <c r="H55" s="838"/>
      <c r="I55" s="838"/>
      <c r="J55" s="838"/>
      <c r="K55" s="838"/>
      <c r="L55" s="838"/>
      <c r="M55" s="838"/>
      <c r="N55" s="838"/>
      <c r="O55" s="838"/>
      <c r="P55" s="838"/>
      <c r="Q55" s="838"/>
      <c r="R55" s="838"/>
      <c r="S55" s="838"/>
      <c r="T55" s="838"/>
      <c r="U55" s="838"/>
      <c r="V55" s="849"/>
      <c r="W55" s="849"/>
      <c r="X55" s="849"/>
      <c r="Y55" s="849"/>
      <c r="Z55" s="849"/>
      <c r="AA55" s="849"/>
      <c r="AB55" s="849"/>
      <c r="AC55" s="849"/>
      <c r="AD55" s="849"/>
      <c r="AE55" s="849"/>
      <c r="AF55" s="849"/>
      <c r="AG55" s="849"/>
      <c r="AH55" s="838"/>
      <c r="AI55" s="838"/>
      <c r="AJ55" s="838"/>
      <c r="AK55" s="838"/>
      <c r="AL55" s="838"/>
      <c r="AM55" s="838"/>
      <c r="AN55" s="838"/>
      <c r="AO55" s="838"/>
      <c r="AP55" s="838"/>
      <c r="AQ55" s="838"/>
      <c r="AR55" s="838"/>
    </row>
    <row r="56" spans="1:44" s="1" customFormat="1" ht="10.5">
      <c r="A56" s="24" t="s">
        <v>127</v>
      </c>
      <c r="D56" s="838"/>
      <c r="E56" s="838"/>
      <c r="F56" s="838"/>
      <c r="G56" s="838"/>
      <c r="H56" s="838"/>
      <c r="I56" s="838"/>
      <c r="J56" s="838"/>
      <c r="K56" s="838"/>
      <c r="L56" s="838"/>
      <c r="M56" s="838"/>
      <c r="N56" s="838"/>
      <c r="O56" s="838"/>
      <c r="P56" s="838"/>
      <c r="Q56" s="838"/>
      <c r="R56" s="838"/>
      <c r="S56" s="838"/>
      <c r="T56" s="838"/>
      <c r="U56" s="838"/>
      <c r="V56" s="838"/>
      <c r="W56" s="838"/>
      <c r="X56" s="838"/>
      <c r="Y56" s="838"/>
      <c r="Z56" s="838"/>
      <c r="AA56" s="838"/>
      <c r="AB56" s="838"/>
      <c r="AC56" s="838"/>
      <c r="AD56" s="838"/>
      <c r="AE56" s="838"/>
      <c r="AF56" s="838"/>
      <c r="AG56" s="838"/>
      <c r="AH56" s="838"/>
      <c r="AI56" s="838"/>
      <c r="AJ56" s="838"/>
      <c r="AK56" s="838"/>
      <c r="AL56" s="838"/>
      <c r="AM56" s="838"/>
      <c r="AN56" s="838"/>
      <c r="AO56" s="838"/>
      <c r="AP56" s="838"/>
      <c r="AQ56" s="838"/>
      <c r="AR56" s="838"/>
    </row>
    <row r="57" spans="1:44" s="1" customFormat="1" ht="10.5">
      <c r="A57" s="13" t="s">
        <v>770</v>
      </c>
      <c r="D57" s="92">
        <f t="shared" ref="D57:S57" si="26">+D214</f>
        <v>940</v>
      </c>
      <c r="E57" s="92">
        <f t="shared" si="26"/>
        <v>1556</v>
      </c>
      <c r="F57" s="92">
        <f t="shared" si="26"/>
        <v>2062</v>
      </c>
      <c r="G57" s="92">
        <f t="shared" si="26"/>
        <v>2173</v>
      </c>
      <c r="H57" s="92">
        <f t="shared" si="26"/>
        <v>2266</v>
      </c>
      <c r="I57" s="92">
        <f t="shared" si="26"/>
        <v>2467</v>
      </c>
      <c r="J57" s="92">
        <f t="shared" si="26"/>
        <v>3255</v>
      </c>
      <c r="K57" s="92">
        <f t="shared" si="26"/>
        <v>4712</v>
      </c>
      <c r="L57" s="92">
        <f t="shared" si="26"/>
        <v>5457</v>
      </c>
      <c r="M57" s="92">
        <f t="shared" si="26"/>
        <v>4900</v>
      </c>
      <c r="N57" s="92">
        <f t="shared" si="26"/>
        <v>6100</v>
      </c>
      <c r="O57" s="92">
        <f t="shared" si="26"/>
        <v>7700</v>
      </c>
      <c r="P57" s="92">
        <f t="shared" si="26"/>
        <v>9700</v>
      </c>
      <c r="Q57" s="92">
        <f t="shared" si="26"/>
        <v>10700</v>
      </c>
      <c r="R57" s="92">
        <f t="shared" si="26"/>
        <v>9300</v>
      </c>
      <c r="S57" s="92">
        <f t="shared" si="26"/>
        <v>12600</v>
      </c>
      <c r="T57" s="92">
        <f>+T214</f>
        <v>11000</v>
      </c>
      <c r="U57" s="92">
        <f t="shared" ref="U57" si="27">+U214</f>
        <v>15200</v>
      </c>
      <c r="V57" s="1222"/>
      <c r="W57" s="1222"/>
      <c r="X57" s="1222"/>
      <c r="Y57" s="1222"/>
      <c r="Z57" s="1222"/>
      <c r="AA57" s="1222"/>
      <c r="AB57" s="1222"/>
      <c r="AC57" s="1222"/>
      <c r="AD57" s="1222"/>
      <c r="AE57" s="1222"/>
      <c r="AF57" s="1222"/>
      <c r="AG57" s="1222"/>
      <c r="AH57" s="838"/>
      <c r="AI57" s="838"/>
      <c r="AJ57" s="838"/>
      <c r="AK57" s="838"/>
      <c r="AL57" s="838"/>
      <c r="AM57" s="838"/>
      <c r="AN57" s="838"/>
      <c r="AO57" s="838"/>
      <c r="AP57" s="838"/>
      <c r="AQ57" s="838"/>
      <c r="AR57" s="838"/>
    </row>
    <row r="58" spans="1:44" s="1" customFormat="1" ht="10.5">
      <c r="A58" s="15" t="s">
        <v>771</v>
      </c>
      <c r="D58" s="1219">
        <f t="shared" ref="D58:U58" si="28">+D57/D50-1</f>
        <v>-0.49818492419389282</v>
      </c>
      <c r="E58" s="1219">
        <f t="shared" si="28"/>
        <v>-0.37978316326530615</v>
      </c>
      <c r="F58" s="1219">
        <f t="shared" si="28"/>
        <v>-0.31640365999204356</v>
      </c>
      <c r="G58" s="1219">
        <f t="shared" si="28"/>
        <v>-0.33175472046251309</v>
      </c>
      <c r="H58" s="1219">
        <f t="shared" si="28"/>
        <v>-0.37024067589350229</v>
      </c>
      <c r="I58" s="1219">
        <f t="shared" si="28"/>
        <v>0.25038013177901663</v>
      </c>
      <c r="J58" s="1219">
        <f t="shared" si="28"/>
        <v>0.63403614457831314</v>
      </c>
      <c r="K58" s="1219">
        <f t="shared" si="28"/>
        <v>0.85191007703191324</v>
      </c>
      <c r="L58" s="1219">
        <f t="shared" si="28"/>
        <v>0.69703943276526936</v>
      </c>
      <c r="M58" s="1219">
        <f t="shared" si="28"/>
        <v>0.21497644433424257</v>
      </c>
      <c r="N58" s="1219">
        <f t="shared" si="28"/>
        <v>6.3384701206331551E-2</v>
      </c>
      <c r="O58" s="1219">
        <f t="shared" si="28"/>
        <v>6.4153238066281704E-2</v>
      </c>
      <c r="P58" s="1219">
        <f t="shared" si="28"/>
        <v>0.10219757743790225</v>
      </c>
      <c r="Q58" s="1219">
        <f t="shared" si="28"/>
        <v>-2.7467233825962167E-2</v>
      </c>
      <c r="R58" s="1219">
        <f t="shared" si="28"/>
        <v>-4.3341105472500363E-2</v>
      </c>
      <c r="S58" s="1219">
        <f t="shared" si="28"/>
        <v>3.8193433563859847E-2</v>
      </c>
      <c r="T58" s="1219">
        <f t="shared" si="28"/>
        <v>-9.8974814406056155E-2</v>
      </c>
      <c r="U58" s="1219">
        <f t="shared" si="28"/>
        <v>-7.555009250901068E-2</v>
      </c>
      <c r="V58" s="1219"/>
      <c r="W58" s="1219"/>
      <c r="X58" s="1219"/>
      <c r="Y58" s="1219"/>
      <c r="Z58" s="1219"/>
      <c r="AA58" s="1219"/>
      <c r="AB58" s="1219"/>
      <c r="AC58" s="1219"/>
      <c r="AD58" s="1219"/>
      <c r="AE58" s="1219"/>
      <c r="AF58" s="1219"/>
      <c r="AG58" s="1219"/>
      <c r="AH58" s="838"/>
      <c r="AI58" s="838"/>
      <c r="AJ58" s="838"/>
      <c r="AK58" s="838"/>
      <c r="AL58" s="838"/>
      <c r="AM58" s="838"/>
      <c r="AN58" s="838"/>
      <c r="AO58" s="838"/>
      <c r="AP58" s="838"/>
      <c r="AQ58" s="838"/>
      <c r="AR58" s="838"/>
    </row>
    <row r="59" spans="1:44">
      <c r="A59" s="15" t="s">
        <v>772</v>
      </c>
      <c r="D59" s="92">
        <f t="shared" ref="D59:U59" si="29">+D57-D50</f>
        <v>-933.2</v>
      </c>
      <c r="E59" s="92">
        <f t="shared" si="29"/>
        <v>-952.80000000000018</v>
      </c>
      <c r="F59" s="92">
        <f t="shared" si="29"/>
        <v>-954.40000000000009</v>
      </c>
      <c r="G59" s="92">
        <f t="shared" si="29"/>
        <v>-1078.8000000000002</v>
      </c>
      <c r="H59" s="92">
        <f t="shared" si="29"/>
        <v>-1332.1999999999998</v>
      </c>
      <c r="I59" s="92">
        <f t="shared" si="29"/>
        <v>494</v>
      </c>
      <c r="J59" s="92">
        <f t="shared" si="29"/>
        <v>1263</v>
      </c>
      <c r="K59" s="92">
        <f t="shared" si="29"/>
        <v>2167.6</v>
      </c>
      <c r="L59" s="92">
        <f t="shared" si="29"/>
        <v>2241.4</v>
      </c>
      <c r="M59" s="92">
        <f t="shared" si="29"/>
        <v>867</v>
      </c>
      <c r="N59" s="92">
        <f t="shared" si="29"/>
        <v>363.60000000000036</v>
      </c>
      <c r="O59" s="92">
        <f t="shared" si="29"/>
        <v>464.20000000000073</v>
      </c>
      <c r="P59" s="92">
        <f t="shared" si="29"/>
        <v>899.40000000000146</v>
      </c>
      <c r="Q59" s="92">
        <f t="shared" si="29"/>
        <v>-302.20000000000073</v>
      </c>
      <c r="R59" s="92">
        <f t="shared" si="29"/>
        <v>-421.33333333333394</v>
      </c>
      <c r="S59" s="92">
        <f t="shared" si="29"/>
        <v>463.53333333333285</v>
      </c>
      <c r="T59" s="92">
        <f t="shared" si="29"/>
        <v>-1208.3157894736833</v>
      </c>
      <c r="U59" s="92">
        <f t="shared" si="29"/>
        <v>-1242.2105263157864</v>
      </c>
      <c r="V59" s="92"/>
      <c r="W59" s="92"/>
      <c r="X59" s="92"/>
      <c r="Y59" s="92"/>
      <c r="Z59" s="92"/>
      <c r="AA59" s="92"/>
      <c r="AB59" s="92"/>
      <c r="AC59" s="92"/>
      <c r="AD59" s="92"/>
      <c r="AE59" s="92"/>
      <c r="AF59" s="92"/>
      <c r="AG59" s="92"/>
    </row>
    <row r="60" spans="1:44">
      <c r="D60" s="92"/>
      <c r="E60" s="92"/>
      <c r="F60" s="92"/>
      <c r="G60" s="92"/>
      <c r="H60" s="92"/>
      <c r="I60" s="92"/>
      <c r="J60" s="92"/>
      <c r="K60" s="92"/>
      <c r="L60" s="92"/>
      <c r="M60" s="92"/>
      <c r="N60" s="92"/>
      <c r="O60" s="92"/>
      <c r="P60" s="92"/>
      <c r="Q60" s="92"/>
      <c r="R60" s="92"/>
      <c r="S60" s="92"/>
      <c r="T60" s="92"/>
      <c r="U60" s="92"/>
      <c r="V60" s="92"/>
      <c r="W60" s="92"/>
      <c r="X60" s="92"/>
      <c r="Y60" s="92"/>
    </row>
    <row r="61" spans="1:44" s="1" customFormat="1" ht="10.5">
      <c r="A61" s="1" t="s">
        <v>765</v>
      </c>
      <c r="D61" s="838">
        <f t="shared" ref="D61:AG61" si="30">+D50</f>
        <v>1873.2</v>
      </c>
      <c r="E61" s="838">
        <f t="shared" si="30"/>
        <v>2508.8000000000002</v>
      </c>
      <c r="F61" s="838">
        <f t="shared" si="30"/>
        <v>3016.4</v>
      </c>
      <c r="G61" s="838">
        <f t="shared" si="30"/>
        <v>3251.8</v>
      </c>
      <c r="H61" s="838">
        <f t="shared" si="30"/>
        <v>3598.2</v>
      </c>
      <c r="I61" s="838">
        <f t="shared" si="30"/>
        <v>1973</v>
      </c>
      <c r="J61" s="838">
        <f t="shared" si="30"/>
        <v>1992</v>
      </c>
      <c r="K61" s="838">
        <f t="shared" si="30"/>
        <v>2544.4</v>
      </c>
      <c r="L61" s="838">
        <f t="shared" si="30"/>
        <v>3215.6</v>
      </c>
      <c r="M61" s="838">
        <f t="shared" si="30"/>
        <v>4033</v>
      </c>
      <c r="N61" s="838">
        <f t="shared" si="30"/>
        <v>5736.4</v>
      </c>
      <c r="O61" s="838">
        <f t="shared" si="30"/>
        <v>7235.7999999999993</v>
      </c>
      <c r="P61" s="838">
        <f t="shared" si="30"/>
        <v>8800.5999999999985</v>
      </c>
      <c r="Q61" s="838">
        <f t="shared" si="30"/>
        <v>11002.2</v>
      </c>
      <c r="R61" s="838">
        <f t="shared" si="30"/>
        <v>9721.3333333333339</v>
      </c>
      <c r="S61" s="838">
        <f t="shared" si="30"/>
        <v>12136.466666666667</v>
      </c>
      <c r="T61" s="838">
        <f t="shared" si="30"/>
        <v>12208.315789473683</v>
      </c>
      <c r="U61" s="838">
        <f t="shared" si="30"/>
        <v>16442.210526315786</v>
      </c>
      <c r="V61" s="838">
        <f t="shared" si="30"/>
        <v>24078.842105263157</v>
      </c>
      <c r="W61" s="838">
        <f t="shared" si="30"/>
        <v>29307.778056777617</v>
      </c>
      <c r="X61" s="838">
        <f t="shared" si="30"/>
        <v>35397.79118314576</v>
      </c>
      <c r="Y61" s="838">
        <f t="shared" si="30"/>
        <v>40063.321859868367</v>
      </c>
      <c r="Z61" s="838">
        <f t="shared" si="30"/>
        <v>45858.112460195443</v>
      </c>
      <c r="AA61" s="838">
        <f t="shared" si="30"/>
        <v>49138.545657415409</v>
      </c>
      <c r="AB61" s="838">
        <f t="shared" si="30"/>
        <v>53025.710706963218</v>
      </c>
      <c r="AC61" s="838">
        <f t="shared" si="30"/>
        <v>56644.977466529614</v>
      </c>
      <c r="AD61" s="838">
        <f t="shared" si="30"/>
        <v>58785.049209717625</v>
      </c>
      <c r="AE61" s="838">
        <f t="shared" si="30"/>
        <v>59052.881440795922</v>
      </c>
      <c r="AF61" s="838">
        <f t="shared" si="30"/>
        <v>59231.676242363028</v>
      </c>
      <c r="AG61" s="838">
        <f t="shared" si="30"/>
        <v>60832.950496436613</v>
      </c>
    </row>
    <row r="62" spans="1:44" hidden="1" outlineLevel="1">
      <c r="A62" s="15"/>
    </row>
    <row r="63" spans="1:44" ht="10.5" hidden="1" outlineLevel="1">
      <c r="A63" s="45" t="s">
        <v>773</v>
      </c>
    </row>
    <row r="64" spans="1:44" hidden="1" outlineLevel="1">
      <c r="A64" t="s">
        <v>774</v>
      </c>
      <c r="D64" s="8">
        <f>+D170-SUM(D65:D94)</f>
        <v>9366</v>
      </c>
      <c r="E64" s="8">
        <f t="shared" ref="E64:Q64" si="31">+E170-SUM(E65:E94)</f>
        <v>9366</v>
      </c>
      <c r="F64" s="8">
        <f t="shared" si="31"/>
        <v>9366</v>
      </c>
      <c r="G64" s="8">
        <f t="shared" si="31"/>
        <v>9366</v>
      </c>
      <c r="H64" s="8">
        <f t="shared" si="31"/>
        <v>9366</v>
      </c>
      <c r="I64" s="8">
        <f t="shared" si="31"/>
        <v>9366</v>
      </c>
      <c r="J64" s="8">
        <f t="shared" si="31"/>
        <v>9366</v>
      </c>
      <c r="K64" s="8">
        <f t="shared" si="31"/>
        <v>9366</v>
      </c>
      <c r="L64" s="8">
        <f t="shared" si="31"/>
        <v>9366</v>
      </c>
      <c r="M64" s="8">
        <f>+M170-SUM(M65:M94)</f>
        <v>9366</v>
      </c>
      <c r="N64" s="8">
        <f t="shared" si="31"/>
        <v>9366</v>
      </c>
      <c r="O64" s="8">
        <f t="shared" si="31"/>
        <v>9366</v>
      </c>
      <c r="P64" s="8">
        <f t="shared" si="31"/>
        <v>9366</v>
      </c>
      <c r="Q64" s="8">
        <f t="shared" si="31"/>
        <v>9366</v>
      </c>
      <c r="R64" s="8">
        <f>+R170-SUM(R65:R94)</f>
        <v>9366</v>
      </c>
      <c r="S64" s="8">
        <f>+S170-SUM(S65:S94)</f>
        <v>9366</v>
      </c>
      <c r="T64" s="8">
        <f>+T170-SUM(T65:T94)</f>
        <v>9366</v>
      </c>
      <c r="U64" s="8">
        <f t="shared" ref="U64" si="32">+U170-SUM(U65:U94)</f>
        <v>9366</v>
      </c>
      <c r="V64" s="8">
        <f t="shared" ref="S64:AG83" si="33">+U64</f>
        <v>9366</v>
      </c>
      <c r="W64" s="8">
        <f t="shared" si="33"/>
        <v>9366</v>
      </c>
      <c r="X64" s="8">
        <f t="shared" si="33"/>
        <v>9366</v>
      </c>
      <c r="Y64" s="8">
        <f t="shared" si="33"/>
        <v>9366</v>
      </c>
      <c r="Z64" s="8">
        <f t="shared" si="33"/>
        <v>9366</v>
      </c>
      <c r="AA64" s="8">
        <f t="shared" si="33"/>
        <v>9366</v>
      </c>
      <c r="AB64" s="8">
        <f t="shared" si="33"/>
        <v>9366</v>
      </c>
      <c r="AC64" s="8">
        <f t="shared" si="33"/>
        <v>9366</v>
      </c>
      <c r="AD64" s="8">
        <f t="shared" si="33"/>
        <v>9366</v>
      </c>
      <c r="AE64" s="8">
        <f t="shared" si="33"/>
        <v>9366</v>
      </c>
      <c r="AF64" s="8">
        <f t="shared" si="33"/>
        <v>9366</v>
      </c>
      <c r="AG64" s="8">
        <f t="shared" si="33"/>
        <v>9366</v>
      </c>
    </row>
    <row r="65" spans="1:39" hidden="1" outlineLevel="1">
      <c r="A65" t="s">
        <v>249</v>
      </c>
      <c r="E65" s="8">
        <f>+E$16</f>
        <v>3178</v>
      </c>
      <c r="F65" s="8">
        <f>+E65</f>
        <v>3178</v>
      </c>
      <c r="G65" s="8">
        <f t="shared" ref="G65:U80" si="34">+F65</f>
        <v>3178</v>
      </c>
      <c r="H65" s="8">
        <f t="shared" si="34"/>
        <v>3178</v>
      </c>
      <c r="I65" s="8">
        <f t="shared" si="34"/>
        <v>3178</v>
      </c>
      <c r="J65" s="8">
        <f t="shared" si="34"/>
        <v>3178</v>
      </c>
      <c r="K65" s="8">
        <f t="shared" si="34"/>
        <v>3178</v>
      </c>
      <c r="L65" s="8">
        <f t="shared" si="34"/>
        <v>3178</v>
      </c>
      <c r="M65" s="8">
        <f t="shared" si="34"/>
        <v>3178</v>
      </c>
      <c r="N65" s="8">
        <f t="shared" si="34"/>
        <v>3178</v>
      </c>
      <c r="O65" s="8">
        <f t="shared" si="34"/>
        <v>3178</v>
      </c>
      <c r="P65" s="8">
        <f t="shared" si="34"/>
        <v>3178</v>
      </c>
      <c r="Q65" s="8">
        <f t="shared" si="34"/>
        <v>3178</v>
      </c>
      <c r="R65" s="8">
        <f t="shared" si="34"/>
        <v>3178</v>
      </c>
      <c r="S65" s="8">
        <f t="shared" si="34"/>
        <v>3178</v>
      </c>
      <c r="T65" s="8">
        <f t="shared" si="34"/>
        <v>3178</v>
      </c>
      <c r="U65" s="8">
        <f t="shared" si="34"/>
        <v>3178</v>
      </c>
      <c r="V65" s="8">
        <f t="shared" si="33"/>
        <v>3178</v>
      </c>
      <c r="W65" s="8">
        <f t="shared" si="33"/>
        <v>3178</v>
      </c>
      <c r="X65" s="8">
        <f t="shared" si="33"/>
        <v>3178</v>
      </c>
      <c r="Y65" s="8">
        <f t="shared" si="33"/>
        <v>3178</v>
      </c>
      <c r="Z65" s="8">
        <f t="shared" si="33"/>
        <v>3178</v>
      </c>
      <c r="AA65" s="8">
        <f t="shared" si="33"/>
        <v>3178</v>
      </c>
      <c r="AB65" s="8">
        <f t="shared" si="33"/>
        <v>3178</v>
      </c>
      <c r="AC65" s="8">
        <f t="shared" si="33"/>
        <v>3178</v>
      </c>
      <c r="AD65" s="8">
        <f t="shared" si="33"/>
        <v>3178</v>
      </c>
      <c r="AE65" s="8">
        <f t="shared" si="33"/>
        <v>3178</v>
      </c>
      <c r="AF65" s="8">
        <f t="shared" si="33"/>
        <v>3178</v>
      </c>
      <c r="AG65" s="8">
        <f t="shared" si="33"/>
        <v>3178</v>
      </c>
    </row>
    <row r="66" spans="1:39" hidden="1" outlineLevel="1">
      <c r="A66" t="s">
        <v>250</v>
      </c>
      <c r="F66" s="8">
        <f>+F$16</f>
        <v>2538</v>
      </c>
      <c r="G66" s="8">
        <f>+F66</f>
        <v>2538</v>
      </c>
      <c r="H66" s="8">
        <f t="shared" si="34"/>
        <v>2538</v>
      </c>
      <c r="I66" s="8">
        <f t="shared" si="34"/>
        <v>2538</v>
      </c>
      <c r="J66" s="8">
        <f t="shared" si="34"/>
        <v>2538</v>
      </c>
      <c r="K66" s="8">
        <f t="shared" si="34"/>
        <v>2538</v>
      </c>
      <c r="L66" s="8">
        <f t="shared" si="34"/>
        <v>2538</v>
      </c>
      <c r="M66" s="8">
        <f t="shared" si="34"/>
        <v>2538</v>
      </c>
      <c r="N66" s="8">
        <f t="shared" si="34"/>
        <v>2538</v>
      </c>
      <c r="O66" s="8">
        <f t="shared" si="34"/>
        <v>2538</v>
      </c>
      <c r="P66" s="8">
        <f t="shared" si="34"/>
        <v>2538</v>
      </c>
      <c r="Q66" s="8">
        <f t="shared" si="34"/>
        <v>2538</v>
      </c>
      <c r="R66" s="8">
        <f t="shared" si="34"/>
        <v>2538</v>
      </c>
      <c r="S66" s="8">
        <f t="shared" si="34"/>
        <v>2538</v>
      </c>
      <c r="T66" s="8">
        <f t="shared" si="34"/>
        <v>2538</v>
      </c>
      <c r="U66" s="8">
        <f t="shared" si="34"/>
        <v>2538</v>
      </c>
      <c r="V66" s="8">
        <f t="shared" si="33"/>
        <v>2538</v>
      </c>
      <c r="W66" s="8">
        <f t="shared" si="33"/>
        <v>2538</v>
      </c>
      <c r="X66" s="8">
        <f t="shared" si="33"/>
        <v>2538</v>
      </c>
      <c r="Y66" s="8">
        <f t="shared" si="33"/>
        <v>2538</v>
      </c>
      <c r="Z66" s="8">
        <f t="shared" si="33"/>
        <v>2538</v>
      </c>
      <c r="AA66" s="8">
        <f t="shared" si="33"/>
        <v>2538</v>
      </c>
      <c r="AB66" s="8">
        <f t="shared" si="33"/>
        <v>2538</v>
      </c>
      <c r="AC66" s="8">
        <f t="shared" si="33"/>
        <v>2538</v>
      </c>
      <c r="AD66" s="8">
        <f t="shared" si="33"/>
        <v>2538</v>
      </c>
      <c r="AE66" s="8">
        <f t="shared" si="33"/>
        <v>2538</v>
      </c>
      <c r="AF66" s="8">
        <f t="shared" si="33"/>
        <v>2538</v>
      </c>
      <c r="AG66" s="8">
        <f t="shared" si="33"/>
        <v>2538</v>
      </c>
    </row>
    <row r="67" spans="1:39" hidden="1" outlineLevel="1">
      <c r="A67" t="s">
        <v>251</v>
      </c>
      <c r="G67" s="8">
        <f>+G$16</f>
        <v>1177</v>
      </c>
      <c r="H67" s="8">
        <f>+G67</f>
        <v>1177</v>
      </c>
      <c r="I67" s="8">
        <f t="shared" si="34"/>
        <v>1177</v>
      </c>
      <c r="J67" s="8">
        <f t="shared" si="34"/>
        <v>1177</v>
      </c>
      <c r="K67" s="8">
        <f t="shared" si="34"/>
        <v>1177</v>
      </c>
      <c r="L67" s="8">
        <f t="shared" si="34"/>
        <v>1177</v>
      </c>
      <c r="M67" s="8">
        <f t="shared" si="34"/>
        <v>1177</v>
      </c>
      <c r="N67" s="8">
        <f t="shared" si="34"/>
        <v>1177</v>
      </c>
      <c r="O67" s="8">
        <f t="shared" si="34"/>
        <v>1177</v>
      </c>
      <c r="P67" s="8">
        <f t="shared" si="34"/>
        <v>1177</v>
      </c>
      <c r="Q67" s="8">
        <f t="shared" si="34"/>
        <v>1177</v>
      </c>
      <c r="R67" s="8">
        <f t="shared" si="34"/>
        <v>1177</v>
      </c>
      <c r="S67" s="8">
        <f t="shared" si="34"/>
        <v>1177</v>
      </c>
      <c r="T67" s="8">
        <f t="shared" si="34"/>
        <v>1177</v>
      </c>
      <c r="U67" s="8">
        <f t="shared" si="34"/>
        <v>1177</v>
      </c>
      <c r="V67" s="8">
        <f t="shared" si="33"/>
        <v>1177</v>
      </c>
      <c r="W67" s="8">
        <f t="shared" si="33"/>
        <v>1177</v>
      </c>
      <c r="X67" s="8">
        <f t="shared" si="33"/>
        <v>1177</v>
      </c>
      <c r="Y67" s="8">
        <f t="shared" si="33"/>
        <v>1177</v>
      </c>
      <c r="Z67" s="8">
        <f t="shared" si="33"/>
        <v>1177</v>
      </c>
      <c r="AA67" s="8">
        <f t="shared" si="33"/>
        <v>1177</v>
      </c>
      <c r="AB67" s="8">
        <f t="shared" si="33"/>
        <v>1177</v>
      </c>
      <c r="AC67" s="8">
        <f t="shared" si="33"/>
        <v>1177</v>
      </c>
      <c r="AD67" s="8">
        <f t="shared" si="33"/>
        <v>1177</v>
      </c>
      <c r="AE67" s="8">
        <f t="shared" si="33"/>
        <v>1177</v>
      </c>
      <c r="AF67" s="8">
        <f t="shared" si="33"/>
        <v>1177</v>
      </c>
      <c r="AG67" s="8">
        <f t="shared" si="33"/>
        <v>1177</v>
      </c>
    </row>
    <row r="68" spans="1:39" hidden="1" outlineLevel="1">
      <c r="A68" t="s">
        <v>252</v>
      </c>
      <c r="H68" s="8">
        <f>+H$16</f>
        <v>1732</v>
      </c>
      <c r="I68" s="8">
        <f>+H68</f>
        <v>1732</v>
      </c>
      <c r="J68" s="8">
        <f t="shared" si="34"/>
        <v>1732</v>
      </c>
      <c r="K68" s="8">
        <f t="shared" si="34"/>
        <v>1732</v>
      </c>
      <c r="L68" s="8">
        <f t="shared" si="34"/>
        <v>1732</v>
      </c>
      <c r="M68" s="8">
        <f t="shared" si="34"/>
        <v>1732</v>
      </c>
      <c r="N68" s="8">
        <f t="shared" si="34"/>
        <v>1732</v>
      </c>
      <c r="O68" s="8">
        <f t="shared" si="34"/>
        <v>1732</v>
      </c>
      <c r="P68" s="8">
        <f t="shared" si="34"/>
        <v>1732</v>
      </c>
      <c r="Q68" s="8">
        <f t="shared" si="34"/>
        <v>1732</v>
      </c>
      <c r="R68" s="8">
        <f t="shared" si="34"/>
        <v>1732</v>
      </c>
      <c r="S68" s="8">
        <f t="shared" si="34"/>
        <v>1732</v>
      </c>
      <c r="T68" s="8">
        <f t="shared" si="34"/>
        <v>1732</v>
      </c>
      <c r="U68" s="8">
        <f t="shared" si="34"/>
        <v>1732</v>
      </c>
      <c r="V68" s="8">
        <f t="shared" si="33"/>
        <v>1732</v>
      </c>
      <c r="W68" s="8">
        <f t="shared" si="33"/>
        <v>1732</v>
      </c>
      <c r="X68" s="8">
        <f t="shared" si="33"/>
        <v>1732</v>
      </c>
      <c r="Y68" s="8">
        <f t="shared" si="33"/>
        <v>1732</v>
      </c>
      <c r="Z68" s="8">
        <f t="shared" si="33"/>
        <v>1732</v>
      </c>
      <c r="AA68" s="8">
        <f t="shared" si="33"/>
        <v>1732</v>
      </c>
      <c r="AB68" s="8">
        <f t="shared" si="33"/>
        <v>1732</v>
      </c>
      <c r="AC68" s="8">
        <f t="shared" si="33"/>
        <v>1732</v>
      </c>
      <c r="AD68" s="8">
        <f t="shared" si="33"/>
        <v>1732</v>
      </c>
      <c r="AE68" s="8">
        <f t="shared" si="33"/>
        <v>1732</v>
      </c>
      <c r="AF68" s="8">
        <f t="shared" si="33"/>
        <v>1732</v>
      </c>
      <c r="AG68" s="8">
        <f t="shared" si="33"/>
        <v>1732</v>
      </c>
    </row>
    <row r="69" spans="1:39" hidden="1" outlineLevel="1">
      <c r="A69" t="s">
        <v>253</v>
      </c>
      <c r="I69" s="8">
        <f>+I$16</f>
        <v>1240</v>
      </c>
      <c r="J69" s="8">
        <f>+I69</f>
        <v>1240</v>
      </c>
      <c r="K69" s="8">
        <f t="shared" si="34"/>
        <v>1240</v>
      </c>
      <c r="L69" s="8">
        <f t="shared" si="34"/>
        <v>1240</v>
      </c>
      <c r="M69" s="8">
        <f t="shared" si="34"/>
        <v>1240</v>
      </c>
      <c r="N69" s="8">
        <f t="shared" si="34"/>
        <v>1240</v>
      </c>
      <c r="O69" s="8">
        <f t="shared" si="34"/>
        <v>1240</v>
      </c>
      <c r="P69" s="8">
        <f t="shared" si="34"/>
        <v>1240</v>
      </c>
      <c r="Q69" s="8">
        <f t="shared" si="34"/>
        <v>1240</v>
      </c>
      <c r="R69" s="8">
        <f t="shared" si="34"/>
        <v>1240</v>
      </c>
      <c r="S69" s="8">
        <f t="shared" si="34"/>
        <v>1240</v>
      </c>
      <c r="T69" s="8">
        <f t="shared" si="34"/>
        <v>1240</v>
      </c>
      <c r="U69" s="8">
        <f t="shared" si="34"/>
        <v>1240</v>
      </c>
      <c r="V69" s="8">
        <f t="shared" si="33"/>
        <v>1240</v>
      </c>
      <c r="W69" s="8">
        <f t="shared" si="33"/>
        <v>1240</v>
      </c>
      <c r="X69" s="8">
        <f t="shared" si="33"/>
        <v>1240</v>
      </c>
      <c r="Y69" s="8">
        <f t="shared" si="33"/>
        <v>1240</v>
      </c>
      <c r="Z69" s="8">
        <f t="shared" si="33"/>
        <v>1240</v>
      </c>
      <c r="AA69" s="8">
        <f t="shared" si="33"/>
        <v>1240</v>
      </c>
      <c r="AB69" s="8">
        <f t="shared" si="33"/>
        <v>1240</v>
      </c>
      <c r="AC69" s="8">
        <f t="shared" si="33"/>
        <v>1240</v>
      </c>
      <c r="AD69" s="8">
        <f t="shared" si="33"/>
        <v>1240</v>
      </c>
      <c r="AE69" s="8">
        <f t="shared" si="33"/>
        <v>1240</v>
      </c>
      <c r="AF69" s="8">
        <f t="shared" si="33"/>
        <v>1240</v>
      </c>
      <c r="AG69" s="8">
        <f t="shared" si="33"/>
        <v>1240</v>
      </c>
    </row>
    <row r="70" spans="1:39" hidden="1" outlineLevel="1">
      <c r="A70" t="s">
        <v>254</v>
      </c>
      <c r="J70" s="8">
        <f>+J$16</f>
        <v>3273</v>
      </c>
      <c r="K70" s="8">
        <f>+J70</f>
        <v>3273</v>
      </c>
      <c r="L70" s="8">
        <f t="shared" si="34"/>
        <v>3273</v>
      </c>
      <c r="M70" s="8">
        <f t="shared" si="34"/>
        <v>3273</v>
      </c>
      <c r="N70" s="8">
        <f t="shared" si="34"/>
        <v>3273</v>
      </c>
      <c r="O70" s="8">
        <f t="shared" si="34"/>
        <v>3273</v>
      </c>
      <c r="P70" s="8">
        <f t="shared" si="34"/>
        <v>3273</v>
      </c>
      <c r="Q70" s="8">
        <f t="shared" si="34"/>
        <v>3273</v>
      </c>
      <c r="R70" s="8">
        <f t="shared" si="34"/>
        <v>3273</v>
      </c>
      <c r="S70" s="8">
        <f t="shared" si="34"/>
        <v>3273</v>
      </c>
      <c r="T70" s="8">
        <f t="shared" si="34"/>
        <v>3273</v>
      </c>
      <c r="U70" s="8">
        <f t="shared" si="34"/>
        <v>3273</v>
      </c>
      <c r="V70" s="8">
        <f t="shared" si="33"/>
        <v>3273</v>
      </c>
      <c r="W70" s="8">
        <f t="shared" si="33"/>
        <v>3273</v>
      </c>
      <c r="X70" s="8">
        <f t="shared" si="33"/>
        <v>3273</v>
      </c>
      <c r="Y70" s="8">
        <f t="shared" si="33"/>
        <v>3273</v>
      </c>
      <c r="Z70" s="8">
        <f t="shared" si="33"/>
        <v>3273</v>
      </c>
      <c r="AA70" s="8">
        <f t="shared" si="33"/>
        <v>3273</v>
      </c>
      <c r="AB70" s="8">
        <f t="shared" si="33"/>
        <v>3273</v>
      </c>
      <c r="AC70" s="8">
        <f t="shared" si="33"/>
        <v>3273</v>
      </c>
      <c r="AD70" s="8">
        <f t="shared" si="33"/>
        <v>3273</v>
      </c>
      <c r="AE70" s="8">
        <f t="shared" si="33"/>
        <v>3273</v>
      </c>
      <c r="AF70" s="8">
        <f t="shared" si="33"/>
        <v>3273</v>
      </c>
      <c r="AG70" s="8">
        <f t="shared" si="33"/>
        <v>3273</v>
      </c>
    </row>
    <row r="71" spans="1:39" hidden="1" outlineLevel="1">
      <c r="A71" t="s">
        <v>255</v>
      </c>
      <c r="K71" s="8">
        <f>+K$16</f>
        <v>5300</v>
      </c>
      <c r="L71" s="8">
        <f>+K71</f>
        <v>5300</v>
      </c>
      <c r="M71" s="8">
        <f t="shared" si="34"/>
        <v>5300</v>
      </c>
      <c r="N71" s="8">
        <f t="shared" si="34"/>
        <v>5300</v>
      </c>
      <c r="O71" s="8">
        <f t="shared" si="34"/>
        <v>5300</v>
      </c>
      <c r="P71" s="8">
        <f t="shared" si="34"/>
        <v>5300</v>
      </c>
      <c r="Q71" s="8">
        <f t="shared" si="34"/>
        <v>5300</v>
      </c>
      <c r="R71" s="8">
        <f t="shared" si="34"/>
        <v>5300</v>
      </c>
      <c r="S71" s="8">
        <f t="shared" si="34"/>
        <v>5300</v>
      </c>
      <c r="T71" s="8">
        <f t="shared" si="34"/>
        <v>5300</v>
      </c>
      <c r="U71" s="8">
        <f t="shared" si="34"/>
        <v>5300</v>
      </c>
      <c r="V71" s="8">
        <f t="shared" si="33"/>
        <v>5300</v>
      </c>
      <c r="W71" s="8">
        <f t="shared" si="33"/>
        <v>5300</v>
      </c>
      <c r="X71" s="8">
        <f t="shared" si="33"/>
        <v>5300</v>
      </c>
      <c r="Y71" s="8">
        <f t="shared" si="33"/>
        <v>5300</v>
      </c>
      <c r="Z71" s="8">
        <f t="shared" si="33"/>
        <v>5300</v>
      </c>
      <c r="AA71" s="8">
        <f t="shared" si="33"/>
        <v>5300</v>
      </c>
      <c r="AB71" s="8">
        <f t="shared" si="33"/>
        <v>5300</v>
      </c>
      <c r="AC71" s="8">
        <f t="shared" si="33"/>
        <v>5300</v>
      </c>
      <c r="AD71" s="8">
        <f t="shared" si="33"/>
        <v>5300</v>
      </c>
      <c r="AE71" s="8">
        <f t="shared" si="33"/>
        <v>5300</v>
      </c>
      <c r="AF71" s="8">
        <f t="shared" si="33"/>
        <v>5300</v>
      </c>
      <c r="AG71" s="8">
        <f t="shared" si="33"/>
        <v>5300</v>
      </c>
    </row>
    <row r="72" spans="1:39" hidden="1" outlineLevel="1">
      <c r="A72" t="s">
        <v>256</v>
      </c>
      <c r="L72" s="8">
        <f>+L$16</f>
        <v>4533</v>
      </c>
      <c r="M72" s="8">
        <f>+L72</f>
        <v>4533</v>
      </c>
      <c r="N72" s="8">
        <f t="shared" si="34"/>
        <v>4533</v>
      </c>
      <c r="O72" s="8">
        <f t="shared" si="34"/>
        <v>4533</v>
      </c>
      <c r="P72" s="8">
        <f t="shared" si="34"/>
        <v>4533</v>
      </c>
      <c r="Q72" s="8">
        <f t="shared" si="34"/>
        <v>4533</v>
      </c>
      <c r="R72" s="8">
        <f t="shared" si="34"/>
        <v>4533</v>
      </c>
      <c r="S72" s="8">
        <f t="shared" si="34"/>
        <v>4533</v>
      </c>
      <c r="T72" s="8">
        <f t="shared" si="34"/>
        <v>4533</v>
      </c>
      <c r="U72" s="8">
        <f t="shared" si="34"/>
        <v>4533</v>
      </c>
      <c r="V72" s="8">
        <f t="shared" si="33"/>
        <v>4533</v>
      </c>
      <c r="W72" s="8">
        <f t="shared" si="33"/>
        <v>4533</v>
      </c>
      <c r="X72" s="8">
        <f t="shared" si="33"/>
        <v>4533</v>
      </c>
      <c r="Y72" s="8">
        <f t="shared" si="33"/>
        <v>4533</v>
      </c>
      <c r="Z72" s="8">
        <f t="shared" si="33"/>
        <v>4533</v>
      </c>
      <c r="AA72" s="8">
        <f t="shared" si="33"/>
        <v>4533</v>
      </c>
      <c r="AB72" s="8">
        <f t="shared" si="33"/>
        <v>4533</v>
      </c>
      <c r="AC72" s="8">
        <f t="shared" si="33"/>
        <v>4533</v>
      </c>
      <c r="AD72" s="8">
        <f t="shared" si="33"/>
        <v>4533</v>
      </c>
      <c r="AE72" s="8">
        <f t="shared" si="33"/>
        <v>4533</v>
      </c>
      <c r="AF72" s="8">
        <f t="shared" si="33"/>
        <v>4533</v>
      </c>
      <c r="AG72" s="8">
        <f t="shared" si="33"/>
        <v>4533</v>
      </c>
    </row>
    <row r="73" spans="1:39" hidden="1" outlineLevel="1">
      <c r="A73" t="s">
        <v>257</v>
      </c>
      <c r="M73" s="8">
        <f>+M$16</f>
        <v>5819</v>
      </c>
      <c r="N73" s="8">
        <f>+M73</f>
        <v>5819</v>
      </c>
      <c r="O73" s="8">
        <f t="shared" si="34"/>
        <v>5819</v>
      </c>
      <c r="P73" s="8">
        <f t="shared" si="34"/>
        <v>5819</v>
      </c>
      <c r="Q73" s="8">
        <f t="shared" si="34"/>
        <v>5819</v>
      </c>
      <c r="R73" s="8">
        <f t="shared" si="34"/>
        <v>5819</v>
      </c>
      <c r="S73" s="8">
        <f t="shared" si="34"/>
        <v>5819</v>
      </c>
      <c r="T73" s="8">
        <f t="shared" si="34"/>
        <v>5819</v>
      </c>
      <c r="U73" s="8">
        <f t="shared" si="34"/>
        <v>5819</v>
      </c>
      <c r="V73" s="8">
        <f t="shared" si="33"/>
        <v>5819</v>
      </c>
      <c r="W73" s="8">
        <f t="shared" si="33"/>
        <v>5819</v>
      </c>
      <c r="X73" s="8">
        <f t="shared" si="33"/>
        <v>5819</v>
      </c>
      <c r="Y73" s="8">
        <f t="shared" si="33"/>
        <v>5819</v>
      </c>
      <c r="Z73" s="8">
        <f t="shared" si="33"/>
        <v>5819</v>
      </c>
      <c r="AA73" s="8">
        <f t="shared" si="33"/>
        <v>5819</v>
      </c>
      <c r="AB73" s="8">
        <f t="shared" si="33"/>
        <v>5819</v>
      </c>
      <c r="AC73" s="8">
        <f t="shared" si="33"/>
        <v>5819</v>
      </c>
      <c r="AD73" s="8">
        <f t="shared" si="33"/>
        <v>5819</v>
      </c>
      <c r="AE73" s="8">
        <f t="shared" si="33"/>
        <v>5819</v>
      </c>
      <c r="AF73" s="8">
        <f t="shared" si="33"/>
        <v>5819</v>
      </c>
      <c r="AG73" s="8">
        <f t="shared" si="33"/>
        <v>5819</v>
      </c>
    </row>
    <row r="74" spans="1:39" hidden="1" outlineLevel="1">
      <c r="A74" t="s">
        <v>258</v>
      </c>
      <c r="N74" s="8">
        <f>+N$16</f>
        <v>9757</v>
      </c>
      <c r="O74" s="8">
        <f>+N74</f>
        <v>9757</v>
      </c>
      <c r="P74" s="8">
        <f t="shared" si="34"/>
        <v>9757</v>
      </c>
      <c r="Q74" s="8">
        <f t="shared" si="34"/>
        <v>9757</v>
      </c>
      <c r="R74" s="8">
        <f t="shared" si="34"/>
        <v>9757</v>
      </c>
      <c r="S74" s="8">
        <f t="shared" si="34"/>
        <v>9757</v>
      </c>
      <c r="T74" s="8">
        <f t="shared" si="34"/>
        <v>9757</v>
      </c>
      <c r="U74" s="8">
        <f t="shared" si="34"/>
        <v>9757</v>
      </c>
      <c r="V74" s="8">
        <f t="shared" si="33"/>
        <v>9757</v>
      </c>
      <c r="W74" s="8">
        <f t="shared" si="33"/>
        <v>9757</v>
      </c>
      <c r="X74" s="8">
        <f t="shared" si="33"/>
        <v>9757</v>
      </c>
      <c r="Y74" s="8">
        <f t="shared" si="33"/>
        <v>9757</v>
      </c>
      <c r="Z74" s="8">
        <f t="shared" si="33"/>
        <v>9757</v>
      </c>
      <c r="AA74" s="8">
        <f t="shared" si="33"/>
        <v>9757</v>
      </c>
      <c r="AB74" s="8">
        <f t="shared" si="33"/>
        <v>9757</v>
      </c>
      <c r="AC74" s="8">
        <f t="shared" si="33"/>
        <v>9757</v>
      </c>
      <c r="AD74" s="8">
        <f t="shared" si="33"/>
        <v>9757</v>
      </c>
      <c r="AE74" s="8">
        <f t="shared" si="33"/>
        <v>9757</v>
      </c>
      <c r="AF74" s="8">
        <f t="shared" si="33"/>
        <v>9757</v>
      </c>
      <c r="AG74" s="8">
        <f t="shared" si="33"/>
        <v>9757</v>
      </c>
    </row>
    <row r="75" spans="1:39" hidden="1" outlineLevel="1">
      <c r="A75" t="s">
        <v>259</v>
      </c>
      <c r="O75" s="8">
        <f>+O$16</f>
        <v>10770</v>
      </c>
      <c r="P75" s="8">
        <f>+O75</f>
        <v>10770</v>
      </c>
      <c r="Q75" s="8">
        <f t="shared" si="34"/>
        <v>10770</v>
      </c>
      <c r="R75" s="8">
        <f t="shared" si="34"/>
        <v>10770</v>
      </c>
      <c r="S75" s="8">
        <f t="shared" si="34"/>
        <v>10770</v>
      </c>
      <c r="T75" s="8">
        <f t="shared" si="34"/>
        <v>10770</v>
      </c>
      <c r="U75" s="8">
        <f t="shared" si="34"/>
        <v>10770</v>
      </c>
      <c r="V75" s="8">
        <f t="shared" si="33"/>
        <v>10770</v>
      </c>
      <c r="W75" s="8">
        <f t="shared" si="33"/>
        <v>10770</v>
      </c>
      <c r="X75" s="8">
        <f t="shared" si="33"/>
        <v>10770</v>
      </c>
      <c r="Y75" s="8">
        <f t="shared" si="33"/>
        <v>10770</v>
      </c>
      <c r="Z75" s="8">
        <f t="shared" si="33"/>
        <v>10770</v>
      </c>
      <c r="AA75" s="8">
        <f t="shared" si="33"/>
        <v>10770</v>
      </c>
      <c r="AB75" s="8">
        <f t="shared" si="33"/>
        <v>10770</v>
      </c>
      <c r="AC75" s="8">
        <f t="shared" si="33"/>
        <v>10770</v>
      </c>
      <c r="AD75" s="8">
        <f t="shared" si="33"/>
        <v>10770</v>
      </c>
      <c r="AE75" s="8">
        <f t="shared" si="33"/>
        <v>10770</v>
      </c>
      <c r="AF75" s="8">
        <f t="shared" si="33"/>
        <v>10770</v>
      </c>
      <c r="AG75" s="8">
        <f t="shared" si="33"/>
        <v>10770</v>
      </c>
      <c r="AH75" s="8"/>
    </row>
    <row r="76" spans="1:39" hidden="1" outlineLevel="1">
      <c r="A76" t="s">
        <v>260</v>
      </c>
      <c r="P76" s="8">
        <f>+P$16</f>
        <v>13124</v>
      </c>
      <c r="Q76" s="8">
        <f>+P76</f>
        <v>13124</v>
      </c>
      <c r="R76" s="8">
        <f t="shared" si="34"/>
        <v>13124</v>
      </c>
      <c r="S76" s="8">
        <f t="shared" si="34"/>
        <v>13124</v>
      </c>
      <c r="T76" s="8">
        <f t="shared" si="34"/>
        <v>13124</v>
      </c>
      <c r="U76" s="8">
        <f t="shared" si="34"/>
        <v>13124</v>
      </c>
      <c r="V76" s="8">
        <f t="shared" si="33"/>
        <v>13124</v>
      </c>
      <c r="W76" s="8">
        <f t="shared" si="33"/>
        <v>13124</v>
      </c>
      <c r="X76" s="8">
        <f t="shared" si="33"/>
        <v>13124</v>
      </c>
      <c r="Y76" s="8">
        <f t="shared" si="33"/>
        <v>13124</v>
      </c>
      <c r="Z76" s="8">
        <f t="shared" si="33"/>
        <v>13124</v>
      </c>
      <c r="AA76" s="8">
        <f t="shared" si="33"/>
        <v>13124</v>
      </c>
      <c r="AB76" s="8">
        <f t="shared" si="33"/>
        <v>13124</v>
      </c>
      <c r="AC76" s="8">
        <f t="shared" si="33"/>
        <v>13124</v>
      </c>
      <c r="AD76" s="8">
        <f t="shared" si="33"/>
        <v>13124</v>
      </c>
      <c r="AE76" s="8">
        <f t="shared" si="33"/>
        <v>13124</v>
      </c>
      <c r="AF76" s="8">
        <f t="shared" si="33"/>
        <v>13124</v>
      </c>
      <c r="AG76" s="8">
        <f t="shared" si="33"/>
        <v>13124</v>
      </c>
      <c r="AH76" s="8"/>
      <c r="AI76" s="8"/>
    </row>
    <row r="77" spans="1:39" hidden="1" outlineLevel="1">
      <c r="A77" t="s">
        <v>261</v>
      </c>
      <c r="Q77" s="8">
        <f>+Q$16</f>
        <v>15541</v>
      </c>
      <c r="R77" s="8">
        <f>+Q77</f>
        <v>15541</v>
      </c>
      <c r="S77" s="8">
        <f t="shared" si="33"/>
        <v>15541</v>
      </c>
      <c r="T77" s="8">
        <f t="shared" si="33"/>
        <v>15541</v>
      </c>
      <c r="U77" s="8">
        <f t="shared" si="34"/>
        <v>15541</v>
      </c>
      <c r="V77" s="8">
        <f t="shared" si="33"/>
        <v>15541</v>
      </c>
      <c r="W77" s="8">
        <f t="shared" si="33"/>
        <v>15541</v>
      </c>
      <c r="X77" s="8">
        <f t="shared" si="33"/>
        <v>15541</v>
      </c>
      <c r="Y77" s="8">
        <f t="shared" si="33"/>
        <v>15541</v>
      </c>
      <c r="Z77" s="8">
        <f t="shared" si="33"/>
        <v>15541</v>
      </c>
      <c r="AA77" s="8">
        <f t="shared" si="33"/>
        <v>15541</v>
      </c>
      <c r="AB77" s="8">
        <f t="shared" si="33"/>
        <v>15541</v>
      </c>
      <c r="AC77" s="8">
        <f t="shared" si="33"/>
        <v>15541</v>
      </c>
      <c r="AD77" s="8">
        <f t="shared" si="33"/>
        <v>15541</v>
      </c>
      <c r="AE77" s="8">
        <f t="shared" si="33"/>
        <v>15541</v>
      </c>
      <c r="AF77" s="8">
        <f t="shared" si="33"/>
        <v>15541</v>
      </c>
      <c r="AG77" s="8">
        <f t="shared" si="33"/>
        <v>15541</v>
      </c>
      <c r="AH77" s="8"/>
      <c r="AI77" s="8"/>
      <c r="AJ77" s="8"/>
    </row>
    <row r="78" spans="1:39" hidden="1" outlineLevel="1">
      <c r="A78" t="s">
        <v>262</v>
      </c>
      <c r="R78" s="8">
        <f>+R$16</f>
        <v>23718</v>
      </c>
      <c r="S78" s="8">
        <f>+R78</f>
        <v>23718</v>
      </c>
      <c r="T78" s="8">
        <f t="shared" si="33"/>
        <v>23718</v>
      </c>
      <c r="U78" s="8">
        <f t="shared" si="34"/>
        <v>23718</v>
      </c>
      <c r="V78" s="8">
        <f t="shared" si="33"/>
        <v>23718</v>
      </c>
      <c r="W78" s="8">
        <f t="shared" si="33"/>
        <v>23718</v>
      </c>
      <c r="X78" s="8">
        <f t="shared" si="33"/>
        <v>23718</v>
      </c>
      <c r="Y78" s="8">
        <f t="shared" si="33"/>
        <v>23718</v>
      </c>
      <c r="Z78" s="8">
        <f t="shared" si="33"/>
        <v>23718</v>
      </c>
      <c r="AA78" s="8">
        <f t="shared" si="33"/>
        <v>23718</v>
      </c>
      <c r="AB78" s="8">
        <f t="shared" si="33"/>
        <v>23718</v>
      </c>
      <c r="AC78" s="8">
        <f t="shared" si="33"/>
        <v>23718</v>
      </c>
      <c r="AD78" s="8">
        <f t="shared" si="33"/>
        <v>23718</v>
      </c>
      <c r="AE78" s="8">
        <f t="shared" si="33"/>
        <v>23718</v>
      </c>
      <c r="AF78" s="8">
        <f t="shared" si="33"/>
        <v>23718</v>
      </c>
      <c r="AG78" s="8">
        <f t="shared" si="33"/>
        <v>23718</v>
      </c>
      <c r="AH78" s="8"/>
      <c r="AI78" s="8"/>
      <c r="AJ78" s="8"/>
      <c r="AK78" s="8"/>
    </row>
    <row r="79" spans="1:39" hidden="1" outlineLevel="1">
      <c r="A79" t="s">
        <v>109</v>
      </c>
      <c r="S79" s="8">
        <f>+S$16</f>
        <v>22992</v>
      </c>
      <c r="T79" s="8">
        <f>+S79</f>
        <v>22992</v>
      </c>
      <c r="U79" s="8">
        <f t="shared" si="34"/>
        <v>22992</v>
      </c>
      <c r="V79" s="8">
        <f t="shared" si="33"/>
        <v>22992</v>
      </c>
      <c r="W79" s="8">
        <f t="shared" si="33"/>
        <v>22992</v>
      </c>
      <c r="X79" s="8">
        <f t="shared" si="33"/>
        <v>22992</v>
      </c>
      <c r="Y79" s="8">
        <f t="shared" si="33"/>
        <v>22992</v>
      </c>
      <c r="Z79" s="8">
        <f t="shared" si="33"/>
        <v>22992</v>
      </c>
      <c r="AA79" s="8">
        <f t="shared" si="33"/>
        <v>22992</v>
      </c>
      <c r="AB79" s="8">
        <f t="shared" si="33"/>
        <v>22992</v>
      </c>
      <c r="AC79" s="8">
        <f t="shared" si="33"/>
        <v>22992</v>
      </c>
      <c r="AD79" s="8">
        <f t="shared" si="33"/>
        <v>22992</v>
      </c>
      <c r="AE79" s="8">
        <f t="shared" si="33"/>
        <v>22992</v>
      </c>
      <c r="AF79" s="8">
        <f t="shared" si="33"/>
        <v>22992</v>
      </c>
      <c r="AG79" s="8">
        <f t="shared" si="33"/>
        <v>22992</v>
      </c>
      <c r="AH79" s="8"/>
      <c r="AI79" s="8"/>
      <c r="AJ79" s="8"/>
      <c r="AK79" s="8"/>
      <c r="AL79" s="8"/>
    </row>
    <row r="80" spans="1:39" hidden="1" outlineLevel="1">
      <c r="A80" t="s">
        <v>191</v>
      </c>
      <c r="T80" s="8">
        <f>+T$16</f>
        <v>29834</v>
      </c>
      <c r="U80" s="8">
        <f t="shared" si="34"/>
        <v>29834</v>
      </c>
      <c r="V80" s="8">
        <f t="shared" si="33"/>
        <v>29834</v>
      </c>
      <c r="W80" s="8">
        <f t="shared" si="33"/>
        <v>29834</v>
      </c>
      <c r="X80" s="8">
        <f t="shared" si="33"/>
        <v>29834</v>
      </c>
      <c r="Y80" s="8">
        <f t="shared" si="33"/>
        <v>29834</v>
      </c>
      <c r="Z80" s="8">
        <f t="shared" si="33"/>
        <v>29834</v>
      </c>
      <c r="AA80" s="8">
        <f t="shared" si="33"/>
        <v>29834</v>
      </c>
      <c r="AB80" s="8">
        <f t="shared" si="33"/>
        <v>29834</v>
      </c>
      <c r="AC80" s="8">
        <f t="shared" si="33"/>
        <v>29834</v>
      </c>
      <c r="AD80" s="8">
        <f t="shared" si="33"/>
        <v>29834</v>
      </c>
      <c r="AE80" s="8">
        <f t="shared" si="33"/>
        <v>29834</v>
      </c>
      <c r="AF80" s="8">
        <f t="shared" si="33"/>
        <v>29834</v>
      </c>
      <c r="AG80" s="8">
        <f t="shared" si="33"/>
        <v>29834</v>
      </c>
      <c r="AH80" s="8"/>
      <c r="AI80" s="8"/>
      <c r="AJ80" s="8"/>
      <c r="AK80" s="8"/>
      <c r="AL80" s="8"/>
      <c r="AM80" s="8"/>
    </row>
    <row r="81" spans="1:44" hidden="1" outlineLevel="1">
      <c r="A81" t="s">
        <v>192</v>
      </c>
      <c r="U81" s="8">
        <f>+U$16</f>
        <v>48120</v>
      </c>
      <c r="V81" s="8">
        <f>+U81</f>
        <v>48120</v>
      </c>
      <c r="W81" s="8">
        <f t="shared" si="33"/>
        <v>48120</v>
      </c>
      <c r="X81" s="8">
        <f t="shared" si="33"/>
        <v>48120</v>
      </c>
      <c r="Y81" s="8">
        <f t="shared" si="33"/>
        <v>48120</v>
      </c>
      <c r="Z81" s="8">
        <f t="shared" si="33"/>
        <v>48120</v>
      </c>
      <c r="AA81" s="8">
        <f t="shared" si="33"/>
        <v>48120</v>
      </c>
      <c r="AB81" s="8">
        <f t="shared" si="33"/>
        <v>48120</v>
      </c>
      <c r="AC81" s="8">
        <f t="shared" si="33"/>
        <v>48120</v>
      </c>
      <c r="AD81" s="8">
        <f t="shared" si="33"/>
        <v>48120</v>
      </c>
      <c r="AE81" s="8">
        <f t="shared" si="33"/>
        <v>48120</v>
      </c>
      <c r="AF81" s="8">
        <f t="shared" si="33"/>
        <v>48120</v>
      </c>
      <c r="AG81" s="8">
        <f t="shared" si="33"/>
        <v>48120</v>
      </c>
      <c r="AH81" s="8"/>
      <c r="AI81" s="8"/>
      <c r="AJ81" s="8"/>
      <c r="AK81" s="8"/>
      <c r="AL81" s="8"/>
      <c r="AM81" s="8"/>
      <c r="AN81" s="8"/>
    </row>
    <row r="82" spans="1:44" hidden="1" outlineLevel="1">
      <c r="A82" t="s">
        <v>72</v>
      </c>
      <c r="V82" s="8">
        <f>+V$16</f>
        <v>75420</v>
      </c>
      <c r="W82" s="8">
        <f>+V82</f>
        <v>75420</v>
      </c>
      <c r="X82" s="8">
        <f t="shared" si="33"/>
        <v>75420</v>
      </c>
      <c r="Y82" s="8">
        <f t="shared" si="33"/>
        <v>75420</v>
      </c>
      <c r="Z82" s="8">
        <f t="shared" si="33"/>
        <v>75420</v>
      </c>
      <c r="AA82" s="8">
        <f t="shared" si="33"/>
        <v>75420</v>
      </c>
      <c r="AB82" s="8">
        <f t="shared" si="33"/>
        <v>75420</v>
      </c>
      <c r="AC82" s="8">
        <f t="shared" si="33"/>
        <v>75420</v>
      </c>
      <c r="AD82" s="8">
        <f t="shared" si="33"/>
        <v>75420</v>
      </c>
      <c r="AE82" s="8">
        <f t="shared" si="33"/>
        <v>75420</v>
      </c>
      <c r="AF82" s="8">
        <f t="shared" si="33"/>
        <v>75420</v>
      </c>
      <c r="AG82" s="8">
        <f t="shared" si="33"/>
        <v>75420</v>
      </c>
      <c r="AH82" s="8"/>
      <c r="AI82" s="8"/>
      <c r="AJ82" s="8"/>
      <c r="AK82" s="8"/>
      <c r="AL82" s="8"/>
      <c r="AM82" s="8"/>
      <c r="AN82" s="8"/>
      <c r="AO82" s="8"/>
    </row>
    <row r="83" spans="1:44" hidden="1" outlineLevel="1">
      <c r="A83" t="s">
        <v>73</v>
      </c>
      <c r="W83" s="8">
        <f>+W$16</f>
        <v>60611.55820605404</v>
      </c>
      <c r="X83" s="8">
        <f>+W83</f>
        <v>60611.55820605404</v>
      </c>
      <c r="Y83" s="8">
        <f t="shared" si="33"/>
        <v>60611.55820605404</v>
      </c>
      <c r="Z83" s="8">
        <f t="shared" si="33"/>
        <v>60611.55820605404</v>
      </c>
      <c r="AA83" s="8">
        <f t="shared" si="33"/>
        <v>60611.55820605404</v>
      </c>
      <c r="AB83" s="8">
        <f t="shared" si="33"/>
        <v>60611.55820605404</v>
      </c>
      <c r="AC83" s="8">
        <f t="shared" si="33"/>
        <v>60611.55820605404</v>
      </c>
      <c r="AD83" s="8">
        <f t="shared" si="33"/>
        <v>60611.55820605404</v>
      </c>
      <c r="AE83" s="8">
        <f t="shared" si="33"/>
        <v>60611.55820605404</v>
      </c>
      <c r="AF83" s="8">
        <f t="shared" si="33"/>
        <v>60611.55820605404</v>
      </c>
      <c r="AG83" s="8">
        <f t="shared" si="33"/>
        <v>60611.55820605404</v>
      </c>
      <c r="AH83" s="8"/>
      <c r="AI83" s="8"/>
      <c r="AJ83" s="8"/>
      <c r="AK83" s="8"/>
      <c r="AL83" s="8"/>
      <c r="AM83" s="8"/>
      <c r="AN83" s="8"/>
      <c r="AO83" s="8"/>
      <c r="AP83" s="8"/>
    </row>
    <row r="84" spans="1:44" hidden="1" outlineLevel="1">
      <c r="A84" t="s">
        <v>74</v>
      </c>
      <c r="X84" s="8">
        <f>+X$16</f>
        <v>60042.458033830713</v>
      </c>
      <c r="Y84" s="8">
        <f>+X84</f>
        <v>60042.458033830713</v>
      </c>
      <c r="Z84" s="8">
        <f t="shared" ref="Z84:AG91" si="35">+Y84</f>
        <v>60042.458033830713</v>
      </c>
      <c r="AA84" s="8">
        <f t="shared" si="35"/>
        <v>60042.458033830713</v>
      </c>
      <c r="AB84" s="8">
        <f t="shared" si="35"/>
        <v>60042.458033830713</v>
      </c>
      <c r="AC84" s="8">
        <f t="shared" si="35"/>
        <v>60042.458033830713</v>
      </c>
      <c r="AD84" s="8">
        <f t="shared" si="35"/>
        <v>60042.458033830713</v>
      </c>
      <c r="AE84" s="8">
        <f t="shared" si="35"/>
        <v>60042.458033830713</v>
      </c>
      <c r="AF84" s="8">
        <f t="shared" si="35"/>
        <v>60042.458033830713</v>
      </c>
      <c r="AG84" s="8">
        <f t="shared" si="35"/>
        <v>60042.458033830713</v>
      </c>
      <c r="AH84" s="8"/>
      <c r="AI84" s="8"/>
      <c r="AJ84" s="8"/>
      <c r="AK84" s="8"/>
      <c r="AL84" s="8"/>
      <c r="AM84" s="8"/>
      <c r="AN84" s="8"/>
      <c r="AO84" s="8"/>
      <c r="AP84" s="8"/>
      <c r="AQ84" s="8"/>
    </row>
    <row r="85" spans="1:44" hidden="1" outlineLevel="1">
      <c r="A85" t="s">
        <v>75</v>
      </c>
      <c r="Y85" s="8">
        <f>+Y$16</f>
        <v>58827.474762198042</v>
      </c>
      <c r="Z85" s="8">
        <f>+Y85</f>
        <v>58827.474762198042</v>
      </c>
      <c r="AA85" s="8">
        <f t="shared" si="35"/>
        <v>58827.474762198042</v>
      </c>
      <c r="AB85" s="8">
        <f t="shared" si="35"/>
        <v>58827.474762198042</v>
      </c>
      <c r="AC85" s="8">
        <f t="shared" si="35"/>
        <v>58827.474762198042</v>
      </c>
      <c r="AD85" s="8">
        <f t="shared" si="35"/>
        <v>58827.474762198042</v>
      </c>
      <c r="AE85" s="8">
        <f t="shared" si="35"/>
        <v>58827.474762198042</v>
      </c>
      <c r="AF85" s="8">
        <f t="shared" si="35"/>
        <v>58827.474762198042</v>
      </c>
      <c r="AG85" s="8">
        <f t="shared" si="35"/>
        <v>58827.474762198042</v>
      </c>
      <c r="AH85" s="8"/>
      <c r="AI85" s="8"/>
      <c r="AJ85" s="8"/>
      <c r="AK85" s="8"/>
      <c r="AL85" s="8"/>
      <c r="AM85" s="8"/>
      <c r="AN85" s="8"/>
      <c r="AO85" s="8"/>
      <c r="AP85" s="8"/>
      <c r="AQ85" s="8"/>
      <c r="AR85" s="8"/>
    </row>
    <row r="86" spans="1:44" hidden="1" outlineLevel="1">
      <c r="A86" t="s">
        <v>76</v>
      </c>
      <c r="Y86" s="8"/>
      <c r="Z86" s="8">
        <f>+Z$16</f>
        <v>56877.177369773934</v>
      </c>
      <c r="AA86" s="8">
        <f>+Z86</f>
        <v>56877.177369773934</v>
      </c>
      <c r="AB86" s="8">
        <f t="shared" si="35"/>
        <v>56877.177369773934</v>
      </c>
      <c r="AC86" s="8">
        <f t="shared" si="35"/>
        <v>56877.177369773934</v>
      </c>
      <c r="AD86" s="8">
        <f t="shared" si="35"/>
        <v>56877.177369773934</v>
      </c>
      <c r="AE86" s="8">
        <f t="shared" si="35"/>
        <v>56877.177369773934</v>
      </c>
      <c r="AF86" s="8">
        <f t="shared" si="35"/>
        <v>56877.177369773934</v>
      </c>
      <c r="AG86" s="8">
        <f t="shared" si="35"/>
        <v>56877.177369773934</v>
      </c>
      <c r="AH86" s="8"/>
      <c r="AI86" s="8"/>
      <c r="AJ86" s="8"/>
      <c r="AK86" s="8"/>
      <c r="AL86" s="8"/>
      <c r="AM86" s="8"/>
      <c r="AN86" s="8"/>
      <c r="AO86" s="8"/>
      <c r="AP86" s="8"/>
      <c r="AQ86" s="8"/>
      <c r="AR86" s="8"/>
    </row>
    <row r="87" spans="1:44" hidden="1" outlineLevel="1">
      <c r="A87" t="s">
        <v>77</v>
      </c>
      <c r="Y87" s="8"/>
      <c r="Z87" s="8"/>
      <c r="AA87" s="8">
        <f>+AA$16</f>
        <v>54091.515373589646</v>
      </c>
      <c r="AB87" s="8">
        <f>+AA87</f>
        <v>54091.515373589646</v>
      </c>
      <c r="AC87" s="8">
        <f t="shared" si="35"/>
        <v>54091.515373589646</v>
      </c>
      <c r="AD87" s="8">
        <f t="shared" si="35"/>
        <v>54091.515373589646</v>
      </c>
      <c r="AE87" s="8">
        <f t="shared" si="35"/>
        <v>54091.515373589646</v>
      </c>
      <c r="AF87" s="8">
        <f t="shared" si="35"/>
        <v>54091.515373589646</v>
      </c>
      <c r="AG87" s="8">
        <f t="shared" si="35"/>
        <v>54091.515373589646</v>
      </c>
      <c r="AH87" s="8"/>
      <c r="AI87" s="8"/>
      <c r="AJ87" s="8"/>
      <c r="AK87" s="8"/>
      <c r="AL87" s="8"/>
      <c r="AM87" s="8"/>
      <c r="AN87" s="8"/>
      <c r="AO87" s="8"/>
      <c r="AP87" s="8"/>
      <c r="AQ87" s="8"/>
      <c r="AR87" s="8"/>
    </row>
    <row r="88" spans="1:44" hidden="1" outlineLevel="1">
      <c r="A88" t="s">
        <v>78</v>
      </c>
      <c r="Y88" s="8"/>
      <c r="Z88" s="8"/>
      <c r="AA88" s="8"/>
      <c r="AB88" s="8">
        <f>+AB$16</f>
        <v>54555.267970704241</v>
      </c>
      <c r="AC88" s="8">
        <f>+AB88</f>
        <v>54555.267970704241</v>
      </c>
      <c r="AD88" s="8">
        <f t="shared" si="35"/>
        <v>54555.267970704241</v>
      </c>
      <c r="AE88" s="8">
        <f t="shared" si="35"/>
        <v>54555.267970704241</v>
      </c>
      <c r="AF88" s="8">
        <f t="shared" si="35"/>
        <v>54555.267970704241</v>
      </c>
      <c r="AG88" s="8">
        <f t="shared" si="35"/>
        <v>54555.267970704241</v>
      </c>
      <c r="AH88" s="8"/>
      <c r="AI88" s="8"/>
      <c r="AJ88" s="8"/>
      <c r="AK88" s="8"/>
      <c r="AL88" s="8"/>
      <c r="AM88" s="8"/>
      <c r="AN88" s="8"/>
      <c r="AO88" s="8"/>
      <c r="AP88" s="8"/>
      <c r="AQ88" s="8"/>
      <c r="AR88" s="8"/>
    </row>
    <row r="89" spans="1:44" hidden="1" outlineLevel="1">
      <c r="A89" t="s">
        <v>79</v>
      </c>
      <c r="Y89" s="8"/>
      <c r="Z89" s="8"/>
      <c r="AA89" s="8"/>
      <c r="AB89" s="8"/>
      <c r="AC89" s="8">
        <f>+AC$16</f>
        <v>54664.834215880765</v>
      </c>
      <c r="AD89" s="8">
        <f>+AC89</f>
        <v>54664.834215880765</v>
      </c>
      <c r="AE89" s="8">
        <f t="shared" si="35"/>
        <v>54664.834215880765</v>
      </c>
      <c r="AF89" s="8">
        <f t="shared" si="35"/>
        <v>54664.834215880765</v>
      </c>
      <c r="AG89" s="8">
        <f t="shared" si="35"/>
        <v>54664.834215880765</v>
      </c>
      <c r="AH89" s="8"/>
      <c r="AI89" s="8"/>
      <c r="AJ89" s="8"/>
      <c r="AK89" s="8"/>
      <c r="AL89" s="8"/>
      <c r="AM89" s="8"/>
      <c r="AN89" s="8"/>
      <c r="AO89" s="8"/>
      <c r="AP89" s="8"/>
      <c r="AQ89" s="8"/>
      <c r="AR89" s="8"/>
    </row>
    <row r="90" spans="1:44" hidden="1" outlineLevel="1">
      <c r="A90" t="s">
        <v>80</v>
      </c>
      <c r="Y90" s="8"/>
      <c r="Z90" s="8"/>
      <c r="AA90" s="8"/>
      <c r="AB90" s="8"/>
      <c r="AC90" s="8"/>
      <c r="AD90" s="8">
        <f>+AD$16</f>
        <v>59307.681560285964</v>
      </c>
      <c r="AE90" s="8">
        <f>+AD90</f>
        <v>59307.681560285964</v>
      </c>
      <c r="AF90" s="8">
        <f t="shared" si="35"/>
        <v>59307.681560285964</v>
      </c>
      <c r="AG90" s="8">
        <f t="shared" si="35"/>
        <v>59307.681560285964</v>
      </c>
      <c r="AH90" s="8"/>
      <c r="AI90" s="8"/>
      <c r="AJ90" s="8"/>
      <c r="AK90" s="8"/>
      <c r="AL90" s="8"/>
      <c r="AM90" s="8"/>
      <c r="AN90" s="8"/>
      <c r="AO90" s="8"/>
      <c r="AP90" s="8"/>
      <c r="AQ90" s="8"/>
      <c r="AR90" s="8"/>
    </row>
    <row r="91" spans="1:44" hidden="1" outlineLevel="1">
      <c r="A91" t="s">
        <v>81</v>
      </c>
      <c r="Y91" s="8"/>
      <c r="Z91" s="8"/>
      <c r="AA91" s="8"/>
      <c r="AB91" s="8"/>
      <c r="AC91" s="8"/>
      <c r="AD91" s="8"/>
      <c r="AE91" s="8">
        <f>+AE$16</f>
        <v>64314.406195243821</v>
      </c>
      <c r="AF91" s="8">
        <f>+AE91</f>
        <v>64314.406195243821</v>
      </c>
      <c r="AG91" s="8">
        <f t="shared" si="35"/>
        <v>64314.406195243821</v>
      </c>
      <c r="AH91" s="8"/>
      <c r="AI91" s="8"/>
      <c r="AJ91" s="8"/>
      <c r="AK91" s="8"/>
      <c r="AL91" s="8"/>
      <c r="AM91" s="8"/>
      <c r="AN91" s="8"/>
      <c r="AO91" s="8"/>
      <c r="AP91" s="8"/>
      <c r="AQ91" s="8"/>
      <c r="AR91" s="8"/>
    </row>
    <row r="92" spans="1:44" hidden="1" outlineLevel="1">
      <c r="A92" t="s">
        <v>82</v>
      </c>
      <c r="Y92" s="8"/>
      <c r="Z92" s="8"/>
      <c r="AA92" s="8"/>
      <c r="AB92" s="8"/>
      <c r="AC92" s="8"/>
      <c r="AD92" s="8"/>
      <c r="AE92" s="8"/>
      <c r="AF92" s="8">
        <f>+AF$16</f>
        <v>69714.329717914516</v>
      </c>
      <c r="AG92" s="8">
        <f>+AF92</f>
        <v>69714.329717914516</v>
      </c>
      <c r="AH92" s="8"/>
      <c r="AI92" s="8"/>
      <c r="AJ92" s="8"/>
      <c r="AK92" s="8"/>
      <c r="AL92" s="8"/>
      <c r="AM92" s="8"/>
      <c r="AN92" s="8"/>
      <c r="AO92" s="8"/>
      <c r="AP92" s="8"/>
      <c r="AQ92" s="8"/>
      <c r="AR92" s="8"/>
    </row>
    <row r="93" spans="1:44" hidden="1" outlineLevel="1">
      <c r="A93" t="s">
        <v>83</v>
      </c>
      <c r="Y93" s="8"/>
      <c r="Z93" s="8"/>
      <c r="AA93" s="8"/>
      <c r="AB93" s="8"/>
      <c r="AC93" s="8"/>
      <c r="AD93" s="8"/>
      <c r="AE93" s="8"/>
      <c r="AF93" s="8"/>
      <c r="AG93" s="8">
        <f>+AG$16</f>
        <v>75539.11353364143</v>
      </c>
      <c r="AH93" s="8"/>
      <c r="AI93" s="8"/>
      <c r="AJ93" s="8"/>
      <c r="AK93" s="8"/>
      <c r="AL93" s="8"/>
      <c r="AM93" s="8"/>
      <c r="AN93" s="8"/>
      <c r="AO93" s="8"/>
      <c r="AP93" s="8"/>
      <c r="AQ93" s="8"/>
      <c r="AR93" s="8"/>
    </row>
    <row r="94" spans="1:44" hidden="1" outlineLevel="1">
      <c r="A94" t="s">
        <v>764</v>
      </c>
      <c r="Y94" s="8"/>
      <c r="Z94" s="8"/>
      <c r="AA94" s="8"/>
      <c r="AB94" s="8"/>
      <c r="AC94" s="8"/>
      <c r="AD94" s="8"/>
      <c r="AE94" s="8"/>
      <c r="AF94" s="8"/>
      <c r="AG94" s="8"/>
      <c r="AH94" s="8"/>
      <c r="AI94" s="8"/>
      <c r="AJ94" s="8"/>
      <c r="AK94" s="8"/>
      <c r="AL94" s="8"/>
      <c r="AM94" s="8"/>
      <c r="AN94" s="8"/>
      <c r="AO94" s="8"/>
      <c r="AP94" s="8"/>
      <c r="AQ94" s="8"/>
      <c r="AR94" s="8"/>
    </row>
    <row r="95" spans="1:44" hidden="1" outlineLevel="1"/>
    <row r="96" spans="1:44" ht="10.5" hidden="1" outlineLevel="1">
      <c r="A96" s="45" t="s">
        <v>775</v>
      </c>
    </row>
    <row r="97" spans="1:38" hidden="1" outlineLevel="1">
      <c r="A97" t="str">
        <f>+A64</f>
        <v>FY07 and prior</v>
      </c>
      <c r="D97" s="8">
        <f>+SUM($C19:D19)</f>
        <v>1873.2</v>
      </c>
      <c r="E97" s="8">
        <f>+SUM($C19:E19)</f>
        <v>3746.4</v>
      </c>
      <c r="F97" s="8">
        <f>+SUM($C19:F19)</f>
        <v>5619.6</v>
      </c>
      <c r="G97" s="8">
        <f>+SUM($C19:G19)</f>
        <v>7492.8</v>
      </c>
      <c r="H97" s="8">
        <f>+SUM($C19:H19)</f>
        <v>9366</v>
      </c>
      <c r="I97" s="8">
        <f>+SUM($C19:I19)</f>
        <v>9366</v>
      </c>
      <c r="J97" s="8">
        <f>+SUM($C19:J19)</f>
        <v>9366</v>
      </c>
      <c r="K97" s="8">
        <f>+SUM($C19:K19)</f>
        <v>9366</v>
      </c>
      <c r="L97" s="8">
        <f>+SUM($C19:L19)</f>
        <v>9366</v>
      </c>
      <c r="M97" s="8">
        <f>+SUM($C19:M19)</f>
        <v>9366</v>
      </c>
      <c r="N97" s="8">
        <f>+SUM($C19:N19)</f>
        <v>9366</v>
      </c>
      <c r="O97" s="8">
        <f>+SUM($C19:O19)</f>
        <v>9366</v>
      </c>
      <c r="P97" s="8">
        <f>+SUM($C19:P19)</f>
        <v>9366</v>
      </c>
      <c r="Q97" s="8">
        <f>+SUM($C19:Q19)</f>
        <v>9366</v>
      </c>
      <c r="R97" s="8">
        <f>+SUM($C19:R19)</f>
        <v>9366</v>
      </c>
      <c r="S97" s="8">
        <f>+SUM($C19:S19)</f>
        <v>9366</v>
      </c>
      <c r="T97" s="8">
        <f>+SUM($C19:T19)</f>
        <v>9366</v>
      </c>
      <c r="U97" s="8">
        <f>+SUM($C19:U19)</f>
        <v>9366</v>
      </c>
      <c r="V97" s="8">
        <f>+SUM($C19:V19)</f>
        <v>9366</v>
      </c>
      <c r="W97" s="8">
        <f>+SUM($C19:W19)</f>
        <v>9366</v>
      </c>
      <c r="X97" s="8">
        <f>+SUM($C19:X19)</f>
        <v>9366</v>
      </c>
      <c r="Y97" s="8">
        <f>+SUM($C19:Y19)</f>
        <v>9366</v>
      </c>
      <c r="Z97" s="8">
        <f>+SUM($C19:Z19)</f>
        <v>9366</v>
      </c>
      <c r="AA97" s="8">
        <f>+SUM($C19:AA19)</f>
        <v>9366</v>
      </c>
      <c r="AB97" s="8">
        <f>+SUM($C19:AB19)</f>
        <v>9366</v>
      </c>
      <c r="AC97" s="8">
        <f>+SUM($C19:AC19)</f>
        <v>9366</v>
      </c>
      <c r="AD97" s="8">
        <f>+SUM($C19:AD19)</f>
        <v>9366</v>
      </c>
      <c r="AE97" s="8">
        <f>+SUM($C19:AE19)</f>
        <v>9366</v>
      </c>
      <c r="AF97" s="8">
        <f>+SUM($C19:AF19)</f>
        <v>9366</v>
      </c>
      <c r="AG97" s="8">
        <f>+SUM($C19:AG19)</f>
        <v>9366</v>
      </c>
    </row>
    <row r="98" spans="1:38" hidden="1" outlineLevel="1">
      <c r="A98" t="s">
        <v>249</v>
      </c>
      <c r="E98" s="8">
        <f>+SUM($C20:E20)</f>
        <v>635.6</v>
      </c>
      <c r="F98" s="8">
        <f>+SUM($C20:F20)</f>
        <v>1271.2</v>
      </c>
      <c r="G98" s="8">
        <f>+SUM($C20:G20)</f>
        <v>1906.8000000000002</v>
      </c>
      <c r="H98" s="8">
        <f>+SUM($C20:H20)</f>
        <v>2542.4</v>
      </c>
      <c r="I98" s="8">
        <f>+SUM($C20:I20)</f>
        <v>3178</v>
      </c>
      <c r="J98" s="8">
        <f>+SUM($C20:J20)</f>
        <v>3178</v>
      </c>
      <c r="K98" s="8">
        <f>+SUM($C20:K20)</f>
        <v>3178</v>
      </c>
      <c r="L98" s="8">
        <f>+SUM($C20:L20)</f>
        <v>3178</v>
      </c>
      <c r="M98" s="8">
        <f>+SUM($C20:M20)</f>
        <v>3178</v>
      </c>
      <c r="N98" s="8">
        <f>+SUM($C20:N20)</f>
        <v>3178</v>
      </c>
      <c r="O98" s="8">
        <f>+SUM($C20:O20)</f>
        <v>3178</v>
      </c>
      <c r="P98" s="8">
        <f>+SUM($C20:P20)</f>
        <v>3178</v>
      </c>
      <c r="Q98" s="8">
        <f>+SUM($C20:Q20)</f>
        <v>3178</v>
      </c>
      <c r="R98" s="8">
        <f>+SUM($C20:R20)</f>
        <v>3178</v>
      </c>
      <c r="S98" s="8">
        <f>+SUM($C20:S20)</f>
        <v>3178</v>
      </c>
      <c r="T98" s="8">
        <f>+SUM($C20:T20)</f>
        <v>3178</v>
      </c>
      <c r="U98" s="8">
        <f>+SUM($C20:U20)</f>
        <v>3178</v>
      </c>
      <c r="V98" s="8">
        <f>+SUM($C20:V20)</f>
        <v>3178</v>
      </c>
      <c r="W98" s="8">
        <f>+SUM($C20:W20)</f>
        <v>3178</v>
      </c>
      <c r="X98" s="8">
        <f>+SUM($C20:X20)</f>
        <v>3178</v>
      </c>
      <c r="Y98" s="8">
        <f>+SUM($C20:Y20)</f>
        <v>3178</v>
      </c>
      <c r="Z98" s="8">
        <f>+SUM($C20:Z20)</f>
        <v>3178</v>
      </c>
      <c r="AA98" s="8">
        <f>+SUM($C20:AA20)</f>
        <v>3178</v>
      </c>
      <c r="AB98" s="8">
        <f>+SUM($C20:AB20)</f>
        <v>3178</v>
      </c>
      <c r="AC98" s="8">
        <f>+SUM($C20:AC20)</f>
        <v>3178</v>
      </c>
      <c r="AD98" s="8">
        <f>+SUM($C20:AD20)</f>
        <v>3178</v>
      </c>
      <c r="AE98" s="8">
        <f>+SUM($C20:AE20)</f>
        <v>3178</v>
      </c>
      <c r="AF98" s="8">
        <f>+SUM($C20:AF20)</f>
        <v>3178</v>
      </c>
      <c r="AG98" s="8">
        <f>+SUM($C20:AG20)</f>
        <v>3178</v>
      </c>
    </row>
    <row r="99" spans="1:38" hidden="1" outlineLevel="1">
      <c r="A99" t="s">
        <v>250</v>
      </c>
      <c r="F99" s="8">
        <f>+SUM($C21:F21)</f>
        <v>507.6</v>
      </c>
      <c r="G99" s="8">
        <f>+SUM($C21:G21)</f>
        <v>1015.2</v>
      </c>
      <c r="H99" s="8">
        <f>+SUM($C21:H21)</f>
        <v>1522.8000000000002</v>
      </c>
      <c r="I99" s="8">
        <f>+SUM($C21:I21)</f>
        <v>2030.4</v>
      </c>
      <c r="J99" s="8">
        <f>+SUM($C21:J21)</f>
        <v>2538</v>
      </c>
      <c r="K99" s="8">
        <f>+SUM($C21:K21)</f>
        <v>2538</v>
      </c>
      <c r="L99" s="8">
        <f>+SUM($C21:L21)</f>
        <v>2538</v>
      </c>
      <c r="M99" s="8">
        <f>+SUM($C21:M21)</f>
        <v>2538</v>
      </c>
      <c r="N99" s="8">
        <f>+SUM($C21:N21)</f>
        <v>2538</v>
      </c>
      <c r="O99" s="8">
        <f>+SUM($C21:O21)</f>
        <v>2538</v>
      </c>
      <c r="P99" s="8">
        <f>+SUM($C21:P21)</f>
        <v>2538</v>
      </c>
      <c r="Q99" s="8">
        <f>+SUM($C21:Q21)</f>
        <v>2538</v>
      </c>
      <c r="R99" s="8">
        <f>+SUM($C21:R21)</f>
        <v>2538</v>
      </c>
      <c r="S99" s="8">
        <f>+SUM($C21:S21)</f>
        <v>2538</v>
      </c>
      <c r="T99" s="8">
        <f>+SUM($C21:T21)</f>
        <v>2538</v>
      </c>
      <c r="U99" s="8">
        <f>+SUM($C21:U21)</f>
        <v>2538</v>
      </c>
      <c r="V99" s="8">
        <f>+SUM($C21:V21)</f>
        <v>2538</v>
      </c>
      <c r="W99" s="8">
        <f>+SUM($C21:W21)</f>
        <v>2538</v>
      </c>
      <c r="X99" s="8">
        <f>+SUM($C21:X21)</f>
        <v>2538</v>
      </c>
      <c r="Y99" s="8">
        <f>+SUM($C21:Y21)</f>
        <v>2538</v>
      </c>
      <c r="Z99" s="8">
        <f>+SUM($C21:Z21)</f>
        <v>2538</v>
      </c>
      <c r="AA99" s="8">
        <f>+SUM($C21:AA21)</f>
        <v>2538</v>
      </c>
      <c r="AB99" s="8">
        <f>+SUM($C21:AB21)</f>
        <v>2538</v>
      </c>
      <c r="AC99" s="8">
        <f>+SUM($C21:AC21)</f>
        <v>2538</v>
      </c>
      <c r="AD99" s="8">
        <f>+SUM($C21:AD21)</f>
        <v>2538</v>
      </c>
      <c r="AE99" s="8">
        <f>+SUM($C21:AE21)</f>
        <v>2538</v>
      </c>
      <c r="AF99" s="8">
        <f>+SUM($C21:AF21)</f>
        <v>2538</v>
      </c>
      <c r="AG99" s="8">
        <f>+SUM($C21:AG21)</f>
        <v>2538</v>
      </c>
    </row>
    <row r="100" spans="1:38" hidden="1" outlineLevel="1">
      <c r="A100" t="s">
        <v>251</v>
      </c>
      <c r="G100" s="8">
        <f>+SUM($C22:G22)</f>
        <v>235.4</v>
      </c>
      <c r="H100" s="8">
        <f>+SUM($C22:H22)</f>
        <v>470.8</v>
      </c>
      <c r="I100" s="8">
        <f>+SUM($C22:I22)</f>
        <v>706.2</v>
      </c>
      <c r="J100" s="8">
        <f>+SUM($C22:J22)</f>
        <v>941.6</v>
      </c>
      <c r="K100" s="8">
        <f>+SUM($C22:K22)</f>
        <v>1177</v>
      </c>
      <c r="L100" s="8">
        <f>+SUM($C22:L22)</f>
        <v>1177</v>
      </c>
      <c r="M100" s="8">
        <f>+SUM($C22:M22)</f>
        <v>1177</v>
      </c>
      <c r="N100" s="8">
        <f>+SUM($C22:N22)</f>
        <v>1177</v>
      </c>
      <c r="O100" s="8">
        <f>+SUM($C22:O22)</f>
        <v>1177</v>
      </c>
      <c r="P100" s="8">
        <f>+SUM($C22:P22)</f>
        <v>1177</v>
      </c>
      <c r="Q100" s="8">
        <f>+SUM($C22:Q22)</f>
        <v>1177</v>
      </c>
      <c r="R100" s="8">
        <f>+SUM($C22:R22)</f>
        <v>1177</v>
      </c>
      <c r="S100" s="8">
        <f>+SUM($C22:S22)</f>
        <v>1177</v>
      </c>
      <c r="T100" s="8">
        <f>+SUM($C22:T22)</f>
        <v>1177</v>
      </c>
      <c r="U100" s="8">
        <f>+SUM($C22:U22)</f>
        <v>1177</v>
      </c>
      <c r="V100" s="8">
        <f>+SUM($C22:V22)</f>
        <v>1177</v>
      </c>
      <c r="W100" s="8">
        <f>+SUM($C22:W22)</f>
        <v>1177</v>
      </c>
      <c r="X100" s="8">
        <f>+SUM($C22:X22)</f>
        <v>1177</v>
      </c>
      <c r="Y100" s="8">
        <f>+SUM($C22:Y22)</f>
        <v>1177</v>
      </c>
      <c r="Z100" s="8">
        <f>+SUM($C22:Z22)</f>
        <v>1177</v>
      </c>
      <c r="AA100" s="8">
        <f>+SUM($C22:AA22)</f>
        <v>1177</v>
      </c>
      <c r="AB100" s="8">
        <f>+SUM($C22:AB22)</f>
        <v>1177</v>
      </c>
      <c r="AC100" s="8">
        <f>+SUM($C22:AC22)</f>
        <v>1177</v>
      </c>
      <c r="AD100" s="8">
        <f>+SUM($C22:AD22)</f>
        <v>1177</v>
      </c>
      <c r="AE100" s="8">
        <f>+SUM($C22:AE22)</f>
        <v>1177</v>
      </c>
      <c r="AF100" s="8">
        <f>+SUM($C22:AF22)</f>
        <v>1177</v>
      </c>
      <c r="AG100" s="8">
        <f>+SUM($C22:AG22)</f>
        <v>1177</v>
      </c>
    </row>
    <row r="101" spans="1:38" hidden="1" outlineLevel="1">
      <c r="A101" t="s">
        <v>252</v>
      </c>
      <c r="H101" s="8">
        <f>+SUM($C23:H23)</f>
        <v>346.4</v>
      </c>
      <c r="I101" s="8">
        <f>+SUM($C23:I23)</f>
        <v>692.8</v>
      </c>
      <c r="J101" s="8">
        <f>+SUM($C23:J23)</f>
        <v>1039.1999999999998</v>
      </c>
      <c r="K101" s="8">
        <f>+SUM($C23:K23)</f>
        <v>1385.6</v>
      </c>
      <c r="L101" s="8">
        <f>+SUM($C23:L23)</f>
        <v>1732</v>
      </c>
      <c r="M101" s="8">
        <f>+SUM($C23:M23)</f>
        <v>1732</v>
      </c>
      <c r="N101" s="8">
        <f>+SUM($C23:N23)</f>
        <v>1732</v>
      </c>
      <c r="O101" s="8">
        <f>+SUM($C23:O23)</f>
        <v>1732</v>
      </c>
      <c r="P101" s="8">
        <f>+SUM($C23:P23)</f>
        <v>1732</v>
      </c>
      <c r="Q101" s="8">
        <f>+SUM($C23:Q23)</f>
        <v>1732</v>
      </c>
      <c r="R101" s="8">
        <f>+SUM($C23:R23)</f>
        <v>1732</v>
      </c>
      <c r="S101" s="8">
        <f>+SUM($C23:S23)</f>
        <v>1732</v>
      </c>
      <c r="T101" s="8">
        <f>+SUM($C23:T23)</f>
        <v>1732</v>
      </c>
      <c r="U101" s="8">
        <f>+SUM($C23:U23)</f>
        <v>1732</v>
      </c>
      <c r="V101" s="8">
        <f>+SUM($C23:V23)</f>
        <v>1732</v>
      </c>
      <c r="W101" s="8">
        <f>+SUM($C23:W23)</f>
        <v>1732</v>
      </c>
      <c r="X101" s="8">
        <f>+SUM($C23:X23)</f>
        <v>1732</v>
      </c>
      <c r="Y101" s="8">
        <f>+SUM($C23:Y23)</f>
        <v>1732</v>
      </c>
      <c r="Z101" s="8">
        <f>+SUM($C23:Z23)</f>
        <v>1732</v>
      </c>
      <c r="AA101" s="8">
        <f>+SUM($C23:AA23)</f>
        <v>1732</v>
      </c>
      <c r="AB101" s="8">
        <f>+SUM($C23:AB23)</f>
        <v>1732</v>
      </c>
      <c r="AC101" s="8">
        <f>+SUM($C23:AC23)</f>
        <v>1732</v>
      </c>
      <c r="AD101" s="8">
        <f>+SUM($C23:AD23)</f>
        <v>1732</v>
      </c>
      <c r="AE101" s="8">
        <f>+SUM($C23:AE23)</f>
        <v>1732</v>
      </c>
      <c r="AF101" s="8">
        <f>+SUM($C23:AF23)</f>
        <v>1732</v>
      </c>
      <c r="AG101" s="8">
        <f>+SUM($C23:AG23)</f>
        <v>1732</v>
      </c>
    </row>
    <row r="102" spans="1:38" hidden="1" outlineLevel="1">
      <c r="A102" t="s">
        <v>253</v>
      </c>
      <c r="I102" s="8">
        <f>+SUM($C24:I24)</f>
        <v>248</v>
      </c>
      <c r="J102" s="8">
        <f>+SUM($C24:J24)</f>
        <v>496</v>
      </c>
      <c r="K102" s="8">
        <f>+SUM($C24:K24)</f>
        <v>744</v>
      </c>
      <c r="L102" s="8">
        <f>+SUM($C24:L24)</f>
        <v>992</v>
      </c>
      <c r="M102" s="8">
        <f>+SUM($C24:M24)</f>
        <v>1240</v>
      </c>
      <c r="N102" s="8">
        <f>+SUM($C24:N24)</f>
        <v>1240</v>
      </c>
      <c r="O102" s="8">
        <f>+SUM($C24:O24)</f>
        <v>1240</v>
      </c>
      <c r="P102" s="8">
        <f>+SUM($C24:P24)</f>
        <v>1240</v>
      </c>
      <c r="Q102" s="8">
        <f>+SUM($C24:Q24)</f>
        <v>1240</v>
      </c>
      <c r="R102" s="8">
        <f>+SUM($C24:R24)</f>
        <v>1240</v>
      </c>
      <c r="S102" s="8">
        <f>+SUM($C24:S24)</f>
        <v>1240</v>
      </c>
      <c r="T102" s="8">
        <f>+SUM($C24:T24)</f>
        <v>1240</v>
      </c>
      <c r="U102" s="8">
        <f>+SUM($C24:U24)</f>
        <v>1240</v>
      </c>
      <c r="V102" s="8">
        <f>+SUM($C24:V24)</f>
        <v>1240</v>
      </c>
      <c r="W102" s="8">
        <f>+SUM($C24:W24)</f>
        <v>1240</v>
      </c>
      <c r="X102" s="8">
        <f>+SUM($C24:X24)</f>
        <v>1240</v>
      </c>
      <c r="Y102" s="8">
        <f>+SUM($C24:Y24)</f>
        <v>1240</v>
      </c>
      <c r="Z102" s="8">
        <f>+SUM($C24:Z24)</f>
        <v>1240</v>
      </c>
      <c r="AA102" s="8">
        <f>+SUM($C24:AA24)</f>
        <v>1240</v>
      </c>
      <c r="AB102" s="8">
        <f>+SUM($C24:AB24)</f>
        <v>1240</v>
      </c>
      <c r="AC102" s="8">
        <f>+SUM($C24:AC24)</f>
        <v>1240</v>
      </c>
      <c r="AD102" s="8">
        <f>+SUM($C24:AD24)</f>
        <v>1240</v>
      </c>
      <c r="AE102" s="8">
        <f>+SUM($C24:AE24)</f>
        <v>1240</v>
      </c>
      <c r="AF102" s="8">
        <f>+SUM($C24:AF24)</f>
        <v>1240</v>
      </c>
      <c r="AG102" s="8">
        <f>+SUM($C24:AG24)</f>
        <v>1240</v>
      </c>
    </row>
    <row r="103" spans="1:38" hidden="1" outlineLevel="1">
      <c r="A103" t="s">
        <v>254</v>
      </c>
      <c r="J103" s="8">
        <f>+SUM($C25:J25)</f>
        <v>654.6</v>
      </c>
      <c r="K103" s="8">
        <f>+SUM($C25:K25)</f>
        <v>1309.2</v>
      </c>
      <c r="L103" s="8">
        <f>+SUM($C25:L25)</f>
        <v>1963.8000000000002</v>
      </c>
      <c r="M103" s="8">
        <f>+SUM($C25:M25)</f>
        <v>2618.4</v>
      </c>
      <c r="N103" s="8">
        <f>+SUM($C25:N25)</f>
        <v>3273</v>
      </c>
      <c r="O103" s="8">
        <f>+SUM($C25:O25)</f>
        <v>3273</v>
      </c>
      <c r="P103" s="8">
        <f>+SUM($C25:P25)</f>
        <v>3273</v>
      </c>
      <c r="Q103" s="8">
        <f>+SUM($C25:Q25)</f>
        <v>3273</v>
      </c>
      <c r="R103" s="8">
        <f>+SUM($C25:R25)</f>
        <v>3273</v>
      </c>
      <c r="S103" s="8">
        <f>+SUM($C25:S25)</f>
        <v>3273</v>
      </c>
      <c r="T103" s="8">
        <f>+SUM($C25:T25)</f>
        <v>3273</v>
      </c>
      <c r="U103" s="8">
        <f>+SUM($C25:U25)</f>
        <v>3273</v>
      </c>
      <c r="V103" s="8">
        <f>+SUM($C25:V25)</f>
        <v>3273</v>
      </c>
      <c r="W103" s="8">
        <f>+SUM($C25:W25)</f>
        <v>3273</v>
      </c>
      <c r="X103" s="8">
        <f>+SUM($C25:X25)</f>
        <v>3273</v>
      </c>
      <c r="Y103" s="8">
        <f>+SUM($C25:Y25)</f>
        <v>3273</v>
      </c>
      <c r="Z103" s="8">
        <f>+SUM($C25:Z25)</f>
        <v>3273</v>
      </c>
      <c r="AA103" s="8">
        <f>+SUM($C25:AA25)</f>
        <v>3273</v>
      </c>
      <c r="AB103" s="8">
        <f>+SUM($C25:AB25)</f>
        <v>3273</v>
      </c>
      <c r="AC103" s="8">
        <f>+SUM($C25:AC25)</f>
        <v>3273</v>
      </c>
      <c r="AD103" s="8">
        <f>+SUM($C25:AD25)</f>
        <v>3273</v>
      </c>
      <c r="AE103" s="8">
        <f>+SUM($C25:AE25)</f>
        <v>3273</v>
      </c>
      <c r="AF103" s="8">
        <f>+SUM($C25:AF25)</f>
        <v>3273</v>
      </c>
      <c r="AG103" s="8">
        <f>+SUM($C25:AG25)</f>
        <v>3273</v>
      </c>
    </row>
    <row r="104" spans="1:38" hidden="1" outlineLevel="1">
      <c r="A104" t="s">
        <v>255</v>
      </c>
      <c r="K104" s="8">
        <f>+SUM($C26:K26)</f>
        <v>1060</v>
      </c>
      <c r="L104" s="8">
        <f>+SUM($C26:L26)</f>
        <v>2120</v>
      </c>
      <c r="M104" s="8">
        <f>+SUM($C26:M26)</f>
        <v>3180</v>
      </c>
      <c r="N104" s="8">
        <f>+SUM($C26:N26)</f>
        <v>4240</v>
      </c>
      <c r="O104" s="8">
        <f>+SUM($C26:O26)</f>
        <v>5300</v>
      </c>
      <c r="P104" s="8">
        <f>+SUM($C26:P26)</f>
        <v>5300</v>
      </c>
      <c r="Q104" s="8">
        <f>+SUM($C26:Q26)</f>
        <v>5300</v>
      </c>
      <c r="R104" s="8">
        <f>+SUM($C26:R26)</f>
        <v>5300</v>
      </c>
      <c r="S104" s="8">
        <f>+SUM($C26:S26)</f>
        <v>5300</v>
      </c>
      <c r="T104" s="8">
        <f>+SUM($C26:T26)</f>
        <v>5300</v>
      </c>
      <c r="U104" s="8">
        <f>+SUM($C26:U26)</f>
        <v>5300</v>
      </c>
      <c r="V104" s="8">
        <f>+SUM($C26:V26)</f>
        <v>5300</v>
      </c>
      <c r="W104" s="8">
        <f>+SUM($C26:W26)</f>
        <v>5300</v>
      </c>
      <c r="X104" s="8">
        <f>+SUM($C26:X26)</f>
        <v>5300</v>
      </c>
      <c r="Y104" s="8">
        <f>+SUM($C26:Y26)</f>
        <v>5300</v>
      </c>
      <c r="Z104" s="8">
        <f>+SUM($C26:Z26)</f>
        <v>5300</v>
      </c>
      <c r="AA104" s="8">
        <f>+SUM($C26:AA26)</f>
        <v>5300</v>
      </c>
      <c r="AB104" s="8">
        <f>+SUM($C26:AB26)</f>
        <v>5300</v>
      </c>
      <c r="AC104" s="8">
        <f>+SUM($C26:AC26)</f>
        <v>5300</v>
      </c>
      <c r="AD104" s="8">
        <f>+SUM($C26:AD26)</f>
        <v>5300</v>
      </c>
      <c r="AE104" s="8">
        <f>+SUM($C26:AE26)</f>
        <v>5300</v>
      </c>
      <c r="AF104" s="8">
        <f>+SUM($C26:AF26)</f>
        <v>5300</v>
      </c>
      <c r="AG104" s="8">
        <f>+SUM($C26:AG26)</f>
        <v>5300</v>
      </c>
    </row>
    <row r="105" spans="1:38" hidden="1" outlineLevel="1">
      <c r="A105" t="s">
        <v>256</v>
      </c>
      <c r="L105" s="8">
        <f>+SUM($C27:L27)</f>
        <v>906.6</v>
      </c>
      <c r="M105" s="8">
        <f>+SUM($C27:M27)</f>
        <v>1813.2</v>
      </c>
      <c r="N105" s="8">
        <f>+SUM($C27:N27)</f>
        <v>2719.8</v>
      </c>
      <c r="O105" s="8">
        <f>+SUM($C27:O27)</f>
        <v>3626.4</v>
      </c>
      <c r="P105" s="8">
        <f>+SUM($C27:P27)</f>
        <v>4533</v>
      </c>
      <c r="Q105" s="8">
        <f>+SUM($C27:Q27)</f>
        <v>4533</v>
      </c>
      <c r="R105" s="8">
        <f>+SUM($C27:R27)</f>
        <v>4533</v>
      </c>
      <c r="S105" s="8">
        <f>+SUM($C27:S27)</f>
        <v>4533</v>
      </c>
      <c r="T105" s="8">
        <f>+SUM($C27:T27)</f>
        <v>4533</v>
      </c>
      <c r="U105" s="8">
        <f>+SUM($C27:U27)</f>
        <v>4533</v>
      </c>
      <c r="V105" s="8">
        <f>+SUM($C27:V27)</f>
        <v>4533</v>
      </c>
      <c r="W105" s="8">
        <f>+SUM($C27:W27)</f>
        <v>4533</v>
      </c>
      <c r="X105" s="8">
        <f>+SUM($C27:X27)</f>
        <v>4533</v>
      </c>
      <c r="Y105" s="8">
        <f>+SUM($C27:Y27)</f>
        <v>4533</v>
      </c>
      <c r="Z105" s="8">
        <f>+SUM($C27:Z27)</f>
        <v>4533</v>
      </c>
      <c r="AA105" s="8">
        <f>+SUM($C27:AA27)</f>
        <v>4533</v>
      </c>
      <c r="AB105" s="8">
        <f>+SUM($C27:AB27)</f>
        <v>4533</v>
      </c>
      <c r="AC105" s="8">
        <f>+SUM($C27:AC27)</f>
        <v>4533</v>
      </c>
      <c r="AD105" s="8">
        <f>+SUM($C27:AD27)</f>
        <v>4533</v>
      </c>
      <c r="AE105" s="8">
        <f>+SUM($C27:AE27)</f>
        <v>4533</v>
      </c>
      <c r="AF105" s="8">
        <f>+SUM($C27:AF27)</f>
        <v>4533</v>
      </c>
      <c r="AG105" s="8">
        <f>+SUM($C27:AG27)</f>
        <v>4533</v>
      </c>
    </row>
    <row r="106" spans="1:38" hidden="1" outlineLevel="1">
      <c r="A106" t="s">
        <v>257</v>
      </c>
      <c r="M106" s="8">
        <f>+SUM($C28:M28)</f>
        <v>1163.8</v>
      </c>
      <c r="N106" s="8">
        <f>+SUM($C28:N28)</f>
        <v>2327.6</v>
      </c>
      <c r="O106" s="8">
        <f>+SUM($C28:O28)</f>
        <v>3491.3999999999996</v>
      </c>
      <c r="P106" s="8">
        <f>+SUM($C28:P28)</f>
        <v>4655.2</v>
      </c>
      <c r="Q106" s="8">
        <f>+SUM($C28:Q28)</f>
        <v>5819</v>
      </c>
      <c r="R106" s="8">
        <f>+SUM($C28:R28)</f>
        <v>5819</v>
      </c>
      <c r="S106" s="8">
        <f>+SUM($C28:S28)</f>
        <v>5819</v>
      </c>
      <c r="T106" s="8">
        <f>+SUM($C28:T28)</f>
        <v>5819</v>
      </c>
      <c r="U106" s="8">
        <f>+SUM($C28:U28)</f>
        <v>5819</v>
      </c>
      <c r="V106" s="8">
        <f>+SUM($C28:V28)</f>
        <v>5819</v>
      </c>
      <c r="W106" s="8">
        <f>+SUM($C28:W28)</f>
        <v>5819</v>
      </c>
      <c r="X106" s="8">
        <f>+SUM($C28:X28)</f>
        <v>5819</v>
      </c>
      <c r="Y106" s="8">
        <f>+SUM($C28:Y28)</f>
        <v>5819</v>
      </c>
      <c r="Z106" s="8">
        <f>+SUM($C28:Z28)</f>
        <v>5819</v>
      </c>
      <c r="AA106" s="8">
        <f>+SUM($C28:AA28)</f>
        <v>5819</v>
      </c>
      <c r="AB106" s="8">
        <f>+SUM($C28:AB28)</f>
        <v>5819</v>
      </c>
      <c r="AC106" s="8">
        <f>+SUM($C28:AC28)</f>
        <v>5819</v>
      </c>
      <c r="AD106" s="8">
        <f>+SUM($C28:AD28)</f>
        <v>5819</v>
      </c>
      <c r="AE106" s="8">
        <f>+SUM($C28:AE28)</f>
        <v>5819</v>
      </c>
      <c r="AF106" s="8">
        <f>+SUM($C28:AF28)</f>
        <v>5819</v>
      </c>
      <c r="AG106" s="8">
        <f>+SUM($C28:AG28)</f>
        <v>5819</v>
      </c>
    </row>
    <row r="107" spans="1:38" hidden="1" outlineLevel="1">
      <c r="A107" t="s">
        <v>258</v>
      </c>
      <c r="N107" s="8">
        <f>+SUM($C29:N29)</f>
        <v>1951.4</v>
      </c>
      <c r="O107" s="8">
        <f>+SUM($C29:O29)</f>
        <v>3902.8</v>
      </c>
      <c r="P107" s="8">
        <f>+SUM($C29:P29)</f>
        <v>5854.2000000000007</v>
      </c>
      <c r="Q107" s="8">
        <f>+SUM($C29:Q29)</f>
        <v>7805.6</v>
      </c>
      <c r="R107" s="8">
        <f>+SUM($C29:R29)</f>
        <v>9106.5333333333328</v>
      </c>
      <c r="S107" s="8">
        <f>+SUM($C29:S29)</f>
        <v>9757</v>
      </c>
      <c r="T107" s="8">
        <f>+SUM($C29:T29)</f>
        <v>9757</v>
      </c>
      <c r="U107" s="8">
        <f>+SUM($C29:U29)</f>
        <v>9757</v>
      </c>
      <c r="V107" s="8">
        <f>+SUM($C29:V29)</f>
        <v>9757</v>
      </c>
      <c r="W107" s="8">
        <f>+SUM($C29:W29)</f>
        <v>9757</v>
      </c>
      <c r="X107" s="8">
        <f>+SUM($C29:X29)</f>
        <v>9757</v>
      </c>
      <c r="Y107" s="8">
        <f>+SUM($C29:Y29)</f>
        <v>9757</v>
      </c>
      <c r="Z107" s="8">
        <f>+SUM($C29:Z29)</f>
        <v>9757</v>
      </c>
      <c r="AA107" s="8">
        <f>+SUM($C29:AA29)</f>
        <v>9757</v>
      </c>
      <c r="AB107" s="8">
        <f>+SUM($C29:AB29)</f>
        <v>9757</v>
      </c>
      <c r="AC107" s="8">
        <f>+SUM($C29:AC29)</f>
        <v>9757</v>
      </c>
      <c r="AD107" s="8">
        <f>+SUM($C29:AD29)</f>
        <v>9757</v>
      </c>
      <c r="AE107" s="8">
        <f>+SUM($C29:AE29)</f>
        <v>9757</v>
      </c>
      <c r="AF107" s="8">
        <f>+SUM($C29:AF29)</f>
        <v>9757</v>
      </c>
      <c r="AG107" s="8">
        <f>+SUM($C29:AG29)</f>
        <v>9757</v>
      </c>
    </row>
    <row r="108" spans="1:38" hidden="1" outlineLevel="1">
      <c r="A108" t="s">
        <v>259</v>
      </c>
      <c r="O108" s="8">
        <f>+SUM($C30:O30)</f>
        <v>2154</v>
      </c>
      <c r="P108" s="8">
        <f>+SUM($C30:P30)</f>
        <v>4308</v>
      </c>
      <c r="Q108" s="8">
        <f>+SUM($C30:Q30)</f>
        <v>6462</v>
      </c>
      <c r="R108" s="8">
        <f>+SUM($C30:R30)</f>
        <v>7898</v>
      </c>
      <c r="S108" s="8">
        <f>+SUM($C30:S30)</f>
        <v>9334</v>
      </c>
      <c r="T108" s="8">
        <f>+SUM($C30:T30)</f>
        <v>10467.684210526317</v>
      </c>
      <c r="U108" s="8">
        <f>+SUM($C30:U30)</f>
        <v>10770</v>
      </c>
      <c r="V108" s="8">
        <f>+SUM($C30:V30)</f>
        <v>10770</v>
      </c>
      <c r="W108" s="8">
        <f>+SUM($C30:W30)</f>
        <v>10770</v>
      </c>
      <c r="X108" s="8">
        <f>+SUM($C30:X30)</f>
        <v>10770</v>
      </c>
      <c r="Y108" s="8">
        <f>+SUM($C30:Y30)</f>
        <v>10770</v>
      </c>
      <c r="Z108" s="8">
        <f>+SUM($C30:Z30)</f>
        <v>10770</v>
      </c>
      <c r="AA108" s="8">
        <f>+SUM($C30:AA30)</f>
        <v>10770</v>
      </c>
      <c r="AB108" s="8">
        <f>+SUM($C30:AB30)</f>
        <v>10770</v>
      </c>
      <c r="AC108" s="8">
        <f>+SUM($C30:AC30)</f>
        <v>10770</v>
      </c>
      <c r="AD108" s="8">
        <f>+SUM($C30:AD30)</f>
        <v>10770</v>
      </c>
      <c r="AE108" s="8">
        <f>+SUM($C30:AE30)</f>
        <v>10770</v>
      </c>
      <c r="AF108" s="8">
        <f>+SUM($C30:AF30)</f>
        <v>10770</v>
      </c>
      <c r="AG108" s="8">
        <f>+SUM($C30:AG30)</f>
        <v>10770</v>
      </c>
      <c r="AH108" s="8"/>
    </row>
    <row r="109" spans="1:38" hidden="1" outlineLevel="1">
      <c r="A109" t="s">
        <v>260</v>
      </c>
      <c r="P109" s="8">
        <f>+SUM($C31:P31)</f>
        <v>2624.8</v>
      </c>
      <c r="Q109" s="8">
        <f>+SUM($C31:Q31)</f>
        <v>5249.6</v>
      </c>
      <c r="R109" s="8">
        <f>+SUM($C31:R31)</f>
        <v>6999.4666666666672</v>
      </c>
      <c r="S109" s="8">
        <f>+SUM($C31:S31)</f>
        <v>8749.3333333333339</v>
      </c>
      <c r="T109" s="8">
        <f>+SUM($C31:T31)</f>
        <v>10130.807017543861</v>
      </c>
      <c r="U109" s="8">
        <f>+SUM($C31:U31)</f>
        <v>11512.280701754387</v>
      </c>
      <c r="V109" s="8">
        <f>+SUM($C31:V31)</f>
        <v>12893.754385964914</v>
      </c>
      <c r="W109" s="8">
        <f>+SUM($C31:W31)</f>
        <v>13124</v>
      </c>
      <c r="X109" s="8">
        <f>+SUM($C31:X31)</f>
        <v>13124</v>
      </c>
      <c r="Y109" s="8">
        <f>+SUM($C31:Y31)</f>
        <v>13124</v>
      </c>
      <c r="Z109" s="8">
        <f>+SUM($C31:Z31)</f>
        <v>13124</v>
      </c>
      <c r="AA109" s="8">
        <f>+SUM($C31:AA31)</f>
        <v>13124</v>
      </c>
      <c r="AB109" s="8">
        <f>+SUM($C31:AB31)</f>
        <v>13124</v>
      </c>
      <c r="AC109" s="8">
        <f>+SUM($C31:AC31)</f>
        <v>13124</v>
      </c>
      <c r="AD109" s="8">
        <f>+SUM($C31:AD31)</f>
        <v>13124</v>
      </c>
      <c r="AE109" s="8">
        <f>+SUM($C31:AE31)</f>
        <v>13124</v>
      </c>
      <c r="AF109" s="8">
        <f>+SUM($C31:AF31)</f>
        <v>13124</v>
      </c>
      <c r="AG109" s="8">
        <f>+SUM($C31:AG31)</f>
        <v>13124</v>
      </c>
      <c r="AH109" s="8"/>
      <c r="AI109" s="8"/>
    </row>
    <row r="110" spans="1:38" hidden="1" outlineLevel="1">
      <c r="A110" t="s">
        <v>261</v>
      </c>
      <c r="Q110" s="8">
        <f>+SUM($C32:Q32)</f>
        <v>3108.2</v>
      </c>
      <c r="R110" s="8">
        <f>+SUM($C32:R32)</f>
        <v>5180.333333333333</v>
      </c>
      <c r="S110" s="8">
        <f>+SUM($C32:S32)</f>
        <v>7252.4666666666662</v>
      </c>
      <c r="T110" s="8">
        <f>+SUM($C32:T32)</f>
        <v>8888.3614035087721</v>
      </c>
      <c r="U110" s="8">
        <f>+SUM($C32:U32)</f>
        <v>10524.256140350877</v>
      </c>
      <c r="V110" s="8">
        <f>+SUM($C32:V32)</f>
        <v>12160.150877192982</v>
      </c>
      <c r="W110" s="8">
        <f>+SUM($C32:W32)</f>
        <v>13796.045614035087</v>
      </c>
      <c r="X110" s="8">
        <f>+SUM($C32:X32)</f>
        <v>15431.940350877192</v>
      </c>
      <c r="Y110" s="8">
        <f>+SUM($C32:Y32)</f>
        <v>15541</v>
      </c>
      <c r="Z110" s="8">
        <f>+SUM($C32:Z32)</f>
        <v>15541</v>
      </c>
      <c r="AA110" s="8">
        <f>+SUM($C32:AA32)</f>
        <v>15541</v>
      </c>
      <c r="AB110" s="8">
        <f>+SUM($C32:AB32)</f>
        <v>15541</v>
      </c>
      <c r="AC110" s="8">
        <f>+SUM($C32:AC32)</f>
        <v>15541</v>
      </c>
      <c r="AD110" s="8">
        <f>+SUM($C32:AD32)</f>
        <v>15541</v>
      </c>
      <c r="AE110" s="8">
        <f>+SUM($C32:AE32)</f>
        <v>15541</v>
      </c>
      <c r="AF110" s="8">
        <f>+SUM($C32:AF32)</f>
        <v>15541</v>
      </c>
      <c r="AG110" s="8">
        <f>+SUM($C32:AG32)</f>
        <v>15541</v>
      </c>
      <c r="AH110" s="8"/>
      <c r="AI110" s="8"/>
      <c r="AJ110" s="8"/>
    </row>
    <row r="111" spans="1:38" hidden="1" outlineLevel="1">
      <c r="A111" t="s">
        <v>262</v>
      </c>
      <c r="R111" s="8">
        <f>+SUM($C33:R33)</f>
        <v>3162.4</v>
      </c>
      <c r="S111" s="8">
        <f>+SUM($C33:S33)</f>
        <v>6324.8</v>
      </c>
      <c r="T111" s="8">
        <f>+SUM($C33:T33)</f>
        <v>8821.4315789473694</v>
      </c>
      <c r="U111" s="8">
        <f>+SUM($C33:U33)</f>
        <v>11318.063157894738</v>
      </c>
      <c r="V111" s="8">
        <f>+SUM($C33:V33)</f>
        <v>13814.694736842106</v>
      </c>
      <c r="W111" s="8">
        <f>+SUM($C33:W33)</f>
        <v>16311.326315789474</v>
      </c>
      <c r="X111" s="8">
        <f>+SUM($C33:X33)</f>
        <v>18807.957894736843</v>
      </c>
      <c r="Y111" s="8">
        <f>+SUM($C33:Y33)</f>
        <v>21304.589473684209</v>
      </c>
      <c r="Z111" s="8">
        <f>+SUM($C33:Z33)</f>
        <v>23718</v>
      </c>
      <c r="AA111" s="8">
        <f>+SUM($C33:AA33)</f>
        <v>23718</v>
      </c>
      <c r="AB111" s="8">
        <f>+SUM($C33:AB33)</f>
        <v>23718</v>
      </c>
      <c r="AC111" s="8">
        <f>+SUM($C33:AC33)</f>
        <v>23718</v>
      </c>
      <c r="AD111" s="8">
        <f>+SUM($C33:AD33)</f>
        <v>23718</v>
      </c>
      <c r="AE111" s="8">
        <f>+SUM($C33:AE33)</f>
        <v>23718</v>
      </c>
      <c r="AF111" s="8">
        <f>+SUM($C33:AF33)</f>
        <v>23718</v>
      </c>
      <c r="AG111" s="8">
        <f>+SUM($C33:AG33)</f>
        <v>23718</v>
      </c>
      <c r="AH111" s="8"/>
      <c r="AI111" s="8"/>
      <c r="AJ111" s="8"/>
      <c r="AK111" s="8"/>
    </row>
    <row r="112" spans="1:38" hidden="1" outlineLevel="1">
      <c r="A112" t="s">
        <v>109</v>
      </c>
      <c r="S112" s="8">
        <f>+SUM($C34:S34)</f>
        <v>3065.6</v>
      </c>
      <c r="T112" s="8">
        <f>+SUM($C34:T34)</f>
        <v>5485.8105263157895</v>
      </c>
      <c r="U112" s="8">
        <f>+SUM($C34:U34)</f>
        <v>7906.0210526315786</v>
      </c>
      <c r="V112" s="8">
        <f>+SUM($C34:V34)</f>
        <v>10326.231578947369</v>
      </c>
      <c r="W112" s="8">
        <f>+SUM($C34:W34)</f>
        <v>12746.442105263159</v>
      </c>
      <c r="X112" s="8">
        <f>+SUM($C34:X34)</f>
        <v>15166.652631578949</v>
      </c>
      <c r="Y112" s="8">
        <f>+SUM($C34:Y34)</f>
        <v>17586.863157894739</v>
      </c>
      <c r="Z112" s="8">
        <f>+SUM($C34:Z34)</f>
        <v>20007.073684210529</v>
      </c>
      <c r="AA112" s="8">
        <f>+SUM($C34:AA34)</f>
        <v>22427.284210526319</v>
      </c>
      <c r="AB112" s="8">
        <f>+SUM($C34:AB34)</f>
        <v>22992</v>
      </c>
      <c r="AC112" s="8">
        <f>+SUM($C34:AC34)</f>
        <v>22992</v>
      </c>
      <c r="AD112" s="8">
        <f>+SUM($C34:AD34)</f>
        <v>22992</v>
      </c>
      <c r="AE112" s="8">
        <f>+SUM($C34:AE34)</f>
        <v>22992</v>
      </c>
      <c r="AF112" s="8">
        <f>+SUM($C34:AF34)</f>
        <v>22992</v>
      </c>
      <c r="AG112" s="8">
        <f>+SUM($C34:AG34)</f>
        <v>22992</v>
      </c>
      <c r="AH112" s="8"/>
      <c r="AI112" s="8"/>
      <c r="AJ112" s="8"/>
      <c r="AK112" s="8"/>
      <c r="AL112" s="8"/>
    </row>
    <row r="113" spans="1:44" hidden="1" outlineLevel="1">
      <c r="A113" t="s">
        <v>191</v>
      </c>
      <c r="T113" s="8">
        <f>+SUM($C35:T35)</f>
        <v>3140.4210526315787</v>
      </c>
      <c r="U113" s="8">
        <f>+SUM($C35:U35)</f>
        <v>6280.8421052631575</v>
      </c>
      <c r="V113" s="8">
        <f>+SUM($C35:V35)</f>
        <v>9421.2631578947367</v>
      </c>
      <c r="W113" s="8">
        <f>+SUM($C35:W35)</f>
        <v>12561.684210526315</v>
      </c>
      <c r="X113" s="8">
        <f>+SUM($C35:X35)</f>
        <v>15702.105263157893</v>
      </c>
      <c r="Y113" s="8">
        <f>+SUM($C35:Y35)</f>
        <v>18842.526315789473</v>
      </c>
      <c r="Z113" s="8">
        <f>+SUM($C35:Z35)</f>
        <v>21982.947368421053</v>
      </c>
      <c r="AA113" s="8">
        <f>+SUM($C35:AA35)</f>
        <v>25123.368421052633</v>
      </c>
      <c r="AB113" s="8">
        <f>+SUM($C35:AB35)</f>
        <v>28263.789473684214</v>
      </c>
      <c r="AC113" s="8">
        <f>+SUM($C35:AC35)</f>
        <v>29834</v>
      </c>
      <c r="AD113" s="8">
        <f>+SUM($C35:AD35)</f>
        <v>29834</v>
      </c>
      <c r="AE113" s="8">
        <f>+SUM($C35:AE35)</f>
        <v>29834</v>
      </c>
      <c r="AF113" s="8">
        <f>+SUM($C35:AF35)</f>
        <v>29834</v>
      </c>
      <c r="AG113" s="8">
        <f>+SUM($C35:AG35)</f>
        <v>29834</v>
      </c>
      <c r="AH113" s="8"/>
      <c r="AI113" s="8"/>
      <c r="AJ113" s="8"/>
      <c r="AK113" s="8"/>
      <c r="AL113" s="8"/>
      <c r="AM113" s="8"/>
    </row>
    <row r="114" spans="1:44" hidden="1" outlineLevel="1">
      <c r="A114" t="s">
        <v>192</v>
      </c>
      <c r="V114" s="8">
        <f>+SUM($C36:V36)</f>
        <v>10130.526315789473</v>
      </c>
      <c r="W114" s="8">
        <f>+SUM($C36:W36)</f>
        <v>15195.78947368421</v>
      </c>
      <c r="X114" s="8">
        <f>+SUM($C36:X36)</f>
        <v>20261.052631578947</v>
      </c>
      <c r="Y114" s="8">
        <f>+SUM($C36:Y36)</f>
        <v>25326.315789473683</v>
      </c>
      <c r="Z114" s="8">
        <f>+SUM($C36:Z36)</f>
        <v>30391.57894736842</v>
      </c>
      <c r="AA114" s="8">
        <f>+SUM($C36:AA36)</f>
        <v>35456.84210526316</v>
      </c>
      <c r="AB114" s="8">
        <f>+SUM($C36:AB36)</f>
        <v>40522.105263157893</v>
      </c>
      <c r="AC114" s="8">
        <f>+SUM($C36:AC36)</f>
        <v>45587.368421052626</v>
      </c>
      <c r="AD114" s="8">
        <f>+SUM($C36:AD36)</f>
        <v>48120</v>
      </c>
      <c r="AE114" s="8">
        <f>+SUM($C36:AE36)</f>
        <v>48120</v>
      </c>
      <c r="AF114" s="8">
        <f>+SUM($C36:AF36)</f>
        <v>48120</v>
      </c>
      <c r="AG114" s="8">
        <f>+SUM($C36:AG36)</f>
        <v>48120</v>
      </c>
      <c r="AH114" s="8"/>
      <c r="AI114" s="8"/>
      <c r="AJ114" s="8"/>
      <c r="AK114" s="8"/>
      <c r="AL114" s="8"/>
      <c r="AM114" s="8"/>
      <c r="AN114" s="8"/>
    </row>
    <row r="115" spans="1:44" hidden="1" outlineLevel="1">
      <c r="A115" t="s">
        <v>72</v>
      </c>
      <c r="V115" s="8">
        <f>+SUM($C37:V37)</f>
        <v>7938.9473684210525</v>
      </c>
      <c r="W115" s="8">
        <f>+SUM($C37:W37)</f>
        <v>15877.894736842105</v>
      </c>
      <c r="X115" s="8">
        <f>+SUM($C37:X37)</f>
        <v>23816.842105263157</v>
      </c>
      <c r="Y115" s="8">
        <f>+SUM($C37:Y37)</f>
        <v>31755.78947368421</v>
      </c>
      <c r="Z115" s="8">
        <f>+SUM($C37:Z37)</f>
        <v>39694.73684210526</v>
      </c>
      <c r="AA115" s="8">
        <f>+SUM($C37:AA37)</f>
        <v>47633.684210526313</v>
      </c>
      <c r="AB115" s="8">
        <f>+SUM($C37:AB37)</f>
        <v>55572.631578947367</v>
      </c>
      <c r="AC115" s="8">
        <f>+SUM($C37:AC37)</f>
        <v>63511.57894736842</v>
      </c>
      <c r="AD115" s="8">
        <f>+SUM($C37:AD37)</f>
        <v>71450.526315789466</v>
      </c>
      <c r="AE115" s="8">
        <f>+SUM($C37:AE37)</f>
        <v>75420</v>
      </c>
      <c r="AF115" s="8">
        <f>+SUM($C37:AF37)</f>
        <v>75420</v>
      </c>
      <c r="AG115" s="8">
        <f>+SUM($C37:AG37)</f>
        <v>75420</v>
      </c>
      <c r="AH115" s="8"/>
      <c r="AI115" s="8"/>
      <c r="AJ115" s="8"/>
      <c r="AK115" s="8"/>
      <c r="AL115" s="8"/>
      <c r="AM115" s="8"/>
      <c r="AN115" s="8"/>
      <c r="AO115" s="8"/>
    </row>
    <row r="116" spans="1:44" hidden="1" outlineLevel="1">
      <c r="A116" t="s">
        <v>73</v>
      </c>
      <c r="W116" s="8">
        <f>+SUM($C38:W38)</f>
        <v>6380.1640216898986</v>
      </c>
      <c r="X116" s="8">
        <f>+SUM($C38:X38)</f>
        <v>12760.328043379797</v>
      </c>
      <c r="Y116" s="8">
        <f>+SUM($C38:Y38)</f>
        <v>19140.492065069695</v>
      </c>
      <c r="Z116" s="8">
        <f>+SUM($C38:Z38)</f>
        <v>25520.656086759594</v>
      </c>
      <c r="AA116" s="8">
        <f>+SUM($C38:AA38)</f>
        <v>31900.820108449494</v>
      </c>
      <c r="AB116" s="8">
        <f>+SUM($C38:AB38)</f>
        <v>38280.98413013939</v>
      </c>
      <c r="AC116" s="8">
        <f>+SUM($C38:AC38)</f>
        <v>44661.148151829286</v>
      </c>
      <c r="AD116" s="8">
        <f>+SUM($C38:AD38)</f>
        <v>51041.312173519182</v>
      </c>
      <c r="AE116" s="8">
        <f>+SUM($C38:AE38)</f>
        <v>57421.476195209078</v>
      </c>
      <c r="AF116" s="8">
        <f>+SUM($C38:AF38)</f>
        <v>60611.55820605404</v>
      </c>
      <c r="AG116" s="8">
        <f>+SUM($C38:AG38)</f>
        <v>60611.55820605404</v>
      </c>
      <c r="AH116" s="8"/>
      <c r="AI116" s="8"/>
      <c r="AJ116" s="8"/>
      <c r="AK116" s="8"/>
      <c r="AL116" s="8"/>
      <c r="AM116" s="8"/>
      <c r="AN116" s="8"/>
      <c r="AO116" s="8"/>
      <c r="AP116" s="8"/>
    </row>
    <row r="117" spans="1:44" hidden="1" outlineLevel="1">
      <c r="A117" t="s">
        <v>74</v>
      </c>
      <c r="X117" s="8">
        <f>+SUM($C39:X39)</f>
        <v>6320.2587404032329</v>
      </c>
      <c r="Y117" s="8">
        <f>+SUM($C39:Y39)</f>
        <v>12640.517480806466</v>
      </c>
      <c r="Z117" s="8">
        <f>+SUM($C39:Z39)</f>
        <v>18960.7762212097</v>
      </c>
      <c r="AA117" s="8">
        <f>+SUM($C39:AA39)</f>
        <v>25281.034961612932</v>
      </c>
      <c r="AB117" s="8">
        <f>+SUM($C39:AB39)</f>
        <v>31601.293702016163</v>
      </c>
      <c r="AC117" s="8">
        <f>+SUM($C39:AC39)</f>
        <v>37921.552442419394</v>
      </c>
      <c r="AD117" s="8">
        <f>+SUM($C39:AD39)</f>
        <v>44241.811182822625</v>
      </c>
      <c r="AE117" s="8">
        <f>+SUM($C39:AE39)</f>
        <v>50562.069923225856</v>
      </c>
      <c r="AF117" s="8">
        <f>+SUM($C39:AF39)</f>
        <v>56882.328663629087</v>
      </c>
      <c r="AG117" s="8">
        <f>+SUM($C39:AG39)</f>
        <v>60042.458033830713</v>
      </c>
      <c r="AH117" s="8"/>
      <c r="AI117" s="8"/>
      <c r="AJ117" s="8"/>
      <c r="AK117" s="8"/>
      <c r="AL117" s="8"/>
      <c r="AM117" s="8"/>
      <c r="AN117" s="8"/>
      <c r="AO117" s="8"/>
      <c r="AP117" s="8"/>
      <c r="AQ117" s="8"/>
    </row>
    <row r="118" spans="1:44" hidden="1" outlineLevel="1">
      <c r="A118" t="s">
        <v>75</v>
      </c>
      <c r="Y118" s="8">
        <f>+SUM($C40:Y40)</f>
        <v>6192.365764441899</v>
      </c>
      <c r="Z118" s="8">
        <f>+SUM($C40:Z40)</f>
        <v>12384.731528883798</v>
      </c>
      <c r="AA118" s="8">
        <f>+SUM($C40:AA40)</f>
        <v>18577.097293325696</v>
      </c>
      <c r="AB118" s="8">
        <f>+SUM($C40:AB40)</f>
        <v>24769.463057767596</v>
      </c>
      <c r="AC118" s="8">
        <f>+SUM($C40:AC40)</f>
        <v>30961.828822209496</v>
      </c>
      <c r="AD118" s="8">
        <f>+SUM($C40:AD40)</f>
        <v>37154.194586651392</v>
      </c>
      <c r="AE118" s="8">
        <f>+SUM($C40:AE40)</f>
        <v>43346.560351093292</v>
      </c>
      <c r="AF118" s="8">
        <f>+SUM($C40:AF40)</f>
        <v>49538.926115535192</v>
      </c>
      <c r="AG118" s="8">
        <f>+SUM($C40:AG40)</f>
        <v>55731.291879977092</v>
      </c>
      <c r="AH118" s="8"/>
      <c r="AI118" s="8"/>
      <c r="AJ118" s="8"/>
      <c r="AK118" s="8"/>
      <c r="AL118" s="8"/>
      <c r="AM118" s="8"/>
      <c r="AN118" s="8"/>
      <c r="AO118" s="8"/>
      <c r="AP118" s="8"/>
      <c r="AQ118" s="8"/>
      <c r="AR118" s="8"/>
    </row>
    <row r="119" spans="1:44" hidden="1" outlineLevel="1">
      <c r="A119" t="s">
        <v>76</v>
      </c>
      <c r="Y119" s="8"/>
      <c r="Z119" s="8">
        <f>+SUM($C41:Z41)</f>
        <v>5987.0713020814665</v>
      </c>
      <c r="AA119" s="8">
        <f>+SUM($C41:AA41)</f>
        <v>11974.142604162933</v>
      </c>
      <c r="AB119" s="8">
        <f>+SUM($C41:AB41)</f>
        <v>17961.2139062444</v>
      </c>
      <c r="AC119" s="8">
        <f>+SUM($C41:AC41)</f>
        <v>23948.285208325866</v>
      </c>
      <c r="AD119" s="8">
        <f>+SUM($C41:AD41)</f>
        <v>29935.356510407331</v>
      </c>
      <c r="AE119" s="8">
        <f>+SUM($C41:AE41)</f>
        <v>35922.427812488801</v>
      </c>
      <c r="AF119" s="8">
        <f>+SUM($C41:AF41)</f>
        <v>41909.499114570266</v>
      </c>
      <c r="AG119" s="8">
        <f>+SUM($C41:AG41)</f>
        <v>47896.570416651732</v>
      </c>
      <c r="AH119" s="8"/>
      <c r="AI119" s="8"/>
      <c r="AJ119" s="8"/>
      <c r="AK119" s="8"/>
      <c r="AL119" s="8"/>
      <c r="AM119" s="8"/>
      <c r="AN119" s="8"/>
      <c r="AO119" s="8"/>
      <c r="AP119" s="8"/>
      <c r="AQ119" s="8"/>
      <c r="AR119" s="8"/>
    </row>
    <row r="120" spans="1:44" hidden="1" outlineLevel="1">
      <c r="A120" t="s">
        <v>77</v>
      </c>
      <c r="Y120" s="8"/>
      <c r="Z120" s="8"/>
      <c r="AA120" s="8">
        <f>+SUM($C42:AA42)</f>
        <v>5693.8437235357524</v>
      </c>
      <c r="AB120" s="8">
        <f>+SUM($C42:AB42)</f>
        <v>11387.687447071505</v>
      </c>
      <c r="AC120" s="8">
        <f>+SUM($C42:AC42)</f>
        <v>17081.531170607257</v>
      </c>
      <c r="AD120" s="8">
        <f>+SUM($C42:AD42)</f>
        <v>22775.374894143009</v>
      </c>
      <c r="AE120" s="8">
        <f>+SUM($C42:AE42)</f>
        <v>28469.218617678762</v>
      </c>
      <c r="AF120" s="8">
        <f>+SUM($C42:AF42)</f>
        <v>34163.062341214514</v>
      </c>
      <c r="AG120" s="8">
        <f>+SUM($C42:AG42)</f>
        <v>39856.906064750263</v>
      </c>
      <c r="AH120" s="8"/>
      <c r="AI120" s="8"/>
      <c r="AJ120" s="8"/>
      <c r="AK120" s="8"/>
      <c r="AL120" s="8"/>
      <c r="AM120" s="8"/>
      <c r="AN120" s="8"/>
      <c r="AO120" s="8"/>
      <c r="AP120" s="8"/>
      <c r="AQ120" s="8"/>
      <c r="AR120" s="8"/>
    </row>
    <row r="121" spans="1:44" hidden="1" outlineLevel="1">
      <c r="A121" t="s">
        <v>78</v>
      </c>
      <c r="Y121" s="8"/>
      <c r="Z121" s="8"/>
      <c r="AA121" s="8"/>
      <c r="AB121" s="8">
        <f>+SUM($C43:AB43)</f>
        <v>5742.6597863899196</v>
      </c>
      <c r="AC121" s="8">
        <f>+SUM($C43:AC43)</f>
        <v>11485.319572779839</v>
      </c>
      <c r="AD121" s="8">
        <f>+SUM($C43:AD43)</f>
        <v>17227.97935916976</v>
      </c>
      <c r="AE121" s="8">
        <f>+SUM($C43:AE43)</f>
        <v>22970.639145559679</v>
      </c>
      <c r="AF121" s="8">
        <f>+SUM($C43:AF43)</f>
        <v>28713.298931949597</v>
      </c>
      <c r="AG121" s="8">
        <f>+SUM($C43:AG43)</f>
        <v>34455.95871833952</v>
      </c>
      <c r="AH121" s="8"/>
      <c r="AI121" s="8"/>
      <c r="AJ121" s="8"/>
      <c r="AK121" s="8"/>
      <c r="AL121" s="8"/>
      <c r="AM121" s="8"/>
      <c r="AN121" s="8"/>
      <c r="AO121" s="8"/>
      <c r="AP121" s="8"/>
      <c r="AQ121" s="8"/>
      <c r="AR121" s="8"/>
    </row>
    <row r="122" spans="1:44" hidden="1" outlineLevel="1">
      <c r="A122" t="s">
        <v>79</v>
      </c>
      <c r="Y122" s="8"/>
      <c r="Z122" s="8"/>
      <c r="AA122" s="8"/>
      <c r="AB122" s="8"/>
      <c r="AC122" s="8">
        <f>+SUM($C44:AC44)</f>
        <v>5754.19307535587</v>
      </c>
      <c r="AD122" s="8">
        <f>+SUM($C44:AD44)</f>
        <v>11508.38615071174</v>
      </c>
      <c r="AE122" s="8">
        <f>+SUM($C44:AE44)</f>
        <v>17262.57922606761</v>
      </c>
      <c r="AF122" s="8">
        <f>+SUM($C44:AF44)</f>
        <v>23016.77230142348</v>
      </c>
      <c r="AG122" s="8">
        <f>+SUM($C44:AG44)</f>
        <v>28770.96537677935</v>
      </c>
      <c r="AH122" s="8"/>
      <c r="AI122" s="8"/>
      <c r="AJ122" s="8"/>
      <c r="AK122" s="8"/>
      <c r="AL122" s="8"/>
      <c r="AM122" s="8"/>
      <c r="AN122" s="8"/>
      <c r="AO122" s="8"/>
      <c r="AP122" s="8"/>
      <c r="AQ122" s="8"/>
      <c r="AR122" s="8"/>
    </row>
    <row r="123" spans="1:44" hidden="1" outlineLevel="1">
      <c r="A123" t="s">
        <v>80</v>
      </c>
      <c r="Y123" s="8"/>
      <c r="Z123" s="8"/>
      <c r="AA123" s="8"/>
      <c r="AB123" s="8"/>
      <c r="AC123" s="8"/>
      <c r="AD123" s="8">
        <f>+SUM($C45:AD45)</f>
        <v>6242.9138484511541</v>
      </c>
      <c r="AE123" s="8">
        <f>+SUM($C45:AE45)</f>
        <v>12485.827696902308</v>
      </c>
      <c r="AF123" s="8">
        <f>+SUM($C45:AF45)</f>
        <v>18728.741545353463</v>
      </c>
      <c r="AG123" s="8">
        <f>+SUM($C45:AG45)</f>
        <v>24971.655393804616</v>
      </c>
      <c r="AH123" s="8"/>
      <c r="AI123" s="8"/>
      <c r="AJ123" s="8"/>
      <c r="AK123" s="8"/>
      <c r="AL123" s="8"/>
      <c r="AM123" s="8"/>
      <c r="AN123" s="8"/>
      <c r="AO123" s="8"/>
      <c r="AP123" s="8"/>
      <c r="AQ123" s="8"/>
      <c r="AR123" s="8"/>
    </row>
    <row r="124" spans="1:44" hidden="1" outlineLevel="1">
      <c r="A124" t="s">
        <v>81</v>
      </c>
      <c r="Y124" s="8"/>
      <c r="Z124" s="8"/>
      <c r="AA124" s="8"/>
      <c r="AB124" s="8"/>
      <c r="AC124" s="8"/>
      <c r="AD124" s="8"/>
      <c r="AE124" s="8">
        <f>+SUM($C46:AE46)</f>
        <v>6769.9374942361919</v>
      </c>
      <c r="AF124" s="8">
        <f>+SUM($C46:AF46)</f>
        <v>13539.874988472384</v>
      </c>
      <c r="AG124" s="8">
        <f>+SUM($C46:AG46)</f>
        <v>20309.812482708578</v>
      </c>
      <c r="AH124" s="8"/>
      <c r="AI124" s="8"/>
      <c r="AJ124" s="8"/>
      <c r="AK124" s="8"/>
      <c r="AL124" s="8"/>
      <c r="AM124" s="8"/>
      <c r="AN124" s="8"/>
      <c r="AO124" s="8"/>
      <c r="AP124" s="8"/>
      <c r="AQ124" s="8"/>
      <c r="AR124" s="8"/>
    </row>
    <row r="125" spans="1:44" hidden="1" outlineLevel="1">
      <c r="A125" t="s">
        <v>82</v>
      </c>
      <c r="Y125" s="8"/>
      <c r="Z125" s="8"/>
      <c r="AA125" s="8"/>
      <c r="AB125" s="8"/>
      <c r="AC125" s="8"/>
      <c r="AD125" s="8"/>
      <c r="AE125" s="8"/>
      <c r="AF125" s="8">
        <f>+SUM($C47:AF47)</f>
        <v>7338.350496622581</v>
      </c>
      <c r="AG125" s="8">
        <f>+SUM($C47:AG47)</f>
        <v>14676.700993245162</v>
      </c>
      <c r="AH125" s="8"/>
      <c r="AI125" s="8"/>
      <c r="AJ125" s="8"/>
      <c r="AK125" s="8"/>
      <c r="AL125" s="8"/>
      <c r="AM125" s="8"/>
      <c r="AN125" s="8"/>
      <c r="AO125" s="8"/>
      <c r="AP125" s="8"/>
      <c r="AQ125" s="8"/>
      <c r="AR125" s="8"/>
    </row>
    <row r="126" spans="1:44" hidden="1" outlineLevel="1">
      <c r="A126" t="s">
        <v>83</v>
      </c>
      <c r="Y126" s="8"/>
      <c r="Z126" s="8"/>
      <c r="AA126" s="8"/>
      <c r="AB126" s="8"/>
      <c r="AC126" s="8"/>
      <c r="AD126" s="8"/>
      <c r="AE126" s="8"/>
      <c r="AF126" s="8"/>
      <c r="AG126" s="8">
        <f>+SUM($C48:AG48)</f>
        <v>7951.4856351201506</v>
      </c>
      <c r="AH126" s="8"/>
      <c r="AI126" s="8"/>
      <c r="AJ126" s="8"/>
      <c r="AK126" s="8"/>
      <c r="AL126" s="8"/>
      <c r="AM126" s="8"/>
      <c r="AN126" s="8"/>
      <c r="AO126" s="8"/>
      <c r="AP126" s="8"/>
      <c r="AQ126" s="8"/>
      <c r="AR126" s="8"/>
    </row>
    <row r="127" spans="1:44" hidden="1" outlineLevel="1">
      <c r="A127" t="s">
        <v>764</v>
      </c>
      <c r="Y127" s="8"/>
      <c r="Z127" s="8"/>
      <c r="AA127" s="8"/>
      <c r="AB127" s="8"/>
      <c r="AC127" s="8"/>
      <c r="AD127" s="8"/>
      <c r="AE127" s="8"/>
      <c r="AF127" s="8"/>
      <c r="AG127" s="8"/>
      <c r="AH127" s="8"/>
      <c r="AI127" s="8"/>
      <c r="AJ127" s="8"/>
      <c r="AK127" s="8"/>
      <c r="AL127" s="8"/>
      <c r="AM127" s="8"/>
      <c r="AN127" s="8"/>
      <c r="AO127" s="8"/>
      <c r="AP127" s="8"/>
      <c r="AQ127" s="8"/>
      <c r="AR127" s="8"/>
    </row>
    <row r="128" spans="1:44" hidden="1" outlineLevel="1"/>
    <row r="129" spans="1:37" ht="10.5" hidden="1" outlineLevel="1">
      <c r="A129" s="45" t="s">
        <v>776</v>
      </c>
    </row>
    <row r="130" spans="1:37" hidden="1" outlineLevel="1">
      <c r="A130" t="str">
        <f>+A97</f>
        <v>FY07 and prior</v>
      </c>
      <c r="D130" s="8">
        <f t="shared" ref="D130:AG140" si="36">+D64-D97</f>
        <v>7492.8</v>
      </c>
      <c r="E130" s="8">
        <f t="shared" si="36"/>
        <v>5619.6</v>
      </c>
      <c r="F130" s="8">
        <f t="shared" si="36"/>
        <v>3746.3999999999996</v>
      </c>
      <c r="G130" s="8">
        <f t="shared" si="36"/>
        <v>1873.1999999999998</v>
      </c>
      <c r="H130" s="8">
        <f t="shared" si="36"/>
        <v>0</v>
      </c>
      <c r="I130" s="8">
        <f t="shared" si="36"/>
        <v>0</v>
      </c>
      <c r="J130" s="8">
        <f t="shared" si="36"/>
        <v>0</v>
      </c>
      <c r="K130" s="8">
        <f t="shared" si="36"/>
        <v>0</v>
      </c>
      <c r="L130" s="8">
        <f t="shared" si="36"/>
        <v>0</v>
      </c>
      <c r="M130" s="8">
        <f t="shared" si="36"/>
        <v>0</v>
      </c>
      <c r="N130" s="8">
        <f t="shared" si="36"/>
        <v>0</v>
      </c>
      <c r="O130" s="8">
        <f t="shared" si="36"/>
        <v>0</v>
      </c>
      <c r="P130" s="8">
        <f>+P64-P97</f>
        <v>0</v>
      </c>
      <c r="Q130" s="8">
        <f t="shared" si="36"/>
        <v>0</v>
      </c>
      <c r="R130" s="8">
        <f t="shared" si="36"/>
        <v>0</v>
      </c>
      <c r="S130" s="8">
        <f t="shared" si="36"/>
        <v>0</v>
      </c>
      <c r="T130" s="8">
        <f t="shared" si="36"/>
        <v>0</v>
      </c>
      <c r="U130" s="8">
        <f t="shared" si="36"/>
        <v>0</v>
      </c>
      <c r="V130" s="8">
        <f t="shared" si="36"/>
        <v>0</v>
      </c>
      <c r="W130" s="8">
        <f t="shared" si="36"/>
        <v>0</v>
      </c>
      <c r="X130" s="8">
        <f t="shared" si="36"/>
        <v>0</v>
      </c>
      <c r="Y130" s="8">
        <f t="shared" si="36"/>
        <v>0</v>
      </c>
      <c r="Z130" s="8">
        <f t="shared" si="36"/>
        <v>0</v>
      </c>
      <c r="AA130" s="8">
        <f t="shared" si="36"/>
        <v>0</v>
      </c>
      <c r="AB130" s="8">
        <f t="shared" si="36"/>
        <v>0</v>
      </c>
      <c r="AC130" s="8">
        <f t="shared" si="36"/>
        <v>0</v>
      </c>
      <c r="AD130" s="8">
        <f t="shared" si="36"/>
        <v>0</v>
      </c>
      <c r="AE130" s="8">
        <f t="shared" si="36"/>
        <v>0</v>
      </c>
      <c r="AF130" s="8">
        <f t="shared" si="36"/>
        <v>0</v>
      </c>
      <c r="AG130" s="8">
        <f t="shared" si="36"/>
        <v>0</v>
      </c>
    </row>
    <row r="131" spans="1:37" hidden="1" outlineLevel="1">
      <c r="A131" t="s">
        <v>249</v>
      </c>
      <c r="E131" s="8">
        <f t="shared" si="36"/>
        <v>2542.4</v>
      </c>
      <c r="F131" s="8">
        <f t="shared" si="36"/>
        <v>1906.8</v>
      </c>
      <c r="G131" s="8">
        <f t="shared" si="36"/>
        <v>1271.1999999999998</v>
      </c>
      <c r="H131" s="8">
        <f t="shared" si="36"/>
        <v>635.59999999999991</v>
      </c>
      <c r="I131" s="8">
        <f t="shared" si="36"/>
        <v>0</v>
      </c>
      <c r="J131" s="8">
        <f t="shared" si="36"/>
        <v>0</v>
      </c>
      <c r="K131" s="8">
        <f t="shared" si="36"/>
        <v>0</v>
      </c>
      <c r="L131" s="8">
        <f t="shared" si="36"/>
        <v>0</v>
      </c>
      <c r="M131" s="8">
        <f t="shared" si="36"/>
        <v>0</v>
      </c>
      <c r="N131" s="8">
        <f t="shared" si="36"/>
        <v>0</v>
      </c>
      <c r="O131" s="8">
        <f t="shared" si="36"/>
        <v>0</v>
      </c>
      <c r="P131" s="8">
        <f t="shared" si="36"/>
        <v>0</v>
      </c>
      <c r="Q131" s="8">
        <f t="shared" si="36"/>
        <v>0</v>
      </c>
      <c r="R131" s="8">
        <f t="shared" si="36"/>
        <v>0</v>
      </c>
      <c r="S131" s="8">
        <f t="shared" si="36"/>
        <v>0</v>
      </c>
      <c r="T131" s="8">
        <f t="shared" si="36"/>
        <v>0</v>
      </c>
      <c r="U131" s="8">
        <f t="shared" si="36"/>
        <v>0</v>
      </c>
      <c r="V131" s="8">
        <f t="shared" si="36"/>
        <v>0</v>
      </c>
      <c r="W131" s="8">
        <f t="shared" si="36"/>
        <v>0</v>
      </c>
      <c r="X131" s="8">
        <f t="shared" si="36"/>
        <v>0</v>
      </c>
      <c r="Y131" s="8">
        <f t="shared" si="36"/>
        <v>0</v>
      </c>
      <c r="Z131" s="8">
        <f t="shared" si="36"/>
        <v>0</v>
      </c>
      <c r="AA131" s="8">
        <f t="shared" si="36"/>
        <v>0</v>
      </c>
      <c r="AB131" s="8">
        <f t="shared" si="36"/>
        <v>0</v>
      </c>
      <c r="AC131" s="8">
        <f t="shared" si="36"/>
        <v>0</v>
      </c>
      <c r="AD131" s="8">
        <f t="shared" si="36"/>
        <v>0</v>
      </c>
      <c r="AE131" s="8">
        <f t="shared" si="36"/>
        <v>0</v>
      </c>
      <c r="AF131" s="8">
        <f t="shared" si="36"/>
        <v>0</v>
      </c>
      <c r="AG131" s="8">
        <f t="shared" si="36"/>
        <v>0</v>
      </c>
    </row>
    <row r="132" spans="1:37" hidden="1" outlineLevel="1">
      <c r="A132" t="s">
        <v>250</v>
      </c>
      <c r="F132" s="8">
        <f t="shared" si="36"/>
        <v>2030.4</v>
      </c>
      <c r="G132" s="8">
        <f t="shared" si="36"/>
        <v>1522.8</v>
      </c>
      <c r="H132" s="8">
        <f t="shared" si="36"/>
        <v>1015.1999999999998</v>
      </c>
      <c r="I132" s="8">
        <f t="shared" si="36"/>
        <v>507.59999999999991</v>
      </c>
      <c r="J132" s="8">
        <f t="shared" si="36"/>
        <v>0</v>
      </c>
      <c r="K132" s="8">
        <f t="shared" si="36"/>
        <v>0</v>
      </c>
      <c r="L132" s="8">
        <f t="shared" si="36"/>
        <v>0</v>
      </c>
      <c r="M132" s="8">
        <f t="shared" si="36"/>
        <v>0</v>
      </c>
      <c r="N132" s="8">
        <f t="shared" si="36"/>
        <v>0</v>
      </c>
      <c r="O132" s="8">
        <f t="shared" si="36"/>
        <v>0</v>
      </c>
      <c r="P132" s="8">
        <f t="shared" si="36"/>
        <v>0</v>
      </c>
      <c r="Q132" s="8">
        <f t="shared" si="36"/>
        <v>0</v>
      </c>
      <c r="R132" s="8">
        <f t="shared" si="36"/>
        <v>0</v>
      </c>
      <c r="S132" s="8">
        <f t="shared" si="36"/>
        <v>0</v>
      </c>
      <c r="T132" s="8">
        <f t="shared" si="36"/>
        <v>0</v>
      </c>
      <c r="U132" s="8">
        <f t="shared" si="36"/>
        <v>0</v>
      </c>
      <c r="V132" s="8">
        <f t="shared" si="36"/>
        <v>0</v>
      </c>
      <c r="W132" s="8">
        <f t="shared" si="36"/>
        <v>0</v>
      </c>
      <c r="X132" s="8">
        <f t="shared" si="36"/>
        <v>0</v>
      </c>
      <c r="Y132" s="8">
        <f t="shared" si="36"/>
        <v>0</v>
      </c>
      <c r="Z132" s="8">
        <f t="shared" si="36"/>
        <v>0</v>
      </c>
      <c r="AA132" s="8">
        <f t="shared" si="36"/>
        <v>0</v>
      </c>
      <c r="AB132" s="8">
        <f t="shared" si="36"/>
        <v>0</v>
      </c>
      <c r="AC132" s="8">
        <f t="shared" si="36"/>
        <v>0</v>
      </c>
      <c r="AD132" s="8">
        <f t="shared" si="36"/>
        <v>0</v>
      </c>
      <c r="AE132" s="8">
        <f t="shared" si="36"/>
        <v>0</v>
      </c>
      <c r="AF132" s="8">
        <f t="shared" si="36"/>
        <v>0</v>
      </c>
      <c r="AG132" s="8">
        <f t="shared" si="36"/>
        <v>0</v>
      </c>
    </row>
    <row r="133" spans="1:37" hidden="1" outlineLevel="1">
      <c r="A133" t="s">
        <v>251</v>
      </c>
      <c r="G133" s="8">
        <f t="shared" si="36"/>
        <v>941.6</v>
      </c>
      <c r="H133" s="8">
        <f t="shared" si="36"/>
        <v>706.2</v>
      </c>
      <c r="I133" s="8">
        <f t="shared" si="36"/>
        <v>470.79999999999995</v>
      </c>
      <c r="J133" s="8">
        <f t="shared" si="36"/>
        <v>235.39999999999998</v>
      </c>
      <c r="K133" s="8">
        <f t="shared" si="36"/>
        <v>0</v>
      </c>
      <c r="L133" s="8">
        <f t="shared" si="36"/>
        <v>0</v>
      </c>
      <c r="M133" s="8">
        <f t="shared" si="36"/>
        <v>0</v>
      </c>
      <c r="N133" s="8">
        <f t="shared" si="36"/>
        <v>0</v>
      </c>
      <c r="O133" s="8">
        <f t="shared" si="36"/>
        <v>0</v>
      </c>
      <c r="P133" s="8">
        <f t="shared" si="36"/>
        <v>0</v>
      </c>
      <c r="Q133" s="8">
        <f t="shared" si="36"/>
        <v>0</v>
      </c>
      <c r="R133" s="8">
        <f t="shared" si="36"/>
        <v>0</v>
      </c>
      <c r="S133" s="8">
        <f t="shared" si="36"/>
        <v>0</v>
      </c>
      <c r="T133" s="8">
        <f t="shared" si="36"/>
        <v>0</v>
      </c>
      <c r="U133" s="8">
        <f t="shared" si="36"/>
        <v>0</v>
      </c>
      <c r="V133" s="8">
        <f t="shared" si="36"/>
        <v>0</v>
      </c>
      <c r="W133" s="8">
        <f t="shared" si="36"/>
        <v>0</v>
      </c>
      <c r="X133" s="8">
        <f t="shared" si="36"/>
        <v>0</v>
      </c>
      <c r="Y133" s="8">
        <f t="shared" si="36"/>
        <v>0</v>
      </c>
      <c r="Z133" s="8">
        <f t="shared" si="36"/>
        <v>0</v>
      </c>
      <c r="AA133" s="8">
        <f t="shared" si="36"/>
        <v>0</v>
      </c>
      <c r="AB133" s="8">
        <f t="shared" si="36"/>
        <v>0</v>
      </c>
      <c r="AC133" s="8">
        <f t="shared" si="36"/>
        <v>0</v>
      </c>
      <c r="AD133" s="8">
        <f t="shared" si="36"/>
        <v>0</v>
      </c>
      <c r="AE133" s="8">
        <f t="shared" si="36"/>
        <v>0</v>
      </c>
      <c r="AF133" s="8">
        <f t="shared" si="36"/>
        <v>0</v>
      </c>
      <c r="AG133" s="8">
        <f t="shared" si="36"/>
        <v>0</v>
      </c>
    </row>
    <row r="134" spans="1:37" hidden="1" outlineLevel="1">
      <c r="A134" t="s">
        <v>252</v>
      </c>
      <c r="H134" s="8">
        <f t="shared" si="36"/>
        <v>1385.6</v>
      </c>
      <c r="I134" s="8">
        <f t="shared" si="36"/>
        <v>1039.2</v>
      </c>
      <c r="J134" s="8">
        <f t="shared" si="36"/>
        <v>692.80000000000018</v>
      </c>
      <c r="K134" s="8">
        <f t="shared" si="36"/>
        <v>346.40000000000009</v>
      </c>
      <c r="L134" s="8">
        <f t="shared" si="36"/>
        <v>0</v>
      </c>
      <c r="M134" s="8">
        <f t="shared" si="36"/>
        <v>0</v>
      </c>
      <c r="N134" s="8">
        <f t="shared" si="36"/>
        <v>0</v>
      </c>
      <c r="O134" s="8">
        <f t="shared" si="36"/>
        <v>0</v>
      </c>
      <c r="P134" s="8">
        <f t="shared" si="36"/>
        <v>0</v>
      </c>
      <c r="Q134" s="8">
        <f t="shared" si="36"/>
        <v>0</v>
      </c>
      <c r="R134" s="8">
        <f t="shared" si="36"/>
        <v>0</v>
      </c>
      <c r="S134" s="8">
        <f t="shared" si="36"/>
        <v>0</v>
      </c>
      <c r="T134" s="8">
        <f t="shared" si="36"/>
        <v>0</v>
      </c>
      <c r="U134" s="8">
        <f t="shared" si="36"/>
        <v>0</v>
      </c>
      <c r="V134" s="8">
        <f t="shared" si="36"/>
        <v>0</v>
      </c>
      <c r="W134" s="8">
        <f t="shared" si="36"/>
        <v>0</v>
      </c>
      <c r="X134" s="8">
        <f t="shared" si="36"/>
        <v>0</v>
      </c>
      <c r="Y134" s="8">
        <f t="shared" si="36"/>
        <v>0</v>
      </c>
      <c r="Z134" s="8">
        <f t="shared" si="36"/>
        <v>0</v>
      </c>
      <c r="AA134" s="8">
        <f t="shared" si="36"/>
        <v>0</v>
      </c>
      <c r="AB134" s="8">
        <f t="shared" si="36"/>
        <v>0</v>
      </c>
      <c r="AC134" s="8">
        <f t="shared" si="36"/>
        <v>0</v>
      </c>
      <c r="AD134" s="8">
        <f t="shared" si="36"/>
        <v>0</v>
      </c>
      <c r="AE134" s="8">
        <f t="shared" si="36"/>
        <v>0</v>
      </c>
      <c r="AF134" s="8">
        <f t="shared" si="36"/>
        <v>0</v>
      </c>
      <c r="AG134" s="8">
        <f t="shared" si="36"/>
        <v>0</v>
      </c>
    </row>
    <row r="135" spans="1:37" hidden="1" outlineLevel="1">
      <c r="A135" t="s">
        <v>253</v>
      </c>
      <c r="I135" s="8">
        <f t="shared" si="36"/>
        <v>992</v>
      </c>
      <c r="J135" s="8">
        <f t="shared" si="36"/>
        <v>744</v>
      </c>
      <c r="K135" s="8">
        <f t="shared" si="36"/>
        <v>496</v>
      </c>
      <c r="L135" s="8">
        <f t="shared" si="36"/>
        <v>248</v>
      </c>
      <c r="M135" s="8">
        <f t="shared" si="36"/>
        <v>0</v>
      </c>
      <c r="N135" s="8">
        <f t="shared" si="36"/>
        <v>0</v>
      </c>
      <c r="O135" s="8">
        <f t="shared" si="36"/>
        <v>0</v>
      </c>
      <c r="P135" s="8">
        <f t="shared" si="36"/>
        <v>0</v>
      </c>
      <c r="Q135" s="8">
        <f t="shared" si="36"/>
        <v>0</v>
      </c>
      <c r="R135" s="8">
        <f t="shared" si="36"/>
        <v>0</v>
      </c>
      <c r="S135" s="8">
        <f t="shared" si="36"/>
        <v>0</v>
      </c>
      <c r="T135" s="8">
        <f t="shared" si="36"/>
        <v>0</v>
      </c>
      <c r="U135" s="8">
        <f t="shared" si="36"/>
        <v>0</v>
      </c>
      <c r="V135" s="8">
        <f t="shared" si="36"/>
        <v>0</v>
      </c>
      <c r="W135" s="8">
        <f t="shared" si="36"/>
        <v>0</v>
      </c>
      <c r="X135" s="8">
        <f t="shared" si="36"/>
        <v>0</v>
      </c>
      <c r="Y135" s="8">
        <f t="shared" si="36"/>
        <v>0</v>
      </c>
      <c r="Z135" s="8">
        <f t="shared" si="36"/>
        <v>0</v>
      </c>
      <c r="AA135" s="8">
        <f t="shared" si="36"/>
        <v>0</v>
      </c>
      <c r="AB135" s="8">
        <f t="shared" si="36"/>
        <v>0</v>
      </c>
      <c r="AC135" s="8">
        <f t="shared" si="36"/>
        <v>0</v>
      </c>
      <c r="AD135" s="8">
        <f t="shared" si="36"/>
        <v>0</v>
      </c>
      <c r="AE135" s="8">
        <f t="shared" si="36"/>
        <v>0</v>
      </c>
      <c r="AF135" s="8">
        <f t="shared" si="36"/>
        <v>0</v>
      </c>
      <c r="AG135" s="8">
        <f t="shared" si="36"/>
        <v>0</v>
      </c>
    </row>
    <row r="136" spans="1:37" hidden="1" outlineLevel="1">
      <c r="A136" t="s">
        <v>254</v>
      </c>
      <c r="J136" s="8">
        <f t="shared" si="36"/>
        <v>2618.4</v>
      </c>
      <c r="K136" s="8">
        <f t="shared" si="36"/>
        <v>1963.8</v>
      </c>
      <c r="L136" s="8">
        <f t="shared" si="36"/>
        <v>1309.1999999999998</v>
      </c>
      <c r="M136" s="8">
        <f t="shared" si="36"/>
        <v>654.59999999999991</v>
      </c>
      <c r="N136" s="8">
        <f t="shared" si="36"/>
        <v>0</v>
      </c>
      <c r="O136" s="8">
        <f t="shared" si="36"/>
        <v>0</v>
      </c>
      <c r="P136" s="8">
        <f t="shared" si="36"/>
        <v>0</v>
      </c>
      <c r="Q136" s="8">
        <f t="shared" si="36"/>
        <v>0</v>
      </c>
      <c r="R136" s="8">
        <f t="shared" si="36"/>
        <v>0</v>
      </c>
      <c r="S136" s="8">
        <f t="shared" si="36"/>
        <v>0</v>
      </c>
      <c r="T136" s="8">
        <f t="shared" si="36"/>
        <v>0</v>
      </c>
      <c r="U136" s="8">
        <f t="shared" si="36"/>
        <v>0</v>
      </c>
      <c r="V136" s="8">
        <f t="shared" si="36"/>
        <v>0</v>
      </c>
      <c r="W136" s="8">
        <f t="shared" si="36"/>
        <v>0</v>
      </c>
      <c r="X136" s="8">
        <f t="shared" si="36"/>
        <v>0</v>
      </c>
      <c r="Y136" s="8">
        <f t="shared" si="36"/>
        <v>0</v>
      </c>
      <c r="Z136" s="8">
        <f t="shared" si="36"/>
        <v>0</v>
      </c>
      <c r="AA136" s="8">
        <f t="shared" si="36"/>
        <v>0</v>
      </c>
      <c r="AB136" s="8">
        <f t="shared" si="36"/>
        <v>0</v>
      </c>
      <c r="AC136" s="8">
        <f t="shared" si="36"/>
        <v>0</v>
      </c>
      <c r="AD136" s="8">
        <f t="shared" si="36"/>
        <v>0</v>
      </c>
      <c r="AE136" s="8">
        <f t="shared" si="36"/>
        <v>0</v>
      </c>
      <c r="AF136" s="8">
        <f t="shared" si="36"/>
        <v>0</v>
      </c>
      <c r="AG136" s="8">
        <f t="shared" si="36"/>
        <v>0</v>
      </c>
    </row>
    <row r="137" spans="1:37" hidden="1" outlineLevel="1">
      <c r="A137" t="s">
        <v>255</v>
      </c>
      <c r="K137" s="8">
        <f t="shared" si="36"/>
        <v>4240</v>
      </c>
      <c r="L137" s="8">
        <f t="shared" si="36"/>
        <v>3180</v>
      </c>
      <c r="M137" s="8">
        <f t="shared" si="36"/>
        <v>2120</v>
      </c>
      <c r="N137" s="8">
        <f t="shared" si="36"/>
        <v>1060</v>
      </c>
      <c r="O137" s="8">
        <f t="shared" si="36"/>
        <v>0</v>
      </c>
      <c r="P137" s="8">
        <f t="shared" si="36"/>
        <v>0</v>
      </c>
      <c r="Q137" s="8">
        <f t="shared" si="36"/>
        <v>0</v>
      </c>
      <c r="R137" s="8">
        <f t="shared" si="36"/>
        <v>0</v>
      </c>
      <c r="S137" s="8">
        <f t="shared" si="36"/>
        <v>0</v>
      </c>
      <c r="T137" s="8">
        <f t="shared" si="36"/>
        <v>0</v>
      </c>
      <c r="U137" s="8">
        <f t="shared" si="36"/>
        <v>0</v>
      </c>
      <c r="V137" s="8">
        <f t="shared" si="36"/>
        <v>0</v>
      </c>
      <c r="W137" s="8">
        <f t="shared" si="36"/>
        <v>0</v>
      </c>
      <c r="X137" s="8">
        <f t="shared" si="36"/>
        <v>0</v>
      </c>
      <c r="Y137" s="8">
        <f t="shared" si="36"/>
        <v>0</v>
      </c>
      <c r="Z137" s="8">
        <f t="shared" si="36"/>
        <v>0</v>
      </c>
      <c r="AA137" s="8">
        <f t="shared" si="36"/>
        <v>0</v>
      </c>
      <c r="AB137" s="8">
        <f t="shared" si="36"/>
        <v>0</v>
      </c>
      <c r="AC137" s="8">
        <f t="shared" si="36"/>
        <v>0</v>
      </c>
      <c r="AD137" s="8">
        <f t="shared" si="36"/>
        <v>0</v>
      </c>
      <c r="AE137" s="8">
        <f t="shared" si="36"/>
        <v>0</v>
      </c>
      <c r="AF137" s="8">
        <f t="shared" si="36"/>
        <v>0</v>
      </c>
      <c r="AG137" s="8">
        <f t="shared" si="36"/>
        <v>0</v>
      </c>
    </row>
    <row r="138" spans="1:37" hidden="1" outlineLevel="1">
      <c r="A138" t="s">
        <v>256</v>
      </c>
      <c r="L138" s="8">
        <f t="shared" si="36"/>
        <v>3626.4</v>
      </c>
      <c r="M138" s="8">
        <f t="shared" si="36"/>
        <v>2719.8</v>
      </c>
      <c r="N138" s="8">
        <f>+N72-N105</f>
        <v>1813.1999999999998</v>
      </c>
      <c r="O138" s="8">
        <f t="shared" si="36"/>
        <v>906.59999999999991</v>
      </c>
      <c r="P138" s="8">
        <f t="shared" si="36"/>
        <v>0</v>
      </c>
      <c r="Q138" s="8">
        <f t="shared" si="36"/>
        <v>0</v>
      </c>
      <c r="R138" s="8">
        <f t="shared" si="36"/>
        <v>0</v>
      </c>
      <c r="S138" s="8">
        <f t="shared" si="36"/>
        <v>0</v>
      </c>
      <c r="T138" s="8">
        <f t="shared" si="36"/>
        <v>0</v>
      </c>
      <c r="U138" s="8">
        <f t="shared" si="36"/>
        <v>0</v>
      </c>
      <c r="V138" s="8">
        <f t="shared" si="36"/>
        <v>0</v>
      </c>
      <c r="W138" s="8">
        <f t="shared" si="36"/>
        <v>0</v>
      </c>
      <c r="X138" s="8">
        <f t="shared" si="36"/>
        <v>0</v>
      </c>
      <c r="Y138" s="8">
        <f t="shared" si="36"/>
        <v>0</v>
      </c>
      <c r="Z138" s="8">
        <f t="shared" si="36"/>
        <v>0</v>
      </c>
      <c r="AA138" s="8">
        <f t="shared" si="36"/>
        <v>0</v>
      </c>
      <c r="AB138" s="8">
        <f t="shared" si="36"/>
        <v>0</v>
      </c>
      <c r="AC138" s="8">
        <f t="shared" si="36"/>
        <v>0</v>
      </c>
      <c r="AD138" s="8">
        <f t="shared" si="36"/>
        <v>0</v>
      </c>
      <c r="AE138" s="8">
        <f t="shared" si="36"/>
        <v>0</v>
      </c>
      <c r="AF138" s="8">
        <f t="shared" si="36"/>
        <v>0</v>
      </c>
      <c r="AG138" s="8">
        <f t="shared" si="36"/>
        <v>0</v>
      </c>
    </row>
    <row r="139" spans="1:37" hidden="1" outlineLevel="1">
      <c r="A139" t="s">
        <v>257</v>
      </c>
      <c r="M139" s="8">
        <f t="shared" si="36"/>
        <v>4655.2</v>
      </c>
      <c r="N139" s="8">
        <f>+N73-N106</f>
        <v>3491.4</v>
      </c>
      <c r="O139" s="8">
        <f t="shared" si="36"/>
        <v>2327.6000000000004</v>
      </c>
      <c r="P139" s="8">
        <f t="shared" si="36"/>
        <v>1163.8000000000002</v>
      </c>
      <c r="Q139" s="8">
        <f t="shared" si="36"/>
        <v>0</v>
      </c>
      <c r="R139" s="8">
        <f t="shared" si="36"/>
        <v>0</v>
      </c>
      <c r="S139" s="8">
        <f t="shared" si="36"/>
        <v>0</v>
      </c>
      <c r="T139" s="8">
        <f t="shared" si="36"/>
        <v>0</v>
      </c>
      <c r="U139" s="8">
        <f t="shared" si="36"/>
        <v>0</v>
      </c>
      <c r="V139" s="8">
        <f t="shared" si="36"/>
        <v>0</v>
      </c>
      <c r="W139" s="8">
        <f t="shared" si="36"/>
        <v>0</v>
      </c>
      <c r="X139" s="8">
        <f t="shared" si="36"/>
        <v>0</v>
      </c>
      <c r="Y139" s="8">
        <f t="shared" si="36"/>
        <v>0</v>
      </c>
      <c r="Z139" s="8">
        <f t="shared" si="36"/>
        <v>0</v>
      </c>
      <c r="AA139" s="8">
        <f t="shared" si="36"/>
        <v>0</v>
      </c>
      <c r="AB139" s="8">
        <f t="shared" si="36"/>
        <v>0</v>
      </c>
      <c r="AC139" s="8">
        <f t="shared" si="36"/>
        <v>0</v>
      </c>
      <c r="AD139" s="8">
        <f t="shared" si="36"/>
        <v>0</v>
      </c>
      <c r="AE139" s="8">
        <f t="shared" si="36"/>
        <v>0</v>
      </c>
      <c r="AF139" s="8">
        <f t="shared" si="36"/>
        <v>0</v>
      </c>
      <c r="AG139" s="8">
        <f t="shared" si="36"/>
        <v>0</v>
      </c>
    </row>
    <row r="140" spans="1:37" hidden="1" outlineLevel="1">
      <c r="A140" t="s">
        <v>258</v>
      </c>
      <c r="N140" s="8">
        <f t="shared" ref="N140:Y148" si="37">+N74-N107</f>
        <v>7805.6</v>
      </c>
      <c r="O140" s="8">
        <f t="shared" si="37"/>
        <v>5854.2</v>
      </c>
      <c r="P140" s="8">
        <f t="shared" si="37"/>
        <v>3902.7999999999993</v>
      </c>
      <c r="Q140" s="8">
        <f t="shared" si="37"/>
        <v>1951.3999999999996</v>
      </c>
      <c r="R140" s="8">
        <f t="shared" si="37"/>
        <v>650.46666666666715</v>
      </c>
      <c r="S140" s="8">
        <f t="shared" si="37"/>
        <v>0</v>
      </c>
      <c r="T140" s="8">
        <f t="shared" si="37"/>
        <v>0</v>
      </c>
      <c r="U140" s="8">
        <f t="shared" si="36"/>
        <v>0</v>
      </c>
      <c r="V140" s="8">
        <f t="shared" si="37"/>
        <v>0</v>
      </c>
      <c r="W140" s="8">
        <f t="shared" si="37"/>
        <v>0</v>
      </c>
      <c r="X140" s="8">
        <f t="shared" si="37"/>
        <v>0</v>
      </c>
      <c r="Y140" s="8">
        <f t="shared" si="37"/>
        <v>0</v>
      </c>
      <c r="Z140" s="8">
        <f t="shared" si="36"/>
        <v>0</v>
      </c>
      <c r="AA140" s="8">
        <f t="shared" si="36"/>
        <v>0</v>
      </c>
      <c r="AB140" s="8">
        <f t="shared" ref="Z140:AG155" si="38">+AB74-AB107</f>
        <v>0</v>
      </c>
      <c r="AC140" s="8">
        <f t="shared" si="38"/>
        <v>0</v>
      </c>
      <c r="AD140" s="8">
        <f t="shared" si="38"/>
        <v>0</v>
      </c>
      <c r="AE140" s="8">
        <f t="shared" si="38"/>
        <v>0</v>
      </c>
      <c r="AF140" s="8">
        <f t="shared" si="38"/>
        <v>0</v>
      </c>
      <c r="AG140" s="8">
        <f t="shared" si="38"/>
        <v>0</v>
      </c>
    </row>
    <row r="141" spans="1:37" hidden="1" outlineLevel="1">
      <c r="A141" t="s">
        <v>259</v>
      </c>
      <c r="O141" s="8">
        <f t="shared" si="37"/>
        <v>8616</v>
      </c>
      <c r="P141" s="8">
        <f t="shared" si="37"/>
        <v>6462</v>
      </c>
      <c r="Q141" s="8">
        <f t="shared" si="37"/>
        <v>4308</v>
      </c>
      <c r="R141" s="8">
        <f t="shared" si="37"/>
        <v>2872</v>
      </c>
      <c r="S141" s="8">
        <f t="shared" si="37"/>
        <v>1436</v>
      </c>
      <c r="T141" s="8">
        <f t="shared" si="37"/>
        <v>302.31578947368325</v>
      </c>
      <c r="U141" s="8">
        <f t="shared" si="37"/>
        <v>0</v>
      </c>
      <c r="V141" s="8">
        <f t="shared" si="37"/>
        <v>0</v>
      </c>
      <c r="W141" s="8">
        <f t="shared" si="37"/>
        <v>0</v>
      </c>
      <c r="X141" s="8">
        <f t="shared" si="37"/>
        <v>0</v>
      </c>
      <c r="Y141" s="8">
        <f t="shared" si="37"/>
        <v>0</v>
      </c>
      <c r="Z141" s="8">
        <f t="shared" si="38"/>
        <v>0</v>
      </c>
      <c r="AA141" s="8">
        <f t="shared" si="38"/>
        <v>0</v>
      </c>
      <c r="AB141" s="8">
        <f t="shared" si="38"/>
        <v>0</v>
      </c>
      <c r="AC141" s="8">
        <f t="shared" si="38"/>
        <v>0</v>
      </c>
      <c r="AD141" s="8">
        <f t="shared" si="38"/>
        <v>0</v>
      </c>
      <c r="AE141" s="8">
        <f t="shared" si="38"/>
        <v>0</v>
      </c>
      <c r="AF141" s="8">
        <f t="shared" si="38"/>
        <v>0</v>
      </c>
      <c r="AG141" s="8">
        <f t="shared" si="38"/>
        <v>0</v>
      </c>
      <c r="AH141" s="8"/>
    </row>
    <row r="142" spans="1:37" hidden="1" outlineLevel="1">
      <c r="A142" t="s">
        <v>260</v>
      </c>
      <c r="P142" s="8">
        <f>+P76-P109</f>
        <v>10499.2</v>
      </c>
      <c r="Q142" s="8">
        <f t="shared" si="37"/>
        <v>7874.4</v>
      </c>
      <c r="R142" s="8">
        <f t="shared" si="37"/>
        <v>6124.5333333333328</v>
      </c>
      <c r="S142" s="8">
        <f t="shared" si="37"/>
        <v>4374.6666666666661</v>
      </c>
      <c r="T142" s="8">
        <f t="shared" si="37"/>
        <v>2993.1929824561394</v>
      </c>
      <c r="U142" s="8">
        <f t="shared" si="37"/>
        <v>1611.7192982456127</v>
      </c>
      <c r="V142" s="8">
        <f t="shared" si="37"/>
        <v>230.24561403508596</v>
      </c>
      <c r="W142" s="8">
        <f t="shared" si="37"/>
        <v>0</v>
      </c>
      <c r="X142" s="8">
        <f t="shared" si="37"/>
        <v>0</v>
      </c>
      <c r="Y142" s="8">
        <f t="shared" si="37"/>
        <v>0</v>
      </c>
      <c r="Z142" s="8">
        <f t="shared" si="38"/>
        <v>0</v>
      </c>
      <c r="AA142" s="8">
        <f t="shared" si="38"/>
        <v>0</v>
      </c>
      <c r="AB142" s="8">
        <f t="shared" si="38"/>
        <v>0</v>
      </c>
      <c r="AC142" s="8">
        <f t="shared" si="38"/>
        <v>0</v>
      </c>
      <c r="AD142" s="8">
        <f t="shared" si="38"/>
        <v>0</v>
      </c>
      <c r="AE142" s="8">
        <f t="shared" si="38"/>
        <v>0</v>
      </c>
      <c r="AF142" s="8">
        <f t="shared" si="38"/>
        <v>0</v>
      </c>
      <c r="AG142" s="8">
        <f t="shared" si="38"/>
        <v>0</v>
      </c>
      <c r="AH142" s="8"/>
      <c r="AI142" s="8"/>
    </row>
    <row r="143" spans="1:37" hidden="1" outlineLevel="1">
      <c r="A143" t="s">
        <v>261</v>
      </c>
      <c r="Q143" s="8">
        <f t="shared" si="37"/>
        <v>12432.8</v>
      </c>
      <c r="R143" s="8">
        <f t="shared" si="37"/>
        <v>10360.666666666668</v>
      </c>
      <c r="S143" s="8">
        <f>+S77-S110</f>
        <v>8288.5333333333328</v>
      </c>
      <c r="T143" s="8">
        <f t="shared" si="37"/>
        <v>6652.6385964912279</v>
      </c>
      <c r="U143" s="8">
        <f t="shared" si="37"/>
        <v>5016.7438596491229</v>
      </c>
      <c r="V143" s="8">
        <f t="shared" si="37"/>
        <v>3380.8491228070179</v>
      </c>
      <c r="W143" s="8">
        <f t="shared" si="37"/>
        <v>1744.9543859649129</v>
      </c>
      <c r="X143" s="8">
        <f t="shared" si="37"/>
        <v>109.05964912280797</v>
      </c>
      <c r="Y143" s="8">
        <f t="shared" si="37"/>
        <v>0</v>
      </c>
      <c r="Z143" s="8">
        <f t="shared" si="38"/>
        <v>0</v>
      </c>
      <c r="AA143" s="8">
        <f t="shared" si="38"/>
        <v>0</v>
      </c>
      <c r="AB143" s="8">
        <f t="shared" si="38"/>
        <v>0</v>
      </c>
      <c r="AC143" s="8">
        <f t="shared" si="38"/>
        <v>0</v>
      </c>
      <c r="AD143" s="8">
        <f t="shared" si="38"/>
        <v>0</v>
      </c>
      <c r="AE143" s="8">
        <f t="shared" si="38"/>
        <v>0</v>
      </c>
      <c r="AF143" s="8">
        <f t="shared" si="38"/>
        <v>0</v>
      </c>
      <c r="AG143" s="8">
        <f t="shared" si="38"/>
        <v>0</v>
      </c>
      <c r="AH143" s="8"/>
      <c r="AI143" s="8"/>
      <c r="AJ143" s="8"/>
    </row>
    <row r="144" spans="1:37" hidden="1" outlineLevel="1">
      <c r="A144" t="s">
        <v>262</v>
      </c>
      <c r="R144" s="8">
        <f t="shared" si="37"/>
        <v>20555.599999999999</v>
      </c>
      <c r="S144" s="8">
        <f t="shared" si="37"/>
        <v>17393.2</v>
      </c>
      <c r="T144" s="8">
        <f t="shared" si="37"/>
        <v>14896.568421052631</v>
      </c>
      <c r="U144" s="8">
        <f t="shared" si="37"/>
        <v>12399.936842105262</v>
      </c>
      <c r="V144" s="8">
        <f t="shared" si="37"/>
        <v>9903.3052631578939</v>
      </c>
      <c r="W144" s="8">
        <f t="shared" si="37"/>
        <v>7406.6736842105256</v>
      </c>
      <c r="X144" s="8">
        <f t="shared" si="37"/>
        <v>4910.0421052631573</v>
      </c>
      <c r="Y144" s="8">
        <f t="shared" si="37"/>
        <v>2413.4105263157908</v>
      </c>
      <c r="Z144" s="8">
        <f t="shared" si="38"/>
        <v>0</v>
      </c>
      <c r="AA144" s="8">
        <f t="shared" si="38"/>
        <v>0</v>
      </c>
      <c r="AB144" s="8">
        <f t="shared" si="38"/>
        <v>0</v>
      </c>
      <c r="AC144" s="8">
        <f t="shared" si="38"/>
        <v>0</v>
      </c>
      <c r="AD144" s="8">
        <f t="shared" si="38"/>
        <v>0</v>
      </c>
      <c r="AE144" s="8">
        <f t="shared" si="38"/>
        <v>0</v>
      </c>
      <c r="AF144" s="8">
        <f t="shared" si="38"/>
        <v>0</v>
      </c>
      <c r="AG144" s="8">
        <f t="shared" si="38"/>
        <v>0</v>
      </c>
      <c r="AH144" s="8"/>
      <c r="AI144" s="8"/>
      <c r="AJ144" s="8"/>
      <c r="AK144" s="8"/>
    </row>
    <row r="145" spans="1:44" hidden="1" outlineLevel="1">
      <c r="A145" t="s">
        <v>109</v>
      </c>
      <c r="S145" s="8">
        <f t="shared" si="37"/>
        <v>19926.400000000001</v>
      </c>
      <c r="T145" s="8">
        <f t="shared" si="37"/>
        <v>17506.189473684211</v>
      </c>
      <c r="U145" s="8">
        <f t="shared" si="37"/>
        <v>15085.978947368421</v>
      </c>
      <c r="V145" s="8">
        <f t="shared" si="37"/>
        <v>12665.768421052631</v>
      </c>
      <c r="W145" s="8">
        <f t="shared" si="37"/>
        <v>10245.557894736841</v>
      </c>
      <c r="X145" s="8">
        <f t="shared" si="37"/>
        <v>7825.3473684210512</v>
      </c>
      <c r="Y145" s="8">
        <f t="shared" si="37"/>
        <v>5405.1368421052612</v>
      </c>
      <c r="Z145" s="8">
        <f t="shared" si="38"/>
        <v>2984.9263157894711</v>
      </c>
      <c r="AA145" s="8">
        <f t="shared" si="38"/>
        <v>564.71578947368107</v>
      </c>
      <c r="AB145" s="8">
        <f t="shared" si="38"/>
        <v>0</v>
      </c>
      <c r="AC145" s="8">
        <f t="shared" si="38"/>
        <v>0</v>
      </c>
      <c r="AD145" s="8">
        <f t="shared" si="38"/>
        <v>0</v>
      </c>
      <c r="AE145" s="8">
        <f t="shared" si="38"/>
        <v>0</v>
      </c>
      <c r="AF145" s="8">
        <f t="shared" si="38"/>
        <v>0</v>
      </c>
      <c r="AG145" s="8">
        <f t="shared" si="38"/>
        <v>0</v>
      </c>
      <c r="AH145" s="8"/>
      <c r="AI145" s="8"/>
      <c r="AJ145" s="8"/>
      <c r="AK145" s="8"/>
      <c r="AL145" s="8"/>
    </row>
    <row r="146" spans="1:44" hidden="1" outlineLevel="1">
      <c r="A146" t="s">
        <v>191</v>
      </c>
      <c r="T146" s="8">
        <f t="shared" si="37"/>
        <v>26693.57894736842</v>
      </c>
      <c r="U146" s="8">
        <f t="shared" si="37"/>
        <v>23553.157894736843</v>
      </c>
      <c r="V146" s="8">
        <f t="shared" si="37"/>
        <v>20412.736842105263</v>
      </c>
      <c r="W146" s="8">
        <f t="shared" si="37"/>
        <v>17272.315789473687</v>
      </c>
      <c r="X146" s="8">
        <f t="shared" si="37"/>
        <v>14131.894736842107</v>
      </c>
      <c r="Y146" s="8">
        <f t="shared" si="37"/>
        <v>10991.473684210527</v>
      </c>
      <c r="Z146" s="8">
        <f t="shared" si="38"/>
        <v>7851.0526315789466</v>
      </c>
      <c r="AA146" s="8">
        <f t="shared" si="38"/>
        <v>4710.6315789473665</v>
      </c>
      <c r="AB146" s="8">
        <f t="shared" si="38"/>
        <v>1570.2105263157864</v>
      </c>
      <c r="AC146" s="8">
        <f t="shared" si="38"/>
        <v>0</v>
      </c>
      <c r="AD146" s="8">
        <f t="shared" si="38"/>
        <v>0</v>
      </c>
      <c r="AE146" s="8">
        <f t="shared" si="38"/>
        <v>0</v>
      </c>
      <c r="AF146" s="8">
        <f t="shared" si="38"/>
        <v>0</v>
      </c>
      <c r="AG146" s="8">
        <f t="shared" si="38"/>
        <v>0</v>
      </c>
      <c r="AH146" s="8"/>
      <c r="AI146" s="8"/>
      <c r="AJ146" s="8"/>
      <c r="AK146" s="8"/>
      <c r="AL146" s="8"/>
      <c r="AM146" s="8"/>
    </row>
    <row r="147" spans="1:44" hidden="1" outlineLevel="1">
      <c r="A147" t="s">
        <v>192</v>
      </c>
      <c r="U147" s="8">
        <f t="shared" si="37"/>
        <v>48120</v>
      </c>
      <c r="V147" s="8">
        <f t="shared" si="37"/>
        <v>37989.473684210527</v>
      </c>
      <c r="W147" s="8">
        <f t="shared" si="37"/>
        <v>32924.210526315786</v>
      </c>
      <c r="X147" s="8">
        <f t="shared" si="37"/>
        <v>27858.947368421053</v>
      </c>
      <c r="Y147" s="8">
        <f t="shared" si="37"/>
        <v>22793.684210526317</v>
      </c>
      <c r="Z147" s="8">
        <f t="shared" si="38"/>
        <v>17728.42105263158</v>
      </c>
      <c r="AA147" s="8">
        <f t="shared" si="38"/>
        <v>12663.15789473684</v>
      </c>
      <c r="AB147" s="8">
        <f t="shared" si="38"/>
        <v>7597.8947368421068</v>
      </c>
      <c r="AC147" s="8">
        <f t="shared" si="38"/>
        <v>2532.6315789473738</v>
      </c>
      <c r="AD147" s="8">
        <f t="shared" si="38"/>
        <v>0</v>
      </c>
      <c r="AE147" s="8">
        <f t="shared" si="38"/>
        <v>0</v>
      </c>
      <c r="AF147" s="8">
        <f t="shared" si="38"/>
        <v>0</v>
      </c>
      <c r="AG147" s="8">
        <f t="shared" si="38"/>
        <v>0</v>
      </c>
      <c r="AH147" s="8"/>
      <c r="AI147" s="8"/>
      <c r="AJ147" s="8"/>
      <c r="AK147" s="8"/>
      <c r="AL147" s="8"/>
      <c r="AM147" s="8"/>
      <c r="AN147" s="8"/>
    </row>
    <row r="148" spans="1:44" hidden="1" outlineLevel="1">
      <c r="A148" t="s">
        <v>72</v>
      </c>
      <c r="V148" s="8">
        <f t="shared" si="37"/>
        <v>67481.052631578947</v>
      </c>
      <c r="W148" s="8">
        <f t="shared" si="37"/>
        <v>59542.105263157893</v>
      </c>
      <c r="X148" s="8">
        <f t="shared" si="37"/>
        <v>51603.15789473684</v>
      </c>
      <c r="Y148" s="8">
        <f t="shared" si="37"/>
        <v>43664.210526315786</v>
      </c>
      <c r="Z148" s="8">
        <f t="shared" si="38"/>
        <v>35725.26315789474</v>
      </c>
      <c r="AA148" s="8">
        <f t="shared" si="38"/>
        <v>27786.315789473687</v>
      </c>
      <c r="AB148" s="8">
        <f t="shared" si="38"/>
        <v>19847.368421052633</v>
      </c>
      <c r="AC148" s="8">
        <f t="shared" si="38"/>
        <v>11908.42105263158</v>
      </c>
      <c r="AD148" s="8">
        <f t="shared" si="38"/>
        <v>3969.473684210534</v>
      </c>
      <c r="AE148" s="8">
        <f t="shared" si="38"/>
        <v>0</v>
      </c>
      <c r="AF148" s="8">
        <f t="shared" si="38"/>
        <v>0</v>
      </c>
      <c r="AG148" s="8">
        <f t="shared" si="38"/>
        <v>0</v>
      </c>
      <c r="AH148" s="8"/>
      <c r="AI148" s="8"/>
      <c r="AJ148" s="8"/>
      <c r="AK148" s="8"/>
      <c r="AL148" s="8"/>
      <c r="AM148" s="8"/>
      <c r="AN148" s="8"/>
      <c r="AO148" s="8"/>
    </row>
    <row r="149" spans="1:44" hidden="1" outlineLevel="1">
      <c r="A149" t="s">
        <v>73</v>
      </c>
      <c r="W149" s="8">
        <f>+W83-W116</f>
        <v>54231.394184364144</v>
      </c>
      <c r="X149" s="8">
        <f>+X83-X116</f>
        <v>47851.230162674241</v>
      </c>
      <c r="Y149" s="8">
        <f>+Y83-Y116</f>
        <v>41471.066140984345</v>
      </c>
      <c r="Z149" s="8">
        <f t="shared" si="38"/>
        <v>35090.902119294449</v>
      </c>
      <c r="AA149" s="8">
        <f t="shared" si="38"/>
        <v>28710.738097604546</v>
      </c>
      <c r="AB149" s="8">
        <f t="shared" si="38"/>
        <v>22330.57407591465</v>
      </c>
      <c r="AC149" s="8">
        <f t="shared" si="38"/>
        <v>15950.410054224754</v>
      </c>
      <c r="AD149" s="8">
        <f t="shared" si="38"/>
        <v>9570.2460325348584</v>
      </c>
      <c r="AE149" s="8">
        <f t="shared" si="38"/>
        <v>3190.0820108449625</v>
      </c>
      <c r="AF149" s="8">
        <f t="shared" si="38"/>
        <v>0</v>
      </c>
      <c r="AG149" s="8">
        <f t="shared" si="38"/>
        <v>0</v>
      </c>
      <c r="AH149" s="8"/>
      <c r="AI149" s="8"/>
      <c r="AJ149" s="8"/>
      <c r="AK149" s="8"/>
      <c r="AL149" s="8"/>
      <c r="AM149" s="8"/>
      <c r="AN149" s="8"/>
      <c r="AO149" s="8"/>
      <c r="AP149" s="8"/>
    </row>
    <row r="150" spans="1:44" hidden="1" outlineLevel="1">
      <c r="A150" t="s">
        <v>74</v>
      </c>
      <c r="X150" s="8">
        <f>+X84-X117</f>
        <v>53722.199293427482</v>
      </c>
      <c r="Y150" s="8">
        <f>+Y84-Y117</f>
        <v>47401.940553024251</v>
      </c>
      <c r="Z150" s="8">
        <f t="shared" si="38"/>
        <v>41081.681812621013</v>
      </c>
      <c r="AA150" s="8">
        <f t="shared" si="38"/>
        <v>34761.423072217782</v>
      </c>
      <c r="AB150" s="8">
        <f t="shared" si="38"/>
        <v>28441.164331814551</v>
      </c>
      <c r="AC150" s="8">
        <f t="shared" si="38"/>
        <v>22120.90559141132</v>
      </c>
      <c r="AD150" s="8">
        <f t="shared" si="38"/>
        <v>15800.646851008089</v>
      </c>
      <c r="AE150" s="8">
        <f t="shared" si="38"/>
        <v>9480.3881106048575</v>
      </c>
      <c r="AF150" s="8">
        <f t="shared" si="38"/>
        <v>3160.1293702016264</v>
      </c>
      <c r="AG150" s="8">
        <f t="shared" si="38"/>
        <v>0</v>
      </c>
      <c r="AH150" s="8"/>
      <c r="AI150" s="8"/>
      <c r="AJ150" s="8"/>
      <c r="AK150" s="8"/>
      <c r="AL150" s="8"/>
      <c r="AM150" s="8"/>
      <c r="AN150" s="8"/>
      <c r="AO150" s="8"/>
      <c r="AP150" s="8"/>
      <c r="AQ150" s="8"/>
    </row>
    <row r="151" spans="1:44" hidden="1" outlineLevel="1">
      <c r="A151" t="s">
        <v>75</v>
      </c>
      <c r="Y151" s="8">
        <f>+Y85-Y118</f>
        <v>52635.108997756142</v>
      </c>
      <c r="Z151" s="8">
        <f t="shared" si="38"/>
        <v>46442.743233314242</v>
      </c>
      <c r="AA151" s="8">
        <f t="shared" si="38"/>
        <v>40250.37746887235</v>
      </c>
      <c r="AB151" s="8">
        <f t="shared" si="38"/>
        <v>34058.01170443045</v>
      </c>
      <c r="AC151" s="8">
        <f t="shared" si="38"/>
        <v>27865.645939988546</v>
      </c>
      <c r="AD151" s="8">
        <f t="shared" si="38"/>
        <v>21673.28017554665</v>
      </c>
      <c r="AE151" s="8">
        <f t="shared" si="38"/>
        <v>15480.91441110475</v>
      </c>
      <c r="AF151" s="8">
        <f t="shared" si="38"/>
        <v>9288.5486466628499</v>
      </c>
      <c r="AG151" s="8">
        <f t="shared" si="38"/>
        <v>3096.18288222095</v>
      </c>
      <c r="AH151" s="8"/>
      <c r="AI151" s="8"/>
      <c r="AJ151" s="8"/>
      <c r="AK151" s="8"/>
      <c r="AL151" s="8"/>
      <c r="AM151" s="8"/>
      <c r="AN151" s="8"/>
      <c r="AO151" s="8"/>
      <c r="AP151" s="8"/>
      <c r="AQ151" s="8"/>
      <c r="AR151" s="8"/>
    </row>
    <row r="152" spans="1:44" hidden="1" outlineLevel="1">
      <c r="A152" t="s">
        <v>76</v>
      </c>
      <c r="Y152" s="8"/>
      <c r="Z152" s="8">
        <f>+Z86-Z119</f>
        <v>50890.106067692468</v>
      </c>
      <c r="AA152" s="8">
        <f t="shared" si="38"/>
        <v>44903.034765611003</v>
      </c>
      <c r="AB152" s="8">
        <f t="shared" si="38"/>
        <v>38915.963463529537</v>
      </c>
      <c r="AC152" s="8">
        <f t="shared" si="38"/>
        <v>32928.892161448064</v>
      </c>
      <c r="AD152" s="8">
        <f t="shared" si="38"/>
        <v>26941.820859366602</v>
      </c>
      <c r="AE152" s="8">
        <f t="shared" si="38"/>
        <v>20954.749557285133</v>
      </c>
      <c r="AF152" s="8">
        <f t="shared" si="38"/>
        <v>14967.678255203668</v>
      </c>
      <c r="AG152" s="8">
        <f t="shared" si="38"/>
        <v>8980.606953122202</v>
      </c>
      <c r="AH152" s="8"/>
      <c r="AI152" s="8"/>
      <c r="AJ152" s="8"/>
      <c r="AK152" s="8"/>
      <c r="AL152" s="8"/>
      <c r="AM152" s="8"/>
      <c r="AN152" s="8"/>
      <c r="AO152" s="8"/>
      <c r="AP152" s="8"/>
      <c r="AQ152" s="8"/>
      <c r="AR152" s="8"/>
    </row>
    <row r="153" spans="1:44" hidden="1" outlineLevel="1">
      <c r="A153" t="s">
        <v>77</v>
      </c>
      <c r="Y153" s="8"/>
      <c r="Z153" s="8"/>
      <c r="AA153" s="8">
        <f>+AA87-AA120</f>
        <v>48397.67165005389</v>
      </c>
      <c r="AB153" s="8">
        <f t="shared" si="38"/>
        <v>42703.827926518141</v>
      </c>
      <c r="AC153" s="8">
        <f t="shared" si="38"/>
        <v>37009.984202982392</v>
      </c>
      <c r="AD153" s="8">
        <f t="shared" si="38"/>
        <v>31316.140479446636</v>
      </c>
      <c r="AE153" s="8">
        <f t="shared" si="38"/>
        <v>25622.296755910884</v>
      </c>
      <c r="AF153" s="8">
        <f t="shared" si="38"/>
        <v>19928.453032375131</v>
      </c>
      <c r="AG153" s="8">
        <f t="shared" si="38"/>
        <v>14234.609308839383</v>
      </c>
      <c r="AH153" s="8"/>
      <c r="AI153" s="8"/>
      <c r="AJ153" s="8"/>
      <c r="AK153" s="8"/>
      <c r="AL153" s="8"/>
      <c r="AM153" s="8"/>
      <c r="AN153" s="8"/>
      <c r="AO153" s="8"/>
      <c r="AP153" s="8"/>
      <c r="AQ153" s="8"/>
      <c r="AR153" s="8"/>
    </row>
    <row r="154" spans="1:44" hidden="1" outlineLevel="1">
      <c r="A154" t="s">
        <v>78</v>
      </c>
      <c r="Y154" s="8"/>
      <c r="Z154" s="8"/>
      <c r="AA154" s="8"/>
      <c r="AB154" s="8">
        <f>+AB88-AB121</f>
        <v>48812.608184314318</v>
      </c>
      <c r="AC154" s="8">
        <f t="shared" si="38"/>
        <v>43069.948397924403</v>
      </c>
      <c r="AD154" s="8">
        <f t="shared" si="38"/>
        <v>37327.288611534481</v>
      </c>
      <c r="AE154" s="8">
        <f t="shared" si="38"/>
        <v>31584.628825144562</v>
      </c>
      <c r="AF154" s="8">
        <f t="shared" si="38"/>
        <v>25841.969038754643</v>
      </c>
      <c r="AG154" s="8">
        <f t="shared" si="38"/>
        <v>20099.309252364721</v>
      </c>
      <c r="AH154" s="8"/>
      <c r="AI154" s="8"/>
      <c r="AJ154" s="8"/>
      <c r="AK154" s="8"/>
      <c r="AL154" s="8"/>
      <c r="AM154" s="8"/>
      <c r="AN154" s="8"/>
      <c r="AO154" s="8"/>
      <c r="AP154" s="8"/>
      <c r="AQ154" s="8"/>
      <c r="AR154" s="8"/>
    </row>
    <row r="155" spans="1:44" hidden="1" outlineLevel="1">
      <c r="A155" t="s">
        <v>79</v>
      </c>
      <c r="Y155" s="8"/>
      <c r="Z155" s="8"/>
      <c r="AA155" s="8"/>
      <c r="AB155" s="8"/>
      <c r="AC155" s="8">
        <f>+AC89-AC122</f>
        <v>48910.641140524895</v>
      </c>
      <c r="AD155" s="8">
        <f t="shared" si="38"/>
        <v>43156.448065169025</v>
      </c>
      <c r="AE155" s="8">
        <f t="shared" si="38"/>
        <v>37402.254989813155</v>
      </c>
      <c r="AF155" s="8">
        <f t="shared" si="38"/>
        <v>31648.061914457285</v>
      </c>
      <c r="AG155" s="8">
        <f t="shared" si="38"/>
        <v>25893.868839101415</v>
      </c>
      <c r="AH155" s="8"/>
      <c r="AI155" s="8"/>
      <c r="AJ155" s="8"/>
      <c r="AK155" s="8"/>
      <c r="AL155" s="8"/>
      <c r="AM155" s="8"/>
      <c r="AN155" s="8"/>
      <c r="AO155" s="8"/>
      <c r="AP155" s="8"/>
      <c r="AQ155" s="8"/>
      <c r="AR155" s="8"/>
    </row>
    <row r="156" spans="1:44" hidden="1" outlineLevel="1">
      <c r="A156" t="s">
        <v>80</v>
      </c>
      <c r="Y156" s="8"/>
      <c r="Z156" s="8"/>
      <c r="AA156" s="8"/>
      <c r="AB156" s="8"/>
      <c r="AC156" s="8"/>
      <c r="AD156" s="8">
        <f>+AD90-AD123</f>
        <v>53064.767711834807</v>
      </c>
      <c r="AE156" s="8">
        <f t="shared" ref="AE156:AG158" si="39">+AE90-AE123</f>
        <v>46821.853863383658</v>
      </c>
      <c r="AF156" s="8">
        <f t="shared" si="39"/>
        <v>40578.940014932501</v>
      </c>
      <c r="AG156" s="8">
        <f t="shared" si="39"/>
        <v>34336.026166481344</v>
      </c>
      <c r="AH156" s="8"/>
      <c r="AI156" s="8"/>
      <c r="AJ156" s="8"/>
      <c r="AK156" s="8"/>
      <c r="AL156" s="8"/>
      <c r="AM156" s="8"/>
      <c r="AN156" s="8"/>
      <c r="AO156" s="8"/>
      <c r="AP156" s="8"/>
      <c r="AQ156" s="8"/>
      <c r="AR156" s="8"/>
    </row>
    <row r="157" spans="1:44" hidden="1" outlineLevel="1">
      <c r="A157" t="s">
        <v>81</v>
      </c>
      <c r="Y157" s="8"/>
      <c r="Z157" s="8"/>
      <c r="AA157" s="8"/>
      <c r="AB157" s="8"/>
      <c r="AC157" s="8"/>
      <c r="AD157" s="8"/>
      <c r="AE157" s="8">
        <f>+AE91-AE124</f>
        <v>57544.46870100763</v>
      </c>
      <c r="AF157" s="8">
        <f t="shared" si="39"/>
        <v>50774.53120677144</v>
      </c>
      <c r="AG157" s="8">
        <f t="shared" si="39"/>
        <v>44004.593712535243</v>
      </c>
      <c r="AH157" s="8"/>
      <c r="AI157" s="8"/>
      <c r="AJ157" s="8"/>
      <c r="AK157" s="8"/>
      <c r="AL157" s="8"/>
      <c r="AM157" s="8"/>
      <c r="AN157" s="8"/>
      <c r="AO157" s="8"/>
      <c r="AP157" s="8"/>
      <c r="AQ157" s="8"/>
      <c r="AR157" s="8"/>
    </row>
    <row r="158" spans="1:44" hidden="1" outlineLevel="1">
      <c r="A158" t="s">
        <v>82</v>
      </c>
      <c r="Y158" s="8"/>
      <c r="Z158" s="8"/>
      <c r="AA158" s="8"/>
      <c r="AB158" s="8"/>
      <c r="AC158" s="8"/>
      <c r="AD158" s="8"/>
      <c r="AE158" s="8"/>
      <c r="AF158" s="8">
        <f>+AF92-AF125</f>
        <v>62375.979221291935</v>
      </c>
      <c r="AG158" s="8">
        <f t="shared" si="39"/>
        <v>55037.628724669354</v>
      </c>
      <c r="AH158" s="8"/>
      <c r="AI158" s="8"/>
      <c r="AJ158" s="8"/>
      <c r="AK158" s="8"/>
      <c r="AL158" s="8"/>
      <c r="AM158" s="8"/>
      <c r="AN158" s="8"/>
      <c r="AO158" s="8"/>
      <c r="AP158" s="8"/>
      <c r="AQ158" s="8"/>
      <c r="AR158" s="8"/>
    </row>
    <row r="159" spans="1:44" hidden="1" outlineLevel="1">
      <c r="A159" t="s">
        <v>83</v>
      </c>
      <c r="Y159" s="8"/>
      <c r="Z159" s="8"/>
      <c r="AA159" s="8"/>
      <c r="AB159" s="8"/>
      <c r="AC159" s="8"/>
      <c r="AD159" s="8"/>
      <c r="AE159" s="8"/>
      <c r="AF159" s="8"/>
      <c r="AG159" s="8">
        <f>+AG93-AG126</f>
        <v>67587.627898521285</v>
      </c>
      <c r="AH159" s="8"/>
      <c r="AI159" s="8"/>
      <c r="AJ159" s="8"/>
      <c r="AK159" s="8"/>
      <c r="AL159" s="8"/>
      <c r="AM159" s="8"/>
      <c r="AN159" s="8"/>
      <c r="AO159" s="8"/>
      <c r="AP159" s="8"/>
      <c r="AQ159" s="8"/>
      <c r="AR159" s="8"/>
    </row>
    <row r="160" spans="1:44" hidden="1" outlineLevel="1">
      <c r="A160" t="s">
        <v>764</v>
      </c>
      <c r="Y160" s="8"/>
      <c r="Z160" s="8"/>
      <c r="AA160" s="8"/>
      <c r="AB160" s="8"/>
      <c r="AC160" s="8"/>
      <c r="AD160" s="8"/>
      <c r="AE160" s="8"/>
      <c r="AF160" s="8"/>
      <c r="AG160" s="8"/>
      <c r="AH160" s="8"/>
      <c r="AI160" s="8"/>
      <c r="AJ160" s="8"/>
      <c r="AK160" s="8"/>
      <c r="AL160" s="8"/>
      <c r="AM160" s="8"/>
      <c r="AN160" s="8"/>
      <c r="AO160" s="8"/>
      <c r="AP160" s="8"/>
      <c r="AQ160" s="8"/>
      <c r="AR160" s="8"/>
    </row>
    <row r="161" spans="1:33" collapsed="1"/>
    <row r="162" spans="1:33" ht="10.5">
      <c r="A162" s="5" t="s">
        <v>777</v>
      </c>
      <c r="B162" s="4"/>
    </row>
    <row r="164" spans="1:33" ht="10.5">
      <c r="A164" s="45" t="s">
        <v>778</v>
      </c>
    </row>
    <row r="165" spans="1:33">
      <c r="A165" t="s">
        <v>779</v>
      </c>
      <c r="C165" s="29">
        <v>362</v>
      </c>
      <c r="D165" s="29">
        <v>428</v>
      </c>
      <c r="E165" s="29">
        <v>518</v>
      </c>
      <c r="F165" s="29">
        <v>526</v>
      </c>
      <c r="G165" s="29">
        <v>526</v>
      </c>
      <c r="H165" s="29">
        <v>533</v>
      </c>
      <c r="I165" s="29">
        <v>528</v>
      </c>
      <c r="J165" s="29">
        <v>525</v>
      </c>
      <c r="K165" s="29">
        <v>541</v>
      </c>
      <c r="L165" s="29">
        <v>769</v>
      </c>
      <c r="M165" s="29">
        <v>824</v>
      </c>
      <c r="N165" s="29">
        <v>1107</v>
      </c>
      <c r="O165" s="29">
        <v>1254</v>
      </c>
      <c r="P165" s="29">
        <v>1540</v>
      </c>
      <c r="Q165" s="29">
        <v>1823</v>
      </c>
      <c r="R165" s="29">
        <v>3660</v>
      </c>
      <c r="S165" s="29">
        <v>4734</v>
      </c>
      <c r="T165" s="29">
        <v>5683</v>
      </c>
      <c r="U165" s="29">
        <v>8163</v>
      </c>
      <c r="V165" s="29"/>
      <c r="W165" s="29"/>
    </row>
    <row r="166" spans="1:33">
      <c r="A166" t="s">
        <v>780</v>
      </c>
      <c r="C166" s="29">
        <v>2228</v>
      </c>
      <c r="D166" s="29">
        <v>3170</v>
      </c>
      <c r="E166" s="29">
        <v>4302</v>
      </c>
      <c r="F166" s="29">
        <v>5886</v>
      </c>
      <c r="G166" s="29">
        <v>6087</v>
      </c>
      <c r="H166" s="29">
        <v>6521</v>
      </c>
      <c r="I166" s="29">
        <v>6768</v>
      </c>
      <c r="J166" s="29">
        <v>7326</v>
      </c>
      <c r="K166" s="29">
        <v>8867</v>
      </c>
      <c r="L166" s="29">
        <v>10800</v>
      </c>
      <c r="M166" s="29">
        <v>12393</v>
      </c>
      <c r="N166" s="29">
        <v>16284</v>
      </c>
      <c r="O166" s="29">
        <v>20604</v>
      </c>
      <c r="P166" s="29">
        <v>26288</v>
      </c>
      <c r="Q166" s="29">
        <v>33995</v>
      </c>
      <c r="R166" s="29">
        <v>43928</v>
      </c>
      <c r="S166" s="29">
        <v>55014</v>
      </c>
      <c r="T166" s="29">
        <v>68465</v>
      </c>
      <c r="U166" s="29">
        <v>93943</v>
      </c>
      <c r="V166" s="29"/>
      <c r="W166" s="29"/>
    </row>
    <row r="167" spans="1:33">
      <c r="A167" t="s">
        <v>781</v>
      </c>
      <c r="C167" s="29">
        <v>918</v>
      </c>
      <c r="D167" s="29">
        <v>1077</v>
      </c>
      <c r="E167" s="29">
        <v>1728</v>
      </c>
      <c r="F167" s="29">
        <v>1938</v>
      </c>
      <c r="G167" s="29">
        <v>2100</v>
      </c>
      <c r="H167" s="29">
        <v>2345</v>
      </c>
      <c r="I167" s="29">
        <v>2550</v>
      </c>
      <c r="J167" s="29">
        <v>2946</v>
      </c>
      <c r="K167" s="29">
        <v>3560</v>
      </c>
      <c r="L167" s="29">
        <v>3577</v>
      </c>
      <c r="M167" s="29">
        <v>3659</v>
      </c>
      <c r="N167" s="29">
        <v>5064</v>
      </c>
      <c r="O167" s="29">
        <v>4735</v>
      </c>
      <c r="P167" s="29">
        <v>5316</v>
      </c>
      <c r="Q167" s="29">
        <v>5487</v>
      </c>
      <c r="R167" s="29">
        <v>6884</v>
      </c>
      <c r="S167" s="29">
        <v>7819</v>
      </c>
      <c r="T167" s="29">
        <v>8537</v>
      </c>
      <c r="U167" s="29">
        <v>9594</v>
      </c>
      <c r="V167" s="29"/>
      <c r="W167" s="29"/>
    </row>
    <row r="168" spans="1:33">
      <c r="A168" t="s">
        <v>782</v>
      </c>
      <c r="C168" s="29">
        <v>2682</v>
      </c>
      <c r="D168" s="29">
        <v>3458</v>
      </c>
      <c r="E168" s="29">
        <v>4475</v>
      </c>
      <c r="F168" s="29">
        <v>4989</v>
      </c>
      <c r="G168" s="29">
        <v>5673</v>
      </c>
      <c r="H168" s="29">
        <v>6601</v>
      </c>
      <c r="I168" s="29">
        <v>7298</v>
      </c>
      <c r="J168" s="29">
        <v>9242</v>
      </c>
      <c r="K168" s="29">
        <v>11430</v>
      </c>
      <c r="L168" s="29">
        <v>13612</v>
      </c>
      <c r="M168" s="29">
        <v>17391</v>
      </c>
      <c r="N168" s="29">
        <v>21414</v>
      </c>
      <c r="O168" s="29">
        <v>27633</v>
      </c>
      <c r="P168" s="29">
        <v>33823</v>
      </c>
      <c r="Q168" s="29">
        <v>41261</v>
      </c>
      <c r="R168" s="29">
        <v>51250</v>
      </c>
      <c r="S168" s="29">
        <v>60631</v>
      </c>
      <c r="T168" s="29">
        <v>74961</v>
      </c>
      <c r="U168" s="29">
        <v>93780</v>
      </c>
      <c r="V168" s="29"/>
      <c r="W168" s="29"/>
    </row>
    <row r="169" spans="1:33" ht="11.45">
      <c r="A169" t="s">
        <v>783</v>
      </c>
      <c r="C169" s="30">
        <v>1033</v>
      </c>
      <c r="D169" s="30">
        <v>1233</v>
      </c>
      <c r="E169" s="30">
        <v>1521</v>
      </c>
      <c r="F169" s="30">
        <v>1743</v>
      </c>
      <c r="G169" s="30">
        <v>1873</v>
      </c>
      <c r="H169" s="30">
        <v>1991</v>
      </c>
      <c r="I169" s="30">
        <v>2087</v>
      </c>
      <c r="J169" s="30">
        <v>2465</v>
      </c>
      <c r="K169" s="30">
        <v>3406</v>
      </c>
      <c r="L169" s="30">
        <v>3579</v>
      </c>
      <c r="M169" s="30">
        <v>3889</v>
      </c>
      <c r="N169" s="30">
        <v>4044</v>
      </c>
      <c r="O169" s="30">
        <v>4457</v>
      </c>
      <c r="P169" s="30">
        <v>4840</v>
      </c>
      <c r="Q169" s="30">
        <v>4782</v>
      </c>
      <c r="R169" s="30">
        <v>5344</v>
      </c>
      <c r="S169" s="30">
        <v>5860</v>
      </c>
      <c r="T169" s="30">
        <v>6246</v>
      </c>
      <c r="U169" s="30">
        <v>6532</v>
      </c>
      <c r="V169" s="30"/>
      <c r="W169" s="30"/>
    </row>
    <row r="170" spans="1:33" s="1" customFormat="1" ht="10.5">
      <c r="A170" s="837" t="s">
        <v>784</v>
      </c>
      <c r="C170" s="936">
        <f>+SUM(C165:C169)</f>
        <v>7223</v>
      </c>
      <c r="D170" s="936">
        <f t="shared" ref="D170:U170" si="40">+SUM(D165:D169)</f>
        <v>9366</v>
      </c>
      <c r="E170" s="936">
        <f t="shared" si="40"/>
        <v>12544</v>
      </c>
      <c r="F170" s="936">
        <f t="shared" si="40"/>
        <v>15082</v>
      </c>
      <c r="G170" s="936">
        <f t="shared" si="40"/>
        <v>16259</v>
      </c>
      <c r="H170" s="936">
        <f t="shared" si="40"/>
        <v>17991</v>
      </c>
      <c r="I170" s="936">
        <f t="shared" si="40"/>
        <v>19231</v>
      </c>
      <c r="J170" s="936">
        <f t="shared" si="40"/>
        <v>22504</v>
      </c>
      <c r="K170" s="936">
        <f t="shared" si="40"/>
        <v>27804</v>
      </c>
      <c r="L170" s="936">
        <f t="shared" si="40"/>
        <v>32337</v>
      </c>
      <c r="M170" s="936">
        <f t="shared" si="40"/>
        <v>38156</v>
      </c>
      <c r="N170" s="936">
        <f t="shared" si="40"/>
        <v>47913</v>
      </c>
      <c r="O170" s="936">
        <f t="shared" si="40"/>
        <v>58683</v>
      </c>
      <c r="P170" s="936">
        <f t="shared" si="40"/>
        <v>71807</v>
      </c>
      <c r="Q170" s="936">
        <f t="shared" si="40"/>
        <v>87348</v>
      </c>
      <c r="R170" s="936">
        <f t="shared" si="40"/>
        <v>111066</v>
      </c>
      <c r="S170" s="936">
        <f t="shared" si="40"/>
        <v>134058</v>
      </c>
      <c r="T170" s="936">
        <f t="shared" si="40"/>
        <v>163892</v>
      </c>
      <c r="U170" s="936">
        <f t="shared" si="40"/>
        <v>212012</v>
      </c>
      <c r="V170" s="838">
        <f t="shared" ref="V170:AG170" si="41">+V179</f>
        <v>285206.45146803994</v>
      </c>
      <c r="W170" s="838">
        <f t="shared" si="41"/>
        <v>338055.19198248105</v>
      </c>
      <c r="X170" s="838">
        <f t="shared" si="41"/>
        <v>387258.96112963697</v>
      </c>
      <c r="Y170" s="838">
        <f t="shared" si="41"/>
        <v>432371.57073387655</v>
      </c>
      <c r="Z170" s="838">
        <f t="shared" si="41"/>
        <v>472876.79053052963</v>
      </c>
      <c r="AA170" s="838">
        <f t="shared" si="41"/>
        <v>508181.01360093738</v>
      </c>
      <c r="AB170" s="838">
        <f t="shared" si="41"/>
        <v>542015.77388912765</v>
      </c>
      <c r="AC170" s="838">
        <f t="shared" si="41"/>
        <v>574109.25257186661</v>
      </c>
      <c r="AD170" s="838">
        <f t="shared" si="41"/>
        <v>609291.3441797815</v>
      </c>
      <c r="AE170" s="838">
        <f t="shared" si="41"/>
        <v>647785.03528612165</v>
      </c>
      <c r="AF170" s="838">
        <f t="shared" si="41"/>
        <v>689832.26612807193</v>
      </c>
      <c r="AG170" s="838">
        <f t="shared" si="41"/>
        <v>735695.39534326445</v>
      </c>
    </row>
    <row r="171" spans="1:33" s="1" customFormat="1" ht="10.5">
      <c r="A171" s="837"/>
      <c r="C171" s="838"/>
      <c r="U171" s="838"/>
      <c r="V171" s="838"/>
      <c r="W171" s="838"/>
    </row>
    <row r="172" spans="1:33" s="1" customFormat="1" ht="10.5">
      <c r="A172" s="24" t="s">
        <v>127</v>
      </c>
      <c r="C172" s="838"/>
      <c r="U172" s="838"/>
      <c r="V172" s="838"/>
      <c r="W172" s="838"/>
    </row>
    <row r="173" spans="1:33" s="3" customFormat="1">
      <c r="A173" s="13" t="s">
        <v>785</v>
      </c>
      <c r="C173" s="40">
        <v>122</v>
      </c>
      <c r="D173" s="40">
        <v>234</v>
      </c>
      <c r="E173" s="40">
        <v>821</v>
      </c>
      <c r="F173" s="40">
        <v>1226</v>
      </c>
      <c r="G173" s="40">
        <v>621</v>
      </c>
      <c r="H173" s="40">
        <v>347</v>
      </c>
      <c r="I173" s="40">
        <v>263</v>
      </c>
      <c r="J173" s="40">
        <v>353</v>
      </c>
      <c r="K173" s="40">
        <v>694</v>
      </c>
      <c r="L173" s="40">
        <v>880</v>
      </c>
      <c r="M173" s="40">
        <v>681</v>
      </c>
      <c r="N173" s="40">
        <v>1809</v>
      </c>
      <c r="O173" s="40">
        <v>1067</v>
      </c>
      <c r="P173" s="40">
        <v>1793</v>
      </c>
      <c r="Q173" s="40">
        <v>3443</v>
      </c>
      <c r="R173" s="40">
        <v>4761</v>
      </c>
      <c r="S173" s="40">
        <v>8927</v>
      </c>
      <c r="T173" s="40">
        <v>7942</v>
      </c>
      <c r="U173" s="40">
        <v>12237</v>
      </c>
      <c r="V173" s="40">
        <v>29892</v>
      </c>
      <c r="W173" s="40"/>
    </row>
    <row r="174" spans="1:33" s="3" customFormat="1">
      <c r="A174" s="13" t="str">
        <f>+'D&amp;A forecast - Case 1'!A174</f>
        <v>Assets acquired under capital leases</v>
      </c>
      <c r="C174" s="40">
        <f>+'D&amp;A forecast - Case 1'!C174</f>
        <v>0</v>
      </c>
      <c r="D174" s="40">
        <f>+'D&amp;A forecast - Case 1'!D174</f>
        <v>0</v>
      </c>
      <c r="E174" s="40">
        <f>+'D&amp;A forecast - Case 1'!E174</f>
        <v>0</v>
      </c>
      <c r="F174" s="40">
        <f>+'D&amp;A forecast - Case 1'!F174</f>
        <v>0</v>
      </c>
      <c r="G174" s="40">
        <f>+'D&amp;A forecast - Case 1'!G174</f>
        <v>0</v>
      </c>
      <c r="H174" s="40">
        <f>+'D&amp;A forecast - Case 1'!H174</f>
        <v>0</v>
      </c>
      <c r="I174" s="40">
        <f>+'D&amp;A forecast - Case 1'!I174</f>
        <v>0</v>
      </c>
      <c r="J174" s="40">
        <f>+'D&amp;A forecast - Case 1'!J174</f>
        <v>0</v>
      </c>
      <c r="K174" s="40">
        <f>+'D&amp;A forecast - Case 1'!K174</f>
        <v>0</v>
      </c>
      <c r="L174" s="40">
        <f>+'D&amp;A forecast - Case 1'!L174</f>
        <v>0</v>
      </c>
      <c r="M174" s="40">
        <f>+'D&amp;A forecast - Case 1'!M174</f>
        <v>0</v>
      </c>
      <c r="N174" s="40">
        <f>+'D&amp;A forecast - Case 1'!N174</f>
        <v>2071</v>
      </c>
      <c r="O174" s="40">
        <f>+'D&amp;A forecast - Case 1'!O174</f>
        <v>1968</v>
      </c>
      <c r="P174" s="40">
        <f>+'D&amp;A forecast - Case 1'!P174</f>
        <v>2975</v>
      </c>
      <c r="Q174" s="40">
        <f>+'D&amp;A forecast - Case 1'!Q174</f>
        <v>3559</v>
      </c>
      <c r="R174" s="40">
        <f>+'D&amp;A forecast - Case 1'!R174</f>
        <v>3578</v>
      </c>
      <c r="S174" s="40">
        <f>+'D&amp;A forecast - Case 1'!S174</f>
        <v>5314</v>
      </c>
      <c r="T174" s="40">
        <f>+'D&amp;A forecast - Case 1'!T174</f>
        <v>3793</v>
      </c>
      <c r="U174" s="40">
        <f>+'D&amp;A forecast - Case 1'!U174</f>
        <v>11223</v>
      </c>
      <c r="V174" s="40"/>
      <c r="W174" s="40"/>
    </row>
    <row r="175" spans="1:33" s="1" customFormat="1" ht="10.5">
      <c r="A175" s="837"/>
      <c r="C175" s="838"/>
      <c r="V175" s="838"/>
      <c r="W175" s="838"/>
    </row>
    <row r="176" spans="1:33" s="1" customFormat="1" ht="10.5">
      <c r="A176" t="s">
        <v>786</v>
      </c>
      <c r="D176" s="8">
        <f t="shared" ref="D176:U176" si="42">+C170</f>
        <v>7223</v>
      </c>
      <c r="E176" s="8">
        <f t="shared" si="42"/>
        <v>9366</v>
      </c>
      <c r="F176" s="8">
        <f t="shared" si="42"/>
        <v>12544</v>
      </c>
      <c r="G176" s="8">
        <f t="shared" si="42"/>
        <v>15082</v>
      </c>
      <c r="H176" s="8">
        <f t="shared" si="42"/>
        <v>16259</v>
      </c>
      <c r="I176" s="8">
        <f t="shared" si="42"/>
        <v>17991</v>
      </c>
      <c r="J176" s="8">
        <f t="shared" si="42"/>
        <v>19231</v>
      </c>
      <c r="K176" s="8">
        <f t="shared" si="42"/>
        <v>22504</v>
      </c>
      <c r="L176" s="8">
        <f t="shared" si="42"/>
        <v>27804</v>
      </c>
      <c r="M176" s="8">
        <f t="shared" si="42"/>
        <v>32337</v>
      </c>
      <c r="N176" s="8">
        <f t="shared" si="42"/>
        <v>38156</v>
      </c>
      <c r="O176" s="8">
        <f t="shared" si="42"/>
        <v>47913</v>
      </c>
      <c r="P176" s="8">
        <f t="shared" si="42"/>
        <v>58683</v>
      </c>
      <c r="Q176" s="8">
        <f t="shared" si="42"/>
        <v>71807</v>
      </c>
      <c r="R176" s="8">
        <f t="shared" si="42"/>
        <v>87348</v>
      </c>
      <c r="S176" s="8">
        <f t="shared" si="42"/>
        <v>111066</v>
      </c>
      <c r="T176" s="8">
        <f t="shared" si="42"/>
        <v>134058</v>
      </c>
      <c r="U176" s="8">
        <f t="shared" si="42"/>
        <v>163892</v>
      </c>
      <c r="V176" s="8">
        <f t="shared" ref="V176:AG176" si="43">+U179</f>
        <v>212012</v>
      </c>
      <c r="W176" s="8">
        <f t="shared" si="43"/>
        <v>285206.45146803994</v>
      </c>
      <c r="X176" s="8">
        <f t="shared" si="43"/>
        <v>338055.19198248105</v>
      </c>
      <c r="Y176" s="8">
        <f t="shared" si="43"/>
        <v>387258.96112963697</v>
      </c>
      <c r="Z176" s="8">
        <f t="shared" si="43"/>
        <v>432371.57073387655</v>
      </c>
      <c r="AA176" s="8">
        <f t="shared" si="43"/>
        <v>472876.79053052963</v>
      </c>
      <c r="AB176" s="8">
        <f t="shared" si="43"/>
        <v>508181.01360093738</v>
      </c>
      <c r="AC176" s="8">
        <f t="shared" si="43"/>
        <v>542015.77388912765</v>
      </c>
      <c r="AD176" s="8">
        <f t="shared" si="43"/>
        <v>574109.25257186661</v>
      </c>
      <c r="AE176" s="8">
        <f t="shared" si="43"/>
        <v>609291.3441797815</v>
      </c>
      <c r="AF176" s="8">
        <f t="shared" si="43"/>
        <v>647785.03528612165</v>
      </c>
      <c r="AG176" s="8">
        <f t="shared" si="43"/>
        <v>689832.26612807193</v>
      </c>
    </row>
    <row r="177" spans="1:33" s="1" customFormat="1" ht="10.5">
      <c r="A177" t="s">
        <v>787</v>
      </c>
      <c r="D177" s="29">
        <f>+'Historical Financials'!AU1199</f>
        <v>2264</v>
      </c>
      <c r="E177" s="29">
        <f>+'Historical Financials'!AV1199</f>
        <v>3182</v>
      </c>
      <c r="F177" s="29">
        <f>+'Historical Financials'!AW1199</f>
        <v>3119</v>
      </c>
      <c r="G177" s="29">
        <f>+'Historical Financials'!AX1199</f>
        <v>1977</v>
      </c>
      <c r="H177" s="29">
        <f>+'Historical Financials'!AY1199</f>
        <v>2355</v>
      </c>
      <c r="I177" s="29">
        <f>+'Historical Financials'!AZ1199</f>
        <v>2305</v>
      </c>
      <c r="J177" s="29">
        <f>+'Historical Financials'!BA1199</f>
        <v>4257</v>
      </c>
      <c r="K177" s="29">
        <f>+'Historical Financials'!BB1199</f>
        <v>5485</v>
      </c>
      <c r="L177" s="29">
        <f>+'Historical Financials'!BC1199</f>
        <v>5944</v>
      </c>
      <c r="M177" s="29">
        <f>+'Historical Financials'!BG1199</f>
        <v>8900</v>
      </c>
      <c r="N177" s="29">
        <f>+'Historical Financials'!BH1199</f>
        <v>10200</v>
      </c>
      <c r="O177" s="29">
        <f>+'Historical Financials'!BI1199</f>
        <v>13600</v>
      </c>
      <c r="P177" s="29">
        <f>+'Historical Financials'!BJ1199</f>
        <v>16900</v>
      </c>
      <c r="Q177" s="29">
        <f>+'Historical Financials'!BK1199</f>
        <v>19000</v>
      </c>
      <c r="R177" s="29">
        <f>+'Historical Financials'!BL1199</f>
        <v>24200</v>
      </c>
      <c r="S177" s="29">
        <f>+'Historical Financials'!BM1199</f>
        <v>29200</v>
      </c>
      <c r="T177" s="29">
        <f>+'Historical Financials'!BN1199</f>
        <v>31900</v>
      </c>
      <c r="U177" s="29">
        <f>+'Historical Financials'!BO1199</f>
        <v>55700</v>
      </c>
      <c r="V177" s="8">
        <f t="shared" ref="V177:AG177" si="44">+V14</f>
        <v>83000</v>
      </c>
      <c r="W177" s="8">
        <f t="shared" si="44"/>
        <v>66039.530193789353</v>
      </c>
      <c r="X177" s="8">
        <f t="shared" si="44"/>
        <v>64838.811462993188</v>
      </c>
      <c r="Y177" s="8">
        <f t="shared" si="44"/>
        <v>63023.324742029377</v>
      </c>
      <c r="Z177" s="8">
        <f t="shared" si="44"/>
        <v>60502.391752348209</v>
      </c>
      <c r="AA177" s="8">
        <f t="shared" si="44"/>
        <v>57174.760205969069</v>
      </c>
      <c r="AB177" s="8">
        <f t="shared" si="44"/>
        <v>57338.116663700406</v>
      </c>
      <c r="AC177" s="8">
        <f t="shared" si="44"/>
        <v>57161.691689350555</v>
      </c>
      <c r="AD177" s="8">
        <f t="shared" si="44"/>
        <v>61734.627024498601</v>
      </c>
      <c r="AE177" s="8">
        <f t="shared" si="44"/>
        <v>66673.397186458504</v>
      </c>
      <c r="AF177" s="8">
        <f t="shared" si="44"/>
        <v>72007.268961375186</v>
      </c>
      <c r="AG177" s="8">
        <f t="shared" si="44"/>
        <v>77767.850478285211</v>
      </c>
    </row>
    <row r="178" spans="1:33" s="1" customFormat="1" ht="11.45">
      <c r="A178" t="s">
        <v>200</v>
      </c>
      <c r="D178" s="10">
        <f t="shared" ref="D178:U178" si="45">+D179-SUM(D176:D177)</f>
        <v>-121</v>
      </c>
      <c r="E178" s="10">
        <f t="shared" si="45"/>
        <v>-4</v>
      </c>
      <c r="F178" s="10">
        <f t="shared" si="45"/>
        <v>-581</v>
      </c>
      <c r="G178" s="10">
        <f t="shared" si="45"/>
        <v>-800</v>
      </c>
      <c r="H178" s="10">
        <f t="shared" si="45"/>
        <v>-623</v>
      </c>
      <c r="I178" s="10">
        <f t="shared" si="45"/>
        <v>-1065</v>
      </c>
      <c r="J178" s="10">
        <f t="shared" si="45"/>
        <v>-984</v>
      </c>
      <c r="K178" s="10">
        <f t="shared" si="45"/>
        <v>-185</v>
      </c>
      <c r="L178" s="10">
        <f t="shared" si="45"/>
        <v>-1411</v>
      </c>
      <c r="M178" s="10">
        <f t="shared" si="45"/>
        <v>-3081</v>
      </c>
      <c r="N178" s="10">
        <f t="shared" si="45"/>
        <v>-443</v>
      </c>
      <c r="O178" s="10">
        <f t="shared" si="45"/>
        <v>-2830</v>
      </c>
      <c r="P178" s="10">
        <f t="shared" si="45"/>
        <v>-3776</v>
      </c>
      <c r="Q178" s="10">
        <f t="shared" si="45"/>
        <v>-3459</v>
      </c>
      <c r="R178" s="10">
        <f t="shared" si="45"/>
        <v>-482</v>
      </c>
      <c r="S178" s="10">
        <f t="shared" si="45"/>
        <v>-6208</v>
      </c>
      <c r="T178" s="10">
        <f t="shared" si="45"/>
        <v>-2066</v>
      </c>
      <c r="U178" s="10">
        <f t="shared" si="45"/>
        <v>-7580</v>
      </c>
      <c r="V178" s="58">
        <f t="shared" ref="V178:AG178" si="46">+U178/U176*V176</f>
        <v>-9805.5485319600702</v>
      </c>
      <c r="W178" s="58">
        <f t="shared" si="46"/>
        <v>-13190.789679348245</v>
      </c>
      <c r="X178" s="58">
        <f t="shared" si="46"/>
        <v>-15635.042315837296</v>
      </c>
      <c r="Y178" s="58">
        <f t="shared" si="46"/>
        <v>-17910.715137789812</v>
      </c>
      <c r="Z178" s="58">
        <f t="shared" si="46"/>
        <v>-19997.171955695118</v>
      </c>
      <c r="AA178" s="58">
        <f t="shared" si="46"/>
        <v>-21870.53713556131</v>
      </c>
      <c r="AB178" s="58">
        <f t="shared" si="46"/>
        <v>-23503.356375510124</v>
      </c>
      <c r="AC178" s="58">
        <f t="shared" si="46"/>
        <v>-25068.213006611593</v>
      </c>
      <c r="AD178" s="58">
        <f t="shared" si="46"/>
        <v>-26552.535416583778</v>
      </c>
      <c r="AE178" s="58">
        <f t="shared" si="46"/>
        <v>-28179.706080118271</v>
      </c>
      <c r="AF178" s="58">
        <f t="shared" si="46"/>
        <v>-29960.038119424997</v>
      </c>
      <c r="AG178" s="58">
        <f t="shared" si="46"/>
        <v>-31904.721263092677</v>
      </c>
    </row>
    <row r="179" spans="1:33" s="1" customFormat="1" ht="10.5">
      <c r="A179" s="837" t="s">
        <v>784</v>
      </c>
      <c r="D179" s="838">
        <f t="shared" ref="D179:U179" si="47">+D170</f>
        <v>9366</v>
      </c>
      <c r="E179" s="838">
        <f t="shared" si="47"/>
        <v>12544</v>
      </c>
      <c r="F179" s="838">
        <f t="shared" si="47"/>
        <v>15082</v>
      </c>
      <c r="G179" s="838">
        <f t="shared" si="47"/>
        <v>16259</v>
      </c>
      <c r="H179" s="838">
        <f t="shared" si="47"/>
        <v>17991</v>
      </c>
      <c r="I179" s="838">
        <f t="shared" si="47"/>
        <v>19231</v>
      </c>
      <c r="J179" s="838">
        <f t="shared" si="47"/>
        <v>22504</v>
      </c>
      <c r="K179" s="838">
        <f t="shared" si="47"/>
        <v>27804</v>
      </c>
      <c r="L179" s="838">
        <f t="shared" si="47"/>
        <v>32337</v>
      </c>
      <c r="M179" s="838">
        <f t="shared" si="47"/>
        <v>38156</v>
      </c>
      <c r="N179" s="838">
        <f t="shared" si="47"/>
        <v>47913</v>
      </c>
      <c r="O179" s="838">
        <f t="shared" si="47"/>
        <v>58683</v>
      </c>
      <c r="P179" s="838">
        <f t="shared" si="47"/>
        <v>71807</v>
      </c>
      <c r="Q179" s="838">
        <f t="shared" si="47"/>
        <v>87348</v>
      </c>
      <c r="R179" s="838">
        <f t="shared" si="47"/>
        <v>111066</v>
      </c>
      <c r="S179" s="838">
        <f t="shared" si="47"/>
        <v>134058</v>
      </c>
      <c r="T179" s="838">
        <f t="shared" si="47"/>
        <v>163892</v>
      </c>
      <c r="U179" s="838">
        <f t="shared" si="47"/>
        <v>212012</v>
      </c>
      <c r="V179" s="838">
        <f t="shared" ref="V179:AF179" si="48">+SUM(V176:V178)</f>
        <v>285206.45146803994</v>
      </c>
      <c r="W179" s="838">
        <f t="shared" si="48"/>
        <v>338055.19198248105</v>
      </c>
      <c r="X179" s="838">
        <f t="shared" si="48"/>
        <v>387258.96112963697</v>
      </c>
      <c r="Y179" s="838">
        <f t="shared" si="48"/>
        <v>432371.57073387655</v>
      </c>
      <c r="Z179" s="838">
        <f t="shared" si="48"/>
        <v>472876.79053052963</v>
      </c>
      <c r="AA179" s="838">
        <f t="shared" si="48"/>
        <v>508181.01360093738</v>
      </c>
      <c r="AB179" s="838">
        <f t="shared" si="48"/>
        <v>542015.77388912765</v>
      </c>
      <c r="AC179" s="838">
        <f t="shared" si="48"/>
        <v>574109.25257186661</v>
      </c>
      <c r="AD179" s="838">
        <f t="shared" si="48"/>
        <v>609291.3441797815</v>
      </c>
      <c r="AE179" s="838">
        <f t="shared" si="48"/>
        <v>647785.03528612165</v>
      </c>
      <c r="AF179" s="838">
        <f t="shared" si="48"/>
        <v>689832.26612807193</v>
      </c>
      <c r="AG179" s="838">
        <f t="shared" ref="AG179" si="49">+SUM(AG176:AG178)</f>
        <v>735695.39534326445</v>
      </c>
    </row>
    <row r="180" spans="1:33">
      <c r="S180" s="8"/>
      <c r="T180" s="8"/>
      <c r="U180" s="8"/>
      <c r="V180" s="8"/>
    </row>
    <row r="181" spans="1:33" ht="10.5">
      <c r="A181" s="45" t="s">
        <v>788</v>
      </c>
      <c r="C181" s="8"/>
    </row>
    <row r="182" spans="1:33" s="1" customFormat="1" ht="10.5">
      <c r="A182" s="1" t="s">
        <v>775</v>
      </c>
      <c r="C182" s="936">
        <v>4179</v>
      </c>
      <c r="D182" s="936">
        <v>5016</v>
      </c>
      <c r="E182" s="936">
        <v>6302</v>
      </c>
      <c r="F182" s="936">
        <v>7547</v>
      </c>
      <c r="G182" s="936">
        <v>8629</v>
      </c>
      <c r="H182" s="936">
        <v>9829</v>
      </c>
      <c r="I182" s="936">
        <v>10962</v>
      </c>
      <c r="J182" s="936">
        <v>12513</v>
      </c>
      <c r="K182" s="936">
        <v>14793</v>
      </c>
      <c r="L182" s="936">
        <v>17606</v>
      </c>
      <c r="M182" s="936">
        <v>19800</v>
      </c>
      <c r="N182" s="936">
        <v>24179</v>
      </c>
      <c r="O182" s="936">
        <v>29223</v>
      </c>
      <c r="P182" s="936">
        <v>35330</v>
      </c>
      <c r="Q182" s="936">
        <v>43197</v>
      </c>
      <c r="R182" s="936">
        <v>51351</v>
      </c>
      <c r="S182" s="936">
        <v>59660</v>
      </c>
      <c r="T182" s="936">
        <v>68251</v>
      </c>
      <c r="U182" s="936">
        <v>76421</v>
      </c>
      <c r="V182" s="849">
        <f t="shared" ref="V182:AG182" si="50">+V187</f>
        <v>92628.314508597905</v>
      </c>
      <c r="W182" s="849">
        <f t="shared" si="50"/>
        <v>112395.17666677413</v>
      </c>
      <c r="X182" s="849">
        <f t="shared" si="50"/>
        <v>136216.02257487012</v>
      </c>
      <c r="Y182" s="849">
        <f t="shared" si="50"/>
        <v>162248.80072546922</v>
      </c>
      <c r="Z182" s="849">
        <f t="shared" si="50"/>
        <v>191394.93725710612</v>
      </c>
      <c r="AA182" s="849">
        <f t="shared" si="50"/>
        <v>220819.39214783011</v>
      </c>
      <c r="AB182" s="849">
        <f t="shared" si="50"/>
        <v>251100.22985953689</v>
      </c>
      <c r="AC182" s="849">
        <f t="shared" si="50"/>
        <v>281881.34282719402</v>
      </c>
      <c r="AD182" s="849">
        <f t="shared" si="50"/>
        <v>311632.00660556008</v>
      </c>
      <c r="AE182" s="849">
        <f t="shared" si="50"/>
        <v>338586.12016841886</v>
      </c>
      <c r="AF182" s="849">
        <f t="shared" si="50"/>
        <v>362942.69678170711</v>
      </c>
      <c r="AG182" s="849">
        <f t="shared" si="50"/>
        <v>386391.76779835002</v>
      </c>
    </row>
    <row r="183" spans="1:33">
      <c r="V183" s="100"/>
      <c r="W183" s="100"/>
      <c r="X183" s="100"/>
      <c r="Y183" s="100"/>
      <c r="Z183" s="100"/>
      <c r="AA183" s="100"/>
      <c r="AB183" s="100"/>
      <c r="AC183" s="100"/>
      <c r="AD183" s="100"/>
      <c r="AE183" s="100"/>
      <c r="AF183" s="100"/>
      <c r="AG183" s="100"/>
    </row>
    <row r="184" spans="1:33">
      <c r="A184" t="s">
        <v>789</v>
      </c>
      <c r="D184" s="8">
        <f>+C182</f>
        <v>4179</v>
      </c>
      <c r="E184" s="8">
        <f>+D187</f>
        <v>5016</v>
      </c>
      <c r="F184" s="8">
        <f t="shared" ref="F184:AG184" si="51">+E187</f>
        <v>6302</v>
      </c>
      <c r="G184" s="8">
        <f t="shared" si="51"/>
        <v>7547</v>
      </c>
      <c r="H184" s="8">
        <f t="shared" si="51"/>
        <v>8629</v>
      </c>
      <c r="I184" s="8">
        <f t="shared" si="51"/>
        <v>9829</v>
      </c>
      <c r="J184" s="8">
        <f t="shared" si="51"/>
        <v>10962</v>
      </c>
      <c r="K184" s="8">
        <f t="shared" si="51"/>
        <v>12513</v>
      </c>
      <c r="L184" s="8">
        <f t="shared" si="51"/>
        <v>14793</v>
      </c>
      <c r="M184" s="8">
        <f t="shared" si="51"/>
        <v>17606</v>
      </c>
      <c r="N184" s="8">
        <f t="shared" si="51"/>
        <v>19800</v>
      </c>
      <c r="O184" s="8">
        <f t="shared" si="51"/>
        <v>24179</v>
      </c>
      <c r="P184" s="8">
        <f t="shared" si="51"/>
        <v>29223</v>
      </c>
      <c r="Q184" s="8">
        <f t="shared" si="51"/>
        <v>35330</v>
      </c>
      <c r="R184" s="8">
        <f t="shared" si="51"/>
        <v>43197</v>
      </c>
      <c r="S184" s="8">
        <f t="shared" si="51"/>
        <v>51351</v>
      </c>
      <c r="T184" s="8">
        <f t="shared" si="51"/>
        <v>59660</v>
      </c>
      <c r="U184" s="8">
        <f t="shared" si="51"/>
        <v>68251</v>
      </c>
      <c r="V184" s="11">
        <f t="shared" si="51"/>
        <v>76421</v>
      </c>
      <c r="W184" s="11">
        <f t="shared" si="51"/>
        <v>92628.314508597905</v>
      </c>
      <c r="X184" s="11">
        <f t="shared" si="51"/>
        <v>112395.17666677413</v>
      </c>
      <c r="Y184" s="11">
        <f t="shared" si="51"/>
        <v>136216.02257487012</v>
      </c>
      <c r="Z184" s="11">
        <f t="shared" si="51"/>
        <v>162248.80072546922</v>
      </c>
      <c r="AA184" s="11">
        <f t="shared" si="51"/>
        <v>191394.93725710612</v>
      </c>
      <c r="AB184" s="11">
        <f t="shared" si="51"/>
        <v>220819.39214783011</v>
      </c>
      <c r="AC184" s="11">
        <f t="shared" si="51"/>
        <v>251100.22985953689</v>
      </c>
      <c r="AD184" s="11">
        <f t="shared" si="51"/>
        <v>281881.34282719402</v>
      </c>
      <c r="AE184" s="11">
        <f t="shared" si="51"/>
        <v>311632.00660556008</v>
      </c>
      <c r="AF184" s="11">
        <f t="shared" si="51"/>
        <v>338586.12016841886</v>
      </c>
      <c r="AG184" s="11">
        <f t="shared" si="51"/>
        <v>362942.69678170711</v>
      </c>
    </row>
    <row r="185" spans="1:33">
      <c r="A185" t="s">
        <v>790</v>
      </c>
      <c r="C185" s="29">
        <f t="shared" ref="C185:S185" si="52">+C214</f>
        <v>0</v>
      </c>
      <c r="D185" s="11">
        <f t="shared" si="52"/>
        <v>940</v>
      </c>
      <c r="E185" s="11">
        <f t="shared" si="52"/>
        <v>1556</v>
      </c>
      <c r="F185" s="11">
        <f t="shared" si="52"/>
        <v>2062</v>
      </c>
      <c r="G185" s="11">
        <f t="shared" si="52"/>
        <v>2173</v>
      </c>
      <c r="H185" s="11">
        <f t="shared" si="52"/>
        <v>2266</v>
      </c>
      <c r="I185" s="11">
        <f t="shared" si="52"/>
        <v>2467</v>
      </c>
      <c r="J185" s="11">
        <f t="shared" si="52"/>
        <v>3255</v>
      </c>
      <c r="K185" s="11">
        <f t="shared" si="52"/>
        <v>4712</v>
      </c>
      <c r="L185" s="11">
        <f t="shared" si="52"/>
        <v>5457</v>
      </c>
      <c r="M185" s="29">
        <f t="shared" si="52"/>
        <v>4900</v>
      </c>
      <c r="N185" s="29">
        <f t="shared" si="52"/>
        <v>6100</v>
      </c>
      <c r="O185" s="29">
        <f t="shared" si="52"/>
        <v>7700</v>
      </c>
      <c r="P185" s="29">
        <f t="shared" si="52"/>
        <v>9700</v>
      </c>
      <c r="Q185" s="29">
        <f t="shared" si="52"/>
        <v>10700</v>
      </c>
      <c r="R185" s="29">
        <f t="shared" si="52"/>
        <v>9300</v>
      </c>
      <c r="S185" s="29">
        <f t="shared" si="52"/>
        <v>12600</v>
      </c>
      <c r="T185" s="29">
        <f>+T214</f>
        <v>11000</v>
      </c>
      <c r="U185" s="29">
        <f t="shared" ref="U185" si="53">+U214</f>
        <v>15200</v>
      </c>
      <c r="V185" s="11">
        <f t="shared" ref="V185:AG185" si="54">+V50</f>
        <v>24078.842105263157</v>
      </c>
      <c r="W185" s="11">
        <f t="shared" si="54"/>
        <v>29307.778056777617</v>
      </c>
      <c r="X185" s="11">
        <f t="shared" si="54"/>
        <v>35397.79118314576</v>
      </c>
      <c r="Y185" s="11">
        <f t="shared" si="54"/>
        <v>40063.321859868367</v>
      </c>
      <c r="Z185" s="11">
        <f t="shared" si="54"/>
        <v>45858.112460195443</v>
      </c>
      <c r="AA185" s="11">
        <f t="shared" si="54"/>
        <v>49138.545657415409</v>
      </c>
      <c r="AB185" s="11">
        <f t="shared" si="54"/>
        <v>53025.710706963218</v>
      </c>
      <c r="AC185" s="11">
        <f t="shared" si="54"/>
        <v>56644.977466529614</v>
      </c>
      <c r="AD185" s="11">
        <f t="shared" si="54"/>
        <v>58785.049209717625</v>
      </c>
      <c r="AE185" s="11">
        <f t="shared" si="54"/>
        <v>59052.881440795922</v>
      </c>
      <c r="AF185" s="11">
        <f t="shared" si="54"/>
        <v>59231.676242363028</v>
      </c>
      <c r="AG185" s="11">
        <f t="shared" si="54"/>
        <v>60832.950496436613</v>
      </c>
    </row>
    <row r="186" spans="1:33" ht="11.45">
      <c r="A186" t="s">
        <v>200</v>
      </c>
      <c r="D186" s="10">
        <f>+D187-SUM(D184:D185)</f>
        <v>-103</v>
      </c>
      <c r="E186" s="10">
        <f t="shared" ref="E186:U186" si="55">+E187-SUM(E184:E185)</f>
        <v>-270</v>
      </c>
      <c r="F186" s="10">
        <f t="shared" si="55"/>
        <v>-817</v>
      </c>
      <c r="G186" s="10">
        <f t="shared" si="55"/>
        <v>-1091</v>
      </c>
      <c r="H186" s="10">
        <f t="shared" si="55"/>
        <v>-1066</v>
      </c>
      <c r="I186" s="10">
        <f t="shared" si="55"/>
        <v>-1334</v>
      </c>
      <c r="J186" s="10">
        <f t="shared" si="55"/>
        <v>-1704</v>
      </c>
      <c r="K186" s="10">
        <f t="shared" si="55"/>
        <v>-2432</v>
      </c>
      <c r="L186" s="10">
        <f t="shared" si="55"/>
        <v>-2644</v>
      </c>
      <c r="M186" s="10">
        <f t="shared" si="55"/>
        <v>-2706</v>
      </c>
      <c r="N186" s="10">
        <f t="shared" si="55"/>
        <v>-1721</v>
      </c>
      <c r="O186" s="10">
        <f t="shared" si="55"/>
        <v>-2656</v>
      </c>
      <c r="P186" s="10">
        <f t="shared" si="55"/>
        <v>-3593</v>
      </c>
      <c r="Q186" s="10">
        <f t="shared" si="55"/>
        <v>-2833</v>
      </c>
      <c r="R186" s="10">
        <f t="shared" si="55"/>
        <v>-1146</v>
      </c>
      <c r="S186" s="10">
        <f t="shared" si="55"/>
        <v>-4291</v>
      </c>
      <c r="T186" s="10">
        <f t="shared" si="55"/>
        <v>-2409</v>
      </c>
      <c r="U186" s="10">
        <f t="shared" si="55"/>
        <v>-7030</v>
      </c>
      <c r="V186" s="58">
        <f t="shared" ref="V186:AG186" si="56">+U186/U184*V184</f>
        <v>-7871.5275966652507</v>
      </c>
      <c r="W186" s="58">
        <f t="shared" si="56"/>
        <v>-9540.9158986013881</v>
      </c>
      <c r="X186" s="58">
        <f t="shared" si="56"/>
        <v>-11576.945275049777</v>
      </c>
      <c r="Y186" s="58">
        <f t="shared" si="56"/>
        <v>-14030.543709269272</v>
      </c>
      <c r="Z186" s="58">
        <f t="shared" si="56"/>
        <v>-16711.975928558539</v>
      </c>
      <c r="AA186" s="58">
        <f t="shared" si="56"/>
        <v>-19714.090766691421</v>
      </c>
      <c r="AB186" s="58">
        <f t="shared" si="56"/>
        <v>-22744.872995256417</v>
      </c>
      <c r="AC186" s="58">
        <f t="shared" si="56"/>
        <v>-25863.864498872463</v>
      </c>
      <c r="AD186" s="58">
        <f t="shared" si="56"/>
        <v>-29034.38543135154</v>
      </c>
      <c r="AE186" s="58">
        <f t="shared" si="56"/>
        <v>-32098.767877937134</v>
      </c>
      <c r="AF186" s="58">
        <f t="shared" si="56"/>
        <v>-34875.099629074808</v>
      </c>
      <c r="AG186" s="58">
        <f t="shared" si="56"/>
        <v>-37383.879479793715</v>
      </c>
    </row>
    <row r="187" spans="1:33" s="1" customFormat="1" ht="10.5">
      <c r="A187" s="837" t="s">
        <v>775</v>
      </c>
      <c r="C187" s="838"/>
      <c r="D187" s="838">
        <f>+D182</f>
        <v>5016</v>
      </c>
      <c r="E187" s="838">
        <f t="shared" ref="E187:U187" si="57">+E182</f>
        <v>6302</v>
      </c>
      <c r="F187" s="838">
        <f t="shared" si="57"/>
        <v>7547</v>
      </c>
      <c r="G187" s="838">
        <f t="shared" si="57"/>
        <v>8629</v>
      </c>
      <c r="H187" s="838">
        <f t="shared" si="57"/>
        <v>9829</v>
      </c>
      <c r="I187" s="838">
        <f t="shared" si="57"/>
        <v>10962</v>
      </c>
      <c r="J187" s="838">
        <f t="shared" si="57"/>
        <v>12513</v>
      </c>
      <c r="K187" s="838">
        <f>+K182</f>
        <v>14793</v>
      </c>
      <c r="L187" s="838">
        <f t="shared" si="57"/>
        <v>17606</v>
      </c>
      <c r="M187" s="838">
        <f t="shared" si="57"/>
        <v>19800</v>
      </c>
      <c r="N187" s="838">
        <f t="shared" si="57"/>
        <v>24179</v>
      </c>
      <c r="O187" s="838">
        <f t="shared" si="57"/>
        <v>29223</v>
      </c>
      <c r="P187" s="838">
        <f t="shared" si="57"/>
        <v>35330</v>
      </c>
      <c r="Q187" s="838">
        <f t="shared" si="57"/>
        <v>43197</v>
      </c>
      <c r="R187" s="838">
        <f t="shared" si="57"/>
        <v>51351</v>
      </c>
      <c r="S187" s="838">
        <f t="shared" si="57"/>
        <v>59660</v>
      </c>
      <c r="T187" s="838">
        <f t="shared" si="57"/>
        <v>68251</v>
      </c>
      <c r="U187" s="838">
        <f t="shared" si="57"/>
        <v>76421</v>
      </c>
      <c r="V187" s="838">
        <f t="shared" ref="V187:AF187" si="58">+SUM(V184:V186)</f>
        <v>92628.314508597905</v>
      </c>
      <c r="W187" s="838">
        <f t="shared" si="58"/>
        <v>112395.17666677413</v>
      </c>
      <c r="X187" s="838">
        <f t="shared" si="58"/>
        <v>136216.02257487012</v>
      </c>
      <c r="Y187" s="838">
        <f t="shared" si="58"/>
        <v>162248.80072546922</v>
      </c>
      <c r="Z187" s="838">
        <f t="shared" si="58"/>
        <v>191394.93725710612</v>
      </c>
      <c r="AA187" s="838">
        <f t="shared" si="58"/>
        <v>220819.39214783011</v>
      </c>
      <c r="AB187" s="838">
        <f t="shared" si="58"/>
        <v>251100.22985953689</v>
      </c>
      <c r="AC187" s="838">
        <f t="shared" si="58"/>
        <v>281881.34282719402</v>
      </c>
      <c r="AD187" s="838">
        <f t="shared" si="58"/>
        <v>311632.00660556008</v>
      </c>
      <c r="AE187" s="838">
        <f t="shared" si="58"/>
        <v>338586.12016841886</v>
      </c>
      <c r="AF187" s="838">
        <f t="shared" si="58"/>
        <v>362942.69678170711</v>
      </c>
      <c r="AG187" s="838">
        <f t="shared" ref="AG187" si="59">+SUM(AG184:AG186)</f>
        <v>386391.76779835002</v>
      </c>
    </row>
    <row r="188" spans="1:33">
      <c r="A188" s="13" t="s">
        <v>791</v>
      </c>
      <c r="D188" s="1220">
        <f t="shared" ref="D188:AG188" si="60">+D176/D185</f>
        <v>7.6840425531914898</v>
      </c>
      <c r="E188" s="1220">
        <f t="shared" si="60"/>
        <v>6.0192802056555266</v>
      </c>
      <c r="F188" s="1220">
        <f t="shared" si="60"/>
        <v>6.0834141610087293</v>
      </c>
      <c r="G188" s="1220">
        <f t="shared" si="60"/>
        <v>6.9406350667280261</v>
      </c>
      <c r="H188" s="1220">
        <f t="shared" si="60"/>
        <v>7.1751985878199473</v>
      </c>
      <c r="I188" s="1220">
        <f t="shared" si="60"/>
        <v>7.2926631536278883</v>
      </c>
      <c r="J188" s="1220">
        <f t="shared" si="60"/>
        <v>5.908141321044547</v>
      </c>
      <c r="K188" s="1220">
        <f t="shared" si="60"/>
        <v>4.7758913412563668</v>
      </c>
      <c r="L188" s="1220">
        <f t="shared" si="60"/>
        <v>5.0951072017592081</v>
      </c>
      <c r="M188" s="1220">
        <f t="shared" si="60"/>
        <v>6.5993877551020406</v>
      </c>
      <c r="N188" s="1220">
        <f t="shared" si="60"/>
        <v>6.2550819672131146</v>
      </c>
      <c r="O188" s="1220">
        <f t="shared" si="60"/>
        <v>6.2224675324675323</v>
      </c>
      <c r="P188" s="1220">
        <f t="shared" si="60"/>
        <v>6.0497938144329897</v>
      </c>
      <c r="Q188" s="1220">
        <f t="shared" si="60"/>
        <v>6.7109345794392521</v>
      </c>
      <c r="R188" s="1220">
        <f t="shared" si="60"/>
        <v>9.3922580645161293</v>
      </c>
      <c r="S188" s="1220">
        <f t="shared" si="60"/>
        <v>8.8147619047619052</v>
      </c>
      <c r="T188" s="1220">
        <f t="shared" si="60"/>
        <v>12.187090909090909</v>
      </c>
      <c r="U188" s="1220">
        <f t="shared" si="60"/>
        <v>10.782368421052631</v>
      </c>
      <c r="V188" s="1220">
        <f t="shared" si="60"/>
        <v>8.8049084367581933</v>
      </c>
      <c r="W188" s="1220">
        <f t="shared" si="60"/>
        <v>9.7314252522150539</v>
      </c>
      <c r="X188" s="1220">
        <f t="shared" si="60"/>
        <v>9.5501775868840664</v>
      </c>
      <c r="Y188" s="1220">
        <f t="shared" si="60"/>
        <v>9.6661720284746586</v>
      </c>
      <c r="Z188" s="1220">
        <f t="shared" si="60"/>
        <v>9.4284641808834238</v>
      </c>
      <c r="AA188" s="1220">
        <f t="shared" si="60"/>
        <v>9.623337121683182</v>
      </c>
      <c r="AB188" s="1220">
        <f t="shared" si="60"/>
        <v>9.5836718985117564</v>
      </c>
      <c r="AC188" s="1220">
        <f t="shared" si="60"/>
        <v>9.5686466502593976</v>
      </c>
      <c r="AD188" s="1220">
        <f t="shared" si="60"/>
        <v>9.7662460147598527</v>
      </c>
      <c r="AE188" s="1220">
        <f t="shared" si="60"/>
        <v>10.317724204374901</v>
      </c>
      <c r="AF188" s="1220">
        <f t="shared" si="60"/>
        <v>10.936462993813096</v>
      </c>
      <c r="AG188" s="1220">
        <f t="shared" si="60"/>
        <v>11.339779847904632</v>
      </c>
    </row>
    <row r="189" spans="1:33">
      <c r="A189" s="13"/>
      <c r="D189" s="1220"/>
      <c r="E189" s="1220"/>
      <c r="F189" s="1220"/>
      <c r="G189" s="1220"/>
      <c r="H189" s="1220"/>
      <c r="I189" s="1220"/>
      <c r="J189" s="1220"/>
      <c r="K189" s="1220"/>
      <c r="L189" s="1220"/>
      <c r="M189" s="1220"/>
      <c r="N189" s="1220"/>
      <c r="O189" s="1220"/>
      <c r="P189" s="1220"/>
      <c r="Q189" s="1220"/>
      <c r="R189" s="1220"/>
      <c r="S189" s="1220"/>
      <c r="T189" s="1220"/>
      <c r="U189" s="1220"/>
      <c r="V189" s="1220"/>
      <c r="W189" s="1220"/>
    </row>
    <row r="190" spans="1:33">
      <c r="A190" s="24" t="s">
        <v>127</v>
      </c>
      <c r="D190" s="1220"/>
      <c r="E190" s="1220"/>
      <c r="F190" s="1220"/>
      <c r="G190" s="1220"/>
      <c r="H190" s="1220"/>
      <c r="I190" s="1220"/>
      <c r="J190" s="1220"/>
      <c r="K190" s="1220"/>
      <c r="L190" s="1220"/>
      <c r="M190" s="1220"/>
      <c r="N190" s="1220"/>
      <c r="O190" s="1220"/>
      <c r="P190" s="1220"/>
      <c r="Q190" s="1220"/>
      <c r="R190" s="1220"/>
      <c r="S190" s="1220"/>
      <c r="T190" s="1220"/>
      <c r="U190" s="1220"/>
      <c r="V190" s="1220"/>
      <c r="W190" s="1220"/>
    </row>
    <row r="191" spans="1:33">
      <c r="A191" s="13" t="s">
        <v>792</v>
      </c>
      <c r="D191" s="29">
        <f>+'Historical Financials'!AU1142</f>
        <v>1440</v>
      </c>
      <c r="E191" s="29">
        <f>+'Historical Financials'!AV1142</f>
        <v>2056</v>
      </c>
      <c r="F191" s="29">
        <f>+'Historical Financials'!AW1142</f>
        <v>2562</v>
      </c>
      <c r="G191" s="29">
        <f>+'Historical Financials'!AX1142</f>
        <v>2673</v>
      </c>
      <c r="H191" s="29">
        <f>+'Historical Financials'!AY1142</f>
        <v>2766</v>
      </c>
      <c r="I191" s="29">
        <f>+'Historical Financials'!AZ1142</f>
        <v>2967</v>
      </c>
      <c r="J191" s="29">
        <f>+'Historical Financials'!BA1142</f>
        <v>3755</v>
      </c>
      <c r="K191" s="29">
        <f>+'Historical Financials'!BB1142</f>
        <v>5212</v>
      </c>
      <c r="L191" s="29">
        <f>+'Historical Financials'!BC1142</f>
        <v>5957</v>
      </c>
      <c r="M191" s="29">
        <f>+'Historical Financials'!BG1142</f>
        <v>6622</v>
      </c>
      <c r="N191" s="29">
        <f>+'Historical Financials'!BH1142</f>
        <v>8778</v>
      </c>
      <c r="O191" s="29">
        <f>+'Historical Financials'!BI1142</f>
        <v>10261</v>
      </c>
      <c r="P191" s="29">
        <f>+'Historical Financials'!BJ1142</f>
        <v>11682</v>
      </c>
      <c r="Q191" s="29">
        <f>+'Historical Financials'!BK1142</f>
        <v>12796</v>
      </c>
      <c r="R191" s="29">
        <f>+'Historical Financials'!BL1142</f>
        <v>11686</v>
      </c>
      <c r="S191" s="29">
        <f>+'Historical Financials'!BM1142</f>
        <v>14460</v>
      </c>
      <c r="T191" s="29">
        <f>+'Historical Financials'!BN1142</f>
        <v>13861</v>
      </c>
      <c r="U191" s="29">
        <f>+'Historical Financials'!BO1142</f>
        <v>22287</v>
      </c>
      <c r="V191" s="1220"/>
      <c r="W191" s="1220"/>
    </row>
    <row r="192" spans="1:33">
      <c r="A192" s="15" t="s">
        <v>793</v>
      </c>
      <c r="B192" s="11"/>
      <c r="C192" s="11">
        <f t="shared" ref="C192:M192" si="61">+C185</f>
        <v>0</v>
      </c>
      <c r="D192" s="11">
        <f t="shared" si="61"/>
        <v>940</v>
      </c>
      <c r="E192" s="11">
        <f t="shared" si="61"/>
        <v>1556</v>
      </c>
      <c r="F192" s="11">
        <f t="shared" si="61"/>
        <v>2062</v>
      </c>
      <c r="G192" s="11">
        <f t="shared" si="61"/>
        <v>2173</v>
      </c>
      <c r="H192" s="11">
        <f t="shared" si="61"/>
        <v>2266</v>
      </c>
      <c r="I192" s="11">
        <f t="shared" si="61"/>
        <v>2467</v>
      </c>
      <c r="J192" s="11">
        <f t="shared" si="61"/>
        <v>3255</v>
      </c>
      <c r="K192" s="11">
        <f t="shared" si="61"/>
        <v>4712</v>
      </c>
      <c r="L192" s="11">
        <f t="shared" si="61"/>
        <v>5457</v>
      </c>
      <c r="M192" s="11">
        <f t="shared" si="61"/>
        <v>4900</v>
      </c>
      <c r="N192" s="11">
        <f>+N185</f>
        <v>6100</v>
      </c>
      <c r="O192" s="11">
        <f t="shared" ref="O192:U192" si="62">+O185</f>
        <v>7700</v>
      </c>
      <c r="P192" s="11">
        <f t="shared" si="62"/>
        <v>9700</v>
      </c>
      <c r="Q192" s="11">
        <f t="shared" si="62"/>
        <v>10700</v>
      </c>
      <c r="R192" s="11">
        <f t="shared" si="62"/>
        <v>9300</v>
      </c>
      <c r="S192" s="11">
        <f t="shared" si="62"/>
        <v>12600</v>
      </c>
      <c r="T192" s="11">
        <f t="shared" si="62"/>
        <v>11000</v>
      </c>
      <c r="U192" s="11">
        <f t="shared" si="62"/>
        <v>15200</v>
      </c>
      <c r="V192" s="1220"/>
      <c r="W192" s="1220"/>
    </row>
    <row r="193" spans="1:33">
      <c r="A193" s="15" t="s">
        <v>794</v>
      </c>
      <c r="B193" s="11"/>
      <c r="C193" s="11"/>
      <c r="D193" s="29">
        <v>236</v>
      </c>
      <c r="E193" s="29">
        <v>472</v>
      </c>
      <c r="F193" s="29">
        <v>591</v>
      </c>
      <c r="G193" s="29">
        <v>707</v>
      </c>
      <c r="H193" s="29">
        <v>537</v>
      </c>
      <c r="I193" s="29">
        <v>558</v>
      </c>
      <c r="J193" s="29">
        <v>739</v>
      </c>
      <c r="K193" s="29">
        <v>845</v>
      </c>
      <c r="L193" s="29">
        <v>1300</v>
      </c>
      <c r="M193" s="29">
        <v>978</v>
      </c>
      <c r="N193" s="29">
        <v>1700</v>
      </c>
      <c r="O193" s="29">
        <v>2200</v>
      </c>
      <c r="P193" s="29">
        <v>1900</v>
      </c>
      <c r="Q193" s="29">
        <v>1600</v>
      </c>
      <c r="R193" s="29">
        <v>1600</v>
      </c>
      <c r="S193" s="29">
        <v>2000</v>
      </c>
      <c r="T193" s="29">
        <v>2500</v>
      </c>
      <c r="U193" s="29">
        <v>4800</v>
      </c>
      <c r="V193" s="1220"/>
      <c r="W193" s="1220"/>
    </row>
    <row r="194" spans="1:33">
      <c r="A194" s="15" t="s">
        <v>795</v>
      </c>
      <c r="B194" s="11"/>
      <c r="C194" s="11"/>
      <c r="D194" s="61">
        <v>500</v>
      </c>
      <c r="E194" s="61">
        <v>500</v>
      </c>
      <c r="F194" s="61">
        <v>500</v>
      </c>
      <c r="G194" s="61">
        <v>500</v>
      </c>
      <c r="H194" s="61">
        <v>500</v>
      </c>
      <c r="I194" s="61">
        <v>500</v>
      </c>
      <c r="J194" s="61">
        <v>500</v>
      </c>
      <c r="K194" s="61">
        <v>500</v>
      </c>
      <c r="L194" s="61">
        <v>500</v>
      </c>
      <c r="M194" s="11">
        <f t="shared" ref="M194:T194" si="63">+M191-M192-M193</f>
        <v>744</v>
      </c>
      <c r="N194" s="11">
        <f t="shared" si="63"/>
        <v>978</v>
      </c>
      <c r="O194" s="11">
        <f t="shared" si="63"/>
        <v>361</v>
      </c>
      <c r="P194" s="11">
        <f t="shared" si="63"/>
        <v>82</v>
      </c>
      <c r="Q194" s="11">
        <f t="shared" si="63"/>
        <v>496</v>
      </c>
      <c r="R194" s="11">
        <f t="shared" si="63"/>
        <v>786</v>
      </c>
      <c r="S194" s="11">
        <f t="shared" si="63"/>
        <v>-140</v>
      </c>
      <c r="T194" s="11">
        <f t="shared" si="63"/>
        <v>361</v>
      </c>
      <c r="U194" s="11">
        <f>+U191-U192-U193</f>
        <v>2287</v>
      </c>
      <c r="V194" s="1220"/>
      <c r="W194" s="1220"/>
    </row>
    <row r="195" spans="1:33" hidden="1" outlineLevel="1">
      <c r="A195" s="19" t="s">
        <v>796</v>
      </c>
      <c r="D195" s="1245">
        <f t="shared" ref="D195:K195" si="64">+E195</f>
        <v>0.11235276351555422</v>
      </c>
      <c r="E195" s="1245">
        <f t="shared" si="64"/>
        <v>0.11235276351555422</v>
      </c>
      <c r="F195" s="1245">
        <f t="shared" si="64"/>
        <v>0.11235276351555422</v>
      </c>
      <c r="G195" s="1245">
        <f t="shared" si="64"/>
        <v>0.11235276351555422</v>
      </c>
      <c r="H195" s="1245">
        <f t="shared" si="64"/>
        <v>0.11235276351555422</v>
      </c>
      <c r="I195" s="1245">
        <f t="shared" si="64"/>
        <v>0.11235276351555422</v>
      </c>
      <c r="J195" s="1245">
        <f t="shared" si="64"/>
        <v>0.11235276351555422</v>
      </c>
      <c r="K195" s="1245">
        <f t="shared" si="64"/>
        <v>0.11235276351555422</v>
      </c>
      <c r="L195" s="1245">
        <f>+M195</f>
        <v>0.11235276351555422</v>
      </c>
      <c r="M195" s="1244">
        <f t="shared" ref="M195:U195" si="65">+M194/M191</f>
        <v>0.11235276351555422</v>
      </c>
      <c r="N195" s="1244">
        <f t="shared" si="65"/>
        <v>0.11141490088858511</v>
      </c>
      <c r="O195" s="1244">
        <f t="shared" si="65"/>
        <v>3.5181756164116555E-2</v>
      </c>
      <c r="P195" s="1244">
        <f t="shared" si="65"/>
        <v>7.0193460023968502E-3</v>
      </c>
      <c r="Q195" s="1244">
        <f t="shared" si="65"/>
        <v>3.8762113160362613E-2</v>
      </c>
      <c r="R195" s="1244">
        <f t="shared" si="65"/>
        <v>6.725996919390724E-2</v>
      </c>
      <c r="S195" s="1244">
        <f t="shared" si="65"/>
        <v>-9.6818810511756573E-3</v>
      </c>
      <c r="T195" s="1244">
        <f t="shared" si="65"/>
        <v>2.6044296948272129E-2</v>
      </c>
      <c r="U195" s="1244">
        <f t="shared" si="65"/>
        <v>0.10261587472517611</v>
      </c>
      <c r="V195" s="1220"/>
      <c r="W195" s="1220"/>
    </row>
    <row r="196" spans="1:33" collapsed="1">
      <c r="A196" s="13"/>
      <c r="D196" s="1220"/>
      <c r="E196" s="1220"/>
      <c r="F196" s="1220"/>
      <c r="G196" s="1220"/>
      <c r="H196" s="1220"/>
      <c r="I196" s="1220"/>
      <c r="J196" s="1220"/>
      <c r="K196" s="1220"/>
      <c r="L196" s="1220"/>
      <c r="M196" s="1220"/>
      <c r="N196" s="1220"/>
      <c r="O196" s="1220"/>
      <c r="P196" s="1220"/>
      <c r="Q196" s="1220"/>
      <c r="R196" s="1220"/>
      <c r="S196" s="1220"/>
      <c r="T196" s="1220"/>
      <c r="U196" s="1220"/>
      <c r="V196" s="1220"/>
      <c r="W196" s="1220"/>
    </row>
    <row r="197" spans="1:33" ht="10.5">
      <c r="A197" s="45" t="s">
        <v>797</v>
      </c>
    </row>
    <row r="198" spans="1:33">
      <c r="A198" t="s">
        <v>784</v>
      </c>
      <c r="C198" s="8">
        <f t="shared" ref="C198:AG198" si="66">+C170</f>
        <v>7223</v>
      </c>
      <c r="D198" s="8">
        <f t="shared" si="66"/>
        <v>9366</v>
      </c>
      <c r="E198" s="8">
        <f t="shared" si="66"/>
        <v>12544</v>
      </c>
      <c r="F198" s="8">
        <f t="shared" si="66"/>
        <v>15082</v>
      </c>
      <c r="G198" s="8">
        <f t="shared" si="66"/>
        <v>16259</v>
      </c>
      <c r="H198" s="8">
        <f t="shared" si="66"/>
        <v>17991</v>
      </c>
      <c r="I198" s="8">
        <f t="shared" si="66"/>
        <v>19231</v>
      </c>
      <c r="J198" s="8">
        <f t="shared" si="66"/>
        <v>22504</v>
      </c>
      <c r="K198" s="8">
        <f t="shared" si="66"/>
        <v>27804</v>
      </c>
      <c r="L198" s="8">
        <f t="shared" si="66"/>
        <v>32337</v>
      </c>
      <c r="M198" s="8">
        <f t="shared" si="66"/>
        <v>38156</v>
      </c>
      <c r="N198" s="8">
        <f t="shared" si="66"/>
        <v>47913</v>
      </c>
      <c r="O198" s="8">
        <f t="shared" si="66"/>
        <v>58683</v>
      </c>
      <c r="P198" s="8">
        <f t="shared" si="66"/>
        <v>71807</v>
      </c>
      <c r="Q198" s="8">
        <f t="shared" si="66"/>
        <v>87348</v>
      </c>
      <c r="R198" s="8">
        <f t="shared" si="66"/>
        <v>111066</v>
      </c>
      <c r="S198" s="8">
        <f t="shared" si="66"/>
        <v>134058</v>
      </c>
      <c r="T198" s="8">
        <f t="shared" si="66"/>
        <v>163892</v>
      </c>
      <c r="U198" s="8">
        <f t="shared" si="66"/>
        <v>212012</v>
      </c>
      <c r="V198" s="8">
        <f t="shared" si="66"/>
        <v>285206.45146803994</v>
      </c>
      <c r="W198" s="8">
        <f t="shared" si="66"/>
        <v>338055.19198248105</v>
      </c>
      <c r="X198" s="8">
        <f t="shared" si="66"/>
        <v>387258.96112963697</v>
      </c>
      <c r="Y198" s="8">
        <f t="shared" si="66"/>
        <v>432371.57073387655</v>
      </c>
      <c r="Z198" s="8">
        <f t="shared" si="66"/>
        <v>472876.79053052963</v>
      </c>
      <c r="AA198" s="8">
        <f t="shared" si="66"/>
        <v>508181.01360093738</v>
      </c>
      <c r="AB198" s="8">
        <f t="shared" si="66"/>
        <v>542015.77388912765</v>
      </c>
      <c r="AC198" s="8">
        <f t="shared" si="66"/>
        <v>574109.25257186661</v>
      </c>
      <c r="AD198" s="8">
        <f t="shared" si="66"/>
        <v>609291.3441797815</v>
      </c>
      <c r="AE198" s="8">
        <f t="shared" si="66"/>
        <v>647785.03528612165</v>
      </c>
      <c r="AF198" s="8">
        <f t="shared" si="66"/>
        <v>689832.26612807193</v>
      </c>
      <c r="AG198" s="8">
        <f t="shared" si="66"/>
        <v>735695.39534326445</v>
      </c>
    </row>
    <row r="199" spans="1:33" ht="11.45">
      <c r="A199" t="s">
        <v>775</v>
      </c>
      <c r="C199" s="10">
        <f t="shared" ref="C199:AG199" si="67">-C182</f>
        <v>-4179</v>
      </c>
      <c r="D199" s="10">
        <f t="shared" si="67"/>
        <v>-5016</v>
      </c>
      <c r="E199" s="10">
        <f t="shared" si="67"/>
        <v>-6302</v>
      </c>
      <c r="F199" s="10">
        <f t="shared" si="67"/>
        <v>-7547</v>
      </c>
      <c r="G199" s="10">
        <f t="shared" si="67"/>
        <v>-8629</v>
      </c>
      <c r="H199" s="10">
        <f t="shared" si="67"/>
        <v>-9829</v>
      </c>
      <c r="I199" s="10">
        <f t="shared" si="67"/>
        <v>-10962</v>
      </c>
      <c r="J199" s="10">
        <f t="shared" si="67"/>
        <v>-12513</v>
      </c>
      <c r="K199" s="10">
        <f t="shared" si="67"/>
        <v>-14793</v>
      </c>
      <c r="L199" s="10">
        <f t="shared" si="67"/>
        <v>-17606</v>
      </c>
      <c r="M199" s="10">
        <f t="shared" si="67"/>
        <v>-19800</v>
      </c>
      <c r="N199" s="10">
        <f t="shared" si="67"/>
        <v>-24179</v>
      </c>
      <c r="O199" s="10">
        <f t="shared" si="67"/>
        <v>-29223</v>
      </c>
      <c r="P199" s="10">
        <f t="shared" si="67"/>
        <v>-35330</v>
      </c>
      <c r="Q199" s="10">
        <f t="shared" si="67"/>
        <v>-43197</v>
      </c>
      <c r="R199" s="10">
        <f t="shared" si="67"/>
        <v>-51351</v>
      </c>
      <c r="S199" s="10">
        <f t="shared" si="67"/>
        <v>-59660</v>
      </c>
      <c r="T199" s="10">
        <f t="shared" si="67"/>
        <v>-68251</v>
      </c>
      <c r="U199" s="10">
        <f t="shared" si="67"/>
        <v>-76421</v>
      </c>
      <c r="V199" s="10">
        <f t="shared" si="67"/>
        <v>-92628.314508597905</v>
      </c>
      <c r="W199" s="10">
        <f t="shared" si="67"/>
        <v>-112395.17666677413</v>
      </c>
      <c r="X199" s="10">
        <f t="shared" si="67"/>
        <v>-136216.02257487012</v>
      </c>
      <c r="Y199" s="10">
        <f t="shared" si="67"/>
        <v>-162248.80072546922</v>
      </c>
      <c r="Z199" s="10">
        <f t="shared" si="67"/>
        <v>-191394.93725710612</v>
      </c>
      <c r="AA199" s="10">
        <f t="shared" si="67"/>
        <v>-220819.39214783011</v>
      </c>
      <c r="AB199" s="10">
        <f t="shared" si="67"/>
        <v>-251100.22985953689</v>
      </c>
      <c r="AC199" s="10">
        <f t="shared" si="67"/>
        <v>-281881.34282719402</v>
      </c>
      <c r="AD199" s="10">
        <f t="shared" si="67"/>
        <v>-311632.00660556008</v>
      </c>
      <c r="AE199" s="10">
        <f t="shared" si="67"/>
        <v>-338586.12016841886</v>
      </c>
      <c r="AF199" s="10">
        <f t="shared" si="67"/>
        <v>-362942.69678170711</v>
      </c>
      <c r="AG199" s="10">
        <f t="shared" si="67"/>
        <v>-386391.76779835002</v>
      </c>
    </row>
    <row r="200" spans="1:33" s="1" customFormat="1" ht="10.5">
      <c r="A200" s="837" t="s">
        <v>798</v>
      </c>
      <c r="C200" s="838">
        <f>SUM(C198:C199)</f>
        <v>3044</v>
      </c>
      <c r="D200" s="838">
        <f t="shared" ref="D200:AG200" si="68">SUM(D198:D199)</f>
        <v>4350</v>
      </c>
      <c r="E200" s="838">
        <f t="shared" si="68"/>
        <v>6242</v>
      </c>
      <c r="F200" s="838">
        <f t="shared" si="68"/>
        <v>7535</v>
      </c>
      <c r="G200" s="838">
        <f t="shared" si="68"/>
        <v>7630</v>
      </c>
      <c r="H200" s="838">
        <f t="shared" si="68"/>
        <v>8162</v>
      </c>
      <c r="I200" s="838">
        <f t="shared" si="68"/>
        <v>8269</v>
      </c>
      <c r="J200" s="838">
        <f t="shared" si="68"/>
        <v>9991</v>
      </c>
      <c r="K200" s="838">
        <f t="shared" si="68"/>
        <v>13011</v>
      </c>
      <c r="L200" s="838">
        <f t="shared" si="68"/>
        <v>14731</v>
      </c>
      <c r="M200" s="838">
        <f t="shared" si="68"/>
        <v>18356</v>
      </c>
      <c r="N200" s="838">
        <f t="shared" si="68"/>
        <v>23734</v>
      </c>
      <c r="O200" s="838">
        <f t="shared" si="68"/>
        <v>29460</v>
      </c>
      <c r="P200" s="838">
        <f t="shared" si="68"/>
        <v>36477</v>
      </c>
      <c r="Q200" s="838">
        <f t="shared" si="68"/>
        <v>44151</v>
      </c>
      <c r="R200" s="838">
        <f t="shared" si="68"/>
        <v>59715</v>
      </c>
      <c r="S200" s="838">
        <f t="shared" si="68"/>
        <v>74398</v>
      </c>
      <c r="T200" s="838">
        <f t="shared" si="68"/>
        <v>95641</v>
      </c>
      <c r="U200" s="838">
        <f t="shared" si="68"/>
        <v>135591</v>
      </c>
      <c r="V200" s="838">
        <f t="shared" si="68"/>
        <v>192578.13695944205</v>
      </c>
      <c r="W200" s="838">
        <f t="shared" si="68"/>
        <v>225660.0153157069</v>
      </c>
      <c r="X200" s="838">
        <f t="shared" si="68"/>
        <v>251042.93855476685</v>
      </c>
      <c r="Y200" s="838">
        <f t="shared" si="68"/>
        <v>270122.7700084073</v>
      </c>
      <c r="Z200" s="838">
        <f t="shared" si="68"/>
        <v>281481.85327342351</v>
      </c>
      <c r="AA200" s="838">
        <f t="shared" si="68"/>
        <v>287361.62145310728</v>
      </c>
      <c r="AB200" s="838">
        <f t="shared" si="68"/>
        <v>290915.54402959079</v>
      </c>
      <c r="AC200" s="838">
        <f t="shared" si="68"/>
        <v>292227.90974467259</v>
      </c>
      <c r="AD200" s="838">
        <f t="shared" si="68"/>
        <v>297659.33757422143</v>
      </c>
      <c r="AE200" s="838">
        <f t="shared" si="68"/>
        <v>309198.9151177028</v>
      </c>
      <c r="AF200" s="838">
        <f t="shared" si="68"/>
        <v>326889.56934636482</v>
      </c>
      <c r="AG200" s="838">
        <f t="shared" si="68"/>
        <v>349303.62754491443</v>
      </c>
    </row>
    <row r="202" spans="1:33">
      <c r="A202" t="s">
        <v>799</v>
      </c>
      <c r="D202" s="8">
        <f>+C200</f>
        <v>3044</v>
      </c>
      <c r="E202" s="8">
        <f t="shared" ref="E202:AG202" si="69">+D200</f>
        <v>4350</v>
      </c>
      <c r="F202" s="8">
        <f t="shared" si="69"/>
        <v>6242</v>
      </c>
      <c r="G202" s="8">
        <f t="shared" si="69"/>
        <v>7535</v>
      </c>
      <c r="H202" s="8">
        <f t="shared" si="69"/>
        <v>7630</v>
      </c>
      <c r="I202" s="8">
        <f t="shared" si="69"/>
        <v>8162</v>
      </c>
      <c r="J202" s="8">
        <f t="shared" si="69"/>
        <v>8269</v>
      </c>
      <c r="K202" s="8">
        <f t="shared" si="69"/>
        <v>9991</v>
      </c>
      <c r="L202" s="8">
        <f t="shared" si="69"/>
        <v>13011</v>
      </c>
      <c r="M202" s="8">
        <f t="shared" si="69"/>
        <v>14731</v>
      </c>
      <c r="N202" s="8">
        <f t="shared" si="69"/>
        <v>18356</v>
      </c>
      <c r="O202" s="8">
        <f t="shared" si="69"/>
        <v>23734</v>
      </c>
      <c r="P202" s="8">
        <f t="shared" si="69"/>
        <v>29460</v>
      </c>
      <c r="Q202" s="8">
        <f t="shared" si="69"/>
        <v>36477</v>
      </c>
      <c r="R202" s="8">
        <f t="shared" si="69"/>
        <v>44151</v>
      </c>
      <c r="S202" s="8">
        <f t="shared" si="69"/>
        <v>59715</v>
      </c>
      <c r="T202" s="8">
        <f t="shared" si="69"/>
        <v>74398</v>
      </c>
      <c r="U202" s="8">
        <f t="shared" si="69"/>
        <v>95641</v>
      </c>
      <c r="V202" s="8">
        <f t="shared" si="69"/>
        <v>135591</v>
      </c>
      <c r="W202" s="8">
        <f t="shared" si="69"/>
        <v>192578.13695944205</v>
      </c>
      <c r="X202" s="8">
        <f t="shared" si="69"/>
        <v>225660.0153157069</v>
      </c>
      <c r="Y202" s="8">
        <f t="shared" si="69"/>
        <v>251042.93855476685</v>
      </c>
      <c r="Z202" s="8">
        <f t="shared" si="69"/>
        <v>270122.7700084073</v>
      </c>
      <c r="AA202" s="8">
        <f t="shared" si="69"/>
        <v>281481.85327342351</v>
      </c>
      <c r="AB202" s="8">
        <f t="shared" si="69"/>
        <v>287361.62145310728</v>
      </c>
      <c r="AC202" s="8">
        <f t="shared" si="69"/>
        <v>290915.54402959079</v>
      </c>
      <c r="AD202" s="8">
        <f t="shared" si="69"/>
        <v>292227.90974467259</v>
      </c>
      <c r="AE202" s="8">
        <f t="shared" si="69"/>
        <v>297659.33757422143</v>
      </c>
      <c r="AF202" s="8">
        <f t="shared" si="69"/>
        <v>309198.9151177028</v>
      </c>
      <c r="AG202" s="8">
        <f t="shared" si="69"/>
        <v>326889.56934636482</v>
      </c>
    </row>
    <row r="203" spans="1:33">
      <c r="A203" t="s">
        <v>800</v>
      </c>
      <c r="D203" s="8">
        <f t="shared" ref="D203:AG203" si="70">+D177</f>
        <v>2264</v>
      </c>
      <c r="E203" s="8">
        <f t="shared" si="70"/>
        <v>3182</v>
      </c>
      <c r="F203" s="8">
        <f t="shared" si="70"/>
        <v>3119</v>
      </c>
      <c r="G203" s="8">
        <f t="shared" si="70"/>
        <v>1977</v>
      </c>
      <c r="H203" s="8">
        <f t="shared" si="70"/>
        <v>2355</v>
      </c>
      <c r="I203" s="8">
        <f t="shared" si="70"/>
        <v>2305</v>
      </c>
      <c r="J203" s="8">
        <f t="shared" si="70"/>
        <v>4257</v>
      </c>
      <c r="K203" s="8">
        <f t="shared" si="70"/>
        <v>5485</v>
      </c>
      <c r="L203" s="8">
        <f t="shared" si="70"/>
        <v>5944</v>
      </c>
      <c r="M203" s="8">
        <f t="shared" si="70"/>
        <v>8900</v>
      </c>
      <c r="N203" s="8">
        <f t="shared" si="70"/>
        <v>10200</v>
      </c>
      <c r="O203" s="8">
        <f t="shared" si="70"/>
        <v>13600</v>
      </c>
      <c r="P203" s="8">
        <f t="shared" si="70"/>
        <v>16900</v>
      </c>
      <c r="Q203" s="8">
        <f t="shared" si="70"/>
        <v>19000</v>
      </c>
      <c r="R203" s="8">
        <f t="shared" si="70"/>
        <v>24200</v>
      </c>
      <c r="S203" s="8">
        <f t="shared" si="70"/>
        <v>29200</v>
      </c>
      <c r="T203" s="8">
        <f t="shared" si="70"/>
        <v>31900</v>
      </c>
      <c r="U203" s="8">
        <f t="shared" si="70"/>
        <v>55700</v>
      </c>
      <c r="V203" s="8">
        <f t="shared" si="70"/>
        <v>83000</v>
      </c>
      <c r="W203" s="8">
        <f t="shared" si="70"/>
        <v>66039.530193789353</v>
      </c>
      <c r="X203" s="8">
        <f t="shared" si="70"/>
        <v>64838.811462993188</v>
      </c>
      <c r="Y203" s="8">
        <f t="shared" si="70"/>
        <v>63023.324742029377</v>
      </c>
      <c r="Z203" s="8">
        <f t="shared" si="70"/>
        <v>60502.391752348209</v>
      </c>
      <c r="AA203" s="8">
        <f t="shared" si="70"/>
        <v>57174.760205969069</v>
      </c>
      <c r="AB203" s="8">
        <f t="shared" si="70"/>
        <v>57338.116663700406</v>
      </c>
      <c r="AC203" s="8">
        <f t="shared" si="70"/>
        <v>57161.691689350555</v>
      </c>
      <c r="AD203" s="8">
        <f t="shared" si="70"/>
        <v>61734.627024498601</v>
      </c>
      <c r="AE203" s="8">
        <f t="shared" si="70"/>
        <v>66673.397186458504</v>
      </c>
      <c r="AF203" s="8">
        <f t="shared" si="70"/>
        <v>72007.268961375186</v>
      </c>
      <c r="AG203" s="8">
        <f t="shared" si="70"/>
        <v>77767.850478285211</v>
      </c>
    </row>
    <row r="204" spans="1:33">
      <c r="A204" t="s">
        <v>801</v>
      </c>
      <c r="D204" s="8">
        <f t="shared" ref="D204:AG204" si="71">+D185</f>
        <v>940</v>
      </c>
      <c r="E204" s="8">
        <f t="shared" si="71"/>
        <v>1556</v>
      </c>
      <c r="F204" s="8">
        <f t="shared" si="71"/>
        <v>2062</v>
      </c>
      <c r="G204" s="8">
        <f t="shared" si="71"/>
        <v>2173</v>
      </c>
      <c r="H204" s="8">
        <f t="shared" si="71"/>
        <v>2266</v>
      </c>
      <c r="I204" s="8">
        <f t="shared" si="71"/>
        <v>2467</v>
      </c>
      <c r="J204" s="8">
        <f t="shared" si="71"/>
        <v>3255</v>
      </c>
      <c r="K204" s="8">
        <f t="shared" si="71"/>
        <v>4712</v>
      </c>
      <c r="L204" s="8">
        <f t="shared" si="71"/>
        <v>5457</v>
      </c>
      <c r="M204" s="8">
        <f t="shared" si="71"/>
        <v>4900</v>
      </c>
      <c r="N204" s="8">
        <f t="shared" si="71"/>
        <v>6100</v>
      </c>
      <c r="O204" s="8">
        <f t="shared" si="71"/>
        <v>7700</v>
      </c>
      <c r="P204" s="8">
        <f t="shared" si="71"/>
        <v>9700</v>
      </c>
      <c r="Q204" s="8">
        <f t="shared" si="71"/>
        <v>10700</v>
      </c>
      <c r="R204" s="8">
        <f t="shared" si="71"/>
        <v>9300</v>
      </c>
      <c r="S204" s="8">
        <f t="shared" si="71"/>
        <v>12600</v>
      </c>
      <c r="T204" s="8">
        <f t="shared" si="71"/>
        <v>11000</v>
      </c>
      <c r="U204" s="8">
        <f t="shared" si="71"/>
        <v>15200</v>
      </c>
      <c r="V204" s="8">
        <f t="shared" si="71"/>
        <v>24078.842105263157</v>
      </c>
      <c r="W204" s="8">
        <f t="shared" si="71"/>
        <v>29307.778056777617</v>
      </c>
      <c r="X204" s="8">
        <f t="shared" si="71"/>
        <v>35397.79118314576</v>
      </c>
      <c r="Y204" s="8">
        <f t="shared" si="71"/>
        <v>40063.321859868367</v>
      </c>
      <c r="Z204" s="8">
        <f t="shared" si="71"/>
        <v>45858.112460195443</v>
      </c>
      <c r="AA204" s="8">
        <f t="shared" si="71"/>
        <v>49138.545657415409</v>
      </c>
      <c r="AB204" s="8">
        <f t="shared" si="71"/>
        <v>53025.710706963218</v>
      </c>
      <c r="AC204" s="8">
        <f t="shared" si="71"/>
        <v>56644.977466529614</v>
      </c>
      <c r="AD204" s="8">
        <f t="shared" si="71"/>
        <v>58785.049209717625</v>
      </c>
      <c r="AE204" s="8">
        <f t="shared" si="71"/>
        <v>59052.881440795922</v>
      </c>
      <c r="AF204" s="8">
        <f t="shared" si="71"/>
        <v>59231.676242363028</v>
      </c>
      <c r="AG204" s="8">
        <f t="shared" si="71"/>
        <v>60832.950496436613</v>
      </c>
    </row>
    <row r="205" spans="1:33" ht="11.45">
      <c r="A205" t="s">
        <v>200</v>
      </c>
      <c r="D205" s="10">
        <f t="shared" ref="D205:AG205" si="72">+D206-SUM(D202:D204)</f>
        <v>-1898</v>
      </c>
      <c r="E205" s="10">
        <f t="shared" si="72"/>
        <v>-2846</v>
      </c>
      <c r="F205" s="10">
        <f t="shared" si="72"/>
        <v>-3888</v>
      </c>
      <c r="G205" s="10">
        <f t="shared" si="72"/>
        <v>-4055</v>
      </c>
      <c r="H205" s="10">
        <f t="shared" si="72"/>
        <v>-4089</v>
      </c>
      <c r="I205" s="10">
        <f t="shared" si="72"/>
        <v>-4665</v>
      </c>
      <c r="J205" s="10">
        <f t="shared" si="72"/>
        <v>-5790</v>
      </c>
      <c r="K205" s="10">
        <f t="shared" si="72"/>
        <v>-7177</v>
      </c>
      <c r="L205" s="10">
        <f t="shared" si="72"/>
        <v>-9681</v>
      </c>
      <c r="M205" s="10">
        <f t="shared" si="72"/>
        <v>-10175</v>
      </c>
      <c r="N205" s="10">
        <f t="shared" si="72"/>
        <v>-10922</v>
      </c>
      <c r="O205" s="10">
        <f t="shared" si="72"/>
        <v>-15574</v>
      </c>
      <c r="P205" s="10">
        <f t="shared" si="72"/>
        <v>-19583</v>
      </c>
      <c r="Q205" s="10">
        <f t="shared" si="72"/>
        <v>-22026</v>
      </c>
      <c r="R205" s="10">
        <f t="shared" si="72"/>
        <v>-17936</v>
      </c>
      <c r="S205" s="10">
        <f t="shared" si="72"/>
        <v>-27117</v>
      </c>
      <c r="T205" s="10">
        <f t="shared" si="72"/>
        <v>-21657</v>
      </c>
      <c r="U205" s="10">
        <f t="shared" si="72"/>
        <v>-30950</v>
      </c>
      <c r="V205" s="10">
        <f t="shared" si="72"/>
        <v>-50091.705145821092</v>
      </c>
      <c r="W205" s="10">
        <f t="shared" si="72"/>
        <v>-62265.429894302099</v>
      </c>
      <c r="X205" s="10">
        <f t="shared" si="72"/>
        <v>-74853.679407079035</v>
      </c>
      <c r="Y205" s="10">
        <f t="shared" si="72"/>
        <v>-84006.815148257301</v>
      </c>
      <c r="Z205" s="10">
        <f t="shared" si="72"/>
        <v>-95001.420947527455</v>
      </c>
      <c r="AA205" s="10">
        <f t="shared" si="72"/>
        <v>-100433.53768370074</v>
      </c>
      <c r="AB205" s="10">
        <f t="shared" si="72"/>
        <v>-106809.90479418007</v>
      </c>
      <c r="AC205" s="10">
        <f t="shared" si="72"/>
        <v>-112494.30344079831</v>
      </c>
      <c r="AD205" s="10">
        <f t="shared" si="72"/>
        <v>-115088.24840466736</v>
      </c>
      <c r="AE205" s="10">
        <f t="shared" si="72"/>
        <v>-114186.70108377305</v>
      </c>
      <c r="AF205" s="10">
        <f t="shared" si="72"/>
        <v>-113548.29097507615</v>
      </c>
      <c r="AG205" s="10">
        <f t="shared" si="72"/>
        <v>-116186.74277617224</v>
      </c>
    </row>
    <row r="206" spans="1:33" s="1" customFormat="1" ht="10.5">
      <c r="A206" s="837" t="s">
        <v>798</v>
      </c>
      <c r="D206" s="838">
        <f>+D200</f>
        <v>4350</v>
      </c>
      <c r="E206" s="838">
        <f t="shared" ref="E206:AG206" si="73">+E200</f>
        <v>6242</v>
      </c>
      <c r="F206" s="838">
        <f t="shared" si="73"/>
        <v>7535</v>
      </c>
      <c r="G206" s="838">
        <f t="shared" si="73"/>
        <v>7630</v>
      </c>
      <c r="H206" s="838">
        <f t="shared" si="73"/>
        <v>8162</v>
      </c>
      <c r="I206" s="838">
        <f t="shared" si="73"/>
        <v>8269</v>
      </c>
      <c r="J206" s="838">
        <f t="shared" si="73"/>
        <v>9991</v>
      </c>
      <c r="K206" s="838">
        <f t="shared" si="73"/>
        <v>13011</v>
      </c>
      <c r="L206" s="838">
        <f t="shared" si="73"/>
        <v>14731</v>
      </c>
      <c r="M206" s="838">
        <f t="shared" si="73"/>
        <v>18356</v>
      </c>
      <c r="N206" s="838">
        <f t="shared" si="73"/>
        <v>23734</v>
      </c>
      <c r="O206" s="838">
        <f t="shared" si="73"/>
        <v>29460</v>
      </c>
      <c r="P206" s="838">
        <f t="shared" si="73"/>
        <v>36477</v>
      </c>
      <c r="Q206" s="838">
        <f t="shared" si="73"/>
        <v>44151</v>
      </c>
      <c r="R206" s="838">
        <f t="shared" si="73"/>
        <v>59715</v>
      </c>
      <c r="S206" s="838">
        <f t="shared" si="73"/>
        <v>74398</v>
      </c>
      <c r="T206" s="838">
        <f t="shared" si="73"/>
        <v>95641</v>
      </c>
      <c r="U206" s="838">
        <f t="shared" si="73"/>
        <v>135591</v>
      </c>
      <c r="V206" s="838">
        <f t="shared" si="73"/>
        <v>192578.13695944205</v>
      </c>
      <c r="W206" s="838">
        <f t="shared" si="73"/>
        <v>225660.0153157069</v>
      </c>
      <c r="X206" s="838">
        <f t="shared" si="73"/>
        <v>251042.93855476685</v>
      </c>
      <c r="Y206" s="838">
        <f t="shared" si="73"/>
        <v>270122.7700084073</v>
      </c>
      <c r="Z206" s="838">
        <f t="shared" si="73"/>
        <v>281481.85327342351</v>
      </c>
      <c r="AA206" s="838">
        <f t="shared" si="73"/>
        <v>287361.62145310728</v>
      </c>
      <c r="AB206" s="838">
        <f t="shared" si="73"/>
        <v>290915.54402959079</v>
      </c>
      <c r="AC206" s="838">
        <f t="shared" si="73"/>
        <v>292227.90974467259</v>
      </c>
      <c r="AD206" s="838">
        <f t="shared" si="73"/>
        <v>297659.33757422143</v>
      </c>
      <c r="AE206" s="838">
        <f t="shared" si="73"/>
        <v>309198.9151177028</v>
      </c>
      <c r="AF206" s="838">
        <f t="shared" si="73"/>
        <v>326889.56934636482</v>
      </c>
      <c r="AG206" s="838">
        <f t="shared" si="73"/>
        <v>349303.62754491443</v>
      </c>
    </row>
    <row r="207" spans="1:33" s="1" customFormat="1" ht="10.5">
      <c r="A207" s="837"/>
      <c r="D207" s="838"/>
      <c r="E207" s="838"/>
      <c r="F207" s="838"/>
      <c r="G207" s="838"/>
      <c r="H207" s="838"/>
      <c r="I207" s="838"/>
      <c r="J207" s="838"/>
      <c r="K207" s="838"/>
      <c r="L207" s="838"/>
      <c r="M207" s="838"/>
      <c r="N207" s="838"/>
      <c r="O207" s="838"/>
      <c r="P207" s="838"/>
      <c r="Q207" s="838"/>
      <c r="R207" s="838"/>
      <c r="S207" s="838"/>
      <c r="T207" s="838"/>
      <c r="U207" s="838"/>
      <c r="V207" s="838"/>
      <c r="W207" s="838"/>
    </row>
    <row r="208" spans="1:33" s="1" customFormat="1" ht="10.5">
      <c r="A208" s="45" t="s">
        <v>802</v>
      </c>
      <c r="B208"/>
      <c r="C208"/>
      <c r="D208"/>
      <c r="E208"/>
      <c r="F208"/>
      <c r="G208"/>
      <c r="H208"/>
      <c r="I208"/>
      <c r="J208"/>
      <c r="K208"/>
      <c r="L208"/>
      <c r="M208"/>
      <c r="N208" s="838"/>
      <c r="O208" s="838"/>
      <c r="P208" s="838"/>
      <c r="Q208" s="838"/>
      <c r="R208" s="838"/>
      <c r="S208" s="838"/>
      <c r="T208" s="838"/>
      <c r="U208" s="838"/>
      <c r="V208" s="838"/>
      <c r="W208" s="838"/>
    </row>
    <row r="209" spans="1:33" s="1" customFormat="1" ht="10.5">
      <c r="A209" t="s">
        <v>803</v>
      </c>
      <c r="B209"/>
      <c r="C209"/>
      <c r="D209"/>
      <c r="E209"/>
      <c r="F209"/>
      <c r="G209"/>
      <c r="H209"/>
      <c r="I209"/>
      <c r="J209"/>
      <c r="K209"/>
      <c r="L209"/>
      <c r="M209" s="1248"/>
      <c r="N209" s="1249">
        <f t="shared" ref="N209:S209" si="74">+N198/N204</f>
        <v>7.854590163934426</v>
      </c>
      <c r="O209" s="1249">
        <f t="shared" si="74"/>
        <v>7.6211688311688315</v>
      </c>
      <c r="P209" s="1249">
        <f t="shared" si="74"/>
        <v>7.4027835051546393</v>
      </c>
      <c r="Q209" s="1249">
        <f t="shared" si="74"/>
        <v>8.1633644859813081</v>
      </c>
      <c r="R209" s="1249">
        <f t="shared" si="74"/>
        <v>11.942580645161291</v>
      </c>
      <c r="S209" s="1249">
        <f t="shared" si="74"/>
        <v>10.63952380952381</v>
      </c>
      <c r="T209" s="1249">
        <f>+T198/T204</f>
        <v>14.899272727272727</v>
      </c>
      <c r="U209" s="1249">
        <f t="shared" ref="U209:AG209" si="75">+U198/U204</f>
        <v>13.948157894736843</v>
      </c>
      <c r="V209" s="1249">
        <f t="shared" si="75"/>
        <v>11.844691294590925</v>
      </c>
      <c r="W209" s="1249">
        <f t="shared" si="75"/>
        <v>11.534657841599955</v>
      </c>
      <c r="X209" s="1249">
        <f t="shared" si="75"/>
        <v>10.940201300301069</v>
      </c>
      <c r="Y209" s="1249">
        <f t="shared" si="75"/>
        <v>10.792204706494529</v>
      </c>
      <c r="Z209" s="1249">
        <f t="shared" si="75"/>
        <v>10.311736902407045</v>
      </c>
      <c r="AA209" s="1249">
        <f t="shared" si="75"/>
        <v>10.341800043165273</v>
      </c>
      <c r="AB209" s="1249">
        <f t="shared" si="75"/>
        <v>10.221754063504733</v>
      </c>
      <c r="AC209" s="1249">
        <f t="shared" si="75"/>
        <v>10.135219012331611</v>
      </c>
      <c r="AD209" s="1249">
        <f t="shared" si="75"/>
        <v>10.364733080448982</v>
      </c>
      <c r="AE209" s="1249">
        <f t="shared" si="75"/>
        <v>10.969575395496411</v>
      </c>
      <c r="AF209" s="1249">
        <f t="shared" si="75"/>
        <v>11.646340436246133</v>
      </c>
      <c r="AG209" s="1249">
        <f t="shared" si="75"/>
        <v>12.093699045328385</v>
      </c>
    </row>
    <row r="210" spans="1:33" s="1" customFormat="1" ht="10.5">
      <c r="A210" t="s">
        <v>804</v>
      </c>
      <c r="B210"/>
      <c r="C210"/>
      <c r="D210"/>
      <c r="E210"/>
      <c r="F210"/>
      <c r="G210"/>
      <c r="H210"/>
      <c r="I210"/>
      <c r="J210"/>
      <c r="K210"/>
      <c r="L210"/>
      <c r="M210" s="1248"/>
      <c r="N210" s="1249">
        <f t="shared" ref="N210:AG210" si="76">(N170-N173)/N204</f>
        <v>7.5580327868852457</v>
      </c>
      <c r="O210" s="1249">
        <f t="shared" si="76"/>
        <v>7.4825974025974027</v>
      </c>
      <c r="P210" s="1249">
        <f t="shared" si="76"/>
        <v>7.2179381443298967</v>
      </c>
      <c r="Q210" s="1249">
        <f t="shared" si="76"/>
        <v>7.8415887850467287</v>
      </c>
      <c r="R210" s="1249">
        <f t="shared" si="76"/>
        <v>11.430645161290322</v>
      </c>
      <c r="S210" s="1249">
        <f t="shared" si="76"/>
        <v>9.9310317460317457</v>
      </c>
      <c r="T210" s="1249">
        <f t="shared" si="76"/>
        <v>14.177272727272728</v>
      </c>
      <c r="U210" s="1249">
        <f t="shared" si="76"/>
        <v>13.143092105263158</v>
      </c>
      <c r="V210" s="1249">
        <f t="shared" si="76"/>
        <v>10.603269474167666</v>
      </c>
      <c r="W210" s="1249">
        <f t="shared" si="76"/>
        <v>11.534657841599955</v>
      </c>
      <c r="X210" s="1249">
        <f t="shared" si="76"/>
        <v>10.940201300301069</v>
      </c>
      <c r="Y210" s="1249">
        <f t="shared" si="76"/>
        <v>10.792204706494529</v>
      </c>
      <c r="Z210" s="1249">
        <f t="shared" si="76"/>
        <v>10.311736902407045</v>
      </c>
      <c r="AA210" s="1249">
        <f t="shared" si="76"/>
        <v>10.341800043165273</v>
      </c>
      <c r="AB210" s="1249">
        <f t="shared" si="76"/>
        <v>10.221754063504733</v>
      </c>
      <c r="AC210" s="1249">
        <f t="shared" si="76"/>
        <v>10.135219012331611</v>
      </c>
      <c r="AD210" s="1249">
        <f t="shared" si="76"/>
        <v>10.364733080448982</v>
      </c>
      <c r="AE210" s="1249">
        <f t="shared" si="76"/>
        <v>10.969575395496411</v>
      </c>
      <c r="AF210" s="1249">
        <f t="shared" si="76"/>
        <v>11.646340436246133</v>
      </c>
      <c r="AG210" s="1249">
        <f t="shared" si="76"/>
        <v>12.093699045328385</v>
      </c>
    </row>
    <row r="211" spans="1:33" s="1" customFormat="1" ht="10.5">
      <c r="A211" t="s">
        <v>805</v>
      </c>
      <c r="B211"/>
      <c r="C211"/>
      <c r="D211"/>
      <c r="E211"/>
      <c r="F211"/>
      <c r="G211"/>
      <c r="H211"/>
      <c r="I211"/>
      <c r="J211"/>
      <c r="K211"/>
      <c r="L211"/>
      <c r="M211" s="1248"/>
      <c r="N211" s="1249">
        <f t="shared" ref="N211:S211" si="77">+N206/N204</f>
        <v>3.8908196721311477</v>
      </c>
      <c r="O211" s="1249">
        <f t="shared" si="77"/>
        <v>3.825974025974026</v>
      </c>
      <c r="P211" s="1249">
        <f t="shared" si="77"/>
        <v>3.7605154639175256</v>
      </c>
      <c r="Q211" s="1249">
        <f t="shared" si="77"/>
        <v>4.1262616822429905</v>
      </c>
      <c r="R211" s="1249">
        <f t="shared" si="77"/>
        <v>6.4209677419354838</v>
      </c>
      <c r="S211" s="1249">
        <f t="shared" si="77"/>
        <v>5.9046031746031744</v>
      </c>
      <c r="T211" s="1249">
        <f>+T206/T204</f>
        <v>8.6946363636363628</v>
      </c>
      <c r="U211" s="1249">
        <f t="shared" ref="U211:AG211" si="78">+U206/U204</f>
        <v>8.9204605263157895</v>
      </c>
      <c r="V211" s="1249">
        <f t="shared" si="78"/>
        <v>7.9978155144490231</v>
      </c>
      <c r="W211" s="1249">
        <f t="shared" si="78"/>
        <v>7.6996630341112304</v>
      </c>
      <c r="X211" s="1249">
        <f t="shared" si="78"/>
        <v>7.0920509490518144</v>
      </c>
      <c r="Y211" s="1249">
        <f t="shared" si="78"/>
        <v>6.7423957242794348</v>
      </c>
      <c r="Z211" s="1249">
        <f t="shared" si="78"/>
        <v>6.1381037764637174</v>
      </c>
      <c r="AA211" s="1249">
        <f t="shared" si="78"/>
        <v>5.847987920858257</v>
      </c>
      <c r="AB211" s="1249">
        <f t="shared" si="78"/>
        <v>5.4863110772297183</v>
      </c>
      <c r="AC211" s="1249">
        <f t="shared" si="78"/>
        <v>5.158937699592947</v>
      </c>
      <c r="AD211" s="1249">
        <f t="shared" si="78"/>
        <v>5.0635211091226919</v>
      </c>
      <c r="AE211" s="1249">
        <f t="shared" si="78"/>
        <v>5.2359666044017406</v>
      </c>
      <c r="AF211" s="1249">
        <f t="shared" si="78"/>
        <v>5.5188302962895124</v>
      </c>
      <c r="AG211" s="1249">
        <f t="shared" si="78"/>
        <v>5.7420135747874905</v>
      </c>
    </row>
    <row r="212" spans="1:33" s="1" customFormat="1" ht="10.5">
      <c r="A212" s="837"/>
      <c r="D212" s="838"/>
      <c r="E212" s="838"/>
      <c r="F212" s="838"/>
      <c r="G212" s="838"/>
      <c r="H212" s="838"/>
      <c r="I212" s="838"/>
      <c r="J212" s="838"/>
      <c r="K212" s="838"/>
      <c r="L212" s="838"/>
      <c r="M212" s="838"/>
      <c r="N212" s="838"/>
      <c r="O212" s="838"/>
      <c r="P212" s="838"/>
      <c r="Q212" s="838"/>
      <c r="R212" s="838"/>
      <c r="S212" s="838"/>
      <c r="T212" s="838"/>
      <c r="U212" s="838"/>
      <c r="V212" s="838"/>
      <c r="W212" s="838"/>
    </row>
    <row r="213" spans="1:33" s="1" customFormat="1" ht="10.5">
      <c r="A213" s="45"/>
      <c r="D213" s="838"/>
      <c r="E213" s="838"/>
      <c r="F213" s="838"/>
      <c r="G213" s="838"/>
      <c r="H213" s="838"/>
      <c r="I213" s="838"/>
      <c r="J213" s="838"/>
      <c r="K213" s="838"/>
      <c r="L213" s="838"/>
      <c r="M213" s="838"/>
      <c r="N213" s="838"/>
      <c r="O213" s="838"/>
      <c r="P213" s="838"/>
      <c r="Q213" s="838"/>
      <c r="R213" s="838"/>
      <c r="S213" s="838"/>
      <c r="T213" s="838"/>
      <c r="U213" s="838"/>
      <c r="V213" s="838"/>
      <c r="W213" s="838"/>
    </row>
    <row r="214" spans="1:33">
      <c r="A214" t="s">
        <v>801</v>
      </c>
      <c r="C214" s="29"/>
      <c r="D214" s="11">
        <f t="shared" ref="D214:L214" si="79">+D191-D194</f>
        <v>940</v>
      </c>
      <c r="E214" s="11">
        <f t="shared" si="79"/>
        <v>1556</v>
      </c>
      <c r="F214" s="11">
        <f t="shared" si="79"/>
        <v>2062</v>
      </c>
      <c r="G214" s="11">
        <f t="shared" si="79"/>
        <v>2173</v>
      </c>
      <c r="H214" s="11">
        <f t="shared" si="79"/>
        <v>2266</v>
      </c>
      <c r="I214" s="11">
        <f t="shared" si="79"/>
        <v>2467</v>
      </c>
      <c r="J214" s="11">
        <f t="shared" si="79"/>
        <v>3255</v>
      </c>
      <c r="K214" s="11">
        <f t="shared" si="79"/>
        <v>4712</v>
      </c>
      <c r="L214" s="11">
        <f t="shared" si="79"/>
        <v>5457</v>
      </c>
      <c r="M214" s="29">
        <v>4900</v>
      </c>
      <c r="N214" s="29">
        <v>6100</v>
      </c>
      <c r="O214" s="29">
        <v>7700</v>
      </c>
      <c r="P214" s="29">
        <v>9700</v>
      </c>
      <c r="Q214" s="29">
        <v>10700</v>
      </c>
      <c r="R214" s="29">
        <v>9300</v>
      </c>
      <c r="S214" s="29">
        <v>12600</v>
      </c>
      <c r="T214" s="29">
        <v>11000</v>
      </c>
      <c r="U214" s="29">
        <v>15200</v>
      </c>
      <c r="V214" s="29"/>
      <c r="W214" s="29"/>
    </row>
    <row r="215" spans="1:33">
      <c r="A215" s="15" t="s">
        <v>806</v>
      </c>
      <c r="B215" s="11"/>
      <c r="C215" s="11"/>
      <c r="D215" s="29"/>
      <c r="E215" s="29"/>
      <c r="F215" s="29"/>
      <c r="G215" s="29"/>
      <c r="H215" s="29"/>
      <c r="I215" s="29"/>
      <c r="J215" s="29"/>
      <c r="K215" s="29"/>
      <c r="L215" s="29"/>
      <c r="M215" s="29"/>
      <c r="N215" s="29">
        <v>104</v>
      </c>
      <c r="O215" s="29">
        <v>243</v>
      </c>
      <c r="P215" s="29">
        <v>370</v>
      </c>
      <c r="Q215" s="29">
        <v>611</v>
      </c>
      <c r="R215" s="29">
        <v>921</v>
      </c>
      <c r="S215" s="29">
        <v>980</v>
      </c>
      <c r="T215" s="29">
        <v>1352</v>
      </c>
      <c r="U215" s="29">
        <v>1800</v>
      </c>
      <c r="V215" s="1220"/>
      <c r="W215" s="1220"/>
    </row>
    <row r="216" spans="1:33" s="1" customFormat="1" ht="10.5">
      <c r="A216"/>
      <c r="D216" s="838"/>
      <c r="E216" s="838"/>
      <c r="F216" s="838"/>
      <c r="G216" s="838"/>
      <c r="H216" s="838"/>
      <c r="I216" s="838"/>
      <c r="J216" s="838"/>
      <c r="K216" s="838"/>
      <c r="L216" s="838"/>
      <c r="M216" s="1221"/>
      <c r="N216" s="1221"/>
      <c r="O216" s="1221"/>
      <c r="P216" s="1221"/>
      <c r="Q216" s="1221"/>
      <c r="R216" s="1221"/>
      <c r="S216" s="1221"/>
      <c r="T216" s="1221"/>
      <c r="U216" s="1221"/>
      <c r="V216" s="1221"/>
      <c r="W216" s="1221"/>
    </row>
    <row r="217" spans="1:33" s="1" customFormat="1" ht="10.5">
      <c r="A217"/>
      <c r="D217" s="838"/>
      <c r="E217" s="838"/>
      <c r="F217" s="838"/>
      <c r="G217" s="838"/>
      <c r="H217" s="838"/>
      <c r="I217" s="838"/>
      <c r="J217" s="838"/>
      <c r="K217" s="838"/>
      <c r="L217" s="838"/>
      <c r="M217" s="1221"/>
      <c r="N217" s="1221"/>
      <c r="O217" s="1221"/>
      <c r="P217" s="1221"/>
      <c r="Q217" s="1221"/>
      <c r="R217" s="1221"/>
      <c r="S217" s="1221"/>
      <c r="T217" s="1221"/>
      <c r="U217" s="1221"/>
      <c r="V217" s="1221"/>
      <c r="W217" s="956"/>
    </row>
  </sheetData>
  <pageMargins left="0.3" right="0.3" top="0.3" bottom="0.3" header="0.3" footer="0.3"/>
  <pageSetup scale="60" fitToHeight="0" orientation="portrait" r:id="rId1"/>
  <headerFooter>
    <oddFooter>Page &amp;P</oddFooter>
  </headerFooter>
  <colBreaks count="1" manualBreakCount="1">
    <brk id="33" max="1048575" man="1"/>
  </colBreaks>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72782-16FE-4920-8359-227B66BC471A}">
  <sheetPr>
    <pageSetUpPr fitToPage="1"/>
  </sheetPr>
  <dimension ref="A1:AG39"/>
  <sheetViews>
    <sheetView view="pageBreakPreview" zoomScale="85" zoomScaleNormal="100" zoomScaleSheetLayoutView="85" workbookViewId="0">
      <pane xSplit="1" ySplit="5" topLeftCell="B6" activePane="bottomRight" state="frozen"/>
      <selection pane="bottomRight" activeCell="B6" sqref="B6"/>
      <selection pane="bottomLeft" activeCell="B6" sqref="B6"/>
      <selection pane="topRight" activeCell="B6" sqref="B6"/>
    </sheetView>
  </sheetViews>
  <sheetFormatPr defaultColWidth="9.33203125" defaultRowHeight="12.6"/>
  <cols>
    <col min="1" max="1" width="26.1640625" style="790" customWidth="1"/>
    <col min="2" max="17" width="10.33203125" style="790" customWidth="1"/>
    <col min="18" max="30" width="10.5" style="790" customWidth="1"/>
    <col min="31" max="31" width="25.5" style="790" bestFit="1" customWidth="1"/>
    <col min="32" max="16384" width="9.33203125" style="790"/>
  </cols>
  <sheetData>
    <row r="1" spans="1:33" s="793" customFormat="1" ht="12.95">
      <c r="A1" s="790" t="s">
        <v>60</v>
      </c>
      <c r="B1" s="791"/>
      <c r="C1" s="791"/>
      <c r="D1" s="791"/>
      <c r="E1" s="791"/>
      <c r="F1" s="791"/>
      <c r="G1" s="791"/>
      <c r="H1" s="791"/>
      <c r="I1" s="791"/>
      <c r="J1" s="791"/>
      <c r="K1" s="791"/>
      <c r="L1" s="791"/>
      <c r="M1" s="791"/>
      <c r="N1" s="791"/>
      <c r="O1" s="791"/>
      <c r="P1" s="791"/>
      <c r="Q1" s="791"/>
      <c r="R1" s="792"/>
      <c r="S1" s="792"/>
      <c r="T1" s="792"/>
      <c r="U1" s="792"/>
      <c r="V1" s="792"/>
      <c r="W1" s="792"/>
      <c r="X1" s="792"/>
      <c r="Y1" s="792"/>
      <c r="Z1" s="792"/>
      <c r="AA1" s="792"/>
      <c r="AB1" s="792"/>
      <c r="AC1" s="792">
        <f ca="1">TODAY()</f>
        <v>45797</v>
      </c>
      <c r="AD1" s="792"/>
    </row>
    <row r="2" spans="1:33" s="794" customFormat="1" ht="12.95">
      <c r="A2" s="794" t="s">
        <v>202</v>
      </c>
      <c r="B2" s="795"/>
      <c r="C2" s="795"/>
      <c r="D2" s="795"/>
      <c r="E2" s="795"/>
      <c r="F2" s="795"/>
      <c r="G2" s="795"/>
      <c r="H2" s="795"/>
      <c r="I2" s="795"/>
      <c r="J2" s="795"/>
      <c r="K2" s="795"/>
      <c r="L2" s="795"/>
      <c r="M2" s="795"/>
      <c r="N2" s="795"/>
      <c r="O2" s="795"/>
      <c r="P2" s="795"/>
      <c r="Q2" s="795"/>
      <c r="R2" s="795"/>
      <c r="S2" s="795"/>
      <c r="T2" s="795"/>
      <c r="U2" s="795"/>
      <c r="V2" s="795"/>
      <c r="W2" s="795"/>
      <c r="X2" s="795"/>
      <c r="Y2" s="795"/>
      <c r="Z2" s="795"/>
      <c r="AA2" s="795"/>
      <c r="AB2" s="795"/>
      <c r="AC2" s="795"/>
      <c r="AD2" s="795"/>
    </row>
    <row r="3" spans="1:33" ht="12.95">
      <c r="A3" s="796" t="s">
        <v>63</v>
      </c>
    </row>
    <row r="4" spans="1:33" ht="15.95">
      <c r="B4" s="797" t="s">
        <v>205</v>
      </c>
      <c r="C4" s="798"/>
      <c r="D4" s="798"/>
      <c r="E4" s="798"/>
      <c r="F4" s="798"/>
      <c r="G4" s="798"/>
      <c r="H4" s="798"/>
      <c r="I4" s="798"/>
      <c r="J4" s="798"/>
      <c r="K4" s="798"/>
      <c r="L4" s="798"/>
      <c r="M4" s="798"/>
      <c r="N4" s="798"/>
      <c r="O4" s="798"/>
      <c r="P4" s="798"/>
      <c r="Q4" s="798"/>
      <c r="R4" s="798"/>
      <c r="S4" s="798"/>
      <c r="T4" s="798"/>
      <c r="U4" s="798"/>
      <c r="V4" s="798"/>
      <c r="W4" s="798"/>
      <c r="X4" s="798"/>
      <c r="Y4" s="798"/>
      <c r="Z4" s="798"/>
      <c r="AA4" s="798"/>
      <c r="AB4" s="798"/>
      <c r="AC4" s="798"/>
      <c r="AD4" s="798"/>
    </row>
    <row r="5" spans="1:33" ht="15.95">
      <c r="A5" s="799"/>
      <c r="B5" s="800" t="s">
        <v>214</v>
      </c>
      <c r="C5" s="800" t="s">
        <v>215</v>
      </c>
      <c r="D5" s="800" t="s">
        <v>216</v>
      </c>
      <c r="E5" s="800" t="s">
        <v>217</v>
      </c>
      <c r="F5" s="801" t="s">
        <v>218</v>
      </c>
      <c r="G5" s="800" t="s">
        <v>219</v>
      </c>
      <c r="H5" s="800" t="s">
        <v>220</v>
      </c>
      <c r="I5" s="800" t="s">
        <v>221</v>
      </c>
      <c r="J5" s="801" t="s">
        <v>222</v>
      </c>
      <c r="K5" s="800" t="s">
        <v>223</v>
      </c>
      <c r="L5" s="800" t="s">
        <v>224</v>
      </c>
      <c r="M5" s="800" t="s">
        <v>225</v>
      </c>
      <c r="N5" s="801" t="s">
        <v>226</v>
      </c>
      <c r="O5" s="800" t="s">
        <v>227</v>
      </c>
      <c r="P5" s="800" t="s">
        <v>228</v>
      </c>
      <c r="Q5" s="802" t="s">
        <v>229</v>
      </c>
      <c r="R5" s="800" t="s">
        <v>230</v>
      </c>
      <c r="S5" s="800" t="s">
        <v>231</v>
      </c>
      <c r="T5" s="800" t="s">
        <v>232</v>
      </c>
      <c r="U5" s="802" t="s">
        <v>233</v>
      </c>
      <c r="V5" s="800" t="s">
        <v>234</v>
      </c>
      <c r="W5" s="800" t="s">
        <v>235</v>
      </c>
      <c r="X5" s="800" t="s">
        <v>236</v>
      </c>
      <c r="Y5" s="802" t="s">
        <v>237</v>
      </c>
      <c r="Z5" s="800" t="s">
        <v>238</v>
      </c>
      <c r="AA5" s="800" t="s">
        <v>239</v>
      </c>
      <c r="AB5" s="800" t="s">
        <v>240</v>
      </c>
      <c r="AC5" s="802" t="s">
        <v>241</v>
      </c>
      <c r="AD5" s="800"/>
    </row>
    <row r="6" spans="1:33" ht="15.95">
      <c r="A6" s="799"/>
      <c r="B6" s="800"/>
      <c r="C6" s="800"/>
      <c r="D6" s="800"/>
      <c r="E6" s="800"/>
      <c r="F6" s="801"/>
      <c r="G6" s="800"/>
      <c r="H6" s="800"/>
      <c r="I6" s="800"/>
      <c r="J6" s="801"/>
      <c r="K6" s="800"/>
      <c r="L6" s="800"/>
      <c r="M6" s="800"/>
      <c r="N6" s="801"/>
      <c r="O6" s="800"/>
      <c r="P6" s="800"/>
      <c r="Q6" s="802"/>
      <c r="R6" s="800"/>
      <c r="S6" s="800"/>
      <c r="T6" s="800"/>
      <c r="U6" s="802"/>
      <c r="V6" s="800"/>
      <c r="W6" s="800"/>
      <c r="X6" s="800"/>
      <c r="Y6" s="802"/>
      <c r="Z6" s="800"/>
      <c r="AA6" s="800"/>
      <c r="AB6" s="800"/>
      <c r="AC6" s="802"/>
      <c r="AD6" s="800"/>
    </row>
    <row r="7" spans="1:33">
      <c r="A7" s="790" t="s">
        <v>86</v>
      </c>
      <c r="B7" s="803">
        <f>+'Historical Financials'!L12</f>
        <v>24538</v>
      </c>
      <c r="C7" s="803">
        <f>+'Historical Financials'!M12</f>
        <v>28918</v>
      </c>
      <c r="D7" s="803">
        <f>+'Historical Financials'!N12</f>
        <v>26819</v>
      </c>
      <c r="E7" s="803">
        <f>+'Historical Financials'!O12</f>
        <v>30085</v>
      </c>
      <c r="F7" s="804">
        <f>+'Historical Financials'!P12</f>
        <v>29084</v>
      </c>
      <c r="G7" s="803">
        <f>+'Historical Financials'!Q12</f>
        <v>32471</v>
      </c>
      <c r="H7" s="803">
        <f>+'Historical Financials'!R12</f>
        <v>30571</v>
      </c>
      <c r="I7" s="803">
        <f>+'Historical Financials'!S12</f>
        <v>33717</v>
      </c>
      <c r="J7" s="804">
        <f>+'Historical Financials'!T12</f>
        <v>33055</v>
      </c>
      <c r="K7" s="803">
        <f>+'Historical Financials'!U12</f>
        <v>36906</v>
      </c>
      <c r="L7" s="803">
        <f>+'Historical Financials'!V12</f>
        <v>35021</v>
      </c>
      <c r="M7" s="803">
        <f>+'Historical Financials'!W12</f>
        <v>38033</v>
      </c>
      <c r="N7" s="804">
        <f>+'Historical Financials'!X12</f>
        <v>37154</v>
      </c>
      <c r="O7" s="803">
        <f>+'Historical Financials'!Y12</f>
        <v>43076</v>
      </c>
      <c r="P7" s="803">
        <f>+'Historical Financials'!Z12</f>
        <v>41706</v>
      </c>
      <c r="Q7" s="805">
        <f>+'Historical Financials'!AA12</f>
        <v>46152</v>
      </c>
      <c r="R7" s="803">
        <f>+'Historical Financials'!AB12</f>
        <v>45317</v>
      </c>
      <c r="S7" s="803">
        <f>+'Historical Financials'!AC12</f>
        <v>51728</v>
      </c>
      <c r="T7" s="803">
        <f>+'Historical Financials'!AD12</f>
        <v>49360</v>
      </c>
      <c r="U7" s="805">
        <f>+'Historical Financials'!AE12</f>
        <v>51865</v>
      </c>
      <c r="V7" s="803">
        <f>+'Historical Financials'!AF12</f>
        <v>50122</v>
      </c>
      <c r="W7" s="803">
        <f>+'Historical Financials'!AG12</f>
        <v>52747</v>
      </c>
      <c r="X7" s="803">
        <f>+'Historical Financials'!AH12</f>
        <v>52857</v>
      </c>
      <c r="Y7" s="805">
        <f>+'Historical Financials'!AI12</f>
        <v>56189</v>
      </c>
      <c r="Z7" s="803">
        <f>+'Historical Financials'!AJ12</f>
        <v>56517</v>
      </c>
      <c r="AA7" s="803">
        <f>+'Historical Financials'!AK12</f>
        <v>62020</v>
      </c>
      <c r="AB7" s="803">
        <f>+'Historical Financials'!AL12</f>
        <v>61858</v>
      </c>
      <c r="AC7" s="805">
        <f>+'Historical Financials'!AM12</f>
        <v>64727</v>
      </c>
      <c r="AD7" s="803"/>
      <c r="AE7" s="803">
        <f>+'Historical Financials'!AG12</f>
        <v>52747</v>
      </c>
      <c r="AF7" s="803">
        <f>+'Historical Financials'!AH12</f>
        <v>52857</v>
      </c>
      <c r="AG7" s="803">
        <f>+'Historical Financials'!AI12</f>
        <v>56189</v>
      </c>
    </row>
    <row r="8" spans="1:33" s="796" customFormat="1" ht="12.95">
      <c r="A8" s="806" t="s">
        <v>113</v>
      </c>
      <c r="B8" s="791"/>
      <c r="C8" s="791"/>
      <c r="D8" s="791"/>
      <c r="E8" s="791"/>
      <c r="F8" s="807">
        <f t="shared" ref="F8" si="0">IFERROR(F7/B7-1,"n/a ")</f>
        <v>0.18526367267095933</v>
      </c>
      <c r="G8" s="791">
        <f t="shared" ref="G8" si="1">IFERROR(G7/C7-1,"n/a ")</f>
        <v>0.12286465177398154</v>
      </c>
      <c r="H8" s="791">
        <f t="shared" ref="H8" si="2">IFERROR(H7/D7-1,"n/a ")</f>
        <v>0.13990081658525666</v>
      </c>
      <c r="I8" s="791">
        <f t="shared" ref="I8" si="3">IFERROR(I7/E7-1,"n/a ")</f>
        <v>0.12072461359481479</v>
      </c>
      <c r="J8" s="807">
        <f t="shared" ref="J8" si="4">IFERROR(J7/F7-1,"n/a ")</f>
        <v>0.13653555219364599</v>
      </c>
      <c r="K8" s="791">
        <f t="shared" ref="K8" si="5">IFERROR(K7/G7-1,"n/a ")</f>
        <v>0.13658341289150311</v>
      </c>
      <c r="L8" s="791">
        <f t="shared" ref="L8" si="6">IFERROR(L7/H7-1,"n/a ")</f>
        <v>0.14556278826338698</v>
      </c>
      <c r="M8" s="791">
        <f t="shared" ref="M8" si="7">IFERROR(M7/I7-1,"n/a ")</f>
        <v>0.12800664353293589</v>
      </c>
      <c r="N8" s="807">
        <f t="shared" ref="N8" si="8">IFERROR(N7/J7-1,"n/a ")</f>
        <v>0.12400544546967174</v>
      </c>
      <c r="O8" s="791">
        <f t="shared" ref="O8" si="9">IFERROR(O7/K7-1,"n/a ")</f>
        <v>0.16718148810491518</v>
      </c>
      <c r="P8" s="791">
        <f t="shared" ref="P8" si="10">IFERROR(P7/L7-1,"n/a ")</f>
        <v>0.19088546871876866</v>
      </c>
      <c r="Q8" s="808">
        <f t="shared" ref="Q8" si="11">IFERROR(Q7/M7-1,"n/a ")</f>
        <v>0.21347251071437956</v>
      </c>
      <c r="R8" s="791">
        <f t="shared" ref="R8" si="12">IFERROR(R7/N7-1,"n/a ")</f>
        <v>0.21970716477364483</v>
      </c>
      <c r="S8" s="791">
        <f t="shared" ref="S8" si="13">IFERROR(S7/O7-1,"n/a ")</f>
        <v>0.2008543040208004</v>
      </c>
      <c r="T8" s="791">
        <f t="shared" ref="T8" si="14">IFERROR(T7/P7-1,"n/a ")</f>
        <v>0.18352275451973332</v>
      </c>
      <c r="U8" s="808">
        <f t="shared" ref="U8" si="15">IFERROR(U7/Q7-1,"n/a ")</f>
        <v>0.12378661813139202</v>
      </c>
      <c r="V8" s="791">
        <f t="shared" ref="V8" si="16">IFERROR(V7/R7-1,"n/a ")</f>
        <v>0.1060308493501334</v>
      </c>
      <c r="W8" s="791">
        <f t="shared" ref="W8" si="17">IFERROR(W7/S7-1,"n/a ")</f>
        <v>1.9699195793380753E-2</v>
      </c>
      <c r="X8" s="791">
        <f t="shared" ref="X8" si="18">IFERROR(X7/T7-1,"n/a ")</f>
        <v>7.0846839546191198E-2</v>
      </c>
      <c r="Y8" s="808">
        <f t="shared" ref="Y8" si="19">IFERROR(Y7/U7-1,"n/a ")</f>
        <v>8.3370288248336921E-2</v>
      </c>
      <c r="Z8" s="791">
        <f t="shared" ref="Z8" si="20">IFERROR(Z7/V7-1,"n/a ")</f>
        <v>0.12758868361198683</v>
      </c>
      <c r="AA8" s="791">
        <f t="shared" ref="AA8" si="21">IFERROR(AA7/W7-1,"n/a ")</f>
        <v>0.17580146738203117</v>
      </c>
      <c r="AB8" s="791">
        <f t="shared" ref="AB8" si="22">IFERROR(AB7/X7-1,"n/a ")</f>
        <v>0.17028964943148495</v>
      </c>
      <c r="AC8" s="808">
        <f t="shared" ref="AC8" si="23">IFERROR(AC7/Y7-1,"n/a ")</f>
        <v>0.15195144957198026</v>
      </c>
      <c r="AD8" s="791"/>
      <c r="AE8" s="796">
        <f t="shared" ref="AE8" si="24">IFERROR(AE7/S7-1,"n/a ")</f>
        <v>1.9699195793380753E-2</v>
      </c>
      <c r="AF8" s="796">
        <f t="shared" ref="AF8" si="25">IFERROR(AF7/T7-1,"n/a ")</f>
        <v>7.0846839546191198E-2</v>
      </c>
      <c r="AG8" s="796">
        <f t="shared" ref="AG8" si="26">IFERROR(AG7/U7-1,"n/a ")</f>
        <v>8.3370288248336921E-2</v>
      </c>
    </row>
    <row r="9" spans="1:33" s="796" customFormat="1" ht="12.95">
      <c r="A9" s="806" t="s">
        <v>272</v>
      </c>
      <c r="B9" s="791"/>
      <c r="C9" s="791"/>
      <c r="D9" s="791"/>
      <c r="E9" s="791"/>
      <c r="F9" s="807">
        <f>+'Historical Financials'!P14</f>
        <v>0.18546010269785637</v>
      </c>
      <c r="G9" s="791">
        <f>+'Historical Financials'!Q14</f>
        <v>0.12631371464139982</v>
      </c>
      <c r="H9" s="791">
        <f>+'Historical Financials'!R14</f>
        <v>0.16</v>
      </c>
      <c r="I9" s="791">
        <f>+'Historical Financials'!S14</f>
        <v>0.14324347681568889</v>
      </c>
      <c r="J9" s="807">
        <f>+'Historical Financials'!T14</f>
        <v>0.15429033145372026</v>
      </c>
      <c r="K9" s="791">
        <f>+'Historical Financials'!U14</f>
        <v>0.15197037356410337</v>
      </c>
      <c r="L9" s="791">
        <f>+'Historical Financials'!V14</f>
        <v>0.15910928657878379</v>
      </c>
      <c r="M9" s="791">
        <f>+'Historical Financials'!W14</f>
        <v>0.14502413322656227</v>
      </c>
      <c r="N9" s="807">
        <f>+'Historical Financials'!X14</f>
        <v>0.12050704885796401</v>
      </c>
      <c r="O9" s="791">
        <f>+'Historical Financials'!Y14</f>
        <v>0.15363536010404813</v>
      </c>
      <c r="P9" s="791">
        <f>+'Historical Financials'!Z14</f>
        <v>0.16171448844978725</v>
      </c>
      <c r="Q9" s="808">
        <f>+'Historical Financials'!AA14</f>
        <v>0.17445905660873451</v>
      </c>
      <c r="R9" s="791">
        <f>+'Historical Financials'!AB14</f>
        <v>0.20385421219787908</v>
      </c>
      <c r="S9" s="791">
        <f>+'Historical Financials'!AC14</f>
        <v>0.20078497539232981</v>
      </c>
      <c r="T9" s="791">
        <f>+'Historical Financials'!AD14</f>
        <v>0.20149706517047911</v>
      </c>
      <c r="U9" s="808">
        <f>+'Historical Financials'!AE14</f>
        <v>0.16459280637892182</v>
      </c>
      <c r="V9" s="791">
        <f>+'Historical Financials'!AF14</f>
        <v>0.15702183948628548</v>
      </c>
      <c r="W9" s="791">
        <f>+'Historical Financials'!AG14</f>
        <v>7.2159387565728428E-2</v>
      </c>
      <c r="X9" s="791">
        <f>+'Historical Financials'!AH14</f>
        <v>0.10162370340356562</v>
      </c>
      <c r="Y9" s="808">
        <f>+'Historical Financials'!AI14</f>
        <v>9.8637809698255086E-2</v>
      </c>
      <c r="Z9" s="791">
        <f>+'Historical Financials'!AJ14</f>
        <v>0.12288664059694347</v>
      </c>
      <c r="AA9" s="791">
        <f>+'Historical Financials'!AK14</f>
        <v>0.16473771020152805</v>
      </c>
      <c r="AB9" s="791">
        <f>+'Historical Financials'!AL14</f>
        <v>0.16792691034300095</v>
      </c>
      <c r="AC9" s="808">
        <f>+'Historical Financials'!AM14</f>
        <v>0.16268447382939721</v>
      </c>
      <c r="AD9" s="791"/>
      <c r="AE9" s="796">
        <f>+'Historical Financials'!AG14</f>
        <v>7.2159387565728428E-2</v>
      </c>
      <c r="AF9" s="796">
        <f>+'Historical Financials'!AH14</f>
        <v>0.10162370340356562</v>
      </c>
      <c r="AG9" s="796">
        <f>+'Historical Financials'!AI14</f>
        <v>9.8637809698255086E-2</v>
      </c>
    </row>
    <row r="10" spans="1:33" ht="15.95">
      <c r="A10" s="799"/>
      <c r="B10" s="800"/>
      <c r="C10" s="800"/>
      <c r="D10" s="800"/>
      <c r="E10" s="800"/>
      <c r="F10" s="801"/>
      <c r="G10" s="800"/>
      <c r="H10" s="800"/>
      <c r="I10" s="800"/>
      <c r="J10" s="801"/>
      <c r="K10" s="800"/>
      <c r="L10" s="800"/>
      <c r="M10" s="800"/>
      <c r="N10" s="801"/>
      <c r="O10" s="800"/>
      <c r="P10" s="800"/>
      <c r="Q10" s="802"/>
      <c r="R10" s="800"/>
      <c r="S10" s="800"/>
      <c r="T10" s="800"/>
      <c r="U10" s="802"/>
      <c r="V10" s="800"/>
      <c r="W10" s="800"/>
      <c r="X10" s="800"/>
      <c r="Y10" s="802"/>
      <c r="Z10" s="800"/>
      <c r="AA10" s="800"/>
      <c r="AB10" s="800"/>
      <c r="AC10" s="802"/>
      <c r="AD10" s="800"/>
    </row>
    <row r="11" spans="1:33">
      <c r="A11" s="790" t="s">
        <v>820</v>
      </c>
      <c r="B11" s="803">
        <f>+'Historical Financials'!L49</f>
        <v>7708</v>
      </c>
      <c r="C11" s="803">
        <f>+'Historical Financials'!M49</f>
        <v>8679</v>
      </c>
      <c r="D11" s="803">
        <f>+'Historical Financials'!N49</f>
        <v>8292</v>
      </c>
      <c r="E11" s="803">
        <f>+'Historical Financials'!O49</f>
        <v>10379</v>
      </c>
      <c r="F11" s="804">
        <f>+'Historical Financials'!P49</f>
        <v>9955</v>
      </c>
      <c r="G11" s="803">
        <f>+'Historical Financials'!Q49</f>
        <v>10258</v>
      </c>
      <c r="H11" s="803">
        <f>+'Historical Financials'!R49</f>
        <v>10341</v>
      </c>
      <c r="I11" s="803">
        <f>+'Historical Financials'!S49</f>
        <v>12405</v>
      </c>
      <c r="J11" s="804">
        <f>+'Historical Financials'!T49</f>
        <v>12686</v>
      </c>
      <c r="K11" s="803">
        <f>+'Historical Financials'!U49</f>
        <v>13891</v>
      </c>
      <c r="L11" s="803">
        <f>+'Historical Financials'!V49</f>
        <v>12975</v>
      </c>
      <c r="M11" s="803">
        <f>+'Historical Financials'!W49</f>
        <v>13407</v>
      </c>
      <c r="N11" s="804">
        <f>+'Historical Financials'!X49</f>
        <v>15876</v>
      </c>
      <c r="O11" s="803">
        <f>+'Historical Financials'!Y49</f>
        <v>17897</v>
      </c>
      <c r="P11" s="803">
        <f>+'Historical Financials'!Z49</f>
        <v>17048</v>
      </c>
      <c r="Q11" s="805">
        <f>+'Historical Financials'!AA49</f>
        <v>19095</v>
      </c>
      <c r="R11" s="803">
        <f>+'Historical Financials'!AB49</f>
        <v>20238</v>
      </c>
      <c r="S11" s="803">
        <f>+'Historical Financials'!AC49</f>
        <v>22247</v>
      </c>
      <c r="T11" s="803">
        <f>+'Historical Financials'!AD49</f>
        <v>20364</v>
      </c>
      <c r="U11" s="805">
        <f>+'Historical Financials'!AE49</f>
        <v>20534</v>
      </c>
      <c r="V11" s="803">
        <f>+'Historical Financials'!AF49</f>
        <v>21518</v>
      </c>
      <c r="W11" s="803">
        <f>+'Historical Financials'!AG49</f>
        <v>21570</v>
      </c>
      <c r="X11" s="803">
        <f>+'Historical Financials'!AH49</f>
        <v>22352</v>
      </c>
      <c r="Y11" s="805">
        <f>+'Historical Financials'!AI49</f>
        <v>24254</v>
      </c>
      <c r="Z11" s="803">
        <f>+'Historical Financials'!AJ49</f>
        <v>26895</v>
      </c>
      <c r="AA11" s="803">
        <f>+'Historical Financials'!AK49</f>
        <v>28162</v>
      </c>
      <c r="AB11" s="803">
        <f>+'Historical Financials'!AL49</f>
        <v>28521</v>
      </c>
      <c r="AC11" s="805">
        <f>+'Historical Financials'!AM49</f>
        <v>28865</v>
      </c>
      <c r="AD11" s="803"/>
      <c r="AE11" s="803">
        <f>+'Historical Financials'!AG49</f>
        <v>21570</v>
      </c>
      <c r="AF11" s="803">
        <f>+'Historical Financials'!AH49</f>
        <v>22352</v>
      </c>
      <c r="AG11" s="803">
        <f>+'Historical Financials'!AI49</f>
        <v>24254</v>
      </c>
    </row>
    <row r="12" spans="1:33" s="796" customFormat="1" ht="12.95">
      <c r="A12" s="806" t="s">
        <v>113</v>
      </c>
      <c r="B12" s="791"/>
      <c r="C12" s="791"/>
      <c r="D12" s="791"/>
      <c r="E12" s="791"/>
      <c r="F12" s="807">
        <f t="shared" ref="F12:R12" si="27">IFERROR(F11/B11-1,"n/a ")</f>
        <v>0.29151530877010901</v>
      </c>
      <c r="G12" s="791">
        <f t="shared" si="27"/>
        <v>0.18193340246572176</v>
      </c>
      <c r="H12" s="791">
        <f t="shared" si="27"/>
        <v>0.2471056439942112</v>
      </c>
      <c r="I12" s="791">
        <f t="shared" si="27"/>
        <v>0.19520184988919942</v>
      </c>
      <c r="J12" s="807">
        <f t="shared" si="27"/>
        <v>0.27433450527373182</v>
      </c>
      <c r="K12" s="791">
        <f t="shared" si="27"/>
        <v>0.3541626047962565</v>
      </c>
      <c r="L12" s="791">
        <f t="shared" si="27"/>
        <v>0.25471424427038003</v>
      </c>
      <c r="M12" s="791">
        <f t="shared" si="27"/>
        <v>8.0773881499395461E-2</v>
      </c>
      <c r="N12" s="807">
        <f t="shared" si="27"/>
        <v>0.25145830048872764</v>
      </c>
      <c r="O12" s="791">
        <f t="shared" si="27"/>
        <v>0.28838816499892017</v>
      </c>
      <c r="P12" s="791">
        <f t="shared" si="27"/>
        <v>0.31391136801541419</v>
      </c>
      <c r="Q12" s="808">
        <f t="shared" si="27"/>
        <v>0.42425598567912282</v>
      </c>
      <c r="R12" s="791">
        <f t="shared" si="27"/>
        <v>0.27475434618291761</v>
      </c>
      <c r="S12" s="791">
        <f t="shared" ref="S12" si="28">IFERROR(S11/O11-1,"n/a ")</f>
        <v>0.24305749566966539</v>
      </c>
      <c r="T12" s="791">
        <f t="shared" ref="T12" si="29">IFERROR(T11/P11-1,"n/a ")</f>
        <v>0.19450961989676219</v>
      </c>
      <c r="U12" s="808">
        <f t="shared" ref="U12" si="30">IFERROR(U11/Q11-1,"n/a ")</f>
        <v>7.5360041895784269E-2</v>
      </c>
      <c r="V12" s="791">
        <f t="shared" ref="V12" si="31">IFERROR(V11/R11-1,"n/a ")</f>
        <v>6.3247356458147941E-2</v>
      </c>
      <c r="W12" s="791">
        <f t="shared" ref="W12" si="32">IFERROR(W11/S11-1,"n/a ")</f>
        <v>-3.0431069357666152E-2</v>
      </c>
      <c r="X12" s="791">
        <f t="shared" ref="X12" si="33">IFERROR(X11/T11-1,"n/a ")</f>
        <v>9.7623256727558338E-2</v>
      </c>
      <c r="Y12" s="808">
        <f t="shared" ref="Y12" si="34">IFERROR(Y11/U11-1,"n/a ")</f>
        <v>0.18116294925489429</v>
      </c>
      <c r="Z12" s="791">
        <f t="shared" ref="Z12" si="35">IFERROR(Z11/V11-1,"n/a ")</f>
        <v>0.2498838181987173</v>
      </c>
      <c r="AA12" s="791">
        <f t="shared" ref="AA12" si="36">IFERROR(AA11/W11-1,"n/a ")</f>
        <v>0.30560964302271665</v>
      </c>
      <c r="AB12" s="791">
        <f t="shared" ref="AB12" si="37">IFERROR(AB11/X11-1,"n/a ")</f>
        <v>0.2759931997136722</v>
      </c>
      <c r="AC12" s="808">
        <f t="shared" ref="AC12" si="38">IFERROR(AC11/Y11-1,"n/a ")</f>
        <v>0.19011297105632052</v>
      </c>
      <c r="AD12" s="791"/>
      <c r="AF12" s="796" t="s">
        <v>821</v>
      </c>
    </row>
    <row r="13" spans="1:33" s="796" customFormat="1" ht="12.95">
      <c r="A13" s="806" t="s">
        <v>123</v>
      </c>
      <c r="B13" s="791">
        <f>+B11/B7</f>
        <v>0.3141250305648382</v>
      </c>
      <c r="C13" s="791">
        <f t="shared" ref="C13:R13" si="39">+C11/C7</f>
        <v>0.30012448993706342</v>
      </c>
      <c r="D13" s="791">
        <f t="shared" si="39"/>
        <v>0.30918378761325926</v>
      </c>
      <c r="E13" s="791">
        <f t="shared" si="39"/>
        <v>0.3449891972743892</v>
      </c>
      <c r="F13" s="807">
        <f t="shared" si="39"/>
        <v>0.34228441754916794</v>
      </c>
      <c r="G13" s="791">
        <f t="shared" si="39"/>
        <v>0.3159126605278556</v>
      </c>
      <c r="H13" s="791">
        <f t="shared" si="39"/>
        <v>0.3382617513329626</v>
      </c>
      <c r="I13" s="791">
        <f t="shared" si="39"/>
        <v>0.3679152949550672</v>
      </c>
      <c r="J13" s="807">
        <f t="shared" si="39"/>
        <v>0.38378460142187265</v>
      </c>
      <c r="K13" s="791">
        <f t="shared" si="39"/>
        <v>0.37638866309001245</v>
      </c>
      <c r="L13" s="791">
        <f t="shared" si="39"/>
        <v>0.37049199051997372</v>
      </c>
      <c r="M13" s="791">
        <f t="shared" si="39"/>
        <v>0.35250966266137301</v>
      </c>
      <c r="N13" s="807">
        <f t="shared" si="39"/>
        <v>0.42730257845723207</v>
      </c>
      <c r="O13" s="791">
        <f t="shared" si="39"/>
        <v>0.41547497446373849</v>
      </c>
      <c r="P13" s="791">
        <f t="shared" si="39"/>
        <v>0.40876612477820939</v>
      </c>
      <c r="Q13" s="808">
        <f t="shared" si="39"/>
        <v>0.41374154966198645</v>
      </c>
      <c r="R13" s="791">
        <f t="shared" si="39"/>
        <v>0.44658737339188381</v>
      </c>
      <c r="S13" s="791">
        <f t="shared" ref="S13:T13" si="40">+S11/S7</f>
        <v>0.43007655428394681</v>
      </c>
      <c r="T13" s="791">
        <f t="shared" si="40"/>
        <v>0.41256077795786061</v>
      </c>
      <c r="U13" s="808">
        <f t="shared" ref="U13:V13" si="41">+U11/U7</f>
        <v>0.3959124650535043</v>
      </c>
      <c r="V13" s="791">
        <f t="shared" si="41"/>
        <v>0.42931247755476637</v>
      </c>
      <c r="W13" s="791">
        <f t="shared" ref="W13:X13" si="42">+W11/W7</f>
        <v>0.4089332094716287</v>
      </c>
      <c r="X13" s="791">
        <f t="shared" si="42"/>
        <v>0.42287681858599618</v>
      </c>
      <c r="Y13" s="808">
        <f t="shared" ref="Y13:Z13" si="43">+Y11/Y7</f>
        <v>0.4316503230169606</v>
      </c>
      <c r="Z13" s="791">
        <f t="shared" si="43"/>
        <v>0.47587451563246458</v>
      </c>
      <c r="AA13" s="791">
        <f t="shared" ref="AA13:AB13" si="44">+AA11/AA7</f>
        <v>0.45407932924862948</v>
      </c>
      <c r="AB13" s="791">
        <f t="shared" si="44"/>
        <v>0.46107213294965887</v>
      </c>
      <c r="AC13" s="808">
        <f t="shared" ref="AC13" si="45">+AC11/AC7</f>
        <v>0.44594991271030637</v>
      </c>
      <c r="AD13" s="791"/>
      <c r="AF13" s="796" t="s">
        <v>822</v>
      </c>
    </row>
    <row r="14" spans="1:33" s="796" customFormat="1" ht="12.95">
      <c r="A14" s="806"/>
      <c r="B14" s="791"/>
      <c r="C14" s="791"/>
      <c r="D14" s="791"/>
      <c r="E14" s="791"/>
      <c r="F14" s="807"/>
      <c r="G14" s="791"/>
      <c r="H14" s="791"/>
      <c r="I14" s="791"/>
      <c r="J14" s="807"/>
      <c r="K14" s="791"/>
      <c r="L14" s="791"/>
      <c r="M14" s="791"/>
      <c r="N14" s="807"/>
      <c r="O14" s="791"/>
      <c r="P14" s="791"/>
      <c r="Q14" s="808"/>
      <c r="R14" s="791"/>
      <c r="S14" s="791"/>
      <c r="T14" s="791"/>
      <c r="U14" s="808"/>
      <c r="V14" s="791"/>
      <c r="W14" s="791"/>
      <c r="X14" s="791"/>
      <c r="Y14" s="808"/>
      <c r="Z14" s="791"/>
      <c r="AA14" s="791"/>
      <c r="AB14" s="791"/>
      <c r="AC14" s="808"/>
      <c r="AD14" s="791"/>
    </row>
    <row r="15" spans="1:33" s="809" customFormat="1" ht="12.95">
      <c r="A15" s="806" t="s">
        <v>823</v>
      </c>
      <c r="F15" s="810"/>
      <c r="J15" s="810"/>
      <c r="N15" s="811">
        <v>-0.02</v>
      </c>
      <c r="O15" s="812">
        <v>-0.02</v>
      </c>
      <c r="P15" s="812">
        <v>-0.02</v>
      </c>
      <c r="Q15" s="813">
        <v>-0.01</v>
      </c>
      <c r="R15" s="812">
        <v>0.02</v>
      </c>
      <c r="S15" s="812">
        <f>3%-S13+O13</f>
        <v>1.539842017979165E-2</v>
      </c>
      <c r="T15" s="812">
        <f>2%-T13+P13</f>
        <v>1.6205346820348798E-2</v>
      </c>
      <c r="U15" s="995" t="s">
        <v>824</v>
      </c>
      <c r="V15" s="812">
        <v>-0.02</v>
      </c>
      <c r="W15" s="812">
        <f>+W16-W13</f>
        <v>-1.885665518768187E-2</v>
      </c>
      <c r="X15" s="812">
        <f t="shared" ref="X15:Y15" si="46">+X16-X13</f>
        <v>-1.5316040628135574E-2</v>
      </c>
      <c r="Y15" s="813">
        <f t="shared" si="46"/>
        <v>-1.5737857963456281E-2</v>
      </c>
      <c r="Z15" s="812">
        <f t="shared" ref="Z15:AA15" si="47">+Z16-Z13</f>
        <v>1.3437961922301789E-2</v>
      </c>
      <c r="AA15" s="812">
        <f t="shared" si="47"/>
        <v>1.0000000000000009E-2</v>
      </c>
      <c r="AB15" s="812">
        <f t="shared" ref="AB15" si="48">+AB16-AB13</f>
        <v>1.0000000000000009E-2</v>
      </c>
      <c r="AC15" s="813">
        <f t="shared" ref="AC15" si="49">+AC16-AC13</f>
        <v>5.0000000000000044E-3</v>
      </c>
      <c r="AD15" s="812"/>
    </row>
    <row r="16" spans="1:33" s="796" customFormat="1" ht="12.95">
      <c r="A16" s="814" t="s">
        <v>825</v>
      </c>
      <c r="B16" s="791"/>
      <c r="C16" s="791"/>
      <c r="D16" s="791"/>
      <c r="E16" s="791"/>
      <c r="F16" s="807"/>
      <c r="G16" s="791"/>
      <c r="H16" s="791"/>
      <c r="I16" s="791"/>
      <c r="J16" s="807"/>
      <c r="K16" s="791"/>
      <c r="L16" s="791"/>
      <c r="M16" s="791"/>
      <c r="N16" s="807">
        <f>+N13+N15</f>
        <v>0.40730257845723206</v>
      </c>
      <c r="O16" s="791">
        <f t="shared" ref="O16:R16" si="50">+O13+O15</f>
        <v>0.39547497446373847</v>
      </c>
      <c r="P16" s="791">
        <f t="shared" si="50"/>
        <v>0.38876612477820938</v>
      </c>
      <c r="Q16" s="808">
        <f t="shared" si="50"/>
        <v>0.40374154966198644</v>
      </c>
      <c r="R16" s="791">
        <f t="shared" si="50"/>
        <v>0.46658737339188383</v>
      </c>
      <c r="S16" s="791">
        <f t="shared" ref="S16:T16" si="51">+S13+S15</f>
        <v>0.44547497446373846</v>
      </c>
      <c r="T16" s="791">
        <f t="shared" si="51"/>
        <v>0.42876612477820941</v>
      </c>
      <c r="U16" s="995" t="s">
        <v>826</v>
      </c>
      <c r="V16" s="791">
        <f t="shared" ref="V16" si="52">+V13+V15</f>
        <v>0.40931247755476635</v>
      </c>
      <c r="W16" s="791">
        <f>+S13-4%</f>
        <v>0.39007655428394683</v>
      </c>
      <c r="X16" s="791">
        <f>+T13-0.5%</f>
        <v>0.40756077795786061</v>
      </c>
      <c r="Y16" s="808">
        <f>+U13+2%</f>
        <v>0.41591246505350432</v>
      </c>
      <c r="Z16" s="791">
        <f>+V13+6%</f>
        <v>0.48931247755476637</v>
      </c>
      <c r="AA16" s="791">
        <f>+AA13+1%</f>
        <v>0.46407932924862949</v>
      </c>
      <c r="AB16" s="791">
        <f t="shared" ref="AB16" si="53">+AB13+1%</f>
        <v>0.47107213294965888</v>
      </c>
      <c r="AC16" s="808">
        <f>+AC13+0.5%</f>
        <v>0.45094991271030638</v>
      </c>
      <c r="AD16" s="791"/>
    </row>
    <row r="17" spans="1:31">
      <c r="F17" s="815"/>
      <c r="J17" s="815"/>
      <c r="N17" s="815"/>
      <c r="Q17" s="816"/>
      <c r="U17" s="996"/>
      <c r="Y17" s="816"/>
      <c r="AC17" s="816"/>
    </row>
    <row r="18" spans="1:31">
      <c r="A18" s="790" t="s">
        <v>827</v>
      </c>
      <c r="B18" s="803">
        <f>+B11</f>
        <v>7708</v>
      </c>
      <c r="C18" s="803">
        <f t="shared" ref="C18:M18" si="54">+C11</f>
        <v>8679</v>
      </c>
      <c r="D18" s="803">
        <f t="shared" si="54"/>
        <v>8292</v>
      </c>
      <c r="E18" s="803">
        <f t="shared" si="54"/>
        <v>10379</v>
      </c>
      <c r="F18" s="804">
        <f t="shared" si="54"/>
        <v>9955</v>
      </c>
      <c r="G18" s="803">
        <f t="shared" si="54"/>
        <v>10258</v>
      </c>
      <c r="H18" s="803">
        <f t="shared" si="54"/>
        <v>10341</v>
      </c>
      <c r="I18" s="803">
        <f t="shared" si="54"/>
        <v>12405</v>
      </c>
      <c r="J18" s="804">
        <f t="shared" si="54"/>
        <v>12686</v>
      </c>
      <c r="K18" s="803">
        <f t="shared" si="54"/>
        <v>13891</v>
      </c>
      <c r="L18" s="803">
        <f t="shared" si="54"/>
        <v>12975</v>
      </c>
      <c r="M18" s="803">
        <f t="shared" si="54"/>
        <v>13407</v>
      </c>
      <c r="N18" s="804">
        <f>+N16*N7</f>
        <v>15132.92</v>
      </c>
      <c r="O18" s="803">
        <f t="shared" ref="O18:R18" si="55">+O16*O7</f>
        <v>17035.48</v>
      </c>
      <c r="P18" s="803">
        <f t="shared" si="55"/>
        <v>16213.880000000001</v>
      </c>
      <c r="Q18" s="805">
        <f t="shared" si="55"/>
        <v>18633.48</v>
      </c>
      <c r="R18" s="803">
        <f t="shared" si="55"/>
        <v>21144.34</v>
      </c>
      <c r="S18" s="803">
        <f t="shared" ref="S18:T18" si="56">+S16*S7</f>
        <v>23043.529479060264</v>
      </c>
      <c r="T18" s="803">
        <f t="shared" si="56"/>
        <v>21163.895919052418</v>
      </c>
      <c r="U18" s="996"/>
      <c r="V18" s="803">
        <f t="shared" ref="V18:W18" si="57">+V16*V7</f>
        <v>20515.559999999998</v>
      </c>
      <c r="W18" s="803">
        <f t="shared" si="57"/>
        <v>20575.368008815345</v>
      </c>
      <c r="X18" s="803">
        <f t="shared" ref="X18:Y18" si="58">+X16*X7</f>
        <v>21542.440040518639</v>
      </c>
      <c r="Y18" s="805">
        <f t="shared" si="58"/>
        <v>23369.705498891355</v>
      </c>
      <c r="Z18" s="803">
        <f t="shared" ref="Z18:AA18" si="59">+Z16*Z7</f>
        <v>27654.473293962732</v>
      </c>
      <c r="AA18" s="803">
        <f t="shared" si="59"/>
        <v>28782.2</v>
      </c>
      <c r="AB18" s="803">
        <f t="shared" ref="AB18:AC18" si="60">+AB16*AB7</f>
        <v>29139.579999999998</v>
      </c>
      <c r="AC18" s="805">
        <f t="shared" si="60"/>
        <v>29188.635000000002</v>
      </c>
      <c r="AD18" s="803"/>
    </row>
    <row r="19" spans="1:31" s="796" customFormat="1" ht="12.95">
      <c r="A19" s="806" t="s">
        <v>828</v>
      </c>
      <c r="B19" s="791"/>
      <c r="C19" s="791"/>
      <c r="D19" s="791"/>
      <c r="E19" s="791"/>
      <c r="F19" s="807">
        <f t="shared" ref="F19" si="61">IFERROR(F18/B18-1,"n/a ")</f>
        <v>0.29151530877010901</v>
      </c>
      <c r="G19" s="791">
        <f t="shared" ref="G19" si="62">IFERROR(G18/C18-1,"n/a ")</f>
        <v>0.18193340246572176</v>
      </c>
      <c r="H19" s="791">
        <f t="shared" ref="H19" si="63">IFERROR(H18/D18-1,"n/a ")</f>
        <v>0.2471056439942112</v>
      </c>
      <c r="I19" s="791">
        <f t="shared" ref="I19" si="64">IFERROR(I18/E18-1,"n/a ")</f>
        <v>0.19520184988919942</v>
      </c>
      <c r="J19" s="807">
        <f t="shared" ref="J19" si="65">IFERROR(J18/F18-1,"n/a ")</f>
        <v>0.27433450527373182</v>
      </c>
      <c r="K19" s="791">
        <f t="shared" ref="K19" si="66">IFERROR(K18/G18-1,"n/a ")</f>
        <v>0.3541626047962565</v>
      </c>
      <c r="L19" s="791">
        <f t="shared" ref="L19" si="67">IFERROR(L18/H18-1,"n/a ")</f>
        <v>0.25471424427038003</v>
      </c>
      <c r="M19" s="791">
        <f t="shared" ref="M19" si="68">IFERROR(M18/I18-1,"n/a ")</f>
        <v>8.0773881499395461E-2</v>
      </c>
      <c r="N19" s="807">
        <f t="shared" ref="N19:Q19" si="69">IFERROR(N18/J11-1,"n/a ")</f>
        <v>0.19288349361500878</v>
      </c>
      <c r="O19" s="791">
        <f t="shared" si="69"/>
        <v>0.22636815204088978</v>
      </c>
      <c r="P19" s="791">
        <f t="shared" si="69"/>
        <v>0.24962466281310225</v>
      </c>
      <c r="Q19" s="808">
        <f t="shared" si="69"/>
        <v>0.38983217722085484</v>
      </c>
      <c r="R19" s="791">
        <f>IFERROR(R18/N11-1,"n/a ")</f>
        <v>0.33184303350970024</v>
      </c>
      <c r="S19" s="791">
        <f t="shared" ref="S19" si="70">IFERROR(S18/O11-1,"n/a ")</f>
        <v>0.28756380840701024</v>
      </c>
      <c r="T19" s="791">
        <f t="shared" ref="T19" si="71">IFERROR(T18/P11-1,"n/a ")</f>
        <v>0.24142984039490956</v>
      </c>
      <c r="U19" s="996"/>
      <c r="V19" s="791">
        <f>IFERROR(V18/R11-1,"n/a ")</f>
        <v>1.3714793951971505E-2</v>
      </c>
      <c r="W19" s="791">
        <f t="shared" ref="W19" si="72">IFERROR(W18/S11-1,"n/a ")</f>
        <v>-7.5139658883654148E-2</v>
      </c>
      <c r="X19" s="791">
        <f t="shared" ref="X19" si="73">IFERROR(X18/T11-1,"n/a ")</f>
        <v>5.7868790047075125E-2</v>
      </c>
      <c r="Y19" s="808">
        <f t="shared" ref="Y19" si="74">IFERROR(Y18/U11-1,"n/a ")</f>
        <v>0.13809805682727938</v>
      </c>
      <c r="Z19" s="791">
        <f t="shared" ref="Z19" si="75">IFERROR(Z18/V11-1,"n/a ")</f>
        <v>0.28517860832617958</v>
      </c>
      <c r="AA19" s="791">
        <f t="shared" ref="AA19" si="76">IFERROR(AA18/W11-1,"n/a ")</f>
        <v>0.33436254056560033</v>
      </c>
      <c r="AB19" s="791">
        <f t="shared" ref="AB19" si="77">IFERROR(AB18/X11-1,"n/a ")</f>
        <v>0.30366768074445227</v>
      </c>
      <c r="AC19" s="808">
        <f t="shared" ref="AC19" si="78">IFERROR(AC18/Y11-1,"n/a ")</f>
        <v>0.20345654325059792</v>
      </c>
      <c r="AD19" s="791"/>
      <c r="AE19" s="988"/>
    </row>
    <row r="20" spans="1:31">
      <c r="R20" s="817"/>
      <c r="S20" s="817"/>
      <c r="T20" s="817"/>
      <c r="U20" s="817"/>
      <c r="V20" s="817"/>
      <c r="W20" s="817"/>
      <c r="X20" s="817"/>
      <c r="Y20" s="817"/>
      <c r="Z20" s="817"/>
      <c r="AA20" s="817"/>
      <c r="AB20" s="817"/>
      <c r="AC20" s="817"/>
      <c r="AD20" s="817"/>
    </row>
    <row r="21" spans="1:31">
      <c r="A21" s="809" t="s">
        <v>829</v>
      </c>
    </row>
    <row r="22" spans="1:31" ht="12.95">
      <c r="A22" s="790" t="s">
        <v>226</v>
      </c>
      <c r="B22" s="818" t="s">
        <v>830</v>
      </c>
    </row>
    <row r="23" spans="1:31" ht="12.95">
      <c r="A23" s="790" t="s">
        <v>227</v>
      </c>
      <c r="B23" s="796" t="s">
        <v>831</v>
      </c>
    </row>
    <row r="24" spans="1:31" ht="12.95">
      <c r="A24" s="790" t="s">
        <v>228</v>
      </c>
      <c r="B24" s="796" t="s">
        <v>832</v>
      </c>
    </row>
    <row r="25" spans="1:31" ht="12.95">
      <c r="A25" s="790" t="s">
        <v>229</v>
      </c>
      <c r="B25" s="796" t="s">
        <v>833</v>
      </c>
    </row>
    <row r="26" spans="1:31" ht="12.95">
      <c r="B26" s="796" t="s">
        <v>834</v>
      </c>
    </row>
    <row r="27" spans="1:31" ht="12.95">
      <c r="A27" s="790" t="s">
        <v>230</v>
      </c>
      <c r="B27" s="796" t="s">
        <v>835</v>
      </c>
    </row>
    <row r="28" spans="1:31" ht="12.95">
      <c r="A28" s="790" t="s">
        <v>231</v>
      </c>
      <c r="B28" s="818" t="s">
        <v>836</v>
      </c>
    </row>
    <row r="29" spans="1:31" ht="12.95">
      <c r="A29" s="790" t="s">
        <v>232</v>
      </c>
      <c r="B29" s="818" t="s">
        <v>837</v>
      </c>
    </row>
    <row r="30" spans="1:31" ht="12.95">
      <c r="A30" s="790" t="s">
        <v>233</v>
      </c>
      <c r="B30" s="818" t="s">
        <v>838</v>
      </c>
    </row>
    <row r="31" spans="1:31" ht="12.95">
      <c r="A31" s="790" t="s">
        <v>234</v>
      </c>
      <c r="B31" s="796" t="s">
        <v>839</v>
      </c>
    </row>
    <row r="32" spans="1:31" ht="12.95">
      <c r="A32" s="790" t="s">
        <v>235</v>
      </c>
      <c r="B32" s="796" t="s">
        <v>840</v>
      </c>
    </row>
    <row r="33" spans="1:2" ht="12.95">
      <c r="A33" s="790" t="s">
        <v>236</v>
      </c>
      <c r="B33" s="796" t="s">
        <v>841</v>
      </c>
    </row>
    <row r="34" spans="1:2" ht="12.95">
      <c r="A34" s="790" t="s">
        <v>237</v>
      </c>
      <c r="B34" s="796" t="s">
        <v>842</v>
      </c>
    </row>
    <row r="35" spans="1:2" ht="12.95">
      <c r="A35" s="790" t="s">
        <v>238</v>
      </c>
      <c r="B35" s="796" t="s">
        <v>843</v>
      </c>
    </row>
    <row r="36" spans="1:2" ht="12.95">
      <c r="A36" s="790" t="s">
        <v>239</v>
      </c>
      <c r="B36" s="796" t="s">
        <v>844</v>
      </c>
    </row>
    <row r="37" spans="1:2" ht="12.95">
      <c r="A37" s="790" t="s">
        <v>240</v>
      </c>
      <c r="B37" s="796" t="s">
        <v>845</v>
      </c>
    </row>
    <row r="38" spans="1:2" ht="12.95">
      <c r="A38" s="790" t="s">
        <v>241</v>
      </c>
      <c r="B38" s="796" t="s">
        <v>846</v>
      </c>
    </row>
    <row r="39" spans="1:2" ht="12.95">
      <c r="A39" s="790" t="s">
        <v>242</v>
      </c>
      <c r="B39" s="796"/>
    </row>
  </sheetData>
  <printOptions horizontalCentered="1"/>
  <pageMargins left="0.4" right="0.4" top="0.3" bottom="0.3" header="0.3" footer="0.3"/>
  <pageSetup scale="52" fitToHeight="0" orientation="landscape" r:id="rId1"/>
  <headerFooter>
    <oddFooter>Page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13644-2E9B-4566-992C-D58152C0A71D}">
  <sheetPr>
    <pageSetUpPr fitToPage="1"/>
  </sheetPr>
  <dimension ref="A1:CD148"/>
  <sheetViews>
    <sheetView view="pageBreakPreview" zoomScale="85" zoomScaleNormal="85" zoomScaleSheetLayoutView="85" workbookViewId="0">
      <pane xSplit="15" ySplit="7" topLeftCell="Z8" activePane="bottomRight" state="frozen"/>
      <selection pane="bottomRight" activeCell="AU24" sqref="AU24"/>
      <selection pane="bottomLeft" activeCell="B6" sqref="B6"/>
      <selection pane="topRight" activeCell="B6" sqref="B6"/>
    </sheetView>
  </sheetViews>
  <sheetFormatPr defaultColWidth="9.33203125" defaultRowHeight="9.9499999999999993" outlineLevelCol="1"/>
  <cols>
    <col min="1" max="1" width="42.83203125" customWidth="1"/>
    <col min="2" max="24" width="9.5" hidden="1" customWidth="1" outlineLevel="1"/>
    <col min="25" max="25" width="10.1640625" hidden="1" customWidth="1" outlineLevel="1"/>
    <col min="26" max="26" width="10.1640625" bestFit="1" customWidth="1" collapsed="1"/>
    <col min="27" max="46" width="10.1640625" bestFit="1" customWidth="1"/>
    <col min="47" max="47" width="10.83203125" customWidth="1"/>
    <col min="48" max="59" width="10.1640625" customWidth="1" outlineLevel="1"/>
    <col min="60" max="61" width="9.5" customWidth="1" outlineLevel="1"/>
    <col min="67" max="69" width="9.5" bestFit="1" customWidth="1"/>
    <col min="70" max="74" width="10.1640625" bestFit="1" customWidth="1"/>
    <col min="75" max="80" width="11.5" bestFit="1" customWidth="1"/>
    <col min="81" max="81" width="9.5" bestFit="1" customWidth="1"/>
  </cols>
  <sheetData>
    <row r="1" spans="1:82" s="1" customFormat="1" ht="10.5">
      <c r="A1" t="s">
        <v>60</v>
      </c>
      <c r="B1" s="228"/>
      <c r="C1" s="228"/>
      <c r="D1" s="228"/>
      <c r="E1" s="228"/>
      <c r="F1" s="228"/>
      <c r="G1" s="228"/>
      <c r="H1" s="228"/>
      <c r="I1" s="228"/>
      <c r="J1" s="228"/>
      <c r="K1" s="228"/>
      <c r="L1" s="228"/>
      <c r="M1" s="228"/>
      <c r="N1" s="228"/>
      <c r="O1" s="228"/>
      <c r="P1" s="228"/>
      <c r="Q1" s="228"/>
      <c r="R1" s="792"/>
      <c r="S1" s="792"/>
      <c r="T1" s="792"/>
      <c r="U1" s="792"/>
      <c r="W1" s="792"/>
      <c r="X1" s="792"/>
      <c r="Y1" s="792"/>
      <c r="AN1" s="240"/>
      <c r="AY1" s="53">
        <f ca="1">TODAY()</f>
        <v>45797</v>
      </c>
    </row>
    <row r="2" spans="1:82" s="2" customFormat="1" ht="10.5">
      <c r="A2" s="2" t="s">
        <v>847</v>
      </c>
      <c r="B2" s="1052"/>
      <c r="C2" s="1052"/>
      <c r="D2" s="1052"/>
      <c r="E2" s="1052"/>
      <c r="F2" s="1052"/>
      <c r="G2" s="1052"/>
      <c r="H2" s="1052"/>
      <c r="I2" s="1052"/>
      <c r="J2" s="1052"/>
      <c r="K2" s="1052"/>
      <c r="L2" s="1052"/>
      <c r="M2" s="1052"/>
      <c r="N2" s="1052"/>
      <c r="O2" s="1052"/>
      <c r="P2" s="1052"/>
      <c r="Q2" s="1052"/>
      <c r="R2" s="1052"/>
      <c r="S2" s="1052"/>
      <c r="T2" s="1052"/>
      <c r="U2" s="1052"/>
      <c r="V2" s="1052"/>
      <c r="W2" s="1052"/>
      <c r="X2" s="1052"/>
      <c r="Y2" s="1052"/>
    </row>
    <row r="3" spans="1:82">
      <c r="A3" s="3" t="s">
        <v>63</v>
      </c>
      <c r="AP3" s="1152"/>
      <c r="AQ3" s="1152"/>
      <c r="AR3" s="1152"/>
      <c r="AS3" s="1152"/>
      <c r="AT3" s="1152"/>
      <c r="AU3" s="1152"/>
    </row>
    <row r="4" spans="1:82" ht="13.5">
      <c r="R4" s="821"/>
      <c r="S4" s="31"/>
      <c r="T4" s="31"/>
      <c r="U4" s="31"/>
      <c r="V4" s="31"/>
      <c r="W4" s="31"/>
      <c r="X4" s="31"/>
      <c r="Y4" s="31"/>
      <c r="Z4" s="821" t="s">
        <v>848</v>
      </c>
      <c r="AA4" s="31"/>
      <c r="AB4" s="31"/>
      <c r="AC4" s="31"/>
      <c r="AD4" s="31"/>
      <c r="AE4" s="31"/>
      <c r="AF4" s="31"/>
      <c r="AG4" s="31"/>
      <c r="AH4" s="31"/>
      <c r="AI4" s="31"/>
      <c r="AJ4" s="31"/>
      <c r="AK4" s="31"/>
      <c r="AL4" s="31"/>
      <c r="AM4" s="31"/>
      <c r="AN4" s="31"/>
      <c r="AO4" s="31"/>
      <c r="AP4" s="31"/>
      <c r="AQ4" s="31"/>
      <c r="AR4" s="31"/>
      <c r="AS4" s="31"/>
      <c r="AT4" s="31"/>
      <c r="AU4" s="31"/>
      <c r="AV4" s="31"/>
      <c r="AW4" s="31"/>
      <c r="AX4" s="31"/>
      <c r="AY4" s="31"/>
    </row>
    <row r="5" spans="1:82" ht="13.5">
      <c r="A5" s="932" t="str">
        <f>+'Windows OEM'!B5</f>
        <v>Calendar Qtrs &gt;&gt;</v>
      </c>
      <c r="R5" s="6" t="str">
        <f>+'Windows OEM'!K5</f>
        <v>1Q17</v>
      </c>
      <c r="S5" s="6" t="str">
        <f>+'Windows OEM'!L5</f>
        <v>2Q17</v>
      </c>
      <c r="T5" s="6" t="str">
        <f>+'Windows OEM'!M5</f>
        <v>3Q17</v>
      </c>
      <c r="U5" s="6" t="str">
        <f>+'Windows OEM'!N5</f>
        <v>4Q17</v>
      </c>
      <c r="V5" s="6" t="str">
        <f>+'Windows OEM'!O5</f>
        <v>1Q18</v>
      </c>
      <c r="W5" s="6" t="str">
        <f>+'Windows OEM'!P5</f>
        <v>2Q18</v>
      </c>
      <c r="X5" s="6" t="str">
        <f>+'Windows OEM'!Q5</f>
        <v>3Q18</v>
      </c>
      <c r="Y5" s="6" t="str">
        <f>+'Windows OEM'!R5</f>
        <v>4Q18</v>
      </c>
      <c r="Z5" s="6" t="str">
        <f>+'Windows OEM'!S5</f>
        <v>1Q19</v>
      </c>
      <c r="AA5" s="6" t="str">
        <f>+'Windows OEM'!T5</f>
        <v>2Q19</v>
      </c>
      <c r="AB5" s="6" t="str">
        <f>+'Windows OEM'!U5</f>
        <v>3Q19</v>
      </c>
      <c r="AC5" s="6" t="str">
        <f>+'Windows OEM'!V5</f>
        <v>4Q19</v>
      </c>
      <c r="AD5" s="6" t="str">
        <f>+'Windows OEM'!W5</f>
        <v>1Q20</v>
      </c>
      <c r="AE5" s="6" t="str">
        <f>+'Windows OEM'!X5</f>
        <v>2Q20</v>
      </c>
      <c r="AF5" s="6" t="str">
        <f>+'Windows OEM'!Y5</f>
        <v>3Q20</v>
      </c>
      <c r="AG5" s="6" t="str">
        <f>+'Windows OEM'!Z5</f>
        <v>4Q20</v>
      </c>
      <c r="AH5" s="6" t="str">
        <f>+'Windows OEM'!AA5</f>
        <v>1Q21</v>
      </c>
      <c r="AI5" s="6" t="str">
        <f>+'Windows OEM'!AB5</f>
        <v>2Q21</v>
      </c>
      <c r="AJ5" s="6" t="str">
        <f>+'Windows OEM'!AC5</f>
        <v>3Q21</v>
      </c>
      <c r="AK5" s="6" t="str">
        <f>+'Windows OEM'!AD5</f>
        <v>4Q21</v>
      </c>
      <c r="AL5" s="6" t="str">
        <f>+'Windows OEM'!AE5</f>
        <v>1Q22</v>
      </c>
      <c r="AM5" s="6" t="str">
        <f>+'Windows OEM'!AF5</f>
        <v>2Q22</v>
      </c>
      <c r="AN5" s="6" t="str">
        <f>+'Windows OEM'!AG5</f>
        <v>3Q22</v>
      </c>
      <c r="AO5" s="6" t="str">
        <f>+'Windows OEM'!AH5</f>
        <v>4Q22</v>
      </c>
      <c r="AP5" s="6" t="str">
        <f>+'Windows OEM'!AI5</f>
        <v>1Q23</v>
      </c>
      <c r="AQ5" s="6" t="str">
        <f>+'Windows OEM'!AJ5</f>
        <v>2Q23</v>
      </c>
      <c r="AR5" s="6" t="str">
        <f>+'Windows OEM'!AK5</f>
        <v>3Q23</v>
      </c>
      <c r="AS5" s="6" t="str">
        <f>+'Windows OEM'!AL5</f>
        <v>4Q23</v>
      </c>
      <c r="AT5" s="6" t="str">
        <f>+'Windows OEM'!AM5</f>
        <v>1Q24</v>
      </c>
      <c r="AU5" s="1066" t="str">
        <f>+'Windows OEM'!AN5</f>
        <v>2Q24</v>
      </c>
      <c r="AV5" s="6" t="str">
        <f>+'Windows OEM'!AO5</f>
        <v>3Q24E</v>
      </c>
      <c r="AW5" s="6" t="str">
        <f>+'Windows OEM'!AP5</f>
        <v>4Q24E</v>
      </c>
      <c r="AX5" s="6" t="str">
        <f>+'Windows OEM'!AQ5</f>
        <v>1Q25E</v>
      </c>
      <c r="AY5" s="6" t="str">
        <f>+'Windows OEM'!AR5</f>
        <v>2Q25E</v>
      </c>
    </row>
    <row r="6" spans="1:82" s="28" customFormat="1">
      <c r="A6" s="932" t="str">
        <f>+'Windows OEM'!B6</f>
        <v>MSFT Qtrs &gt;&gt;</v>
      </c>
      <c r="P6" s="28" t="s">
        <v>849</v>
      </c>
      <c r="Q6" s="28" t="s">
        <v>850</v>
      </c>
      <c r="R6" s="28" t="str">
        <f>+'Windows OEM'!K6</f>
        <v>F3Q17</v>
      </c>
      <c r="S6" s="28" t="str">
        <f>+'Windows OEM'!L6</f>
        <v>F4Q17</v>
      </c>
      <c r="T6" s="28" t="str">
        <f>+'Windows OEM'!M6</f>
        <v>F1Q18</v>
      </c>
      <c r="U6" s="28" t="str">
        <f>+'Windows OEM'!N6</f>
        <v>F2Q18</v>
      </c>
      <c r="V6" s="28" t="str">
        <f>+'Windows OEM'!O6</f>
        <v>F3Q18</v>
      </c>
      <c r="W6" s="28" t="str">
        <f>+'Windows OEM'!P6</f>
        <v>F4Q18</v>
      </c>
      <c r="X6" s="28" t="str">
        <f>+'Windows OEM'!Q6</f>
        <v>F1Q19</v>
      </c>
      <c r="Y6" s="28" t="str">
        <f>+'Windows OEM'!R6</f>
        <v>F2Q19</v>
      </c>
      <c r="Z6" s="28" t="str">
        <f>+'Windows OEM'!S6</f>
        <v>F3Q19</v>
      </c>
      <c r="AA6" s="28" t="str">
        <f>+'Windows OEM'!T6</f>
        <v>F4Q19</v>
      </c>
      <c r="AB6" s="28" t="str">
        <f>+'Windows OEM'!U6</f>
        <v>F1Q20</v>
      </c>
      <c r="AC6" s="28" t="str">
        <f>+'Windows OEM'!V6</f>
        <v>F2Q20</v>
      </c>
      <c r="AD6" s="28" t="str">
        <f>+'Windows OEM'!W6</f>
        <v>F3Q20</v>
      </c>
      <c r="AE6" s="28" t="str">
        <f>+'Windows OEM'!X6</f>
        <v>F4Q20</v>
      </c>
      <c r="AF6" s="28" t="str">
        <f>+'Windows OEM'!Y6</f>
        <v>F1Q21</v>
      </c>
      <c r="AG6" s="28" t="str">
        <f>+'Windows OEM'!Z6</f>
        <v>F2Q21</v>
      </c>
      <c r="AH6" s="28" t="str">
        <f>+'Windows OEM'!AA6</f>
        <v>F3Q21</v>
      </c>
      <c r="AI6" s="28" t="str">
        <f>+'Windows OEM'!AB6</f>
        <v>F4Q21</v>
      </c>
      <c r="AJ6" s="28" t="str">
        <f>+'Windows OEM'!AC6</f>
        <v>F1Q22</v>
      </c>
      <c r="AK6" s="28" t="str">
        <f>+'Windows OEM'!AD6</f>
        <v>F2Q22</v>
      </c>
      <c r="AL6" s="28" t="str">
        <f>+'Windows OEM'!AE6</f>
        <v>F3Q22</v>
      </c>
      <c r="AM6" s="28" t="str">
        <f>+'Windows OEM'!AF6</f>
        <v>F4Q22</v>
      </c>
      <c r="AN6" s="28" t="str">
        <f>+'Windows OEM'!AG6</f>
        <v>F1Q23</v>
      </c>
      <c r="AO6" s="28" t="str">
        <f>+'Windows OEM'!AH6</f>
        <v>F2Q23</v>
      </c>
      <c r="AP6" s="28" t="str">
        <f>+'Windows OEM'!AI6</f>
        <v>F3Q23</v>
      </c>
      <c r="AQ6" s="28" t="str">
        <f>+'Windows OEM'!AJ6</f>
        <v>F4Q23</v>
      </c>
      <c r="AR6" s="28" t="str">
        <f>+'Windows OEM'!AK6</f>
        <v>F1Q24</v>
      </c>
      <c r="AS6" s="28" t="str">
        <f>+'Windows OEM'!AL6</f>
        <v>F2Q24</v>
      </c>
      <c r="AT6" s="28" t="str">
        <f>+'Windows OEM'!AM6</f>
        <v>F3Q24</v>
      </c>
      <c r="AU6" s="1097" t="str">
        <f>+'Windows OEM'!AN6</f>
        <v>F4Q24</v>
      </c>
      <c r="AV6" s="28" t="str">
        <f>+'Windows OEM'!AO6</f>
        <v>F1Q25E</v>
      </c>
      <c r="AW6" s="28" t="str">
        <f>+'Windows OEM'!AP6</f>
        <v>F2Q25E</v>
      </c>
      <c r="AX6" s="28" t="str">
        <f>+'Windows OEM'!AQ6</f>
        <v>F3Q25E</v>
      </c>
      <c r="AY6" s="28" t="str">
        <f>+'Windows OEM'!AR6</f>
        <v>F4Q25E</v>
      </c>
      <c r="BN6" s="28" t="s">
        <v>851</v>
      </c>
    </row>
    <row r="7" spans="1:82" s="3" customFormat="1">
      <c r="B7" s="1115">
        <v>41334</v>
      </c>
      <c r="C7" s="1115">
        <v>41426</v>
      </c>
      <c r="D7" s="1115">
        <v>41518</v>
      </c>
      <c r="E7" s="1115">
        <v>41609</v>
      </c>
      <c r="F7" s="1115">
        <v>41699</v>
      </c>
      <c r="G7" s="1115">
        <v>41791</v>
      </c>
      <c r="H7" s="1115">
        <v>41883</v>
      </c>
      <c r="I7" s="1115">
        <v>41974</v>
      </c>
      <c r="J7" s="1115">
        <v>42064</v>
      </c>
      <c r="K7" s="1115">
        <v>42156</v>
      </c>
      <c r="L7" s="1115">
        <v>42248</v>
      </c>
      <c r="M7" s="1115">
        <v>42339</v>
      </c>
      <c r="N7" s="1115">
        <v>42430</v>
      </c>
      <c r="O7" s="1115">
        <v>42522</v>
      </c>
      <c r="P7" s="1115">
        <v>42614</v>
      </c>
      <c r="Q7" s="1115">
        <v>42705</v>
      </c>
      <c r="R7" s="1115">
        <v>42795</v>
      </c>
      <c r="S7" s="1115">
        <v>42887</v>
      </c>
      <c r="T7" s="1115">
        <v>42979</v>
      </c>
      <c r="U7" s="1115">
        <v>43070</v>
      </c>
      <c r="V7" s="1115">
        <v>43160</v>
      </c>
      <c r="W7" s="1115">
        <v>43252</v>
      </c>
      <c r="X7" s="1115">
        <v>43344</v>
      </c>
      <c r="Y7" s="1115">
        <v>43435</v>
      </c>
      <c r="Z7" s="1115">
        <v>43525</v>
      </c>
      <c r="AA7" s="1115">
        <v>43617</v>
      </c>
      <c r="AB7" s="1115">
        <v>43709</v>
      </c>
      <c r="AC7" s="1115">
        <v>43800</v>
      </c>
      <c r="AD7" s="1115">
        <v>43891</v>
      </c>
      <c r="AE7" s="1115">
        <v>43983</v>
      </c>
      <c r="AF7" s="1115">
        <v>44075</v>
      </c>
      <c r="AG7" s="1115">
        <v>44166</v>
      </c>
      <c r="AH7" s="1115">
        <v>44276</v>
      </c>
      <c r="AI7" s="1115">
        <v>44368</v>
      </c>
      <c r="AJ7" s="1115">
        <v>44460</v>
      </c>
      <c r="AK7" s="1115">
        <v>44551</v>
      </c>
      <c r="AL7" s="1115">
        <v>44642</v>
      </c>
      <c r="AM7" s="1115">
        <v>44734</v>
      </c>
      <c r="AN7" s="1115">
        <v>44826</v>
      </c>
      <c r="AO7" s="1115">
        <v>44917</v>
      </c>
      <c r="AP7" s="1115">
        <v>45008</v>
      </c>
      <c r="AQ7" s="1115">
        <v>45100</v>
      </c>
      <c r="AR7" s="1115">
        <v>45192</v>
      </c>
      <c r="AS7" s="1115">
        <v>45649</v>
      </c>
      <c r="AT7" s="1115">
        <v>45375</v>
      </c>
      <c r="AU7" s="1116" t="s">
        <v>852</v>
      </c>
      <c r="AV7" s="1115" t="s">
        <v>853</v>
      </c>
      <c r="AW7" s="1115" t="s">
        <v>854</v>
      </c>
      <c r="AX7" s="1115" t="s">
        <v>855</v>
      </c>
      <c r="AY7" s="1115" t="s">
        <v>856</v>
      </c>
      <c r="AZ7" s="1115" t="s">
        <v>857</v>
      </c>
      <c r="BA7" s="1115" t="s">
        <v>858</v>
      </c>
      <c r="BB7" s="1115" t="s">
        <v>859</v>
      </c>
      <c r="BC7" s="1115" t="s">
        <v>860</v>
      </c>
      <c r="BD7" s="1115" t="s">
        <v>861</v>
      </c>
      <c r="BE7" s="1115" t="s">
        <v>862</v>
      </c>
      <c r="BF7" s="1115" t="s">
        <v>863</v>
      </c>
      <c r="BG7" s="1115" t="s">
        <v>864</v>
      </c>
      <c r="BH7" s="1115" t="s">
        <v>865</v>
      </c>
      <c r="BI7" s="1115" t="s">
        <v>866</v>
      </c>
      <c r="BO7" s="3" t="s">
        <v>867</v>
      </c>
      <c r="BP7" s="3" t="s">
        <v>868</v>
      </c>
      <c r="BQ7" s="3" t="s">
        <v>869</v>
      </c>
      <c r="BR7" s="3" t="s">
        <v>870</v>
      </c>
      <c r="BS7" s="3" t="s">
        <v>871</v>
      </c>
      <c r="BT7" s="3" t="s">
        <v>872</v>
      </c>
      <c r="BU7" s="3" t="s">
        <v>873</v>
      </c>
      <c r="BV7" s="3" t="s">
        <v>874</v>
      </c>
      <c r="BW7" s="3" t="s">
        <v>875</v>
      </c>
      <c r="BX7" s="3" t="s">
        <v>876</v>
      </c>
      <c r="BY7" s="3" t="s">
        <v>877</v>
      </c>
      <c r="BZ7" s="3" t="s">
        <v>878</v>
      </c>
      <c r="CA7" s="3" t="s">
        <v>879</v>
      </c>
      <c r="CB7" s="3" t="s">
        <v>880</v>
      </c>
      <c r="CC7" s="3" t="s">
        <v>881</v>
      </c>
    </row>
    <row r="8" spans="1:82" ht="10.5">
      <c r="A8" s="45" t="s">
        <v>86</v>
      </c>
      <c r="B8" s="45"/>
      <c r="C8" s="45"/>
      <c r="D8" s="45"/>
      <c r="E8" s="45"/>
      <c r="F8" s="45"/>
      <c r="G8" s="45"/>
      <c r="H8" s="45"/>
      <c r="I8" s="45"/>
      <c r="J8" s="45"/>
      <c r="K8" s="45"/>
      <c r="L8" s="45"/>
      <c r="M8" s="45"/>
      <c r="N8" s="45"/>
      <c r="O8" s="45"/>
      <c r="P8" s="45"/>
      <c r="Q8" s="45"/>
      <c r="R8" s="45"/>
      <c r="S8" s="45"/>
      <c r="AU8" s="1067"/>
      <c r="BN8" s="45" t="s">
        <v>882</v>
      </c>
    </row>
    <row r="9" spans="1:82">
      <c r="A9" t="s">
        <v>883</v>
      </c>
      <c r="B9" s="1117">
        <v>621.30177514792899</v>
      </c>
      <c r="C9" s="1117">
        <v>702.79720279720277</v>
      </c>
      <c r="D9" s="1117">
        <v>817.48251748251755</v>
      </c>
      <c r="E9" s="1117">
        <v>965.98639455782313</v>
      </c>
      <c r="F9" s="1117">
        <v>1050</v>
      </c>
      <c r="G9" s="1117">
        <v>1005</v>
      </c>
      <c r="H9" s="1117">
        <v>1169</v>
      </c>
      <c r="I9" s="1117">
        <v>1420</v>
      </c>
      <c r="J9" s="1117">
        <v>1566</v>
      </c>
      <c r="K9" s="1117">
        <v>1824</v>
      </c>
      <c r="L9" s="1117">
        <v>2085</v>
      </c>
      <c r="M9" s="1117">
        <v>2405</v>
      </c>
      <c r="N9" s="1117">
        <v>2566</v>
      </c>
      <c r="O9" s="1117">
        <v>2886</v>
      </c>
      <c r="P9" s="1117">
        <v>3231</v>
      </c>
      <c r="Q9" s="1117">
        <v>3536</v>
      </c>
      <c r="R9" s="1117">
        <v>3661</v>
      </c>
      <c r="S9" s="1117">
        <v>4100</v>
      </c>
      <c r="T9" s="1117">
        <v>4584</v>
      </c>
      <c r="U9" s="1117">
        <v>5113</v>
      </c>
      <c r="V9" s="1117">
        <v>5442</v>
      </c>
      <c r="W9" s="1117">
        <v>6105</v>
      </c>
      <c r="X9" s="1117">
        <v>6679</v>
      </c>
      <c r="Y9" s="1117">
        <v>7430</v>
      </c>
      <c r="Z9" s="1117">
        <v>7696</v>
      </c>
      <c r="AA9" s="1117">
        <v>8381</v>
      </c>
      <c r="AB9" s="1117">
        <v>8995</v>
      </c>
      <c r="AC9" s="1117">
        <v>9954</v>
      </c>
      <c r="AD9" s="1117">
        <v>10219</v>
      </c>
      <c r="AE9" s="1117">
        <v>10808</v>
      </c>
      <c r="AF9" s="1117">
        <v>11601</v>
      </c>
      <c r="AG9" s="1117">
        <v>12742</v>
      </c>
      <c r="AH9" s="1117">
        <v>13503</v>
      </c>
      <c r="AI9" s="1117">
        <v>14809</v>
      </c>
      <c r="AJ9" s="1117">
        <v>16110</v>
      </c>
      <c r="AK9" s="1117">
        <v>17780</v>
      </c>
      <c r="AL9" s="1117">
        <v>18441</v>
      </c>
      <c r="AM9" s="1117">
        <v>19739</v>
      </c>
      <c r="AN9" s="1117">
        <v>20538</v>
      </c>
      <c r="AO9" s="1117">
        <v>21378</v>
      </c>
      <c r="AP9" s="1117">
        <v>21354</v>
      </c>
      <c r="AQ9" s="1117">
        <v>22140</v>
      </c>
      <c r="AR9" s="1117">
        <v>23059</v>
      </c>
      <c r="AS9" s="1117">
        <v>24204</v>
      </c>
      <c r="AT9" s="1117">
        <v>25037</v>
      </c>
      <c r="AU9" s="1157">
        <v>25980.5</v>
      </c>
      <c r="AV9" s="1117">
        <v>27171.7</v>
      </c>
      <c r="AW9" s="1117">
        <v>28613.7</v>
      </c>
      <c r="AX9" s="1117">
        <v>29552.9</v>
      </c>
      <c r="AY9" s="1117">
        <v>30692.9</v>
      </c>
      <c r="AZ9" s="1117">
        <v>32020.1</v>
      </c>
      <c r="BA9" s="1117">
        <v>33679.699999999997</v>
      </c>
      <c r="BB9" s="1118">
        <v>30870.798249999996</v>
      </c>
      <c r="BC9" s="1118">
        <v>31954.498449999996</v>
      </c>
      <c r="BD9" s="1118">
        <v>33114.646449999993</v>
      </c>
      <c r="BE9" s="1118">
        <v>34639.246449999991</v>
      </c>
      <c r="BF9" s="1118">
        <v>34969.168074999994</v>
      </c>
      <c r="BG9" s="1118">
        <v>36161.238294999996</v>
      </c>
      <c r="BH9" s="1118">
        <v>37437.401094999994</v>
      </c>
      <c r="BI9" s="1118">
        <v>39114.461094999991</v>
      </c>
      <c r="BJ9" t="s">
        <v>884</v>
      </c>
      <c r="BL9" s="1153"/>
      <c r="BN9" t="s">
        <v>86</v>
      </c>
      <c r="BO9" s="1119">
        <f>SUM(B9:E9)</f>
        <v>3107.5678899854724</v>
      </c>
      <c r="BP9" s="1119">
        <f>SUM(F9:I9)</f>
        <v>4644</v>
      </c>
      <c r="BQ9" s="1119">
        <f>SUM(J9:M9)</f>
        <v>7880</v>
      </c>
      <c r="BR9" s="1119">
        <f>SUM(N9:Q9)</f>
        <v>12219</v>
      </c>
      <c r="BS9" s="1119">
        <f>SUM(R9:U9)</f>
        <v>17458</v>
      </c>
      <c r="BT9" s="1119">
        <f>SUM(V9:Y9)</f>
        <v>25656</v>
      </c>
      <c r="BU9" s="1119">
        <f>SUM(Z9:AC9)</f>
        <v>35026</v>
      </c>
      <c r="BV9" s="1119">
        <f>SUM(AD9:AG9)</f>
        <v>45370</v>
      </c>
      <c r="BW9" s="1119">
        <f>SUM(AH9:AK9)</f>
        <v>62202</v>
      </c>
      <c r="BX9" s="1119">
        <f>SUM(AL9:AO9)</f>
        <v>80096</v>
      </c>
      <c r="BY9" s="1119">
        <f>SUM(AP9:AS9)</f>
        <v>90757</v>
      </c>
      <c r="BZ9" s="1119">
        <f>SUM(AT9:AW9)</f>
        <v>106802.9</v>
      </c>
      <c r="CA9" s="1119">
        <f>SUM(AX9:BA9)</f>
        <v>125945.59999999999</v>
      </c>
      <c r="CB9" s="1119">
        <f>SUM(BB9:BE9)</f>
        <v>130579.18959999997</v>
      </c>
      <c r="CC9" s="1119">
        <f>SUM(BF9:BI9)</f>
        <v>147682.26855999997</v>
      </c>
      <c r="CD9" s="1119"/>
    </row>
    <row r="10" spans="1:82">
      <c r="A10" s="100" t="s">
        <v>363</v>
      </c>
      <c r="B10" s="1124"/>
      <c r="C10" s="1124"/>
      <c r="D10" s="1124"/>
      <c r="E10" s="1124"/>
      <c r="F10" s="1124"/>
      <c r="G10" s="1124"/>
      <c r="H10" s="1124"/>
      <c r="I10" s="1124"/>
      <c r="J10" s="1117"/>
      <c r="K10" s="1117"/>
      <c r="L10" s="1117">
        <v>414.65200514338648</v>
      </c>
      <c r="M10" s="1117">
        <v>452.68807449153462</v>
      </c>
      <c r="N10" s="1117">
        <v>560.92431128324688</v>
      </c>
      <c r="O10" s="1117">
        <v>698.3493815782831</v>
      </c>
      <c r="P10" s="1156">
        <f>+'Historical Financials'!H645</f>
        <v>811.41105774531002</v>
      </c>
      <c r="Q10" s="1156">
        <f>+'Historical Financials'!I645</f>
        <v>842.61233252092336</v>
      </c>
      <c r="R10" s="1156">
        <f>+'Historical Financials'!J645</f>
        <v>989.48344752810476</v>
      </c>
      <c r="S10" s="1156">
        <f>+'Historical Financials'!K645</f>
        <v>1295.745337170302</v>
      </c>
      <c r="T10" s="1156">
        <f>+'Historical Financials'!L645</f>
        <v>1542.8557865160546</v>
      </c>
      <c r="U10" s="1156">
        <f>+'Historical Financials'!M645</f>
        <v>1678.1076319210672</v>
      </c>
      <c r="V10" s="1156">
        <f>+'Historical Financials'!N645</f>
        <v>1908.3643867994663</v>
      </c>
      <c r="W10" s="1156">
        <f>+'Historical Financials'!O645</f>
        <v>2473.4224949490526</v>
      </c>
      <c r="X10" s="1156">
        <f>+'Historical Financials'!P645</f>
        <v>2714.5637181541724</v>
      </c>
      <c r="Y10" s="1156">
        <f>+'Historical Financials'!Q645</f>
        <v>2980.0382221601849</v>
      </c>
      <c r="Z10" s="1156">
        <f>+'Historical Financials'!R645</f>
        <v>3303.4116490372553</v>
      </c>
      <c r="AA10" s="1156">
        <f>+'Historical Financials'!S645</f>
        <v>4023.4569447866184</v>
      </c>
      <c r="AB10" s="1156">
        <f>+'Historical Financials'!T645</f>
        <v>4318.4699362640222</v>
      </c>
      <c r="AC10" s="1156">
        <f>+'Historical Financials'!U645</f>
        <v>4827.9539634351177</v>
      </c>
      <c r="AD10" s="1156">
        <f>+'Historical Financials'!V645</f>
        <v>5246.5172272705677</v>
      </c>
      <c r="AE10" s="1156">
        <f>+'Historical Financials'!W645</f>
        <v>5907.4284904647411</v>
      </c>
      <c r="AF10" s="1156">
        <f>+'Historical Financials'!X645</f>
        <v>6387.7208123885985</v>
      </c>
      <c r="AG10" s="1156">
        <f>+'Historical Financials'!Y645</f>
        <v>7239.6495255537848</v>
      </c>
      <c r="AH10" s="1156">
        <f>+'Historical Financials'!Z645</f>
        <v>7858.0017297963759</v>
      </c>
      <c r="AI10" s="1156">
        <f>+'Historical Financials'!AA645</f>
        <v>8927.7595417011344</v>
      </c>
      <c r="AJ10" s="1156">
        <f>+'Historical Financials'!AB645</f>
        <v>9578.9385462084992</v>
      </c>
      <c r="AK10" s="1156">
        <f>+'Historical Financials'!AC645</f>
        <v>10560.788326958758</v>
      </c>
      <c r="AL10" s="1156">
        <f>+'Historical Financials'!AD645</f>
        <v>11429.030011195948</v>
      </c>
      <c r="AM10" s="1156">
        <f>+'Historical Financials'!AE645</f>
        <v>12451.041900270982</v>
      </c>
      <c r="AN10" s="1156">
        <f>+'Historical Financials'!AF645</f>
        <v>12900</v>
      </c>
      <c r="AO10" s="1156">
        <f>+'Historical Financials'!AG645</f>
        <v>13875</v>
      </c>
      <c r="AP10" s="1156">
        <f>+'Historical Financials'!AH645</f>
        <v>14514.868114218854</v>
      </c>
      <c r="AQ10" s="1156">
        <f>+'Historical Financials'!AI645</f>
        <v>15688.312794341438</v>
      </c>
      <c r="AR10" s="1156">
        <f>+'Historical Financials'!AJ645</f>
        <v>16641</v>
      </c>
      <c r="AS10" s="1156">
        <f>+'Historical Financials'!AK645</f>
        <v>18037.5</v>
      </c>
      <c r="AT10" s="1156">
        <f>+'Historical Financials'!AL645</f>
        <v>19014.4772296267</v>
      </c>
      <c r="AU10" s="1197">
        <f>+'Historical Financials'!AM645</f>
        <v>20237.923504700455</v>
      </c>
      <c r="AV10" s="1118">
        <f>+AR10*(1+AV15)</f>
        <v>21500.700065703048</v>
      </c>
      <c r="AW10" s="1118">
        <f t="shared" ref="AW10" si="0">+AS10*(1+AW15)</f>
        <v>23245.17766844303</v>
      </c>
      <c r="AX10" s="1118">
        <f t="shared" ref="AX10" si="1">+AT10*(1+AX15)</f>
        <v>24447.793003587118</v>
      </c>
      <c r="AY10" s="1118">
        <f t="shared" ref="AY10" si="2">+AU10*(1+AY15)</f>
        <v>26126.880271233942</v>
      </c>
      <c r="AZ10" s="1118">
        <v>24878.197906907655</v>
      </c>
      <c r="BA10" s="1118">
        <v>25862.722945882422</v>
      </c>
      <c r="BB10" s="1118">
        <v>27048.02505869326</v>
      </c>
      <c r="BC10" s="1118">
        <v>27976.333655539107</v>
      </c>
      <c r="BD10" s="1118">
        <v>28530.744729012018</v>
      </c>
      <c r="BE10" s="1118">
        <v>29398.488044637452</v>
      </c>
      <c r="BF10" s="1118">
        <v>30528.360839585672</v>
      </c>
      <c r="BG10" s="1118">
        <v>31343.413713709495</v>
      </c>
      <c r="BH10" s="1118"/>
      <c r="BI10" s="1118"/>
      <c r="BL10" s="1153"/>
      <c r="BN10" t="s">
        <v>86</v>
      </c>
      <c r="BO10" s="1118"/>
      <c r="BP10" s="1119">
        <f>SUM(F10:I10)</f>
        <v>0</v>
      </c>
      <c r="BQ10" s="1119">
        <f>SUM(J10:M10)</f>
        <v>867.34007963492104</v>
      </c>
      <c r="BR10" s="1119">
        <f>SUM(N10:Q10)</f>
        <v>2913.297083127763</v>
      </c>
      <c r="BS10" s="1119">
        <f>SUM(R10:U10)</f>
        <v>5506.1922031355289</v>
      </c>
      <c r="BT10" s="1119">
        <f>SUM(V10:Y10)</f>
        <v>10076.388822062876</v>
      </c>
      <c r="BU10" s="1119">
        <f>SUM(Z10:AC10)</f>
        <v>16473.292493523015</v>
      </c>
      <c r="BV10" s="1119">
        <f>SUM(AD10:AG10)</f>
        <v>24781.316055677693</v>
      </c>
      <c r="BW10" s="1119">
        <f>SUM(AH10:AK10)</f>
        <v>36925.488144664763</v>
      </c>
      <c r="BX10" s="1119">
        <f>SUM(AL10:AO10)</f>
        <v>50655.071911466934</v>
      </c>
      <c r="BY10" s="1119">
        <f>SUM(AP10:AS10)</f>
        <v>64881.680908560294</v>
      </c>
      <c r="BZ10" s="1119">
        <f>SUM(AT10:AW10)</f>
        <v>83998.278468473232</v>
      </c>
      <c r="CA10" s="1119">
        <f>SUM(AX10:BA10)</f>
        <v>101315.59412761114</v>
      </c>
      <c r="CB10" s="1119">
        <f>SUM(BB10:BE10)</f>
        <v>112953.59148788184</v>
      </c>
      <c r="CC10" s="1119"/>
      <c r="CD10" s="1119"/>
    </row>
    <row r="11" spans="1:82">
      <c r="A11" t="s">
        <v>885</v>
      </c>
      <c r="T11" s="41"/>
      <c r="U11" s="41"/>
      <c r="V11" s="41"/>
      <c r="W11" s="41"/>
      <c r="X11" s="41"/>
      <c r="Y11" s="1117">
        <v>1709</v>
      </c>
      <c r="Z11" s="1117">
        <v>1825</v>
      </c>
      <c r="AA11" s="1117">
        <v>2100</v>
      </c>
      <c r="AB11" s="1117">
        <v>2379</v>
      </c>
      <c r="AC11" s="1117">
        <v>2614</v>
      </c>
      <c r="AD11" s="1117">
        <v>2777</v>
      </c>
      <c r="AE11" s="1117">
        <v>3007</v>
      </c>
      <c r="AF11" s="1117">
        <v>3444</v>
      </c>
      <c r="AG11" s="1117">
        <v>3831</v>
      </c>
      <c r="AH11" s="1117">
        <v>4047</v>
      </c>
      <c r="AI11" s="1117">
        <v>4628</v>
      </c>
      <c r="AJ11" s="1117">
        <v>4990</v>
      </c>
      <c r="AK11" s="1117">
        <v>5541</v>
      </c>
      <c r="AL11" s="1117">
        <v>5821</v>
      </c>
      <c r="AM11" s="1117">
        <v>6276</v>
      </c>
      <c r="AN11" s="1117">
        <v>6868</v>
      </c>
      <c r="AO11" s="1117">
        <v>7315</v>
      </c>
      <c r="AP11" s="1117">
        <v>7454</v>
      </c>
      <c r="AQ11" s="1117">
        <v>8031</v>
      </c>
      <c r="AR11" s="1117">
        <v>8411</v>
      </c>
      <c r="AS11" s="1117">
        <v>9192</v>
      </c>
      <c r="AT11" s="1117">
        <v>9574</v>
      </c>
      <c r="AU11" s="1157">
        <v>10038</v>
      </c>
      <c r="AV11" s="1117">
        <v>10554</v>
      </c>
      <c r="AW11" s="1117">
        <v>11441</v>
      </c>
      <c r="AX11" s="1117">
        <v>11511</v>
      </c>
      <c r="AY11" s="1117">
        <v>12317</v>
      </c>
      <c r="AZ11" s="1117">
        <v>12722.6</v>
      </c>
      <c r="BA11" s="1117">
        <v>13741.7</v>
      </c>
      <c r="BB11" s="1118">
        <v>12883.076097694286</v>
      </c>
      <c r="BC11" s="1118">
        <v>13402.782077288572</v>
      </c>
      <c r="BD11" s="1118">
        <v>14764.843677685056</v>
      </c>
      <c r="BE11" s="1118">
        <v>15539.463664620002</v>
      </c>
      <c r="BF11" s="1118">
        <v>15382.007737870028</v>
      </c>
      <c r="BG11" s="1118">
        <v>16011.155313155914</v>
      </c>
      <c r="BH11" s="1118">
        <v>17676.400302028502</v>
      </c>
      <c r="BI11" s="1118">
        <v>18619.0921063434</v>
      </c>
      <c r="BJ11" t="s">
        <v>884</v>
      </c>
      <c r="BL11" s="1153"/>
      <c r="BN11" t="s">
        <v>86</v>
      </c>
      <c r="BO11" s="1118"/>
      <c r="BP11" s="1119"/>
      <c r="BQ11" s="1119"/>
      <c r="BR11" s="1119"/>
      <c r="BS11" s="1119"/>
      <c r="BT11" s="1119">
        <f>SUM(V11:Y11)</f>
        <v>1709</v>
      </c>
      <c r="BU11" s="1119">
        <f>SUM(Z11:AC11)</f>
        <v>8918</v>
      </c>
      <c r="BV11" s="1119">
        <f>SUM(AD11:AG11)</f>
        <v>13059</v>
      </c>
      <c r="BW11" s="1119">
        <f>SUM(AH11:AK11)</f>
        <v>19206</v>
      </c>
      <c r="BX11" s="1119">
        <f>SUM(AL11:AO11)</f>
        <v>26280</v>
      </c>
      <c r="BY11" s="1119">
        <f>SUM(AP11:AS11)</f>
        <v>33088</v>
      </c>
      <c r="BZ11" s="1119">
        <f>SUM(AT11:AW11)</f>
        <v>41607</v>
      </c>
      <c r="CA11" s="1119">
        <f>SUM(AX11:BA11)</f>
        <v>50292.3</v>
      </c>
      <c r="CB11" s="1119">
        <f>SUM(BB11:BE11)</f>
        <v>56590.165517287918</v>
      </c>
      <c r="CC11" s="1119">
        <f>SUM(BF11:BI11)</f>
        <v>67688.655459397851</v>
      </c>
      <c r="CD11" s="1119"/>
    </row>
    <row r="12" spans="1:82">
      <c r="A12" s="13"/>
      <c r="B12" s="13"/>
      <c r="C12" s="13"/>
      <c r="D12" s="13"/>
      <c r="E12" s="13"/>
      <c r="F12" s="833"/>
      <c r="G12" s="833"/>
      <c r="H12" s="833"/>
      <c r="I12" s="833"/>
      <c r="J12" s="833"/>
      <c r="K12" s="833"/>
      <c r="L12" s="833"/>
      <c r="M12" s="833"/>
      <c r="N12" s="833"/>
      <c r="O12" s="833"/>
      <c r="P12" s="833"/>
      <c r="Q12" s="833"/>
      <c r="R12" s="833"/>
      <c r="S12" s="833"/>
      <c r="T12" s="833"/>
      <c r="U12" s="833"/>
      <c r="V12" s="833"/>
      <c r="W12" s="833"/>
      <c r="X12" s="833"/>
      <c r="Y12" s="833"/>
      <c r="Z12" s="833"/>
      <c r="AA12" s="833"/>
      <c r="AB12" s="833"/>
      <c r="AC12" s="833"/>
      <c r="AD12" s="833"/>
      <c r="AE12" s="833"/>
      <c r="AF12" s="833"/>
      <c r="AG12" s="833"/>
      <c r="AH12" s="833"/>
      <c r="AI12" s="833"/>
      <c r="AJ12" s="833"/>
      <c r="AK12" s="833"/>
      <c r="AL12" s="833"/>
      <c r="AM12" s="833"/>
      <c r="AN12" s="833"/>
      <c r="AO12" s="1121"/>
      <c r="AP12" s="1121"/>
      <c r="AQ12" s="1121"/>
      <c r="AR12" s="1121"/>
      <c r="AS12" s="1121"/>
      <c r="AT12" s="1121"/>
      <c r="AU12" s="1120"/>
      <c r="AV12" s="1121"/>
      <c r="AW12" s="1121"/>
      <c r="AX12" s="1121"/>
      <c r="AY12" s="1121"/>
      <c r="AZ12" s="1121"/>
      <c r="BA12" s="1121"/>
      <c r="BB12" s="1121"/>
      <c r="BC12" s="1121"/>
      <c r="BD12" s="1121"/>
      <c r="BE12" s="1121"/>
      <c r="BF12" s="1121"/>
      <c r="BG12" s="1121"/>
      <c r="BH12" s="1121"/>
      <c r="BI12" s="1121"/>
      <c r="BL12" s="1153"/>
      <c r="BN12" s="13"/>
      <c r="BO12" s="1121"/>
      <c r="BP12" s="1121"/>
      <c r="BQ12" s="1121"/>
      <c r="BR12" s="1121"/>
      <c r="BS12" s="1121"/>
      <c r="BT12" s="1121"/>
      <c r="BU12" s="1121"/>
      <c r="BV12" s="1121"/>
      <c r="BW12" s="1121"/>
      <c r="BX12" s="1121"/>
      <c r="BY12" s="1121"/>
      <c r="BZ12" s="1121"/>
      <c r="CA12" s="1121"/>
      <c r="CB12" s="1121"/>
      <c r="CC12" s="1121"/>
      <c r="CD12" s="1121"/>
    </row>
    <row r="13" spans="1:82" ht="10.5">
      <c r="A13" s="45" t="s">
        <v>113</v>
      </c>
      <c r="B13" s="45"/>
      <c r="C13" s="45"/>
      <c r="D13" s="45"/>
      <c r="E13" s="45"/>
      <c r="F13" s="45"/>
      <c r="G13" s="45"/>
      <c r="H13" s="45"/>
      <c r="I13" s="45"/>
      <c r="J13" s="45"/>
      <c r="K13" s="45"/>
      <c r="L13" s="45"/>
      <c r="M13" s="45"/>
      <c r="N13" s="45"/>
      <c r="O13" s="45"/>
      <c r="P13" s="45"/>
      <c r="Q13" s="45"/>
      <c r="R13" s="45"/>
      <c r="S13" s="45"/>
      <c r="AU13" s="1067"/>
      <c r="BL13" s="1153"/>
      <c r="BN13" s="45"/>
    </row>
    <row r="14" spans="1:82">
      <c r="A14" s="843" t="str">
        <f>+A9</f>
        <v>AWS (cons. forecast)</v>
      </c>
      <c r="B14" s="12"/>
      <c r="C14" s="12"/>
      <c r="D14" s="12"/>
      <c r="E14" s="12"/>
      <c r="F14" s="1145">
        <f t="shared" ref="F14:AP14" si="3">F9/B9-1</f>
        <v>0.69</v>
      </c>
      <c r="G14" s="1145">
        <f t="shared" si="3"/>
        <v>0.43000000000000016</v>
      </c>
      <c r="H14" s="1145">
        <f t="shared" si="3"/>
        <v>0.42999999999999994</v>
      </c>
      <c r="I14" s="1145">
        <f t="shared" si="3"/>
        <v>0.47</v>
      </c>
      <c r="J14" s="1145">
        <f t="shared" si="3"/>
        <v>0.49142857142857133</v>
      </c>
      <c r="K14" s="1145">
        <f t="shared" si="3"/>
        <v>0.81492537313432845</v>
      </c>
      <c r="L14" s="1145">
        <f t="shared" si="3"/>
        <v>0.78357570573139435</v>
      </c>
      <c r="M14" s="1145">
        <f t="shared" si="3"/>
        <v>0.69366197183098599</v>
      </c>
      <c r="N14" s="1145">
        <f t="shared" si="3"/>
        <v>0.63856960408684538</v>
      </c>
      <c r="O14" s="1145">
        <f t="shared" si="3"/>
        <v>0.58223684210526305</v>
      </c>
      <c r="P14" s="1145">
        <f t="shared" si="3"/>
        <v>0.54964028776978413</v>
      </c>
      <c r="Q14" s="1145">
        <f t="shared" si="3"/>
        <v>0.47027027027027035</v>
      </c>
      <c r="R14" s="1146">
        <f t="shared" si="3"/>
        <v>0.42673421667965705</v>
      </c>
      <c r="S14" s="1146">
        <f t="shared" si="3"/>
        <v>0.42065142065142069</v>
      </c>
      <c r="T14" s="1146">
        <f t="shared" si="3"/>
        <v>0.41875580315691741</v>
      </c>
      <c r="U14" s="1146">
        <f t="shared" si="3"/>
        <v>0.44598416289592757</v>
      </c>
      <c r="V14" s="1146">
        <f t="shared" si="3"/>
        <v>0.48647910406992634</v>
      </c>
      <c r="W14" s="1146">
        <f t="shared" si="3"/>
        <v>0.48902439024390243</v>
      </c>
      <c r="X14" s="1146">
        <f t="shared" si="3"/>
        <v>0.45702443280977323</v>
      </c>
      <c r="Y14" s="1146">
        <f t="shared" si="3"/>
        <v>0.45315861529434764</v>
      </c>
      <c r="Z14" s="1146">
        <f t="shared" si="3"/>
        <v>0.41418596104373395</v>
      </c>
      <c r="AA14" s="1146">
        <f t="shared" si="3"/>
        <v>0.37280917280917292</v>
      </c>
      <c r="AB14" s="1146">
        <f t="shared" si="3"/>
        <v>0.34675849678095516</v>
      </c>
      <c r="AC14" s="1146">
        <f t="shared" si="3"/>
        <v>0.33970390309555865</v>
      </c>
      <c r="AD14" s="1146">
        <f t="shared" si="3"/>
        <v>0.32783264033264037</v>
      </c>
      <c r="AE14" s="1146">
        <f t="shared" si="3"/>
        <v>0.28958358191146649</v>
      </c>
      <c r="AF14" s="1146">
        <f t="shared" si="3"/>
        <v>0.28971650917176217</v>
      </c>
      <c r="AG14" s="1146">
        <f t="shared" si="3"/>
        <v>0.28008840667068524</v>
      </c>
      <c r="AH14" s="1146">
        <f t="shared" si="3"/>
        <v>0.32136216850963883</v>
      </c>
      <c r="AI14" s="1146">
        <f t="shared" si="3"/>
        <v>0.37018874907475952</v>
      </c>
      <c r="AJ14" s="1146">
        <f t="shared" si="3"/>
        <v>0.3886733902249806</v>
      </c>
      <c r="AK14" s="1146">
        <f t="shared" si="3"/>
        <v>0.39538533982106427</v>
      </c>
      <c r="AL14" s="1146">
        <f t="shared" si="3"/>
        <v>0.36569651188624741</v>
      </c>
      <c r="AM14" s="1146">
        <f t="shared" si="3"/>
        <v>0.33290566547369838</v>
      </c>
      <c r="AN14" s="1146">
        <f t="shared" si="3"/>
        <v>0.27486033519553077</v>
      </c>
      <c r="AO14" s="1146">
        <f t="shared" si="3"/>
        <v>0.20236220472440936</v>
      </c>
      <c r="AP14" s="1146">
        <f t="shared" si="3"/>
        <v>0.157963234097934</v>
      </c>
      <c r="AQ14" s="1146">
        <f t="shared" ref="AQ14:AU14" si="4">AQ9/AM9-1</f>
        <v>0.12163736764780375</v>
      </c>
      <c r="AR14" s="1146">
        <f t="shared" si="4"/>
        <v>0.1227480767358069</v>
      </c>
      <c r="AS14" s="1146">
        <f t="shared" si="4"/>
        <v>0.13219197305641317</v>
      </c>
      <c r="AT14" s="1146">
        <f t="shared" si="4"/>
        <v>0.17247354125690739</v>
      </c>
      <c r="AU14" s="1147">
        <f t="shared" si="4"/>
        <v>0.17346431797651318</v>
      </c>
      <c r="AV14" s="1148">
        <f t="shared" ref="AV14:BI14" si="5">AV9/AR9-1</f>
        <v>0.17835552278936651</v>
      </c>
      <c r="AW14" s="1148">
        <f t="shared" si="5"/>
        <v>0.1821888943976202</v>
      </c>
      <c r="AX14" s="1148">
        <f t="shared" si="5"/>
        <v>0.18036905380037549</v>
      </c>
      <c r="AY14" s="1148">
        <f t="shared" si="5"/>
        <v>0.18138219048902071</v>
      </c>
      <c r="AZ14" s="1148">
        <f t="shared" si="5"/>
        <v>0.17843565179948251</v>
      </c>
      <c r="BA14" s="1148">
        <f t="shared" si="5"/>
        <v>0.17704805739907803</v>
      </c>
      <c r="BB14" s="1148">
        <f t="shared" si="5"/>
        <v>4.459454909670435E-2</v>
      </c>
      <c r="BC14" s="1148">
        <f t="shared" si="5"/>
        <v>4.1103918170000142E-2</v>
      </c>
      <c r="BD14" s="1148">
        <f t="shared" si="5"/>
        <v>3.4183105299483652E-2</v>
      </c>
      <c r="BE14" s="1148">
        <f t="shared" si="5"/>
        <v>2.8490350270340636E-2</v>
      </c>
      <c r="BF14" s="1148">
        <f t="shared" si="5"/>
        <v>0.13275879009704572</v>
      </c>
      <c r="BG14" s="1148">
        <f t="shared" si="5"/>
        <v>0.13164781326743058</v>
      </c>
      <c r="BH14" s="1148">
        <f t="shared" si="5"/>
        <v>0.13053905472090599</v>
      </c>
      <c r="BI14" s="1148">
        <f t="shared" si="5"/>
        <v>0.12919491916372228</v>
      </c>
      <c r="BL14" s="1153"/>
      <c r="BN14" s="12" t="s">
        <v>886</v>
      </c>
      <c r="BO14" s="1148"/>
      <c r="BP14" s="1148">
        <f t="shared" ref="BP14:CC14" si="6">BP9/BO9-1</f>
        <v>0.49441626519757542</v>
      </c>
      <c r="BQ14" s="1148">
        <f t="shared" si="6"/>
        <v>0.69681309216192933</v>
      </c>
      <c r="BR14" s="1148">
        <f t="shared" si="6"/>
        <v>0.55063451776649752</v>
      </c>
      <c r="BS14" s="1148">
        <f t="shared" si="6"/>
        <v>0.42875849087486695</v>
      </c>
      <c r="BT14" s="1148">
        <f t="shared" si="6"/>
        <v>0.46958414480467403</v>
      </c>
      <c r="BU14" s="1148">
        <f t="shared" si="6"/>
        <v>0.36521671343935136</v>
      </c>
      <c r="BV14" s="1148">
        <f t="shared" si="6"/>
        <v>0.29532347399074976</v>
      </c>
      <c r="BW14" s="1148">
        <f t="shared" si="6"/>
        <v>0.37099404893101173</v>
      </c>
      <c r="BX14" s="1148">
        <f t="shared" si="6"/>
        <v>0.28767563743931057</v>
      </c>
      <c r="BY14" s="1148">
        <f t="shared" si="6"/>
        <v>0.13310277666799841</v>
      </c>
      <c r="BZ14" s="1148">
        <f t="shared" si="6"/>
        <v>0.17680068755027145</v>
      </c>
      <c r="CA14" s="1148">
        <f t="shared" si="6"/>
        <v>0.17923389720691096</v>
      </c>
      <c r="CB14" s="1148">
        <f t="shared" si="6"/>
        <v>3.6790404746176009E-2</v>
      </c>
      <c r="CC14" s="1148">
        <f t="shared" si="6"/>
        <v>0.13097859630153508</v>
      </c>
      <c r="CD14" s="1148"/>
    </row>
    <row r="15" spans="1:82">
      <c r="A15" s="843" t="str">
        <f>+A10</f>
        <v>Azure</v>
      </c>
      <c r="B15" s="1124"/>
      <c r="C15" s="1124"/>
      <c r="D15" s="1124"/>
      <c r="E15" s="1124"/>
      <c r="F15" s="1124"/>
      <c r="G15" s="1124"/>
      <c r="H15" s="1124"/>
      <c r="I15" s="1124"/>
      <c r="J15" s="1117"/>
      <c r="K15" s="1117"/>
      <c r="L15" s="1117"/>
      <c r="M15" s="1117"/>
      <c r="N15" s="1117"/>
      <c r="O15" s="1117"/>
      <c r="P15" s="1117"/>
      <c r="Q15" s="1117"/>
      <c r="R15" s="1146">
        <f t="shared" ref="R15:AU15" si="7">R10/N10-1</f>
        <v>0.76402310904376325</v>
      </c>
      <c r="S15" s="1146">
        <f t="shared" si="7"/>
        <v>0.8554399436022877</v>
      </c>
      <c r="T15" s="1146">
        <f t="shared" si="7"/>
        <v>0.90144781955921327</v>
      </c>
      <c r="U15" s="1146">
        <f t="shared" si="7"/>
        <v>0.99155360912000079</v>
      </c>
      <c r="V15" s="1146">
        <f t="shared" si="7"/>
        <v>0.92864710528193251</v>
      </c>
      <c r="W15" s="1146">
        <f t="shared" si="7"/>
        <v>0.90888010475160708</v>
      </c>
      <c r="X15" s="1146">
        <f t="shared" si="7"/>
        <v>0.75944099369388796</v>
      </c>
      <c r="Y15" s="1146">
        <f t="shared" si="7"/>
        <v>0.77583258992076165</v>
      </c>
      <c r="Z15" s="1146">
        <f t="shared" si="7"/>
        <v>0.73101723752948167</v>
      </c>
      <c r="AA15" s="1146">
        <f t="shared" si="7"/>
        <v>0.62667597347516368</v>
      </c>
      <c r="AB15" s="1146">
        <f t="shared" si="7"/>
        <v>0.59085230064168881</v>
      </c>
      <c r="AC15" s="1146">
        <f t="shared" si="7"/>
        <v>0.62009799992947956</v>
      </c>
      <c r="AD15" s="1146">
        <f t="shared" si="7"/>
        <v>0.58821175943955106</v>
      </c>
      <c r="AE15" s="1146">
        <f t="shared" si="7"/>
        <v>0.46824697555649819</v>
      </c>
      <c r="AF15" s="1146">
        <f t="shared" si="7"/>
        <v>0.47916296898311139</v>
      </c>
      <c r="AG15" s="1146">
        <f t="shared" si="7"/>
        <v>0.49952745622344996</v>
      </c>
      <c r="AH15" s="1146">
        <f t="shared" si="7"/>
        <v>0.49775582341590807</v>
      </c>
      <c r="AI15" s="1146">
        <f t="shared" si="7"/>
        <v>0.51127678584879188</v>
      </c>
      <c r="AJ15" s="1146">
        <f t="shared" si="7"/>
        <v>0.49958628868543009</v>
      </c>
      <c r="AK15" s="1146">
        <f t="shared" si="7"/>
        <v>0.45874303578955766</v>
      </c>
      <c r="AL15" s="1146">
        <f t="shared" si="7"/>
        <v>0.45444483269312119</v>
      </c>
      <c r="AM15" s="1146">
        <f t="shared" si="7"/>
        <v>0.39464350961882055</v>
      </c>
      <c r="AN15" s="1146">
        <f t="shared" si="7"/>
        <v>0.34670453701846027</v>
      </c>
      <c r="AO15" s="1146">
        <f t="shared" si="7"/>
        <v>0.3138223748487583</v>
      </c>
      <c r="AP15" s="1146">
        <f t="shared" si="7"/>
        <v>0.27</v>
      </c>
      <c r="AQ15" s="1146">
        <f t="shared" si="7"/>
        <v>0.26</v>
      </c>
      <c r="AR15" s="1146">
        <f t="shared" si="7"/>
        <v>0.29000000000000004</v>
      </c>
      <c r="AS15" s="1146">
        <f t="shared" si="7"/>
        <v>0.30000000000000004</v>
      </c>
      <c r="AT15" s="1146">
        <f t="shared" si="7"/>
        <v>0.31000000000000005</v>
      </c>
      <c r="AU15" s="1147">
        <f t="shared" si="7"/>
        <v>0.29000000000000004</v>
      </c>
      <c r="AV15" s="1146">
        <f>+AV25+'Historical Financials'!AN1388</f>
        <v>0.29203173281071143</v>
      </c>
      <c r="AW15" s="1146">
        <f>+AW25+'Historical Financials'!AO1388</f>
        <v>0.28871393865242012</v>
      </c>
      <c r="AX15" s="1146">
        <f>+AX25+'Historical Financials'!AP1388</f>
        <v>0.28574626103812634</v>
      </c>
      <c r="AY15" s="1146">
        <f>+AY25+'Historical Financials'!AQ1388</f>
        <v>0.29098621531827207</v>
      </c>
      <c r="AZ15" s="1118"/>
      <c r="BA15" s="1118"/>
      <c r="BB15" s="1118"/>
      <c r="BC15" s="1118"/>
      <c r="BD15" s="1118"/>
      <c r="BE15" s="1118"/>
      <c r="BF15" s="1118"/>
      <c r="BG15" s="1118"/>
      <c r="BH15" s="1118"/>
      <c r="BI15" s="1118"/>
      <c r="BO15" s="1118"/>
      <c r="BP15" s="1119"/>
      <c r="BQ15" s="1119"/>
      <c r="BR15" s="1119"/>
      <c r="BS15" s="1119"/>
      <c r="BT15" s="1119"/>
      <c r="BU15" s="1119"/>
      <c r="BV15" s="1119"/>
      <c r="BW15" s="1119"/>
      <c r="BX15" s="1119"/>
      <c r="BY15" s="1119"/>
      <c r="BZ15" s="1119"/>
      <c r="CA15" s="1119"/>
      <c r="CB15" s="1119"/>
      <c r="CC15" s="1119"/>
      <c r="CD15" s="1119"/>
    </row>
    <row r="16" spans="1:82">
      <c r="A16" s="843" t="str">
        <f>+A11</f>
        <v>Google Cloud (cons. forecast)</v>
      </c>
      <c r="B16" s="12"/>
      <c r="C16" s="12"/>
      <c r="D16" s="12"/>
      <c r="E16" s="12"/>
      <c r="F16" s="12"/>
      <c r="G16" s="1145"/>
      <c r="H16" s="1145"/>
      <c r="I16" s="1145"/>
      <c r="J16" s="1145"/>
      <c r="K16" s="1145"/>
      <c r="L16" s="1145"/>
      <c r="M16" s="1145"/>
      <c r="N16" s="1145"/>
      <c r="O16" s="1145"/>
      <c r="P16" s="1145"/>
      <c r="Q16" s="1145"/>
      <c r="R16" s="1146"/>
      <c r="S16" s="1146"/>
      <c r="T16" s="1146"/>
      <c r="U16" s="1146"/>
      <c r="V16" s="1146"/>
      <c r="W16" s="1146"/>
      <c r="X16" s="1146"/>
      <c r="Y16" s="1146"/>
      <c r="Z16" s="1146"/>
      <c r="AA16" s="1146"/>
      <c r="AB16" s="1146"/>
      <c r="AC16" s="1146">
        <f t="shared" ref="AC16:BI16" si="8">AC11/Y11-1</f>
        <v>0.529549444119368</v>
      </c>
      <c r="AD16" s="1146">
        <f t="shared" si="8"/>
        <v>0.52164383561643834</v>
      </c>
      <c r="AE16" s="1146">
        <f t="shared" si="8"/>
        <v>0.43190476190476201</v>
      </c>
      <c r="AF16" s="1146">
        <f t="shared" si="8"/>
        <v>0.44766708701134927</v>
      </c>
      <c r="AG16" s="1146">
        <f t="shared" si="8"/>
        <v>0.46557000765110934</v>
      </c>
      <c r="AH16" s="1146">
        <f t="shared" si="8"/>
        <v>0.4573280518545193</v>
      </c>
      <c r="AI16" s="1146">
        <f t="shared" si="8"/>
        <v>0.53907549052211512</v>
      </c>
      <c r="AJ16" s="1146">
        <f t="shared" si="8"/>
        <v>0.44889663182346107</v>
      </c>
      <c r="AK16" s="1146">
        <f t="shared" si="8"/>
        <v>0.44635865309318712</v>
      </c>
      <c r="AL16" s="1146">
        <f t="shared" si="8"/>
        <v>0.4383493946132937</v>
      </c>
      <c r="AM16" s="1146">
        <f t="shared" si="8"/>
        <v>0.35609334485738975</v>
      </c>
      <c r="AN16" s="1146">
        <f t="shared" si="8"/>
        <v>0.37635270541082155</v>
      </c>
      <c r="AO16" s="1146">
        <f t="shared" si="8"/>
        <v>0.3201588160981772</v>
      </c>
      <c r="AP16" s="1146">
        <f t="shared" si="8"/>
        <v>0.28053599037965982</v>
      </c>
      <c r="AQ16" s="1146">
        <f t="shared" si="8"/>
        <v>0.2796367112810707</v>
      </c>
      <c r="AR16" s="1146">
        <f t="shared" si="8"/>
        <v>0.22466511357018049</v>
      </c>
      <c r="AS16" s="1146">
        <f t="shared" si="8"/>
        <v>0.25659603554340404</v>
      </c>
      <c r="AT16" s="1146">
        <f t="shared" si="8"/>
        <v>0.28441105446740012</v>
      </c>
      <c r="AU16" s="1147">
        <f t="shared" si="8"/>
        <v>0.24990661187896901</v>
      </c>
      <c r="AV16" s="1145">
        <f t="shared" si="8"/>
        <v>0.25478540007133521</v>
      </c>
      <c r="AW16" s="1145">
        <f t="shared" si="8"/>
        <v>0.24466927763272417</v>
      </c>
      <c r="AX16" s="1145">
        <f t="shared" si="8"/>
        <v>0.20231878002924586</v>
      </c>
      <c r="AY16" s="1145">
        <f t="shared" si="8"/>
        <v>0.22703725841801159</v>
      </c>
      <c r="AZ16" s="1145">
        <f t="shared" si="8"/>
        <v>0.20547659655107076</v>
      </c>
      <c r="BA16" s="1145">
        <f t="shared" si="8"/>
        <v>0.20109256183900026</v>
      </c>
      <c r="BB16" s="1145">
        <f t="shared" si="8"/>
        <v>0.11919695054246238</v>
      </c>
      <c r="BC16" s="1145">
        <f t="shared" si="8"/>
        <v>8.8153127976664081E-2</v>
      </c>
      <c r="BD16" s="1145">
        <f t="shared" si="8"/>
        <v>0.16052093736225737</v>
      </c>
      <c r="BE16" s="1145">
        <f t="shared" si="8"/>
        <v>0.13082541931638736</v>
      </c>
      <c r="BF16" s="1145">
        <f t="shared" si="8"/>
        <v>0.19397010630271616</v>
      </c>
      <c r="BG16" s="1145">
        <f t="shared" si="8"/>
        <v>0.19461431371679994</v>
      </c>
      <c r="BH16" s="1145">
        <f t="shared" si="8"/>
        <v>0.19719522183251059</v>
      </c>
      <c r="BI16" s="1145">
        <f t="shared" si="8"/>
        <v>0.19818112826731893</v>
      </c>
      <c r="BN16" s="12" t="s">
        <v>886</v>
      </c>
      <c r="BP16" s="1148"/>
      <c r="BQ16" s="1148"/>
      <c r="BR16" s="1148"/>
      <c r="BS16" s="1148"/>
      <c r="BT16" s="1148"/>
      <c r="BU16" s="1148"/>
      <c r="BV16" s="1148">
        <f t="shared" ref="BV16:CC16" si="9">BV11/BU11-1</f>
        <v>0.46434178066831122</v>
      </c>
      <c r="BW16" s="1148">
        <f t="shared" si="9"/>
        <v>0.47070985527222597</v>
      </c>
      <c r="BX16" s="1148">
        <f t="shared" si="9"/>
        <v>0.36832239925023424</v>
      </c>
      <c r="BY16" s="1148">
        <f t="shared" si="9"/>
        <v>0.25905631659056327</v>
      </c>
      <c r="BZ16" s="1148">
        <f t="shared" si="9"/>
        <v>0.25746494197292069</v>
      </c>
      <c r="CA16" s="1148">
        <f t="shared" si="9"/>
        <v>0.20874612445021268</v>
      </c>
      <c r="CB16" s="1148">
        <f t="shared" si="9"/>
        <v>0.12522524357183729</v>
      </c>
      <c r="CC16" s="1148">
        <f t="shared" si="9"/>
        <v>0.19612047147519673</v>
      </c>
      <c r="CD16" s="1148"/>
    </row>
    <row r="17" spans="1:82" ht="10.5">
      <c r="A17" s="45"/>
      <c r="B17" s="45"/>
      <c r="C17" s="45"/>
      <c r="D17" s="45"/>
      <c r="E17" s="45"/>
      <c r="F17" s="45"/>
      <c r="G17" s="45"/>
      <c r="H17" s="45"/>
      <c r="I17" s="45"/>
      <c r="J17" s="45"/>
      <c r="K17" s="45"/>
      <c r="L17" s="45"/>
      <c r="M17" s="45"/>
      <c r="N17" s="45"/>
      <c r="O17" s="45"/>
      <c r="P17" s="45"/>
      <c r="Q17" s="45"/>
      <c r="R17" s="45"/>
      <c r="S17" s="45"/>
      <c r="AU17" s="1067"/>
      <c r="BN17" s="45"/>
    </row>
    <row r="18" spans="1:82" ht="10.5">
      <c r="A18" s="45" t="s">
        <v>887</v>
      </c>
      <c r="B18" s="45"/>
      <c r="C18" s="45"/>
      <c r="D18" s="45"/>
      <c r="E18" s="45"/>
      <c r="F18" s="45"/>
      <c r="G18" s="45"/>
      <c r="H18" s="45"/>
      <c r="I18" s="45"/>
      <c r="J18" s="45"/>
      <c r="K18" s="45"/>
      <c r="L18" s="45"/>
      <c r="M18" s="45"/>
      <c r="N18" s="45"/>
      <c r="O18" s="45"/>
      <c r="P18" s="45"/>
      <c r="Q18" s="45"/>
      <c r="R18" s="45"/>
      <c r="S18" s="45"/>
      <c r="AU18" s="1067"/>
      <c r="BN18" s="45"/>
    </row>
    <row r="19" spans="1:82">
      <c r="A19" s="843" t="str">
        <f>+A14</f>
        <v>AWS (cons. forecast)</v>
      </c>
      <c r="B19" s="12"/>
      <c r="C19" s="12"/>
      <c r="D19" s="12"/>
      <c r="E19" s="12"/>
      <c r="F19" s="1145" t="e">
        <f t="shared" ref="F19:Q19" si="10">F14/B14-1</f>
        <v>#DIV/0!</v>
      </c>
      <c r="G19" s="1145" t="e">
        <f t="shared" si="10"/>
        <v>#DIV/0!</v>
      </c>
      <c r="H19" s="1145" t="e">
        <f t="shared" si="10"/>
        <v>#DIV/0!</v>
      </c>
      <c r="I19" s="1145" t="e">
        <f t="shared" si="10"/>
        <v>#DIV/0!</v>
      </c>
      <c r="J19" s="1145">
        <f t="shared" si="10"/>
        <v>-0.28778467908902705</v>
      </c>
      <c r="K19" s="1145">
        <f t="shared" si="10"/>
        <v>0.89517528635890264</v>
      </c>
      <c r="L19" s="1145">
        <f t="shared" si="10"/>
        <v>0.82226908309626623</v>
      </c>
      <c r="M19" s="1145">
        <f t="shared" si="10"/>
        <v>0.47587653581060851</v>
      </c>
      <c r="N19" s="1145">
        <f t="shared" si="10"/>
        <v>0.29941489203718574</v>
      </c>
      <c r="O19" s="1145">
        <f t="shared" si="10"/>
        <v>-0.28553354540196663</v>
      </c>
      <c r="P19" s="1145">
        <f t="shared" si="10"/>
        <v>-0.29854858471301571</v>
      </c>
      <c r="Q19" s="1145">
        <f t="shared" si="10"/>
        <v>-0.32204692001646307</v>
      </c>
      <c r="R19" s="1146">
        <f t="shared" ref="R19:AT19" si="11">+R14+N14</f>
        <v>1.0653038207665024</v>
      </c>
      <c r="S19" s="1146">
        <f t="shared" si="11"/>
        <v>1.0028882627566837</v>
      </c>
      <c r="T19" s="1146">
        <f t="shared" si="11"/>
        <v>0.96839609092670154</v>
      </c>
      <c r="U19" s="1146">
        <f t="shared" si="11"/>
        <v>0.91625443316619792</v>
      </c>
      <c r="V19" s="1146">
        <f t="shared" si="11"/>
        <v>0.91321332074958339</v>
      </c>
      <c r="W19" s="1146">
        <f t="shared" si="11"/>
        <v>0.90967581089532312</v>
      </c>
      <c r="X19" s="1146">
        <f t="shared" si="11"/>
        <v>0.87578023596669063</v>
      </c>
      <c r="Y19" s="1146">
        <f t="shared" si="11"/>
        <v>0.89914277819027522</v>
      </c>
      <c r="Z19" s="1146">
        <f t="shared" si="11"/>
        <v>0.90066506511366029</v>
      </c>
      <c r="AA19" s="1146">
        <f t="shared" si="11"/>
        <v>0.86183356305307535</v>
      </c>
      <c r="AB19" s="1146">
        <f t="shared" si="11"/>
        <v>0.80378292959072839</v>
      </c>
      <c r="AC19" s="1146">
        <f t="shared" si="11"/>
        <v>0.79286251838990629</v>
      </c>
      <c r="AD19" s="1146">
        <f t="shared" si="11"/>
        <v>0.74201860137637432</v>
      </c>
      <c r="AE19" s="1146">
        <f t="shared" si="11"/>
        <v>0.66239275472063941</v>
      </c>
      <c r="AF19" s="1146">
        <f t="shared" si="11"/>
        <v>0.63647500595271733</v>
      </c>
      <c r="AG19" s="1146">
        <f t="shared" si="11"/>
        <v>0.61979230976624389</v>
      </c>
      <c r="AH19" s="1146">
        <f t="shared" si="11"/>
        <v>0.6491948088422792</v>
      </c>
      <c r="AI19" s="1146">
        <f t="shared" si="11"/>
        <v>0.65977233098622601</v>
      </c>
      <c r="AJ19" s="1146">
        <f t="shared" si="11"/>
        <v>0.67838989939674277</v>
      </c>
      <c r="AK19" s="1146">
        <f t="shared" si="11"/>
        <v>0.67547374649174952</v>
      </c>
      <c r="AL19" s="1146">
        <f t="shared" si="11"/>
        <v>0.68705868039588625</v>
      </c>
      <c r="AM19" s="1146">
        <f t="shared" si="11"/>
        <v>0.70309441454845789</v>
      </c>
      <c r="AN19" s="1146">
        <f t="shared" si="11"/>
        <v>0.66353372542051137</v>
      </c>
      <c r="AO19" s="1146">
        <f t="shared" si="11"/>
        <v>0.59774754454547363</v>
      </c>
      <c r="AP19" s="1146">
        <f t="shared" si="11"/>
        <v>0.52365974598418141</v>
      </c>
      <c r="AQ19" s="1146">
        <f t="shared" si="11"/>
        <v>0.45454303312150213</v>
      </c>
      <c r="AR19" s="1146">
        <f t="shared" si="11"/>
        <v>0.39760841193133767</v>
      </c>
      <c r="AS19" s="1146">
        <f t="shared" si="11"/>
        <v>0.33455417778082253</v>
      </c>
      <c r="AT19" s="1146">
        <f t="shared" si="11"/>
        <v>0.33043677535484139</v>
      </c>
      <c r="AU19" s="1147">
        <f>+AU14+AQ14</f>
        <v>0.29510168562431693</v>
      </c>
      <c r="AV19" s="1146">
        <f t="shared" ref="AV19:AY20" si="12">+AV14+AR14</f>
        <v>0.3011035995251734</v>
      </c>
      <c r="AW19" s="1146">
        <f t="shared" si="12"/>
        <v>0.31438086745403337</v>
      </c>
      <c r="AX19" s="1146">
        <f t="shared" si="12"/>
        <v>0.35284259505728288</v>
      </c>
      <c r="AY19" s="1146">
        <f t="shared" si="12"/>
        <v>0.35484650846553389</v>
      </c>
      <c r="AZ19" s="1148">
        <f t="shared" ref="AZ19:BI19" si="13">AZ14/AV14-1</f>
        <v>4.4926565133973639E-4</v>
      </c>
      <c r="BA19" s="1148">
        <f t="shared" si="13"/>
        <v>-2.8217071164186813E-2</v>
      </c>
      <c r="BB19" s="1148">
        <f t="shared" si="13"/>
        <v>-0.75275942210097957</v>
      </c>
      <c r="BC19" s="1148">
        <f t="shared" si="13"/>
        <v>-0.77338503819376792</v>
      </c>
      <c r="BD19" s="1148">
        <f t="shared" si="13"/>
        <v>-0.80842894928925413</v>
      </c>
      <c r="BE19" s="1148">
        <f t="shared" si="13"/>
        <v>-0.83908126025849861</v>
      </c>
      <c r="BF19" s="1148">
        <f t="shared" si="13"/>
        <v>1.9770183304052495</v>
      </c>
      <c r="BG19" s="1148">
        <f t="shared" si="13"/>
        <v>2.2028044801703177</v>
      </c>
      <c r="BH19" s="1148">
        <f t="shared" si="13"/>
        <v>2.8188179095267225</v>
      </c>
      <c r="BI19" s="1148">
        <f t="shared" si="13"/>
        <v>3.5346904456354933</v>
      </c>
      <c r="BN19" s="12" t="s">
        <v>886</v>
      </c>
      <c r="BO19" s="1148"/>
      <c r="BP19" s="1148" t="e">
        <f t="shared" ref="BP19:CC19" si="14">BP14/BO14-1</f>
        <v>#DIV/0!</v>
      </c>
      <c r="BQ19" s="1148">
        <f t="shared" si="14"/>
        <v>0.4093652276659494</v>
      </c>
      <c r="BR19" s="1148">
        <f t="shared" si="14"/>
        <v>-0.20978161294573094</v>
      </c>
      <c r="BS19" s="1148">
        <f t="shared" si="14"/>
        <v>-0.22133742611340146</v>
      </c>
      <c r="BT19" s="1148">
        <f t="shared" si="14"/>
        <v>9.521829840967988E-2</v>
      </c>
      <c r="BU19" s="1148">
        <f t="shared" si="14"/>
        <v>-0.22225501546423554</v>
      </c>
      <c r="BV19" s="1148">
        <f t="shared" si="14"/>
        <v>-0.19137470131198753</v>
      </c>
      <c r="BW19" s="1148">
        <f t="shared" si="14"/>
        <v>0.25622946228321886</v>
      </c>
      <c r="BX19" s="1148">
        <f t="shared" si="14"/>
        <v>-0.22458153097543254</v>
      </c>
      <c r="BY19" s="1148">
        <f t="shared" si="14"/>
        <v>-0.53731647958517725</v>
      </c>
      <c r="BZ19" s="1148">
        <f t="shared" si="14"/>
        <v>0.3283020232648477</v>
      </c>
      <c r="CA19" s="1148">
        <f t="shared" si="14"/>
        <v>1.3762444537709362E-2</v>
      </c>
      <c r="CB19" s="1148">
        <f t="shared" si="14"/>
        <v>-0.79473522966638122</v>
      </c>
      <c r="CC19" s="1148">
        <f t="shared" si="14"/>
        <v>2.5601292566684517</v>
      </c>
      <c r="CD19" s="1148"/>
    </row>
    <row r="20" spans="1:82">
      <c r="A20" s="843" t="str">
        <f>+A15</f>
        <v>Azure</v>
      </c>
      <c r="B20" s="1124"/>
      <c r="C20" s="1124"/>
      <c r="D20" s="1124"/>
      <c r="E20" s="1124"/>
      <c r="F20" s="1124"/>
      <c r="G20" s="1124"/>
      <c r="H20" s="1124"/>
      <c r="I20" s="1124"/>
      <c r="J20" s="1117"/>
      <c r="K20" s="1117"/>
      <c r="L20" s="1117"/>
      <c r="M20" s="1117"/>
      <c r="N20" s="1117"/>
      <c r="O20" s="1117"/>
      <c r="P20" s="1117"/>
      <c r="Q20" s="1117"/>
      <c r="R20" s="1146"/>
      <c r="S20" s="1146"/>
      <c r="T20" s="1146"/>
      <c r="U20" s="1146"/>
      <c r="V20" s="1146">
        <f t="shared" ref="V20:AU20" si="15">+V15+R15</f>
        <v>1.6926702143256958</v>
      </c>
      <c r="W20" s="1146">
        <f t="shared" si="15"/>
        <v>1.7643200483538948</v>
      </c>
      <c r="X20" s="1146">
        <f t="shared" si="15"/>
        <v>1.6608888132531012</v>
      </c>
      <c r="Y20" s="1146">
        <f t="shared" si="15"/>
        <v>1.7673861990407624</v>
      </c>
      <c r="Z20" s="1146">
        <f t="shared" si="15"/>
        <v>1.6596643428114142</v>
      </c>
      <c r="AA20" s="1146">
        <f t="shared" si="15"/>
        <v>1.5355560782267708</v>
      </c>
      <c r="AB20" s="1146">
        <f t="shared" si="15"/>
        <v>1.3502932943355768</v>
      </c>
      <c r="AC20" s="1146">
        <f t="shared" si="15"/>
        <v>1.3959305898502412</v>
      </c>
      <c r="AD20" s="1146">
        <f t="shared" si="15"/>
        <v>1.3192289969690327</v>
      </c>
      <c r="AE20" s="1146">
        <f t="shared" si="15"/>
        <v>1.0949229490316619</v>
      </c>
      <c r="AF20" s="1146">
        <f t="shared" si="15"/>
        <v>1.0700152696248002</v>
      </c>
      <c r="AG20" s="1146">
        <f t="shared" si="15"/>
        <v>1.1196254561529295</v>
      </c>
      <c r="AH20" s="1146">
        <f t="shared" si="15"/>
        <v>1.0859675828554591</v>
      </c>
      <c r="AI20" s="1146">
        <f t="shared" si="15"/>
        <v>0.97952376140529007</v>
      </c>
      <c r="AJ20" s="1146">
        <f t="shared" si="15"/>
        <v>0.97874925766854148</v>
      </c>
      <c r="AK20" s="1146">
        <f t="shared" si="15"/>
        <v>0.95827049201300762</v>
      </c>
      <c r="AL20" s="1146">
        <f t="shared" si="15"/>
        <v>0.95220065610902926</v>
      </c>
      <c r="AM20" s="1146">
        <f t="shared" si="15"/>
        <v>0.90592029546761244</v>
      </c>
      <c r="AN20" s="1146">
        <f t="shared" si="15"/>
        <v>0.84629082570389036</v>
      </c>
      <c r="AO20" s="1146">
        <f t="shared" si="15"/>
        <v>0.77256541063831596</v>
      </c>
      <c r="AP20" s="1146">
        <f t="shared" si="15"/>
        <v>0.72444483269312121</v>
      </c>
      <c r="AQ20" s="1146">
        <f t="shared" si="15"/>
        <v>0.65464350961882056</v>
      </c>
      <c r="AR20" s="1146">
        <f t="shared" si="15"/>
        <v>0.6367045370184603</v>
      </c>
      <c r="AS20" s="1146">
        <f t="shared" si="15"/>
        <v>0.61382237484875835</v>
      </c>
      <c r="AT20" s="1146">
        <f t="shared" si="15"/>
        <v>0.58000000000000007</v>
      </c>
      <c r="AU20" s="1147">
        <f t="shared" si="15"/>
        <v>0.55000000000000004</v>
      </c>
      <c r="AV20" s="1146">
        <f t="shared" si="12"/>
        <v>0.58203173281071141</v>
      </c>
      <c r="AW20" s="1146">
        <f t="shared" si="12"/>
        <v>0.58871393865242017</v>
      </c>
      <c r="AX20" s="1146">
        <f t="shared" si="12"/>
        <v>0.59574626103812633</v>
      </c>
      <c r="AY20" s="1146">
        <f t="shared" si="12"/>
        <v>0.5809862153182721</v>
      </c>
      <c r="AZ20" s="1118"/>
      <c r="BA20" s="1118"/>
      <c r="BB20" s="1118"/>
      <c r="BC20" s="1118"/>
      <c r="BD20" s="1118"/>
      <c r="BE20" s="1118"/>
      <c r="BF20" s="1118"/>
      <c r="BG20" s="1118"/>
      <c r="BH20" s="1118"/>
      <c r="BI20" s="1118"/>
      <c r="BO20" s="1118"/>
      <c r="BP20" s="1119"/>
      <c r="BQ20" s="1119"/>
      <c r="BR20" s="1119"/>
      <c r="BS20" s="1119"/>
      <c r="BT20" s="1119"/>
      <c r="BU20" s="1119"/>
      <c r="BV20" s="1119"/>
      <c r="BW20" s="1119"/>
      <c r="BX20" s="1119"/>
      <c r="BY20" s="1119"/>
      <c r="BZ20" s="1119"/>
      <c r="CA20" s="1119"/>
      <c r="CB20" s="1119"/>
      <c r="CC20" s="1119"/>
      <c r="CD20" s="1119"/>
    </row>
    <row r="21" spans="1:82">
      <c r="A21" s="843" t="str">
        <f>+A16</f>
        <v>Google Cloud (cons. forecast)</v>
      </c>
      <c r="B21" s="12"/>
      <c r="C21" s="12"/>
      <c r="D21" s="12"/>
      <c r="E21" s="12"/>
      <c r="F21" s="12"/>
      <c r="G21" s="1145"/>
      <c r="H21" s="1145"/>
      <c r="I21" s="1145"/>
      <c r="J21" s="1145"/>
      <c r="K21" s="1145"/>
      <c r="L21" s="1145"/>
      <c r="M21" s="1145"/>
      <c r="N21" s="1145"/>
      <c r="O21" s="1145"/>
      <c r="P21" s="1145"/>
      <c r="Q21" s="1145"/>
      <c r="R21" s="1146"/>
      <c r="S21" s="1146"/>
      <c r="T21" s="1146"/>
      <c r="U21" s="1146"/>
      <c r="V21" s="1146"/>
      <c r="W21" s="1146"/>
      <c r="X21" s="1146"/>
      <c r="Y21" s="1146"/>
      <c r="Z21" s="1146"/>
      <c r="AA21" s="1146"/>
      <c r="AB21" s="1146"/>
      <c r="AC21" s="1146"/>
      <c r="AD21" s="1146"/>
      <c r="AE21" s="1146"/>
      <c r="AF21" s="1146"/>
      <c r="AG21" s="1146">
        <f t="shared" ref="AG21:AU21" si="16">+AG16+AC16</f>
        <v>0.99511945177047734</v>
      </c>
      <c r="AH21" s="1146">
        <f t="shared" si="16"/>
        <v>0.97897188747095765</v>
      </c>
      <c r="AI21" s="1146">
        <f t="shared" si="16"/>
        <v>0.97098025242687713</v>
      </c>
      <c r="AJ21" s="1146">
        <f t="shared" si="16"/>
        <v>0.89656371883481034</v>
      </c>
      <c r="AK21" s="1146">
        <f t="shared" si="16"/>
        <v>0.91192866074429646</v>
      </c>
      <c r="AL21" s="1146">
        <f t="shared" si="16"/>
        <v>0.895677446467813</v>
      </c>
      <c r="AM21" s="1146">
        <f t="shared" si="16"/>
        <v>0.89516883537950487</v>
      </c>
      <c r="AN21" s="1146">
        <f t="shared" si="16"/>
        <v>0.82524933723428262</v>
      </c>
      <c r="AO21" s="1146">
        <f t="shared" si="16"/>
        <v>0.76651746919136432</v>
      </c>
      <c r="AP21" s="1146">
        <f t="shared" si="16"/>
        <v>0.71888538499295351</v>
      </c>
      <c r="AQ21" s="1146">
        <f t="shared" si="16"/>
        <v>0.63573005613846045</v>
      </c>
      <c r="AR21" s="1146">
        <f t="shared" si="16"/>
        <v>0.60101781898100204</v>
      </c>
      <c r="AS21" s="1146">
        <f t="shared" si="16"/>
        <v>0.57675485164158125</v>
      </c>
      <c r="AT21" s="1146">
        <f t="shared" si="16"/>
        <v>0.56494704484705993</v>
      </c>
      <c r="AU21" s="1147">
        <f t="shared" si="16"/>
        <v>0.52954332316003971</v>
      </c>
      <c r="AV21" s="1146">
        <f t="shared" ref="AV21" si="17">+AV16+AR16</f>
        <v>0.4794505136415157</v>
      </c>
      <c r="AW21" s="1146">
        <f t="shared" ref="AW21" si="18">+AW16+AS16</f>
        <v>0.50126531317612821</v>
      </c>
      <c r="AX21" s="1146">
        <f t="shared" ref="AX21" si="19">+AX16+AT16</f>
        <v>0.48672983449664597</v>
      </c>
      <c r="AY21" s="1146">
        <f t="shared" ref="AY21" si="20">+AY16+AU16</f>
        <v>0.4769438702969806</v>
      </c>
      <c r="AZ21" s="1145">
        <f t="shared" ref="AZ21:BI21" si="21">AZ16/AV16-1</f>
        <v>-0.19353072627575563</v>
      </c>
      <c r="BA21" s="1145">
        <f t="shared" si="21"/>
        <v>-0.17810456717470435</v>
      </c>
      <c r="BB21" s="1145">
        <f t="shared" si="21"/>
        <v>-0.41084584176895467</v>
      </c>
      <c r="BC21" s="1145">
        <f t="shared" si="21"/>
        <v>-0.61172395847751038</v>
      </c>
      <c r="BD21" s="1145">
        <f t="shared" si="21"/>
        <v>-0.21878724849153208</v>
      </c>
      <c r="BE21" s="1145">
        <f t="shared" si="21"/>
        <v>-0.34942686034737847</v>
      </c>
      <c r="BF21" s="1145">
        <f t="shared" si="21"/>
        <v>0.62730762339105994</v>
      </c>
      <c r="BG21" s="1145">
        <f t="shared" si="21"/>
        <v>1.2076847207091537</v>
      </c>
      <c r="BH21" s="1145">
        <f t="shared" si="21"/>
        <v>0.22847041060748441</v>
      </c>
      <c r="BI21" s="1145">
        <f t="shared" si="21"/>
        <v>0.51485184838612263</v>
      </c>
      <c r="BN21" s="12" t="s">
        <v>886</v>
      </c>
      <c r="BP21" s="1148"/>
      <c r="BQ21" s="1148"/>
      <c r="BR21" s="1148"/>
      <c r="BS21" s="1148"/>
      <c r="BT21" s="1148"/>
      <c r="BU21" s="1148"/>
      <c r="BV21" s="1148" t="e">
        <f t="shared" ref="BV21:CC21" si="22">BV16/BU16-1</f>
        <v>#DIV/0!</v>
      </c>
      <c r="BW21" s="1148">
        <f t="shared" si="22"/>
        <v>1.3714196889087704E-2</v>
      </c>
      <c r="BX21" s="1148">
        <f t="shared" si="22"/>
        <v>-0.21751712838639825</v>
      </c>
      <c r="BY21" s="1148">
        <f t="shared" si="22"/>
        <v>-0.29665880457473015</v>
      </c>
      <c r="BZ21" s="1148">
        <f t="shared" si="22"/>
        <v>-6.1429678248600128E-3</v>
      </c>
      <c r="CA21" s="1148">
        <f t="shared" si="22"/>
        <v>-0.18922505390202637</v>
      </c>
      <c r="CB21" s="1148">
        <f t="shared" si="22"/>
        <v>-0.40010745635804923</v>
      </c>
      <c r="CC21" s="1148">
        <f t="shared" si="22"/>
        <v>0.5661416650604425</v>
      </c>
      <c r="CD21" s="1148"/>
    </row>
    <row r="22" spans="1:82" ht="10.5">
      <c r="A22" s="45"/>
      <c r="B22" s="45"/>
      <c r="C22" s="45"/>
      <c r="D22" s="45"/>
      <c r="E22" s="45"/>
      <c r="F22" s="45"/>
      <c r="G22" s="45"/>
      <c r="H22" s="45"/>
      <c r="I22" s="45"/>
      <c r="J22" s="45"/>
      <c r="K22" s="45"/>
      <c r="L22" s="45"/>
      <c r="M22" s="45"/>
      <c r="N22" s="45"/>
      <c r="O22" s="45"/>
      <c r="P22" s="45"/>
      <c r="Q22" s="45"/>
      <c r="R22" s="45"/>
      <c r="S22" s="45"/>
      <c r="AU22" s="1067"/>
      <c r="BN22" s="45"/>
    </row>
    <row r="23" spans="1:82" ht="10.5">
      <c r="A23" s="45" t="s">
        <v>888</v>
      </c>
      <c r="B23" s="45"/>
      <c r="C23" s="45"/>
      <c r="D23" s="45"/>
      <c r="E23" s="45"/>
      <c r="F23" s="45"/>
      <c r="G23" s="45"/>
      <c r="H23" s="45"/>
      <c r="I23" s="45"/>
      <c r="J23" s="45"/>
      <c r="K23" s="45"/>
      <c r="L23" s="45"/>
      <c r="M23" s="45"/>
      <c r="N23" s="45"/>
      <c r="O23" s="45"/>
      <c r="P23" s="45"/>
      <c r="Q23" s="45"/>
      <c r="R23" s="45"/>
      <c r="S23" s="45"/>
      <c r="AU23" s="1067"/>
      <c r="BN23" s="45"/>
    </row>
    <row r="24" spans="1:82">
      <c r="A24" s="843" t="str">
        <f>+A9</f>
        <v>AWS (cons. forecast)</v>
      </c>
      <c r="B24" s="12"/>
      <c r="C24" s="12"/>
      <c r="D24" s="12"/>
      <c r="E24" s="12"/>
      <c r="F24" s="12"/>
      <c r="G24" s="12"/>
      <c r="H24" s="12"/>
      <c r="I24" s="12"/>
      <c r="J24" s="12"/>
      <c r="K24" s="12"/>
      <c r="L24" s="12"/>
      <c r="M24" s="1145"/>
      <c r="N24" s="1145"/>
      <c r="O24" s="1145"/>
      <c r="P24" s="1145"/>
      <c r="Q24" s="1145"/>
      <c r="R24" s="1146">
        <v>0.43</v>
      </c>
      <c r="S24" s="1146">
        <v>0.42</v>
      </c>
      <c r="T24" s="1146">
        <v>0.42</v>
      </c>
      <c r="U24" s="1146">
        <v>0.44</v>
      </c>
      <c r="V24" s="1146">
        <v>0.49</v>
      </c>
      <c r="W24" s="1146">
        <v>0.49</v>
      </c>
      <c r="X24" s="1146">
        <v>0.46</v>
      </c>
      <c r="Y24" s="1146">
        <v>0.46</v>
      </c>
      <c r="Z24" s="1146">
        <v>0.42</v>
      </c>
      <c r="AA24" s="1146">
        <v>0.37</v>
      </c>
      <c r="AB24" s="1146">
        <v>0.35</v>
      </c>
      <c r="AC24" s="1146">
        <v>0.34</v>
      </c>
      <c r="AD24" s="1146">
        <v>0.33</v>
      </c>
      <c r="AE24" s="1146">
        <v>0.28999999999999998</v>
      </c>
      <c r="AF24" s="1146">
        <v>0.28999999999999998</v>
      </c>
      <c r="AG24" s="1146">
        <v>0.28000000000000003</v>
      </c>
      <c r="AH24" s="1146">
        <v>0.32</v>
      </c>
      <c r="AI24" s="1146">
        <v>0.37</v>
      </c>
      <c r="AJ24" s="1146">
        <v>0.39</v>
      </c>
      <c r="AK24" s="1146">
        <v>0.4</v>
      </c>
      <c r="AL24" s="1146">
        <v>0.37</v>
      </c>
      <c r="AM24" s="1146">
        <v>0.33</v>
      </c>
      <c r="AN24" s="1146">
        <v>0.28000000000000003</v>
      </c>
      <c r="AO24" s="1146">
        <v>0.2</v>
      </c>
      <c r="AP24" s="1146">
        <f>+AP14</f>
        <v>0.157963234097934</v>
      </c>
      <c r="AQ24" s="1146">
        <f t="shared" ref="AQ24:AY24" si="23">+AQ14</f>
        <v>0.12163736764780375</v>
      </c>
      <c r="AR24" s="1146">
        <f t="shared" si="23"/>
        <v>0.1227480767358069</v>
      </c>
      <c r="AS24" s="1146">
        <f t="shared" si="23"/>
        <v>0.13219197305641317</v>
      </c>
      <c r="AT24" s="1146">
        <f t="shared" si="23"/>
        <v>0.17247354125690739</v>
      </c>
      <c r="AU24" s="1147">
        <f t="shared" si="23"/>
        <v>0.17346431797651318</v>
      </c>
      <c r="AV24" s="1146">
        <f t="shared" si="23"/>
        <v>0.17835552278936651</v>
      </c>
      <c r="AW24" s="1146">
        <f t="shared" si="23"/>
        <v>0.1821888943976202</v>
      </c>
      <c r="AX24" s="1146">
        <f t="shared" si="23"/>
        <v>0.18036905380037549</v>
      </c>
      <c r="AY24" s="1146">
        <f t="shared" si="23"/>
        <v>0.18138219048902071</v>
      </c>
      <c r="AZ24" s="1145"/>
      <c r="BA24" s="1145"/>
      <c r="BB24" s="1145"/>
      <c r="BC24" s="1145"/>
      <c r="BD24" s="1145"/>
      <c r="BE24" s="1145"/>
      <c r="BF24" s="1145"/>
      <c r="BG24" s="1145"/>
      <c r="BH24" s="1145"/>
      <c r="BI24" s="1145"/>
      <c r="BN24" s="12"/>
      <c r="BS24" s="1148"/>
      <c r="BT24" s="1148"/>
      <c r="BU24" s="1148"/>
      <c r="BV24" s="1148"/>
      <c r="BW24" s="1148"/>
      <c r="BX24" s="1148"/>
      <c r="BY24" s="1148"/>
      <c r="BZ24" s="1148"/>
      <c r="CA24" s="1148"/>
      <c r="CB24" s="1148"/>
    </row>
    <row r="25" spans="1:82">
      <c r="A25" s="843" t="str">
        <f>+A15</f>
        <v>Azure</v>
      </c>
      <c r="B25" s="12"/>
      <c r="C25" s="12"/>
      <c r="D25" s="12"/>
      <c r="E25" s="12"/>
      <c r="F25" s="12"/>
      <c r="G25" s="12"/>
      <c r="H25" s="12"/>
      <c r="I25" s="12"/>
      <c r="J25" s="12"/>
      <c r="K25" s="12"/>
      <c r="L25" s="12"/>
      <c r="M25" s="1145"/>
      <c r="N25" s="1145"/>
      <c r="O25" s="1145"/>
      <c r="P25" s="1145">
        <v>1.21</v>
      </c>
      <c r="Q25" s="1145">
        <v>0.95</v>
      </c>
      <c r="R25" s="1146">
        <f>+'Historical Financials'!J634</f>
        <v>0.94</v>
      </c>
      <c r="S25" s="1146">
        <f>+'Historical Financials'!K634</f>
        <v>0.98</v>
      </c>
      <c r="T25" s="1146">
        <f>+'Historical Financials'!L634</f>
        <v>0.89</v>
      </c>
      <c r="U25" s="1146">
        <f>+'Historical Financials'!M634</f>
        <v>0.98</v>
      </c>
      <c r="V25" s="1146">
        <f>+'Historical Financials'!N634</f>
        <v>0.89</v>
      </c>
      <c r="W25" s="1146">
        <f>+'Historical Financials'!O634</f>
        <v>0.85</v>
      </c>
      <c r="X25" s="1146">
        <f>+'Historical Financials'!P634</f>
        <v>0.76</v>
      </c>
      <c r="Y25" s="1146">
        <f>+'Historical Financials'!Q634</f>
        <v>0.76</v>
      </c>
      <c r="Z25" s="1146">
        <f>+'Historical Financials'!R634</f>
        <v>0.75</v>
      </c>
      <c r="AA25" s="1146">
        <f>+'Historical Financials'!S634</f>
        <v>0.68</v>
      </c>
      <c r="AB25" s="1146">
        <f>+'Historical Financials'!T634</f>
        <v>0.63</v>
      </c>
      <c r="AC25" s="1146">
        <f>+'Historical Financials'!U634</f>
        <v>0.64</v>
      </c>
      <c r="AD25" s="1146">
        <f>+'Historical Financials'!V634</f>
        <v>0.61</v>
      </c>
      <c r="AE25" s="1146">
        <f>+'Historical Financials'!W634</f>
        <v>0.5</v>
      </c>
      <c r="AF25" s="1146">
        <f>+'Historical Financials'!X634</f>
        <v>0.47</v>
      </c>
      <c r="AG25" s="1146">
        <f>+'Historical Financials'!Y634</f>
        <v>0.48</v>
      </c>
      <c r="AH25" s="1146">
        <f>+'Historical Financials'!Z634</f>
        <v>0.46</v>
      </c>
      <c r="AI25" s="1146">
        <f>+'Historical Financials'!AA634</f>
        <v>0.45</v>
      </c>
      <c r="AJ25" s="1146">
        <f>+'Historical Financials'!AB634</f>
        <v>0.48</v>
      </c>
      <c r="AK25" s="1146">
        <f>+'Historical Financials'!AC634</f>
        <v>0.46</v>
      </c>
      <c r="AL25" s="1146">
        <f>+'Historical Financials'!AD634</f>
        <v>0.49</v>
      </c>
      <c r="AM25" s="1146">
        <f>+'Historical Financials'!AE634</f>
        <v>0.46</v>
      </c>
      <c r="AN25" s="1146">
        <f>+'Historical Financials'!AF634</f>
        <v>0.42</v>
      </c>
      <c r="AO25" s="1146">
        <f>+'Historical Financials'!AG634</f>
        <v>0.38</v>
      </c>
      <c r="AP25" s="1146">
        <f>+'Historical Financials'!AH634</f>
        <v>0.31</v>
      </c>
      <c r="AQ25" s="1146">
        <f>+'Historical Financials'!AI634</f>
        <v>0.27</v>
      </c>
      <c r="AR25" s="1146">
        <f>+'Historical Financials'!AJ634</f>
        <v>0.28000000000000003</v>
      </c>
      <c r="AS25" s="1146">
        <f>+'Historical Financials'!AK634</f>
        <v>0.28000000000000003</v>
      </c>
      <c r="AT25" s="1146">
        <f>+'Historical Financials'!AL634</f>
        <v>0.31</v>
      </c>
      <c r="AU25" s="1147">
        <f>+'Historical Financials'!AM634</f>
        <v>0.3</v>
      </c>
      <c r="AV25" s="1149">
        <v>0.28999999999999998</v>
      </c>
      <c r="AW25" s="1149">
        <v>0.28999999999999998</v>
      </c>
      <c r="AX25" s="1149">
        <v>0.3</v>
      </c>
      <c r="AY25" s="1149">
        <v>0.3</v>
      </c>
      <c r="AZ25" s="1145">
        <v>0.18131087085459141</v>
      </c>
      <c r="BA25" s="1145">
        <v>0.17094279522206435</v>
      </c>
      <c r="BB25" s="1145">
        <v>0.16170625770644365</v>
      </c>
      <c r="BC25" s="1145">
        <v>0.1523651815975664</v>
      </c>
      <c r="BD25" s="1145">
        <v>0.14461245294534542</v>
      </c>
      <c r="BE25" s="1145">
        <v>0.1344054202809768</v>
      </c>
      <c r="BF25" s="1145">
        <v>0.12520771924949847</v>
      </c>
      <c r="BG25" s="1145">
        <v>0.11690742981241242</v>
      </c>
      <c r="BH25" s="1145"/>
      <c r="BI25" s="1145"/>
      <c r="BN25" s="12" t="s">
        <v>889</v>
      </c>
      <c r="BS25" s="1148">
        <f>((N10*(1+R25))+(O10*(1+S25))+(P10*(1+T25))+(Q10*(1+U25)))/SUM(N10:Q10)-1</f>
        <v>0.94723163998574589</v>
      </c>
      <c r="BT25" s="1148">
        <f>((R10*(1+V25))+(S10*(1+W25))+(T10*(1+X25))+(U10*(1+Y25)))/SUM(R10:U10)-1</f>
        <v>0.80454074966440903</v>
      </c>
      <c r="BU25" s="1148">
        <f>((V10*(1+Z25))+(W10*(1+AA25))+(X10*(1+AB25))+(Y10*(1+AC25)))/SUM(V10:Y10)-1</f>
        <v>0.66795756993294453</v>
      </c>
      <c r="BV25" s="1148">
        <f>((Z10*(1+AD25))+(AA10*(1+AE25))+(AB10*(1+AF25))+(AC10*(1+AG25)))/SUM(Z10:AC10)-1</f>
        <v>0.50833240252921175</v>
      </c>
      <c r="BW25" s="1148">
        <f>((AD10*(1+AH25))+(AE10*(1+AI25))+(AF10*(1+AJ25))+(AG10*(1+AK25)))/SUM(AD10:AG10)-1</f>
        <v>0.46277144810182036</v>
      </c>
      <c r="BX25" s="1148">
        <f>((AH10*(1+AL25))+(AI10*(1+AM25))+(AJ10*(1+AN25))+(AK10*(1+AO25)))/SUM(AH10:AK10)-1</f>
        <v>0.43312748981885796</v>
      </c>
      <c r="BY25" s="1148">
        <f>((AL10*(1+AP25))+(AM10*(1+AQ25))+(AN10*(1+AR25))+(AO10*(1+AS25)))/SUM(AL10:AO10)-1</f>
        <v>0.28431073282680952</v>
      </c>
      <c r="BZ25" s="1148">
        <f>((AP10*(1+AT25))+(AQ10*(1+AU25))+(AR10*(1+AV25))+(AS10*(1+AW25)))/SUM(AP10:AS10)-1</f>
        <v>0.29689224576129614</v>
      </c>
      <c r="CA25" s="1148">
        <f>((AT10*(1+AX25))+(AU10*(1+AY25))+(AV10*(1+AZ25))+(AW10*(1+BA25)))/SUM(AT10:AW10)-1</f>
        <v>0.2339051094558513</v>
      </c>
      <c r="CB25" s="1148">
        <f>((AX10*(1+BB25))+(AY10*(1+BC25))+(AZ10*(1+BD25))+(BA10*(1+BE25)))/SUM(AX10:BA10)-1</f>
        <v>0.14813095134518561</v>
      </c>
    </row>
    <row r="26" spans="1:82">
      <c r="A26" s="843" t="str">
        <f>+A11</f>
        <v>Google Cloud (cons. forecast)</v>
      </c>
      <c r="B26" s="12"/>
      <c r="C26" s="12"/>
      <c r="D26" s="12"/>
      <c r="E26" s="12"/>
      <c r="F26" s="12"/>
      <c r="G26" s="1145"/>
      <c r="H26" s="1145"/>
      <c r="I26" s="1145"/>
      <c r="J26" s="1145"/>
      <c r="K26" s="1145"/>
      <c r="L26" s="1145"/>
      <c r="M26" s="1145"/>
      <c r="N26" s="1145"/>
      <c r="O26" s="1145"/>
      <c r="P26" s="1145"/>
      <c r="Q26" s="1145"/>
      <c r="R26" s="1146"/>
      <c r="S26" s="1146"/>
      <c r="T26" s="1146"/>
      <c r="U26" s="1146"/>
      <c r="V26" s="1146"/>
      <c r="W26" s="1146"/>
      <c r="X26" s="1146"/>
      <c r="Y26" s="1146"/>
      <c r="Z26" s="1146"/>
      <c r="AA26" s="1146"/>
      <c r="AB26" s="1146"/>
      <c r="AC26" s="1146" t="s">
        <v>273</v>
      </c>
      <c r="AD26" s="1146" t="s">
        <v>273</v>
      </c>
      <c r="AE26" s="1146" t="s">
        <v>273</v>
      </c>
      <c r="AF26" s="1146" t="s">
        <v>273</v>
      </c>
      <c r="AG26" s="1146" t="s">
        <v>273</v>
      </c>
      <c r="AH26" s="1146" t="s">
        <v>273</v>
      </c>
      <c r="AI26" s="1146" t="s">
        <v>273</v>
      </c>
      <c r="AJ26" s="1146" t="s">
        <v>273</v>
      </c>
      <c r="AK26" s="1146" t="s">
        <v>273</v>
      </c>
      <c r="AL26" s="1146" t="s">
        <v>273</v>
      </c>
      <c r="AM26" s="1146" t="s">
        <v>273</v>
      </c>
      <c r="AN26" s="1146" t="s">
        <v>273</v>
      </c>
      <c r="AO26" s="1146" t="s">
        <v>273</v>
      </c>
      <c r="AP26" s="1146" t="s">
        <v>273</v>
      </c>
      <c r="AQ26" s="1146" t="s">
        <v>273</v>
      </c>
      <c r="AR26" s="1146" t="s">
        <v>273</v>
      </c>
      <c r="AS26" s="1146" t="s">
        <v>273</v>
      </c>
      <c r="AT26" s="1146" t="s">
        <v>273</v>
      </c>
      <c r="AU26" s="1147" t="s">
        <v>273</v>
      </c>
      <c r="AV26" s="1146" t="s">
        <v>273</v>
      </c>
      <c r="AW26" s="1146" t="s">
        <v>273</v>
      </c>
      <c r="AX26" s="1146" t="s">
        <v>273</v>
      </c>
      <c r="AY26" s="1146" t="s">
        <v>273</v>
      </c>
      <c r="AZ26" s="1145"/>
      <c r="BA26" s="1145"/>
      <c r="BB26" s="1145"/>
      <c r="BC26" s="1145"/>
      <c r="BD26" s="1145"/>
      <c r="BE26" s="1145"/>
      <c r="BF26" s="1145"/>
      <c r="BG26" s="1145"/>
      <c r="BH26" s="1145"/>
      <c r="BI26" s="1145"/>
      <c r="BN26" s="12"/>
      <c r="BP26" s="1148"/>
      <c r="BQ26" s="1148"/>
      <c r="BR26" s="1148"/>
      <c r="BS26" s="1148"/>
      <c r="BT26" s="1148"/>
      <c r="BU26" s="1148"/>
      <c r="BV26" s="1148"/>
      <c r="BW26" s="1148"/>
      <c r="BX26" s="1148"/>
      <c r="BY26" s="1148"/>
      <c r="BZ26" s="1148"/>
      <c r="CA26" s="1148"/>
      <c r="CB26" s="1148"/>
      <c r="CC26" s="1148"/>
      <c r="CD26" s="1148"/>
    </row>
    <row r="27" spans="1:82" ht="10.5">
      <c r="A27" s="45"/>
      <c r="B27" s="45"/>
      <c r="C27" s="45"/>
      <c r="D27" s="45"/>
      <c r="E27" s="45"/>
      <c r="F27" s="45"/>
      <c r="G27" s="45"/>
      <c r="H27" s="45"/>
      <c r="I27" s="45"/>
      <c r="J27" s="45"/>
      <c r="K27" s="45"/>
      <c r="L27" s="45"/>
      <c r="M27" s="45"/>
      <c r="N27" s="45"/>
      <c r="O27" s="45"/>
      <c r="P27" s="45"/>
      <c r="Q27" s="45"/>
      <c r="R27" s="45"/>
      <c r="S27" s="45"/>
      <c r="AU27" s="1067"/>
      <c r="BN27" s="45"/>
    </row>
    <row r="28" spans="1:82" ht="10.5">
      <c r="A28" s="45" t="s">
        <v>890</v>
      </c>
      <c r="B28" s="45"/>
      <c r="C28" s="45"/>
      <c r="D28" s="45"/>
      <c r="E28" s="45"/>
      <c r="F28" s="45"/>
      <c r="G28" s="45"/>
      <c r="H28" s="45"/>
      <c r="I28" s="45"/>
      <c r="J28" s="45"/>
      <c r="K28" s="45"/>
      <c r="L28" s="45"/>
      <c r="M28" s="45"/>
      <c r="N28" s="45"/>
      <c r="O28" s="45"/>
      <c r="P28" s="45"/>
      <c r="Q28" s="45"/>
      <c r="R28" s="45"/>
      <c r="S28" s="45"/>
      <c r="AU28" s="1067"/>
      <c r="BN28" s="45"/>
    </row>
    <row r="29" spans="1:82">
      <c r="A29" s="843" t="str">
        <f>+A24</f>
        <v>AWS (cons. forecast)</v>
      </c>
      <c r="B29" s="12"/>
      <c r="C29" s="12"/>
      <c r="D29" s="12"/>
      <c r="E29" s="12"/>
      <c r="F29" s="1145" t="e">
        <f t="shared" ref="F29:Q29" si="24">F24/B24-1</f>
        <v>#DIV/0!</v>
      </c>
      <c r="G29" s="1145" t="e">
        <f t="shared" si="24"/>
        <v>#DIV/0!</v>
      </c>
      <c r="H29" s="1145" t="e">
        <f t="shared" si="24"/>
        <v>#DIV/0!</v>
      </c>
      <c r="I29" s="1145" t="e">
        <f t="shared" si="24"/>
        <v>#DIV/0!</v>
      </c>
      <c r="J29" s="1145" t="e">
        <f t="shared" si="24"/>
        <v>#DIV/0!</v>
      </c>
      <c r="K29" s="1145" t="e">
        <f t="shared" si="24"/>
        <v>#DIV/0!</v>
      </c>
      <c r="L29" s="1145" t="e">
        <f t="shared" si="24"/>
        <v>#DIV/0!</v>
      </c>
      <c r="M29" s="1145" t="e">
        <f t="shared" si="24"/>
        <v>#DIV/0!</v>
      </c>
      <c r="N29" s="1145" t="e">
        <f t="shared" si="24"/>
        <v>#DIV/0!</v>
      </c>
      <c r="O29" s="1145" t="e">
        <f t="shared" si="24"/>
        <v>#DIV/0!</v>
      </c>
      <c r="P29" s="1145" t="e">
        <f t="shared" si="24"/>
        <v>#DIV/0!</v>
      </c>
      <c r="Q29" s="1145" t="e">
        <f t="shared" si="24"/>
        <v>#DIV/0!</v>
      </c>
      <c r="R29" s="1146"/>
      <c r="S29" s="1146"/>
      <c r="T29" s="1146"/>
      <c r="U29" s="1146"/>
      <c r="V29" s="1146">
        <f t="shared" ref="V29:X29" si="25">+V24+R24</f>
        <v>0.91999999999999993</v>
      </c>
      <c r="W29" s="1146">
        <f t="shared" si="25"/>
        <v>0.90999999999999992</v>
      </c>
      <c r="X29" s="1146">
        <f t="shared" si="25"/>
        <v>0.88</v>
      </c>
      <c r="Y29" s="1146">
        <f>+Y24+U24</f>
        <v>0.9</v>
      </c>
      <c r="Z29" s="1146">
        <f t="shared" ref="Z29:AU30" si="26">+Z24+V24</f>
        <v>0.90999999999999992</v>
      </c>
      <c r="AA29" s="1146">
        <f t="shared" si="26"/>
        <v>0.86</v>
      </c>
      <c r="AB29" s="1146">
        <f t="shared" si="26"/>
        <v>0.81</v>
      </c>
      <c r="AC29" s="1146">
        <f t="shared" si="26"/>
        <v>0.8</v>
      </c>
      <c r="AD29" s="1146">
        <f t="shared" si="26"/>
        <v>0.75</v>
      </c>
      <c r="AE29" s="1146">
        <f t="shared" si="26"/>
        <v>0.65999999999999992</v>
      </c>
      <c r="AF29" s="1146">
        <f t="shared" si="26"/>
        <v>0.6399999999999999</v>
      </c>
      <c r="AG29" s="1146">
        <f t="shared" si="26"/>
        <v>0.62000000000000011</v>
      </c>
      <c r="AH29" s="1146">
        <f t="shared" si="26"/>
        <v>0.65</v>
      </c>
      <c r="AI29" s="1146">
        <f t="shared" si="26"/>
        <v>0.65999999999999992</v>
      </c>
      <c r="AJ29" s="1146">
        <f t="shared" si="26"/>
        <v>0.67999999999999994</v>
      </c>
      <c r="AK29" s="1146">
        <f t="shared" si="26"/>
        <v>0.68</v>
      </c>
      <c r="AL29" s="1146">
        <f t="shared" si="26"/>
        <v>0.69</v>
      </c>
      <c r="AM29" s="1146">
        <f t="shared" si="26"/>
        <v>0.7</v>
      </c>
      <c r="AN29" s="1146">
        <f t="shared" si="26"/>
        <v>0.67</v>
      </c>
      <c r="AO29" s="1146">
        <f t="shared" si="26"/>
        <v>0.60000000000000009</v>
      </c>
      <c r="AP29" s="1146">
        <f t="shared" si="26"/>
        <v>0.527963234097934</v>
      </c>
      <c r="AQ29" s="1146">
        <f t="shared" si="26"/>
        <v>0.45163736764780377</v>
      </c>
      <c r="AR29" s="1146">
        <f t="shared" si="26"/>
        <v>0.40274807673580693</v>
      </c>
      <c r="AS29" s="1146">
        <f t="shared" si="26"/>
        <v>0.33219197305641318</v>
      </c>
      <c r="AT29" s="1146">
        <f t="shared" si="26"/>
        <v>0.33043677535484139</v>
      </c>
      <c r="AU29" s="1147">
        <f t="shared" si="26"/>
        <v>0.29510168562431693</v>
      </c>
      <c r="AV29" s="1146">
        <f t="shared" ref="AV29:AV30" si="27">+AV24+AR24</f>
        <v>0.3011035995251734</v>
      </c>
      <c r="AW29" s="1146">
        <f t="shared" ref="AW29:AW30" si="28">+AW24+AS24</f>
        <v>0.31438086745403337</v>
      </c>
      <c r="AX29" s="1146">
        <f t="shared" ref="AX29:AX30" si="29">+AX24+AT24</f>
        <v>0.35284259505728288</v>
      </c>
      <c r="AY29" s="1146">
        <f t="shared" ref="AY29:AY30" si="30">+AY24+AU24</f>
        <v>0.35484650846553389</v>
      </c>
      <c r="AZ29" s="1148"/>
      <c r="BA29" s="1148"/>
      <c r="BB29" s="1148"/>
      <c r="BC29" s="1148"/>
      <c r="BD29" s="1148"/>
      <c r="BE29" s="1148"/>
      <c r="BF29" s="1148"/>
      <c r="BG29" s="1148"/>
      <c r="BH29" s="1148"/>
      <c r="BI29" s="1148"/>
      <c r="BN29" s="12" t="s">
        <v>886</v>
      </c>
      <c r="BO29" s="1148"/>
      <c r="BP29" s="1148" t="e">
        <f t="shared" ref="BP29:CC29" si="31">BP24/BO24-1</f>
        <v>#DIV/0!</v>
      </c>
      <c r="BQ29" s="1148" t="e">
        <f t="shared" si="31"/>
        <v>#DIV/0!</v>
      </c>
      <c r="BR29" s="1148" t="e">
        <f t="shared" si="31"/>
        <v>#DIV/0!</v>
      </c>
      <c r="BS29" s="1148" t="e">
        <f t="shared" si="31"/>
        <v>#DIV/0!</v>
      </c>
      <c r="BT29" s="1148" t="e">
        <f t="shared" si="31"/>
        <v>#DIV/0!</v>
      </c>
      <c r="BU29" s="1148" t="e">
        <f t="shared" si="31"/>
        <v>#DIV/0!</v>
      </c>
      <c r="BV29" s="1148" t="e">
        <f t="shared" si="31"/>
        <v>#DIV/0!</v>
      </c>
      <c r="BW29" s="1148" t="e">
        <f t="shared" si="31"/>
        <v>#DIV/0!</v>
      </c>
      <c r="BX29" s="1148" t="e">
        <f t="shared" si="31"/>
        <v>#DIV/0!</v>
      </c>
      <c r="BY29" s="1148" t="e">
        <f t="shared" si="31"/>
        <v>#DIV/0!</v>
      </c>
      <c r="BZ29" s="1148" t="e">
        <f t="shared" si="31"/>
        <v>#DIV/0!</v>
      </c>
      <c r="CA29" s="1148" t="e">
        <f t="shared" si="31"/>
        <v>#DIV/0!</v>
      </c>
      <c r="CB29" s="1148" t="e">
        <f t="shared" si="31"/>
        <v>#DIV/0!</v>
      </c>
      <c r="CC29" s="1148" t="e">
        <f t="shared" si="31"/>
        <v>#DIV/0!</v>
      </c>
      <c r="CD29" s="1148"/>
    </row>
    <row r="30" spans="1:82">
      <c r="A30" s="843" t="str">
        <f>+A25</f>
        <v>Azure</v>
      </c>
      <c r="B30" s="1124"/>
      <c r="C30" s="1124"/>
      <c r="D30" s="1124"/>
      <c r="E30" s="1124"/>
      <c r="F30" s="1124"/>
      <c r="G30" s="1124"/>
      <c r="H30" s="1124"/>
      <c r="I30" s="1124"/>
      <c r="J30" s="1117"/>
      <c r="K30" s="1117"/>
      <c r="L30" s="1117"/>
      <c r="M30" s="1117"/>
      <c r="N30" s="1117"/>
      <c r="O30" s="1117"/>
      <c r="P30" s="1117"/>
      <c r="Q30" s="1117"/>
      <c r="R30" s="1146"/>
      <c r="S30" s="1146"/>
      <c r="T30" s="1146"/>
      <c r="U30" s="1146"/>
      <c r="V30" s="1146">
        <f t="shared" ref="V30" si="32">+V25+R25</f>
        <v>1.83</v>
      </c>
      <c r="W30" s="1146">
        <f t="shared" ref="W30" si="33">+W25+S25</f>
        <v>1.83</v>
      </c>
      <c r="X30" s="1146">
        <f t="shared" ref="X30:Y30" si="34">+X25+T25</f>
        <v>1.65</v>
      </c>
      <c r="Y30" s="1146">
        <f t="shared" si="34"/>
        <v>1.74</v>
      </c>
      <c r="Z30" s="1146">
        <f t="shared" si="26"/>
        <v>1.6400000000000001</v>
      </c>
      <c r="AA30" s="1146">
        <f t="shared" si="26"/>
        <v>1.53</v>
      </c>
      <c r="AB30" s="1146">
        <f t="shared" si="26"/>
        <v>1.3900000000000001</v>
      </c>
      <c r="AC30" s="1146">
        <f t="shared" si="26"/>
        <v>1.4</v>
      </c>
      <c r="AD30" s="1146">
        <f t="shared" si="26"/>
        <v>1.3599999999999999</v>
      </c>
      <c r="AE30" s="1146">
        <f t="shared" si="26"/>
        <v>1.1800000000000002</v>
      </c>
      <c r="AF30" s="1146">
        <f t="shared" si="26"/>
        <v>1.1000000000000001</v>
      </c>
      <c r="AG30" s="1146">
        <f t="shared" si="26"/>
        <v>1.1200000000000001</v>
      </c>
      <c r="AH30" s="1146">
        <f t="shared" si="26"/>
        <v>1.07</v>
      </c>
      <c r="AI30" s="1146">
        <f t="shared" si="26"/>
        <v>0.95</v>
      </c>
      <c r="AJ30" s="1146">
        <f t="shared" si="26"/>
        <v>0.95</v>
      </c>
      <c r="AK30" s="1146">
        <f t="shared" si="26"/>
        <v>0.94</v>
      </c>
      <c r="AL30" s="1146">
        <f t="shared" si="26"/>
        <v>0.95</v>
      </c>
      <c r="AM30" s="1146">
        <f t="shared" si="26"/>
        <v>0.91</v>
      </c>
      <c r="AN30" s="1146">
        <f t="shared" si="26"/>
        <v>0.89999999999999991</v>
      </c>
      <c r="AO30" s="1146">
        <f t="shared" si="26"/>
        <v>0.84000000000000008</v>
      </c>
      <c r="AP30" s="1146">
        <f t="shared" si="26"/>
        <v>0.8</v>
      </c>
      <c r="AQ30" s="1146">
        <f t="shared" si="26"/>
        <v>0.73</v>
      </c>
      <c r="AR30" s="1146">
        <f t="shared" si="26"/>
        <v>0.7</v>
      </c>
      <c r="AS30" s="1146">
        <f t="shared" si="26"/>
        <v>0.66</v>
      </c>
      <c r="AT30" s="1146">
        <f t="shared" si="26"/>
        <v>0.62</v>
      </c>
      <c r="AU30" s="1147">
        <f t="shared" si="26"/>
        <v>0.57000000000000006</v>
      </c>
      <c r="AV30" s="1146">
        <f t="shared" si="27"/>
        <v>0.57000000000000006</v>
      </c>
      <c r="AW30" s="1146">
        <f t="shared" si="28"/>
        <v>0.57000000000000006</v>
      </c>
      <c r="AX30" s="1146">
        <f t="shared" si="29"/>
        <v>0.61</v>
      </c>
      <c r="AY30" s="1146">
        <f t="shared" si="30"/>
        <v>0.6</v>
      </c>
      <c r="AZ30" s="1118"/>
      <c r="BA30" s="1118"/>
      <c r="BB30" s="1118"/>
      <c r="BC30" s="1118"/>
      <c r="BD30" s="1118"/>
      <c r="BE30" s="1118"/>
      <c r="BF30" s="1118"/>
      <c r="BG30" s="1118"/>
      <c r="BH30" s="1118"/>
      <c r="BI30" s="1118"/>
      <c r="BO30" s="1118"/>
      <c r="BP30" s="1119"/>
      <c r="BQ30" s="1119"/>
      <c r="BR30" s="1119"/>
      <c r="BS30" s="1119"/>
      <c r="BT30" s="1119"/>
      <c r="BU30" s="1119"/>
      <c r="BV30" s="1119"/>
      <c r="BW30" s="1119"/>
      <c r="BX30" s="1119"/>
      <c r="BY30" s="1119"/>
      <c r="BZ30" s="1119"/>
      <c r="CA30" s="1119"/>
      <c r="CB30" s="1119"/>
      <c r="CC30" s="1119"/>
      <c r="CD30" s="1119"/>
    </row>
    <row r="31" spans="1:82">
      <c r="A31" s="843" t="str">
        <f>+A16</f>
        <v>Google Cloud (cons. forecast)</v>
      </c>
      <c r="B31" s="12"/>
      <c r="C31" s="12"/>
      <c r="D31" s="12"/>
      <c r="E31" s="12"/>
      <c r="F31" s="12"/>
      <c r="G31" s="1145"/>
      <c r="H31" s="1145"/>
      <c r="I31" s="1145"/>
      <c r="J31" s="1145"/>
      <c r="K31" s="1145"/>
      <c r="L31" s="1145"/>
      <c r="M31" s="1145"/>
      <c r="N31" s="1145"/>
      <c r="O31" s="1145"/>
      <c r="P31" s="1145"/>
      <c r="Q31" s="1145"/>
      <c r="R31" s="1146"/>
      <c r="S31" s="1146"/>
      <c r="T31" s="1146"/>
      <c r="U31" s="1146"/>
      <c r="V31" s="1146"/>
      <c r="W31" s="1146"/>
      <c r="X31" s="1146"/>
      <c r="Y31" s="1146"/>
      <c r="Z31" s="1146"/>
      <c r="AA31" s="1146"/>
      <c r="AB31" s="1146"/>
      <c r="AC31" s="1146" t="s">
        <v>273</v>
      </c>
      <c r="AD31" s="1146" t="s">
        <v>273</v>
      </c>
      <c r="AE31" s="1146" t="s">
        <v>273</v>
      </c>
      <c r="AF31" s="1146" t="s">
        <v>273</v>
      </c>
      <c r="AG31" s="1146" t="s">
        <v>273</v>
      </c>
      <c r="AH31" s="1146" t="s">
        <v>273</v>
      </c>
      <c r="AI31" s="1146" t="s">
        <v>273</v>
      </c>
      <c r="AJ31" s="1146" t="s">
        <v>273</v>
      </c>
      <c r="AK31" s="1146" t="s">
        <v>273</v>
      </c>
      <c r="AL31" s="1146" t="s">
        <v>273</v>
      </c>
      <c r="AM31" s="1146" t="s">
        <v>273</v>
      </c>
      <c r="AN31" s="1146" t="s">
        <v>273</v>
      </c>
      <c r="AO31" s="1146" t="s">
        <v>273</v>
      </c>
      <c r="AP31" s="1146" t="s">
        <v>273</v>
      </c>
      <c r="AQ31" s="1146" t="s">
        <v>273</v>
      </c>
      <c r="AR31" s="1146" t="s">
        <v>273</v>
      </c>
      <c r="AS31" s="1146" t="s">
        <v>273</v>
      </c>
      <c r="AT31" s="1146" t="s">
        <v>273</v>
      </c>
      <c r="AU31" s="1147" t="s">
        <v>273</v>
      </c>
      <c r="AV31" s="1146" t="s">
        <v>273</v>
      </c>
      <c r="AW31" s="1146" t="s">
        <v>273</v>
      </c>
      <c r="AX31" s="1146" t="s">
        <v>273</v>
      </c>
      <c r="AY31" s="1146" t="s">
        <v>273</v>
      </c>
      <c r="AZ31" s="1145"/>
      <c r="BA31" s="1145"/>
      <c r="BB31" s="1145"/>
      <c r="BC31" s="1145"/>
      <c r="BD31" s="1145"/>
      <c r="BE31" s="1145"/>
      <c r="BF31" s="1145"/>
      <c r="BG31" s="1145"/>
      <c r="BH31" s="1145"/>
      <c r="BI31" s="1145"/>
      <c r="BN31" s="12"/>
      <c r="BP31" s="1148"/>
      <c r="BQ31" s="1148"/>
      <c r="BR31" s="1148"/>
      <c r="BS31" s="1148"/>
      <c r="BT31" s="1148"/>
      <c r="BU31" s="1148"/>
      <c r="BV31" s="1148"/>
      <c r="BW31" s="1148"/>
      <c r="BX31" s="1148"/>
      <c r="BY31" s="1148"/>
      <c r="BZ31" s="1148"/>
      <c r="CA31" s="1148"/>
      <c r="CB31" s="1148"/>
      <c r="CC31" s="1148"/>
      <c r="CD31" s="1148"/>
    </row>
    <row r="32" spans="1:82">
      <c r="A32" s="843"/>
      <c r="B32" s="12"/>
      <c r="C32" s="12"/>
      <c r="D32" s="12"/>
      <c r="E32" s="12"/>
      <c r="F32" s="12"/>
      <c r="G32" s="1145"/>
      <c r="H32" s="1145"/>
      <c r="I32" s="1145"/>
      <c r="J32" s="1145"/>
      <c r="K32" s="1145"/>
      <c r="L32" s="1145"/>
      <c r="M32" s="1145"/>
      <c r="N32" s="1145"/>
      <c r="O32" s="1145"/>
      <c r="P32" s="1145"/>
      <c r="Q32" s="1145"/>
      <c r="R32" s="1146"/>
      <c r="S32" s="1146"/>
      <c r="T32" s="1146"/>
      <c r="U32" s="1146"/>
      <c r="V32" s="1146"/>
      <c r="W32" s="1146"/>
      <c r="X32" s="1146"/>
      <c r="Y32" s="1146"/>
      <c r="Z32" s="1146"/>
      <c r="AA32" s="1146"/>
      <c r="AB32" s="1146"/>
      <c r="AC32" s="1146"/>
      <c r="AD32" s="1146"/>
      <c r="AE32" s="1146"/>
      <c r="AF32" s="1146"/>
      <c r="AG32" s="1146"/>
      <c r="AH32" s="1146"/>
      <c r="AI32" s="1146"/>
      <c r="AJ32" s="1146"/>
      <c r="AK32" s="1146"/>
      <c r="AL32" s="1146"/>
      <c r="AM32" s="1146"/>
      <c r="AN32" s="1146"/>
      <c r="AO32" s="1146"/>
      <c r="AP32" s="1146"/>
      <c r="AQ32" s="1146"/>
      <c r="AR32" s="1146"/>
      <c r="AS32" s="1146"/>
      <c r="AT32" s="1146"/>
      <c r="AU32" s="1147"/>
      <c r="AV32" s="1146"/>
      <c r="AW32" s="1146"/>
      <c r="AX32" s="1146"/>
      <c r="AY32" s="1146"/>
      <c r="AZ32" s="1145"/>
      <c r="BA32" s="1145"/>
      <c r="BB32" s="1145"/>
      <c r="BC32" s="1145"/>
      <c r="BD32" s="1145"/>
      <c r="BE32" s="1145"/>
      <c r="BF32" s="1145"/>
      <c r="BG32" s="1145"/>
      <c r="BH32" s="1145"/>
      <c r="BI32" s="1145"/>
      <c r="BN32" s="12"/>
      <c r="BP32" s="1148"/>
      <c r="BQ32" s="1148"/>
      <c r="BR32" s="1148"/>
      <c r="BS32" s="1148"/>
      <c r="BT32" s="1148"/>
      <c r="BU32" s="1148"/>
      <c r="BV32" s="1148"/>
      <c r="BW32" s="1148"/>
      <c r="BX32" s="1148"/>
      <c r="BY32" s="1148"/>
      <c r="BZ32" s="1148"/>
      <c r="CA32" s="1148"/>
      <c r="CB32" s="1148"/>
      <c r="CC32" s="1148"/>
      <c r="CD32" s="1148"/>
    </row>
    <row r="33" spans="1:82" ht="10.5">
      <c r="A33" s="45" t="s">
        <v>891</v>
      </c>
      <c r="B33" s="45"/>
      <c r="C33" s="45"/>
      <c r="D33" s="45"/>
      <c r="E33" s="45"/>
      <c r="F33" s="45"/>
      <c r="G33" s="45"/>
      <c r="H33" s="45"/>
      <c r="I33" s="45"/>
      <c r="J33" s="45"/>
      <c r="K33" s="45"/>
      <c r="L33" s="45"/>
      <c r="M33" s="45"/>
      <c r="N33" s="45"/>
      <c r="O33" s="45"/>
      <c r="P33" s="45"/>
      <c r="Q33" s="45"/>
      <c r="R33" s="45"/>
      <c r="S33" s="45"/>
      <c r="AU33" s="1067"/>
      <c r="BA33" s="1153"/>
      <c r="BN33" s="45"/>
    </row>
    <row r="34" spans="1:82" ht="10.5">
      <c r="A34" s="843" t="str">
        <f>+A44</f>
        <v>AWS (cons. forecast)</v>
      </c>
      <c r="B34" s="45"/>
      <c r="C34" s="45"/>
      <c r="D34" s="45"/>
      <c r="E34" s="45"/>
      <c r="F34" s="45"/>
      <c r="G34" s="45"/>
      <c r="H34" s="45"/>
      <c r="I34" s="45"/>
      <c r="J34" s="45"/>
      <c r="K34" s="45"/>
      <c r="L34" s="45"/>
      <c r="M34" s="45"/>
      <c r="N34" s="45"/>
      <c r="O34" s="45"/>
      <c r="P34" s="45"/>
      <c r="Q34" s="45"/>
      <c r="R34" s="45"/>
      <c r="S34" s="45"/>
      <c r="Y34" s="1146">
        <f t="shared" ref="Y34:AU34" si="35">+Y9/Y$58</f>
        <v>0.61308495474615499</v>
      </c>
      <c r="Z34" s="1146">
        <f t="shared" si="35"/>
        <v>0.60010550274076313</v>
      </c>
      <c r="AA34" s="1146">
        <f t="shared" si="35"/>
        <v>0.5778223915520263</v>
      </c>
      <c r="AB34" s="1146">
        <f t="shared" si="35"/>
        <v>0.57320485790533748</v>
      </c>
      <c r="AC34" s="1146">
        <f t="shared" si="35"/>
        <v>0.57220202013195143</v>
      </c>
      <c r="AD34" s="1146">
        <f t="shared" si="35"/>
        <v>0.56017488555382655</v>
      </c>
      <c r="AE34" s="1146">
        <f t="shared" si="35"/>
        <v>0.54800553619577697</v>
      </c>
      <c r="AF34" s="1146">
        <f t="shared" si="35"/>
        <v>0.54127518860294954</v>
      </c>
      <c r="AG34" s="1146">
        <f t="shared" si="35"/>
        <v>0.53509375285292504</v>
      </c>
      <c r="AH34" s="1146">
        <f t="shared" si="35"/>
        <v>0.53144675223179061</v>
      </c>
      <c r="AI34" s="1146">
        <f t="shared" si="35"/>
        <v>0.52209150506734225</v>
      </c>
      <c r="AJ34" s="1146">
        <f t="shared" si="35"/>
        <v>0.5251159513141298</v>
      </c>
      <c r="AK34" s="1146">
        <f t="shared" si="35"/>
        <v>0.52476568911957244</v>
      </c>
      <c r="AL34" s="1146">
        <f t="shared" si="35"/>
        <v>0.51668444408063385</v>
      </c>
      <c r="AM34" s="1146">
        <f t="shared" si="35"/>
        <v>0.51315391511235642</v>
      </c>
      <c r="AN34" s="1146">
        <f t="shared" si="35"/>
        <v>0.50955192775269187</v>
      </c>
      <c r="AO34" s="1146">
        <f t="shared" si="35"/>
        <v>0.50220823153542571</v>
      </c>
      <c r="AP34" s="1146">
        <f t="shared" si="35"/>
        <v>0.4929036541094442</v>
      </c>
      <c r="AQ34" s="1146">
        <f t="shared" si="35"/>
        <v>0.48278089336593477</v>
      </c>
      <c r="AR34" s="1146">
        <f t="shared" si="35"/>
        <v>0.47928748103344349</v>
      </c>
      <c r="AS34" s="1146">
        <f t="shared" si="35"/>
        <v>0.47058823529411764</v>
      </c>
      <c r="AT34" s="1146">
        <f t="shared" si="35"/>
        <v>0.46688628788869219</v>
      </c>
      <c r="AU34" s="1147">
        <f t="shared" si="35"/>
        <v>0.4618228174037623</v>
      </c>
      <c r="AV34" s="1146">
        <f t="shared" ref="AV34:AY34" si="36">+AV9/AV$58</f>
        <v>0.45877682874287418</v>
      </c>
      <c r="AW34" s="1146">
        <f t="shared" si="36"/>
        <v>0.45203404894200649</v>
      </c>
      <c r="AX34" s="1146">
        <f t="shared" si="36"/>
        <v>0.45110878142596345</v>
      </c>
      <c r="AY34" s="1146">
        <f t="shared" si="36"/>
        <v>0.44394459619882726</v>
      </c>
      <c r="BA34" s="1153"/>
      <c r="BN34" s="45"/>
    </row>
    <row r="35" spans="1:82" ht="10.5">
      <c r="A35" s="843" t="str">
        <f>+A25</f>
        <v>Azure</v>
      </c>
      <c r="B35" s="45"/>
      <c r="C35" s="45"/>
      <c r="D35" s="45"/>
      <c r="E35" s="45"/>
      <c r="F35" s="45"/>
      <c r="G35" s="45"/>
      <c r="H35" s="45"/>
      <c r="I35" s="45"/>
      <c r="J35" s="45"/>
      <c r="K35" s="45"/>
      <c r="L35" s="45"/>
      <c r="M35" s="45"/>
      <c r="N35" s="45"/>
      <c r="O35" s="45"/>
      <c r="P35" s="45"/>
      <c r="Q35" s="45"/>
      <c r="R35" s="45"/>
      <c r="S35" s="45"/>
      <c r="Y35" s="1146">
        <f t="shared" ref="Y35:AU35" si="37">+Y10/Y$58</f>
        <v>0.24589725418235386</v>
      </c>
      <c r="Z35" s="1146">
        <f t="shared" si="37"/>
        <v>0.25758777396117405</v>
      </c>
      <c r="AA35" s="1146">
        <f t="shared" si="37"/>
        <v>0.27739452501410483</v>
      </c>
      <c r="AB35" s="1146">
        <f t="shared" si="37"/>
        <v>0.27519376833626358</v>
      </c>
      <c r="AC35" s="1146">
        <f t="shared" si="37"/>
        <v>0.2775331536047454</v>
      </c>
      <c r="AD35" s="1146">
        <f t="shared" si="37"/>
        <v>0.28759831562212251</v>
      </c>
      <c r="AE35" s="1146">
        <f t="shared" si="37"/>
        <v>0.29952845276233714</v>
      </c>
      <c r="AF35" s="1146">
        <f t="shared" si="37"/>
        <v>0.29803592685704894</v>
      </c>
      <c r="AG35" s="1146">
        <f t="shared" si="37"/>
        <v>0.30402536760072774</v>
      </c>
      <c r="AH35" s="1146">
        <f t="shared" si="37"/>
        <v>0.30927271705043891</v>
      </c>
      <c r="AI35" s="1146">
        <f t="shared" si="37"/>
        <v>0.31474828928395371</v>
      </c>
      <c r="AJ35" s="1146">
        <f t="shared" si="37"/>
        <v>0.31223174595107778</v>
      </c>
      <c r="AK35" s="1146">
        <f t="shared" si="37"/>
        <v>0.3116951273364707</v>
      </c>
      <c r="AL35" s="1146">
        <f t="shared" si="37"/>
        <v>0.32022135555098202</v>
      </c>
      <c r="AM35" s="1146">
        <f t="shared" si="37"/>
        <v>0.32368918883185815</v>
      </c>
      <c r="AN35" s="1146">
        <f t="shared" si="37"/>
        <v>0.32005160522006648</v>
      </c>
      <c r="AO35" s="1146">
        <f t="shared" si="37"/>
        <v>0.32594906972373616</v>
      </c>
      <c r="AP35" s="1146">
        <f t="shared" si="37"/>
        <v>0.3350394086548249</v>
      </c>
      <c r="AQ35" s="1146">
        <f t="shared" si="37"/>
        <v>0.34209655222476892</v>
      </c>
      <c r="AR35" s="1146">
        <f t="shared" si="37"/>
        <v>0.34588763484442225</v>
      </c>
      <c r="AS35" s="1146">
        <f t="shared" si="37"/>
        <v>0.35069555834232552</v>
      </c>
      <c r="AT35" s="1146">
        <f t="shared" si="37"/>
        <v>0.35457917042315268</v>
      </c>
      <c r="AU35" s="1147">
        <f t="shared" si="37"/>
        <v>0.35974422552847662</v>
      </c>
      <c r="AV35" s="1146">
        <f t="shared" ref="AV35:AY35" si="38">+AV10/AV$58</f>
        <v>0.36302561090748647</v>
      </c>
      <c r="AW35" s="1146">
        <f t="shared" si="38"/>
        <v>0.3672231057095941</v>
      </c>
      <c r="AX35" s="1146">
        <f t="shared" si="38"/>
        <v>0.37318212799428752</v>
      </c>
      <c r="AY35" s="1146">
        <f t="shared" si="38"/>
        <v>0.37790131632879453</v>
      </c>
      <c r="BN35" s="45"/>
    </row>
    <row r="36" spans="1:82" ht="10.5">
      <c r="A36" s="843" t="str">
        <f>+A46</f>
        <v>Google Cloud (cons. forecast)</v>
      </c>
      <c r="B36" s="45"/>
      <c r="C36" s="45"/>
      <c r="D36" s="45"/>
      <c r="E36" s="45"/>
      <c r="F36" s="45"/>
      <c r="G36" s="45"/>
      <c r="H36" s="45"/>
      <c r="I36" s="45"/>
      <c r="J36" s="45"/>
      <c r="K36" s="45"/>
      <c r="L36" s="45"/>
      <c r="M36" s="45"/>
      <c r="N36" s="45"/>
      <c r="O36" s="45"/>
      <c r="P36" s="45"/>
      <c r="Q36" s="45"/>
      <c r="R36" s="45"/>
      <c r="S36" s="45"/>
      <c r="Y36" s="1146">
        <f t="shared" ref="Y36:AU36" si="39">+Y11/Y$58</f>
        <v>0.14101779107149112</v>
      </c>
      <c r="Z36" s="1146">
        <f t="shared" si="39"/>
        <v>0.14230672329806296</v>
      </c>
      <c r="AA36" s="1146">
        <f t="shared" si="39"/>
        <v>0.14478308343386889</v>
      </c>
      <c r="AB36" s="1146">
        <f t="shared" si="39"/>
        <v>0.15160137375839888</v>
      </c>
      <c r="AC36" s="1146">
        <f t="shared" si="39"/>
        <v>0.15026482626330329</v>
      </c>
      <c r="AD36" s="1146">
        <f t="shared" si="39"/>
        <v>0.15222679882405094</v>
      </c>
      <c r="AE36" s="1146">
        <f t="shared" si="39"/>
        <v>0.15246601104188576</v>
      </c>
      <c r="AF36" s="1146">
        <f t="shared" si="39"/>
        <v>0.16068888454000158</v>
      </c>
      <c r="AG36" s="1146">
        <f t="shared" si="39"/>
        <v>0.16088087954634719</v>
      </c>
      <c r="AH36" s="1146">
        <f t="shared" si="39"/>
        <v>0.1592805307177706</v>
      </c>
      <c r="AI36" s="1146">
        <f t="shared" si="39"/>
        <v>0.16316020564870415</v>
      </c>
      <c r="AJ36" s="1146">
        <f t="shared" si="39"/>
        <v>0.16265230273479253</v>
      </c>
      <c r="AK36" s="1146">
        <f t="shared" si="39"/>
        <v>0.16353918354395675</v>
      </c>
      <c r="AL36" s="1146">
        <f t="shared" si="39"/>
        <v>0.16309420036838401</v>
      </c>
      <c r="AM36" s="1146">
        <f t="shared" si="39"/>
        <v>0.16315689605578543</v>
      </c>
      <c r="AN36" s="1146">
        <f t="shared" si="39"/>
        <v>0.17039646702724159</v>
      </c>
      <c r="AO36" s="1146">
        <f t="shared" si="39"/>
        <v>0.17184269874083818</v>
      </c>
      <c r="AP36" s="1146">
        <f t="shared" si="39"/>
        <v>0.17205693723573087</v>
      </c>
      <c r="AQ36" s="1146">
        <f t="shared" si="39"/>
        <v>0.17512255440929639</v>
      </c>
      <c r="AR36" s="1146">
        <f t="shared" si="39"/>
        <v>0.17482488412213423</v>
      </c>
      <c r="AS36" s="1146">
        <f t="shared" si="39"/>
        <v>0.17871620636355681</v>
      </c>
      <c r="AT36" s="1146">
        <f t="shared" si="39"/>
        <v>0.17853454168815508</v>
      </c>
      <c r="AU36" s="1147">
        <f t="shared" si="39"/>
        <v>0.17843295706776105</v>
      </c>
      <c r="AV36" s="1146">
        <f t="shared" ref="AV36:AY36" si="40">+AV11/AV$58</f>
        <v>0.17819756034963929</v>
      </c>
      <c r="AW36" s="1146">
        <f t="shared" si="40"/>
        <v>0.18074284534839941</v>
      </c>
      <c r="AX36" s="1146">
        <f t="shared" si="40"/>
        <v>0.17570909057974904</v>
      </c>
      <c r="AY36" s="1146">
        <f t="shared" si="40"/>
        <v>0.17815408747237815</v>
      </c>
      <c r="BN36" s="45"/>
    </row>
    <row r="37" spans="1:82" ht="10.5">
      <c r="A37" s="45"/>
      <c r="B37" s="45"/>
      <c r="C37" s="45"/>
      <c r="D37" s="45"/>
      <c r="E37" s="45"/>
      <c r="F37" s="45"/>
      <c r="G37" s="45"/>
      <c r="H37" s="45"/>
      <c r="I37" s="45"/>
      <c r="J37" s="45"/>
      <c r="K37" s="45"/>
      <c r="L37" s="45"/>
      <c r="M37" s="45"/>
      <c r="N37" s="45"/>
      <c r="O37" s="45"/>
      <c r="P37" s="45"/>
      <c r="Q37" s="45"/>
      <c r="R37" s="45"/>
      <c r="S37" s="45"/>
      <c r="AU37" s="1067"/>
      <c r="BN37" s="45"/>
    </row>
    <row r="38" spans="1:82" ht="10.5">
      <c r="A38" s="45" t="s">
        <v>892</v>
      </c>
      <c r="B38" s="45"/>
      <c r="C38" s="45"/>
      <c r="D38" s="45"/>
      <c r="E38" s="45"/>
      <c r="F38" s="45"/>
      <c r="G38" s="45"/>
      <c r="H38" s="45"/>
      <c r="I38" s="45"/>
      <c r="J38" s="45"/>
      <c r="K38" s="45"/>
      <c r="L38" s="45"/>
      <c r="M38" s="45"/>
      <c r="N38" s="45"/>
      <c r="O38" s="45"/>
      <c r="P38" s="45"/>
      <c r="Q38" s="45"/>
      <c r="R38" s="45"/>
      <c r="S38" s="45"/>
      <c r="AU38" s="1067"/>
      <c r="BN38" s="45"/>
    </row>
    <row r="39" spans="1:82" ht="10.5">
      <c r="A39" s="843" t="str">
        <f>+A14</f>
        <v>AWS (cons. forecast)</v>
      </c>
      <c r="B39" s="45"/>
      <c r="C39" s="45"/>
      <c r="D39" s="45"/>
      <c r="E39" s="45"/>
      <c r="F39" s="45"/>
      <c r="G39" s="45"/>
      <c r="H39" s="45"/>
      <c r="I39" s="45"/>
      <c r="J39" s="45"/>
      <c r="K39" s="45"/>
      <c r="L39" s="45"/>
      <c r="M39" s="45"/>
      <c r="N39" s="45"/>
      <c r="O39" s="45"/>
      <c r="P39" s="45"/>
      <c r="Q39" s="45"/>
      <c r="R39" s="45"/>
      <c r="S39" s="45"/>
      <c r="Y39" s="1146"/>
      <c r="Z39" s="1150">
        <f>+Z34-Y34</f>
        <v>-1.2979452005391856E-2</v>
      </c>
      <c r="AA39" s="1150">
        <f t="shared" ref="AA39:AU39" si="41">+AA34-Z34</f>
        <v>-2.2283111188736826E-2</v>
      </c>
      <c r="AB39" s="1150">
        <f t="shared" si="41"/>
        <v>-4.6175336466888206E-3</v>
      </c>
      <c r="AC39" s="1150">
        <f t="shared" si="41"/>
        <v>-1.0028377733860561E-3</v>
      </c>
      <c r="AD39" s="1150">
        <f t="shared" si="41"/>
        <v>-1.2027134578124876E-2</v>
      </c>
      <c r="AE39" s="1150">
        <f t="shared" si="41"/>
        <v>-1.2169349358049586E-2</v>
      </c>
      <c r="AF39" s="1150">
        <f t="shared" si="41"/>
        <v>-6.7303475928274237E-3</v>
      </c>
      <c r="AG39" s="1150">
        <f t="shared" si="41"/>
        <v>-6.1814357500244999E-3</v>
      </c>
      <c r="AH39" s="1150">
        <f t="shared" si="41"/>
        <v>-3.647000621134433E-3</v>
      </c>
      <c r="AI39" s="1150">
        <f t="shared" si="41"/>
        <v>-9.3552471644483548E-3</v>
      </c>
      <c r="AJ39" s="1150">
        <f t="shared" si="41"/>
        <v>3.0244462467875488E-3</v>
      </c>
      <c r="AK39" s="1150">
        <f t="shared" si="41"/>
        <v>-3.502621945573603E-4</v>
      </c>
      <c r="AL39" s="1150">
        <f t="shared" si="41"/>
        <v>-8.0812450389385893E-3</v>
      </c>
      <c r="AM39" s="1150">
        <f t="shared" si="41"/>
        <v>-3.5305289682774355E-3</v>
      </c>
      <c r="AN39" s="1150">
        <f t="shared" si="41"/>
        <v>-3.6019873596645491E-3</v>
      </c>
      <c r="AO39" s="1150">
        <f t="shared" si="41"/>
        <v>-7.3436962172661602E-3</v>
      </c>
      <c r="AP39" s="1150">
        <f t="shared" si="41"/>
        <v>-9.3045774259815084E-3</v>
      </c>
      <c r="AQ39" s="1150">
        <f t="shared" si="41"/>
        <v>-1.0122760743509429E-2</v>
      </c>
      <c r="AR39" s="1150">
        <f t="shared" si="41"/>
        <v>-3.4934123324912858E-3</v>
      </c>
      <c r="AS39" s="1150">
        <f t="shared" si="41"/>
        <v>-8.6992457393258449E-3</v>
      </c>
      <c r="AT39" s="1150">
        <f t="shared" si="41"/>
        <v>-3.7019474054254542E-3</v>
      </c>
      <c r="AU39" s="1151">
        <f t="shared" si="41"/>
        <v>-5.0634704849298884E-3</v>
      </c>
      <c r="AV39" s="1150">
        <f t="shared" ref="AV39:AV41" si="42">+AV34-AU34</f>
        <v>-3.0459886608881215E-3</v>
      </c>
      <c r="AW39" s="1150">
        <f t="shared" ref="AW39:AW41" si="43">+AW34-AV34</f>
        <v>-6.742779800867682E-3</v>
      </c>
      <c r="AX39" s="1150">
        <f t="shared" ref="AX39:AX41" si="44">+AX34-AW34</f>
        <v>-9.2526751604304902E-4</v>
      </c>
      <c r="AY39" s="1150">
        <f t="shared" ref="AY39:AY41" si="45">+AY34-AX34</f>
        <v>-7.1641852271361883E-3</v>
      </c>
      <c r="BN39" s="45"/>
    </row>
    <row r="40" spans="1:82" ht="10.5">
      <c r="A40" s="843" t="str">
        <f>+A35</f>
        <v>Azure</v>
      </c>
      <c r="B40" s="45"/>
      <c r="C40" s="45"/>
      <c r="D40" s="45"/>
      <c r="E40" s="45"/>
      <c r="F40" s="45"/>
      <c r="G40" s="45"/>
      <c r="H40" s="45"/>
      <c r="I40" s="45"/>
      <c r="J40" s="45"/>
      <c r="K40" s="45"/>
      <c r="L40" s="45"/>
      <c r="M40" s="45"/>
      <c r="N40" s="45"/>
      <c r="O40" s="45"/>
      <c r="P40" s="45"/>
      <c r="Q40" s="45"/>
      <c r="R40" s="45"/>
      <c r="S40" s="45"/>
      <c r="Y40" s="1146"/>
      <c r="Z40" s="1150">
        <f t="shared" ref="Z40:AU40" si="46">+Z35-Y35</f>
        <v>1.1690519778820185E-2</v>
      </c>
      <c r="AA40" s="1150">
        <f t="shared" si="46"/>
        <v>1.9806751052930782E-2</v>
      </c>
      <c r="AB40" s="1150">
        <f t="shared" si="46"/>
        <v>-2.2007566778412535E-3</v>
      </c>
      <c r="AC40" s="1150">
        <f t="shared" si="46"/>
        <v>2.3393852684818195E-3</v>
      </c>
      <c r="AD40" s="1150">
        <f t="shared" si="46"/>
        <v>1.0065162017377116E-2</v>
      </c>
      <c r="AE40" s="1150">
        <f t="shared" si="46"/>
        <v>1.1930137140214625E-2</v>
      </c>
      <c r="AF40" s="1150">
        <f t="shared" si="46"/>
        <v>-1.4925259052882001E-3</v>
      </c>
      <c r="AG40" s="1150">
        <f t="shared" si="46"/>
        <v>5.9894407436787978E-3</v>
      </c>
      <c r="AH40" s="1150">
        <f t="shared" si="46"/>
        <v>5.2473494497111695E-3</v>
      </c>
      <c r="AI40" s="1150">
        <f t="shared" si="46"/>
        <v>5.4755722335148027E-3</v>
      </c>
      <c r="AJ40" s="1150">
        <f t="shared" si="46"/>
        <v>-2.5165433328759312E-3</v>
      </c>
      <c r="AK40" s="1150">
        <f t="shared" si="46"/>
        <v>-5.3661861460707616E-4</v>
      </c>
      <c r="AL40" s="1150">
        <f t="shared" si="46"/>
        <v>8.5262282145113222E-3</v>
      </c>
      <c r="AM40" s="1150">
        <f t="shared" si="46"/>
        <v>3.4678332808761314E-3</v>
      </c>
      <c r="AN40" s="1150">
        <f t="shared" si="46"/>
        <v>-3.6375836117916727E-3</v>
      </c>
      <c r="AO40" s="1150">
        <f t="shared" si="46"/>
        <v>5.8974645036696804E-3</v>
      </c>
      <c r="AP40" s="1150">
        <f t="shared" si="46"/>
        <v>9.0903389310887373E-3</v>
      </c>
      <c r="AQ40" s="1150">
        <f t="shared" si="46"/>
        <v>7.0571435699440244E-3</v>
      </c>
      <c r="AR40" s="1150">
        <f t="shared" si="46"/>
        <v>3.7910826196533298E-3</v>
      </c>
      <c r="AS40" s="1150">
        <f t="shared" si="46"/>
        <v>4.8079234979032659E-3</v>
      </c>
      <c r="AT40" s="1150">
        <f t="shared" si="46"/>
        <v>3.883612080827159E-3</v>
      </c>
      <c r="AU40" s="1151">
        <f t="shared" si="46"/>
        <v>5.1650551053239457E-3</v>
      </c>
      <c r="AV40" s="1150">
        <f t="shared" si="42"/>
        <v>3.2813853790098491E-3</v>
      </c>
      <c r="AW40" s="1150">
        <f t="shared" si="43"/>
        <v>4.1974948021076264E-3</v>
      </c>
      <c r="AX40" s="1150">
        <f t="shared" si="44"/>
        <v>5.959022284693416E-3</v>
      </c>
      <c r="AY40" s="1150">
        <f t="shared" si="45"/>
        <v>4.7191883345070185E-3</v>
      </c>
      <c r="BN40" s="45"/>
    </row>
    <row r="41" spans="1:82" ht="10.5">
      <c r="A41" s="843" t="str">
        <f>+A16</f>
        <v>Google Cloud (cons. forecast)</v>
      </c>
      <c r="B41" s="45"/>
      <c r="C41" s="45"/>
      <c r="D41" s="45"/>
      <c r="E41" s="45"/>
      <c r="F41" s="45"/>
      <c r="G41" s="45"/>
      <c r="H41" s="45"/>
      <c r="I41" s="45"/>
      <c r="J41" s="45"/>
      <c r="K41" s="45"/>
      <c r="L41" s="45"/>
      <c r="M41" s="45"/>
      <c r="N41" s="45"/>
      <c r="O41" s="45"/>
      <c r="P41" s="45"/>
      <c r="Q41" s="45"/>
      <c r="R41" s="45"/>
      <c r="S41" s="45"/>
      <c r="Y41" s="1146"/>
      <c r="Z41" s="1150">
        <f t="shared" ref="Z41:AU41" si="47">+Z36-Y36</f>
        <v>1.2889322265718373E-3</v>
      </c>
      <c r="AA41" s="1150">
        <f t="shared" si="47"/>
        <v>2.4763601358059328E-3</v>
      </c>
      <c r="AB41" s="1150">
        <f t="shared" si="47"/>
        <v>6.8182903245299908E-3</v>
      </c>
      <c r="AC41" s="1150">
        <f t="shared" si="47"/>
        <v>-1.3365474950955969E-3</v>
      </c>
      <c r="AD41" s="1150">
        <f t="shared" si="47"/>
        <v>1.961972560747649E-3</v>
      </c>
      <c r="AE41" s="1150">
        <f t="shared" si="47"/>
        <v>2.3921221783482216E-4</v>
      </c>
      <c r="AF41" s="1150">
        <f t="shared" si="47"/>
        <v>8.222873498115818E-3</v>
      </c>
      <c r="AG41" s="1150">
        <f t="shared" si="47"/>
        <v>1.9199500634561883E-4</v>
      </c>
      <c r="AH41" s="1150">
        <f t="shared" si="47"/>
        <v>-1.6003488285765977E-3</v>
      </c>
      <c r="AI41" s="1150">
        <f t="shared" si="47"/>
        <v>3.8796749309335521E-3</v>
      </c>
      <c r="AJ41" s="1150">
        <f t="shared" si="47"/>
        <v>-5.0790291391161757E-4</v>
      </c>
      <c r="AK41" s="1150">
        <f t="shared" si="47"/>
        <v>8.8688080916421441E-4</v>
      </c>
      <c r="AL41" s="1150">
        <f t="shared" si="47"/>
        <v>-4.4498317557273293E-4</v>
      </c>
      <c r="AM41" s="1150">
        <f t="shared" si="47"/>
        <v>6.2695687401415068E-5</v>
      </c>
      <c r="AN41" s="1150">
        <f t="shared" si="47"/>
        <v>7.2395709714561662E-3</v>
      </c>
      <c r="AO41" s="1150">
        <f t="shared" si="47"/>
        <v>1.4462317135965908E-3</v>
      </c>
      <c r="AP41" s="1150">
        <f t="shared" si="47"/>
        <v>2.1423849489268787E-4</v>
      </c>
      <c r="AQ41" s="1150">
        <f t="shared" si="47"/>
        <v>3.0656171735655158E-3</v>
      </c>
      <c r="AR41" s="1150">
        <f t="shared" si="47"/>
        <v>-2.9767028716215505E-4</v>
      </c>
      <c r="AS41" s="1150">
        <f t="shared" si="47"/>
        <v>3.891322241422579E-3</v>
      </c>
      <c r="AT41" s="1150">
        <f t="shared" si="47"/>
        <v>-1.8166467540173259E-4</v>
      </c>
      <c r="AU41" s="1151">
        <f t="shared" si="47"/>
        <v>-1.015846203940296E-4</v>
      </c>
      <c r="AV41" s="1150">
        <f t="shared" si="42"/>
        <v>-2.3539671812175533E-4</v>
      </c>
      <c r="AW41" s="1150">
        <f t="shared" si="43"/>
        <v>2.5452849987601112E-3</v>
      </c>
      <c r="AX41" s="1150">
        <f t="shared" si="44"/>
        <v>-5.033754768650367E-3</v>
      </c>
      <c r="AY41" s="1150">
        <f t="shared" si="45"/>
        <v>2.4449968926291143E-3</v>
      </c>
      <c r="BN41" s="45"/>
    </row>
    <row r="42" spans="1:82" ht="10.5">
      <c r="A42" s="45"/>
      <c r="B42" s="45"/>
      <c r="C42" s="45"/>
      <c r="D42" s="45"/>
      <c r="E42" s="45"/>
      <c r="F42" s="45"/>
      <c r="G42" s="45"/>
      <c r="H42" s="45"/>
      <c r="I42" s="45"/>
      <c r="J42" s="45"/>
      <c r="K42" s="45"/>
      <c r="L42" s="45"/>
      <c r="M42" s="45"/>
      <c r="N42" s="45"/>
      <c r="O42" s="45"/>
      <c r="P42" s="45"/>
      <c r="Q42" s="45"/>
      <c r="R42" s="45"/>
      <c r="S42" s="45"/>
      <c r="AU42" s="1067"/>
      <c r="BN42" s="45"/>
    </row>
    <row r="43" spans="1:82" ht="10.5">
      <c r="A43" s="858" t="s">
        <v>893</v>
      </c>
      <c r="B43" s="13"/>
      <c r="C43" s="13"/>
      <c r="D43" s="13"/>
      <c r="E43" s="13"/>
      <c r="F43" s="833"/>
      <c r="G43" s="833"/>
      <c r="H43" s="833"/>
      <c r="I43" s="833"/>
      <c r="J43" s="833"/>
      <c r="K43" s="833"/>
      <c r="L43" s="833"/>
      <c r="M43" s="833"/>
      <c r="N43" s="833"/>
      <c r="O43" s="833"/>
      <c r="P43" s="833"/>
      <c r="Q43" s="833"/>
      <c r="R43" s="833"/>
      <c r="S43" s="833"/>
      <c r="T43" s="833"/>
      <c r="U43" s="833"/>
      <c r="V43" s="833"/>
      <c r="W43" s="833"/>
      <c r="X43" s="833"/>
      <c r="Y43" s="833"/>
      <c r="Z43" s="833"/>
      <c r="AA43" s="833"/>
      <c r="AB43" s="833"/>
      <c r="AC43" s="833"/>
      <c r="AD43" s="833"/>
      <c r="AE43" s="833"/>
      <c r="AF43" s="833"/>
      <c r="AG43" s="833"/>
      <c r="AH43" s="833"/>
      <c r="AI43" s="833"/>
      <c r="AJ43" s="833"/>
      <c r="AK43" s="833"/>
      <c r="AL43" s="833"/>
      <c r="AM43" s="833"/>
      <c r="AN43" s="833"/>
      <c r="AO43" s="1121"/>
      <c r="AP43" s="1121"/>
      <c r="AQ43" s="1121"/>
      <c r="AR43" s="1121"/>
      <c r="AS43" s="1121"/>
      <c r="AT43" s="1121"/>
      <c r="AU43" s="1120"/>
      <c r="AV43" s="1121"/>
      <c r="AW43" s="1121"/>
      <c r="AX43" s="1121"/>
      <c r="AY43" s="1121"/>
      <c r="AZ43" s="1121"/>
      <c r="BA43" s="1121"/>
      <c r="BB43" s="1121"/>
      <c r="BC43" s="1121"/>
      <c r="BD43" s="1121"/>
      <c r="BE43" s="1121"/>
      <c r="BF43" s="1121"/>
      <c r="BG43" s="1121"/>
      <c r="BH43" s="1121"/>
      <c r="BI43" s="1121"/>
      <c r="BN43" s="13"/>
      <c r="BO43" s="1121"/>
      <c r="BP43" s="1121"/>
      <c r="BQ43" s="1121"/>
      <c r="BR43" s="1121"/>
      <c r="BS43" s="1121"/>
      <c r="BT43" s="1121"/>
      <c r="BU43" s="1121"/>
      <c r="BV43" s="1121"/>
      <c r="BW43" s="1121"/>
      <c r="BX43" s="1121"/>
      <c r="BY43" s="1121"/>
      <c r="BZ43" s="1121"/>
      <c r="CA43" s="1121"/>
      <c r="CB43" s="1121"/>
      <c r="CC43" s="1121"/>
      <c r="CD43" s="1121"/>
    </row>
    <row r="44" spans="1:82">
      <c r="A44" s="100" t="str">
        <f>+A39</f>
        <v>AWS (cons. forecast)</v>
      </c>
      <c r="B44" s="843"/>
      <c r="C44" s="1118">
        <f t="shared" ref="C44:AH44" si="48">C9-B9</f>
        <v>81.495427649273779</v>
      </c>
      <c r="D44" s="1118">
        <f t="shared" si="48"/>
        <v>114.68531468531478</v>
      </c>
      <c r="E44" s="1118">
        <f t="shared" si="48"/>
        <v>148.50387707530558</v>
      </c>
      <c r="F44" s="1118">
        <f t="shared" si="48"/>
        <v>84.013605442176868</v>
      </c>
      <c r="G44" s="1118">
        <f t="shared" si="48"/>
        <v>-45</v>
      </c>
      <c r="H44" s="1118">
        <f t="shared" si="48"/>
        <v>164</v>
      </c>
      <c r="I44" s="1118">
        <f t="shared" si="48"/>
        <v>251</v>
      </c>
      <c r="J44" s="1118">
        <f t="shared" si="48"/>
        <v>146</v>
      </c>
      <c r="K44" s="1118">
        <f t="shared" si="48"/>
        <v>258</v>
      </c>
      <c r="L44" s="1118">
        <f t="shared" si="48"/>
        <v>261</v>
      </c>
      <c r="M44" s="1118">
        <f t="shared" si="48"/>
        <v>320</v>
      </c>
      <c r="N44" s="1118">
        <f t="shared" si="48"/>
        <v>161</v>
      </c>
      <c r="O44" s="1118">
        <f t="shared" si="48"/>
        <v>320</v>
      </c>
      <c r="P44" s="1118">
        <f t="shared" si="48"/>
        <v>345</v>
      </c>
      <c r="Q44" s="1118">
        <f t="shared" si="48"/>
        <v>305</v>
      </c>
      <c r="R44" s="1118">
        <f t="shared" si="48"/>
        <v>125</v>
      </c>
      <c r="S44" s="1118">
        <f t="shared" si="48"/>
        <v>439</v>
      </c>
      <c r="T44" s="1118">
        <f t="shared" si="48"/>
        <v>484</v>
      </c>
      <c r="U44" s="1118">
        <f t="shared" si="48"/>
        <v>529</v>
      </c>
      <c r="V44" s="1118">
        <f t="shared" si="48"/>
        <v>329</v>
      </c>
      <c r="W44" s="1118">
        <f t="shared" si="48"/>
        <v>663</v>
      </c>
      <c r="X44" s="1118">
        <f t="shared" si="48"/>
        <v>574</v>
      </c>
      <c r="Y44" s="1118">
        <f t="shared" si="48"/>
        <v>751</v>
      </c>
      <c r="Z44" s="1118">
        <f t="shared" si="48"/>
        <v>266</v>
      </c>
      <c r="AA44" s="1118">
        <f t="shared" si="48"/>
        <v>685</v>
      </c>
      <c r="AB44" s="1118">
        <f t="shared" si="48"/>
        <v>614</v>
      </c>
      <c r="AC44" s="1118">
        <f t="shared" si="48"/>
        <v>959</v>
      </c>
      <c r="AD44" s="1118">
        <f t="shared" si="48"/>
        <v>265</v>
      </c>
      <c r="AE44" s="1118">
        <f t="shared" si="48"/>
        <v>589</v>
      </c>
      <c r="AF44" s="1118">
        <f t="shared" si="48"/>
        <v>793</v>
      </c>
      <c r="AG44" s="1118">
        <f t="shared" si="48"/>
        <v>1141</v>
      </c>
      <c r="AH44" s="1118">
        <f t="shared" si="48"/>
        <v>761</v>
      </c>
      <c r="AI44" s="1118">
        <f t="shared" ref="AI44:BI44" si="49">AI9-AH9</f>
        <v>1306</v>
      </c>
      <c r="AJ44" s="1118">
        <f t="shared" si="49"/>
        <v>1301</v>
      </c>
      <c r="AK44" s="1118">
        <f t="shared" si="49"/>
        <v>1670</v>
      </c>
      <c r="AL44" s="1118">
        <f t="shared" si="49"/>
        <v>661</v>
      </c>
      <c r="AM44" s="1118">
        <f t="shared" si="49"/>
        <v>1298</v>
      </c>
      <c r="AN44" s="1118">
        <f t="shared" si="49"/>
        <v>799</v>
      </c>
      <c r="AO44" s="1118">
        <f t="shared" si="49"/>
        <v>840</v>
      </c>
      <c r="AP44" s="1118">
        <f t="shared" si="49"/>
        <v>-24</v>
      </c>
      <c r="AQ44" s="1118">
        <f t="shared" si="49"/>
        <v>786</v>
      </c>
      <c r="AR44" s="1118">
        <f t="shared" si="49"/>
        <v>919</v>
      </c>
      <c r="AS44" s="1118">
        <f t="shared" si="49"/>
        <v>1145</v>
      </c>
      <c r="AT44" s="1118">
        <f t="shared" si="49"/>
        <v>833</v>
      </c>
      <c r="AU44" s="1122">
        <f t="shared" si="49"/>
        <v>943.5</v>
      </c>
      <c r="AV44" s="1118">
        <f t="shared" ref="AV44:AV46" si="50">AV9-AU9</f>
        <v>1191.2000000000007</v>
      </c>
      <c r="AW44" s="1118">
        <f t="shared" ref="AW44:AW46" si="51">AW9-AV9</f>
        <v>1442</v>
      </c>
      <c r="AX44" s="1118">
        <f t="shared" ref="AX44:AX46" si="52">AX9-AW9</f>
        <v>939.20000000000073</v>
      </c>
      <c r="AY44" s="1118">
        <f t="shared" ref="AY44:AY46" si="53">AY9-AX9</f>
        <v>1140</v>
      </c>
      <c r="AZ44" s="1118">
        <f t="shared" si="49"/>
        <v>1327.1999999999971</v>
      </c>
      <c r="BA44" s="1118">
        <f t="shared" si="49"/>
        <v>1659.5999999999985</v>
      </c>
      <c r="BB44" s="1118">
        <f t="shared" si="49"/>
        <v>-2808.9017500000009</v>
      </c>
      <c r="BC44" s="1118">
        <f t="shared" si="49"/>
        <v>1083.7001999999993</v>
      </c>
      <c r="BD44" s="1118">
        <f t="shared" si="49"/>
        <v>1160.1479999999974</v>
      </c>
      <c r="BE44" s="1118">
        <f t="shared" si="49"/>
        <v>1524.5999999999985</v>
      </c>
      <c r="BF44" s="1118">
        <f t="shared" si="49"/>
        <v>329.92162500000268</v>
      </c>
      <c r="BG44" s="1118">
        <f t="shared" si="49"/>
        <v>1192.0702200000014</v>
      </c>
      <c r="BH44" s="1118">
        <f t="shared" si="49"/>
        <v>1276.1627999999982</v>
      </c>
      <c r="BI44" s="1118">
        <f t="shared" si="49"/>
        <v>1677.0599999999977</v>
      </c>
      <c r="BN44" s="843" t="s">
        <v>894</v>
      </c>
      <c r="BP44" s="1119">
        <f t="shared" ref="BP44:CC44" si="54">BP9-BO9</f>
        <v>1536.4321100145276</v>
      </c>
      <c r="BQ44" s="1119">
        <f t="shared" si="54"/>
        <v>3236</v>
      </c>
      <c r="BR44" s="1119">
        <f t="shared" si="54"/>
        <v>4339</v>
      </c>
      <c r="BS44" s="1119">
        <f t="shared" si="54"/>
        <v>5239</v>
      </c>
      <c r="BT44" s="1119">
        <f t="shared" si="54"/>
        <v>8198</v>
      </c>
      <c r="BU44" s="1119">
        <f t="shared" si="54"/>
        <v>9370</v>
      </c>
      <c r="BV44" s="1119">
        <f t="shared" si="54"/>
        <v>10344</v>
      </c>
      <c r="BW44" s="1119">
        <f t="shared" si="54"/>
        <v>16832</v>
      </c>
      <c r="BX44" s="1119">
        <f t="shared" si="54"/>
        <v>17894</v>
      </c>
      <c r="BY44" s="1119">
        <f t="shared" si="54"/>
        <v>10661</v>
      </c>
      <c r="BZ44" s="1119">
        <f t="shared" si="54"/>
        <v>16045.899999999994</v>
      </c>
      <c r="CA44" s="1119">
        <f t="shared" si="54"/>
        <v>19142.699999999997</v>
      </c>
      <c r="CB44" s="1119">
        <f t="shared" si="54"/>
        <v>4633.5895999999775</v>
      </c>
      <c r="CC44" s="1119">
        <f t="shared" si="54"/>
        <v>17103.078959999999</v>
      </c>
      <c r="CD44" s="1119"/>
    </row>
    <row r="45" spans="1:82">
      <c r="A45" s="843" t="str">
        <f>+A10</f>
        <v>Azure</v>
      </c>
      <c r="B45" s="843"/>
      <c r="C45" s="843"/>
      <c r="D45" s="843"/>
      <c r="E45" s="843"/>
      <c r="F45" s="843"/>
      <c r="G45" s="843"/>
      <c r="H45" s="843"/>
      <c r="I45" s="843"/>
      <c r="J45" s="843"/>
      <c r="K45" s="843"/>
      <c r="L45" s="843"/>
      <c r="M45" s="1118">
        <f t="shared" ref="M45:BG45" si="55">M10-L10</f>
        <v>38.036069348148146</v>
      </c>
      <c r="N45" s="1118">
        <f t="shared" si="55"/>
        <v>108.23623679171226</v>
      </c>
      <c r="O45" s="1118">
        <f t="shared" si="55"/>
        <v>137.42507029503622</v>
      </c>
      <c r="P45" s="1118">
        <f t="shared" si="55"/>
        <v>113.06167616702692</v>
      </c>
      <c r="Q45" s="1118">
        <f t="shared" si="55"/>
        <v>31.201274775613342</v>
      </c>
      <c r="R45" s="1118">
        <f t="shared" si="55"/>
        <v>146.8711150071814</v>
      </c>
      <c r="S45" s="1118">
        <f t="shared" si="55"/>
        <v>306.26188964219727</v>
      </c>
      <c r="T45" s="1118">
        <f t="shared" si="55"/>
        <v>247.11044934575261</v>
      </c>
      <c r="U45" s="1118">
        <f t="shared" si="55"/>
        <v>135.25184540501255</v>
      </c>
      <c r="V45" s="1118">
        <f t="shared" si="55"/>
        <v>230.25675487839908</v>
      </c>
      <c r="W45" s="1118">
        <f t="shared" si="55"/>
        <v>565.05810814958636</v>
      </c>
      <c r="X45" s="1118">
        <f t="shared" si="55"/>
        <v>241.14122320511979</v>
      </c>
      <c r="Y45" s="1118">
        <f t="shared" si="55"/>
        <v>265.47450400601247</v>
      </c>
      <c r="Z45" s="1118">
        <f t="shared" si="55"/>
        <v>323.37342687707041</v>
      </c>
      <c r="AA45" s="1118">
        <f t="shared" si="55"/>
        <v>720.04529574936305</v>
      </c>
      <c r="AB45" s="1118">
        <f t="shared" si="55"/>
        <v>295.01299147740383</v>
      </c>
      <c r="AC45" s="1118">
        <f t="shared" si="55"/>
        <v>509.48402717109548</v>
      </c>
      <c r="AD45" s="1118">
        <f t="shared" si="55"/>
        <v>418.56326383545002</v>
      </c>
      <c r="AE45" s="1118">
        <f t="shared" si="55"/>
        <v>660.91126319417344</v>
      </c>
      <c r="AF45" s="1118">
        <f t="shared" si="55"/>
        <v>480.29232192385734</v>
      </c>
      <c r="AG45" s="1118">
        <f t="shared" si="55"/>
        <v>851.92871316518631</v>
      </c>
      <c r="AH45" s="1118">
        <f t="shared" si="55"/>
        <v>618.35220424259114</v>
      </c>
      <c r="AI45" s="1118">
        <f t="shared" si="55"/>
        <v>1069.7578119047585</v>
      </c>
      <c r="AJ45" s="1118">
        <f t="shared" si="55"/>
        <v>651.17900450736488</v>
      </c>
      <c r="AK45" s="1118">
        <f t="shared" si="55"/>
        <v>981.84978075025901</v>
      </c>
      <c r="AL45" s="1118">
        <f t="shared" si="55"/>
        <v>868.24168423718947</v>
      </c>
      <c r="AM45" s="1118">
        <f t="shared" si="55"/>
        <v>1022.0118890750346</v>
      </c>
      <c r="AN45" s="1118">
        <f t="shared" si="55"/>
        <v>448.9580997290177</v>
      </c>
      <c r="AO45" s="1118">
        <f t="shared" si="55"/>
        <v>975</v>
      </c>
      <c r="AP45" s="1118">
        <f t="shared" si="55"/>
        <v>639.86811421885432</v>
      </c>
      <c r="AQ45" s="1118">
        <f t="shared" si="55"/>
        <v>1173.444680122584</v>
      </c>
      <c r="AR45" s="1118">
        <f t="shared" si="55"/>
        <v>952.68720565856165</v>
      </c>
      <c r="AS45" s="1118">
        <f t="shared" si="55"/>
        <v>1396.5</v>
      </c>
      <c r="AT45" s="1118">
        <f t="shared" si="55"/>
        <v>976.97722962670014</v>
      </c>
      <c r="AU45" s="1122">
        <f t="shared" si="55"/>
        <v>1223.4462750737548</v>
      </c>
      <c r="AV45" s="1118">
        <f>AV10-AU10</f>
        <v>1262.7765610025926</v>
      </c>
      <c r="AW45" s="1118">
        <f t="shared" si="51"/>
        <v>1744.4776027399821</v>
      </c>
      <c r="AX45" s="1118">
        <f t="shared" si="52"/>
        <v>1202.615335144088</v>
      </c>
      <c r="AY45" s="1118">
        <f t="shared" si="53"/>
        <v>1679.0872676468243</v>
      </c>
      <c r="AZ45" s="1118">
        <f t="shared" si="55"/>
        <v>-1248.6823643262869</v>
      </c>
      <c r="BA45" s="1118">
        <f t="shared" si="55"/>
        <v>984.52503897476709</v>
      </c>
      <c r="BB45" s="1118">
        <f t="shared" si="55"/>
        <v>1185.3021128108376</v>
      </c>
      <c r="BC45" s="1118">
        <f t="shared" si="55"/>
        <v>928.30859684584721</v>
      </c>
      <c r="BD45" s="1118">
        <f t="shared" si="55"/>
        <v>554.41107347291108</v>
      </c>
      <c r="BE45" s="1118">
        <f t="shared" si="55"/>
        <v>867.74331562543375</v>
      </c>
      <c r="BF45" s="1118">
        <f t="shared" si="55"/>
        <v>1129.87279494822</v>
      </c>
      <c r="BG45" s="1118">
        <f t="shared" si="55"/>
        <v>815.05287412382313</v>
      </c>
      <c r="BH45" s="1118"/>
      <c r="BI45" s="1118"/>
      <c r="BN45" s="843" t="str">
        <f>BN44</f>
        <v>Y/Y Dollar Growth</v>
      </c>
      <c r="BP45" s="1119"/>
      <c r="BQ45" s="1119">
        <f t="shared" ref="BQ45:CB45" si="56">BQ10-BP10</f>
        <v>867.34007963492104</v>
      </c>
      <c r="BR45" s="1119">
        <f t="shared" si="56"/>
        <v>2045.957003492842</v>
      </c>
      <c r="BS45" s="1119">
        <f t="shared" si="56"/>
        <v>2592.8951200077659</v>
      </c>
      <c r="BT45" s="1119">
        <f t="shared" si="56"/>
        <v>4570.1966189273471</v>
      </c>
      <c r="BU45" s="1119">
        <f t="shared" si="56"/>
        <v>6396.9036714601389</v>
      </c>
      <c r="BV45" s="1119">
        <f t="shared" si="56"/>
        <v>8308.0235621546781</v>
      </c>
      <c r="BW45" s="1119">
        <f t="shared" si="56"/>
        <v>12144.17208898707</v>
      </c>
      <c r="BX45" s="1119">
        <f t="shared" si="56"/>
        <v>13729.58376680217</v>
      </c>
      <c r="BY45" s="1119">
        <f t="shared" si="56"/>
        <v>14226.608997093361</v>
      </c>
      <c r="BZ45" s="1119">
        <f t="shared" si="56"/>
        <v>19116.597559912938</v>
      </c>
      <c r="CA45" s="1119">
        <f t="shared" si="56"/>
        <v>17317.315659137908</v>
      </c>
      <c r="CB45" s="1119">
        <f t="shared" si="56"/>
        <v>11637.997360270703</v>
      </c>
      <c r="CC45" s="1119"/>
      <c r="CD45" s="1119"/>
    </row>
    <row r="46" spans="1:82">
      <c r="A46" s="843" t="str">
        <f>+A11</f>
        <v>Google Cloud (cons. forecast)</v>
      </c>
      <c r="B46" s="843"/>
      <c r="C46" s="843"/>
      <c r="D46" s="843"/>
      <c r="E46" s="843"/>
      <c r="F46" s="843"/>
      <c r="G46" s="843"/>
      <c r="H46" s="843"/>
      <c r="I46" s="843"/>
      <c r="J46" s="843"/>
      <c r="K46" s="843"/>
      <c r="L46" s="843"/>
      <c r="M46" s="843"/>
      <c r="N46" s="843"/>
      <c r="O46" s="843"/>
      <c r="P46" s="843"/>
      <c r="Q46" s="843"/>
      <c r="R46" s="843"/>
      <c r="S46" s="843"/>
      <c r="T46" s="41"/>
      <c r="U46" s="41"/>
      <c r="V46" s="41"/>
      <c r="W46" s="41"/>
      <c r="X46" s="41"/>
      <c r="Y46" s="41"/>
      <c r="Z46" s="1118">
        <f t="shared" ref="Z46:BI46" si="57">Z11-Y11</f>
        <v>116</v>
      </c>
      <c r="AA46" s="1118">
        <f t="shared" si="57"/>
        <v>275</v>
      </c>
      <c r="AB46" s="1118">
        <f t="shared" si="57"/>
        <v>279</v>
      </c>
      <c r="AC46" s="1118">
        <f t="shared" si="57"/>
        <v>235</v>
      </c>
      <c r="AD46" s="1118">
        <f t="shared" si="57"/>
        <v>163</v>
      </c>
      <c r="AE46" s="1118">
        <f t="shared" si="57"/>
        <v>230</v>
      </c>
      <c r="AF46" s="1118">
        <f t="shared" si="57"/>
        <v>437</v>
      </c>
      <c r="AG46" s="1118">
        <f t="shared" si="57"/>
        <v>387</v>
      </c>
      <c r="AH46" s="1118">
        <f t="shared" si="57"/>
        <v>216</v>
      </c>
      <c r="AI46" s="1118">
        <f t="shared" si="57"/>
        <v>581</v>
      </c>
      <c r="AJ46" s="1118">
        <f t="shared" si="57"/>
        <v>362</v>
      </c>
      <c r="AK46" s="1118">
        <f t="shared" si="57"/>
        <v>551</v>
      </c>
      <c r="AL46" s="1118">
        <f t="shared" si="57"/>
        <v>280</v>
      </c>
      <c r="AM46" s="1118">
        <f t="shared" si="57"/>
        <v>455</v>
      </c>
      <c r="AN46" s="1118">
        <f t="shared" si="57"/>
        <v>592</v>
      </c>
      <c r="AO46" s="1118">
        <f t="shared" si="57"/>
        <v>447</v>
      </c>
      <c r="AP46" s="1125">
        <f t="shared" si="57"/>
        <v>139</v>
      </c>
      <c r="AQ46" s="1118">
        <f t="shared" si="57"/>
        <v>577</v>
      </c>
      <c r="AR46" s="1118">
        <f t="shared" si="57"/>
        <v>380</v>
      </c>
      <c r="AS46" s="1118">
        <f t="shared" si="57"/>
        <v>781</v>
      </c>
      <c r="AT46" s="1125">
        <f t="shared" si="57"/>
        <v>382</v>
      </c>
      <c r="AU46" s="1122">
        <f t="shared" si="57"/>
        <v>464</v>
      </c>
      <c r="AV46" s="1118">
        <f t="shared" si="50"/>
        <v>516</v>
      </c>
      <c r="AW46" s="1118">
        <f t="shared" si="51"/>
        <v>887</v>
      </c>
      <c r="AX46" s="1118">
        <f t="shared" si="52"/>
        <v>70</v>
      </c>
      <c r="AY46" s="1118">
        <f t="shared" si="53"/>
        <v>806</v>
      </c>
      <c r="AZ46" s="1118">
        <f t="shared" si="57"/>
        <v>405.60000000000036</v>
      </c>
      <c r="BA46" s="1118">
        <f t="shared" si="57"/>
        <v>1019.1000000000004</v>
      </c>
      <c r="BB46" s="1125">
        <f t="shared" si="57"/>
        <v>-858.62390230571509</v>
      </c>
      <c r="BC46" s="1118">
        <f t="shared" si="57"/>
        <v>519.70597959428596</v>
      </c>
      <c r="BD46" s="1118">
        <f t="shared" si="57"/>
        <v>1362.0616003964842</v>
      </c>
      <c r="BE46" s="1118">
        <f t="shared" si="57"/>
        <v>774.6199869349457</v>
      </c>
      <c r="BF46" s="1125">
        <f t="shared" si="57"/>
        <v>-157.45592674997351</v>
      </c>
      <c r="BG46" s="1118">
        <f t="shared" si="57"/>
        <v>629.14757528588598</v>
      </c>
      <c r="BH46" s="1118">
        <f t="shared" si="57"/>
        <v>1665.2449888725878</v>
      </c>
      <c r="BI46" s="1118">
        <f t="shared" si="57"/>
        <v>942.69180431489804</v>
      </c>
      <c r="BN46" s="843" t="str">
        <f>BN44</f>
        <v>Y/Y Dollar Growth</v>
      </c>
      <c r="BP46" s="1119"/>
      <c r="BQ46" s="1119"/>
      <c r="BR46" s="1119"/>
      <c r="BS46" s="1119"/>
      <c r="BT46" s="1119"/>
      <c r="BU46" s="1119"/>
      <c r="BV46" s="1119">
        <f t="shared" ref="BV46:CC46" si="58">BV11-BU11</f>
        <v>4141</v>
      </c>
      <c r="BW46" s="1119">
        <f t="shared" si="58"/>
        <v>6147</v>
      </c>
      <c r="BX46" s="1119">
        <f t="shared" si="58"/>
        <v>7074</v>
      </c>
      <c r="BY46" s="1119">
        <f t="shared" si="58"/>
        <v>6808</v>
      </c>
      <c r="BZ46" s="1119">
        <f t="shared" si="58"/>
        <v>8519</v>
      </c>
      <c r="CA46" s="1119">
        <f t="shared" si="58"/>
        <v>8685.3000000000029</v>
      </c>
      <c r="CB46" s="1119">
        <f t="shared" si="58"/>
        <v>6297.8655172879153</v>
      </c>
      <c r="CC46" s="1119">
        <f t="shared" si="58"/>
        <v>11098.489942109933</v>
      </c>
      <c r="CD46" s="1119"/>
    </row>
    <row r="47" spans="1:82" ht="10.5">
      <c r="A47" s="45"/>
      <c r="B47" s="45"/>
      <c r="C47" s="45"/>
      <c r="D47" s="45"/>
      <c r="E47" s="45"/>
      <c r="F47" s="45"/>
      <c r="G47" s="45"/>
      <c r="H47" s="45"/>
      <c r="I47" s="45"/>
      <c r="J47" s="45"/>
      <c r="K47" s="45"/>
      <c r="L47" s="45"/>
      <c r="M47" s="45"/>
      <c r="N47" s="45"/>
      <c r="O47" s="45"/>
      <c r="P47" s="45"/>
      <c r="Q47" s="45"/>
      <c r="R47" s="45"/>
      <c r="S47" s="45"/>
      <c r="AU47" s="1067"/>
      <c r="BN47" s="45"/>
    </row>
    <row r="48" spans="1:82" ht="10.5">
      <c r="A48" s="45" t="s">
        <v>895</v>
      </c>
      <c r="B48" s="45"/>
      <c r="C48" s="45"/>
      <c r="D48" s="45"/>
      <c r="E48" s="45"/>
      <c r="F48" s="45"/>
      <c r="G48" s="45"/>
      <c r="H48" s="45"/>
      <c r="I48" s="45"/>
      <c r="J48" s="45"/>
      <c r="K48" s="45"/>
      <c r="L48" s="45"/>
      <c r="M48" s="45"/>
      <c r="N48" s="45"/>
      <c r="O48" s="45"/>
      <c r="P48" s="45"/>
      <c r="Q48" s="45"/>
      <c r="R48" s="45"/>
      <c r="S48" s="45"/>
      <c r="AU48" s="1067"/>
      <c r="BN48" s="45"/>
    </row>
    <row r="49" spans="1:82" ht="10.5">
      <c r="A49" s="843" t="str">
        <f>+A34</f>
        <v>AWS (cons. forecast)</v>
      </c>
      <c r="B49" s="45"/>
      <c r="C49" s="45"/>
      <c r="D49" s="45"/>
      <c r="E49" s="45"/>
      <c r="F49" s="45"/>
      <c r="G49" s="45"/>
      <c r="H49" s="45"/>
      <c r="I49" s="45"/>
      <c r="J49" s="45"/>
      <c r="K49" s="45"/>
      <c r="L49" s="45"/>
      <c r="M49" s="45"/>
      <c r="N49" s="45"/>
      <c r="O49" s="45"/>
      <c r="P49" s="45"/>
      <c r="Q49" s="45"/>
      <c r="R49" s="45"/>
      <c r="S49" s="45"/>
      <c r="Y49" s="1146"/>
      <c r="Z49" s="1150">
        <f>+Z44/SUM(Z$44:Z$46)</f>
        <v>0.3771052181220847</v>
      </c>
      <c r="AA49" s="1150">
        <f t="shared" ref="AA49:AU51" si="59">+AA44/SUM(AA$44:AA$46)</f>
        <v>0.40772710219962516</v>
      </c>
      <c r="AB49" s="1150">
        <f t="shared" si="59"/>
        <v>0.51682936500251087</v>
      </c>
      <c r="AC49" s="1150">
        <f t="shared" si="59"/>
        <v>0.56296389323507257</v>
      </c>
      <c r="AD49" s="1150">
        <f t="shared" si="59"/>
        <v>0.3130303561713601</v>
      </c>
      <c r="AE49" s="1150">
        <f t="shared" si="59"/>
        <v>0.39799683578914663</v>
      </c>
      <c r="AF49" s="1150">
        <f t="shared" si="59"/>
        <v>0.46366342749406586</v>
      </c>
      <c r="AG49" s="1150">
        <f t="shared" si="59"/>
        <v>0.47942612469367918</v>
      </c>
      <c r="AH49" s="1150">
        <f t="shared" si="59"/>
        <v>0.47701065506177182</v>
      </c>
      <c r="AI49" s="1150">
        <f t="shared" si="59"/>
        <v>0.44170002519031754</v>
      </c>
      <c r="AJ49" s="1150">
        <f t="shared" si="59"/>
        <v>0.56218641577251405</v>
      </c>
      <c r="AK49" s="1150">
        <f t="shared" si="59"/>
        <v>0.52141065436069467</v>
      </c>
      <c r="AL49" s="1150">
        <f t="shared" si="59"/>
        <v>0.36534643533746025</v>
      </c>
      <c r="AM49" s="1150">
        <f t="shared" si="59"/>
        <v>0.46774574376063255</v>
      </c>
      <c r="AN49" s="1150">
        <f t="shared" si="59"/>
        <v>0.43424901910411645</v>
      </c>
      <c r="AO49" s="1150">
        <f t="shared" si="59"/>
        <v>0.3713527851458886</v>
      </c>
      <c r="AP49" s="1150">
        <f t="shared" si="59"/>
        <v>-3.1793633282332319E-2</v>
      </c>
      <c r="AQ49" s="1150">
        <f t="shared" si="59"/>
        <v>0.30988257152212495</v>
      </c>
      <c r="AR49" s="1150">
        <f t="shared" si="59"/>
        <v>0.40813839404093238</v>
      </c>
      <c r="AS49" s="1150">
        <f t="shared" si="59"/>
        <v>0.34462001504890893</v>
      </c>
      <c r="AT49" s="1150">
        <f t="shared" si="59"/>
        <v>0.38002219582448044</v>
      </c>
      <c r="AU49" s="1151">
        <f t="shared" si="59"/>
        <v>0.35861621688704015</v>
      </c>
      <c r="AV49" s="1150">
        <f t="shared" ref="AV49:AY49" si="60">+AV44/SUM(AV$44:AV$46)</f>
        <v>0.40108060637282605</v>
      </c>
      <c r="AW49" s="1150">
        <f t="shared" si="60"/>
        <v>0.35399728208399961</v>
      </c>
      <c r="AX49" s="1150">
        <f t="shared" si="60"/>
        <v>0.42462857774644036</v>
      </c>
      <c r="AY49" s="1150">
        <f t="shared" si="60"/>
        <v>0.31447518799734037</v>
      </c>
      <c r="BN49" s="45"/>
    </row>
    <row r="50" spans="1:82" ht="10.5">
      <c r="A50" s="843" t="str">
        <f>+A45</f>
        <v>Azure</v>
      </c>
      <c r="B50" s="45"/>
      <c r="C50" s="45"/>
      <c r="D50" s="45"/>
      <c r="E50" s="45"/>
      <c r="F50" s="45"/>
      <c r="G50" s="45"/>
      <c r="H50" s="45"/>
      <c r="I50" s="45"/>
      <c r="J50" s="45"/>
      <c r="K50" s="45"/>
      <c r="L50" s="45"/>
      <c r="M50" s="45"/>
      <c r="N50" s="45"/>
      <c r="O50" s="45"/>
      <c r="P50" s="45"/>
      <c r="Q50" s="45"/>
      <c r="R50" s="45"/>
      <c r="S50" s="45"/>
      <c r="Y50" s="1146"/>
      <c r="Z50" s="1150">
        <f t="shared" ref="Z50:AO51" si="61">+Z45/SUM(Z$44:Z$46)</f>
        <v>0.45844288224572799</v>
      </c>
      <c r="AA50" s="1150">
        <f t="shared" si="61"/>
        <v>0.42858683487351806</v>
      </c>
      <c r="AB50" s="1150">
        <f t="shared" si="61"/>
        <v>0.24832471832696706</v>
      </c>
      <c r="AC50" s="1150">
        <f t="shared" si="61"/>
        <v>0.29908353647270425</v>
      </c>
      <c r="AD50" s="1150">
        <f t="shared" si="61"/>
        <v>0.49442644361757693</v>
      </c>
      <c r="AE50" s="1150">
        <f t="shared" si="61"/>
        <v>0.4465884405580457</v>
      </c>
      <c r="AF50" s="1150">
        <f t="shared" si="61"/>
        <v>0.28082469632067969</v>
      </c>
      <c r="AG50" s="1150">
        <f t="shared" si="61"/>
        <v>0.3579639627239774</v>
      </c>
      <c r="AH50" s="1150">
        <f t="shared" si="61"/>
        <v>0.38759604468416414</v>
      </c>
      <c r="AI50" s="1150">
        <f t="shared" si="61"/>
        <v>0.36180095900908943</v>
      </c>
      <c r="AJ50" s="1150">
        <f t="shared" si="61"/>
        <v>0.28138661842452667</v>
      </c>
      <c r="AK50" s="1150">
        <f t="shared" si="61"/>
        <v>0.30655505189514798</v>
      </c>
      <c r="AL50" s="1150">
        <f t="shared" si="61"/>
        <v>0.47989259356649006</v>
      </c>
      <c r="AM50" s="1150">
        <f t="shared" si="61"/>
        <v>0.36829099475162647</v>
      </c>
      <c r="AN50" s="1150">
        <f t="shared" si="61"/>
        <v>0.2440045236873267</v>
      </c>
      <c r="AO50" s="1150">
        <f t="shared" si="61"/>
        <v>0.43103448275862066</v>
      </c>
      <c r="AP50" s="1150">
        <f t="shared" si="59"/>
        <v>0.84765550718882432</v>
      </c>
      <c r="AQ50" s="1150">
        <f t="shared" si="59"/>
        <v>0.46263365778033549</v>
      </c>
      <c r="AR50" s="1150">
        <f t="shared" si="59"/>
        <v>0.42309926674736542</v>
      </c>
      <c r="AS50" s="1150">
        <f t="shared" si="59"/>
        <v>0.42031602708803611</v>
      </c>
      <c r="AT50" s="1150">
        <f t="shared" si="59"/>
        <v>0.44570592085624999</v>
      </c>
      <c r="AU50" s="1151">
        <f t="shared" si="59"/>
        <v>0.4650213828632655</v>
      </c>
      <c r="AV50" s="1150">
        <f t="shared" ref="AV50:AY50" si="62">+AV45/SUM(AV$44:AV$46)</f>
        <v>0.42518064875781691</v>
      </c>
      <c r="AW50" s="1150">
        <f t="shared" si="62"/>
        <v>0.42825265605157065</v>
      </c>
      <c r="AX50" s="1150">
        <f t="shared" si="62"/>
        <v>0.54372321053906769</v>
      </c>
      <c r="AY50" s="1150">
        <f t="shared" si="62"/>
        <v>0.46318533697997866</v>
      </c>
      <c r="BN50" s="45"/>
    </row>
    <row r="51" spans="1:82" ht="10.5">
      <c r="A51" s="843" t="str">
        <f>+A36</f>
        <v>Google Cloud (cons. forecast)</v>
      </c>
      <c r="B51" s="45"/>
      <c r="C51" s="45"/>
      <c r="D51" s="45"/>
      <c r="E51" s="45"/>
      <c r="F51" s="45"/>
      <c r="G51" s="45"/>
      <c r="H51" s="45"/>
      <c r="I51" s="45"/>
      <c r="J51" s="45"/>
      <c r="K51" s="45"/>
      <c r="L51" s="45"/>
      <c r="M51" s="45"/>
      <c r="N51" s="45"/>
      <c r="O51" s="45"/>
      <c r="P51" s="45"/>
      <c r="Q51" s="45"/>
      <c r="R51" s="45"/>
      <c r="S51" s="45"/>
      <c r="Y51" s="1146"/>
      <c r="Z51" s="1150">
        <f t="shared" si="61"/>
        <v>0.16445189963218731</v>
      </c>
      <c r="AA51" s="1150">
        <f t="shared" si="59"/>
        <v>0.16368606292685681</v>
      </c>
      <c r="AB51" s="1150">
        <f t="shared" si="59"/>
        <v>0.23484591667052204</v>
      </c>
      <c r="AC51" s="1150">
        <f t="shared" si="59"/>
        <v>0.13795257029222319</v>
      </c>
      <c r="AD51" s="1150">
        <f t="shared" si="59"/>
        <v>0.192543200211063</v>
      </c>
      <c r="AE51" s="1150">
        <f t="shared" si="59"/>
        <v>0.15541472365280767</v>
      </c>
      <c r="AF51" s="1150">
        <f t="shared" si="59"/>
        <v>0.25551187618525445</v>
      </c>
      <c r="AG51" s="1150">
        <f t="shared" si="59"/>
        <v>0.16260991258234342</v>
      </c>
      <c r="AH51" s="1150">
        <f t="shared" si="59"/>
        <v>0.13539330025406401</v>
      </c>
      <c r="AI51" s="1150">
        <f t="shared" si="59"/>
        <v>0.19649901580059304</v>
      </c>
      <c r="AJ51" s="1150">
        <f t="shared" si="59"/>
        <v>0.15642696580295931</v>
      </c>
      <c r="AK51" s="1150">
        <f t="shared" si="59"/>
        <v>0.17203429374415735</v>
      </c>
      <c r="AL51" s="1150">
        <f t="shared" si="59"/>
        <v>0.15476097109604972</v>
      </c>
      <c r="AM51" s="1150">
        <f t="shared" si="59"/>
        <v>0.16396326148774099</v>
      </c>
      <c r="AN51" s="1150">
        <f t="shared" si="59"/>
        <v>0.32174645720855688</v>
      </c>
      <c r="AO51" s="1150">
        <f t="shared" si="59"/>
        <v>0.19761273209549071</v>
      </c>
      <c r="AP51" s="1150">
        <f t="shared" si="59"/>
        <v>0.18413812609350802</v>
      </c>
      <c r="AQ51" s="1150">
        <f t="shared" si="59"/>
        <v>0.22748377069753956</v>
      </c>
      <c r="AR51" s="1150">
        <f t="shared" si="59"/>
        <v>0.16876233921170219</v>
      </c>
      <c r="AS51" s="1150">
        <f t="shared" si="59"/>
        <v>0.23506395786305492</v>
      </c>
      <c r="AT51" s="1150">
        <f t="shared" si="59"/>
        <v>0.17427188331926954</v>
      </c>
      <c r="AU51" s="1151">
        <f t="shared" si="59"/>
        <v>0.17636240024969435</v>
      </c>
      <c r="AV51" s="1150">
        <f t="shared" ref="AV51:AY51" si="63">+AV46/SUM(AV$44:AV$46)</f>
        <v>0.17373874486935703</v>
      </c>
      <c r="AW51" s="1150">
        <f t="shared" si="63"/>
        <v>0.21775006186442972</v>
      </c>
      <c r="AX51" s="1150">
        <f t="shared" si="63"/>
        <v>3.1648211714491913E-2</v>
      </c>
      <c r="AY51" s="1150">
        <f t="shared" si="63"/>
        <v>0.222339475022681</v>
      </c>
      <c r="BN51" s="45"/>
    </row>
    <row r="52" spans="1:82" ht="10.5">
      <c r="A52" s="45"/>
      <c r="B52" s="45"/>
      <c r="C52" s="45"/>
      <c r="D52" s="45"/>
      <c r="E52" s="45"/>
      <c r="F52" s="45"/>
      <c r="G52" s="45"/>
      <c r="H52" s="45"/>
      <c r="I52" s="45"/>
      <c r="J52" s="45"/>
      <c r="K52" s="45"/>
      <c r="L52" s="45"/>
      <c r="M52" s="45"/>
      <c r="N52" s="45"/>
      <c r="O52" s="45"/>
      <c r="P52" s="45"/>
      <c r="Q52" s="45"/>
      <c r="R52" s="45"/>
      <c r="S52" s="45"/>
      <c r="AU52" s="1067"/>
      <c r="BN52" s="45"/>
    </row>
    <row r="53" spans="1:82" ht="10.5">
      <c r="A53" s="858" t="s">
        <v>896</v>
      </c>
      <c r="B53" s="13"/>
      <c r="C53" s="13"/>
      <c r="D53" s="13"/>
      <c r="E53" s="13"/>
      <c r="F53" s="833"/>
      <c r="G53" s="833"/>
      <c r="H53" s="833"/>
      <c r="I53" s="833"/>
      <c r="J53" s="833"/>
      <c r="K53" s="833"/>
      <c r="L53" s="833"/>
      <c r="M53" s="833"/>
      <c r="N53" s="833"/>
      <c r="O53" s="833"/>
      <c r="P53" s="833"/>
      <c r="Q53" s="833"/>
      <c r="R53" s="833"/>
      <c r="S53" s="833"/>
      <c r="T53" s="833"/>
      <c r="U53" s="833"/>
      <c r="V53" s="833"/>
      <c r="W53" s="833"/>
      <c r="X53" s="833"/>
      <c r="Y53" s="833"/>
      <c r="Z53" s="833"/>
      <c r="AA53" s="833"/>
      <c r="AB53" s="833"/>
      <c r="AC53" s="833"/>
      <c r="AD53" s="833"/>
      <c r="AE53" s="833"/>
      <c r="AF53" s="833"/>
      <c r="AG53" s="833"/>
      <c r="AH53" s="833"/>
      <c r="AI53" s="833"/>
      <c r="AJ53" s="833"/>
      <c r="AK53" s="833"/>
      <c r="AL53" s="833"/>
      <c r="AM53" s="833"/>
      <c r="AN53" s="833"/>
      <c r="AO53" s="1121"/>
      <c r="AP53" s="1121"/>
      <c r="AQ53" s="1121"/>
      <c r="AR53" s="1121"/>
      <c r="AS53" s="1121"/>
      <c r="AT53" s="1121"/>
      <c r="AU53" s="1122"/>
      <c r="AV53" s="1118"/>
      <c r="AW53" s="1118"/>
      <c r="AX53" s="1118"/>
      <c r="AY53" s="1118"/>
      <c r="AZ53" s="1121"/>
      <c r="BA53" s="1121"/>
      <c r="BB53" s="1121"/>
      <c r="BC53" s="1121"/>
      <c r="BD53" s="1121"/>
      <c r="BE53" s="1121"/>
      <c r="BF53" s="1121"/>
      <c r="BG53" s="1121"/>
      <c r="BH53" s="1121"/>
      <c r="BI53" s="1121"/>
      <c r="BN53" s="13"/>
      <c r="BO53" s="1121"/>
      <c r="BP53" s="1121"/>
      <c r="BQ53" s="1121"/>
      <c r="BR53" s="1121"/>
      <c r="BS53" s="1121"/>
      <c r="BT53" s="1121"/>
      <c r="BU53" s="1121"/>
      <c r="BV53" s="1121"/>
      <c r="BW53" s="1121"/>
      <c r="BX53" s="1121"/>
      <c r="BY53" s="1121"/>
      <c r="BZ53" s="1121"/>
      <c r="CA53" s="1121"/>
      <c r="CB53" s="1121"/>
      <c r="CC53" s="1121"/>
      <c r="CD53" s="1121"/>
    </row>
    <row r="54" spans="1:82">
      <c r="A54" s="100" t="str">
        <f>+A49</f>
        <v>AWS (cons. forecast)</v>
      </c>
      <c r="B54" s="843"/>
      <c r="C54" s="1118"/>
      <c r="D54" s="1118"/>
      <c r="E54" s="1118"/>
      <c r="F54" s="1118">
        <f t="shared" ref="F54:AT54" si="64">SUM(C44:F44)</f>
        <v>428.69822485207101</v>
      </c>
      <c r="G54" s="1118">
        <f t="shared" si="64"/>
        <v>302.20279720279723</v>
      </c>
      <c r="H54" s="1118">
        <f t="shared" si="64"/>
        <v>351.51748251748245</v>
      </c>
      <c r="I54" s="1118">
        <f t="shared" si="64"/>
        <v>454.01360544217687</v>
      </c>
      <c r="J54" s="1118">
        <f t="shared" si="64"/>
        <v>516</v>
      </c>
      <c r="K54" s="1118">
        <f t="shared" si="64"/>
        <v>819</v>
      </c>
      <c r="L54" s="1118">
        <f t="shared" si="64"/>
        <v>916</v>
      </c>
      <c r="M54" s="1118">
        <f t="shared" si="64"/>
        <v>985</v>
      </c>
      <c r="N54" s="1118">
        <f t="shared" si="64"/>
        <v>1000</v>
      </c>
      <c r="O54" s="1118">
        <f t="shared" si="64"/>
        <v>1062</v>
      </c>
      <c r="P54" s="1118">
        <f t="shared" si="64"/>
        <v>1146</v>
      </c>
      <c r="Q54" s="1118">
        <f t="shared" si="64"/>
        <v>1131</v>
      </c>
      <c r="R54" s="1118">
        <f t="shared" si="64"/>
        <v>1095</v>
      </c>
      <c r="S54" s="1118">
        <f t="shared" si="64"/>
        <v>1214</v>
      </c>
      <c r="T54" s="1118">
        <f t="shared" si="64"/>
        <v>1353</v>
      </c>
      <c r="U54" s="1118">
        <f t="shared" si="64"/>
        <v>1577</v>
      </c>
      <c r="V54" s="1118">
        <f t="shared" si="64"/>
        <v>1781</v>
      </c>
      <c r="W54" s="1118">
        <f t="shared" si="64"/>
        <v>2005</v>
      </c>
      <c r="X54" s="1118">
        <f t="shared" si="64"/>
        <v>2095</v>
      </c>
      <c r="Y54" s="1118">
        <f t="shared" si="64"/>
        <v>2317</v>
      </c>
      <c r="Z54" s="1118">
        <f t="shared" si="64"/>
        <v>2254</v>
      </c>
      <c r="AA54" s="1118">
        <f t="shared" si="64"/>
        <v>2276</v>
      </c>
      <c r="AB54" s="1118">
        <f t="shared" si="64"/>
        <v>2316</v>
      </c>
      <c r="AC54" s="1118">
        <f t="shared" si="64"/>
        <v>2524</v>
      </c>
      <c r="AD54" s="1118">
        <f t="shared" si="64"/>
        <v>2523</v>
      </c>
      <c r="AE54" s="1118">
        <f t="shared" si="64"/>
        <v>2427</v>
      </c>
      <c r="AF54" s="1118">
        <f t="shared" si="64"/>
        <v>2606</v>
      </c>
      <c r="AG54" s="1118">
        <f t="shared" si="64"/>
        <v>2788</v>
      </c>
      <c r="AH54" s="1118">
        <f t="shared" si="64"/>
        <v>3284</v>
      </c>
      <c r="AI54" s="1118">
        <f t="shared" si="64"/>
        <v>4001</v>
      </c>
      <c r="AJ54" s="1118">
        <f t="shared" si="64"/>
        <v>4509</v>
      </c>
      <c r="AK54" s="1118">
        <f t="shared" si="64"/>
        <v>5038</v>
      </c>
      <c r="AL54" s="1118">
        <f t="shared" si="64"/>
        <v>4938</v>
      </c>
      <c r="AM54" s="1118">
        <f t="shared" si="64"/>
        <v>4930</v>
      </c>
      <c r="AN54" s="1118">
        <f t="shared" si="64"/>
        <v>4428</v>
      </c>
      <c r="AO54" s="1118">
        <f t="shared" si="64"/>
        <v>3598</v>
      </c>
      <c r="AP54" s="1118">
        <f t="shared" si="64"/>
        <v>2913</v>
      </c>
      <c r="AQ54" s="1118">
        <f t="shared" si="64"/>
        <v>2401</v>
      </c>
      <c r="AR54" s="1118">
        <f t="shared" si="64"/>
        <v>2521</v>
      </c>
      <c r="AS54" s="1118">
        <f t="shared" si="64"/>
        <v>2826</v>
      </c>
      <c r="AT54" s="1118">
        <f t="shared" si="64"/>
        <v>3683</v>
      </c>
      <c r="AU54" s="1122">
        <f>SUM(AR44:AU44)</f>
        <v>3840.5</v>
      </c>
      <c r="AV54" s="1118">
        <f t="shared" ref="AV54:AY56" si="65">SUM(AS44:AV44)</f>
        <v>4112.7000000000007</v>
      </c>
      <c r="AW54" s="1118">
        <f t="shared" si="65"/>
        <v>4409.7000000000007</v>
      </c>
      <c r="AX54" s="1118">
        <f t="shared" si="65"/>
        <v>4515.9000000000015</v>
      </c>
      <c r="AY54" s="1118">
        <f t="shared" si="65"/>
        <v>4712.4000000000015</v>
      </c>
      <c r="AZ54" s="1118"/>
      <c r="BA54" s="1118"/>
      <c r="BB54" s="1118"/>
      <c r="BC54" s="1118"/>
      <c r="BD54" s="1118"/>
      <c r="BE54" s="1118"/>
      <c r="BF54" s="1118"/>
      <c r="BG54" s="1118"/>
      <c r="BH54" s="1118"/>
      <c r="BI54" s="1118"/>
      <c r="BN54" s="843" t="s">
        <v>894</v>
      </c>
      <c r="BP54" s="1119" t="e">
        <f t="shared" ref="BP54:CC54" si="66">BP19-BO19</f>
        <v>#DIV/0!</v>
      </c>
      <c r="BQ54" s="1119" t="e">
        <f t="shared" si="66"/>
        <v>#DIV/0!</v>
      </c>
      <c r="BR54" s="1119">
        <f t="shared" si="66"/>
        <v>-0.61914684061168035</v>
      </c>
      <c r="BS54" s="1119">
        <f t="shared" si="66"/>
        <v>-1.1555813167670514E-2</v>
      </c>
      <c r="BT54" s="1119">
        <f t="shared" si="66"/>
        <v>0.31655572452308134</v>
      </c>
      <c r="BU54" s="1119">
        <f t="shared" si="66"/>
        <v>-0.31747331387391542</v>
      </c>
      <c r="BV54" s="1119">
        <f t="shared" si="66"/>
        <v>3.0880314152248012E-2</v>
      </c>
      <c r="BW54" s="1119">
        <f t="shared" si="66"/>
        <v>0.44760416359520638</v>
      </c>
      <c r="BX54" s="1119">
        <f t="shared" si="66"/>
        <v>-0.4808109932586514</v>
      </c>
      <c r="BY54" s="1119">
        <f t="shared" si="66"/>
        <v>-0.31273494860974471</v>
      </c>
      <c r="BZ54" s="1119">
        <f t="shared" si="66"/>
        <v>0.86561850285002495</v>
      </c>
      <c r="CA54" s="1119">
        <f t="shared" si="66"/>
        <v>-0.31453957872713834</v>
      </c>
      <c r="CB54" s="1119">
        <f t="shared" si="66"/>
        <v>-0.80849767420409058</v>
      </c>
      <c r="CC54" s="1119">
        <f t="shared" si="66"/>
        <v>3.3548644863348329</v>
      </c>
      <c r="CD54" s="1119"/>
    </row>
    <row r="55" spans="1:82">
      <c r="A55" s="843" t="str">
        <f>+A20</f>
        <v>Azure</v>
      </c>
      <c r="B55" s="843"/>
      <c r="C55" s="843"/>
      <c r="D55" s="843"/>
      <c r="E55" s="843"/>
      <c r="F55" s="1118"/>
      <c r="G55" s="1118"/>
      <c r="H55" s="1118"/>
      <c r="I55" s="1118"/>
      <c r="J55" s="1118"/>
      <c r="K55" s="1118"/>
      <c r="L55" s="1118"/>
      <c r="M55" s="1118"/>
      <c r="N55" s="1118"/>
      <c r="O55" s="1118"/>
      <c r="P55" s="1118">
        <f t="shared" ref="P55:Q55" si="67">SUM(M45:P45)</f>
        <v>396.75905260192354</v>
      </c>
      <c r="Q55" s="1118">
        <f t="shared" si="67"/>
        <v>389.92425802938874</v>
      </c>
      <c r="R55" s="1118">
        <f t="shared" ref="R55" si="68">SUM(O45:R45)</f>
        <v>428.55913624485788</v>
      </c>
      <c r="S55" s="1118">
        <f t="shared" ref="S55" si="69">SUM(P45:S45)</f>
        <v>597.39595559201894</v>
      </c>
      <c r="T55" s="1118">
        <f t="shared" ref="T55" si="70">SUM(Q45:T45)</f>
        <v>731.44472877074463</v>
      </c>
      <c r="U55" s="1118">
        <f t="shared" ref="U55" si="71">SUM(R45:U45)</f>
        <v>835.49529940014384</v>
      </c>
      <c r="V55" s="1118">
        <f t="shared" ref="V55" si="72">SUM(S45:V45)</f>
        <v>918.88093927136151</v>
      </c>
      <c r="W55" s="1118">
        <f t="shared" ref="W55" si="73">SUM(T45:W45)</f>
        <v>1177.6771577787506</v>
      </c>
      <c r="X55" s="1118">
        <f t="shared" ref="X55" si="74">SUM(U45:X45)</f>
        <v>1171.7079316381178</v>
      </c>
      <c r="Y55" s="1118">
        <f t="shared" ref="Y55" si="75">SUM(V45:Y45)</f>
        <v>1301.9305902391177</v>
      </c>
      <c r="Z55" s="1118">
        <f t="shared" ref="Z55" si="76">SUM(W45:Z45)</f>
        <v>1395.047262237789</v>
      </c>
      <c r="AA55" s="1118">
        <f t="shared" ref="AA55" si="77">SUM(X45:AA45)</f>
        <v>1550.0344498375657</v>
      </c>
      <c r="AB55" s="1118">
        <f t="shared" ref="AB55" si="78">SUM(Y45:AB45)</f>
        <v>1603.9062181098498</v>
      </c>
      <c r="AC55" s="1118">
        <f t="shared" ref="AC55" si="79">SUM(Z45:AC45)</f>
        <v>1847.9157412749328</v>
      </c>
      <c r="AD55" s="1118">
        <f t="shared" ref="AD55" si="80">SUM(AA45:AD45)</f>
        <v>1943.1055782333124</v>
      </c>
      <c r="AE55" s="1118">
        <f t="shared" ref="AE55" si="81">SUM(AB45:AE45)</f>
        <v>1883.9715456781228</v>
      </c>
      <c r="AF55" s="1118">
        <f t="shared" ref="AF55" si="82">SUM(AC45:AF45)</f>
        <v>2069.2508761245763</v>
      </c>
      <c r="AG55" s="1118">
        <f t="shared" ref="AG55" si="83">SUM(AD45:AG45)</f>
        <v>2411.6955621186671</v>
      </c>
      <c r="AH55" s="1118">
        <f t="shared" ref="AH55" si="84">SUM(AE45:AH45)</f>
        <v>2611.4845025258082</v>
      </c>
      <c r="AI55" s="1118">
        <f t="shared" ref="AI55" si="85">SUM(AF45:AI45)</f>
        <v>3020.3310512363933</v>
      </c>
      <c r="AJ55" s="1118">
        <f t="shared" ref="AJ55" si="86">SUM(AG45:AJ45)</f>
        <v>3191.2177338199008</v>
      </c>
      <c r="AK55" s="1118">
        <f t="shared" ref="AK55" si="87">SUM(AH45:AK45)</f>
        <v>3321.1388014049735</v>
      </c>
      <c r="AL55" s="1118">
        <f t="shared" ref="AL55" si="88">SUM(AI45:AL45)</f>
        <v>3571.0282813995718</v>
      </c>
      <c r="AM55" s="1118">
        <f t="shared" ref="AM55" si="89">SUM(AJ45:AM45)</f>
        <v>3523.2823585698479</v>
      </c>
      <c r="AN55" s="1118">
        <f t="shared" ref="AN55" si="90">SUM(AK45:AN45)</f>
        <v>3321.0614537915008</v>
      </c>
      <c r="AO55" s="1118">
        <f t="shared" ref="AO55" si="91">SUM(AL45:AO45)</f>
        <v>3314.2116730412417</v>
      </c>
      <c r="AP55" s="1118">
        <f t="shared" ref="AP55" si="92">SUM(AM45:AP45)</f>
        <v>3085.8381030229066</v>
      </c>
      <c r="AQ55" s="1118">
        <f t="shared" ref="AQ55" si="93">SUM(AN45:AQ45)</f>
        <v>3237.2708940704561</v>
      </c>
      <c r="AR55" s="1118">
        <f t="shared" ref="AR55" si="94">SUM(AO45:AR45)</f>
        <v>3741</v>
      </c>
      <c r="AS55" s="1118">
        <f t="shared" ref="AS55" si="95">SUM(AP45:AS45)</f>
        <v>4162.5</v>
      </c>
      <c r="AT55" s="1118">
        <f t="shared" ref="AT55:AU55" si="96">SUM(AQ45:AT45)</f>
        <v>4499.6091154078458</v>
      </c>
      <c r="AU55" s="1122">
        <f t="shared" si="96"/>
        <v>4549.6107103590166</v>
      </c>
      <c r="AV55" s="1118">
        <f>SUM(AS45:AV45)</f>
        <v>4859.7000657030476</v>
      </c>
      <c r="AW55" s="1118">
        <f t="shared" si="65"/>
        <v>5207.6776684430297</v>
      </c>
      <c r="AX55" s="1118">
        <f t="shared" si="65"/>
        <v>5433.3157739604176</v>
      </c>
      <c r="AY55" s="1118">
        <f t="shared" si="65"/>
        <v>5888.9567665334871</v>
      </c>
      <c r="AZ55" s="1118"/>
      <c r="BA55" s="1118"/>
      <c r="BB55" s="1118"/>
      <c r="BC55" s="1118"/>
      <c r="BD55" s="1118"/>
      <c r="BE55" s="1118"/>
      <c r="BF55" s="1118"/>
      <c r="BG55" s="1118"/>
      <c r="BH55" s="1118"/>
      <c r="BI55" s="1118"/>
      <c r="BN55" s="843" t="str">
        <f>BN54</f>
        <v>Y/Y Dollar Growth</v>
      </c>
      <c r="BP55" s="1119"/>
      <c r="BQ55" s="1119">
        <f t="shared" ref="BQ55:CB55" si="97">BQ20-BP20</f>
        <v>0</v>
      </c>
      <c r="BR55" s="1119">
        <f t="shared" si="97"/>
        <v>0</v>
      </c>
      <c r="BS55" s="1119">
        <f t="shared" si="97"/>
        <v>0</v>
      </c>
      <c r="BT55" s="1119">
        <f t="shared" si="97"/>
        <v>0</v>
      </c>
      <c r="BU55" s="1119">
        <f t="shared" si="97"/>
        <v>0</v>
      </c>
      <c r="BV55" s="1119">
        <f t="shared" si="97"/>
        <v>0</v>
      </c>
      <c r="BW55" s="1119">
        <f t="shared" si="97"/>
        <v>0</v>
      </c>
      <c r="BX55" s="1119">
        <f t="shared" si="97"/>
        <v>0</v>
      </c>
      <c r="BY55" s="1119">
        <f t="shared" si="97"/>
        <v>0</v>
      </c>
      <c r="BZ55" s="1119">
        <f t="shared" si="97"/>
        <v>0</v>
      </c>
      <c r="CA55" s="1119">
        <f t="shared" si="97"/>
        <v>0</v>
      </c>
      <c r="CB55" s="1119">
        <f t="shared" si="97"/>
        <v>0</v>
      </c>
      <c r="CC55" s="1119"/>
      <c r="CD55" s="1119"/>
    </row>
    <row r="56" spans="1:82">
      <c r="A56" s="843" t="str">
        <f>+A21</f>
        <v>Google Cloud (cons. forecast)</v>
      </c>
      <c r="B56" s="843"/>
      <c r="C56" s="843"/>
      <c r="D56" s="843"/>
      <c r="E56" s="843"/>
      <c r="F56" s="843"/>
      <c r="G56" s="843"/>
      <c r="H56" s="843"/>
      <c r="I56" s="843"/>
      <c r="J56" s="843"/>
      <c r="K56" s="843"/>
      <c r="L56" s="843"/>
      <c r="M56" s="843"/>
      <c r="N56" s="843"/>
      <c r="O56" s="843"/>
      <c r="P56" s="843"/>
      <c r="Q56" s="843"/>
      <c r="R56" s="843"/>
      <c r="S56" s="843"/>
      <c r="T56" s="41"/>
      <c r="U56" s="41"/>
      <c r="V56" s="41"/>
      <c r="W56" s="41"/>
      <c r="X56" s="41"/>
      <c r="Y56" s="41"/>
      <c r="Z56" s="1118"/>
      <c r="AA56" s="1118"/>
      <c r="AB56" s="1118"/>
      <c r="AC56" s="1118">
        <f t="shared" ref="AC56" si="98">SUM(Z46:AC46)</f>
        <v>905</v>
      </c>
      <c r="AD56" s="1118">
        <f t="shared" ref="AD56" si="99">SUM(AA46:AD46)</f>
        <v>952</v>
      </c>
      <c r="AE56" s="1118">
        <f t="shared" ref="AE56" si="100">SUM(AB46:AE46)</f>
        <v>907</v>
      </c>
      <c r="AF56" s="1118">
        <f t="shared" ref="AF56" si="101">SUM(AC46:AF46)</f>
        <v>1065</v>
      </c>
      <c r="AG56" s="1118">
        <f t="shared" ref="AG56" si="102">SUM(AD46:AG46)</f>
        <v>1217</v>
      </c>
      <c r="AH56" s="1118">
        <f t="shared" ref="AH56" si="103">SUM(AE46:AH46)</f>
        <v>1270</v>
      </c>
      <c r="AI56" s="1118">
        <f t="shared" ref="AI56" si="104">SUM(AF46:AI46)</f>
        <v>1621</v>
      </c>
      <c r="AJ56" s="1118">
        <f t="shared" ref="AJ56" si="105">SUM(AG46:AJ46)</f>
        <v>1546</v>
      </c>
      <c r="AK56" s="1118">
        <f t="shared" ref="AK56" si="106">SUM(AH46:AK46)</f>
        <v>1710</v>
      </c>
      <c r="AL56" s="1118">
        <f t="shared" ref="AL56" si="107">SUM(AI46:AL46)</f>
        <v>1774</v>
      </c>
      <c r="AM56" s="1118">
        <f t="shared" ref="AM56" si="108">SUM(AJ46:AM46)</f>
        <v>1648</v>
      </c>
      <c r="AN56" s="1118">
        <f t="shared" ref="AN56" si="109">SUM(AK46:AN46)</f>
        <v>1878</v>
      </c>
      <c r="AO56" s="1118">
        <f t="shared" ref="AO56" si="110">SUM(AL46:AO46)</f>
        <v>1774</v>
      </c>
      <c r="AP56" s="1118">
        <f t="shared" ref="AP56" si="111">SUM(AM46:AP46)</f>
        <v>1633</v>
      </c>
      <c r="AQ56" s="1118">
        <f t="shared" ref="AQ56" si="112">SUM(AN46:AQ46)</f>
        <v>1755</v>
      </c>
      <c r="AR56" s="1118">
        <f t="shared" ref="AR56" si="113">SUM(AO46:AR46)</f>
        <v>1543</v>
      </c>
      <c r="AS56" s="1118">
        <f t="shared" ref="AS56" si="114">SUM(AP46:AS46)</f>
        <v>1877</v>
      </c>
      <c r="AT56" s="1118">
        <f t="shared" ref="AT56" si="115">SUM(AQ46:AT46)</f>
        <v>2120</v>
      </c>
      <c r="AU56" s="1122">
        <f t="shared" ref="AU56" si="116">SUM(AR46:AU46)</f>
        <v>2007</v>
      </c>
      <c r="AV56" s="1118">
        <f t="shared" si="65"/>
        <v>2143</v>
      </c>
      <c r="AW56" s="1118">
        <f t="shared" si="65"/>
        <v>2249</v>
      </c>
      <c r="AX56" s="1118">
        <f t="shared" si="65"/>
        <v>1937</v>
      </c>
      <c r="AY56" s="1118">
        <f t="shared" si="65"/>
        <v>2279</v>
      </c>
      <c r="AZ56" s="1118"/>
      <c r="BA56" s="1118"/>
      <c r="BB56" s="1125"/>
      <c r="BC56" s="1118"/>
      <c r="BD56" s="1118"/>
      <c r="BE56" s="1118"/>
      <c r="BF56" s="1125"/>
      <c r="BG56" s="1118"/>
      <c r="BH56" s="1118"/>
      <c r="BI56" s="1118"/>
      <c r="BN56" s="843" t="str">
        <f>BN54</f>
        <v>Y/Y Dollar Growth</v>
      </c>
      <c r="BP56" s="1119"/>
      <c r="BQ56" s="1119"/>
      <c r="BR56" s="1119"/>
      <c r="BS56" s="1119"/>
      <c r="BT56" s="1119"/>
      <c r="BU56" s="1119"/>
      <c r="BV56" s="1119" t="e">
        <f t="shared" ref="BV56:CC56" si="117">BV21-BU21</f>
        <v>#DIV/0!</v>
      </c>
      <c r="BW56" s="1119" t="e">
        <f t="shared" si="117"/>
        <v>#DIV/0!</v>
      </c>
      <c r="BX56" s="1119">
        <f t="shared" si="117"/>
        <v>-0.23123132527548595</v>
      </c>
      <c r="BY56" s="1119">
        <f t="shared" si="117"/>
        <v>-7.91416761883319E-2</v>
      </c>
      <c r="BZ56" s="1119">
        <f t="shared" si="117"/>
        <v>0.29051583674987014</v>
      </c>
      <c r="CA56" s="1119">
        <f t="shared" si="117"/>
        <v>-0.18308208607716636</v>
      </c>
      <c r="CB56" s="1119">
        <f t="shared" si="117"/>
        <v>-0.21088240245602285</v>
      </c>
      <c r="CC56" s="1119">
        <f t="shared" si="117"/>
        <v>0.96624912141849173</v>
      </c>
      <c r="CD56" s="1119"/>
    </row>
    <row r="57" spans="1:82" ht="10.5">
      <c r="A57" s="45"/>
      <c r="B57" s="45"/>
      <c r="C57" s="45"/>
      <c r="D57" s="45"/>
      <c r="E57" s="45"/>
      <c r="F57" s="45"/>
      <c r="G57" s="45"/>
      <c r="H57" s="45"/>
      <c r="I57" s="45"/>
      <c r="J57" s="45"/>
      <c r="K57" s="45"/>
      <c r="L57" s="45"/>
      <c r="M57" s="45"/>
      <c r="N57" s="45"/>
      <c r="O57" s="45"/>
      <c r="P57" s="45"/>
      <c r="Q57" s="45"/>
      <c r="R57" s="45"/>
      <c r="S57" s="45"/>
      <c r="AU57" s="1067"/>
      <c r="BN57" s="45"/>
    </row>
    <row r="58" spans="1:82" ht="10.5">
      <c r="A58" s="1" t="s">
        <v>346</v>
      </c>
      <c r="B58" s="1"/>
      <c r="C58" s="1"/>
      <c r="D58" s="1"/>
      <c r="E58" s="1"/>
      <c r="F58" s="1"/>
      <c r="G58" s="1"/>
      <c r="H58" s="1"/>
      <c r="I58" s="1"/>
      <c r="J58" s="1"/>
      <c r="K58" s="1"/>
      <c r="L58" s="1"/>
      <c r="M58" s="1"/>
      <c r="N58" s="1"/>
      <c r="O58" s="1"/>
      <c r="P58" s="1"/>
      <c r="Q58" s="1"/>
      <c r="R58" s="1"/>
      <c r="S58" s="1"/>
      <c r="T58" s="1126"/>
      <c r="U58" s="1126"/>
      <c r="V58" s="1126"/>
      <c r="W58" s="1126"/>
      <c r="X58" s="1127"/>
      <c r="Y58" s="1128">
        <f t="shared" ref="Y58:BG58" si="118">Y10+Y9+Y11</f>
        <v>12119.038222160185</v>
      </c>
      <c r="Z58" s="1128">
        <f t="shared" si="118"/>
        <v>12824.411649037254</v>
      </c>
      <c r="AA58" s="1128">
        <f t="shared" si="118"/>
        <v>14504.456944786618</v>
      </c>
      <c r="AB58" s="1128">
        <f t="shared" si="118"/>
        <v>15692.469936264022</v>
      </c>
      <c r="AC58" s="1128">
        <f t="shared" si="118"/>
        <v>17395.953963435117</v>
      </c>
      <c r="AD58" s="1128">
        <f t="shared" si="118"/>
        <v>18242.517227270568</v>
      </c>
      <c r="AE58" s="1128">
        <f t="shared" si="118"/>
        <v>19722.428490464743</v>
      </c>
      <c r="AF58" s="1128">
        <f t="shared" si="118"/>
        <v>21432.720812388598</v>
      </c>
      <c r="AG58" s="1128">
        <f t="shared" si="118"/>
        <v>23812.649525553785</v>
      </c>
      <c r="AH58" s="1128">
        <f t="shared" si="118"/>
        <v>25408.001729796375</v>
      </c>
      <c r="AI58" s="1128">
        <f t="shared" si="118"/>
        <v>28364.759541701133</v>
      </c>
      <c r="AJ58" s="1128">
        <f t="shared" si="118"/>
        <v>30678.938546208497</v>
      </c>
      <c r="AK58" s="1128">
        <f t="shared" si="118"/>
        <v>33881.788326958762</v>
      </c>
      <c r="AL58" s="1128">
        <f t="shared" si="118"/>
        <v>35691.030011195951</v>
      </c>
      <c r="AM58" s="1128">
        <f t="shared" si="118"/>
        <v>38466.041900270982</v>
      </c>
      <c r="AN58" s="1128">
        <f t="shared" si="118"/>
        <v>40306</v>
      </c>
      <c r="AO58" s="1128">
        <f t="shared" si="118"/>
        <v>42568</v>
      </c>
      <c r="AP58" s="1128">
        <f t="shared" si="118"/>
        <v>43322.868114218858</v>
      </c>
      <c r="AQ58" s="1128">
        <f t="shared" si="118"/>
        <v>45859.312794341437</v>
      </c>
      <c r="AR58" s="1128">
        <f t="shared" si="118"/>
        <v>48111</v>
      </c>
      <c r="AS58" s="1128">
        <f t="shared" si="118"/>
        <v>51433.5</v>
      </c>
      <c r="AT58" s="1128">
        <f t="shared" si="118"/>
        <v>53625.477229626704</v>
      </c>
      <c r="AU58" s="1129">
        <f t="shared" si="118"/>
        <v>56256.423504700455</v>
      </c>
      <c r="AV58" s="1128">
        <f t="shared" ref="AV58:AY58" si="119">AV10+AV9+AV11</f>
        <v>59226.400065703048</v>
      </c>
      <c r="AW58" s="1128">
        <f t="shared" si="119"/>
        <v>63299.877668443034</v>
      </c>
      <c r="AX58" s="1128">
        <f t="shared" si="119"/>
        <v>65511.693003587119</v>
      </c>
      <c r="AY58" s="1128">
        <f t="shared" si="119"/>
        <v>69136.780271233947</v>
      </c>
      <c r="AZ58" s="1128">
        <f t="shared" si="118"/>
        <v>69620.897906907659</v>
      </c>
      <c r="BA58" s="1128">
        <f t="shared" si="118"/>
        <v>73284.122945882424</v>
      </c>
      <c r="BB58" s="1128">
        <f t="shared" si="118"/>
        <v>70801.899406387543</v>
      </c>
      <c r="BC58" s="1128">
        <f t="shared" si="118"/>
        <v>73333.614182827674</v>
      </c>
      <c r="BD58" s="1128">
        <f t="shared" si="118"/>
        <v>76410.234856697061</v>
      </c>
      <c r="BE58" s="1128">
        <f t="shared" si="118"/>
        <v>79577.198159257445</v>
      </c>
      <c r="BF58" s="1128">
        <f t="shared" si="118"/>
        <v>80879.536652455688</v>
      </c>
      <c r="BG58" s="1128">
        <f t="shared" si="118"/>
        <v>83515.807321865417</v>
      </c>
      <c r="BH58" s="1128"/>
      <c r="BI58" s="1128"/>
      <c r="BN58" s="1" t="s">
        <v>346</v>
      </c>
      <c r="BO58" s="1128">
        <f t="shared" ref="BO58:CB58" si="120">BO10+BO9+BO11</f>
        <v>3107.5678899854724</v>
      </c>
      <c r="BP58" s="1128">
        <f t="shared" si="120"/>
        <v>4644</v>
      </c>
      <c r="BQ58" s="1128">
        <f t="shared" si="120"/>
        <v>8747.3400796349215</v>
      </c>
      <c r="BR58" s="1128">
        <f t="shared" si="120"/>
        <v>15132.297083127763</v>
      </c>
      <c r="BS58" s="1128">
        <f t="shared" si="120"/>
        <v>22964.192203135528</v>
      </c>
      <c r="BT58" s="1128">
        <f t="shared" si="120"/>
        <v>37441.388822062872</v>
      </c>
      <c r="BU58" s="1128">
        <f t="shared" si="120"/>
        <v>60417.292493523011</v>
      </c>
      <c r="BV58" s="1128">
        <f t="shared" si="120"/>
        <v>83210.316055677686</v>
      </c>
      <c r="BW58" s="1128">
        <f t="shared" si="120"/>
        <v>118333.48814466476</v>
      </c>
      <c r="BX58" s="1128">
        <f t="shared" si="120"/>
        <v>157031.07191146695</v>
      </c>
      <c r="BY58" s="1128">
        <f t="shared" si="120"/>
        <v>188726.68090856029</v>
      </c>
      <c r="BZ58" s="1128">
        <f t="shared" si="120"/>
        <v>232408.17846847323</v>
      </c>
      <c r="CA58" s="1128">
        <f t="shared" si="120"/>
        <v>277553.49412761111</v>
      </c>
      <c r="CB58" s="1128">
        <f t="shared" si="120"/>
        <v>300122.94660516974</v>
      </c>
      <c r="CC58" s="1128"/>
      <c r="CD58" s="1128"/>
    </row>
    <row r="59" spans="1:82" s="1" customFormat="1" ht="10.5">
      <c r="A59" s="1138" t="s">
        <v>113</v>
      </c>
      <c r="B59" s="1138"/>
      <c r="C59" s="1138"/>
      <c r="D59" s="1138"/>
      <c r="E59" s="1138"/>
      <c r="F59" s="1138"/>
      <c r="G59" s="1140"/>
      <c r="H59" s="1140"/>
      <c r="I59" s="1140"/>
      <c r="J59" s="1140"/>
      <c r="K59" s="1140"/>
      <c r="L59" s="1140"/>
      <c r="M59" s="1140"/>
      <c r="N59" s="1140"/>
      <c r="O59" s="1140"/>
      <c r="P59" s="1140"/>
      <c r="Q59" s="1140"/>
      <c r="R59" s="1060"/>
      <c r="S59" s="1060"/>
      <c r="T59" s="1060"/>
      <c r="U59" s="1060"/>
      <c r="V59" s="1060"/>
      <c r="W59" s="1060"/>
      <c r="X59" s="1060"/>
      <c r="Y59" s="1060"/>
      <c r="Z59" s="1060"/>
      <c r="AA59" s="1060"/>
      <c r="AB59" s="1060"/>
      <c r="AC59" s="1060">
        <f t="shared" ref="AC59:BG59" si="121">AC58/Y58-1</f>
        <v>0.43542364043591042</v>
      </c>
      <c r="AD59" s="1060">
        <f t="shared" si="121"/>
        <v>0.42248375414867922</v>
      </c>
      <c r="AE59" s="1060">
        <f t="shared" si="121"/>
        <v>0.35974952840641428</v>
      </c>
      <c r="AF59" s="1060">
        <f t="shared" si="121"/>
        <v>0.36579651893162612</v>
      </c>
      <c r="AG59" s="1060">
        <f t="shared" si="121"/>
        <v>0.3688613786634547</v>
      </c>
      <c r="AH59" s="1060">
        <f t="shared" si="121"/>
        <v>0.39279033771798733</v>
      </c>
      <c r="AI59" s="1060">
        <f t="shared" si="121"/>
        <v>0.43819811821930155</v>
      </c>
      <c r="AJ59" s="1060">
        <f t="shared" si="121"/>
        <v>0.43140662423388521</v>
      </c>
      <c r="AK59" s="1060">
        <f t="shared" si="121"/>
        <v>0.42284831810083134</v>
      </c>
      <c r="AL59" s="1060">
        <f t="shared" si="121"/>
        <v>0.4047161359147935</v>
      </c>
      <c r="AM59" s="1060">
        <f t="shared" si="121"/>
        <v>0.35612085283921435</v>
      </c>
      <c r="AN59" s="1060">
        <f t="shared" si="121"/>
        <v>0.31380034349269481</v>
      </c>
      <c r="AO59" s="1060">
        <f t="shared" si="121"/>
        <v>0.25636815829257364</v>
      </c>
      <c r="AP59" s="1060">
        <f t="shared" si="121"/>
        <v>0.2138307048193584</v>
      </c>
      <c r="AQ59" s="1060">
        <f t="shared" si="121"/>
        <v>0.19220253836458201</v>
      </c>
      <c r="AR59" s="1060">
        <f t="shared" si="121"/>
        <v>0.19364362625911768</v>
      </c>
      <c r="AS59" s="1060">
        <f t="shared" si="121"/>
        <v>0.20826677316293929</v>
      </c>
      <c r="AT59" s="1060">
        <f t="shared" si="121"/>
        <v>0.23780995035336683</v>
      </c>
      <c r="AU59" s="1072">
        <f t="shared" si="121"/>
        <v>0.22671754278101419</v>
      </c>
      <c r="AV59" s="1060">
        <f t="shared" ref="AV59" si="122">AV58/AR58-1</f>
        <v>0.23103656265101646</v>
      </c>
      <c r="AW59" s="1060">
        <f t="shared" ref="AW59" si="123">AW58/AS58-1</f>
        <v>0.23071301133391731</v>
      </c>
      <c r="AX59" s="1060">
        <f t="shared" ref="AX59" si="124">AX58/AT58-1</f>
        <v>0.22165240083669757</v>
      </c>
      <c r="AY59" s="1060">
        <f t="shared" ref="AY59" si="125">AY58/AU58-1</f>
        <v>0.22895797429172315</v>
      </c>
      <c r="AZ59" s="1140">
        <f t="shared" si="121"/>
        <v>0.17550446810330245</v>
      </c>
      <c r="BA59" s="1140">
        <f t="shared" si="121"/>
        <v>0.15772929814707748</v>
      </c>
      <c r="BB59" s="1140">
        <f t="shared" si="121"/>
        <v>8.075209417211604E-2</v>
      </c>
      <c r="BC59" s="1140">
        <f t="shared" si="121"/>
        <v>6.0703346252586776E-2</v>
      </c>
      <c r="BD59" s="1140">
        <f t="shared" si="121"/>
        <v>9.7518663991775112E-2</v>
      </c>
      <c r="BE59" s="1140">
        <f t="shared" si="121"/>
        <v>8.587228666190394E-2</v>
      </c>
      <c r="BF59" s="1140">
        <f t="shared" si="121"/>
        <v>0.14233569057554085</v>
      </c>
      <c r="BG59" s="1140">
        <f t="shared" si="121"/>
        <v>0.13884755650597791</v>
      </c>
      <c r="BH59" s="1140"/>
      <c r="BI59" s="1140"/>
      <c r="BN59" s="1138" t="s">
        <v>886</v>
      </c>
      <c r="BP59" s="1139">
        <f t="shared" ref="BP59:CB59" si="126">BP58/BO58-1</f>
        <v>0.49441626519757542</v>
      </c>
      <c r="BQ59" s="1139">
        <f t="shared" si="126"/>
        <v>0.88357882851742486</v>
      </c>
      <c r="BR59" s="1139">
        <f t="shared" si="126"/>
        <v>0.7299312642888951</v>
      </c>
      <c r="BS59" s="1139">
        <f t="shared" si="126"/>
        <v>0.51756154911472008</v>
      </c>
      <c r="BT59" s="1139">
        <f t="shared" si="126"/>
        <v>0.63042481489728308</v>
      </c>
      <c r="BU59" s="1139">
        <f t="shared" si="126"/>
        <v>0.61364987769687795</v>
      </c>
      <c r="BV59" s="1139">
        <f t="shared" si="126"/>
        <v>0.37725993041806993</v>
      </c>
      <c r="BW59" s="1139">
        <f t="shared" si="126"/>
        <v>0.42210117391556912</v>
      </c>
      <c r="BX59" s="1139">
        <f t="shared" si="126"/>
        <v>0.32702140681844605</v>
      </c>
      <c r="BY59" s="1139">
        <f t="shared" si="126"/>
        <v>0.20184291306986113</v>
      </c>
      <c r="BZ59" s="1139">
        <f t="shared" si="126"/>
        <v>0.23145374755505288</v>
      </c>
      <c r="CA59" s="1139">
        <f t="shared" si="126"/>
        <v>0.19425011613892917</v>
      </c>
      <c r="CB59" s="1139">
        <f t="shared" si="126"/>
        <v>8.1315684922279585E-2</v>
      </c>
      <c r="CC59" s="1139"/>
      <c r="CD59" s="1139"/>
    </row>
    <row r="60" spans="1:82" s="7" customFormat="1">
      <c r="A60" s="1138" t="s">
        <v>888</v>
      </c>
      <c r="B60" s="1138"/>
      <c r="C60" s="1138"/>
      <c r="D60" s="1138"/>
      <c r="E60" s="1138"/>
      <c r="F60" s="1138"/>
      <c r="G60" s="1140"/>
      <c r="H60" s="1140"/>
      <c r="I60" s="1140"/>
      <c r="J60" s="1140"/>
      <c r="K60" s="1140"/>
      <c r="L60" s="1140"/>
      <c r="M60" s="1140"/>
      <c r="N60" s="1140"/>
      <c r="O60" s="1140"/>
      <c r="P60" s="1140"/>
      <c r="Q60" s="1140"/>
      <c r="R60" s="1060"/>
      <c r="S60" s="1060"/>
      <c r="T60" s="1060"/>
      <c r="U60" s="1060"/>
      <c r="V60" s="1060"/>
      <c r="W60" s="1060"/>
      <c r="X60" s="1060"/>
      <c r="Y60" s="1060"/>
      <c r="Z60" s="1060"/>
      <c r="AA60" s="1060"/>
      <c r="AB60" s="1060"/>
      <c r="AC60" s="1060" t="s">
        <v>273</v>
      </c>
      <c r="AD60" s="1060" t="s">
        <v>273</v>
      </c>
      <c r="AE60" s="1060" t="s">
        <v>273</v>
      </c>
      <c r="AF60" s="1060" t="s">
        <v>273</v>
      </c>
      <c r="AG60" s="1060" t="s">
        <v>273</v>
      </c>
      <c r="AH60" s="1060" t="s">
        <v>273</v>
      </c>
      <c r="AI60" s="1060" t="s">
        <v>273</v>
      </c>
      <c r="AJ60" s="1060" t="s">
        <v>273</v>
      </c>
      <c r="AK60" s="1060" t="s">
        <v>273</v>
      </c>
      <c r="AL60" s="1060" t="s">
        <v>273</v>
      </c>
      <c r="AM60" s="1060" t="s">
        <v>273</v>
      </c>
      <c r="AN60" s="1060" t="s">
        <v>273</v>
      </c>
      <c r="AO60" s="1060" t="s">
        <v>273</v>
      </c>
      <c r="AP60" s="1060" t="s">
        <v>273</v>
      </c>
      <c r="AQ60" s="1060" t="s">
        <v>273</v>
      </c>
      <c r="AR60" s="1060" t="s">
        <v>273</v>
      </c>
      <c r="AS60" s="1060" t="s">
        <v>273</v>
      </c>
      <c r="AT60" s="1060" t="s">
        <v>273</v>
      </c>
      <c r="AU60" s="1072" t="s">
        <v>273</v>
      </c>
      <c r="AV60" s="1060" t="s">
        <v>273</v>
      </c>
      <c r="AW60" s="1060" t="s">
        <v>273</v>
      </c>
      <c r="AX60" s="1060" t="s">
        <v>273</v>
      </c>
      <c r="AY60" s="1060" t="s">
        <v>273</v>
      </c>
      <c r="AZ60" s="1140">
        <f t="shared" ref="AZ60" si="127">AZ59/AV59-1</f>
        <v>-0.24036063344482805</v>
      </c>
      <c r="BA60" s="1140">
        <f t="shared" ref="BA60" si="128">BA59/AW59-1</f>
        <v>-0.31633982307659492</v>
      </c>
      <c r="BB60" s="1140">
        <f t="shared" ref="BB60" si="129">BB59/AX59-1</f>
        <v>-0.63568139182209826</v>
      </c>
      <c r="BC60" s="1140">
        <f t="shared" ref="BC60" si="130">BC59/AY59-1</f>
        <v>-0.73487122935826399</v>
      </c>
      <c r="BD60" s="1140">
        <f t="shared" ref="BD60" si="131">BD59/AZ59-1</f>
        <v>-0.4443522433037127</v>
      </c>
      <c r="BE60" s="1140">
        <f t="shared" ref="BE60" si="132">BE59/BA59-1</f>
        <v>-0.45557174430694036</v>
      </c>
      <c r="BF60" s="1140">
        <f t="shared" ref="BF60" si="133">BF59/BB59-1</f>
        <v>0.76262537875692438</v>
      </c>
      <c r="BG60" s="1140">
        <f t="shared" ref="BG60" si="134">BG59/BC59-1</f>
        <v>1.2873130573104303</v>
      </c>
      <c r="BH60" s="1140"/>
      <c r="BI60" s="1140"/>
      <c r="BN60" s="1138" t="s">
        <v>886</v>
      </c>
      <c r="BP60" s="1139" t="e">
        <f t="shared" ref="BP60" si="135">BP59/BO59-1</f>
        <v>#DIV/0!</v>
      </c>
      <c r="BQ60" s="1139">
        <f t="shared" ref="BQ60" si="136">BQ59/BP59-1</f>
        <v>0.78711521184347522</v>
      </c>
      <c r="BR60" s="1139">
        <f t="shared" ref="BR60" si="137">BR59/BQ59-1</f>
        <v>-0.173892310758892</v>
      </c>
      <c r="BS60" s="1139">
        <f t="shared" ref="BS60" si="138">BS59/BR59-1</f>
        <v>-0.29094481297642083</v>
      </c>
      <c r="BT60" s="1139">
        <f t="shared" ref="BT60" si="139">BT59/BS59-1</f>
        <v>0.21806733126835565</v>
      </c>
      <c r="BU60" s="1139">
        <f t="shared" ref="BU60" si="140">BU59/BT59-1</f>
        <v>-2.6608941786560703E-2</v>
      </c>
      <c r="BV60" s="1139">
        <f t="shared" ref="BV60" si="141">BV59/BU59-1</f>
        <v>-0.38521957857470079</v>
      </c>
      <c r="BW60" s="1139">
        <f t="shared" ref="BW60" si="142">BW59/BV59-1</f>
        <v>0.11886033973395271</v>
      </c>
      <c r="BX60" s="1139">
        <f t="shared" ref="BX60" si="143">BX59/BW59-1</f>
        <v>-0.22525350075463524</v>
      </c>
      <c r="BY60" s="1139">
        <f t="shared" ref="BY60" si="144">BY59/BX59-1</f>
        <v>-0.3827837907201006</v>
      </c>
      <c r="BZ60" s="1139">
        <f t="shared" ref="BZ60" si="145">BZ59/BY59-1</f>
        <v>0.1467023738155373</v>
      </c>
      <c r="CA60" s="1139">
        <f t="shared" ref="CA60" si="146">CA59/BZ59-1</f>
        <v>-0.16073894594113047</v>
      </c>
      <c r="CB60" s="1139">
        <f t="shared" ref="CB60" si="147">CB59/CA59-1</f>
        <v>-0.58138668568866136</v>
      </c>
      <c r="CC60" s="1139"/>
      <c r="CD60" s="1139"/>
    </row>
    <row r="61" spans="1:82" s="3" customFormat="1">
      <c r="A61" s="1138" t="s">
        <v>897</v>
      </c>
      <c r="B61" s="7"/>
      <c r="C61" s="7"/>
      <c r="D61" s="7"/>
      <c r="E61" s="7"/>
      <c r="F61" s="7"/>
      <c r="G61" s="7"/>
      <c r="H61" s="7"/>
      <c r="I61" s="7"/>
      <c r="J61" s="7"/>
      <c r="K61" s="7"/>
      <c r="L61" s="7"/>
      <c r="M61" s="7"/>
      <c r="N61" s="7"/>
      <c r="O61" s="7"/>
      <c r="P61" s="7"/>
      <c r="Q61" s="7"/>
      <c r="R61" s="7"/>
      <c r="S61" s="7"/>
      <c r="T61" s="1141"/>
      <c r="U61" s="1141"/>
      <c r="V61" s="1141"/>
      <c r="W61" s="1141"/>
      <c r="X61" s="1142"/>
      <c r="Y61" s="1142"/>
      <c r="Z61" s="1143">
        <f t="shared" ref="Z61:BG61" si="148">Z44+Z45+Z46</f>
        <v>705.37342687707041</v>
      </c>
      <c r="AA61" s="1143">
        <f t="shared" si="148"/>
        <v>1680.045295749363</v>
      </c>
      <c r="AB61" s="1143">
        <f t="shared" si="148"/>
        <v>1188.0129914774038</v>
      </c>
      <c r="AC61" s="1143">
        <f t="shared" si="148"/>
        <v>1703.4840271710955</v>
      </c>
      <c r="AD61" s="1143">
        <f t="shared" si="148"/>
        <v>846.56326383545002</v>
      </c>
      <c r="AE61" s="1143">
        <f t="shared" si="148"/>
        <v>1479.9112631941734</v>
      </c>
      <c r="AF61" s="1143">
        <f t="shared" si="148"/>
        <v>1710.2923219238573</v>
      </c>
      <c r="AG61" s="1143">
        <f t="shared" si="148"/>
        <v>2379.9287131651863</v>
      </c>
      <c r="AH61" s="1143">
        <f t="shared" si="148"/>
        <v>1595.3522042425911</v>
      </c>
      <c r="AI61" s="1143">
        <f t="shared" si="148"/>
        <v>2956.7578119047585</v>
      </c>
      <c r="AJ61" s="1143">
        <f t="shared" si="148"/>
        <v>2314.1790045073649</v>
      </c>
      <c r="AK61" s="1143">
        <f t="shared" si="148"/>
        <v>3202.849780750259</v>
      </c>
      <c r="AL61" s="1143">
        <f t="shared" si="148"/>
        <v>1809.2416842371895</v>
      </c>
      <c r="AM61" s="1143">
        <f t="shared" si="148"/>
        <v>2775.0118890750346</v>
      </c>
      <c r="AN61" s="1143">
        <f t="shared" si="148"/>
        <v>1839.9580997290177</v>
      </c>
      <c r="AO61" s="1143">
        <f t="shared" si="148"/>
        <v>2262</v>
      </c>
      <c r="AP61" s="1143">
        <f t="shared" si="148"/>
        <v>754.86811421885432</v>
      </c>
      <c r="AQ61" s="1143">
        <f t="shared" si="148"/>
        <v>2536.444680122584</v>
      </c>
      <c r="AR61" s="1143">
        <f t="shared" si="148"/>
        <v>2251.6872056585617</v>
      </c>
      <c r="AS61" s="1143">
        <f t="shared" si="148"/>
        <v>3322.5</v>
      </c>
      <c r="AT61" s="1143">
        <f t="shared" si="148"/>
        <v>2191.9772296267001</v>
      </c>
      <c r="AU61" s="1144">
        <f t="shared" si="148"/>
        <v>2630.9462750737548</v>
      </c>
      <c r="AV61" s="1143">
        <f t="shared" ref="AV61:AY61" si="149">AV44+AV45+AV46</f>
        <v>2969.9765610025934</v>
      </c>
      <c r="AW61" s="1143">
        <f t="shared" si="149"/>
        <v>4073.4776027399821</v>
      </c>
      <c r="AX61" s="1143">
        <f t="shared" si="149"/>
        <v>2211.8153351440887</v>
      </c>
      <c r="AY61" s="1143">
        <f t="shared" si="149"/>
        <v>3625.0872676468243</v>
      </c>
      <c r="AZ61" s="1143">
        <f t="shared" si="148"/>
        <v>484.11763567371054</v>
      </c>
      <c r="BA61" s="1143">
        <f t="shared" si="148"/>
        <v>3663.225038974766</v>
      </c>
      <c r="BB61" s="1143">
        <f t="shared" si="148"/>
        <v>-2482.2235394948784</v>
      </c>
      <c r="BC61" s="1143">
        <f t="shared" si="148"/>
        <v>2531.7147764401325</v>
      </c>
      <c r="BD61" s="1143">
        <f t="shared" si="148"/>
        <v>3076.6206738693927</v>
      </c>
      <c r="BE61" s="1143">
        <f t="shared" si="148"/>
        <v>3166.963302560378</v>
      </c>
      <c r="BF61" s="1143">
        <f t="shared" si="148"/>
        <v>1302.3384931982491</v>
      </c>
      <c r="BG61" s="1143">
        <f t="shared" si="148"/>
        <v>2636.2706694097105</v>
      </c>
      <c r="BH61" s="1143"/>
      <c r="BI61" s="1143"/>
      <c r="BN61" s="7" t="s">
        <v>898</v>
      </c>
      <c r="BO61" s="1143"/>
      <c r="BP61" s="1143">
        <f t="shared" ref="BP61:CB61" si="150">BP44+BP45+BP46</f>
        <v>1536.4321100145276</v>
      </c>
      <c r="BQ61" s="1143">
        <f t="shared" si="150"/>
        <v>4103.3400796349215</v>
      </c>
      <c r="BR61" s="1143">
        <f t="shared" si="150"/>
        <v>6384.957003492842</v>
      </c>
      <c r="BS61" s="1143">
        <f t="shared" si="150"/>
        <v>7831.8951200077663</v>
      </c>
      <c r="BT61" s="1143">
        <f t="shared" si="150"/>
        <v>12768.196618927348</v>
      </c>
      <c r="BU61" s="1143">
        <f t="shared" si="150"/>
        <v>15766.903671460139</v>
      </c>
      <c r="BV61" s="1143">
        <f t="shared" si="150"/>
        <v>22793.023562154678</v>
      </c>
      <c r="BW61" s="1143">
        <f t="shared" si="150"/>
        <v>35123.17208898707</v>
      </c>
      <c r="BX61" s="1143">
        <f t="shared" si="150"/>
        <v>38697.58376680217</v>
      </c>
      <c r="BY61" s="1143">
        <f t="shared" si="150"/>
        <v>31695.608997093361</v>
      </c>
      <c r="BZ61" s="1143">
        <f t="shared" si="150"/>
        <v>43681.497559912932</v>
      </c>
      <c r="CA61" s="1143">
        <f t="shared" si="150"/>
        <v>45145.315659137908</v>
      </c>
      <c r="CB61" s="1143">
        <f t="shared" si="150"/>
        <v>22569.452477558596</v>
      </c>
      <c r="CC61" s="1143"/>
      <c r="CD61" s="1143"/>
    </row>
    <row r="62" spans="1:82">
      <c r="AU62" s="1067"/>
    </row>
    <row r="63" spans="1:82">
      <c r="AU63" s="1067"/>
    </row>
    <row r="64" spans="1:82">
      <c r="AU64" s="1067"/>
    </row>
    <row r="65" spans="47:47">
      <c r="AU65" s="1067"/>
    </row>
    <row r="66" spans="47:47">
      <c r="AU66" s="1067"/>
    </row>
    <row r="67" spans="47:47">
      <c r="AU67" s="1067"/>
    </row>
    <row r="68" spans="47:47">
      <c r="AU68" s="1067"/>
    </row>
    <row r="69" spans="47:47">
      <c r="AU69" s="1067"/>
    </row>
    <row r="70" spans="47:47">
      <c r="AU70" s="1067"/>
    </row>
    <row r="71" spans="47:47">
      <c r="AU71" s="1067"/>
    </row>
    <row r="72" spans="47:47">
      <c r="AU72" s="1067"/>
    </row>
    <row r="73" spans="47:47">
      <c r="AU73" s="1067"/>
    </row>
    <row r="74" spans="47:47">
      <c r="AU74" s="1067"/>
    </row>
    <row r="75" spans="47:47">
      <c r="AU75" s="1067"/>
    </row>
    <row r="76" spans="47:47">
      <c r="AU76" s="1067"/>
    </row>
    <row r="77" spans="47:47">
      <c r="AU77" s="1067"/>
    </row>
    <row r="78" spans="47:47">
      <c r="AU78" s="1067"/>
    </row>
    <row r="79" spans="47:47">
      <c r="AU79" s="1067"/>
    </row>
    <row r="80" spans="47:47">
      <c r="AU80" s="1067"/>
    </row>
    <row r="81" spans="1:82">
      <c r="AU81" s="1067"/>
    </row>
    <row r="82" spans="1:82">
      <c r="AU82" s="1067"/>
    </row>
    <row r="83" spans="1:82">
      <c r="AU83" s="1067"/>
    </row>
    <row r="84" spans="1:82">
      <c r="AU84" s="1067"/>
    </row>
    <row r="85" spans="1:82">
      <c r="AU85" s="1067"/>
    </row>
    <row r="86" spans="1:82" ht="10.5">
      <c r="A86" s="1055" t="s">
        <v>899</v>
      </c>
      <c r="AN86" s="9"/>
      <c r="AO86" s="1155"/>
      <c r="AU86" s="1067"/>
    </row>
    <row r="87" spans="1:82">
      <c r="AU87" s="1067"/>
    </row>
    <row r="88" spans="1:82" ht="13.5">
      <c r="A88" s="1"/>
      <c r="B88" s="1130" t="s">
        <v>900</v>
      </c>
      <c r="C88" s="1005"/>
      <c r="D88" s="1005"/>
      <c r="E88" s="1130"/>
      <c r="F88" s="1130" t="s">
        <v>901</v>
      </c>
      <c r="G88" s="1005"/>
      <c r="H88" s="1005"/>
      <c r="I88" s="1130"/>
      <c r="J88" s="1130" t="s">
        <v>902</v>
      </c>
      <c r="K88" s="1005"/>
      <c r="L88" s="1005"/>
      <c r="M88" s="1130"/>
      <c r="N88" s="1130" t="s">
        <v>903</v>
      </c>
      <c r="O88" s="1005"/>
      <c r="P88" s="1005"/>
      <c r="Q88" s="1130"/>
      <c r="R88" s="1130" t="s">
        <v>904</v>
      </c>
      <c r="S88" s="1005"/>
      <c r="T88" s="1130"/>
      <c r="U88" s="1130"/>
      <c r="V88" s="1130" t="s">
        <v>905</v>
      </c>
      <c r="W88" s="1005"/>
      <c r="X88" s="1130"/>
      <c r="Y88" s="1130"/>
      <c r="Z88" s="1130" t="s">
        <v>692</v>
      </c>
      <c r="AA88" s="1005"/>
      <c r="AB88" s="1005"/>
      <c r="AC88" s="1130"/>
      <c r="AD88" s="1130" t="s">
        <v>693</v>
      </c>
      <c r="AE88" s="1005"/>
      <c r="AF88" s="1005"/>
      <c r="AG88" s="1130"/>
      <c r="AH88" s="1130" t="s">
        <v>268</v>
      </c>
      <c r="AI88" s="1130"/>
      <c r="AJ88" s="1130"/>
      <c r="AK88" s="1130"/>
      <c r="AL88" s="1130" t="s">
        <v>906</v>
      </c>
      <c r="AM88" s="1130"/>
      <c r="AN88" s="1130"/>
      <c r="AO88" s="1130"/>
      <c r="AP88" s="1130" t="s">
        <v>907</v>
      </c>
      <c r="AQ88" s="1130"/>
      <c r="AR88" s="1130"/>
      <c r="AS88" s="1130"/>
      <c r="AT88" s="1130" t="s">
        <v>271</v>
      </c>
      <c r="AU88" s="1131"/>
      <c r="AV88" s="1130"/>
      <c r="AW88" s="1130"/>
      <c r="AX88" s="1130" t="s">
        <v>908</v>
      </c>
      <c r="AY88" s="1130"/>
      <c r="AZ88" s="1130"/>
      <c r="BA88" s="1130"/>
      <c r="BB88" s="1130" t="s">
        <v>909</v>
      </c>
      <c r="BC88" s="1130"/>
      <c r="BD88" s="1130"/>
      <c r="BE88" s="1130"/>
      <c r="BF88" s="1130" t="s">
        <v>910</v>
      </c>
      <c r="BG88" s="1130"/>
      <c r="BH88" s="1130"/>
      <c r="BI88" s="1130"/>
    </row>
    <row r="89" spans="1:82" ht="10.5">
      <c r="B89" s="1132" t="s">
        <v>911</v>
      </c>
      <c r="C89" s="1132" t="s">
        <v>912</v>
      </c>
      <c r="D89" s="1132" t="s">
        <v>913</v>
      </c>
      <c r="E89" s="1132" t="s">
        <v>914</v>
      </c>
      <c r="F89" s="1132" t="s">
        <v>911</v>
      </c>
      <c r="G89" s="1132" t="s">
        <v>912</v>
      </c>
      <c r="H89" s="1132" t="s">
        <v>913</v>
      </c>
      <c r="I89" s="1132" t="s">
        <v>914</v>
      </c>
      <c r="J89" s="1132" t="s">
        <v>911</v>
      </c>
      <c r="K89" s="1132" t="s">
        <v>912</v>
      </c>
      <c r="L89" s="1132" t="s">
        <v>913</v>
      </c>
      <c r="M89" s="1132" t="s">
        <v>914</v>
      </c>
      <c r="N89" s="1132" t="s">
        <v>911</v>
      </c>
      <c r="O89" s="1132" t="s">
        <v>912</v>
      </c>
      <c r="P89" s="1132" t="s">
        <v>913</v>
      </c>
      <c r="Q89" s="1132" t="s">
        <v>914</v>
      </c>
      <c r="R89" s="1132" t="s">
        <v>911</v>
      </c>
      <c r="S89" s="1132" t="s">
        <v>912</v>
      </c>
      <c r="T89" s="1132" t="s">
        <v>913</v>
      </c>
      <c r="U89" s="1132" t="s">
        <v>914</v>
      </c>
      <c r="V89" s="1132" t="s">
        <v>911</v>
      </c>
      <c r="W89" s="1132" t="s">
        <v>912</v>
      </c>
      <c r="X89" s="1132" t="s">
        <v>913</v>
      </c>
      <c r="Y89" s="1132" t="s">
        <v>914</v>
      </c>
      <c r="Z89" s="1132" t="s">
        <v>911</v>
      </c>
      <c r="AA89" s="1132" t="s">
        <v>912</v>
      </c>
      <c r="AB89" s="1132" t="s">
        <v>913</v>
      </c>
      <c r="AC89" s="1132" t="s">
        <v>914</v>
      </c>
      <c r="AD89" s="1132" t="s">
        <v>911</v>
      </c>
      <c r="AE89" s="1132" t="s">
        <v>912</v>
      </c>
      <c r="AF89" s="1132" t="s">
        <v>913</v>
      </c>
      <c r="AG89" s="1132" t="s">
        <v>914</v>
      </c>
      <c r="AH89" s="1132" t="s">
        <v>911</v>
      </c>
      <c r="AI89" s="1132" t="s">
        <v>912</v>
      </c>
      <c r="AJ89" s="1132" t="s">
        <v>913</v>
      </c>
      <c r="AK89" s="1132" t="s">
        <v>914</v>
      </c>
      <c r="AL89" s="1132" t="s">
        <v>911</v>
      </c>
      <c r="AM89" s="1132" t="s">
        <v>912</v>
      </c>
      <c r="AN89" s="1132" t="s">
        <v>913</v>
      </c>
      <c r="AO89" s="1132" t="s">
        <v>914</v>
      </c>
      <c r="AP89" s="1132" t="s">
        <v>911</v>
      </c>
      <c r="AQ89" s="1132" t="s">
        <v>912</v>
      </c>
      <c r="AR89" s="1132" t="s">
        <v>913</v>
      </c>
      <c r="AS89" s="1132" t="s">
        <v>914</v>
      </c>
      <c r="AT89" s="1132" t="s">
        <v>911</v>
      </c>
      <c r="AU89" s="1133" t="s">
        <v>912</v>
      </c>
      <c r="AV89" s="1132" t="s">
        <v>913</v>
      </c>
      <c r="AW89" s="1132" t="s">
        <v>914</v>
      </c>
      <c r="AX89" s="1132" t="s">
        <v>911</v>
      </c>
      <c r="AY89" s="1132" t="s">
        <v>912</v>
      </c>
      <c r="AZ89" s="1132" t="s">
        <v>913</v>
      </c>
      <c r="BA89" s="1132" t="s">
        <v>914</v>
      </c>
      <c r="BB89" s="1132" t="s">
        <v>911</v>
      </c>
      <c r="BC89" s="1132" t="s">
        <v>912</v>
      </c>
      <c r="BD89" s="1132" t="s">
        <v>913</v>
      </c>
      <c r="BE89" s="1132" t="s">
        <v>914</v>
      </c>
      <c r="BF89" s="1132" t="s">
        <v>911</v>
      </c>
      <c r="BG89" s="1132" t="s">
        <v>912</v>
      </c>
      <c r="BH89" s="1132" t="s">
        <v>913</v>
      </c>
      <c r="BI89" s="1132" t="s">
        <v>914</v>
      </c>
    </row>
    <row r="90" spans="1:82" ht="10.5">
      <c r="B90" s="1132">
        <f t="shared" ref="B90:AG90" si="151">B7</f>
        <v>41334</v>
      </c>
      <c r="C90" s="1132">
        <f t="shared" si="151"/>
        <v>41426</v>
      </c>
      <c r="D90" s="1132">
        <f t="shared" si="151"/>
        <v>41518</v>
      </c>
      <c r="E90" s="1132">
        <f t="shared" si="151"/>
        <v>41609</v>
      </c>
      <c r="F90" s="1132">
        <f t="shared" si="151"/>
        <v>41699</v>
      </c>
      <c r="G90" s="1132">
        <f t="shared" si="151"/>
        <v>41791</v>
      </c>
      <c r="H90" s="1132">
        <f t="shared" si="151"/>
        <v>41883</v>
      </c>
      <c r="I90" s="1132">
        <f t="shared" si="151"/>
        <v>41974</v>
      </c>
      <c r="J90" s="1132">
        <f t="shared" si="151"/>
        <v>42064</v>
      </c>
      <c r="K90" s="1132">
        <f t="shared" si="151"/>
        <v>42156</v>
      </c>
      <c r="L90" s="1132">
        <f t="shared" si="151"/>
        <v>42248</v>
      </c>
      <c r="M90" s="1132">
        <f t="shared" si="151"/>
        <v>42339</v>
      </c>
      <c r="N90" s="1132">
        <f t="shared" si="151"/>
        <v>42430</v>
      </c>
      <c r="O90" s="1132">
        <f t="shared" si="151"/>
        <v>42522</v>
      </c>
      <c r="P90" s="1132">
        <f t="shared" si="151"/>
        <v>42614</v>
      </c>
      <c r="Q90" s="1132">
        <f t="shared" si="151"/>
        <v>42705</v>
      </c>
      <c r="R90" s="1132">
        <f t="shared" si="151"/>
        <v>42795</v>
      </c>
      <c r="S90" s="1132">
        <f t="shared" si="151"/>
        <v>42887</v>
      </c>
      <c r="T90" s="1132">
        <f t="shared" si="151"/>
        <v>42979</v>
      </c>
      <c r="U90" s="1132">
        <f t="shared" si="151"/>
        <v>43070</v>
      </c>
      <c r="V90" s="1132">
        <f t="shared" si="151"/>
        <v>43160</v>
      </c>
      <c r="W90" s="1132">
        <f t="shared" si="151"/>
        <v>43252</v>
      </c>
      <c r="X90" s="1132">
        <f t="shared" si="151"/>
        <v>43344</v>
      </c>
      <c r="Y90" s="1132">
        <f t="shared" si="151"/>
        <v>43435</v>
      </c>
      <c r="Z90" s="1132">
        <f t="shared" si="151"/>
        <v>43525</v>
      </c>
      <c r="AA90" s="1132">
        <f t="shared" si="151"/>
        <v>43617</v>
      </c>
      <c r="AB90" s="1132">
        <f t="shared" si="151"/>
        <v>43709</v>
      </c>
      <c r="AC90" s="1132">
        <f t="shared" si="151"/>
        <v>43800</v>
      </c>
      <c r="AD90" s="1132">
        <f t="shared" si="151"/>
        <v>43891</v>
      </c>
      <c r="AE90" s="1132">
        <f t="shared" si="151"/>
        <v>43983</v>
      </c>
      <c r="AF90" s="1132">
        <f t="shared" si="151"/>
        <v>44075</v>
      </c>
      <c r="AG90" s="1132">
        <f t="shared" si="151"/>
        <v>44166</v>
      </c>
      <c r="AH90" s="1132">
        <f t="shared" ref="AH90:BI90" si="152">AH7</f>
        <v>44276</v>
      </c>
      <c r="AI90" s="1132">
        <f t="shared" si="152"/>
        <v>44368</v>
      </c>
      <c r="AJ90" s="1132">
        <f t="shared" si="152"/>
        <v>44460</v>
      </c>
      <c r="AK90" s="1132">
        <f t="shared" si="152"/>
        <v>44551</v>
      </c>
      <c r="AL90" s="1132">
        <f t="shared" si="152"/>
        <v>44642</v>
      </c>
      <c r="AM90" s="1132">
        <f t="shared" si="152"/>
        <v>44734</v>
      </c>
      <c r="AN90" s="1132">
        <f t="shared" si="152"/>
        <v>44826</v>
      </c>
      <c r="AO90" s="1132">
        <f t="shared" si="152"/>
        <v>44917</v>
      </c>
      <c r="AP90" s="1132">
        <f t="shared" si="152"/>
        <v>45008</v>
      </c>
      <c r="AQ90" s="1132">
        <f t="shared" si="152"/>
        <v>45100</v>
      </c>
      <c r="AR90" s="1132">
        <f t="shared" si="152"/>
        <v>45192</v>
      </c>
      <c r="AS90" s="1132">
        <f t="shared" si="152"/>
        <v>45649</v>
      </c>
      <c r="AT90" s="1132">
        <f t="shared" si="152"/>
        <v>45375</v>
      </c>
      <c r="AU90" s="1133" t="str">
        <f t="shared" si="152"/>
        <v>Jun-24E</v>
      </c>
      <c r="AV90" s="1132" t="str">
        <f t="shared" si="152"/>
        <v>Sep-24E</v>
      </c>
      <c r="AW90" s="1132" t="str">
        <f t="shared" si="152"/>
        <v>Dec-24E</v>
      </c>
      <c r="AX90" s="1132" t="str">
        <f t="shared" si="152"/>
        <v>Mar-25E</v>
      </c>
      <c r="AY90" s="1132" t="str">
        <f t="shared" si="152"/>
        <v>Jun-25E</v>
      </c>
      <c r="AZ90" s="1132" t="str">
        <f t="shared" si="152"/>
        <v>Sep-25E</v>
      </c>
      <c r="BA90" s="1132" t="str">
        <f t="shared" si="152"/>
        <v>Dec-25E</v>
      </c>
      <c r="BB90" s="1132" t="str">
        <f t="shared" si="152"/>
        <v>Mar-26E</v>
      </c>
      <c r="BC90" s="1132" t="str">
        <f t="shared" si="152"/>
        <v>Jun-26E</v>
      </c>
      <c r="BD90" s="1132" t="str">
        <f t="shared" si="152"/>
        <v>Sep-26E</v>
      </c>
      <c r="BE90" s="1132" t="str">
        <f t="shared" si="152"/>
        <v>Dec-26E</v>
      </c>
      <c r="BF90" s="1132" t="str">
        <f t="shared" si="152"/>
        <v>Mar-27E</v>
      </c>
      <c r="BG90" s="1132" t="str">
        <f t="shared" si="152"/>
        <v>Jun-27E</v>
      </c>
      <c r="BH90" s="1132" t="str">
        <f t="shared" si="152"/>
        <v>Sep-27E</v>
      </c>
      <c r="BI90" s="1132" t="str">
        <f t="shared" si="152"/>
        <v>Dec-27E</v>
      </c>
      <c r="BJ90" s="1134"/>
      <c r="BO90" s="1" t="s">
        <v>867</v>
      </c>
      <c r="BP90" s="1" t="s">
        <v>868</v>
      </c>
      <c r="BQ90" s="1" t="s">
        <v>869</v>
      </c>
      <c r="BR90" s="1" t="s">
        <v>870</v>
      </c>
      <c r="BS90" s="1" t="s">
        <v>871</v>
      </c>
      <c r="BT90" s="1" t="s">
        <v>872</v>
      </c>
      <c r="BU90" s="1" t="s">
        <v>873</v>
      </c>
      <c r="BV90" s="1" t="s">
        <v>874</v>
      </c>
      <c r="BW90" s="1" t="s">
        <v>915</v>
      </c>
      <c r="BX90" s="1" t="s">
        <v>876</v>
      </c>
      <c r="BY90" s="1" t="s">
        <v>877</v>
      </c>
      <c r="BZ90" s="1" t="s">
        <v>878</v>
      </c>
      <c r="CA90" s="1" t="s">
        <v>879</v>
      </c>
      <c r="CB90" s="1" t="s">
        <v>880</v>
      </c>
      <c r="CC90" s="1" t="s">
        <v>881</v>
      </c>
      <c r="CD90" s="1"/>
    </row>
    <row r="91" spans="1:82" ht="10.5">
      <c r="A91" s="45" t="s">
        <v>882</v>
      </c>
      <c r="B91" s="45"/>
      <c r="C91" s="45"/>
      <c r="D91" s="45"/>
      <c r="E91" s="45"/>
      <c r="F91" s="45"/>
      <c r="G91" s="45"/>
      <c r="H91" s="45"/>
      <c r="I91" s="45"/>
      <c r="J91" s="45"/>
      <c r="K91" s="45"/>
      <c r="L91" s="45"/>
      <c r="M91" s="45"/>
      <c r="N91" s="45"/>
      <c r="O91" s="45"/>
      <c r="P91" s="45"/>
      <c r="Q91" s="45"/>
      <c r="R91" s="45"/>
      <c r="S91" s="45"/>
      <c r="AU91" s="1067"/>
      <c r="BN91" s="45" t="s">
        <v>882</v>
      </c>
    </row>
    <row r="92" spans="1:82">
      <c r="A92" t="s">
        <v>86</v>
      </c>
      <c r="B92" s="1117">
        <v>621.30177514792899</v>
      </c>
      <c r="C92" s="1117">
        <v>702.79720279720277</v>
      </c>
      <c r="D92" s="1117">
        <v>817.48251748251755</v>
      </c>
      <c r="E92" s="1117">
        <v>965.98639455782313</v>
      </c>
      <c r="F92" s="1117">
        <v>1050</v>
      </c>
      <c r="G92" s="1117">
        <v>1005</v>
      </c>
      <c r="H92" s="1117">
        <v>1169</v>
      </c>
      <c r="I92" s="1117">
        <v>1420</v>
      </c>
      <c r="J92" s="1117">
        <v>1566</v>
      </c>
      <c r="K92" s="1117">
        <v>1824</v>
      </c>
      <c r="L92" s="1117">
        <v>2085</v>
      </c>
      <c r="M92" s="1117">
        <v>2405</v>
      </c>
      <c r="N92" s="1117">
        <v>2566</v>
      </c>
      <c r="O92" s="1117">
        <v>2886</v>
      </c>
      <c r="P92" s="1117">
        <v>3231</v>
      </c>
      <c r="Q92" s="1117">
        <v>3536</v>
      </c>
      <c r="R92" s="1117">
        <v>3661</v>
      </c>
      <c r="S92" s="1117">
        <v>4100</v>
      </c>
      <c r="T92" s="1117">
        <v>4584</v>
      </c>
      <c r="U92" s="1117">
        <v>5113</v>
      </c>
      <c r="V92" s="1117">
        <v>5442</v>
      </c>
      <c r="W92" s="1117">
        <v>6105</v>
      </c>
      <c r="X92" s="1117">
        <v>6679</v>
      </c>
      <c r="Y92" s="1117">
        <v>7430</v>
      </c>
      <c r="Z92" s="1117">
        <v>7696</v>
      </c>
      <c r="AA92" s="1117">
        <v>8381</v>
      </c>
      <c r="AB92" s="1117">
        <v>8995</v>
      </c>
      <c r="AC92" s="1117">
        <v>9954</v>
      </c>
      <c r="AD92" s="1117">
        <v>10219</v>
      </c>
      <c r="AE92" s="1117">
        <v>10808</v>
      </c>
      <c r="AF92" s="1117">
        <v>11601</v>
      </c>
      <c r="AG92" s="1117">
        <v>12742</v>
      </c>
      <c r="AH92" s="1117">
        <v>13503</v>
      </c>
      <c r="AI92" s="1117">
        <v>14809</v>
      </c>
      <c r="AJ92" s="1117">
        <v>16110</v>
      </c>
      <c r="AK92" s="1117">
        <f t="shared" ref="AK92:BI92" si="153">AK9</f>
        <v>17780</v>
      </c>
      <c r="AL92" s="1117">
        <f t="shared" si="153"/>
        <v>18441</v>
      </c>
      <c r="AM92" s="1117">
        <f t="shared" si="153"/>
        <v>19739</v>
      </c>
      <c r="AN92" s="1117">
        <f t="shared" si="153"/>
        <v>20538</v>
      </c>
      <c r="AO92" s="1117">
        <f t="shared" si="153"/>
        <v>21378</v>
      </c>
      <c r="AP92" s="1118">
        <f t="shared" si="153"/>
        <v>21354</v>
      </c>
      <c r="AQ92" s="1118">
        <f t="shared" si="153"/>
        <v>22140</v>
      </c>
      <c r="AR92" s="1118">
        <f t="shared" si="153"/>
        <v>23059</v>
      </c>
      <c r="AS92" s="1118">
        <f t="shared" si="153"/>
        <v>24204</v>
      </c>
      <c r="AT92" s="1118">
        <f t="shared" si="153"/>
        <v>25037</v>
      </c>
      <c r="AU92" s="1122">
        <f t="shared" si="153"/>
        <v>25980.5</v>
      </c>
      <c r="AV92" s="1118">
        <f t="shared" si="153"/>
        <v>27171.7</v>
      </c>
      <c r="AW92" s="1118">
        <f t="shared" si="153"/>
        <v>28613.7</v>
      </c>
      <c r="AX92" s="1118">
        <f t="shared" si="153"/>
        <v>29552.9</v>
      </c>
      <c r="AY92" s="1118">
        <f t="shared" si="153"/>
        <v>30692.9</v>
      </c>
      <c r="AZ92" s="1118">
        <f t="shared" si="153"/>
        <v>32020.1</v>
      </c>
      <c r="BA92" s="1118">
        <f t="shared" si="153"/>
        <v>33679.699999999997</v>
      </c>
      <c r="BB92" s="1118">
        <f t="shared" si="153"/>
        <v>30870.798249999996</v>
      </c>
      <c r="BC92" s="1118">
        <f t="shared" si="153"/>
        <v>31954.498449999996</v>
      </c>
      <c r="BD92" s="1118">
        <f t="shared" si="153"/>
        <v>33114.646449999993</v>
      </c>
      <c r="BE92" s="1118">
        <f t="shared" si="153"/>
        <v>34639.246449999991</v>
      </c>
      <c r="BF92" s="1118">
        <f t="shared" si="153"/>
        <v>34969.168074999994</v>
      </c>
      <c r="BG92" s="1118">
        <f t="shared" si="153"/>
        <v>36161.238294999996</v>
      </c>
      <c r="BH92" s="1118">
        <f t="shared" si="153"/>
        <v>37437.401094999994</v>
      </c>
      <c r="BI92" s="1118">
        <f t="shared" si="153"/>
        <v>39114.461094999991</v>
      </c>
      <c r="BN92" t="s">
        <v>86</v>
      </c>
      <c r="BO92" s="1119">
        <f>SUM(B92:E92)</f>
        <v>3107.5678899854724</v>
      </c>
      <c r="BP92" s="1119">
        <f>SUM(F92:I92)</f>
        <v>4644</v>
      </c>
      <c r="BQ92" s="1119">
        <f>SUM(J92:M92)</f>
        <v>7880</v>
      </c>
      <c r="BR92" s="1119">
        <f>SUM(N92:Q92)</f>
        <v>12219</v>
      </c>
      <c r="BS92" s="1119">
        <f>SUM(R92:U92)</f>
        <v>17458</v>
      </c>
      <c r="BT92" s="1119">
        <f>SUM(V92:Y92)</f>
        <v>25656</v>
      </c>
      <c r="BU92" s="1119">
        <f>SUM(Z92:AC92)</f>
        <v>35026</v>
      </c>
      <c r="BV92" s="1119">
        <f>SUM(AD92:AG92)</f>
        <v>45370</v>
      </c>
      <c r="BW92" s="1119">
        <f>SUM(AH92:AK92)</f>
        <v>62202</v>
      </c>
      <c r="BX92" s="1119">
        <f>SUM(AL92:AO92)</f>
        <v>80096</v>
      </c>
      <c r="BY92" s="1119">
        <f>SUM(AP92:AS92)</f>
        <v>90757</v>
      </c>
      <c r="BZ92" s="1119">
        <f>SUM(AT92:AW92)</f>
        <v>106802.9</v>
      </c>
      <c r="CA92" s="1119">
        <f>SUM(AX92:BA92)</f>
        <v>125945.59999999999</v>
      </c>
      <c r="CB92" s="1119">
        <f>SUM(BB92:BE92)</f>
        <v>130579.18959999997</v>
      </c>
      <c r="CC92" s="1119">
        <f>SUM(BF92:BI92)</f>
        <v>147682.26855999997</v>
      </c>
      <c r="CD92" s="1119"/>
    </row>
    <row r="93" spans="1:82">
      <c r="A93" s="13" t="s">
        <v>886</v>
      </c>
      <c r="B93" s="13"/>
      <c r="C93" s="13"/>
      <c r="D93" s="13"/>
      <c r="E93" s="13"/>
      <c r="F93" s="833">
        <f t="shared" ref="F93:BI93" si="154">F92/B92-1</f>
        <v>0.69</v>
      </c>
      <c r="G93" s="833">
        <f t="shared" si="154"/>
        <v>0.43000000000000016</v>
      </c>
      <c r="H93" s="833">
        <f t="shared" si="154"/>
        <v>0.42999999999999994</v>
      </c>
      <c r="I93" s="833">
        <f t="shared" si="154"/>
        <v>0.47</v>
      </c>
      <c r="J93" s="833">
        <f t="shared" si="154"/>
        <v>0.49142857142857133</v>
      </c>
      <c r="K93" s="833">
        <f t="shared" si="154"/>
        <v>0.81492537313432845</v>
      </c>
      <c r="L93" s="833">
        <f t="shared" si="154"/>
        <v>0.78357570573139435</v>
      </c>
      <c r="M93" s="833">
        <f t="shared" si="154"/>
        <v>0.69366197183098599</v>
      </c>
      <c r="N93" s="833">
        <f t="shared" si="154"/>
        <v>0.63856960408684538</v>
      </c>
      <c r="O93" s="833">
        <f t="shared" si="154"/>
        <v>0.58223684210526305</v>
      </c>
      <c r="P93" s="833">
        <f t="shared" si="154"/>
        <v>0.54964028776978413</v>
      </c>
      <c r="Q93" s="833">
        <f t="shared" si="154"/>
        <v>0.47027027027027035</v>
      </c>
      <c r="R93" s="833">
        <f t="shared" si="154"/>
        <v>0.42673421667965705</v>
      </c>
      <c r="S93" s="833">
        <f t="shared" si="154"/>
        <v>0.42065142065142069</v>
      </c>
      <c r="T93" s="833">
        <f t="shared" si="154"/>
        <v>0.41875580315691741</v>
      </c>
      <c r="U93" s="833">
        <f t="shared" si="154"/>
        <v>0.44598416289592757</v>
      </c>
      <c r="V93" s="833">
        <f t="shared" si="154"/>
        <v>0.48647910406992634</v>
      </c>
      <c r="W93" s="833">
        <f t="shared" si="154"/>
        <v>0.48902439024390243</v>
      </c>
      <c r="X93" s="833">
        <f t="shared" si="154"/>
        <v>0.45702443280977323</v>
      </c>
      <c r="Y93" s="833">
        <f t="shared" si="154"/>
        <v>0.45315861529434764</v>
      </c>
      <c r="Z93" s="833">
        <f t="shared" si="154"/>
        <v>0.41418596104373395</v>
      </c>
      <c r="AA93" s="833">
        <f t="shared" si="154"/>
        <v>0.37280917280917292</v>
      </c>
      <c r="AB93" s="833">
        <f t="shared" si="154"/>
        <v>0.34675849678095516</v>
      </c>
      <c r="AC93" s="833">
        <f t="shared" si="154"/>
        <v>0.33970390309555865</v>
      </c>
      <c r="AD93" s="833">
        <f t="shared" si="154"/>
        <v>0.32783264033264037</v>
      </c>
      <c r="AE93" s="833">
        <f t="shared" si="154"/>
        <v>0.28958358191146649</v>
      </c>
      <c r="AF93" s="833">
        <f t="shared" si="154"/>
        <v>0.28971650917176217</v>
      </c>
      <c r="AG93" s="833">
        <f t="shared" si="154"/>
        <v>0.28008840667068524</v>
      </c>
      <c r="AH93" s="833">
        <f t="shared" si="154"/>
        <v>0.32136216850963883</v>
      </c>
      <c r="AI93" s="833">
        <f t="shared" si="154"/>
        <v>0.37018874907475952</v>
      </c>
      <c r="AJ93" s="833">
        <f t="shared" si="154"/>
        <v>0.3886733902249806</v>
      </c>
      <c r="AK93" s="833">
        <f t="shared" si="154"/>
        <v>0.39538533982106427</v>
      </c>
      <c r="AL93" s="833">
        <f t="shared" si="154"/>
        <v>0.36569651188624741</v>
      </c>
      <c r="AM93" s="833">
        <f t="shared" si="154"/>
        <v>0.33290566547369838</v>
      </c>
      <c r="AN93" s="833">
        <f t="shared" si="154"/>
        <v>0.27486033519553077</v>
      </c>
      <c r="AO93" s="833">
        <f t="shared" si="154"/>
        <v>0.20236220472440936</v>
      </c>
      <c r="AP93" s="1121">
        <f t="shared" si="154"/>
        <v>0.157963234097934</v>
      </c>
      <c r="AQ93" s="1121">
        <f t="shared" si="154"/>
        <v>0.12163736764780375</v>
      </c>
      <c r="AR93" s="1121">
        <f t="shared" si="154"/>
        <v>0.1227480767358069</v>
      </c>
      <c r="AS93" s="1121">
        <f t="shared" si="154"/>
        <v>0.13219197305641317</v>
      </c>
      <c r="AT93" s="1121">
        <f t="shared" si="154"/>
        <v>0.17247354125690739</v>
      </c>
      <c r="AU93" s="1120">
        <f t="shared" si="154"/>
        <v>0.17346431797651318</v>
      </c>
      <c r="AV93" s="1121">
        <f t="shared" si="154"/>
        <v>0.17835552278936651</v>
      </c>
      <c r="AW93" s="1121">
        <f t="shared" si="154"/>
        <v>0.1821888943976202</v>
      </c>
      <c r="AX93" s="1121">
        <f t="shared" si="154"/>
        <v>0.18036905380037549</v>
      </c>
      <c r="AY93" s="1121">
        <f t="shared" si="154"/>
        <v>0.18138219048902071</v>
      </c>
      <c r="AZ93" s="1121">
        <f t="shared" si="154"/>
        <v>0.17843565179948251</v>
      </c>
      <c r="BA93" s="1121">
        <f t="shared" si="154"/>
        <v>0.17704805739907803</v>
      </c>
      <c r="BB93" s="1121">
        <f t="shared" si="154"/>
        <v>4.459454909670435E-2</v>
      </c>
      <c r="BC93" s="1121">
        <f t="shared" si="154"/>
        <v>4.1103918170000142E-2</v>
      </c>
      <c r="BD93" s="1121">
        <f t="shared" si="154"/>
        <v>3.4183105299483652E-2</v>
      </c>
      <c r="BE93" s="1121">
        <f t="shared" si="154"/>
        <v>2.8490350270340636E-2</v>
      </c>
      <c r="BF93" s="1121">
        <f t="shared" si="154"/>
        <v>0.13275879009704572</v>
      </c>
      <c r="BG93" s="1121">
        <f t="shared" si="154"/>
        <v>0.13164781326743058</v>
      </c>
      <c r="BH93" s="1121">
        <f t="shared" si="154"/>
        <v>0.13053905472090599</v>
      </c>
      <c r="BI93" s="1121">
        <f t="shared" si="154"/>
        <v>0.12919491916372228</v>
      </c>
      <c r="BN93" s="13" t="s">
        <v>886</v>
      </c>
      <c r="BO93" s="1121"/>
      <c r="BP93" s="1121">
        <f t="shared" ref="BP93:CC93" si="155">BP92/BO92-1</f>
        <v>0.49441626519757542</v>
      </c>
      <c r="BQ93" s="1121">
        <f t="shared" si="155"/>
        <v>0.69681309216192933</v>
      </c>
      <c r="BR93" s="1121">
        <f t="shared" si="155"/>
        <v>0.55063451776649752</v>
      </c>
      <c r="BS93" s="1121">
        <f t="shared" si="155"/>
        <v>0.42875849087486695</v>
      </c>
      <c r="BT93" s="1121">
        <f t="shared" si="155"/>
        <v>0.46958414480467403</v>
      </c>
      <c r="BU93" s="1121">
        <f t="shared" si="155"/>
        <v>0.36521671343935136</v>
      </c>
      <c r="BV93" s="1121">
        <f t="shared" si="155"/>
        <v>0.29532347399074976</v>
      </c>
      <c r="BW93" s="1121">
        <f t="shared" si="155"/>
        <v>0.37099404893101173</v>
      </c>
      <c r="BX93" s="1121">
        <f t="shared" si="155"/>
        <v>0.28767563743931057</v>
      </c>
      <c r="BY93" s="1121">
        <f t="shared" si="155"/>
        <v>0.13310277666799841</v>
      </c>
      <c r="BZ93" s="1121">
        <f t="shared" si="155"/>
        <v>0.17680068755027145</v>
      </c>
      <c r="CA93" s="1121">
        <f t="shared" si="155"/>
        <v>0.17923389720691096</v>
      </c>
      <c r="CB93" s="1121">
        <f t="shared" si="155"/>
        <v>3.6790404746176009E-2</v>
      </c>
      <c r="CC93" s="1121">
        <f t="shared" si="155"/>
        <v>0.13097859630153508</v>
      </c>
      <c r="CD93" s="1121"/>
    </row>
    <row r="94" spans="1:82" ht="21" customHeight="1">
      <c r="A94" t="s">
        <v>95</v>
      </c>
      <c r="B94" s="1117">
        <v>127</v>
      </c>
      <c r="C94" s="1117">
        <v>74</v>
      </c>
      <c r="D94" s="1117">
        <v>126</v>
      </c>
      <c r="E94" s="1117">
        <v>205</v>
      </c>
      <c r="F94" s="1117">
        <v>197</v>
      </c>
      <c r="G94" s="1117">
        <v>31</v>
      </c>
      <c r="H94" s="1117">
        <v>45</v>
      </c>
      <c r="I94" s="1117">
        <v>176</v>
      </c>
      <c r="J94" s="1117">
        <v>194</v>
      </c>
      <c r="K94" s="1117">
        <v>305</v>
      </c>
      <c r="L94" s="1117">
        <v>428</v>
      </c>
      <c r="M94" s="1117">
        <v>580</v>
      </c>
      <c r="N94" s="1117">
        <v>603</v>
      </c>
      <c r="O94" s="1117">
        <v>718</v>
      </c>
      <c r="P94" s="1117">
        <v>861</v>
      </c>
      <c r="Q94" s="1117">
        <v>926</v>
      </c>
      <c r="R94" s="1117">
        <v>890</v>
      </c>
      <c r="S94" s="1117">
        <v>916</v>
      </c>
      <c r="T94" s="1117">
        <v>1171</v>
      </c>
      <c r="U94" s="1117">
        <v>1354</v>
      </c>
      <c r="V94" s="1117">
        <v>1400</v>
      </c>
      <c r="W94" s="1117">
        <v>1642</v>
      </c>
      <c r="X94" s="1117">
        <v>2077</v>
      </c>
      <c r="Y94" s="1117">
        <v>2177</v>
      </c>
      <c r="Z94" s="1117">
        <v>2223</v>
      </c>
      <c r="AA94" s="1117">
        <v>2121</v>
      </c>
      <c r="AB94" s="1117">
        <v>2261</v>
      </c>
      <c r="AC94" s="1117">
        <v>2596</v>
      </c>
      <c r="AD94" s="1117">
        <v>3075</v>
      </c>
      <c r="AE94" s="1117">
        <v>3357</v>
      </c>
      <c r="AF94" s="1117">
        <v>3535</v>
      </c>
      <c r="AG94" s="1117">
        <v>3564</v>
      </c>
      <c r="AH94" s="1117">
        <v>4163</v>
      </c>
      <c r="AI94" s="1117">
        <v>4193</v>
      </c>
      <c r="AJ94" s="1117">
        <v>4883</v>
      </c>
      <c r="AK94" s="1117">
        <v>5293</v>
      </c>
      <c r="AL94" s="1117">
        <v>6518</v>
      </c>
      <c r="AM94" s="1117">
        <v>5715</v>
      </c>
      <c r="AN94" s="1117">
        <v>5403</v>
      </c>
      <c r="AO94" s="1117">
        <v>5205</v>
      </c>
      <c r="AP94" s="1118">
        <v>4718.3767169960956</v>
      </c>
      <c r="AQ94" s="1118">
        <v>4105.3829553168844</v>
      </c>
      <c r="AR94" s="1118">
        <v>4448.736839103125</v>
      </c>
      <c r="AS94" s="1118">
        <v>5018.7985210496772</v>
      </c>
      <c r="AT94" s="1118">
        <v>5843.2984353105849</v>
      </c>
      <c r="AU94" s="1122">
        <v>5165.6164797912743</v>
      </c>
      <c r="AV94" s="1118">
        <v>5585.3692989848068</v>
      </c>
      <c r="AW94" s="1118">
        <v>6274.0100014454101</v>
      </c>
      <c r="AX94" s="1118">
        <v>6947.8066950012862</v>
      </c>
      <c r="AY94" s="1118">
        <v>6175.3739426852917</v>
      </c>
      <c r="AZ94" s="1118">
        <v>6656.2902992411609</v>
      </c>
      <c r="BA94" s="1118">
        <v>7443.2302248807182</v>
      </c>
      <c r="BB94" s="1118">
        <v>8055.78259691106</v>
      </c>
      <c r="BC94" s="1118">
        <v>7174.6906491187101</v>
      </c>
      <c r="BD94" s="1118">
        <v>7718.1408367731501</v>
      </c>
      <c r="BE94" s="1118">
        <v>8606.9729079095541</v>
      </c>
      <c r="BF94" s="1118">
        <v>9212.6814679493091</v>
      </c>
      <c r="BG94" s="1118">
        <v>8209.6260796829702</v>
      </c>
      <c r="BH94" s="1118">
        <v>8819.2531485458385</v>
      </c>
      <c r="BI94" s="1118">
        <v>9816.7362297287764</v>
      </c>
      <c r="BN94" t="str">
        <f>A94</f>
        <v>EBIT</v>
      </c>
      <c r="BO94" s="1119">
        <f>SUM(B94:E94)</f>
        <v>532</v>
      </c>
      <c r="BP94" s="1119">
        <f>SUM(F94:I94)</f>
        <v>449</v>
      </c>
      <c r="BQ94" s="1119">
        <f>SUM(J94:M94)</f>
        <v>1507</v>
      </c>
      <c r="BR94" s="1119">
        <f>SUM(N94:Q94)</f>
        <v>3108</v>
      </c>
      <c r="BS94" s="1119">
        <f>SUM(R94:U94)</f>
        <v>4331</v>
      </c>
      <c r="BT94" s="1119">
        <f>SUM(V94:Y94)</f>
        <v>7296</v>
      </c>
      <c r="BU94" s="1119">
        <f>SUM(Z94:AC94)</f>
        <v>9201</v>
      </c>
      <c r="BV94" s="1119">
        <f>SUM(AD94:AG94)</f>
        <v>13531</v>
      </c>
      <c r="BW94" s="1119">
        <f>SUM(AH94:AK94)</f>
        <v>18532</v>
      </c>
      <c r="BX94" s="1119">
        <f>SUM(AL94:AO94)</f>
        <v>22841</v>
      </c>
      <c r="BY94" s="1119">
        <f>SUM(AP94:AS94)</f>
        <v>18291.29503246578</v>
      </c>
      <c r="BZ94" s="1119">
        <f>SUM(AT94:AW94)</f>
        <v>22868.294215532078</v>
      </c>
      <c r="CA94" s="1119">
        <f>SUM(AX94:BA94)</f>
        <v>27222.701161808458</v>
      </c>
      <c r="CB94" s="1119">
        <f>SUM(BB94:BE94)</f>
        <v>31555.586990712472</v>
      </c>
      <c r="CC94" s="1119">
        <f>SUM(BF94:BI94)</f>
        <v>36058.296925906892</v>
      </c>
      <c r="CD94" s="1121"/>
    </row>
    <row r="95" spans="1:82">
      <c r="A95" s="13" t="s">
        <v>916</v>
      </c>
      <c r="B95" s="833">
        <f t="shared" ref="B95:BI95" si="156">B94/B92</f>
        <v>0.20440952380952382</v>
      </c>
      <c r="C95" s="833">
        <f t="shared" si="156"/>
        <v>0.10529353233830846</v>
      </c>
      <c r="D95" s="833">
        <f t="shared" si="156"/>
        <v>0.15413173652694609</v>
      </c>
      <c r="E95" s="833">
        <f t="shared" si="156"/>
        <v>0.21221830985915494</v>
      </c>
      <c r="F95" s="833">
        <f t="shared" si="156"/>
        <v>0.18761904761904763</v>
      </c>
      <c r="G95" s="833">
        <f t="shared" si="156"/>
        <v>3.0845771144278607E-2</v>
      </c>
      <c r="H95" s="833">
        <f t="shared" si="156"/>
        <v>3.8494439692044483E-2</v>
      </c>
      <c r="I95" s="833">
        <f t="shared" si="156"/>
        <v>0.12394366197183099</v>
      </c>
      <c r="J95" s="833">
        <f t="shared" si="156"/>
        <v>0.12388250319284802</v>
      </c>
      <c r="K95" s="833">
        <f t="shared" si="156"/>
        <v>0.16721491228070176</v>
      </c>
      <c r="L95" s="833">
        <f t="shared" si="156"/>
        <v>0.2052757793764988</v>
      </c>
      <c r="M95" s="833">
        <f t="shared" si="156"/>
        <v>0.24116424116424118</v>
      </c>
      <c r="N95" s="833">
        <f t="shared" si="156"/>
        <v>0.23499610288386594</v>
      </c>
      <c r="O95" s="833">
        <f t="shared" si="156"/>
        <v>0.24878724878724878</v>
      </c>
      <c r="P95" s="833">
        <f t="shared" si="156"/>
        <v>0.26648096564531104</v>
      </c>
      <c r="Q95" s="833">
        <f t="shared" si="156"/>
        <v>0.26187782805429866</v>
      </c>
      <c r="R95" s="833">
        <f t="shared" si="156"/>
        <v>0.24310297732859876</v>
      </c>
      <c r="S95" s="833">
        <f t="shared" si="156"/>
        <v>0.22341463414634147</v>
      </c>
      <c r="T95" s="833">
        <f t="shared" si="156"/>
        <v>0.25545375218150085</v>
      </c>
      <c r="U95" s="833">
        <f t="shared" si="156"/>
        <v>0.26481517699980445</v>
      </c>
      <c r="V95" s="833">
        <f t="shared" si="156"/>
        <v>0.25725836089672915</v>
      </c>
      <c r="W95" s="833">
        <f t="shared" si="156"/>
        <v>0.26895986895986895</v>
      </c>
      <c r="X95" s="833">
        <f t="shared" si="156"/>
        <v>0.31097469681089984</v>
      </c>
      <c r="Y95" s="833">
        <f t="shared" si="156"/>
        <v>0.29300134589502019</v>
      </c>
      <c r="Z95" s="833">
        <f t="shared" si="156"/>
        <v>0.28885135135135137</v>
      </c>
      <c r="AA95" s="833">
        <f t="shared" si="156"/>
        <v>0.25307242572485383</v>
      </c>
      <c r="AB95" s="833">
        <f t="shared" si="156"/>
        <v>0.25136186770428015</v>
      </c>
      <c r="AC95" s="833">
        <f t="shared" si="156"/>
        <v>0.26079967852119751</v>
      </c>
      <c r="AD95" s="833">
        <f t="shared" si="156"/>
        <v>0.30091006947842253</v>
      </c>
      <c r="AE95" s="833">
        <f t="shared" si="156"/>
        <v>0.31060325684678014</v>
      </c>
      <c r="AF95" s="833">
        <f t="shared" si="156"/>
        <v>0.30471511076631325</v>
      </c>
      <c r="AG95" s="833">
        <f t="shared" si="156"/>
        <v>0.27970491288651705</v>
      </c>
      <c r="AH95" s="833">
        <f t="shared" si="156"/>
        <v>0.30830185884618233</v>
      </c>
      <c r="AI95" s="833">
        <f t="shared" si="156"/>
        <v>0.28313863191302585</v>
      </c>
      <c r="AJ95" s="833">
        <f t="shared" si="156"/>
        <v>0.3031036623215394</v>
      </c>
      <c r="AK95" s="833">
        <f t="shared" si="156"/>
        <v>0.29769403824521934</v>
      </c>
      <c r="AL95" s="833">
        <f t="shared" si="156"/>
        <v>0.35345154818068436</v>
      </c>
      <c r="AM95" s="833">
        <f t="shared" si="156"/>
        <v>0.28952834490095747</v>
      </c>
      <c r="AN95" s="833">
        <f t="shared" si="156"/>
        <v>0.26307332749050538</v>
      </c>
      <c r="AO95" s="833">
        <f t="shared" si="156"/>
        <v>0.24347460005613247</v>
      </c>
      <c r="AP95" s="1121">
        <f t="shared" si="156"/>
        <v>0.22095985375087082</v>
      </c>
      <c r="AQ95" s="1121">
        <f t="shared" si="156"/>
        <v>0.18542831776499025</v>
      </c>
      <c r="AR95" s="1121">
        <f t="shared" si="156"/>
        <v>0.19292843744755303</v>
      </c>
      <c r="AS95" s="1121">
        <f t="shared" si="156"/>
        <v>0.20735409523424547</v>
      </c>
      <c r="AT95" s="1121">
        <f t="shared" si="156"/>
        <v>0.23338652535489815</v>
      </c>
      <c r="AU95" s="1120">
        <f t="shared" si="156"/>
        <v>0.19882667692274106</v>
      </c>
      <c r="AV95" s="1121">
        <f t="shared" si="156"/>
        <v>0.20555833087310718</v>
      </c>
      <c r="AW95" s="1121">
        <f t="shared" si="156"/>
        <v>0.21926594608335903</v>
      </c>
      <c r="AX95" s="1121">
        <f t="shared" si="156"/>
        <v>0.23509728977532784</v>
      </c>
      <c r="AY95" s="1121">
        <f t="shared" si="156"/>
        <v>0.20119877700332298</v>
      </c>
      <c r="AZ95" s="1121">
        <f t="shared" si="156"/>
        <v>0.2078784981696235</v>
      </c>
      <c r="BA95" s="1121">
        <f t="shared" si="156"/>
        <v>0.22100049064809718</v>
      </c>
      <c r="BB95" s="1121">
        <f t="shared" si="156"/>
        <v>0.26095154818068433</v>
      </c>
      <c r="BC95" s="1121">
        <f t="shared" si="156"/>
        <v>0.22452834490095747</v>
      </c>
      <c r="BD95" s="1121">
        <f t="shared" si="156"/>
        <v>0.23307332749050538</v>
      </c>
      <c r="BE95" s="1121">
        <f t="shared" si="156"/>
        <v>0.24847460005613248</v>
      </c>
      <c r="BF95" s="1121">
        <f t="shared" si="156"/>
        <v>0.26345154818068434</v>
      </c>
      <c r="BG95" s="1121">
        <f t="shared" si="156"/>
        <v>0.22702834490095747</v>
      </c>
      <c r="BH95" s="1121">
        <f t="shared" si="156"/>
        <v>0.23557332749050539</v>
      </c>
      <c r="BI95" s="1121">
        <f t="shared" si="156"/>
        <v>0.25097460005613248</v>
      </c>
      <c r="BN95" s="13"/>
      <c r="BO95" s="1121"/>
      <c r="BP95" s="1121"/>
      <c r="BQ95" s="1121"/>
      <c r="BR95" s="1121"/>
      <c r="BS95" s="1121"/>
      <c r="BT95" s="1121"/>
      <c r="BU95" s="1121"/>
      <c r="BV95" s="1121"/>
      <c r="BW95" s="1121"/>
      <c r="BX95" s="1121"/>
      <c r="BY95" s="1121"/>
      <c r="BZ95" s="1121"/>
      <c r="CA95" s="1121"/>
      <c r="CB95" s="1121"/>
      <c r="CC95" s="1121"/>
      <c r="CD95" s="1121"/>
    </row>
    <row r="96" spans="1:82">
      <c r="A96" s="13"/>
      <c r="B96" s="13"/>
      <c r="C96" s="13"/>
      <c r="D96" s="13"/>
      <c r="E96" s="13"/>
      <c r="F96" s="13"/>
      <c r="G96" s="13"/>
      <c r="H96" s="13"/>
      <c r="I96" s="13"/>
      <c r="J96" s="13"/>
      <c r="K96" s="13"/>
      <c r="L96" s="13"/>
      <c r="M96" s="13"/>
      <c r="N96" s="13"/>
      <c r="O96" s="13"/>
      <c r="P96" s="13"/>
      <c r="Q96" s="13"/>
      <c r="R96" s="13"/>
      <c r="S96" s="13"/>
      <c r="T96" s="833"/>
      <c r="U96" s="833"/>
      <c r="V96" s="833"/>
      <c r="W96" s="833"/>
      <c r="X96" s="833"/>
      <c r="Y96" s="1118"/>
      <c r="Z96" s="833"/>
      <c r="AA96" s="833"/>
      <c r="AB96" s="833"/>
      <c r="AC96" s="833"/>
      <c r="AD96" s="833"/>
      <c r="AE96" s="833"/>
      <c r="AF96" s="833"/>
      <c r="AG96" s="833"/>
      <c r="AH96" s="833"/>
      <c r="AI96" s="833"/>
      <c r="AJ96" s="833"/>
      <c r="AK96" s="833"/>
      <c r="AL96" s="833"/>
      <c r="AM96" s="833"/>
      <c r="AN96" s="833"/>
      <c r="AO96" s="833"/>
      <c r="AU96" s="1067"/>
      <c r="BN96" s="13"/>
    </row>
    <row r="97" spans="1:82" ht="10.5">
      <c r="A97" s="45" t="s">
        <v>363</v>
      </c>
      <c r="B97" s="45"/>
      <c r="C97" s="45"/>
      <c r="D97" s="45"/>
      <c r="E97" s="45"/>
      <c r="F97" s="45"/>
      <c r="G97" s="45"/>
      <c r="H97" s="45"/>
      <c r="I97" s="45"/>
      <c r="J97" s="45"/>
      <c r="K97" s="45"/>
      <c r="L97" s="45"/>
      <c r="M97" s="45"/>
      <c r="N97" s="45"/>
      <c r="O97" s="45"/>
      <c r="P97" s="45"/>
      <c r="Q97" s="45"/>
      <c r="R97" s="45"/>
      <c r="S97" s="45"/>
      <c r="AU97" s="1067"/>
      <c r="BN97" s="45" t="s">
        <v>363</v>
      </c>
    </row>
    <row r="98" spans="1:82">
      <c r="A98" s="100" t="s">
        <v>86</v>
      </c>
      <c r="B98" s="1124"/>
      <c r="C98" s="1124"/>
      <c r="D98" s="1124"/>
      <c r="E98" s="1124"/>
      <c r="F98" s="1124"/>
      <c r="G98" s="1124"/>
      <c r="H98" s="1124"/>
      <c r="I98" s="1124"/>
      <c r="J98" s="1117"/>
      <c r="K98" s="1117"/>
      <c r="L98" s="1117">
        <f t="shared" ref="L98:BG98" si="157">L10</f>
        <v>414.65200514338648</v>
      </c>
      <c r="M98" s="1117">
        <f t="shared" si="157"/>
        <v>452.68807449153462</v>
      </c>
      <c r="N98" s="1117">
        <f t="shared" si="157"/>
        <v>560.92431128324688</v>
      </c>
      <c r="O98" s="1117">
        <f t="shared" si="157"/>
        <v>698.3493815782831</v>
      </c>
      <c r="P98" s="1117">
        <f t="shared" si="157"/>
        <v>811.41105774531002</v>
      </c>
      <c r="Q98" s="1117">
        <f t="shared" si="157"/>
        <v>842.61233252092336</v>
      </c>
      <c r="R98" s="1117">
        <f t="shared" si="157"/>
        <v>989.48344752810476</v>
      </c>
      <c r="S98" s="1117">
        <f t="shared" si="157"/>
        <v>1295.745337170302</v>
      </c>
      <c r="T98" s="1117">
        <f t="shared" si="157"/>
        <v>1542.8557865160546</v>
      </c>
      <c r="U98" s="1117">
        <f t="shared" si="157"/>
        <v>1678.1076319210672</v>
      </c>
      <c r="V98" s="1117">
        <f t="shared" si="157"/>
        <v>1908.3643867994663</v>
      </c>
      <c r="W98" s="1117">
        <f t="shared" si="157"/>
        <v>2473.4224949490526</v>
      </c>
      <c r="X98" s="1117">
        <f t="shared" si="157"/>
        <v>2714.5637181541724</v>
      </c>
      <c r="Y98" s="1117">
        <f t="shared" si="157"/>
        <v>2980.0382221601849</v>
      </c>
      <c r="Z98" s="1117">
        <f t="shared" si="157"/>
        <v>3303.4116490372553</v>
      </c>
      <c r="AA98" s="1117">
        <f t="shared" si="157"/>
        <v>4023.4569447866184</v>
      </c>
      <c r="AB98" s="1117">
        <f t="shared" si="157"/>
        <v>4318.4699362640222</v>
      </c>
      <c r="AC98" s="1117">
        <f t="shared" si="157"/>
        <v>4827.9539634351177</v>
      </c>
      <c r="AD98" s="1117">
        <f t="shared" si="157"/>
        <v>5246.5172272705677</v>
      </c>
      <c r="AE98" s="1117">
        <f t="shared" si="157"/>
        <v>5907.4284904647411</v>
      </c>
      <c r="AF98" s="1117">
        <f t="shared" si="157"/>
        <v>6387.7208123885985</v>
      </c>
      <c r="AG98" s="1117">
        <f t="shared" si="157"/>
        <v>7239.6495255537848</v>
      </c>
      <c r="AH98" s="1117">
        <f t="shared" si="157"/>
        <v>7858.0017297963759</v>
      </c>
      <c r="AI98" s="1117">
        <f t="shared" si="157"/>
        <v>8927.7595417011344</v>
      </c>
      <c r="AJ98" s="1117">
        <f t="shared" si="157"/>
        <v>9578.9385462084992</v>
      </c>
      <c r="AK98" s="1117">
        <f t="shared" si="157"/>
        <v>10560.788326958758</v>
      </c>
      <c r="AL98" s="1117">
        <f t="shared" si="157"/>
        <v>11429.030011195948</v>
      </c>
      <c r="AM98" s="1117">
        <f t="shared" si="157"/>
        <v>12451.041900270982</v>
      </c>
      <c r="AN98" s="1117">
        <f t="shared" si="157"/>
        <v>12900</v>
      </c>
      <c r="AO98" s="1117">
        <f t="shared" si="157"/>
        <v>13875</v>
      </c>
      <c r="AP98" s="1118">
        <f t="shared" si="157"/>
        <v>14514.868114218854</v>
      </c>
      <c r="AQ98" s="1118">
        <f t="shared" si="157"/>
        <v>15688.312794341438</v>
      </c>
      <c r="AR98" s="1118">
        <f t="shared" si="157"/>
        <v>16641</v>
      </c>
      <c r="AS98" s="1118">
        <f t="shared" si="157"/>
        <v>18037.5</v>
      </c>
      <c r="AT98" s="1118">
        <f t="shared" si="157"/>
        <v>19014.4772296267</v>
      </c>
      <c r="AU98" s="1122">
        <f t="shared" si="157"/>
        <v>20237.923504700455</v>
      </c>
      <c r="AV98" s="1118">
        <f t="shared" si="157"/>
        <v>21500.700065703048</v>
      </c>
      <c r="AW98" s="1118">
        <f t="shared" si="157"/>
        <v>23245.17766844303</v>
      </c>
      <c r="AX98" s="1118">
        <f t="shared" si="157"/>
        <v>24447.793003587118</v>
      </c>
      <c r="AY98" s="1118">
        <f t="shared" si="157"/>
        <v>26126.880271233942</v>
      </c>
      <c r="AZ98" s="1118">
        <f t="shared" si="157"/>
        <v>24878.197906907655</v>
      </c>
      <c r="BA98" s="1118">
        <f t="shared" si="157"/>
        <v>25862.722945882422</v>
      </c>
      <c r="BB98" s="1118">
        <f t="shared" si="157"/>
        <v>27048.02505869326</v>
      </c>
      <c r="BC98" s="1118">
        <f t="shared" si="157"/>
        <v>27976.333655539107</v>
      </c>
      <c r="BD98" s="1118">
        <f t="shared" si="157"/>
        <v>28530.744729012018</v>
      </c>
      <c r="BE98" s="1118">
        <f t="shared" si="157"/>
        <v>29398.488044637452</v>
      </c>
      <c r="BF98" s="1118">
        <f t="shared" si="157"/>
        <v>30528.360839585672</v>
      </c>
      <c r="BG98" s="1118">
        <f t="shared" si="157"/>
        <v>31343.413713709495</v>
      </c>
      <c r="BH98" s="1118"/>
      <c r="BI98" s="1118"/>
      <c r="BN98" t="s">
        <v>86</v>
      </c>
      <c r="BO98" s="1118"/>
      <c r="BP98" s="1119">
        <f>SUM(F98:I98)</f>
        <v>0</v>
      </c>
      <c r="BQ98" s="1119">
        <f>SUM(J98:M98)</f>
        <v>867.34007963492104</v>
      </c>
      <c r="BR98" s="1119">
        <f>SUM(N98:Q98)</f>
        <v>2913.297083127763</v>
      </c>
      <c r="BS98" s="1119">
        <f>SUM(R98:U98)</f>
        <v>5506.1922031355289</v>
      </c>
      <c r="BT98" s="1119">
        <f>SUM(V98:Y98)</f>
        <v>10076.388822062876</v>
      </c>
      <c r="BU98" s="1119">
        <f>SUM(Z98:AC98)</f>
        <v>16473.292493523015</v>
      </c>
      <c r="BV98" s="1119">
        <f>SUM(AD98:AG98)</f>
        <v>24781.316055677693</v>
      </c>
      <c r="BW98" s="1119">
        <f>SUM(AH98:AK98)</f>
        <v>36925.488144664763</v>
      </c>
      <c r="BX98" s="1119">
        <f>SUM(AL98:AO98)</f>
        <v>50655.071911466934</v>
      </c>
      <c r="BY98" s="1119">
        <f>SUM(AP98:AS98)</f>
        <v>64881.680908560294</v>
      </c>
      <c r="BZ98" s="1119">
        <f>SUM(AT98:AW98)</f>
        <v>83998.278468473232</v>
      </c>
      <c r="CA98" s="1119">
        <f>SUM(AX98:BA98)</f>
        <v>101315.59412761114</v>
      </c>
      <c r="CB98" s="1119">
        <f>SUM(BB98:BE98)</f>
        <v>112953.59148788184</v>
      </c>
      <c r="CC98" s="1119"/>
      <c r="CD98" s="1119"/>
    </row>
    <row r="99" spans="1:82">
      <c r="A99" s="13" t="s">
        <v>889</v>
      </c>
      <c r="B99" s="13"/>
      <c r="C99" s="13"/>
      <c r="D99" s="13"/>
      <c r="E99" s="13"/>
      <c r="F99" s="13"/>
      <c r="G99" s="13"/>
      <c r="H99" s="13"/>
      <c r="I99" s="13"/>
      <c r="J99" s="13"/>
      <c r="K99" s="13"/>
      <c r="L99" s="13"/>
      <c r="M99" s="833"/>
      <c r="N99" s="833"/>
      <c r="O99" s="833"/>
      <c r="P99" s="833">
        <f t="shared" ref="P99:BG99" si="158">P25</f>
        <v>1.21</v>
      </c>
      <c r="Q99" s="833">
        <f t="shared" si="158"/>
        <v>0.95</v>
      </c>
      <c r="R99" s="833">
        <f t="shared" si="158"/>
        <v>0.94</v>
      </c>
      <c r="S99" s="833">
        <f t="shared" si="158"/>
        <v>0.98</v>
      </c>
      <c r="T99" s="833">
        <f t="shared" si="158"/>
        <v>0.89</v>
      </c>
      <c r="U99" s="833">
        <f t="shared" si="158"/>
        <v>0.98</v>
      </c>
      <c r="V99" s="833">
        <f t="shared" si="158"/>
        <v>0.89</v>
      </c>
      <c r="W99" s="833">
        <f t="shared" si="158"/>
        <v>0.85</v>
      </c>
      <c r="X99" s="833">
        <f t="shared" si="158"/>
        <v>0.76</v>
      </c>
      <c r="Y99" s="833">
        <f t="shared" si="158"/>
        <v>0.76</v>
      </c>
      <c r="Z99" s="833">
        <f t="shared" si="158"/>
        <v>0.75</v>
      </c>
      <c r="AA99" s="833">
        <f t="shared" si="158"/>
        <v>0.68</v>
      </c>
      <c r="AB99" s="833">
        <f t="shared" si="158"/>
        <v>0.63</v>
      </c>
      <c r="AC99" s="833">
        <f t="shared" si="158"/>
        <v>0.64</v>
      </c>
      <c r="AD99" s="833">
        <f t="shared" si="158"/>
        <v>0.61</v>
      </c>
      <c r="AE99" s="833">
        <f t="shared" si="158"/>
        <v>0.5</v>
      </c>
      <c r="AF99" s="833">
        <f t="shared" si="158"/>
        <v>0.47</v>
      </c>
      <c r="AG99" s="833">
        <f t="shared" si="158"/>
        <v>0.48</v>
      </c>
      <c r="AH99" s="833">
        <f t="shared" si="158"/>
        <v>0.46</v>
      </c>
      <c r="AI99" s="833">
        <f t="shared" si="158"/>
        <v>0.45</v>
      </c>
      <c r="AJ99" s="833">
        <f t="shared" si="158"/>
        <v>0.48</v>
      </c>
      <c r="AK99" s="833">
        <f t="shared" si="158"/>
        <v>0.46</v>
      </c>
      <c r="AL99" s="833">
        <f t="shared" si="158"/>
        <v>0.49</v>
      </c>
      <c r="AM99" s="833">
        <f t="shared" si="158"/>
        <v>0.46</v>
      </c>
      <c r="AN99" s="833">
        <f t="shared" si="158"/>
        <v>0.42</v>
      </c>
      <c r="AO99" s="833">
        <f t="shared" si="158"/>
        <v>0.38</v>
      </c>
      <c r="AP99" s="833">
        <f t="shared" si="158"/>
        <v>0.31</v>
      </c>
      <c r="AQ99" s="833">
        <f t="shared" si="158"/>
        <v>0.27</v>
      </c>
      <c r="AR99" s="833">
        <f t="shared" si="158"/>
        <v>0.28000000000000003</v>
      </c>
      <c r="AS99" s="833">
        <f t="shared" si="158"/>
        <v>0.28000000000000003</v>
      </c>
      <c r="AT99" s="833">
        <f t="shared" si="158"/>
        <v>0.31</v>
      </c>
      <c r="AU99" s="1123">
        <f t="shared" si="158"/>
        <v>0.3</v>
      </c>
      <c r="AV99" s="833">
        <f t="shared" si="158"/>
        <v>0.28999999999999998</v>
      </c>
      <c r="AW99" s="833">
        <f t="shared" si="158"/>
        <v>0.28999999999999998</v>
      </c>
      <c r="AX99" s="833">
        <f t="shared" si="158"/>
        <v>0.3</v>
      </c>
      <c r="AY99" s="833">
        <f t="shared" si="158"/>
        <v>0.3</v>
      </c>
      <c r="AZ99" s="833">
        <f t="shared" si="158"/>
        <v>0.18131087085459141</v>
      </c>
      <c r="BA99" s="833">
        <f t="shared" si="158"/>
        <v>0.17094279522206435</v>
      </c>
      <c r="BB99" s="833">
        <f t="shared" si="158"/>
        <v>0.16170625770644365</v>
      </c>
      <c r="BC99" s="833">
        <f t="shared" si="158"/>
        <v>0.1523651815975664</v>
      </c>
      <c r="BD99" s="833">
        <f t="shared" si="158"/>
        <v>0.14461245294534542</v>
      </c>
      <c r="BE99" s="833">
        <f t="shared" si="158"/>
        <v>0.1344054202809768</v>
      </c>
      <c r="BF99" s="833">
        <f t="shared" si="158"/>
        <v>0.12520771924949847</v>
      </c>
      <c r="BG99" s="833">
        <f t="shared" si="158"/>
        <v>0.11690742981241242</v>
      </c>
      <c r="BH99" s="833"/>
      <c r="BI99" s="833"/>
      <c r="BN99" s="13" t="s">
        <v>889</v>
      </c>
      <c r="BS99" s="1121">
        <f>((N98*(1+R99))+(O98*(1+S99))+(P98*(1+T99))+(Q98*(1+U99)))/SUM(N98:Q98)-1</f>
        <v>0.94723163998574589</v>
      </c>
      <c r="BT99" s="1121">
        <f>((R98*(1+V99))+(S98*(1+W99))+(T98*(1+X99))+(U98*(1+Y99)))/SUM(R98:U98)-1</f>
        <v>0.80454074966440903</v>
      </c>
      <c r="BU99" s="1121">
        <f>((V98*(1+Z99))+(W98*(1+AA99))+(X98*(1+AB99))+(Y98*(1+AC99)))/SUM(V98:Y98)-1</f>
        <v>0.66795756993294453</v>
      </c>
      <c r="BV99" s="1121">
        <f>((Z98*(1+AD99))+(AA98*(1+AE99))+(AB98*(1+AF99))+(AC98*(1+AG99)))/SUM(Z98:AC98)-1</f>
        <v>0.50833240252921175</v>
      </c>
      <c r="BW99" s="1121">
        <f>((AD98*(1+AH99))+(AE98*(1+AI99))+(AF98*(1+AJ99))+(AG98*(1+AK99)))/SUM(AD98:AG98)-1</f>
        <v>0.46277144810182036</v>
      </c>
      <c r="BX99" s="1121">
        <f>((AH98*(1+AL99))+(AI98*(1+AM99))+(AJ98*(1+AN99))+(AK98*(1+AO99)))/SUM(AH98:AK98)-1</f>
        <v>0.43312748981885796</v>
      </c>
      <c r="BY99" s="1121">
        <f>((AL98*(1+AP99))+(AM98*(1+AQ99))+(AN98*(1+AR99))+(AO98*(1+AS99)))/SUM(AL98:AO98)-1</f>
        <v>0.28431073282680952</v>
      </c>
      <c r="BZ99" s="1121">
        <f>((AP98*(1+AT99))+(AQ98*(1+AU99))+(AR98*(1+AV99))+(AS98*(1+AW99)))/SUM(AP98:AS98)-1</f>
        <v>0.29689224576129614</v>
      </c>
      <c r="CA99" s="1121">
        <f>((AT98*(1+AX99))+(AU98*(1+AY99))+(AV98*(1+AZ99))+(AW98*(1+BA99)))/SUM(AT98:AW98)-1</f>
        <v>0.2339051094558513</v>
      </c>
      <c r="CB99" s="1121">
        <f>((AX98*(1+BB99))+(AY98*(1+BC99))+(AZ98*(1+BD99))+(BA98*(1+BE99)))/SUM(AX98:BA98)-1</f>
        <v>0.14813095134518561</v>
      </c>
    </row>
    <row r="100" spans="1:82" ht="21" customHeight="1">
      <c r="A100" s="100" t="s">
        <v>917</v>
      </c>
      <c r="B100" s="100"/>
      <c r="C100" s="100"/>
      <c r="D100" s="100"/>
      <c r="E100" s="100"/>
      <c r="F100" s="100"/>
      <c r="G100" s="100"/>
      <c r="H100" s="100"/>
      <c r="I100" s="100"/>
      <c r="J100" s="1135"/>
      <c r="K100" s="1135"/>
      <c r="L100" s="1135">
        <v>-20.732600257169324</v>
      </c>
      <c r="M100" s="1135">
        <v>0</v>
      </c>
      <c r="N100" s="1135">
        <v>0</v>
      </c>
      <c r="O100" s="1135">
        <v>0</v>
      </c>
      <c r="P100" s="1135">
        <v>64.84209660913703</v>
      </c>
      <c r="Q100" s="1135">
        <v>89.906899038682525</v>
      </c>
      <c r="R100" s="1135">
        <v>172.9892354346143</v>
      </c>
      <c r="S100" s="1135">
        <v>299.54185062945061</v>
      </c>
      <c r="T100" s="1135">
        <v>440.09166160799998</v>
      </c>
      <c r="U100" s="1135">
        <v>459.326458484</v>
      </c>
      <c r="V100" s="1135">
        <v>673.91157619500007</v>
      </c>
      <c r="W100" s="1135">
        <v>990.09011577192575</v>
      </c>
      <c r="X100" s="1135">
        <v>1176.9569089038159</v>
      </c>
      <c r="Y100" s="1135">
        <v>1224.539571001488</v>
      </c>
      <c r="Z100" s="1135">
        <v>1456.9525741506013</v>
      </c>
      <c r="AA100" s="1135">
        <v>1902.5662390367345</v>
      </c>
      <c r="AB100" s="1135">
        <v>2171.2302194994277</v>
      </c>
      <c r="AC100" s="1135">
        <v>2438.3064121910288</v>
      </c>
      <c r="AD100" s="1135">
        <v>2750.2014328914161</v>
      </c>
      <c r="AE100" s="1135">
        <v>3420.0147216240553</v>
      </c>
      <c r="AF100" s="1135">
        <v>4230.4131132001994</v>
      </c>
      <c r="AG100" s="1135">
        <v>4623.5249476970384</v>
      </c>
      <c r="AH100" s="1135">
        <v>5012.1202671312394</v>
      </c>
      <c r="AI100" s="1135">
        <v>5686.967005294081</v>
      </c>
      <c r="AJ100" s="1135">
        <v>6268.4167318306199</v>
      </c>
      <c r="AK100" s="1135">
        <v>6707.5883161938455</v>
      </c>
      <c r="AL100" s="1135">
        <v>7404.434213266728</v>
      </c>
      <c r="AM100" s="1135">
        <v>7977.7824713365808</v>
      </c>
      <c r="AN100" s="1135">
        <v>8847.7217444677135</v>
      </c>
      <c r="AO100" s="1135">
        <v>9227.9142240653164</v>
      </c>
      <c r="AP100" s="1135">
        <v>9642.2062982276821</v>
      </c>
      <c r="AQ100" s="1135">
        <v>10230.773650371733</v>
      </c>
      <c r="AR100" s="1135">
        <v>10978.115679171582</v>
      </c>
      <c r="AS100" s="1135">
        <v>11234.685163471777</v>
      </c>
      <c r="AT100" s="1135">
        <v>11634.949574374015</v>
      </c>
      <c r="AU100" s="1136">
        <v>12264.143981783029</v>
      </c>
      <c r="AV100" s="1135">
        <v>13131.767913789812</v>
      </c>
      <c r="AW100" s="1135">
        <v>13432.551657740782</v>
      </c>
      <c r="AX100" s="1135">
        <v>13926.298385071594</v>
      </c>
      <c r="AY100" s="1135">
        <v>14546.24583724379</v>
      </c>
      <c r="AZ100" s="1135">
        <v>15520.002032837197</v>
      </c>
      <c r="BA100" s="1135">
        <v>15738.698044738499</v>
      </c>
      <c r="BB100" s="1135">
        <v>16188.98907576909</v>
      </c>
      <c r="BC100" s="1135">
        <v>16775.414120784673</v>
      </c>
      <c r="BD100" s="1135">
        <v>17770.196168434628</v>
      </c>
      <c r="BE100" s="1135">
        <v>17862.716824070652</v>
      </c>
      <c r="BF100" s="1135">
        <v>18226.974485616258</v>
      </c>
      <c r="BG100" s="1135">
        <v>18749.813483047612</v>
      </c>
      <c r="BH100" s="1135"/>
      <c r="BI100" s="1135"/>
      <c r="BJ100" s="100"/>
      <c r="BN100" t="str">
        <f>A100</f>
        <v>Gross Profit (UBSe)</v>
      </c>
      <c r="BO100" s="1119">
        <f>SUM(B100:E100)</f>
        <v>0</v>
      </c>
      <c r="BP100" s="1119">
        <f>SUM(F100:I100)</f>
        <v>0</v>
      </c>
      <c r="BQ100" s="1119">
        <f>SUM(J100:M100)</f>
        <v>-20.732600257169324</v>
      </c>
      <c r="BR100" s="1119">
        <f>SUM(N100:Q100)</f>
        <v>154.74899564781956</v>
      </c>
      <c r="BS100" s="1119">
        <f>SUM(R100:U100)</f>
        <v>1371.949206156065</v>
      </c>
      <c r="BT100" s="1119">
        <f>SUM(V100:Y100)</f>
        <v>4065.4981718722302</v>
      </c>
      <c r="BU100" s="1119">
        <f>SUM(Z100:AC100)</f>
        <v>7969.0554448777912</v>
      </c>
      <c r="BV100" s="1119">
        <f>SUM(AD100:AG100)</f>
        <v>15024.154215412709</v>
      </c>
      <c r="BW100" s="1119">
        <f>SUM(AH100:AK100)</f>
        <v>23675.092320449789</v>
      </c>
      <c r="BX100" s="1119">
        <f>SUM(AL100:AO100)</f>
        <v>33457.852653136339</v>
      </c>
      <c r="BY100" s="1119">
        <f>SUM(AP100:AS100)</f>
        <v>42085.780791242774</v>
      </c>
      <c r="BZ100" s="1119">
        <f>SUM(AT100:AW100)</f>
        <v>50463.413127687643</v>
      </c>
      <c r="CA100" s="1119">
        <f>SUM(AX100:BA100)</f>
        <v>59731.244299891085</v>
      </c>
      <c r="CB100" s="1119">
        <f>SUM(BB100:BE100)</f>
        <v>68597.316189059042</v>
      </c>
      <c r="CC100" s="1119">
        <f>SUM(BF100:BI100)</f>
        <v>36976.78796866387</v>
      </c>
    </row>
    <row r="101" spans="1:82">
      <c r="A101" s="13" t="s">
        <v>918</v>
      </c>
      <c r="B101" s="13"/>
      <c r="C101" s="13"/>
      <c r="D101" s="13"/>
      <c r="E101" s="13"/>
      <c r="F101" s="13"/>
      <c r="G101" s="13"/>
      <c r="H101" s="13"/>
      <c r="I101" s="13"/>
      <c r="J101" s="13"/>
      <c r="K101" s="13"/>
      <c r="L101" s="833">
        <f t="shared" ref="L101:BG101" si="159">L100/L98</f>
        <v>-0.05</v>
      </c>
      <c r="M101" s="833">
        <f t="shared" si="159"/>
        <v>0</v>
      </c>
      <c r="N101" s="833">
        <f t="shared" si="159"/>
        <v>0</v>
      </c>
      <c r="O101" s="833">
        <f t="shared" si="159"/>
        <v>0</v>
      </c>
      <c r="P101" s="833">
        <f t="shared" si="159"/>
        <v>7.9912759371699379E-2</v>
      </c>
      <c r="Q101" s="833">
        <f t="shared" si="159"/>
        <v>0.10670019363436031</v>
      </c>
      <c r="R101" s="833">
        <f t="shared" si="159"/>
        <v>0.17482782139182859</v>
      </c>
      <c r="S101" s="833">
        <f t="shared" si="159"/>
        <v>0.2311733965283653</v>
      </c>
      <c r="T101" s="833">
        <f t="shared" si="159"/>
        <v>0.28524484624825336</v>
      </c>
      <c r="U101" s="833">
        <f t="shared" si="159"/>
        <v>0.27371692360291061</v>
      </c>
      <c r="V101" s="833">
        <f t="shared" si="159"/>
        <v>0.35313569088617441</v>
      </c>
      <c r="W101" s="833">
        <f t="shared" si="159"/>
        <v>0.40029154654887195</v>
      </c>
      <c r="X101" s="833">
        <f t="shared" si="159"/>
        <v>0.43357129583390797</v>
      </c>
      <c r="Y101" s="833">
        <f t="shared" si="159"/>
        <v>0.41091404865063696</v>
      </c>
      <c r="Z101" s="833">
        <f t="shared" si="159"/>
        <v>0.44104481334477791</v>
      </c>
      <c r="AA101" s="833">
        <f t="shared" si="159"/>
        <v>0.47286854691013375</v>
      </c>
      <c r="AB101" s="833">
        <f t="shared" si="159"/>
        <v>0.50277766235367005</v>
      </c>
      <c r="AC101" s="833">
        <f t="shared" si="159"/>
        <v>0.50503928385766117</v>
      </c>
      <c r="AD101" s="833">
        <f t="shared" si="159"/>
        <v>0.52419563564878879</v>
      </c>
      <c r="AE101" s="833">
        <f t="shared" si="159"/>
        <v>0.57893459517019064</v>
      </c>
      <c r="AF101" s="833">
        <f t="shared" si="159"/>
        <v>0.66227270061577659</v>
      </c>
      <c r="AG101" s="833">
        <f t="shared" si="159"/>
        <v>0.63863933348947166</v>
      </c>
      <c r="AH101" s="833">
        <f t="shared" si="159"/>
        <v>0.63783649323033664</v>
      </c>
      <c r="AI101" s="833">
        <f t="shared" si="159"/>
        <v>0.63699822768865266</v>
      </c>
      <c r="AJ101" s="833">
        <f t="shared" si="159"/>
        <v>0.6543957560216066</v>
      </c>
      <c r="AK101" s="833">
        <f t="shared" si="159"/>
        <v>0.63514087287132115</v>
      </c>
      <c r="AL101" s="833">
        <f t="shared" si="159"/>
        <v>0.64786199756351137</v>
      </c>
      <c r="AM101" s="833">
        <f t="shared" si="159"/>
        <v>0.64073211986885636</v>
      </c>
      <c r="AN101" s="833">
        <f t="shared" si="159"/>
        <v>0.68586990267191572</v>
      </c>
      <c r="AO101" s="833">
        <f t="shared" si="159"/>
        <v>0.66507489903173456</v>
      </c>
      <c r="AP101" s="833">
        <f t="shared" si="159"/>
        <v>0.66429858145125809</v>
      </c>
      <c r="AQ101" s="833">
        <f t="shared" si="159"/>
        <v>0.65212708240122763</v>
      </c>
      <c r="AR101" s="833">
        <f t="shared" si="159"/>
        <v>0.65970288319040815</v>
      </c>
      <c r="AS101" s="833">
        <f t="shared" si="159"/>
        <v>0.62285156831444366</v>
      </c>
      <c r="AT101" s="833">
        <f t="shared" si="159"/>
        <v>0.61189952444474527</v>
      </c>
      <c r="AU101" s="1123">
        <f t="shared" si="159"/>
        <v>0.60599813903509225</v>
      </c>
      <c r="AV101" s="833">
        <f t="shared" si="159"/>
        <v>0.61076001589069273</v>
      </c>
      <c r="AW101" s="833">
        <f t="shared" si="159"/>
        <v>0.57786401331646597</v>
      </c>
      <c r="AX101" s="833">
        <f t="shared" si="159"/>
        <v>0.56963417446426545</v>
      </c>
      <c r="AY101" s="833">
        <f t="shared" si="159"/>
        <v>0.55675402827406872</v>
      </c>
      <c r="AZ101" s="833">
        <f t="shared" si="159"/>
        <v>0.62383947948769747</v>
      </c>
      <c r="BA101" s="833">
        <f t="shared" si="159"/>
        <v>0.60854760257346541</v>
      </c>
      <c r="BB101" s="833">
        <f t="shared" si="159"/>
        <v>0.59852758346088319</v>
      </c>
      <c r="BC101" s="833">
        <f t="shared" si="159"/>
        <v>0.59962875505179947</v>
      </c>
      <c r="BD101" s="833">
        <f t="shared" si="159"/>
        <v>0.62284375459588592</v>
      </c>
      <c r="BE101" s="833">
        <f t="shared" si="159"/>
        <v>0.60760664959873578</v>
      </c>
      <c r="BF101" s="833">
        <f t="shared" si="159"/>
        <v>0.59705054527466184</v>
      </c>
      <c r="BG101" s="833">
        <f t="shared" si="159"/>
        <v>0.59820585129329773</v>
      </c>
      <c r="BH101" s="833"/>
      <c r="BI101" s="833"/>
      <c r="BN101" s="13"/>
      <c r="BS101" s="1121"/>
      <c r="BT101" s="1121"/>
      <c r="BU101" s="1121"/>
      <c r="BV101" s="1121"/>
      <c r="BW101" s="1121"/>
      <c r="BX101" s="1121"/>
      <c r="BY101" s="1121"/>
      <c r="BZ101" s="1121"/>
      <c r="CA101" s="1121"/>
      <c r="CB101" s="1121"/>
    </row>
    <row r="102" spans="1:82">
      <c r="A102" s="13"/>
      <c r="B102" s="13"/>
      <c r="C102" s="13"/>
      <c r="D102" s="13"/>
      <c r="E102" s="13"/>
      <c r="F102" s="13"/>
      <c r="G102" s="13"/>
      <c r="H102" s="13"/>
      <c r="I102" s="13"/>
      <c r="J102" s="13"/>
      <c r="K102" s="13"/>
      <c r="L102" s="13"/>
      <c r="M102" s="13"/>
      <c r="N102" s="13"/>
      <c r="O102" s="13"/>
      <c r="P102" s="13"/>
      <c r="Q102" s="13"/>
      <c r="R102" s="13"/>
      <c r="S102" s="13"/>
      <c r="AU102" s="1067"/>
      <c r="BN102" s="13"/>
    </row>
    <row r="103" spans="1:82" ht="10.5">
      <c r="A103" s="45" t="s">
        <v>919</v>
      </c>
      <c r="B103" s="45"/>
      <c r="C103" s="45"/>
      <c r="D103" s="45"/>
      <c r="E103" s="45"/>
      <c r="F103" s="45"/>
      <c r="G103" s="45"/>
      <c r="H103" s="45"/>
      <c r="I103" s="45"/>
      <c r="J103" s="45"/>
      <c r="K103" s="45"/>
      <c r="L103" s="45"/>
      <c r="M103" s="45"/>
      <c r="N103" s="45"/>
      <c r="O103" s="45"/>
      <c r="P103" s="45"/>
      <c r="Q103" s="45"/>
      <c r="R103" s="45"/>
      <c r="S103" s="45"/>
      <c r="AG103" s="1118"/>
      <c r="AR103" s="1067"/>
      <c r="AU103" s="1067"/>
      <c r="BN103" s="45" t="s">
        <v>919</v>
      </c>
    </row>
    <row r="104" spans="1:82">
      <c r="A104" t="s">
        <v>86</v>
      </c>
      <c r="T104" s="41"/>
      <c r="U104" s="41"/>
      <c r="V104" s="41"/>
      <c r="W104" s="41"/>
      <c r="X104" s="41"/>
      <c r="Y104" s="1117">
        <f>Y11</f>
        <v>1709</v>
      </c>
      <c r="Z104" s="1117">
        <v>1825</v>
      </c>
      <c r="AA104" s="1117">
        <v>2100</v>
      </c>
      <c r="AB104" s="1117">
        <v>2379</v>
      </c>
      <c r="AC104" s="1117">
        <v>2614</v>
      </c>
      <c r="AD104" s="1117">
        <v>2777</v>
      </c>
      <c r="AE104" s="1117">
        <v>3007</v>
      </c>
      <c r="AF104" s="1117">
        <v>3444</v>
      </c>
      <c r="AG104" s="1117">
        <v>3831</v>
      </c>
      <c r="AH104" s="1117">
        <v>4047</v>
      </c>
      <c r="AI104" s="1117">
        <v>4628</v>
      </c>
      <c r="AJ104" s="1117">
        <v>4990</v>
      </c>
      <c r="AK104" s="1117">
        <v>5541</v>
      </c>
      <c r="AL104" s="1117">
        <f t="shared" ref="AL104:BI104" si="160">AL11</f>
        <v>5821</v>
      </c>
      <c r="AM104" s="1117">
        <f t="shared" si="160"/>
        <v>6276</v>
      </c>
      <c r="AN104" s="1117">
        <f t="shared" si="160"/>
        <v>6868</v>
      </c>
      <c r="AO104" s="1117">
        <f t="shared" si="160"/>
        <v>7315</v>
      </c>
      <c r="AP104" s="1118">
        <f t="shared" si="160"/>
        <v>7454</v>
      </c>
      <c r="AQ104" s="1118">
        <f t="shared" si="160"/>
        <v>8031</v>
      </c>
      <c r="AR104" s="1122">
        <f t="shared" si="160"/>
        <v>8411</v>
      </c>
      <c r="AS104" s="1118">
        <f t="shared" si="160"/>
        <v>9192</v>
      </c>
      <c r="AT104" s="1118">
        <f t="shared" si="160"/>
        <v>9574</v>
      </c>
      <c r="AU104" s="1122">
        <f t="shared" si="160"/>
        <v>10038</v>
      </c>
      <c r="AV104" s="1118">
        <f t="shared" si="160"/>
        <v>10554</v>
      </c>
      <c r="AW104" s="1118">
        <f t="shared" si="160"/>
        <v>11441</v>
      </c>
      <c r="AX104" s="1118">
        <f t="shared" si="160"/>
        <v>11511</v>
      </c>
      <c r="AY104" s="1118">
        <f t="shared" si="160"/>
        <v>12317</v>
      </c>
      <c r="AZ104" s="1118">
        <f t="shared" si="160"/>
        <v>12722.6</v>
      </c>
      <c r="BA104" s="1118">
        <f t="shared" si="160"/>
        <v>13741.7</v>
      </c>
      <c r="BB104" s="1118">
        <f t="shared" si="160"/>
        <v>12883.076097694286</v>
      </c>
      <c r="BC104" s="1118">
        <f t="shared" si="160"/>
        <v>13402.782077288572</v>
      </c>
      <c r="BD104" s="1118">
        <f t="shared" si="160"/>
        <v>14764.843677685056</v>
      </c>
      <c r="BE104" s="1118">
        <f t="shared" si="160"/>
        <v>15539.463664620002</v>
      </c>
      <c r="BF104" s="1118">
        <f t="shared" si="160"/>
        <v>15382.007737870028</v>
      </c>
      <c r="BG104" s="1118">
        <f t="shared" si="160"/>
        <v>16011.155313155914</v>
      </c>
      <c r="BH104" s="1118">
        <f t="shared" si="160"/>
        <v>17676.400302028502</v>
      </c>
      <c r="BI104" s="1118">
        <f t="shared" si="160"/>
        <v>18619.0921063434</v>
      </c>
      <c r="BN104" t="s">
        <v>86</v>
      </c>
      <c r="BO104" s="1118"/>
      <c r="BP104" s="1119"/>
      <c r="BQ104" s="1119"/>
      <c r="BR104" s="1119"/>
      <c r="BS104" s="1119"/>
      <c r="BT104" s="1119">
        <f>SUM(V104:Y104)</f>
        <v>1709</v>
      </c>
      <c r="BU104" s="1119">
        <f>SUM(Z104:AC104)</f>
        <v>8918</v>
      </c>
      <c r="BV104" s="1119">
        <f>SUM(AD104:AG104)</f>
        <v>13059</v>
      </c>
      <c r="BW104" s="1119">
        <f>SUM(AH104:AK104)</f>
        <v>19206</v>
      </c>
      <c r="BX104" s="1119">
        <f>SUM(AL104:AO104)</f>
        <v>26280</v>
      </c>
      <c r="BY104" s="1119">
        <f>SUM(AP104:AS104)</f>
        <v>33088</v>
      </c>
      <c r="BZ104" s="1119">
        <f>SUM(AT104:AW104)</f>
        <v>41607</v>
      </c>
      <c r="CA104" s="1119">
        <f>SUM(AX104:BA104)</f>
        <v>50292.3</v>
      </c>
      <c r="CB104" s="1119">
        <f>SUM(BB104:BE104)</f>
        <v>56590.165517287918</v>
      </c>
      <c r="CC104" s="1119"/>
      <c r="CD104" s="1119"/>
    </row>
    <row r="105" spans="1:82">
      <c r="A105" s="13" t="s">
        <v>886</v>
      </c>
      <c r="B105" s="13"/>
      <c r="C105" s="13"/>
      <c r="D105" s="13"/>
      <c r="E105" s="13"/>
      <c r="F105" s="13"/>
      <c r="G105" s="13"/>
      <c r="H105" s="13"/>
      <c r="I105" s="13"/>
      <c r="J105" s="13"/>
      <c r="K105" s="13"/>
      <c r="L105" s="13"/>
      <c r="M105" s="13"/>
      <c r="N105" s="13"/>
      <c r="O105" s="13"/>
      <c r="P105" s="13"/>
      <c r="Q105" s="13"/>
      <c r="R105" s="13"/>
      <c r="S105" s="13"/>
      <c r="T105" s="833"/>
      <c r="U105" s="833"/>
      <c r="V105" s="833"/>
      <c r="AC105" s="833">
        <f t="shared" ref="AC105:BI105" si="161">AC104/Y104-1</f>
        <v>0.529549444119368</v>
      </c>
      <c r="AD105" s="833">
        <f t="shared" si="161"/>
        <v>0.52164383561643834</v>
      </c>
      <c r="AE105" s="833">
        <f t="shared" si="161"/>
        <v>0.43190476190476201</v>
      </c>
      <c r="AF105" s="833">
        <f t="shared" si="161"/>
        <v>0.44766708701134927</v>
      </c>
      <c r="AG105" s="833">
        <f t="shared" si="161"/>
        <v>0.46557000765110934</v>
      </c>
      <c r="AH105" s="833">
        <f t="shared" si="161"/>
        <v>0.4573280518545193</v>
      </c>
      <c r="AI105" s="833">
        <f t="shared" si="161"/>
        <v>0.53907549052211512</v>
      </c>
      <c r="AJ105" s="833">
        <f t="shared" si="161"/>
        <v>0.44889663182346107</v>
      </c>
      <c r="AK105" s="833">
        <f t="shared" si="161"/>
        <v>0.44635865309318712</v>
      </c>
      <c r="AL105" s="833">
        <f t="shared" si="161"/>
        <v>0.4383493946132937</v>
      </c>
      <c r="AM105" s="833">
        <f t="shared" si="161"/>
        <v>0.35609334485738975</v>
      </c>
      <c r="AN105" s="833">
        <f t="shared" si="161"/>
        <v>0.37635270541082155</v>
      </c>
      <c r="AO105" s="833">
        <f t="shared" si="161"/>
        <v>0.3201588160981772</v>
      </c>
      <c r="AP105" s="833">
        <f t="shared" si="161"/>
        <v>0.28053599037965982</v>
      </c>
      <c r="AQ105" s="833">
        <f t="shared" si="161"/>
        <v>0.2796367112810707</v>
      </c>
      <c r="AR105" s="1123">
        <f t="shared" si="161"/>
        <v>0.22466511357018049</v>
      </c>
      <c r="AS105" s="833">
        <f t="shared" si="161"/>
        <v>0.25659603554340404</v>
      </c>
      <c r="AT105" s="833">
        <f t="shared" si="161"/>
        <v>0.28441105446740012</v>
      </c>
      <c r="AU105" s="1123">
        <f t="shared" si="161"/>
        <v>0.24990661187896901</v>
      </c>
      <c r="AV105" s="833">
        <f t="shared" si="161"/>
        <v>0.25478540007133521</v>
      </c>
      <c r="AW105" s="833">
        <f t="shared" si="161"/>
        <v>0.24466927763272417</v>
      </c>
      <c r="AX105" s="833">
        <f t="shared" si="161"/>
        <v>0.20231878002924586</v>
      </c>
      <c r="AY105" s="833">
        <f t="shared" si="161"/>
        <v>0.22703725841801159</v>
      </c>
      <c r="AZ105" s="833">
        <f t="shared" si="161"/>
        <v>0.20547659655107076</v>
      </c>
      <c r="BA105" s="833">
        <f t="shared" si="161"/>
        <v>0.20109256183900026</v>
      </c>
      <c r="BB105" s="833">
        <f t="shared" si="161"/>
        <v>0.11919695054246238</v>
      </c>
      <c r="BC105" s="833">
        <f t="shared" si="161"/>
        <v>8.8153127976664081E-2</v>
      </c>
      <c r="BD105" s="833">
        <f t="shared" si="161"/>
        <v>0.16052093736225737</v>
      </c>
      <c r="BE105" s="833">
        <f t="shared" si="161"/>
        <v>0.13082541931638736</v>
      </c>
      <c r="BF105" s="833">
        <f t="shared" si="161"/>
        <v>0.19397010630271616</v>
      </c>
      <c r="BG105" s="833">
        <f t="shared" si="161"/>
        <v>0.19461431371679994</v>
      </c>
      <c r="BH105" s="833">
        <f t="shared" si="161"/>
        <v>0.19719522183251059</v>
      </c>
      <c r="BI105" s="833">
        <f t="shared" si="161"/>
        <v>0.19818112826731893</v>
      </c>
      <c r="BN105" s="13" t="s">
        <v>886</v>
      </c>
      <c r="BU105" s="1121"/>
      <c r="BV105" s="1121">
        <f t="shared" ref="BV105:CB105" si="162">BV104/BU104-1</f>
        <v>0.46434178066831122</v>
      </c>
      <c r="BW105" s="1121">
        <f t="shared" si="162"/>
        <v>0.47070985527222597</v>
      </c>
      <c r="BX105" s="1121">
        <f t="shared" si="162"/>
        <v>0.36832239925023424</v>
      </c>
      <c r="BY105" s="1121">
        <f t="shared" si="162"/>
        <v>0.25905631659056327</v>
      </c>
      <c r="BZ105" s="1121">
        <f t="shared" si="162"/>
        <v>0.25746494197292069</v>
      </c>
      <c r="CA105" s="1121">
        <f t="shared" si="162"/>
        <v>0.20874612445021268</v>
      </c>
      <c r="CB105" s="1121">
        <f t="shared" si="162"/>
        <v>0.12522524357183729</v>
      </c>
      <c r="CC105" s="1121"/>
      <c r="CD105" s="1121"/>
    </row>
    <row r="106" spans="1:82" ht="21" customHeight="1">
      <c r="A106" t="s">
        <v>920</v>
      </c>
      <c r="B106" s="1125"/>
      <c r="C106" s="1125"/>
      <c r="D106" s="1125"/>
      <c r="E106" s="1125"/>
      <c r="F106" s="1125"/>
      <c r="G106" s="1125"/>
      <c r="H106" s="1125"/>
      <c r="I106" s="1125"/>
      <c r="J106" s="1125"/>
      <c r="K106" s="1125"/>
      <c r="L106" s="1125"/>
      <c r="M106" s="1125"/>
      <c r="N106" s="1125"/>
      <c r="O106" s="1125"/>
      <c r="P106" s="1125"/>
      <c r="Q106" s="1125"/>
      <c r="R106" s="1125"/>
      <c r="S106" s="1125"/>
      <c r="T106" s="1125"/>
      <c r="U106" s="1125"/>
      <c r="V106" s="1125"/>
      <c r="W106" s="1125"/>
      <c r="X106" s="1125"/>
      <c r="Y106" s="1125"/>
      <c r="Z106" s="1125">
        <v>-1435.4499999999998</v>
      </c>
      <c r="AA106" s="1125">
        <v>-945</v>
      </c>
      <c r="AB106" s="1125">
        <v>-1070.55</v>
      </c>
      <c r="AC106" s="1125">
        <v>-1194</v>
      </c>
      <c r="AD106" s="1125">
        <v>-1730</v>
      </c>
      <c r="AE106" s="1125">
        <v>-1426</v>
      </c>
      <c r="AF106" s="1125">
        <v>-1208</v>
      </c>
      <c r="AG106" s="1125">
        <v>-1243</v>
      </c>
      <c r="AH106" s="1125">
        <v>-974</v>
      </c>
      <c r="AI106" s="1125">
        <v>-591</v>
      </c>
      <c r="AJ106" s="1125">
        <v>-644</v>
      </c>
      <c r="AK106" s="1125">
        <v>-890</v>
      </c>
      <c r="AL106" s="1125">
        <v>-931</v>
      </c>
      <c r="AM106" s="1125">
        <v>-858</v>
      </c>
      <c r="AN106" s="1125">
        <v>-699</v>
      </c>
      <c r="AO106" s="1125">
        <v>-480</v>
      </c>
      <c r="AP106" s="1125">
        <v>-607.77266990551448</v>
      </c>
      <c r="AQ106" s="1125">
        <v>-526.68804190111996</v>
      </c>
      <c r="AR106" s="1137">
        <v>-274.30823147452429</v>
      </c>
      <c r="AS106" s="1125">
        <v>39.692314832535935</v>
      </c>
      <c r="AT106" s="1125">
        <v>-182.07207342587185</v>
      </c>
      <c r="AU106" s="1137">
        <v>-63.681716006009324</v>
      </c>
      <c r="AV106" s="1125">
        <v>293.59519754002321</v>
      </c>
      <c r="AW106" s="1125">
        <v>703.55125859330144</v>
      </c>
      <c r="AX106" s="1125">
        <v>325.47166081252658</v>
      </c>
      <c r="AY106" s="1125">
        <v>487.29800942776291</v>
      </c>
      <c r="AZ106" s="1125">
        <v>967.78003206260757</v>
      </c>
      <c r="BA106" s="1125">
        <v>1488.0337492771293</v>
      </c>
      <c r="BB106" s="1125">
        <v>773.78132026728679</v>
      </c>
      <c r="BC106" s="1125">
        <v>982.27272853244926</v>
      </c>
      <c r="BD106" s="1125">
        <v>1597.9052138540694</v>
      </c>
      <c r="BE106" s="1125">
        <v>2243.6096444823538</v>
      </c>
      <c r="BF106" s="1125">
        <v>1385.3319973506893</v>
      </c>
      <c r="BG106" s="1125">
        <v>1653.7717208731979</v>
      </c>
      <c r="BH106" s="1125">
        <v>2443.2964960282029</v>
      </c>
      <c r="BI106" s="1125">
        <v>3246.8234984076066</v>
      </c>
      <c r="BN106" t="str">
        <f>A106</f>
        <v>EBIT (UBSe)</v>
      </c>
      <c r="BO106" s="1119">
        <f>SUM(B106:E106)</f>
        <v>0</v>
      </c>
      <c r="BP106" s="1119">
        <f>SUM(F106:I106)</f>
        <v>0</v>
      </c>
      <c r="BQ106" s="1119">
        <f>SUM(J106:M106)</f>
        <v>0</v>
      </c>
      <c r="BR106" s="1119">
        <f>SUM(N106:Q106)</f>
        <v>0</v>
      </c>
      <c r="BS106" s="1119">
        <f>SUM(R106:U106)</f>
        <v>0</v>
      </c>
      <c r="BT106" s="1119">
        <f>SUM(V106:Y106)</f>
        <v>0</v>
      </c>
      <c r="BU106" s="1119">
        <f>SUM(Z106:AC106)</f>
        <v>-4645</v>
      </c>
      <c r="BV106" s="1119">
        <f>SUM(AD106:AG106)</f>
        <v>-5607</v>
      </c>
      <c r="BW106" s="1119">
        <f>SUM(AH106:AK106)</f>
        <v>-3099</v>
      </c>
      <c r="BX106" s="1119">
        <f>SUM(AL106:AO106)</f>
        <v>-2968</v>
      </c>
      <c r="BY106" s="1119">
        <f>SUM(AP106:AS106)</f>
        <v>-1369.0766284486228</v>
      </c>
      <c r="BZ106" s="1119">
        <f>SUM(AT106:AW106)</f>
        <v>751.39266670144343</v>
      </c>
      <c r="CA106" s="1119">
        <f>SUM(AX106:BA106)</f>
        <v>3268.5834515800261</v>
      </c>
      <c r="CB106" s="1119">
        <f>SUM(BB106:BE106)</f>
        <v>5597.5689071361594</v>
      </c>
      <c r="CC106" s="1119">
        <f>SUM(BF106:BI106)</f>
        <v>8729.2237126596956</v>
      </c>
      <c r="CD106" s="1121"/>
    </row>
    <row r="107" spans="1:82">
      <c r="A107" s="13" t="s">
        <v>921</v>
      </c>
      <c r="B107" s="13"/>
      <c r="C107" s="13"/>
      <c r="D107" s="13"/>
      <c r="E107" s="13"/>
      <c r="F107" s="13"/>
      <c r="G107" s="13"/>
      <c r="H107" s="13"/>
      <c r="I107" s="13"/>
      <c r="J107" s="13"/>
      <c r="K107" s="13"/>
      <c r="L107" s="13"/>
      <c r="M107" s="13"/>
      <c r="N107" s="13"/>
      <c r="O107" s="13"/>
      <c r="P107" s="13"/>
      <c r="Q107" s="13"/>
      <c r="R107" s="13"/>
      <c r="S107" s="13"/>
      <c r="T107" s="833"/>
      <c r="U107" s="833"/>
      <c r="V107" s="833"/>
      <c r="W107" s="833"/>
      <c r="X107" s="833"/>
      <c r="Y107" s="833"/>
      <c r="Z107" s="833">
        <f t="shared" ref="Z107:BI107" si="163">Z106/Z104</f>
        <v>-0.78654794520547933</v>
      </c>
      <c r="AA107" s="833">
        <f t="shared" si="163"/>
        <v>-0.45</v>
      </c>
      <c r="AB107" s="833">
        <f t="shared" si="163"/>
        <v>-0.44999999999999996</v>
      </c>
      <c r="AC107" s="833">
        <f t="shared" si="163"/>
        <v>-0.45677123182861518</v>
      </c>
      <c r="AD107" s="833">
        <f t="shared" si="163"/>
        <v>-0.62297443284119558</v>
      </c>
      <c r="AE107" s="833">
        <f t="shared" si="163"/>
        <v>-0.47422680412371132</v>
      </c>
      <c r="AF107" s="833">
        <f t="shared" si="163"/>
        <v>-0.35075493612078978</v>
      </c>
      <c r="AG107" s="833">
        <f t="shared" si="163"/>
        <v>-0.32445836596188987</v>
      </c>
      <c r="AH107" s="833">
        <f t="shared" si="163"/>
        <v>-0.24067210279219176</v>
      </c>
      <c r="AI107" s="833">
        <f t="shared" si="163"/>
        <v>-0.12770095073465859</v>
      </c>
      <c r="AJ107" s="833">
        <f t="shared" si="163"/>
        <v>-0.12905811623246494</v>
      </c>
      <c r="AK107" s="833">
        <f t="shared" si="163"/>
        <v>-0.16062082656560187</v>
      </c>
      <c r="AL107" s="833">
        <f t="shared" si="163"/>
        <v>-0.1599381549561931</v>
      </c>
      <c r="AM107" s="833">
        <f t="shared" si="163"/>
        <v>-0.1367112810707457</v>
      </c>
      <c r="AN107" s="833">
        <f t="shared" si="163"/>
        <v>-0.10177635410599883</v>
      </c>
      <c r="AO107" s="833">
        <f t="shared" si="163"/>
        <v>-6.5618591934381409E-2</v>
      </c>
      <c r="AP107" s="833">
        <f t="shared" si="163"/>
        <v>-8.1536446190704923E-2</v>
      </c>
      <c r="AQ107" s="833">
        <f t="shared" si="163"/>
        <v>-6.5581875470192993E-2</v>
      </c>
      <c r="AR107" s="1123">
        <f t="shared" si="163"/>
        <v>-3.2613034297292155E-2</v>
      </c>
      <c r="AS107" s="833">
        <f t="shared" si="163"/>
        <v>4.3181369487093058E-3</v>
      </c>
      <c r="AT107" s="833">
        <f t="shared" si="163"/>
        <v>-1.9017346294743248E-2</v>
      </c>
      <c r="AU107" s="1123">
        <f t="shared" si="163"/>
        <v>-6.3440641568050732E-3</v>
      </c>
      <c r="AV107" s="833">
        <f t="shared" si="163"/>
        <v>2.7818381423159295E-2</v>
      </c>
      <c r="AW107" s="833">
        <f t="shared" si="163"/>
        <v>6.1493860553561874E-2</v>
      </c>
      <c r="AX107" s="833">
        <f t="shared" si="163"/>
        <v>2.827483805164856E-2</v>
      </c>
      <c r="AY107" s="833">
        <f t="shared" si="163"/>
        <v>3.9563043714196874E-2</v>
      </c>
      <c r="AZ107" s="833">
        <f t="shared" si="163"/>
        <v>7.6067787406867107E-2</v>
      </c>
      <c r="BA107" s="833">
        <f t="shared" si="163"/>
        <v>0.10828600167935039</v>
      </c>
      <c r="BB107" s="833">
        <f t="shared" si="163"/>
        <v>6.0061845043806912E-2</v>
      </c>
      <c r="BC107" s="833">
        <f t="shared" si="163"/>
        <v>7.3288718929254301E-2</v>
      </c>
      <c r="BD107" s="833">
        <f t="shared" si="163"/>
        <v>0.10822364589400117</v>
      </c>
      <c r="BE107" s="833">
        <f t="shared" si="163"/>
        <v>0.14438140806561861</v>
      </c>
      <c r="BF107" s="833">
        <f t="shared" si="163"/>
        <v>9.0061845043806904E-2</v>
      </c>
      <c r="BG107" s="833">
        <f t="shared" si="163"/>
        <v>0.1032887189292543</v>
      </c>
      <c r="BH107" s="833">
        <f t="shared" si="163"/>
        <v>0.13822364589400116</v>
      </c>
      <c r="BI107" s="833">
        <f t="shared" si="163"/>
        <v>0.17438140806561861</v>
      </c>
      <c r="BN107" s="13"/>
      <c r="BU107" s="1121"/>
      <c r="BV107" s="1121"/>
      <c r="BW107" s="1121"/>
      <c r="BX107" s="1121"/>
      <c r="BY107" s="1121"/>
      <c r="BZ107" s="1121"/>
      <c r="CA107" s="1121"/>
      <c r="CB107" s="1121"/>
      <c r="CC107" s="1121"/>
      <c r="CD107" s="1121"/>
    </row>
    <row r="108" spans="1:82" ht="10.5">
      <c r="A108" s="45"/>
      <c r="B108" s="45"/>
      <c r="C108" s="45"/>
      <c r="D108" s="45"/>
      <c r="E108" s="45"/>
      <c r="F108" s="45"/>
      <c r="G108" s="45"/>
      <c r="H108" s="45"/>
      <c r="I108" s="45"/>
      <c r="J108" s="45"/>
      <c r="K108" s="45"/>
      <c r="L108" s="45"/>
      <c r="M108" s="45"/>
      <c r="N108" s="45"/>
      <c r="O108" s="45"/>
      <c r="P108" s="45"/>
      <c r="Q108" s="45"/>
      <c r="R108" s="45"/>
      <c r="S108" s="45"/>
      <c r="AR108" s="1067"/>
      <c r="AU108" s="1067"/>
      <c r="BN108" s="45"/>
    </row>
    <row r="109" spans="1:82" ht="10.5">
      <c r="A109" s="1" t="s">
        <v>922</v>
      </c>
      <c r="B109" s="1"/>
      <c r="C109" s="1"/>
      <c r="D109" s="1"/>
      <c r="E109" s="1"/>
      <c r="F109" s="1"/>
      <c r="G109" s="1"/>
      <c r="H109" s="1"/>
      <c r="I109" s="1"/>
      <c r="J109" s="1"/>
      <c r="K109" s="1"/>
      <c r="L109" s="1"/>
      <c r="M109" s="1"/>
      <c r="N109" s="1"/>
      <c r="O109" s="1"/>
      <c r="P109" s="1"/>
      <c r="Q109" s="1"/>
      <c r="R109" s="1"/>
      <c r="S109" s="1"/>
      <c r="T109" s="1126"/>
      <c r="U109" s="1126"/>
      <c r="V109" s="1126"/>
      <c r="W109" s="1126"/>
      <c r="X109" s="1127"/>
      <c r="Y109" s="1128">
        <f t="shared" ref="Y109:BG109" si="164">Y98+Y92+Y104</f>
        <v>12119.038222160185</v>
      </c>
      <c r="Z109" s="1128">
        <f t="shared" si="164"/>
        <v>12824.411649037254</v>
      </c>
      <c r="AA109" s="1128">
        <f t="shared" si="164"/>
        <v>14504.456944786618</v>
      </c>
      <c r="AB109" s="1128">
        <f t="shared" si="164"/>
        <v>15692.469936264022</v>
      </c>
      <c r="AC109" s="1128">
        <f t="shared" si="164"/>
        <v>17395.953963435117</v>
      </c>
      <c r="AD109" s="1128">
        <f t="shared" si="164"/>
        <v>18242.517227270568</v>
      </c>
      <c r="AE109" s="1128">
        <f t="shared" si="164"/>
        <v>19722.428490464743</v>
      </c>
      <c r="AF109" s="1128">
        <f t="shared" si="164"/>
        <v>21432.720812388598</v>
      </c>
      <c r="AG109" s="1128">
        <f t="shared" si="164"/>
        <v>23812.649525553785</v>
      </c>
      <c r="AH109" s="1128">
        <f t="shared" si="164"/>
        <v>25408.001729796375</v>
      </c>
      <c r="AI109" s="1128">
        <f t="shared" si="164"/>
        <v>28364.759541701133</v>
      </c>
      <c r="AJ109" s="1128">
        <f t="shared" si="164"/>
        <v>30678.938546208497</v>
      </c>
      <c r="AK109" s="1128">
        <f t="shared" si="164"/>
        <v>33881.788326958762</v>
      </c>
      <c r="AL109" s="1128">
        <f t="shared" si="164"/>
        <v>35691.030011195951</v>
      </c>
      <c r="AM109" s="1128">
        <f t="shared" si="164"/>
        <v>38466.041900270982</v>
      </c>
      <c r="AN109" s="1128">
        <f t="shared" si="164"/>
        <v>40306</v>
      </c>
      <c r="AO109" s="1128">
        <f t="shared" si="164"/>
        <v>42568</v>
      </c>
      <c r="AP109" s="1128">
        <f t="shared" si="164"/>
        <v>43322.868114218858</v>
      </c>
      <c r="AQ109" s="1128">
        <f t="shared" si="164"/>
        <v>45859.312794341437</v>
      </c>
      <c r="AR109" s="1129">
        <f t="shared" si="164"/>
        <v>48111</v>
      </c>
      <c r="AS109" s="1128">
        <f t="shared" si="164"/>
        <v>51433.5</v>
      </c>
      <c r="AT109" s="1128">
        <f t="shared" si="164"/>
        <v>53625.477229626704</v>
      </c>
      <c r="AU109" s="1129">
        <f t="shared" si="164"/>
        <v>56256.423504700455</v>
      </c>
      <c r="AV109" s="1128">
        <f t="shared" si="164"/>
        <v>59226.400065703048</v>
      </c>
      <c r="AW109" s="1128">
        <f t="shared" si="164"/>
        <v>63299.877668443034</v>
      </c>
      <c r="AX109" s="1128">
        <f t="shared" si="164"/>
        <v>65511.693003587119</v>
      </c>
      <c r="AY109" s="1128">
        <f t="shared" si="164"/>
        <v>69136.780271233947</v>
      </c>
      <c r="AZ109" s="1128">
        <f t="shared" si="164"/>
        <v>69620.897906907659</v>
      </c>
      <c r="BA109" s="1128">
        <f t="shared" si="164"/>
        <v>73284.122945882424</v>
      </c>
      <c r="BB109" s="1128">
        <f t="shared" si="164"/>
        <v>70801.899406387543</v>
      </c>
      <c r="BC109" s="1128">
        <f t="shared" si="164"/>
        <v>73333.614182827674</v>
      </c>
      <c r="BD109" s="1128">
        <f t="shared" si="164"/>
        <v>76410.234856697061</v>
      </c>
      <c r="BE109" s="1128">
        <f t="shared" si="164"/>
        <v>79577.198159257445</v>
      </c>
      <c r="BF109" s="1128">
        <f t="shared" si="164"/>
        <v>80879.536652455688</v>
      </c>
      <c r="BG109" s="1128">
        <f t="shared" si="164"/>
        <v>83515.807321865417</v>
      </c>
      <c r="BH109" s="1128"/>
      <c r="BI109" s="1128"/>
      <c r="BN109" s="1" t="s">
        <v>346</v>
      </c>
      <c r="BO109" s="1128">
        <f t="shared" ref="BO109:CB109" si="165">BO98+BO92+BO104</f>
        <v>3107.5678899854724</v>
      </c>
      <c r="BP109" s="1128">
        <f t="shared" si="165"/>
        <v>4644</v>
      </c>
      <c r="BQ109" s="1128">
        <f t="shared" si="165"/>
        <v>8747.3400796349215</v>
      </c>
      <c r="BR109" s="1128">
        <f t="shared" si="165"/>
        <v>15132.297083127763</v>
      </c>
      <c r="BS109" s="1128">
        <f t="shared" si="165"/>
        <v>22964.192203135528</v>
      </c>
      <c r="BT109" s="1128">
        <f t="shared" si="165"/>
        <v>37441.388822062872</v>
      </c>
      <c r="BU109" s="1128">
        <f t="shared" si="165"/>
        <v>60417.292493523011</v>
      </c>
      <c r="BV109" s="1128">
        <f t="shared" si="165"/>
        <v>83210.316055677686</v>
      </c>
      <c r="BW109" s="1128">
        <f t="shared" si="165"/>
        <v>118333.48814466476</v>
      </c>
      <c r="BX109" s="1128">
        <f t="shared" si="165"/>
        <v>157031.07191146695</v>
      </c>
      <c r="BY109" s="1128">
        <f t="shared" si="165"/>
        <v>188726.68090856029</v>
      </c>
      <c r="BZ109" s="1128">
        <f t="shared" si="165"/>
        <v>232408.17846847323</v>
      </c>
      <c r="CA109" s="1128">
        <f t="shared" si="165"/>
        <v>277553.49412761111</v>
      </c>
      <c r="CB109" s="1128">
        <f t="shared" si="165"/>
        <v>300122.94660516974</v>
      </c>
      <c r="CC109" s="1128"/>
      <c r="CD109" s="1128"/>
    </row>
    <row r="110" spans="1:82">
      <c r="A110" s="13" t="s">
        <v>886</v>
      </c>
      <c r="B110" s="13"/>
      <c r="C110" s="13"/>
      <c r="D110" s="13"/>
      <c r="E110" s="13"/>
      <c r="F110" s="13"/>
      <c r="G110" s="13"/>
      <c r="H110" s="13"/>
      <c r="I110" s="13"/>
      <c r="J110" s="13"/>
      <c r="K110" s="13"/>
      <c r="L110" s="13"/>
      <c r="M110" s="13"/>
      <c r="N110" s="13"/>
      <c r="O110" s="13"/>
      <c r="P110" s="13"/>
      <c r="Q110" s="13"/>
      <c r="R110" s="13"/>
      <c r="S110" s="13"/>
      <c r="AC110" s="1121">
        <f t="shared" ref="AC110:BG110" si="166">AC109/Y109-1</f>
        <v>0.43542364043591042</v>
      </c>
      <c r="AD110" s="1121">
        <f t="shared" si="166"/>
        <v>0.42248375414867922</v>
      </c>
      <c r="AE110" s="1121">
        <f t="shared" si="166"/>
        <v>0.35974952840641428</v>
      </c>
      <c r="AF110" s="1121">
        <f t="shared" si="166"/>
        <v>0.36579651893162612</v>
      </c>
      <c r="AG110" s="1121">
        <f t="shared" si="166"/>
        <v>0.3688613786634547</v>
      </c>
      <c r="AH110" s="1121">
        <f t="shared" si="166"/>
        <v>0.39279033771798733</v>
      </c>
      <c r="AI110" s="1121">
        <f t="shared" si="166"/>
        <v>0.43819811821930155</v>
      </c>
      <c r="AJ110" s="1121">
        <f t="shared" si="166"/>
        <v>0.43140662423388521</v>
      </c>
      <c r="AK110" s="1121">
        <f t="shared" si="166"/>
        <v>0.42284831810083134</v>
      </c>
      <c r="AL110" s="1121">
        <f t="shared" si="166"/>
        <v>0.4047161359147935</v>
      </c>
      <c r="AM110" s="1121">
        <f t="shared" si="166"/>
        <v>0.35612085283921435</v>
      </c>
      <c r="AN110" s="1121">
        <f t="shared" si="166"/>
        <v>0.31380034349269481</v>
      </c>
      <c r="AO110" s="1121">
        <f t="shared" si="166"/>
        <v>0.25636815829257364</v>
      </c>
      <c r="AP110" s="1121">
        <f t="shared" si="166"/>
        <v>0.2138307048193584</v>
      </c>
      <c r="AQ110" s="1121">
        <f t="shared" si="166"/>
        <v>0.19220253836458201</v>
      </c>
      <c r="AR110" s="1120">
        <f t="shared" si="166"/>
        <v>0.19364362625911768</v>
      </c>
      <c r="AS110" s="1121">
        <f t="shared" si="166"/>
        <v>0.20826677316293929</v>
      </c>
      <c r="AT110" s="1121">
        <f t="shared" si="166"/>
        <v>0.23780995035336683</v>
      </c>
      <c r="AU110" s="1120">
        <f t="shared" si="166"/>
        <v>0.22671754278101419</v>
      </c>
      <c r="AV110" s="1121">
        <f t="shared" si="166"/>
        <v>0.23103656265101646</v>
      </c>
      <c r="AW110" s="1121">
        <f t="shared" si="166"/>
        <v>0.23071301133391731</v>
      </c>
      <c r="AX110" s="1121">
        <f t="shared" si="166"/>
        <v>0.22165240083669757</v>
      </c>
      <c r="AY110" s="1121">
        <f t="shared" si="166"/>
        <v>0.22895797429172315</v>
      </c>
      <c r="AZ110" s="1121">
        <f t="shared" si="166"/>
        <v>0.17550446810330245</v>
      </c>
      <c r="BA110" s="1121">
        <f t="shared" si="166"/>
        <v>0.15772929814707748</v>
      </c>
      <c r="BB110" s="1121">
        <f t="shared" si="166"/>
        <v>8.075209417211604E-2</v>
      </c>
      <c r="BC110" s="1121">
        <f t="shared" si="166"/>
        <v>6.0703346252586776E-2</v>
      </c>
      <c r="BD110" s="1121">
        <f t="shared" si="166"/>
        <v>9.7518663991775112E-2</v>
      </c>
      <c r="BE110" s="1121">
        <f t="shared" si="166"/>
        <v>8.587228666190394E-2</v>
      </c>
      <c r="BF110" s="1121">
        <f t="shared" si="166"/>
        <v>0.14233569057554085</v>
      </c>
      <c r="BG110" s="1121">
        <f t="shared" si="166"/>
        <v>0.13884755650597791</v>
      </c>
      <c r="BH110" s="1121"/>
      <c r="BI110" s="1121"/>
      <c r="BN110" s="13" t="s">
        <v>886</v>
      </c>
      <c r="BO110" s="1121"/>
      <c r="BP110" s="1121">
        <f t="shared" ref="BP110:CB110" si="167">BP109/BO109-1</f>
        <v>0.49441626519757542</v>
      </c>
      <c r="BQ110" s="1121">
        <f t="shared" si="167"/>
        <v>0.88357882851742486</v>
      </c>
      <c r="BR110" s="1121">
        <f t="shared" si="167"/>
        <v>0.7299312642888951</v>
      </c>
      <c r="BS110" s="1121">
        <f t="shared" si="167"/>
        <v>0.51756154911472008</v>
      </c>
      <c r="BT110" s="1121">
        <f t="shared" si="167"/>
        <v>0.63042481489728308</v>
      </c>
      <c r="BU110" s="1121">
        <f t="shared" si="167"/>
        <v>0.61364987769687795</v>
      </c>
      <c r="BV110" s="1121">
        <f t="shared" si="167"/>
        <v>0.37725993041806993</v>
      </c>
      <c r="BW110" s="1121">
        <f t="shared" si="167"/>
        <v>0.42210117391556912</v>
      </c>
      <c r="BX110" s="1121">
        <f t="shared" si="167"/>
        <v>0.32702140681844605</v>
      </c>
      <c r="BY110" s="1121">
        <f t="shared" si="167"/>
        <v>0.20184291306986113</v>
      </c>
      <c r="BZ110" s="1121">
        <f t="shared" si="167"/>
        <v>0.23145374755505288</v>
      </c>
      <c r="CA110" s="1121">
        <f t="shared" si="167"/>
        <v>0.19425011613892917</v>
      </c>
      <c r="CB110" s="1121">
        <f t="shared" si="167"/>
        <v>8.1315684922279585E-2</v>
      </c>
      <c r="CC110" s="1121"/>
      <c r="CD110" s="1121"/>
    </row>
    <row r="111" spans="1:82">
      <c r="AR111" s="1067"/>
      <c r="AU111" s="1067"/>
    </row>
    <row r="112" spans="1:82">
      <c r="AR112" s="1067"/>
      <c r="AU112" s="1067"/>
    </row>
    <row r="113" spans="43:47">
      <c r="AR113" s="1067"/>
      <c r="AU113" s="1067"/>
    </row>
    <row r="114" spans="43:47">
      <c r="AR114" s="1067"/>
      <c r="AU114" s="1067"/>
    </row>
    <row r="115" spans="43:47">
      <c r="AR115" s="1067"/>
      <c r="AU115" s="1067"/>
    </row>
    <row r="116" spans="43:47">
      <c r="AR116" s="1067"/>
      <c r="AU116" s="1067"/>
    </row>
    <row r="117" spans="43:47">
      <c r="AR117" s="1067"/>
      <c r="AU117" s="1067"/>
    </row>
    <row r="118" spans="43:47">
      <c r="AR118" s="1067"/>
      <c r="AU118" s="1067"/>
    </row>
    <row r="119" spans="43:47">
      <c r="AR119" s="1067"/>
      <c r="AU119" s="1067"/>
    </row>
    <row r="120" spans="43:47">
      <c r="AR120" s="1067"/>
      <c r="AU120" s="1067"/>
    </row>
    <row r="121" spans="43:47">
      <c r="AR121" s="1067"/>
      <c r="AU121" s="1067"/>
    </row>
    <row r="122" spans="43:47">
      <c r="AR122" s="1067"/>
      <c r="AU122" s="1067"/>
    </row>
    <row r="123" spans="43:47">
      <c r="AQ123" s="1067"/>
      <c r="AU123" s="1067"/>
    </row>
    <row r="124" spans="43:47">
      <c r="AQ124" s="1067"/>
      <c r="AU124" s="1067"/>
    </row>
    <row r="125" spans="43:47">
      <c r="AQ125" s="1067"/>
      <c r="AU125" s="1067"/>
    </row>
    <row r="126" spans="43:47">
      <c r="AQ126" s="1067"/>
      <c r="AU126" s="1067"/>
    </row>
    <row r="127" spans="43:47">
      <c r="AQ127" s="1067"/>
      <c r="AU127" s="1067"/>
    </row>
    <row r="128" spans="43:47">
      <c r="AQ128" s="1067"/>
      <c r="AU128" s="1067"/>
    </row>
    <row r="129" spans="43:47">
      <c r="AQ129" s="1067"/>
      <c r="AU129" s="1067"/>
    </row>
    <row r="130" spans="43:47">
      <c r="AQ130" s="1067"/>
      <c r="AU130" s="1067"/>
    </row>
    <row r="131" spans="43:47">
      <c r="AQ131" s="1067"/>
      <c r="AU131" s="1067"/>
    </row>
    <row r="132" spans="43:47">
      <c r="AQ132" s="1067"/>
      <c r="AU132" s="1067"/>
    </row>
    <row r="133" spans="43:47">
      <c r="AQ133" s="1067"/>
      <c r="AU133" s="1067"/>
    </row>
    <row r="134" spans="43:47">
      <c r="AQ134" s="1067"/>
      <c r="AU134" s="1067"/>
    </row>
    <row r="135" spans="43:47">
      <c r="AQ135" s="1067"/>
      <c r="AU135" s="1067"/>
    </row>
    <row r="136" spans="43:47">
      <c r="AQ136" s="1067"/>
      <c r="AU136" s="1067"/>
    </row>
    <row r="137" spans="43:47">
      <c r="AQ137" s="1067"/>
      <c r="AU137" s="1067"/>
    </row>
    <row r="138" spans="43:47">
      <c r="AQ138" s="1067"/>
      <c r="AU138" s="1067"/>
    </row>
    <row r="139" spans="43:47">
      <c r="AQ139" s="1067"/>
      <c r="AU139" s="1067"/>
    </row>
    <row r="140" spans="43:47">
      <c r="AQ140" s="1067"/>
      <c r="AU140" s="1067"/>
    </row>
    <row r="141" spans="43:47">
      <c r="AQ141" s="1067"/>
      <c r="AU141" s="1067"/>
    </row>
    <row r="142" spans="43:47">
      <c r="AQ142" s="1067"/>
      <c r="AU142" s="1067"/>
    </row>
    <row r="143" spans="43:47">
      <c r="AQ143" s="1067"/>
      <c r="AU143" s="1067"/>
    </row>
    <row r="144" spans="43:47">
      <c r="AQ144" s="1067"/>
      <c r="AU144" s="1067"/>
    </row>
    <row r="145" spans="43:47">
      <c r="AQ145" s="1067"/>
      <c r="AU145" s="1067"/>
    </row>
    <row r="146" spans="43:47">
      <c r="AQ146" s="1067"/>
    </row>
    <row r="147" spans="43:47">
      <c r="AQ147" s="1067"/>
    </row>
    <row r="148" spans="43:47">
      <c r="AQ148" s="1067"/>
    </row>
  </sheetData>
  <pageMargins left="0.3" right="0.3" top="0.3" bottom="0.3" header="0.3" footer="0.3"/>
  <pageSetup scale="53" fitToHeight="0" orientation="landscape" r:id="rId1"/>
  <headerFooter>
    <oddFooter>Page &amp;P</oddFooter>
  </headerFooter>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3BC50-95B6-4385-8836-0641930633E6}">
  <sheetPr>
    <pageSetUpPr fitToPage="1"/>
  </sheetPr>
  <dimension ref="A1:AS223"/>
  <sheetViews>
    <sheetView view="pageBreakPreview" zoomScale="85" zoomScaleNormal="70" zoomScaleSheetLayoutView="85" workbookViewId="0">
      <pane xSplit="1" ySplit="7" topLeftCell="K31" activePane="bottomRight" state="frozen"/>
      <selection pane="bottomRight" activeCell="K27" sqref="K27"/>
      <selection pane="bottomLeft" activeCell="K27" sqref="K27"/>
      <selection pane="topRight" activeCell="K27" sqref="K27"/>
    </sheetView>
  </sheetViews>
  <sheetFormatPr defaultRowHeight="9.9499999999999993" outlineLevelRow="1" outlineLevelCol="1"/>
  <cols>
    <col min="1" max="1" width="29.1640625" customWidth="1"/>
    <col min="3" max="10" width="8.83203125" hidden="1" customWidth="1" outlineLevel="1"/>
    <col min="11" max="11" width="8.83203125" collapsed="1"/>
    <col min="29" max="29" width="9.33203125" bestFit="1" customWidth="1"/>
    <col min="40" max="40" width="9.6640625" customWidth="1"/>
  </cols>
  <sheetData>
    <row r="1" spans="1:44" s="1" customFormat="1" ht="10.5">
      <c r="A1" t="s">
        <v>60</v>
      </c>
      <c r="B1" s="228"/>
      <c r="C1" s="228"/>
      <c r="D1" s="228"/>
      <c r="E1" s="228"/>
      <c r="F1" s="228"/>
      <c r="G1" s="228"/>
      <c r="H1" s="228"/>
      <c r="I1" s="228"/>
      <c r="J1" s="228"/>
      <c r="K1" s="228"/>
      <c r="L1" s="228"/>
      <c r="M1" s="228"/>
      <c r="N1" s="228"/>
      <c r="O1" s="228"/>
      <c r="P1" s="228"/>
      <c r="Q1" s="228"/>
      <c r="R1" s="792"/>
      <c r="S1" s="792"/>
      <c r="T1" s="792"/>
      <c r="U1" s="792"/>
      <c r="W1" s="792"/>
      <c r="X1" s="792"/>
      <c r="Y1" s="792"/>
      <c r="AN1" s="240"/>
      <c r="AR1" s="240">
        <f ca="1">TODAY()</f>
        <v>45797</v>
      </c>
    </row>
    <row r="2" spans="1:44" s="2" customFormat="1" ht="10.5">
      <c r="A2" s="2" t="s">
        <v>923</v>
      </c>
      <c r="B2" s="1052"/>
      <c r="C2" s="1052"/>
      <c r="D2" s="1052"/>
      <c r="E2" s="1052"/>
      <c r="F2" s="1052"/>
      <c r="G2" s="1052"/>
      <c r="H2" s="1052"/>
      <c r="I2" s="1052"/>
      <c r="J2" s="1052"/>
      <c r="K2" s="1052"/>
      <c r="L2" s="1052"/>
      <c r="M2" s="1052"/>
      <c r="N2" s="1052"/>
      <c r="O2" s="1052"/>
      <c r="P2" s="1052"/>
      <c r="Q2" s="1052"/>
      <c r="R2" s="1052"/>
      <c r="S2" s="1052"/>
      <c r="T2" s="1052"/>
      <c r="U2" s="1052"/>
      <c r="V2" s="1052"/>
      <c r="W2" s="1052"/>
      <c r="X2" s="1052"/>
      <c r="Y2" s="1052"/>
    </row>
    <row r="3" spans="1:44">
      <c r="A3" s="3" t="s">
        <v>63</v>
      </c>
    </row>
    <row r="4" spans="1:44" ht="13.5">
      <c r="C4" s="821" t="s">
        <v>848</v>
      </c>
      <c r="D4" s="31"/>
      <c r="E4" s="31"/>
      <c r="F4" s="31"/>
      <c r="G4" s="31"/>
      <c r="H4" s="31"/>
      <c r="I4" s="31"/>
      <c r="J4" s="31"/>
      <c r="K4" s="821" t="s">
        <v>848</v>
      </c>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row>
    <row r="5" spans="1:44" ht="13.5">
      <c r="B5" s="932" t="s">
        <v>924</v>
      </c>
      <c r="C5" s="6" t="s">
        <v>925</v>
      </c>
      <c r="D5" s="6" t="s">
        <v>926</v>
      </c>
      <c r="E5" s="6" t="s">
        <v>927</v>
      </c>
      <c r="F5" s="6" t="s">
        <v>928</v>
      </c>
      <c r="G5" s="6" t="s">
        <v>206</v>
      </c>
      <c r="H5" s="6" t="s">
        <v>207</v>
      </c>
      <c r="I5" s="6" t="s">
        <v>208</v>
      </c>
      <c r="J5" s="6" t="s">
        <v>209</v>
      </c>
      <c r="K5" s="6" t="s">
        <v>210</v>
      </c>
      <c r="L5" s="6" t="s">
        <v>211</v>
      </c>
      <c r="M5" s="6" t="s">
        <v>212</v>
      </c>
      <c r="N5" s="6" t="s">
        <v>213</v>
      </c>
      <c r="O5" s="6" t="s">
        <v>214</v>
      </c>
      <c r="P5" s="6" t="s">
        <v>215</v>
      </c>
      <c r="Q5" s="6" t="s">
        <v>216</v>
      </c>
      <c r="R5" s="6" t="s">
        <v>217</v>
      </c>
      <c r="S5" s="6" t="s">
        <v>218</v>
      </c>
      <c r="T5" s="6" t="s">
        <v>219</v>
      </c>
      <c r="U5" s="6" t="s">
        <v>220</v>
      </c>
      <c r="V5" s="6" t="s">
        <v>221</v>
      </c>
      <c r="W5" s="6" t="s">
        <v>222</v>
      </c>
      <c r="X5" s="6" t="s">
        <v>223</v>
      </c>
      <c r="Y5" s="6" t="s">
        <v>224</v>
      </c>
      <c r="Z5" s="6" t="s">
        <v>225</v>
      </c>
      <c r="AA5" s="6" t="s">
        <v>226</v>
      </c>
      <c r="AB5" s="6" t="s">
        <v>227</v>
      </c>
      <c r="AC5" s="6" t="s">
        <v>228</v>
      </c>
      <c r="AD5" s="6" t="s">
        <v>229</v>
      </c>
      <c r="AE5" s="6" t="s">
        <v>230</v>
      </c>
      <c r="AF5" s="6" t="s">
        <v>231</v>
      </c>
      <c r="AG5" s="6" t="s">
        <v>232</v>
      </c>
      <c r="AH5" s="6" t="s">
        <v>233</v>
      </c>
      <c r="AI5" s="6" t="s">
        <v>234</v>
      </c>
      <c r="AJ5" s="6" t="s">
        <v>235</v>
      </c>
      <c r="AK5" s="6" t="s">
        <v>236</v>
      </c>
      <c r="AL5" s="6" t="s">
        <v>237</v>
      </c>
      <c r="AM5" s="6" t="s">
        <v>238</v>
      </c>
      <c r="AN5" s="1066" t="s">
        <v>239</v>
      </c>
      <c r="AO5" s="6" t="s">
        <v>929</v>
      </c>
      <c r="AP5" s="6" t="s">
        <v>930</v>
      </c>
      <c r="AQ5" s="6" t="s">
        <v>931</v>
      </c>
      <c r="AR5" s="6" t="s">
        <v>932</v>
      </c>
    </row>
    <row r="6" spans="1:44" s="3" customFormat="1">
      <c r="B6" s="932" t="s">
        <v>933</v>
      </c>
      <c r="C6" s="28"/>
      <c r="D6" s="28"/>
      <c r="E6" s="28"/>
      <c r="F6" s="28"/>
      <c r="G6" s="28"/>
      <c r="H6" s="28"/>
      <c r="I6" s="28"/>
      <c r="J6" s="28"/>
      <c r="K6" s="28" t="s">
        <v>934</v>
      </c>
      <c r="L6" s="28" t="s">
        <v>935</v>
      </c>
      <c r="M6" s="28" t="s">
        <v>936</v>
      </c>
      <c r="N6" s="28" t="s">
        <v>937</v>
      </c>
      <c r="O6" s="28" t="s">
        <v>938</v>
      </c>
      <c r="P6" s="28" t="s">
        <v>939</v>
      </c>
      <c r="Q6" s="28" t="s">
        <v>940</v>
      </c>
      <c r="R6" s="28" t="s">
        <v>941</v>
      </c>
      <c r="S6" s="28" t="s">
        <v>942</v>
      </c>
      <c r="T6" s="28" t="s">
        <v>943</v>
      </c>
      <c r="U6" s="28" t="s">
        <v>944</v>
      </c>
      <c r="V6" s="28" t="s">
        <v>945</v>
      </c>
      <c r="W6" s="28" t="s">
        <v>946</v>
      </c>
      <c r="X6" s="28" t="s">
        <v>947</v>
      </c>
      <c r="Y6" s="28" t="s">
        <v>948</v>
      </c>
      <c r="Z6" s="28" t="s">
        <v>949</v>
      </c>
      <c r="AA6" s="28" t="s">
        <v>950</v>
      </c>
      <c r="AB6" s="28" t="s">
        <v>951</v>
      </c>
      <c r="AC6" s="28" t="s">
        <v>952</v>
      </c>
      <c r="AD6" s="28" t="s">
        <v>953</v>
      </c>
      <c r="AE6" s="28" t="s">
        <v>954</v>
      </c>
      <c r="AF6" s="28" t="s">
        <v>955</v>
      </c>
      <c r="AG6" s="28" t="s">
        <v>956</v>
      </c>
      <c r="AH6" s="28" t="s">
        <v>957</v>
      </c>
      <c r="AI6" s="28" t="s">
        <v>958</v>
      </c>
      <c r="AJ6" s="28" t="s">
        <v>959</v>
      </c>
      <c r="AK6" s="28" t="s">
        <v>960</v>
      </c>
      <c r="AL6" s="28" t="s">
        <v>961</v>
      </c>
      <c r="AM6" s="28" t="s">
        <v>962</v>
      </c>
      <c r="AN6" s="1097" t="s">
        <v>963</v>
      </c>
      <c r="AO6" s="28" t="s">
        <v>964</v>
      </c>
      <c r="AP6" s="28" t="s">
        <v>965</v>
      </c>
      <c r="AQ6" s="28" t="s">
        <v>966</v>
      </c>
      <c r="AR6" s="28" t="s">
        <v>967</v>
      </c>
    </row>
    <row r="7" spans="1:44" s="3" customFormat="1">
      <c r="B7" s="932"/>
      <c r="C7" s="28"/>
      <c r="D7" s="28"/>
      <c r="E7" s="28"/>
      <c r="F7" s="28"/>
      <c r="G7" s="28"/>
      <c r="H7" s="28"/>
      <c r="I7" s="28"/>
      <c r="J7" s="28"/>
      <c r="K7" s="1115">
        <v>42795</v>
      </c>
      <c r="L7" s="1115">
        <v>42887</v>
      </c>
      <c r="M7" s="1115">
        <v>42979</v>
      </c>
      <c r="N7" s="1115">
        <v>43070</v>
      </c>
      <c r="O7" s="1115">
        <v>43160</v>
      </c>
      <c r="P7" s="1115">
        <v>43252</v>
      </c>
      <c r="Q7" s="1115">
        <v>43344</v>
      </c>
      <c r="R7" s="1115">
        <v>43435</v>
      </c>
      <c r="S7" s="1115">
        <v>43525</v>
      </c>
      <c r="T7" s="1115">
        <v>43617</v>
      </c>
      <c r="U7" s="1115">
        <v>43709</v>
      </c>
      <c r="V7" s="1115">
        <v>43800</v>
      </c>
      <c r="W7" s="1115">
        <v>43891</v>
      </c>
      <c r="X7" s="1115">
        <v>43983</v>
      </c>
      <c r="Y7" s="1115">
        <v>44075</v>
      </c>
      <c r="Z7" s="1115">
        <v>44166</v>
      </c>
      <c r="AA7" s="1115">
        <v>44276</v>
      </c>
      <c r="AB7" s="1115">
        <v>44368</v>
      </c>
      <c r="AC7" s="1115">
        <v>44460</v>
      </c>
      <c r="AD7" s="1115">
        <v>44551</v>
      </c>
      <c r="AE7" s="1115">
        <v>44642</v>
      </c>
      <c r="AF7" s="1115">
        <v>44734</v>
      </c>
      <c r="AG7" s="1115">
        <v>44826</v>
      </c>
      <c r="AH7" s="1115">
        <v>44917</v>
      </c>
      <c r="AI7" s="1115">
        <v>45008</v>
      </c>
      <c r="AJ7" s="1115">
        <v>45100</v>
      </c>
      <c r="AK7" s="1115">
        <v>45192</v>
      </c>
      <c r="AL7" s="1115">
        <v>45649</v>
      </c>
      <c r="AM7" s="1115">
        <v>45375</v>
      </c>
      <c r="AN7" s="1116">
        <v>45467</v>
      </c>
      <c r="AO7" s="1115" t="s">
        <v>853</v>
      </c>
      <c r="AP7" s="1115" t="s">
        <v>854</v>
      </c>
      <c r="AQ7" s="1115" t="s">
        <v>855</v>
      </c>
      <c r="AR7" s="1115" t="s">
        <v>856</v>
      </c>
    </row>
    <row r="8" spans="1:44" s="3" customFormat="1" ht="10.5">
      <c r="A8" s="45" t="s">
        <v>968</v>
      </c>
      <c r="C8" s="28"/>
      <c r="D8" s="28"/>
      <c r="E8" s="28"/>
      <c r="F8" s="28"/>
      <c r="G8" s="28"/>
      <c r="H8" s="28"/>
      <c r="I8" s="28"/>
      <c r="J8" s="28"/>
      <c r="AN8" s="1075"/>
    </row>
    <row r="9" spans="1:44" ht="13.5" hidden="1" outlineLevel="1">
      <c r="A9" t="s">
        <v>950</v>
      </c>
      <c r="C9" s="6"/>
      <c r="D9" s="6"/>
      <c r="E9" s="6"/>
      <c r="F9" s="6"/>
      <c r="G9" s="6"/>
      <c r="H9" s="6"/>
      <c r="I9" s="6"/>
      <c r="J9" s="6"/>
      <c r="K9" s="6"/>
      <c r="L9" s="6"/>
      <c r="M9" s="6"/>
      <c r="N9" s="6"/>
      <c r="O9" s="6"/>
      <c r="P9" s="6"/>
      <c r="Q9" s="6"/>
      <c r="R9" s="6"/>
      <c r="S9" s="6"/>
      <c r="T9" s="6"/>
      <c r="U9" s="6"/>
      <c r="V9" s="6"/>
      <c r="W9" s="6"/>
      <c r="X9" s="6"/>
      <c r="Y9" s="6"/>
      <c r="Z9" s="6"/>
      <c r="AA9" s="843" t="s">
        <v>969</v>
      </c>
      <c r="AB9" s="6"/>
      <c r="AC9" s="6"/>
      <c r="AD9" s="6"/>
      <c r="AE9" s="6"/>
      <c r="AF9" s="6"/>
      <c r="AG9" s="6"/>
      <c r="AH9" s="6"/>
      <c r="AI9" s="6"/>
      <c r="AJ9" s="6"/>
      <c r="AK9" s="6"/>
      <c r="AL9" s="6"/>
      <c r="AM9" s="6"/>
      <c r="AN9" s="1066"/>
      <c r="AO9" s="6"/>
      <c r="AP9" s="6"/>
      <c r="AQ9" s="6"/>
      <c r="AR9" s="6"/>
    </row>
    <row r="10" spans="1:44" ht="13.5" hidden="1" outlineLevel="1" collapsed="1">
      <c r="A10" t="s">
        <v>951</v>
      </c>
      <c r="C10" s="6"/>
      <c r="D10" s="6"/>
      <c r="E10" s="6"/>
      <c r="F10" s="6"/>
      <c r="G10" s="6"/>
      <c r="H10" s="6"/>
      <c r="I10" s="6"/>
      <c r="J10" s="6"/>
      <c r="K10" s="6"/>
      <c r="L10" s="6"/>
      <c r="M10" s="6"/>
      <c r="N10" s="6"/>
      <c r="O10" s="6"/>
      <c r="P10" s="6"/>
      <c r="Q10" s="6"/>
      <c r="R10" s="6"/>
      <c r="S10" s="6"/>
      <c r="T10" s="6"/>
      <c r="U10" s="6"/>
      <c r="V10" s="6"/>
      <c r="W10" s="6"/>
      <c r="X10" s="6"/>
      <c r="Y10" s="6"/>
      <c r="Z10" s="6"/>
      <c r="AB10" s="843" t="s">
        <v>970</v>
      </c>
      <c r="AC10" s="6"/>
      <c r="AD10" s="6"/>
      <c r="AE10" s="6"/>
      <c r="AF10" s="6"/>
      <c r="AG10" s="6"/>
      <c r="AH10" s="6"/>
      <c r="AI10" s="6"/>
      <c r="AJ10" s="6"/>
      <c r="AK10" s="6"/>
      <c r="AL10" s="6"/>
      <c r="AM10" s="6"/>
      <c r="AN10" s="1066"/>
      <c r="AO10" s="6"/>
      <c r="AP10" s="6"/>
      <c r="AQ10" s="6"/>
      <c r="AR10" s="6"/>
    </row>
    <row r="11" spans="1:44" ht="13.5" hidden="1" outlineLevel="1">
      <c r="A11" t="s">
        <v>952</v>
      </c>
      <c r="C11" s="6"/>
      <c r="D11" s="6"/>
      <c r="E11" s="6"/>
      <c r="F11" s="6"/>
      <c r="G11" s="6"/>
      <c r="H11" s="6"/>
      <c r="I11" s="6"/>
      <c r="J11" s="6"/>
      <c r="K11" s="6"/>
      <c r="L11" s="6"/>
      <c r="M11" s="6"/>
      <c r="N11" s="6"/>
      <c r="O11" s="6"/>
      <c r="P11" s="6"/>
      <c r="Q11" s="6"/>
      <c r="R11" s="6"/>
      <c r="S11" s="6"/>
      <c r="T11" s="6"/>
      <c r="U11" s="6"/>
      <c r="V11" s="6"/>
      <c r="W11" s="6"/>
      <c r="X11" s="6"/>
      <c r="Y11" s="6"/>
      <c r="Z11" s="6"/>
      <c r="AA11" s="6"/>
      <c r="AB11" s="6"/>
      <c r="AC11" s="843" t="s">
        <v>971</v>
      </c>
      <c r="AD11" s="6"/>
      <c r="AE11" s="6"/>
      <c r="AF11" s="6"/>
      <c r="AG11" s="6"/>
      <c r="AH11" s="6"/>
      <c r="AI11" s="6"/>
      <c r="AJ11" s="6"/>
      <c r="AK11" s="6"/>
      <c r="AL11" s="6"/>
      <c r="AM11" s="6"/>
      <c r="AN11" s="1066"/>
      <c r="AO11" s="6"/>
      <c r="AP11" s="6"/>
      <c r="AQ11" s="6"/>
      <c r="AR11" s="6"/>
    </row>
    <row r="12" spans="1:44" ht="13.5" hidden="1" outlineLevel="1">
      <c r="C12" s="6"/>
      <c r="D12" s="6"/>
      <c r="E12" s="6"/>
      <c r="F12" s="6"/>
      <c r="G12" s="6"/>
      <c r="H12" s="6"/>
      <c r="I12" s="6"/>
      <c r="J12" s="6"/>
      <c r="K12" s="6"/>
      <c r="L12" s="6"/>
      <c r="M12" s="6"/>
      <c r="N12" s="6"/>
      <c r="O12" s="6"/>
      <c r="P12" s="6"/>
      <c r="Q12" s="6"/>
      <c r="R12" s="6"/>
      <c r="S12" s="6"/>
      <c r="T12" s="6"/>
      <c r="U12" s="6"/>
      <c r="V12" s="6"/>
      <c r="W12" s="6"/>
      <c r="X12" s="6"/>
      <c r="Y12" s="6"/>
      <c r="Z12" s="6"/>
      <c r="AA12" s="6"/>
      <c r="AB12" s="6"/>
      <c r="AC12" s="843" t="s">
        <v>972</v>
      </c>
      <c r="AD12" s="6"/>
      <c r="AE12" s="6"/>
      <c r="AF12" s="6"/>
      <c r="AG12" s="6"/>
      <c r="AH12" s="6"/>
      <c r="AI12" s="6"/>
      <c r="AJ12" s="6"/>
      <c r="AK12" s="6"/>
      <c r="AL12" s="6"/>
      <c r="AM12" s="6"/>
      <c r="AN12" s="1066"/>
      <c r="AO12" s="6"/>
      <c r="AP12" s="6"/>
      <c r="AQ12" s="6"/>
      <c r="AR12" s="6"/>
    </row>
    <row r="13" spans="1:44" ht="13.5" collapsed="1">
      <c r="A13" t="s">
        <v>953</v>
      </c>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843" t="s">
        <v>973</v>
      </c>
      <c r="AE13" s="6"/>
      <c r="AF13" s="6"/>
      <c r="AG13" s="6"/>
      <c r="AH13" s="6"/>
      <c r="AI13" s="6"/>
      <c r="AJ13" s="6"/>
      <c r="AK13" s="6"/>
      <c r="AL13" s="6"/>
      <c r="AM13" s="6"/>
      <c r="AN13" s="1066"/>
      <c r="AO13" s="6"/>
      <c r="AP13" s="6"/>
      <c r="AQ13" s="6"/>
      <c r="AR13" s="6"/>
    </row>
    <row r="14" spans="1:44" ht="13.5">
      <c r="A14" t="s">
        <v>954</v>
      </c>
      <c r="C14" s="6"/>
      <c r="D14" s="6"/>
      <c r="E14" s="6"/>
      <c r="F14" s="6"/>
      <c r="G14" s="6"/>
      <c r="H14" s="6"/>
      <c r="I14" s="6"/>
      <c r="J14" s="6"/>
      <c r="K14" s="6"/>
      <c r="L14" s="6"/>
      <c r="M14" s="6"/>
      <c r="N14" s="6"/>
      <c r="O14" s="6"/>
      <c r="P14" s="6"/>
      <c r="Q14" s="6"/>
      <c r="R14" s="6"/>
      <c r="S14" s="6"/>
      <c r="T14" s="6"/>
      <c r="U14" s="6"/>
      <c r="V14" s="6"/>
      <c r="W14" s="6"/>
      <c r="X14" s="6"/>
      <c r="Y14" s="6"/>
      <c r="Z14" s="6"/>
      <c r="AA14" s="6"/>
      <c r="AB14" s="6"/>
      <c r="AE14" s="843" t="s">
        <v>974</v>
      </c>
      <c r="AF14" s="843"/>
      <c r="AG14" s="843"/>
      <c r="AH14" s="6"/>
      <c r="AI14" s="6"/>
      <c r="AJ14" s="6"/>
      <c r="AK14" s="6"/>
      <c r="AL14" s="6"/>
      <c r="AM14" s="6"/>
      <c r="AN14" s="1066"/>
      <c r="AO14" s="6"/>
      <c r="AP14" s="6"/>
      <c r="AQ14" s="6"/>
      <c r="AR14" s="6"/>
    </row>
    <row r="15" spans="1:44" ht="13.5">
      <c r="A15" t="s">
        <v>955</v>
      </c>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843"/>
      <c r="AF15" s="843" t="s">
        <v>975</v>
      </c>
      <c r="AG15" s="843"/>
      <c r="AH15" s="6"/>
      <c r="AI15" s="6"/>
      <c r="AJ15" s="6"/>
      <c r="AK15" s="6"/>
      <c r="AL15" s="6"/>
      <c r="AM15" s="6"/>
      <c r="AN15" s="1066"/>
      <c r="AO15" s="6"/>
      <c r="AP15" s="6"/>
      <c r="AQ15" s="6"/>
      <c r="AR15" s="6"/>
    </row>
    <row r="16" spans="1:44" ht="13.5">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843"/>
      <c r="AF16" s="843" t="s">
        <v>976</v>
      </c>
      <c r="AG16" s="843"/>
      <c r="AH16" s="6"/>
      <c r="AI16" s="6"/>
      <c r="AJ16" s="6"/>
      <c r="AK16" s="6"/>
      <c r="AL16" s="6"/>
      <c r="AM16" s="6"/>
      <c r="AN16" s="1066"/>
      <c r="AO16" s="6"/>
      <c r="AP16" s="6"/>
      <c r="AQ16" s="6"/>
      <c r="AR16" s="6"/>
    </row>
    <row r="17" spans="1:44" ht="13.5">
      <c r="A17" t="s">
        <v>956</v>
      </c>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843"/>
      <c r="AF17" s="843"/>
      <c r="AG17" s="843" t="s">
        <v>977</v>
      </c>
      <c r="AH17" s="6"/>
      <c r="AI17" s="6"/>
      <c r="AJ17" s="6"/>
      <c r="AK17" s="6"/>
      <c r="AL17" s="6"/>
      <c r="AM17" s="6"/>
      <c r="AN17" s="1066"/>
      <c r="AO17" s="6"/>
      <c r="AP17" s="6"/>
      <c r="AQ17" s="6"/>
      <c r="AR17" s="6"/>
    </row>
    <row r="18" spans="1:44" ht="13.5">
      <c r="A18" t="s">
        <v>957</v>
      </c>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843" t="s">
        <v>978</v>
      </c>
      <c r="AI18" s="6"/>
      <c r="AJ18" s="6"/>
      <c r="AK18" s="6"/>
      <c r="AL18" s="6"/>
      <c r="AM18" s="6"/>
      <c r="AN18" s="1066"/>
      <c r="AO18" s="6"/>
      <c r="AP18" s="6"/>
      <c r="AQ18" s="6"/>
      <c r="AR18" s="6"/>
    </row>
    <row r="19" spans="1:44" ht="13.5">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843" t="s">
        <v>979</v>
      </c>
      <c r="AI19" s="6"/>
      <c r="AJ19" s="6"/>
      <c r="AK19" s="6"/>
      <c r="AL19" s="6"/>
      <c r="AM19" s="6"/>
      <c r="AN19" s="1066"/>
      <c r="AO19" s="6"/>
      <c r="AP19" s="6"/>
      <c r="AQ19" s="6"/>
      <c r="AR19" s="6"/>
    </row>
    <row r="20" spans="1:44">
      <c r="A20" t="s">
        <v>980</v>
      </c>
      <c r="C20" s="27"/>
      <c r="D20" s="27"/>
      <c r="E20" s="27"/>
      <c r="F20" s="27"/>
      <c r="G20" s="27"/>
      <c r="H20" s="27"/>
      <c r="I20" s="27"/>
      <c r="J20" s="27"/>
      <c r="K20" s="843" t="s">
        <v>981</v>
      </c>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1198"/>
      <c r="AO20" s="27"/>
      <c r="AP20" s="27"/>
      <c r="AQ20" s="27"/>
      <c r="AR20" s="27"/>
    </row>
    <row r="21" spans="1:44">
      <c r="C21" s="27"/>
      <c r="D21" s="27"/>
      <c r="E21" s="27"/>
      <c r="F21" s="27"/>
      <c r="G21" s="27"/>
      <c r="H21" s="27"/>
      <c r="I21" s="27"/>
      <c r="J21" s="27"/>
      <c r="K21" s="843" t="s">
        <v>982</v>
      </c>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1198"/>
      <c r="AO21" s="27"/>
      <c r="AP21" s="27"/>
      <c r="AQ21" s="27"/>
      <c r="AR21" s="27"/>
    </row>
    <row r="22" spans="1:44">
      <c r="A22" t="s">
        <v>958</v>
      </c>
      <c r="C22" s="27"/>
      <c r="D22" s="27"/>
      <c r="E22" s="27"/>
      <c r="F22" s="27"/>
      <c r="G22" s="27"/>
      <c r="H22" s="27"/>
      <c r="I22" s="27"/>
      <c r="J22" s="27"/>
      <c r="K22" s="843"/>
      <c r="L22" s="27"/>
      <c r="M22" s="27"/>
      <c r="N22" s="27"/>
      <c r="O22" s="27"/>
      <c r="P22" s="27"/>
      <c r="Q22" s="27"/>
      <c r="R22" s="27"/>
      <c r="S22" s="27"/>
      <c r="T22" s="27"/>
      <c r="U22" s="27"/>
      <c r="V22" s="27"/>
      <c r="W22" s="27"/>
      <c r="X22" s="27"/>
      <c r="Y22" s="27"/>
      <c r="Z22" s="27"/>
      <c r="AA22" s="27"/>
      <c r="AB22" s="27"/>
      <c r="AC22" s="27"/>
      <c r="AD22" s="27"/>
      <c r="AE22" s="27"/>
      <c r="AF22" s="27"/>
      <c r="AG22" s="27"/>
      <c r="AH22" s="27"/>
      <c r="AI22" s="843" t="s">
        <v>983</v>
      </c>
      <c r="AJ22" s="27"/>
      <c r="AK22" s="27"/>
      <c r="AL22" s="27"/>
      <c r="AM22" s="27"/>
      <c r="AN22" s="1198"/>
      <c r="AO22" s="27"/>
      <c r="AP22" s="27"/>
      <c r="AQ22" s="27"/>
      <c r="AR22" s="27"/>
    </row>
    <row r="23" spans="1:44">
      <c r="C23" s="27"/>
      <c r="D23" s="27"/>
      <c r="E23" s="27"/>
      <c r="F23" s="27"/>
      <c r="G23" s="27"/>
      <c r="H23" s="27"/>
      <c r="I23" s="27"/>
      <c r="J23" s="27"/>
      <c r="K23" s="843"/>
      <c r="L23" s="27"/>
      <c r="M23" s="27"/>
      <c r="N23" s="27"/>
      <c r="O23" s="27"/>
      <c r="P23" s="27"/>
      <c r="Q23" s="27"/>
      <c r="R23" s="27"/>
      <c r="S23" s="27"/>
      <c r="T23" s="27"/>
      <c r="U23" s="27"/>
      <c r="V23" s="27"/>
      <c r="W23" s="27"/>
      <c r="X23" s="27"/>
      <c r="Y23" s="27"/>
      <c r="Z23" s="27"/>
      <c r="AA23" s="27"/>
      <c r="AB23" s="27"/>
      <c r="AC23" s="27"/>
      <c r="AD23" s="27"/>
      <c r="AE23" s="27"/>
      <c r="AF23" s="27"/>
      <c r="AG23" s="27"/>
      <c r="AH23" s="27"/>
      <c r="AI23" s="843" t="s">
        <v>984</v>
      </c>
      <c r="AJ23" s="27"/>
      <c r="AK23" s="27"/>
      <c r="AL23" s="27"/>
      <c r="AM23" s="27"/>
      <c r="AN23" s="1198"/>
      <c r="AO23" s="27"/>
      <c r="AP23" s="27"/>
      <c r="AQ23" s="27"/>
      <c r="AR23" s="27"/>
    </row>
    <row r="24" spans="1:44" ht="13.5">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t="s">
        <v>985</v>
      </c>
      <c r="AN24" s="1067"/>
    </row>
    <row r="25" spans="1:44" ht="13.5">
      <c r="A25" t="s">
        <v>959</v>
      </c>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J25" t="s">
        <v>986</v>
      </c>
      <c r="AN25" s="1067"/>
    </row>
    <row r="26" spans="1:44" ht="13.5">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J26" t="s">
        <v>987</v>
      </c>
      <c r="AN26" s="1067"/>
    </row>
    <row r="27" spans="1:44" ht="13.5">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J27" t="s">
        <v>988</v>
      </c>
      <c r="AN27" s="1067"/>
    </row>
    <row r="28" spans="1:44" ht="13.5">
      <c r="A28" t="s">
        <v>960</v>
      </c>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K28" t="s">
        <v>989</v>
      </c>
      <c r="AN28" s="1067"/>
    </row>
    <row r="29" spans="1:44" ht="13.5">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K29" t="s">
        <v>990</v>
      </c>
      <c r="AN29" s="1067"/>
    </row>
    <row r="30" spans="1:44" ht="13.5">
      <c r="A30" t="s">
        <v>961</v>
      </c>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L30" t="s">
        <v>991</v>
      </c>
      <c r="AN30" s="1067"/>
    </row>
    <row r="31" spans="1:44" ht="13.5">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L31" t="s">
        <v>992</v>
      </c>
      <c r="AN31" s="1067"/>
    </row>
    <row r="32" spans="1:44" ht="13.5">
      <c r="A32" t="s">
        <v>962</v>
      </c>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N32" s="1067"/>
    </row>
    <row r="33" spans="1:45" ht="13.5">
      <c r="A33" t="s">
        <v>963</v>
      </c>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N33" s="1067"/>
    </row>
    <row r="34" spans="1:45" ht="13.5">
      <c r="A34" s="45" t="s">
        <v>993</v>
      </c>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N34" s="1067"/>
    </row>
    <row r="35" spans="1:45">
      <c r="A35" t="s">
        <v>994</v>
      </c>
      <c r="C35" s="8">
        <v>71686.600000000006</v>
      </c>
      <c r="D35" s="8">
        <v>67850.8</v>
      </c>
      <c r="E35" s="8">
        <v>73098</v>
      </c>
      <c r="F35" s="8">
        <v>75384</v>
      </c>
      <c r="G35" s="8">
        <v>64776</v>
      </c>
      <c r="H35" s="8">
        <v>64295</v>
      </c>
      <c r="I35" s="8">
        <v>68945</v>
      </c>
      <c r="J35" s="8">
        <v>72611</v>
      </c>
      <c r="K35" s="8">
        <v>62569</v>
      </c>
      <c r="L35" s="8">
        <v>61254</v>
      </c>
      <c r="M35" s="8">
        <v>67156</v>
      </c>
      <c r="N35" s="8">
        <v>71696</v>
      </c>
      <c r="O35" s="8">
        <v>61686</v>
      </c>
      <c r="P35" s="8">
        <v>62095</v>
      </c>
      <c r="Q35" s="8">
        <v>67205.600000000006</v>
      </c>
      <c r="R35" s="8">
        <v>68625.8</v>
      </c>
      <c r="S35" s="8">
        <v>58860</v>
      </c>
      <c r="T35" s="8">
        <v>63047</v>
      </c>
      <c r="U35" s="8">
        <v>68868.800000000003</v>
      </c>
      <c r="V35" s="8">
        <v>71748.800000000003</v>
      </c>
      <c r="W35" s="8">
        <v>51636.800000000003</v>
      </c>
      <c r="X35" s="8">
        <v>64807.8</v>
      </c>
      <c r="Y35" s="8">
        <v>71377</v>
      </c>
      <c r="Z35" s="8">
        <v>79391.600000000006</v>
      </c>
      <c r="AA35" s="8">
        <v>83520</v>
      </c>
      <c r="AB35" s="8">
        <v>82424</v>
      </c>
      <c r="AC35" s="8">
        <v>84447</v>
      </c>
      <c r="AD35" s="8">
        <v>91295.8</v>
      </c>
      <c r="AE35" s="8">
        <v>77860.800000000003</v>
      </c>
      <c r="AF35" s="8">
        <v>72010.600000000006</v>
      </c>
      <c r="AG35" s="8">
        <v>67995</v>
      </c>
      <c r="AH35" s="8">
        <v>65291.6</v>
      </c>
      <c r="AI35" s="8">
        <v>55154</v>
      </c>
      <c r="AJ35" s="8">
        <v>59652</v>
      </c>
      <c r="AK35" s="8">
        <f t="shared" ref="AK35:AL35" si="0">+AG35*(1+AK39)</f>
        <v>61875.450000000004</v>
      </c>
      <c r="AL35" s="8">
        <f t="shared" si="0"/>
        <v>65487.474799999989</v>
      </c>
      <c r="AM35" s="61">
        <f>+AVERAGE(S35,O35,K35)</f>
        <v>61038.333333333336</v>
      </c>
      <c r="AN35" s="1225">
        <f>+AVERAGE(T35,P35,L35)</f>
        <v>62132</v>
      </c>
      <c r="AO35" s="61">
        <f t="shared" ref="AO35:AQ35" si="1">+AVERAGE(U35,Q35,M35)</f>
        <v>67743.466666666674</v>
      </c>
      <c r="AP35" s="61">
        <f t="shared" si="1"/>
        <v>70690.2</v>
      </c>
      <c r="AQ35" s="61">
        <f t="shared" si="1"/>
        <v>57394.266666666663</v>
      </c>
      <c r="AR35" s="61">
        <f t="shared" ref="AR35" si="2">+AVERAGE(X35,T35,P35)</f>
        <v>63316.6</v>
      </c>
    </row>
    <row r="36" spans="1:45">
      <c r="A36" t="s">
        <v>995</v>
      </c>
      <c r="C36" s="8"/>
      <c r="I36" s="8">
        <f>+'Historical Financials'!H862</f>
        <v>2955.4280972923148</v>
      </c>
      <c r="J36" s="8">
        <f>+'Historical Financials'!I862</f>
        <v>3002.8494671961698</v>
      </c>
      <c r="K36" s="8">
        <f>+'Historical Financials'!J862</f>
        <v>2704.583035157154</v>
      </c>
      <c r="L36" s="8">
        <f>+'Historical Financials'!K862</f>
        <v>2933.9740834197792</v>
      </c>
      <c r="M36" s="8">
        <f>+'Historical Financials'!L862</f>
        <v>3040.9078141014156</v>
      </c>
      <c r="N36" s="8">
        <f>+'Historical Financials'!M862</f>
        <v>3110.1077652850854</v>
      </c>
      <c r="O36" s="8">
        <f>+'Historical Financials'!N862</f>
        <v>2816.1564813988643</v>
      </c>
      <c r="P36" s="8">
        <f>+'Historical Financials'!O862</f>
        <v>3148.2438291158132</v>
      </c>
      <c r="Q36" s="8">
        <f>+'Historical Financials'!P862</f>
        <v>3124.9619680638589</v>
      </c>
      <c r="R36" s="8">
        <f>+'Historical Financials'!Q862</f>
        <v>2937.405824168467</v>
      </c>
      <c r="S36" s="8">
        <f>+'Historical Financials'!R862</f>
        <v>3061.5523811302801</v>
      </c>
      <c r="T36" s="8">
        <f>+'Historical Financials'!S862</f>
        <v>3432.103087089512</v>
      </c>
      <c r="U36" s="8">
        <f>+'Historical Financials'!T862</f>
        <v>3406.8555019030559</v>
      </c>
      <c r="V36" s="8">
        <f>+'Historical Financials'!U862</f>
        <v>3479.3762392136173</v>
      </c>
      <c r="W36" s="8">
        <f>+'Historical Financials'!V862</f>
        <v>3051.2126537303793</v>
      </c>
      <c r="X36" s="8">
        <f>+'Historical Financials'!W862</f>
        <v>3579.1874370088094</v>
      </c>
      <c r="Y36" s="8">
        <f>+'Historical Financials'!X862</f>
        <v>3235.3037798967353</v>
      </c>
      <c r="Z36" s="8">
        <f>+'Historical Financials'!Y862</f>
        <v>3524.5584549231007</v>
      </c>
      <c r="AA36" s="8">
        <f>+'Historical Financials'!Z862</f>
        <v>3360.8575466128373</v>
      </c>
      <c r="AB36" s="8">
        <f>+'Historical Financials'!AA862</f>
        <v>3582.536468540683</v>
      </c>
      <c r="AC36" s="61">
        <f>+'Historical Financials'!AB862+210</f>
        <v>3762.7514418169508</v>
      </c>
      <c r="AD36" s="61">
        <f>+'Historical Financials'!AC862-210</f>
        <v>4172.7906903824678</v>
      </c>
      <c r="AE36" s="8">
        <f>+'Historical Financials'!AD862</f>
        <v>3721.5642183242271</v>
      </c>
      <c r="AF36" s="8">
        <f>+'Historical Financials'!AE862</f>
        <v>3502.3913551873493</v>
      </c>
      <c r="AG36" s="8">
        <f>+'Historical Financials'!AF862</f>
        <v>3027.8865095877313</v>
      </c>
      <c r="AH36" s="8">
        <f>+'Historical Financials'!AG862</f>
        <v>2678.3732910283975</v>
      </c>
      <c r="AI36" s="8">
        <f>+'Historical Financials'!AH862</f>
        <v>2679.5262371934436</v>
      </c>
      <c r="AJ36" s="8">
        <f>+'Historical Financials'!AI862</f>
        <v>3082.1043925648673</v>
      </c>
      <c r="AK36" s="8">
        <f>+'Historical Financials'!AJ862</f>
        <v>3149.0019699712407</v>
      </c>
      <c r="AL36" s="8">
        <f>+'Historical Financials'!AK862</f>
        <v>2972.9943530415217</v>
      </c>
      <c r="AM36" s="8">
        <f>+'Historical Financials'!AL862</f>
        <v>2974.2741232847229</v>
      </c>
      <c r="AN36" s="1068">
        <f>+'Historical Financials'!AM862</f>
        <v>3205.3885682674622</v>
      </c>
      <c r="AO36" s="8">
        <f t="shared" ref="AO36" si="3">+AK36*(1+AO40)</f>
        <v>3149.0019699712407</v>
      </c>
      <c r="AP36" s="8">
        <f t="shared" ref="AP36" si="4">+AL36*(1+AP40)</f>
        <v>2972.9943530415217</v>
      </c>
      <c r="AQ36" s="8">
        <f t="shared" ref="AQ36" si="5">+AM36*(1+AQ40)</f>
        <v>3122.987829448959</v>
      </c>
      <c r="AR36" s="8">
        <f t="shared" ref="AR36" si="6">+AN36*(1+AR40)</f>
        <v>3365.6579966808354</v>
      </c>
    </row>
    <row r="37" spans="1:45">
      <c r="AN37" s="1067"/>
    </row>
    <row r="38" spans="1:45" s="3" customFormat="1">
      <c r="A38" s="24" t="s">
        <v>113</v>
      </c>
      <c r="O38" s="836"/>
      <c r="P38" s="836"/>
      <c r="Q38" s="836"/>
      <c r="R38" s="836"/>
      <c r="S38" s="836"/>
      <c r="T38" s="836"/>
      <c r="U38" s="836"/>
      <c r="V38" s="836"/>
      <c r="W38" s="836"/>
      <c r="X38" s="836"/>
      <c r="Y38" s="836"/>
      <c r="Z38" s="836"/>
      <c r="AA38" s="836"/>
      <c r="AB38" s="836"/>
      <c r="AC38" s="836"/>
      <c r="AD38" s="836"/>
      <c r="AE38" s="836"/>
      <c r="AF38" s="836"/>
      <c r="AG38" s="836"/>
      <c r="AH38" s="836"/>
      <c r="AI38" s="836"/>
      <c r="AJ38" s="836"/>
      <c r="AK38" s="836"/>
      <c r="AL38" s="836"/>
      <c r="AM38" s="836"/>
      <c r="AN38" s="1069"/>
      <c r="AO38" s="836"/>
      <c r="AP38" s="836"/>
      <c r="AQ38" s="836"/>
      <c r="AR38" s="836"/>
    </row>
    <row r="39" spans="1:45" s="3" customFormat="1">
      <c r="A39" s="13" t="str">
        <f>+A35</f>
        <v>PC OEM Shipments (# in '000s)</v>
      </c>
      <c r="M39" s="836">
        <f t="shared" ref="M39:V40" si="7">+M35/I35-1</f>
        <v>-2.5948219595329558E-2</v>
      </c>
      <c r="N39" s="836">
        <f t="shared" si="7"/>
        <v>-1.2601396482626592E-2</v>
      </c>
      <c r="O39" s="836">
        <f t="shared" si="7"/>
        <v>-1.411241988844314E-2</v>
      </c>
      <c r="P39" s="836">
        <f t="shared" si="7"/>
        <v>1.3729715610409032E-2</v>
      </c>
      <c r="Q39" s="836">
        <f t="shared" si="7"/>
        <v>7.3857883137784519E-4</v>
      </c>
      <c r="R39" s="836">
        <f t="shared" si="7"/>
        <v>-4.2822472662352062E-2</v>
      </c>
      <c r="S39" s="836">
        <f t="shared" si="7"/>
        <v>-4.5812664137729775E-2</v>
      </c>
      <c r="T39" s="836">
        <f t="shared" si="7"/>
        <v>1.5331347129398543E-2</v>
      </c>
      <c r="U39" s="836">
        <f t="shared" si="7"/>
        <v>2.4747937671860676E-2</v>
      </c>
      <c r="V39" s="836">
        <f t="shared" si="7"/>
        <v>4.550766621299851E-2</v>
      </c>
      <c r="W39" s="836">
        <f t="shared" ref="W39:AF40" si="8">+W35/S35-1</f>
        <v>-0.12271831464492011</v>
      </c>
      <c r="X39" s="836">
        <f t="shared" si="8"/>
        <v>2.7928370897901678E-2</v>
      </c>
      <c r="Y39" s="836">
        <f t="shared" si="8"/>
        <v>3.6419975373463753E-2</v>
      </c>
      <c r="Z39" s="836">
        <f t="shared" si="8"/>
        <v>0.10652164217380644</v>
      </c>
      <c r="AA39" s="836">
        <f t="shared" si="8"/>
        <v>0.61745112013137904</v>
      </c>
      <c r="AB39" s="836">
        <f t="shared" si="8"/>
        <v>0.27182221893043734</v>
      </c>
      <c r="AC39" s="836">
        <f t="shared" si="8"/>
        <v>0.18311220701346365</v>
      </c>
      <c r="AD39" s="836">
        <f t="shared" si="8"/>
        <v>0.14994281510890306</v>
      </c>
      <c r="AE39" s="836">
        <f t="shared" si="8"/>
        <v>-6.7758620689655102E-2</v>
      </c>
      <c r="AF39" s="836">
        <f t="shared" si="8"/>
        <v>-0.12633941570416374</v>
      </c>
      <c r="AG39" s="836">
        <f t="shared" ref="AG39:AN40" si="9">+AG35/AC35-1</f>
        <v>-0.19482041990834487</v>
      </c>
      <c r="AH39" s="836">
        <f t="shared" si="9"/>
        <v>-0.284834570703143</v>
      </c>
      <c r="AI39" s="836">
        <f t="shared" ref="AI39:AJ40" si="10">+AI35/AE35-1</f>
        <v>-0.2916332737398023</v>
      </c>
      <c r="AJ39" s="836">
        <f t="shared" si="10"/>
        <v>-0.17162195565652838</v>
      </c>
      <c r="AK39" s="1063">
        <v>-0.09</v>
      </c>
      <c r="AL39" s="1063">
        <v>3.0000000000000001E-3</v>
      </c>
      <c r="AM39" s="836">
        <f t="shared" si="9"/>
        <v>0.10668914917020222</v>
      </c>
      <c r="AN39" s="1069">
        <f t="shared" si="9"/>
        <v>4.157446523167696E-2</v>
      </c>
      <c r="AO39" s="836">
        <f t="shared" ref="AO39" si="11">+AO35/AK35-1</f>
        <v>9.4835943280682011E-2</v>
      </c>
      <c r="AP39" s="836">
        <f t="shared" ref="AP39" si="12">+AP35/AL35-1</f>
        <v>7.944611112108424E-2</v>
      </c>
      <c r="AQ39" s="836">
        <f t="shared" ref="AQ39" si="13">+AQ35/AM35-1</f>
        <v>-5.9701280616006436E-2</v>
      </c>
      <c r="AR39" s="836">
        <f t="shared" ref="AR39" si="14">+AR35/AN35-1</f>
        <v>1.906585978239872E-2</v>
      </c>
      <c r="AS39" s="7" t="s">
        <v>996</v>
      </c>
    </row>
    <row r="40" spans="1:45" s="839" customFormat="1" ht="11.45">
      <c r="A40" s="13" t="str">
        <f>+A36</f>
        <v>Windows OEM Revenue (Deferral Adj.)</v>
      </c>
      <c r="M40" s="1082">
        <f t="shared" si="7"/>
        <v>2.8922955996599997E-2</v>
      </c>
      <c r="N40" s="1082">
        <f t="shared" si="7"/>
        <v>3.5718839475847863E-2</v>
      </c>
      <c r="O40" s="1082">
        <f t="shared" si="7"/>
        <v>4.1253474118322808E-2</v>
      </c>
      <c r="P40" s="1082">
        <f t="shared" si="7"/>
        <v>7.3030551601289462E-2</v>
      </c>
      <c r="Q40" s="1082">
        <f t="shared" si="7"/>
        <v>2.7641138469461035E-2</v>
      </c>
      <c r="R40" s="1082">
        <f t="shared" si="7"/>
        <v>-5.5529246621069395E-2</v>
      </c>
      <c r="S40" s="1082">
        <f t="shared" si="7"/>
        <v>8.7138588126154382E-2</v>
      </c>
      <c r="T40" s="1082">
        <f t="shared" si="7"/>
        <v>9.0164318071075389E-2</v>
      </c>
      <c r="U40" s="1082">
        <f t="shared" si="7"/>
        <v>9.0207028667888212E-2</v>
      </c>
      <c r="V40" s="1082">
        <f t="shared" si="7"/>
        <v>0.18450648207541209</v>
      </c>
      <c r="W40" s="1082">
        <f t="shared" si="8"/>
        <v>-3.3772825392860417E-3</v>
      </c>
      <c r="X40" s="1082">
        <f t="shared" si="8"/>
        <v>4.2855458063769225E-2</v>
      </c>
      <c r="Y40" s="1082">
        <f t="shared" si="8"/>
        <v>-5.0354857113984575E-2</v>
      </c>
      <c r="Z40" s="1082">
        <f t="shared" si="8"/>
        <v>1.2985722900635599E-2</v>
      </c>
      <c r="AA40" s="1082">
        <f t="shared" si="8"/>
        <v>0.10148256710455406</v>
      </c>
      <c r="AB40" s="1082">
        <f t="shared" si="8"/>
        <v>9.3569604576848597E-4</v>
      </c>
      <c r="AC40" s="1082">
        <f t="shared" si="8"/>
        <v>0.16302879043310448</v>
      </c>
      <c r="AD40" s="1082">
        <f t="shared" si="8"/>
        <v>0.18391870747778816</v>
      </c>
      <c r="AE40" s="1082">
        <f t="shared" si="8"/>
        <v>0.10732578418115923</v>
      </c>
      <c r="AF40" s="1082">
        <f t="shared" si="8"/>
        <v>-2.2371053039407118E-2</v>
      </c>
      <c r="AG40" s="1082">
        <f t="shared" si="9"/>
        <v>-0.19529988722145541</v>
      </c>
      <c r="AH40" s="1082">
        <f t="shared" si="9"/>
        <v>-0.35813380306815623</v>
      </c>
      <c r="AI40" s="1083">
        <f t="shared" si="10"/>
        <v>-0.27999999999999992</v>
      </c>
      <c r="AJ40" s="1083">
        <f t="shared" si="10"/>
        <v>-0.12</v>
      </c>
      <c r="AK40" s="1082">
        <f t="shared" ref="AK40" si="15">+AK36/AG36-1</f>
        <v>4.0000000000000036E-2</v>
      </c>
      <c r="AL40" s="1082">
        <f t="shared" ref="AL40" si="16">+AL36/AH36-1</f>
        <v>0.1100000000000001</v>
      </c>
      <c r="AM40" s="1083">
        <f t="shared" si="9"/>
        <v>0.1100000000000001</v>
      </c>
      <c r="AN40" s="1083">
        <f t="shared" si="9"/>
        <v>4.0000000000000036E-2</v>
      </c>
      <c r="AO40" s="1082">
        <f t="shared" ref="AO40:AQ40" si="17">+AO39+AO41</f>
        <v>0</v>
      </c>
      <c r="AP40" s="1082">
        <f t="shared" si="17"/>
        <v>0</v>
      </c>
      <c r="AQ40" s="1082">
        <f t="shared" si="17"/>
        <v>0.05</v>
      </c>
      <c r="AR40" s="1082">
        <f t="shared" ref="AR40" si="18">+AR39+AR41</f>
        <v>0.05</v>
      </c>
      <c r="AS40" s="839" t="s">
        <v>997</v>
      </c>
    </row>
    <row r="41" spans="1:45" s="3" customFormat="1">
      <c r="A41" s="15" t="s">
        <v>998</v>
      </c>
      <c r="M41" s="836">
        <f t="shared" ref="M41:AH41" si="19">+M40-M39</f>
        <v>5.4871175591929555E-2</v>
      </c>
      <c r="N41" s="836">
        <f t="shared" si="19"/>
        <v>4.8320235958474456E-2</v>
      </c>
      <c r="O41" s="836">
        <f t="shared" si="19"/>
        <v>5.5365894006765948E-2</v>
      </c>
      <c r="P41" s="836">
        <f t="shared" si="19"/>
        <v>5.9300835990880429E-2</v>
      </c>
      <c r="Q41" s="836">
        <f t="shared" si="19"/>
        <v>2.690255963808319E-2</v>
      </c>
      <c r="R41" s="836">
        <f t="shared" si="19"/>
        <v>-1.2706773958717332E-2</v>
      </c>
      <c r="S41" s="836">
        <f t="shared" si="19"/>
        <v>0.13295125226388416</v>
      </c>
      <c r="T41" s="836">
        <f t="shared" si="19"/>
        <v>7.4832970941676846E-2</v>
      </c>
      <c r="U41" s="836">
        <f t="shared" si="19"/>
        <v>6.5459090996027536E-2</v>
      </c>
      <c r="V41" s="836">
        <f t="shared" si="19"/>
        <v>0.13899881586241358</v>
      </c>
      <c r="W41" s="836">
        <f t="shared" si="19"/>
        <v>0.11934103210563407</v>
      </c>
      <c r="X41" s="836">
        <f t="shared" si="19"/>
        <v>1.4927087165867547E-2</v>
      </c>
      <c r="Y41" s="836">
        <f t="shared" si="19"/>
        <v>-8.6774832487448328E-2</v>
      </c>
      <c r="Z41" s="836">
        <f t="shared" si="19"/>
        <v>-9.3535919273170842E-2</v>
      </c>
      <c r="AA41" s="836">
        <f t="shared" si="19"/>
        <v>-0.51596855302682498</v>
      </c>
      <c r="AB41" s="836">
        <f t="shared" si="19"/>
        <v>-0.27088652288466886</v>
      </c>
      <c r="AC41" s="836">
        <f t="shared" si="19"/>
        <v>-2.008341658035917E-2</v>
      </c>
      <c r="AD41" s="836">
        <f t="shared" si="19"/>
        <v>3.3975892368885097E-2</v>
      </c>
      <c r="AE41" s="836">
        <f t="shared" si="19"/>
        <v>0.17508440487081434</v>
      </c>
      <c r="AF41" s="836">
        <f t="shared" si="19"/>
        <v>0.10396836266475662</v>
      </c>
      <c r="AG41" s="836">
        <f t="shared" si="19"/>
        <v>-4.7946731311054869E-4</v>
      </c>
      <c r="AH41" s="836">
        <f t="shared" si="19"/>
        <v>-7.3299232365013234E-2</v>
      </c>
      <c r="AI41" s="836">
        <f t="shared" ref="AI41:AJ41" si="20">+AI40-AI39</f>
        <v>1.1633273739802386E-2</v>
      </c>
      <c r="AJ41" s="836">
        <f t="shared" si="20"/>
        <v>5.1621955656528384E-2</v>
      </c>
      <c r="AK41" s="836">
        <f t="shared" ref="AK41" si="21">+AK40-AK39</f>
        <v>0.13000000000000003</v>
      </c>
      <c r="AL41" s="836">
        <f t="shared" ref="AL41:AN41" si="22">+AL40-AL39</f>
        <v>0.1070000000000001</v>
      </c>
      <c r="AM41" s="836">
        <f t="shared" si="22"/>
        <v>3.3108508297978734E-3</v>
      </c>
      <c r="AN41" s="1069">
        <f t="shared" si="22"/>
        <v>-1.5744652316769248E-3</v>
      </c>
      <c r="AO41" s="1063">
        <f>-AO39</f>
        <v>-9.4835943280682011E-2</v>
      </c>
      <c r="AP41" s="1063">
        <f>-AP39</f>
        <v>-7.944611112108424E-2</v>
      </c>
      <c r="AQ41" s="1063">
        <f>5%-AQ39</f>
        <v>0.10970128061600644</v>
      </c>
      <c r="AR41" s="1063">
        <f>5%-AR39</f>
        <v>3.0934140217601283E-2</v>
      </c>
      <c r="AS41" s="3" t="s">
        <v>999</v>
      </c>
    </row>
    <row r="42" spans="1:45" s="3" customFormat="1">
      <c r="A42" s="15"/>
      <c r="M42" s="836"/>
      <c r="N42" s="836"/>
      <c r="O42" s="836"/>
      <c r="P42" s="836"/>
      <c r="Q42" s="836"/>
      <c r="R42" s="836"/>
      <c r="S42" s="836"/>
      <c r="T42" s="836"/>
      <c r="U42" s="836"/>
      <c r="V42" s="836"/>
      <c r="W42" s="836"/>
      <c r="X42" s="836"/>
      <c r="Y42" s="836"/>
      <c r="Z42" s="836"/>
      <c r="AA42" s="836"/>
      <c r="AB42" s="836"/>
      <c r="AC42" s="836"/>
      <c r="AD42" s="836"/>
      <c r="AE42" s="836"/>
      <c r="AF42" s="836"/>
      <c r="AG42" s="836"/>
      <c r="AH42" s="836"/>
      <c r="AI42" s="836"/>
      <c r="AJ42" s="836"/>
      <c r="AK42" s="836"/>
      <c r="AL42" s="836"/>
      <c r="AM42" s="836"/>
      <c r="AN42" s="1069"/>
      <c r="AO42" s="836"/>
      <c r="AP42" s="836"/>
      <c r="AQ42" s="836"/>
      <c r="AR42" s="836"/>
    </row>
    <row r="43" spans="1:45" ht="13.5">
      <c r="A43" s="45" t="s">
        <v>1000</v>
      </c>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N43" s="1067"/>
    </row>
    <row r="44" spans="1:45">
      <c r="A44" t="s">
        <v>1001</v>
      </c>
      <c r="C44" s="8">
        <f t="shared" ref="C44:AN44" si="23">+C35/$L$35*100</f>
        <v>117.03170405198028</v>
      </c>
      <c r="D44" s="8">
        <f t="shared" si="23"/>
        <v>110.76958239461914</v>
      </c>
      <c r="E44" s="8">
        <f t="shared" si="23"/>
        <v>119.33588010578902</v>
      </c>
      <c r="F44" s="8">
        <f t="shared" si="23"/>
        <v>123.06788128122245</v>
      </c>
      <c r="G44" s="8">
        <f t="shared" si="23"/>
        <v>105.74982858262318</v>
      </c>
      <c r="H44" s="8">
        <f t="shared" si="23"/>
        <v>104.96457374212295</v>
      </c>
      <c r="I44" s="8">
        <f t="shared" si="23"/>
        <v>112.55591471577367</v>
      </c>
      <c r="J44" s="8">
        <f t="shared" si="23"/>
        <v>118.54082998661313</v>
      </c>
      <c r="K44" s="8">
        <f t="shared" si="23"/>
        <v>102.14679857641951</v>
      </c>
      <c r="L44" s="8">
        <f t="shared" si="23"/>
        <v>100</v>
      </c>
      <c r="M44" s="8">
        <f t="shared" si="23"/>
        <v>109.63528912397558</v>
      </c>
      <c r="N44" s="8">
        <f t="shared" si="23"/>
        <v>117.04704998857218</v>
      </c>
      <c r="O44" s="8">
        <f t="shared" si="23"/>
        <v>100.70526006464884</v>
      </c>
      <c r="P44" s="8">
        <f t="shared" si="23"/>
        <v>101.3729715610409</v>
      </c>
      <c r="Q44" s="8">
        <f t="shared" si="23"/>
        <v>109.71626342769454</v>
      </c>
      <c r="R44" s="8">
        <f t="shared" si="23"/>
        <v>112.03480589022759</v>
      </c>
      <c r="S44" s="8">
        <f t="shared" si="23"/>
        <v>96.091683808404355</v>
      </c>
      <c r="T44" s="8">
        <f t="shared" si="23"/>
        <v>102.92715577758187</v>
      </c>
      <c r="U44" s="8">
        <f t="shared" si="23"/>
        <v>112.43151467659256</v>
      </c>
      <c r="V44" s="8">
        <f t="shared" si="23"/>
        <v>117.13324844091815</v>
      </c>
      <c r="W44" s="8">
        <f t="shared" si="23"/>
        <v>84.299474320044411</v>
      </c>
      <c r="X44" s="8">
        <f t="shared" si="23"/>
        <v>105.80174355960428</v>
      </c>
      <c r="Y44" s="8">
        <f t="shared" si="23"/>
        <v>116.52626767231529</v>
      </c>
      <c r="Z44" s="8">
        <f t="shared" si="23"/>
        <v>129.61047441799721</v>
      </c>
      <c r="AA44" s="8">
        <f t="shared" si="23"/>
        <v>136.35027916544226</v>
      </c>
      <c r="AB44" s="8">
        <f t="shared" si="23"/>
        <v>134.56100826068501</v>
      </c>
      <c r="AC44" s="8">
        <f t="shared" si="23"/>
        <v>137.86364972083456</v>
      </c>
      <c r="AD44" s="8">
        <f t="shared" si="23"/>
        <v>149.04463381983217</v>
      </c>
      <c r="AE44" s="8">
        <f t="shared" si="23"/>
        <v>127.11137231854246</v>
      </c>
      <c r="AF44" s="8">
        <f t="shared" si="23"/>
        <v>117.5606491004669</v>
      </c>
      <c r="AG44" s="8">
        <f t="shared" si="23"/>
        <v>111.0049955921246</v>
      </c>
      <c r="AH44" s="8">
        <f t="shared" si="23"/>
        <v>106.59156953015314</v>
      </c>
      <c r="AI44" s="8">
        <f t="shared" si="23"/>
        <v>90.041466679727037</v>
      </c>
      <c r="AJ44" s="8">
        <f t="shared" si="23"/>
        <v>97.384660593593892</v>
      </c>
      <c r="AK44" s="8">
        <f t="shared" si="23"/>
        <v>101.01454598883339</v>
      </c>
      <c r="AL44" s="8">
        <f t="shared" si="23"/>
        <v>106.91134423874358</v>
      </c>
      <c r="AM44" s="8">
        <f t="shared" si="23"/>
        <v>99.647914149824231</v>
      </c>
      <c r="AN44" s="1068">
        <f t="shared" si="23"/>
        <v>101.43337577954092</v>
      </c>
      <c r="AO44" s="8">
        <f t="shared" ref="AO44:AQ44" si="24">+AO35/$L$35*100</f>
        <v>110.59435574275423</v>
      </c>
      <c r="AP44" s="8">
        <f t="shared" si="24"/>
        <v>115.40503477323929</v>
      </c>
      <c r="AQ44" s="8">
        <f t="shared" si="24"/>
        <v>93.698806064365854</v>
      </c>
      <c r="AR44" s="8">
        <f t="shared" ref="AR44" si="25">+AR35/$L$35*100</f>
        <v>103.36729029940901</v>
      </c>
    </row>
    <row r="45" spans="1:45">
      <c r="A45" t="s">
        <v>1002</v>
      </c>
      <c r="C45" s="8"/>
      <c r="I45" s="8">
        <f t="shared" ref="I45:AN45" si="26">+I36/$L$36*100</f>
        <v>100.73122710912052</v>
      </c>
      <c r="J45" s="8">
        <f t="shared" si="26"/>
        <v>102.3475116622745</v>
      </c>
      <c r="K45" s="8">
        <f t="shared" si="26"/>
        <v>92.181558468462967</v>
      </c>
      <c r="L45" s="8">
        <f t="shared" si="26"/>
        <v>100</v>
      </c>
      <c r="M45" s="8">
        <f t="shared" si="26"/>
        <v>103.64467195828114</v>
      </c>
      <c r="N45" s="8">
        <f t="shared" si="26"/>
        <v>106.00324600209177</v>
      </c>
      <c r="O45" s="8">
        <f t="shared" si="26"/>
        <v>95.984368004928356</v>
      </c>
      <c r="P45" s="8">
        <f t="shared" si="26"/>
        <v>107.30305516012895</v>
      </c>
      <c r="Q45" s="8">
        <f t="shared" si="26"/>
        <v>106.50952868750183</v>
      </c>
      <c r="R45" s="8">
        <f t="shared" si="26"/>
        <v>100.11696561220774</v>
      </c>
      <c r="S45" s="8">
        <f t="shared" si="26"/>
        <v>104.34831031505902</v>
      </c>
      <c r="T45" s="8">
        <f t="shared" si="26"/>
        <v>116.97796195558496</v>
      </c>
      <c r="U45" s="8">
        <f t="shared" si="26"/>
        <v>116.11743679521859</v>
      </c>
      <c r="V45" s="8">
        <f t="shared" si="26"/>
        <v>118.58919473338116</v>
      </c>
      <c r="W45" s="8">
        <f t="shared" si="26"/>
        <v>103.99589658862797</v>
      </c>
      <c r="X45" s="8">
        <f t="shared" si="26"/>
        <v>121.99110609855772</v>
      </c>
      <c r="Y45" s="8">
        <f t="shared" si="26"/>
        <v>110.27035985695322</v>
      </c>
      <c r="Z45" s="8">
        <f t="shared" si="26"/>
        <v>120.12916115519836</v>
      </c>
      <c r="AA45" s="8">
        <f t="shared" si="26"/>
        <v>114.5496671427817</v>
      </c>
      <c r="AB45" s="8">
        <f t="shared" si="26"/>
        <v>122.10525269415309</v>
      </c>
      <c r="AC45" s="8">
        <f t="shared" si="26"/>
        <v>128.24760324505547</v>
      </c>
      <c r="AD45" s="8">
        <f t="shared" si="26"/>
        <v>142.22316120525338</v>
      </c>
      <c r="AE45" s="8">
        <f t="shared" si="26"/>
        <v>126.84379999657152</v>
      </c>
      <c r="AF45" s="8">
        <f t="shared" si="26"/>
        <v>119.37362960974198</v>
      </c>
      <c r="AG45" s="8">
        <f t="shared" si="26"/>
        <v>103.20086079487416</v>
      </c>
      <c r="AH45" s="8">
        <f t="shared" si="26"/>
        <v>91.288239598440541</v>
      </c>
      <c r="AI45" s="8">
        <f t="shared" si="26"/>
        <v>91.327535997531498</v>
      </c>
      <c r="AJ45" s="8">
        <f t="shared" si="26"/>
        <v>105.04879405657294</v>
      </c>
      <c r="AK45" s="8">
        <f t="shared" si="26"/>
        <v>107.32889522666913</v>
      </c>
      <c r="AL45" s="8">
        <f t="shared" si="26"/>
        <v>101.32994595426901</v>
      </c>
      <c r="AM45" s="8">
        <f>+AM36/$L$36*100</f>
        <v>101.37356495725997</v>
      </c>
      <c r="AN45" s="1068">
        <f t="shared" si="26"/>
        <v>109.25074581883587</v>
      </c>
      <c r="AO45" s="8">
        <f t="shared" ref="AO45:AQ45" si="27">+AO36/$L$36*100</f>
        <v>107.32889522666913</v>
      </c>
      <c r="AP45" s="8">
        <f t="shared" si="27"/>
        <v>101.32994595426901</v>
      </c>
      <c r="AQ45" s="8">
        <f t="shared" si="27"/>
        <v>106.44224320512296</v>
      </c>
      <c r="AR45" s="8">
        <f t="shared" ref="AR45" si="28">+AR36/$L$36*100</f>
        <v>114.71328310977766</v>
      </c>
    </row>
    <row r="46" spans="1:45">
      <c r="AN46" s="1067"/>
    </row>
    <row r="47" spans="1:45" hidden="1" outlineLevel="1">
      <c r="A47" s="24" t="s">
        <v>124</v>
      </c>
      <c r="AN47" s="1067"/>
    </row>
    <row r="48" spans="1:45" s="3" customFormat="1" hidden="1" outlineLevel="1">
      <c r="A48" s="13" t="s">
        <v>492</v>
      </c>
      <c r="M48" s="836"/>
      <c r="N48" s="836"/>
      <c r="O48" s="836"/>
      <c r="P48" s="836"/>
      <c r="Q48" s="836"/>
      <c r="R48" s="836"/>
      <c r="S48" s="836"/>
      <c r="T48" s="836"/>
      <c r="U48" s="836"/>
      <c r="V48" s="836"/>
      <c r="W48" s="836"/>
      <c r="X48" s="836"/>
      <c r="Y48" s="836">
        <f>+'Historical Financials'!X837</f>
        <v>-0.05</v>
      </c>
      <c r="Z48" s="836">
        <f>+'Historical Financials'!Y837</f>
        <v>0.01</v>
      </c>
      <c r="AA48" s="836">
        <f>+'Historical Financials'!Z837</f>
        <v>0.1</v>
      </c>
      <c r="AB48" s="836">
        <f>+'Historical Financials'!AA837</f>
        <v>-0.03</v>
      </c>
      <c r="AC48" s="836">
        <f>+'Historical Financials'!AB837</f>
        <v>0.1</v>
      </c>
      <c r="AD48" s="836">
        <f>+'Historical Financials'!AC837</f>
        <v>0.25</v>
      </c>
      <c r="AE48" s="836">
        <f>+'Historical Financials'!AD837</f>
        <v>0.11</v>
      </c>
      <c r="AF48" s="836">
        <f>+'Historical Financials'!AE837</f>
        <v>-0.02</v>
      </c>
      <c r="AG48" s="836">
        <f>+'Historical Financials'!AF837</f>
        <v>-0.15</v>
      </c>
      <c r="AH48" s="836">
        <f>+'Historical Financials'!AG837</f>
        <v>-0.39</v>
      </c>
      <c r="AI48" s="836"/>
      <c r="AJ48" s="836"/>
      <c r="AK48" s="836"/>
      <c r="AL48" s="836"/>
      <c r="AM48" s="836"/>
      <c r="AN48" s="1069"/>
      <c r="AO48" s="836"/>
      <c r="AP48" s="836"/>
      <c r="AQ48" s="836"/>
      <c r="AR48" s="836"/>
    </row>
    <row r="49" spans="1:45" hidden="1" outlineLevel="1">
      <c r="AN49" s="1067"/>
    </row>
    <row r="50" spans="1:45" s="3" customFormat="1" hidden="1" outlineLevel="1">
      <c r="A50" s="24" t="s">
        <v>1003</v>
      </c>
      <c r="AN50" s="1075"/>
    </row>
    <row r="51" spans="1:45" s="3" customFormat="1" hidden="1" outlineLevel="1">
      <c r="A51" s="13" t="str">
        <f>+A39</f>
        <v>PC OEM Shipments (# in '000s)</v>
      </c>
      <c r="J51" s="836">
        <f t="shared" ref="J51:AN51" si="29">+J35/I35-1</f>
        <v>5.3172818913626907E-2</v>
      </c>
      <c r="K51" s="836">
        <f t="shared" si="29"/>
        <v>-0.13829860489457524</v>
      </c>
      <c r="L51" s="836">
        <f t="shared" si="29"/>
        <v>-2.1016797455609026E-2</v>
      </c>
      <c r="M51" s="836">
        <f t="shared" si="29"/>
        <v>9.6352891239755767E-2</v>
      </c>
      <c r="N51" s="836">
        <f t="shared" si="29"/>
        <v>6.7603788194651182E-2</v>
      </c>
      <c r="O51" s="836">
        <f t="shared" si="29"/>
        <v>-0.13961727293014947</v>
      </c>
      <c r="P51" s="836">
        <f t="shared" si="29"/>
        <v>6.6303537269396529E-3</v>
      </c>
      <c r="Q51" s="836">
        <f t="shared" si="29"/>
        <v>8.2302922940655554E-2</v>
      </c>
      <c r="R51" s="836">
        <f t="shared" si="29"/>
        <v>2.1132167557465387E-2</v>
      </c>
      <c r="S51" s="836">
        <f t="shared" si="29"/>
        <v>-0.14230508059651037</v>
      </c>
      <c r="T51" s="836">
        <f t="shared" si="29"/>
        <v>7.1134896364254185E-2</v>
      </c>
      <c r="U51" s="836">
        <f t="shared" si="29"/>
        <v>9.2340634764540797E-2</v>
      </c>
      <c r="V51" s="836">
        <f t="shared" si="29"/>
        <v>4.1818646469809151E-2</v>
      </c>
      <c r="W51" s="836">
        <f t="shared" si="29"/>
        <v>-0.28031130834243911</v>
      </c>
      <c r="X51" s="836">
        <f t="shared" si="29"/>
        <v>0.25507002757723174</v>
      </c>
      <c r="Y51" s="836">
        <f t="shared" si="29"/>
        <v>0.10136434194649402</v>
      </c>
      <c r="Z51" s="836">
        <f t="shared" si="29"/>
        <v>0.11228547010941914</v>
      </c>
      <c r="AA51" s="836">
        <f t="shared" si="29"/>
        <v>5.2000463525108342E-2</v>
      </c>
      <c r="AB51" s="836">
        <f t="shared" si="29"/>
        <v>-1.3122605363984685E-2</v>
      </c>
      <c r="AC51" s="836">
        <f t="shared" si="29"/>
        <v>2.4543822187712339E-2</v>
      </c>
      <c r="AD51" s="836">
        <f t="shared" si="29"/>
        <v>8.1101756131064517E-2</v>
      </c>
      <c r="AE51" s="836">
        <f t="shared" si="29"/>
        <v>-0.14715901498206929</v>
      </c>
      <c r="AF51" s="836">
        <f t="shared" si="29"/>
        <v>-7.5136654131475633E-2</v>
      </c>
      <c r="AG51" s="836">
        <f t="shared" si="29"/>
        <v>-5.5764012520378992E-2</v>
      </c>
      <c r="AH51" s="836">
        <f t="shared" si="29"/>
        <v>-3.9758805794543717E-2</v>
      </c>
      <c r="AI51" s="836">
        <f t="shared" si="29"/>
        <v>-0.15526652739402924</v>
      </c>
      <c r="AJ51" s="836">
        <f t="shared" si="29"/>
        <v>8.1553468470101809E-2</v>
      </c>
      <c r="AK51" s="836">
        <f t="shared" si="29"/>
        <v>3.7273687386843779E-2</v>
      </c>
      <c r="AL51" s="836">
        <f t="shared" si="29"/>
        <v>5.8375733833046617E-2</v>
      </c>
      <c r="AM51" s="836">
        <f t="shared" si="29"/>
        <v>-6.7938815479668735E-2</v>
      </c>
      <c r="AN51" s="1069">
        <f t="shared" si="29"/>
        <v>1.7917701990552315E-2</v>
      </c>
      <c r="AO51" s="836">
        <f t="shared" ref="AO51:AO52" si="30">+AO35/AN35-1</f>
        <v>9.0315242816369601E-2</v>
      </c>
      <c r="AP51" s="836">
        <f t="shared" ref="AP51:AP52" si="31">+AP35/AO35-1</f>
        <v>4.3498413623158649E-2</v>
      </c>
      <c r="AQ51" s="836">
        <f t="shared" ref="AQ51:AQ52" si="32">+AQ35/AP35-1</f>
        <v>-0.18808736335918319</v>
      </c>
      <c r="AR51" s="836">
        <f t="shared" ref="AR51:AR52" si="33">+AR35/AQ35-1</f>
        <v>0.10318684560827229</v>
      </c>
    </row>
    <row r="52" spans="1:45" s="3" customFormat="1" ht="11.45" hidden="1" outlineLevel="1">
      <c r="A52" s="13" t="str">
        <f>+A40</f>
        <v>Windows OEM Revenue (Deferral Adj.)</v>
      </c>
      <c r="J52" s="1083">
        <f t="shared" ref="J52:AN52" si="34">+J36/I36-1</f>
        <v>1.6045516366072654E-2</v>
      </c>
      <c r="K52" s="1083">
        <f t="shared" si="34"/>
        <v>-9.9327800243518061E-2</v>
      </c>
      <c r="L52" s="1083">
        <f t="shared" si="34"/>
        <v>8.4815679637396002E-2</v>
      </c>
      <c r="M52" s="1083">
        <f t="shared" si="34"/>
        <v>3.6446719582811316E-2</v>
      </c>
      <c r="N52" s="1083">
        <f t="shared" si="34"/>
        <v>2.2756346266984195E-2</v>
      </c>
      <c r="O52" s="1083">
        <f t="shared" si="34"/>
        <v>-9.451482265897504E-2</v>
      </c>
      <c r="P52" s="1083">
        <f t="shared" si="34"/>
        <v>0.11792219285768946</v>
      </c>
      <c r="Q52" s="1083">
        <f t="shared" si="34"/>
        <v>-7.3951899267259424E-3</v>
      </c>
      <c r="R52" s="1083">
        <f t="shared" si="34"/>
        <v>-6.0018696487239676E-2</v>
      </c>
      <c r="S52" s="1083">
        <f t="shared" si="34"/>
        <v>4.2264012667353246E-2</v>
      </c>
      <c r="T52" s="1083">
        <f t="shared" si="34"/>
        <v>0.12103359989628193</v>
      </c>
      <c r="U52" s="1083">
        <f t="shared" si="34"/>
        <v>-7.356301528770981E-3</v>
      </c>
      <c r="V52" s="1083">
        <f t="shared" si="34"/>
        <v>2.1286707719200715E-2</v>
      </c>
      <c r="W52" s="1083">
        <f t="shared" si="34"/>
        <v>-0.12305757010630403</v>
      </c>
      <c r="X52" s="1083">
        <f t="shared" si="34"/>
        <v>0.17303768802640929</v>
      </c>
      <c r="Y52" s="1083">
        <f t="shared" si="34"/>
        <v>-9.6078694721689062E-2</v>
      </c>
      <c r="Z52" s="1083">
        <f t="shared" si="34"/>
        <v>8.9405723451291497E-2</v>
      </c>
      <c r="AA52" s="1083">
        <f t="shared" si="34"/>
        <v>-4.6445791835742156E-2</v>
      </c>
      <c r="AB52" s="1083">
        <f t="shared" si="34"/>
        <v>6.5959035410846134E-2</v>
      </c>
      <c r="AC52" s="1083">
        <f t="shared" si="34"/>
        <v>5.0303737270726678E-2</v>
      </c>
      <c r="AD52" s="1083">
        <f t="shared" si="34"/>
        <v>0.10897324867345426</v>
      </c>
      <c r="AE52" s="1083">
        <f t="shared" si="34"/>
        <v>-0.10813541956423467</v>
      </c>
      <c r="AF52" s="1083">
        <f t="shared" si="34"/>
        <v>-5.8892672618066078E-2</v>
      </c>
      <c r="AG52" s="1083">
        <f t="shared" si="34"/>
        <v>-0.13548024691667726</v>
      </c>
      <c r="AH52" s="1083">
        <f t="shared" si="34"/>
        <v>-0.11543141311690797</v>
      </c>
      <c r="AI52" s="1083">
        <f t="shared" si="34"/>
        <v>4.3046507703325965E-4</v>
      </c>
      <c r="AJ52" s="1083">
        <f t="shared" si="34"/>
        <v>0.15024228902236358</v>
      </c>
      <c r="AK52" s="1083">
        <f t="shared" si="34"/>
        <v>2.1705162734835914E-2</v>
      </c>
      <c r="AL52" s="1083">
        <f t="shared" si="34"/>
        <v>-5.5893142845930499E-2</v>
      </c>
      <c r="AM52" s="1083">
        <f t="shared" si="34"/>
        <v>4.3046507703325965E-4</v>
      </c>
      <c r="AN52" s="1199">
        <f t="shared" si="34"/>
        <v>7.7704487011944101E-2</v>
      </c>
      <c r="AO52" s="1083">
        <f t="shared" si="30"/>
        <v>-1.7591189678042407E-2</v>
      </c>
      <c r="AP52" s="1083">
        <f t="shared" si="31"/>
        <v>-5.5893142845930499E-2</v>
      </c>
      <c r="AQ52" s="1083">
        <f t="shared" si="32"/>
        <v>5.0451988330884934E-2</v>
      </c>
      <c r="AR52" s="1083">
        <f t="shared" si="33"/>
        <v>7.7704487011944101E-2</v>
      </c>
    </row>
    <row r="53" spans="1:45" s="3" customFormat="1" hidden="1" outlineLevel="1">
      <c r="A53" s="15" t="s">
        <v>998</v>
      </c>
      <c r="M53" s="836">
        <f t="shared" ref="M53:AN53" si="35">+M52-M51</f>
        <v>-5.9906171656944451E-2</v>
      </c>
      <c r="N53" s="836">
        <f t="shared" si="35"/>
        <v>-4.4847441927666987E-2</v>
      </c>
      <c r="O53" s="836">
        <f t="shared" si="35"/>
        <v>4.5102450271174432E-2</v>
      </c>
      <c r="P53" s="836">
        <f t="shared" si="35"/>
        <v>0.1112918391307498</v>
      </c>
      <c r="Q53" s="836">
        <f t="shared" si="35"/>
        <v>-8.9698112867381496E-2</v>
      </c>
      <c r="R53" s="836">
        <f t="shared" si="35"/>
        <v>-8.1150864044705062E-2</v>
      </c>
      <c r="S53" s="836">
        <f t="shared" si="35"/>
        <v>0.18456909326386362</v>
      </c>
      <c r="T53" s="836">
        <f t="shared" si="35"/>
        <v>4.9898703532027744E-2</v>
      </c>
      <c r="U53" s="836">
        <f t="shared" si="35"/>
        <v>-9.9696936293311778E-2</v>
      </c>
      <c r="V53" s="836">
        <f t="shared" si="35"/>
        <v>-2.0531938750608436E-2</v>
      </c>
      <c r="W53" s="836">
        <f t="shared" si="35"/>
        <v>0.15725373823613509</v>
      </c>
      <c r="X53" s="836">
        <f t="shared" si="35"/>
        <v>-8.2032339550822453E-2</v>
      </c>
      <c r="Y53" s="836">
        <f t="shared" si="35"/>
        <v>-0.19744303666818308</v>
      </c>
      <c r="Z53" s="836">
        <f t="shared" si="35"/>
        <v>-2.2879746658127642E-2</v>
      </c>
      <c r="AA53" s="836">
        <f t="shared" si="35"/>
        <v>-9.8446255360850499E-2</v>
      </c>
      <c r="AB53" s="836">
        <f t="shared" si="35"/>
        <v>7.9081640774830819E-2</v>
      </c>
      <c r="AC53" s="836">
        <f t="shared" si="35"/>
        <v>2.575991508301434E-2</v>
      </c>
      <c r="AD53" s="836">
        <f t="shared" si="35"/>
        <v>2.7871492542389742E-2</v>
      </c>
      <c r="AE53" s="836">
        <f t="shared" si="35"/>
        <v>3.9023595417834622E-2</v>
      </c>
      <c r="AF53" s="836">
        <f t="shared" si="35"/>
        <v>1.6243981513409556E-2</v>
      </c>
      <c r="AG53" s="836">
        <f t="shared" si="35"/>
        <v>-7.9716234396298269E-2</v>
      </c>
      <c r="AH53" s="836">
        <f t="shared" si="35"/>
        <v>-7.5672607322364249E-2</v>
      </c>
      <c r="AI53" s="836">
        <f t="shared" si="35"/>
        <v>0.1556969924710625</v>
      </c>
      <c r="AJ53" s="836">
        <f t="shared" si="35"/>
        <v>6.8688820552261776E-2</v>
      </c>
      <c r="AK53" s="836">
        <f t="shared" si="35"/>
        <v>-1.5568524652007865E-2</v>
      </c>
      <c r="AL53" s="836">
        <f t="shared" si="35"/>
        <v>-0.11426887667897712</v>
      </c>
      <c r="AM53" s="836">
        <f t="shared" si="35"/>
        <v>6.8369280556701995E-2</v>
      </c>
      <c r="AN53" s="1069">
        <f t="shared" si="35"/>
        <v>5.9786785021391786E-2</v>
      </c>
      <c r="AO53" s="836">
        <f t="shared" ref="AO53:AQ53" si="36">+AO52-AO51</f>
        <v>-0.10790643249441201</v>
      </c>
      <c r="AP53" s="836">
        <f t="shared" si="36"/>
        <v>-9.9391556469089148E-2</v>
      </c>
      <c r="AQ53" s="836">
        <f t="shared" si="36"/>
        <v>0.23853935169006812</v>
      </c>
      <c r="AR53" s="836">
        <f t="shared" ref="AR53" si="37">+AR52-AR51</f>
        <v>-2.5482358596328192E-2</v>
      </c>
    </row>
    <row r="54" spans="1:45" s="3" customFormat="1" hidden="1" outlineLevel="1">
      <c r="A54" s="15"/>
      <c r="M54" s="836"/>
      <c r="N54" s="836"/>
      <c r="O54" s="836"/>
      <c r="P54" s="836"/>
      <c r="Q54" s="836"/>
      <c r="R54" s="836"/>
      <c r="S54" s="836"/>
      <c r="T54" s="836"/>
      <c r="U54" s="836"/>
      <c r="V54" s="836"/>
      <c r="W54" s="836"/>
      <c r="X54" s="836"/>
      <c r="Y54" s="836"/>
      <c r="Z54" s="836"/>
      <c r="AA54" s="836"/>
      <c r="AB54" s="836"/>
      <c r="AC54" s="836"/>
      <c r="AD54" s="836"/>
      <c r="AE54" s="836"/>
      <c r="AF54" s="836"/>
      <c r="AG54" s="836"/>
      <c r="AH54" s="836"/>
      <c r="AN54" s="1075"/>
    </row>
    <row r="55" spans="1:45" ht="13.5" collapsed="1">
      <c r="A55" s="45" t="s">
        <v>1004</v>
      </c>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N55" s="1067"/>
    </row>
    <row r="56" spans="1:45">
      <c r="A56" t="s">
        <v>994</v>
      </c>
      <c r="C56" s="8"/>
      <c r="D56" s="8"/>
      <c r="E56" s="8"/>
      <c r="F56" s="8"/>
      <c r="G56" s="8"/>
      <c r="H56" s="8"/>
      <c r="I56" s="8"/>
      <c r="J56" s="8"/>
      <c r="K56" s="8"/>
      <c r="L56" s="8">
        <f t="shared" ref="L56:U57" si="38">SUM(I35:L35)</f>
        <v>265379</v>
      </c>
      <c r="M56" s="8">
        <f t="shared" si="38"/>
        <v>263590</v>
      </c>
      <c r="N56" s="8">
        <f t="shared" si="38"/>
        <v>262675</v>
      </c>
      <c r="O56" s="8">
        <f t="shared" si="38"/>
        <v>261792</v>
      </c>
      <c r="P56" s="8">
        <f t="shared" si="38"/>
        <v>262633</v>
      </c>
      <c r="Q56" s="8">
        <f t="shared" si="38"/>
        <v>262682.59999999998</v>
      </c>
      <c r="R56" s="8">
        <f t="shared" si="38"/>
        <v>259612.40000000002</v>
      </c>
      <c r="S56" s="8">
        <f t="shared" si="38"/>
        <v>256786.40000000002</v>
      </c>
      <c r="T56" s="8">
        <f t="shared" si="38"/>
        <v>257738.40000000002</v>
      </c>
      <c r="U56" s="8">
        <f t="shared" si="38"/>
        <v>259401.59999999998</v>
      </c>
      <c r="V56" s="8">
        <f t="shared" ref="V56:AE57" si="39">SUM(S35:V35)</f>
        <v>262524.59999999998</v>
      </c>
      <c r="W56" s="8">
        <f t="shared" si="39"/>
        <v>255301.39999999997</v>
      </c>
      <c r="X56" s="8">
        <f t="shared" si="39"/>
        <v>257062.2</v>
      </c>
      <c r="Y56" s="8">
        <f t="shared" si="39"/>
        <v>259570.40000000002</v>
      </c>
      <c r="Z56" s="8">
        <f t="shared" si="39"/>
        <v>267213.2</v>
      </c>
      <c r="AA56" s="8">
        <f t="shared" si="39"/>
        <v>299096.40000000002</v>
      </c>
      <c r="AB56" s="8">
        <f t="shared" si="39"/>
        <v>316712.59999999998</v>
      </c>
      <c r="AC56" s="8">
        <f t="shared" si="39"/>
        <v>329782.59999999998</v>
      </c>
      <c r="AD56" s="8">
        <f t="shared" si="39"/>
        <v>341686.8</v>
      </c>
      <c r="AE56" s="8">
        <f t="shared" si="39"/>
        <v>336027.6</v>
      </c>
      <c r="AF56" s="8">
        <f t="shared" ref="AF56:AN57" si="40">SUM(AC35:AF35)</f>
        <v>325614.19999999995</v>
      </c>
      <c r="AG56" s="8">
        <f t="shared" si="40"/>
        <v>309162.2</v>
      </c>
      <c r="AH56" s="8">
        <f t="shared" si="40"/>
        <v>283158</v>
      </c>
      <c r="AI56" s="8">
        <f t="shared" si="40"/>
        <v>260451.20000000001</v>
      </c>
      <c r="AJ56" s="8">
        <f t="shared" si="40"/>
        <v>248092.6</v>
      </c>
      <c r="AK56" s="8">
        <f t="shared" si="40"/>
        <v>241973.05000000002</v>
      </c>
      <c r="AL56" s="8">
        <f t="shared" si="40"/>
        <v>242168.92480000001</v>
      </c>
      <c r="AM56" s="8">
        <f t="shared" si="40"/>
        <v>248053.25813333335</v>
      </c>
      <c r="AN56" s="1068">
        <f t="shared" si="40"/>
        <v>250533.25813333332</v>
      </c>
      <c r="AO56" s="8">
        <f t="shared" ref="AO56:AO57" si="41">SUM(AL35:AO35)</f>
        <v>256401.27480000001</v>
      </c>
      <c r="AP56" s="8">
        <f t="shared" ref="AP56:AP57" si="42">SUM(AM35:AP35)</f>
        <v>261604</v>
      </c>
      <c r="AQ56" s="8">
        <f t="shared" ref="AQ56:AQ57" si="43">SUM(AN35:AQ35)</f>
        <v>257959.93333333335</v>
      </c>
      <c r="AR56" s="8">
        <f t="shared" ref="AR56:AR57" si="44">SUM(AO35:AR35)</f>
        <v>259144.53333333335</v>
      </c>
      <c r="AS56" t="s">
        <v>1005</v>
      </c>
    </row>
    <row r="57" spans="1:45">
      <c r="A57" t="str">
        <f>+A36</f>
        <v>Windows OEM Revenue (Deferral Adj.)</v>
      </c>
      <c r="C57" s="8"/>
      <c r="K57" s="8"/>
      <c r="L57" s="8">
        <f t="shared" si="38"/>
        <v>11596.834683065419</v>
      </c>
      <c r="M57" s="8">
        <f t="shared" si="38"/>
        <v>11682.31439987452</v>
      </c>
      <c r="N57" s="8">
        <f t="shared" si="38"/>
        <v>11789.572697963435</v>
      </c>
      <c r="O57" s="8">
        <f t="shared" si="38"/>
        <v>11901.146144205144</v>
      </c>
      <c r="P57" s="8">
        <f t="shared" si="38"/>
        <v>12115.415889901178</v>
      </c>
      <c r="Q57" s="8">
        <f t="shared" si="38"/>
        <v>12199.470043863623</v>
      </c>
      <c r="R57" s="8">
        <f t="shared" si="38"/>
        <v>12026.768102747004</v>
      </c>
      <c r="S57" s="8">
        <f t="shared" si="38"/>
        <v>12272.164002478421</v>
      </c>
      <c r="T57" s="8">
        <f t="shared" si="38"/>
        <v>12556.023260452119</v>
      </c>
      <c r="U57" s="8">
        <f t="shared" si="38"/>
        <v>12837.916794291314</v>
      </c>
      <c r="V57" s="8">
        <f t="shared" si="39"/>
        <v>13379.887209336466</v>
      </c>
      <c r="W57" s="8">
        <f t="shared" si="39"/>
        <v>13369.547481936565</v>
      </c>
      <c r="X57" s="8">
        <f t="shared" si="39"/>
        <v>13516.631831855862</v>
      </c>
      <c r="Y57" s="8">
        <f t="shared" si="39"/>
        <v>13345.080109849543</v>
      </c>
      <c r="Z57" s="8">
        <f t="shared" si="39"/>
        <v>13390.262325559024</v>
      </c>
      <c r="AA57" s="8">
        <f t="shared" si="39"/>
        <v>13699.907218441482</v>
      </c>
      <c r="AB57" s="8">
        <f t="shared" si="39"/>
        <v>13703.256249973358</v>
      </c>
      <c r="AC57" s="8">
        <f t="shared" si="39"/>
        <v>14230.70391189357</v>
      </c>
      <c r="AD57" s="8">
        <f t="shared" si="39"/>
        <v>14878.936147352939</v>
      </c>
      <c r="AE57" s="8">
        <f t="shared" si="39"/>
        <v>15239.642819064329</v>
      </c>
      <c r="AF57" s="8">
        <f t="shared" si="40"/>
        <v>15159.497705710994</v>
      </c>
      <c r="AG57" s="8">
        <f t="shared" si="40"/>
        <v>14424.632773481777</v>
      </c>
      <c r="AH57" s="8">
        <f t="shared" si="40"/>
        <v>12930.215374127705</v>
      </c>
      <c r="AI57" s="8">
        <f t="shared" si="40"/>
        <v>11888.177392996922</v>
      </c>
      <c r="AJ57" s="8">
        <f t="shared" si="40"/>
        <v>11467.890430374438</v>
      </c>
      <c r="AK57" s="8">
        <f t="shared" si="40"/>
        <v>11589.00589075795</v>
      </c>
      <c r="AL57" s="8">
        <f t="shared" si="40"/>
        <v>11883.626952771074</v>
      </c>
      <c r="AM57" s="8">
        <f t="shared" si="40"/>
        <v>12178.374838862353</v>
      </c>
      <c r="AN57" s="1068">
        <f t="shared" si="40"/>
        <v>12301.659014564948</v>
      </c>
      <c r="AO57" s="8">
        <f t="shared" si="41"/>
        <v>12301.659014564948</v>
      </c>
      <c r="AP57" s="8">
        <f t="shared" si="42"/>
        <v>12301.659014564948</v>
      </c>
      <c r="AQ57" s="8">
        <f t="shared" si="43"/>
        <v>12450.372720729183</v>
      </c>
      <c r="AR57" s="8">
        <f t="shared" si="44"/>
        <v>12610.642149142557</v>
      </c>
      <c r="AS57" t="s">
        <v>1006</v>
      </c>
    </row>
    <row r="58" spans="1:45">
      <c r="AN58" s="1067"/>
      <c r="AS58" t="s">
        <v>1007</v>
      </c>
    </row>
    <row r="59" spans="1:45" s="3" customFormat="1">
      <c r="A59" s="24" t="s">
        <v>113</v>
      </c>
      <c r="O59" s="836"/>
      <c r="P59" s="836"/>
      <c r="Q59" s="836"/>
      <c r="R59" s="836"/>
      <c r="S59" s="836"/>
      <c r="T59" s="836"/>
      <c r="U59" s="836"/>
      <c r="V59" s="836"/>
      <c r="W59" s="836"/>
      <c r="X59" s="836"/>
      <c r="Y59" s="836"/>
      <c r="Z59" s="836"/>
      <c r="AA59" s="836"/>
      <c r="AB59" s="836"/>
      <c r="AC59" s="836"/>
      <c r="AD59" s="836"/>
      <c r="AE59" s="836"/>
      <c r="AF59" s="836"/>
      <c r="AG59" s="836"/>
      <c r="AH59" s="836"/>
      <c r="AI59" s="836"/>
      <c r="AJ59" s="836"/>
      <c r="AK59" s="836"/>
      <c r="AL59" s="836"/>
      <c r="AM59" s="836"/>
      <c r="AN59" s="1069"/>
      <c r="AO59" s="836"/>
      <c r="AP59" s="836"/>
      <c r="AQ59" s="836"/>
      <c r="AR59" s="836"/>
      <c r="AS59" s="3" t="s">
        <v>1008</v>
      </c>
    </row>
    <row r="60" spans="1:45" s="3" customFormat="1">
      <c r="A60" s="13" t="str">
        <f>+A56</f>
        <v>PC OEM Shipments (# in '000s)</v>
      </c>
      <c r="O60" s="836"/>
      <c r="P60" s="836">
        <f t="shared" ref="P60:Y61" si="45">+P56/L56-1</f>
        <v>-1.0347465323179317E-2</v>
      </c>
      <c r="Q60" s="836">
        <f t="shared" si="45"/>
        <v>-3.442467468416921E-3</v>
      </c>
      <c r="R60" s="836">
        <f t="shared" si="45"/>
        <v>-1.1659274769201367E-2</v>
      </c>
      <c r="S60" s="836">
        <f t="shared" si="45"/>
        <v>-1.9120523163427383E-2</v>
      </c>
      <c r="T60" s="836">
        <f t="shared" si="45"/>
        <v>-1.8636652667410325E-2</v>
      </c>
      <c r="U60" s="836">
        <f t="shared" si="45"/>
        <v>-1.2490359087354852E-2</v>
      </c>
      <c r="V60" s="836">
        <f t="shared" si="45"/>
        <v>1.1217491922573597E-2</v>
      </c>
      <c r="W60" s="836">
        <f t="shared" si="45"/>
        <v>-5.7830165460478478E-3</v>
      </c>
      <c r="X60" s="836">
        <f t="shared" si="45"/>
        <v>-2.6235904312279512E-3</v>
      </c>
      <c r="Y60" s="836">
        <f t="shared" si="45"/>
        <v>6.5072844577684918E-4</v>
      </c>
      <c r="Z60" s="836">
        <f t="shared" ref="Z60:AI61" si="46">+Z56/V56-1</f>
        <v>1.785965962808822E-2</v>
      </c>
      <c r="AA60" s="836">
        <f t="shared" si="46"/>
        <v>0.17154234171845539</v>
      </c>
      <c r="AB60" s="836">
        <f t="shared" si="46"/>
        <v>0.23204656304972082</v>
      </c>
      <c r="AC60" s="836">
        <f t="shared" si="46"/>
        <v>0.27049386216610194</v>
      </c>
      <c r="AD60" s="836">
        <f t="shared" si="46"/>
        <v>0.27870479452362384</v>
      </c>
      <c r="AE60" s="836">
        <f t="shared" si="46"/>
        <v>0.12347590943923081</v>
      </c>
      <c r="AF60" s="836">
        <f t="shared" si="46"/>
        <v>2.8106238905556635E-2</v>
      </c>
      <c r="AG60" s="836">
        <f t="shared" si="46"/>
        <v>-6.2527252802300537E-2</v>
      </c>
      <c r="AH60" s="836">
        <f t="shared" si="46"/>
        <v>-0.17129371108278102</v>
      </c>
      <c r="AI60" s="836">
        <f t="shared" si="46"/>
        <v>-0.22491128704903995</v>
      </c>
      <c r="AJ60" s="836">
        <f t="shared" ref="AJ60:AN61" si="47">+AJ56/AF56-1</f>
        <v>-0.23807806907683993</v>
      </c>
      <c r="AK60" s="836">
        <f t="shared" si="47"/>
        <v>-0.21732653603836427</v>
      </c>
      <c r="AL60" s="836">
        <f t="shared" si="47"/>
        <v>-0.14475690321304713</v>
      </c>
      <c r="AM60" s="836">
        <f t="shared" si="47"/>
        <v>-4.7601784390575497E-2</v>
      </c>
      <c r="AN60" s="1069">
        <f t="shared" si="47"/>
        <v>9.8376901742869283E-3</v>
      </c>
      <c r="AO60" s="836">
        <f t="shared" ref="AO60:AO61" si="48">+AO56/AK56-1</f>
        <v>5.962740396089572E-2</v>
      </c>
      <c r="AP60" s="836">
        <f t="shared" ref="AP60:AP61" si="49">+AP56/AL56-1</f>
        <v>8.0254207743833517E-2</v>
      </c>
      <c r="AQ60" s="836">
        <f t="shared" ref="AQ60:AQ61" si="50">+AQ56/AM56-1</f>
        <v>3.9937694326413364E-2</v>
      </c>
      <c r="AR60" s="836">
        <f t="shared" ref="AR60:AR61" si="51">+AR56/AN56-1</f>
        <v>3.437178466508084E-2</v>
      </c>
    </row>
    <row r="61" spans="1:45" s="3" customFormat="1" ht="11.45">
      <c r="A61" s="13" t="str">
        <f>+A57</f>
        <v>Windows OEM Revenue (Deferral Adj.)</v>
      </c>
      <c r="O61" s="836"/>
      <c r="P61" s="1083">
        <f t="shared" si="45"/>
        <v>4.47174786058675E-2</v>
      </c>
      <c r="Q61" s="1083">
        <f t="shared" si="45"/>
        <v>4.4268252530051511E-2</v>
      </c>
      <c r="R61" s="1083">
        <f t="shared" si="45"/>
        <v>2.0119084114434749E-2</v>
      </c>
      <c r="S61" s="1083">
        <f t="shared" si="45"/>
        <v>3.1174968677611936E-2</v>
      </c>
      <c r="T61" s="1083">
        <f t="shared" si="45"/>
        <v>3.6367498611270088E-2</v>
      </c>
      <c r="U61" s="1083">
        <f t="shared" si="45"/>
        <v>5.2333974191676624E-2</v>
      </c>
      <c r="V61" s="1083">
        <f t="shared" si="45"/>
        <v>0.1125089546110396</v>
      </c>
      <c r="W61" s="1083">
        <f t="shared" si="45"/>
        <v>8.9420535712896321E-2</v>
      </c>
      <c r="X61" s="1083">
        <f t="shared" si="45"/>
        <v>7.6505797375303164E-2</v>
      </c>
      <c r="Y61" s="1083">
        <f t="shared" si="45"/>
        <v>3.9505110033409174E-2</v>
      </c>
      <c r="Z61" s="1083">
        <f t="shared" si="46"/>
        <v>7.7542628426030547E-4</v>
      </c>
      <c r="AA61" s="1083">
        <f t="shared" si="46"/>
        <v>2.4709866728942265E-2</v>
      </c>
      <c r="AB61" s="1083">
        <f t="shared" si="46"/>
        <v>1.3807020893893185E-2</v>
      </c>
      <c r="AC61" s="1083">
        <f t="shared" si="46"/>
        <v>6.6363318522934867E-2</v>
      </c>
      <c r="AD61" s="1083">
        <f t="shared" si="46"/>
        <v>0.11117585194371937</v>
      </c>
      <c r="AE61" s="1083">
        <f t="shared" si="46"/>
        <v>0.1123902210483736</v>
      </c>
      <c r="AF61" s="1083">
        <f t="shared" si="46"/>
        <v>0.10626973831423947</v>
      </c>
      <c r="AG61" s="1083">
        <f t="shared" si="46"/>
        <v>1.3627496066876077E-2</v>
      </c>
      <c r="AH61" s="1083">
        <f t="shared" si="46"/>
        <v>-0.13097178144500099</v>
      </c>
      <c r="AI61" s="1083">
        <f t="shared" si="46"/>
        <v>-0.2199175837556262</v>
      </c>
      <c r="AJ61" s="1083">
        <f t="shared" si="47"/>
        <v>-0.24351778317469097</v>
      </c>
      <c r="AK61" s="1083">
        <f t="shared" si="47"/>
        <v>-0.19658225808956742</v>
      </c>
      <c r="AL61" s="1083">
        <f t="shared" si="47"/>
        <v>-8.0941298429627717E-2</v>
      </c>
      <c r="AM61" s="1083">
        <f t="shared" si="47"/>
        <v>2.4410591823468275E-2</v>
      </c>
      <c r="AN61" s="1199">
        <f t="shared" si="47"/>
        <v>7.2704617231269308E-2</v>
      </c>
      <c r="AO61" s="1083">
        <f t="shared" si="48"/>
        <v>6.1493896070527354E-2</v>
      </c>
      <c r="AP61" s="1083">
        <f t="shared" si="49"/>
        <v>3.517714444043496E-2</v>
      </c>
      <c r="AQ61" s="1083">
        <f t="shared" si="50"/>
        <v>2.2334497456824698E-2</v>
      </c>
      <c r="AR61" s="1083">
        <f t="shared" si="51"/>
        <v>2.5117192259334953E-2</v>
      </c>
    </row>
    <row r="62" spans="1:45" s="3" customFormat="1">
      <c r="A62" s="15" t="s">
        <v>998</v>
      </c>
      <c r="M62" s="836"/>
      <c r="N62" s="836"/>
      <c r="O62" s="836"/>
      <c r="P62" s="836">
        <f t="shared" ref="P62:AN62" si="52">+P61-P60</f>
        <v>5.5064943929046817E-2</v>
      </c>
      <c r="Q62" s="836">
        <f t="shared" si="52"/>
        <v>4.7710719998468432E-2</v>
      </c>
      <c r="R62" s="836">
        <f t="shared" si="52"/>
        <v>3.1778358883636115E-2</v>
      </c>
      <c r="S62" s="836">
        <f t="shared" si="52"/>
        <v>5.0295491841039319E-2</v>
      </c>
      <c r="T62" s="836">
        <f t="shared" si="52"/>
        <v>5.5004151278680413E-2</v>
      </c>
      <c r="U62" s="836">
        <f t="shared" si="52"/>
        <v>6.4824333279031476E-2</v>
      </c>
      <c r="V62" s="836">
        <f t="shared" si="52"/>
        <v>0.10129146268846601</v>
      </c>
      <c r="W62" s="836">
        <f t="shared" si="52"/>
        <v>9.5203552258944169E-2</v>
      </c>
      <c r="X62" s="836">
        <f t="shared" si="52"/>
        <v>7.9129387806531115E-2</v>
      </c>
      <c r="Y62" s="836">
        <f t="shared" si="52"/>
        <v>3.8854381587632325E-2</v>
      </c>
      <c r="Z62" s="836">
        <f t="shared" si="52"/>
        <v>-1.7084233343827915E-2</v>
      </c>
      <c r="AA62" s="836">
        <f t="shared" si="52"/>
        <v>-0.14683247498951313</v>
      </c>
      <c r="AB62" s="836">
        <f t="shared" si="52"/>
        <v>-0.21823954215582764</v>
      </c>
      <c r="AC62" s="836">
        <f t="shared" si="52"/>
        <v>-0.20413054364316707</v>
      </c>
      <c r="AD62" s="836">
        <f t="shared" si="52"/>
        <v>-0.16752894257990447</v>
      </c>
      <c r="AE62" s="836">
        <f t="shared" si="52"/>
        <v>-1.1085688390857218E-2</v>
      </c>
      <c r="AF62" s="836">
        <f t="shared" si="52"/>
        <v>7.8163499408682835E-2</v>
      </c>
      <c r="AG62" s="836">
        <f t="shared" si="52"/>
        <v>7.6154748869176614E-2</v>
      </c>
      <c r="AH62" s="836">
        <f t="shared" si="52"/>
        <v>4.032192963778003E-2</v>
      </c>
      <c r="AI62" s="836">
        <f t="shared" si="52"/>
        <v>4.9937032934137537E-3</v>
      </c>
      <c r="AJ62" s="836">
        <f t="shared" si="52"/>
        <v>-5.439714097851045E-3</v>
      </c>
      <c r="AK62" s="836">
        <f t="shared" si="52"/>
        <v>2.0744277948796852E-2</v>
      </c>
      <c r="AL62" s="836">
        <f t="shared" si="52"/>
        <v>6.3815604783419411E-2</v>
      </c>
      <c r="AM62" s="836">
        <f t="shared" si="52"/>
        <v>7.2012376214043772E-2</v>
      </c>
      <c r="AN62" s="1069">
        <f t="shared" si="52"/>
        <v>6.286692705698238E-2</v>
      </c>
      <c r="AO62" s="836">
        <f t="shared" ref="AO62:AQ62" si="53">+AO61-AO60</f>
        <v>1.8664921096316345E-3</v>
      </c>
      <c r="AP62" s="836">
        <f t="shared" si="53"/>
        <v>-4.5077063303398557E-2</v>
      </c>
      <c r="AQ62" s="836">
        <f t="shared" si="53"/>
        <v>-1.7603196869588666E-2</v>
      </c>
      <c r="AR62" s="836">
        <f t="shared" ref="AR62" si="54">+AR61-AR60</f>
        <v>-9.2545924057458873E-3</v>
      </c>
    </row>
    <row r="63" spans="1:45" s="3" customFormat="1">
      <c r="A63" s="15"/>
      <c r="M63" s="836"/>
      <c r="N63" s="836"/>
      <c r="O63" s="836"/>
      <c r="P63" s="836"/>
      <c r="Q63" s="836"/>
      <c r="R63" s="836"/>
      <c r="S63" s="836"/>
      <c r="T63" s="836"/>
      <c r="U63" s="836"/>
      <c r="V63" s="836"/>
      <c r="W63" s="836"/>
      <c r="X63" s="836"/>
      <c r="Y63" s="836"/>
      <c r="Z63" s="836"/>
      <c r="AA63" s="836"/>
      <c r="AB63" s="836"/>
      <c r="AC63" s="836"/>
      <c r="AD63" s="836"/>
      <c r="AE63" s="836"/>
      <c r="AF63" s="836"/>
      <c r="AG63" s="836"/>
      <c r="AH63" s="836"/>
      <c r="AI63" s="836"/>
      <c r="AJ63" s="836"/>
      <c r="AK63" s="836"/>
      <c r="AL63" s="836"/>
      <c r="AM63" s="836"/>
      <c r="AN63" s="1069"/>
      <c r="AO63" s="836"/>
      <c r="AP63" s="836"/>
      <c r="AQ63" s="836"/>
      <c r="AR63" s="836"/>
    </row>
    <row r="64" spans="1:45" ht="13.5">
      <c r="A64" s="45" t="s">
        <v>1009</v>
      </c>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N64" s="1067"/>
    </row>
    <row r="65" spans="1:45">
      <c r="A65" t="s">
        <v>1001</v>
      </c>
      <c r="C65" s="8"/>
      <c r="D65" s="8"/>
      <c r="E65" s="8"/>
      <c r="F65" s="8"/>
      <c r="G65" s="8"/>
      <c r="H65" s="8"/>
      <c r="I65" s="8"/>
      <c r="J65" s="8"/>
      <c r="K65" s="8"/>
      <c r="L65" s="8">
        <f t="shared" ref="L65:AN65" si="55">+L56/$L$56*100</f>
        <v>100</v>
      </c>
      <c r="M65" s="8">
        <f t="shared" si="55"/>
        <v>99.325869793766657</v>
      </c>
      <c r="N65" s="8">
        <f t="shared" si="55"/>
        <v>98.981079889516494</v>
      </c>
      <c r="O65" s="8">
        <f t="shared" si="55"/>
        <v>98.648348211425912</v>
      </c>
      <c r="P65" s="8">
        <f t="shared" si="55"/>
        <v>98.965253467682075</v>
      </c>
      <c r="Q65" s="8">
        <f t="shared" si="55"/>
        <v>98.983943718229398</v>
      </c>
      <c r="R65" s="8">
        <f t="shared" si="55"/>
        <v>97.82703228213235</v>
      </c>
      <c r="S65" s="8">
        <f t="shared" si="55"/>
        <v>96.7621401844155</v>
      </c>
      <c r="T65" s="8">
        <f t="shared" si="55"/>
        <v>97.120872412662649</v>
      </c>
      <c r="U65" s="8">
        <f t="shared" si="55"/>
        <v>97.74759871730619</v>
      </c>
      <c r="V65" s="8">
        <f t="shared" si="55"/>
        <v>98.924406226566518</v>
      </c>
      <c r="W65" s="8">
        <f t="shared" si="55"/>
        <v>96.202563126698024</v>
      </c>
      <c r="X65" s="8">
        <f t="shared" si="55"/>
        <v>96.866067021128273</v>
      </c>
      <c r="Y65" s="8">
        <f t="shared" si="55"/>
        <v>97.811205860297918</v>
      </c>
      <c r="Z65" s="8">
        <f t="shared" si="55"/>
        <v>100.69116245068375</v>
      </c>
      <c r="AA65" s="8">
        <f t="shared" si="55"/>
        <v>112.70537608476934</v>
      </c>
      <c r="AB65" s="8">
        <f t="shared" si="55"/>
        <v>119.34350494952501</v>
      </c>
      <c r="AC65" s="8">
        <f t="shared" si="55"/>
        <v>124.26853669657356</v>
      </c>
      <c r="AD65" s="8">
        <f t="shared" si="55"/>
        <v>128.75427219184635</v>
      </c>
      <c r="AE65" s="8">
        <f t="shared" si="55"/>
        <v>126.62177489552677</v>
      </c>
      <c r="AF65" s="8">
        <f t="shared" si="55"/>
        <v>122.69780201146283</v>
      </c>
      <c r="AG65" s="8">
        <f t="shared" si="55"/>
        <v>116.49836648717495</v>
      </c>
      <c r="AH65" s="8">
        <f t="shared" si="55"/>
        <v>106.6994750903425</v>
      </c>
      <c r="AI65" s="8">
        <f t="shared" si="55"/>
        <v>98.143108535340033</v>
      </c>
      <c r="AJ65" s="8">
        <f t="shared" si="55"/>
        <v>93.48614622860137</v>
      </c>
      <c r="AK65" s="8">
        <f t="shared" si="55"/>
        <v>91.180180044389346</v>
      </c>
      <c r="AL65" s="8">
        <f t="shared" si="55"/>
        <v>91.253989501806856</v>
      </c>
      <c r="AM65" s="8">
        <f t="shared" si="55"/>
        <v>93.471321443419924</v>
      </c>
      <c r="AN65" s="1068">
        <f t="shared" si="55"/>
        <v>94.405833970786432</v>
      </c>
      <c r="AO65" s="8">
        <f t="shared" ref="AO65:AQ65" si="56">+AO56/$L$56*100</f>
        <v>96.61701747312334</v>
      </c>
      <c r="AP65" s="8">
        <f t="shared" si="56"/>
        <v>98.577506132738463</v>
      </c>
      <c r="AQ65" s="8">
        <f t="shared" si="56"/>
        <v>97.204350507513155</v>
      </c>
      <c r="AR65" s="8">
        <f t="shared" ref="AR65" si="57">+AR56/$L$56*100</f>
        <v>97.650730967157671</v>
      </c>
      <c r="AS65" t="s">
        <v>1005</v>
      </c>
    </row>
    <row r="66" spans="1:45">
      <c r="A66" t="s">
        <v>1002</v>
      </c>
      <c r="C66" s="8"/>
      <c r="I66" s="8"/>
      <c r="J66" s="8"/>
      <c r="K66" s="8"/>
      <c r="L66" s="8">
        <f t="shared" ref="L66:AN66" si="58">+L57/$L$57*100</f>
        <v>100</v>
      </c>
      <c r="M66" s="8">
        <f t="shared" si="58"/>
        <v>100.7370952431867</v>
      </c>
      <c r="N66" s="8">
        <f t="shared" si="58"/>
        <v>101.66198812146099</v>
      </c>
      <c r="O66" s="8">
        <f t="shared" si="58"/>
        <v>102.62409070626921</v>
      </c>
      <c r="P66" s="8">
        <f t="shared" si="58"/>
        <v>104.47174786058675</v>
      </c>
      <c r="Q66" s="8">
        <f t="shared" si="58"/>
        <v>105.19655041455596</v>
      </c>
      <c r="R66" s="8">
        <f t="shared" si="58"/>
        <v>103.70733421171734</v>
      </c>
      <c r="S66" s="8">
        <f t="shared" si="58"/>
        <v>105.82339351960557</v>
      </c>
      <c r="T66" s="8">
        <f t="shared" si="58"/>
        <v>108.27112400582359</v>
      </c>
      <c r="U66" s="8">
        <f t="shared" si="58"/>
        <v>110.70190396900472</v>
      </c>
      <c r="V66" s="8">
        <f t="shared" si="58"/>
        <v>115.37533796937535</v>
      </c>
      <c r="W66" s="8">
        <f t="shared" si="58"/>
        <v>115.28617805908534</v>
      </c>
      <c r="X66" s="8">
        <f t="shared" si="58"/>
        <v>116.55449268060944</v>
      </c>
      <c r="Y66" s="8">
        <f t="shared" si="58"/>
        <v>115.07519486620814</v>
      </c>
      <c r="Z66" s="8">
        <f t="shared" si="58"/>
        <v>115.46480303899223</v>
      </c>
      <c r="AA66" s="8">
        <f t="shared" si="58"/>
        <v>118.13488415461444</v>
      </c>
      <c r="AB66" s="8">
        <f t="shared" si="58"/>
        <v>118.16376299632773</v>
      </c>
      <c r="AC66" s="8">
        <f t="shared" si="58"/>
        <v>122.71196667720309</v>
      </c>
      <c r="AD66" s="8">
        <f t="shared" si="58"/>
        <v>128.30170088636595</v>
      </c>
      <c r="AE66" s="8">
        <f t="shared" si="58"/>
        <v>131.41208989827558</v>
      </c>
      <c r="AF66" s="8">
        <f t="shared" si="58"/>
        <v>130.72099516817332</v>
      </c>
      <c r="AG66" s="8">
        <f t="shared" si="58"/>
        <v>124.38422352045532</v>
      </c>
      <c r="AH66" s="8">
        <f t="shared" si="58"/>
        <v>111.49779855885495</v>
      </c>
      <c r="AI66" s="8">
        <f t="shared" si="58"/>
        <v>102.51226061156966</v>
      </c>
      <c r="AJ66" s="8">
        <f t="shared" si="58"/>
        <v>98.888108210430261</v>
      </c>
      <c r="AK66" s="8">
        <f t="shared" si="58"/>
        <v>99.932491990086731</v>
      </c>
      <c r="AL66" s="8">
        <f t="shared" si="58"/>
        <v>102.47302197145616</v>
      </c>
      <c r="AM66" s="8">
        <f t="shared" si="58"/>
        <v>105.0146455622597</v>
      </c>
      <c r="AN66" s="1068">
        <f t="shared" si="58"/>
        <v>106.07773026659393</v>
      </c>
      <c r="AO66" s="8">
        <f t="shared" ref="AO66:AQ66" si="59">+AO57/$L$57*100</f>
        <v>106.07773026659393</v>
      </c>
      <c r="AP66" s="8">
        <f t="shared" si="59"/>
        <v>106.07773026659393</v>
      </c>
      <c r="AQ66" s="8">
        <f t="shared" si="59"/>
        <v>107.36009489649933</v>
      </c>
      <c r="AR66" s="8">
        <f t="shared" ref="AR66" si="60">+AR57/$L$57*100</f>
        <v>108.74210501213383</v>
      </c>
      <c r="AS66" t="s">
        <v>1006</v>
      </c>
    </row>
    <row r="67" spans="1:45">
      <c r="AN67" s="1067"/>
      <c r="AS67" t="s">
        <v>1007</v>
      </c>
    </row>
    <row r="68" spans="1:45" hidden="1" outlineLevel="1">
      <c r="A68" s="24" t="s">
        <v>124</v>
      </c>
      <c r="AN68" s="1067"/>
    </row>
    <row r="69" spans="1:45" s="3" customFormat="1" hidden="1" outlineLevel="1">
      <c r="A69" s="13" t="s">
        <v>1010</v>
      </c>
      <c r="M69" s="836"/>
      <c r="N69" s="836"/>
      <c r="O69" s="836"/>
      <c r="P69" s="836"/>
      <c r="Q69" s="836"/>
      <c r="R69" s="836"/>
      <c r="S69" s="836"/>
      <c r="T69" s="836"/>
      <c r="U69" s="836"/>
      <c r="V69" s="836"/>
      <c r="W69" s="836"/>
      <c r="X69" s="836"/>
      <c r="Y69" s="836"/>
      <c r="Z69" s="836"/>
      <c r="AA69" s="836"/>
      <c r="AB69" s="836">
        <f t="shared" ref="AB69:AH69" si="61">AVERAGE(Y48:AB48)</f>
        <v>7.5000000000000015E-3</v>
      </c>
      <c r="AC69" s="836">
        <f t="shared" si="61"/>
        <v>4.4999999999999998E-2</v>
      </c>
      <c r="AD69" s="836">
        <f t="shared" si="61"/>
        <v>0.10500000000000001</v>
      </c>
      <c r="AE69" s="836">
        <f t="shared" si="61"/>
        <v>0.1075</v>
      </c>
      <c r="AF69" s="836">
        <f t="shared" si="61"/>
        <v>0.10999999999999999</v>
      </c>
      <c r="AG69" s="836">
        <f t="shared" si="61"/>
        <v>4.7499999999999994E-2</v>
      </c>
      <c r="AH69" s="836">
        <f t="shared" si="61"/>
        <v>-0.1125</v>
      </c>
      <c r="AI69" s="836"/>
      <c r="AJ69" s="836"/>
      <c r="AK69" s="836"/>
      <c r="AL69" s="836"/>
      <c r="AM69" s="836"/>
      <c r="AN69" s="1069"/>
      <c r="AO69" s="836"/>
      <c r="AP69" s="836"/>
      <c r="AQ69" s="836"/>
      <c r="AR69" s="836"/>
    </row>
    <row r="70" spans="1:45" hidden="1" outlineLevel="1">
      <c r="AB70" s="836"/>
      <c r="AC70" s="836"/>
      <c r="AD70" s="836"/>
      <c r="AE70" s="836"/>
      <c r="AF70" s="836"/>
      <c r="AG70" s="836"/>
      <c r="AH70" s="836"/>
      <c r="AI70" s="836"/>
      <c r="AN70" s="1067"/>
    </row>
    <row r="71" spans="1:45" s="3" customFormat="1" hidden="1" outlineLevel="1">
      <c r="A71" s="24" t="s">
        <v>1003</v>
      </c>
      <c r="AN71" s="1075"/>
    </row>
    <row r="72" spans="1:45" s="3" customFormat="1" hidden="1" outlineLevel="1">
      <c r="A72" s="13" t="str">
        <f>+A60</f>
        <v>PC OEM Shipments (# in '000s)</v>
      </c>
      <c r="J72" s="836"/>
      <c r="K72" s="836"/>
      <c r="L72" s="836"/>
      <c r="M72" s="836">
        <f t="shared" ref="M72:AN72" si="62">+M56/L56-1</f>
        <v>-6.7413020623334763E-3</v>
      </c>
      <c r="N72" s="836">
        <f t="shared" si="62"/>
        <v>-3.4713001251944764E-3</v>
      </c>
      <c r="O72" s="836">
        <f t="shared" si="62"/>
        <v>-3.361568478157384E-3</v>
      </c>
      <c r="P72" s="836">
        <f t="shared" si="62"/>
        <v>3.212474025180212E-3</v>
      </c>
      <c r="Q72" s="836">
        <f t="shared" si="62"/>
        <v>1.888566935608349E-4</v>
      </c>
      <c r="R72" s="836">
        <f t="shared" si="62"/>
        <v>-1.1687869695213737E-2</v>
      </c>
      <c r="S72" s="836">
        <f t="shared" si="62"/>
        <v>-1.0885458475789256E-2</v>
      </c>
      <c r="T72" s="836">
        <f t="shared" si="62"/>
        <v>3.7073614490485962E-3</v>
      </c>
      <c r="U72" s="836">
        <f t="shared" si="62"/>
        <v>6.4530547252561465E-3</v>
      </c>
      <c r="V72" s="836">
        <f t="shared" si="62"/>
        <v>1.203924725213712E-2</v>
      </c>
      <c r="W72" s="836">
        <f t="shared" si="62"/>
        <v>-2.7514373891056376E-2</v>
      </c>
      <c r="X72" s="836">
        <f t="shared" si="62"/>
        <v>6.8969461193713055E-3</v>
      </c>
      <c r="Y72" s="836">
        <f t="shared" si="62"/>
        <v>9.7571716106064077E-3</v>
      </c>
      <c r="Z72" s="836">
        <f t="shared" si="62"/>
        <v>2.9444035221273257E-2</v>
      </c>
      <c r="AA72" s="836">
        <f t="shared" si="62"/>
        <v>0.1193174588680499</v>
      </c>
      <c r="AB72" s="836">
        <f t="shared" si="62"/>
        <v>5.8898067646417473E-2</v>
      </c>
      <c r="AC72" s="836">
        <f t="shared" si="62"/>
        <v>4.126769822229992E-2</v>
      </c>
      <c r="AD72" s="836">
        <f t="shared" si="62"/>
        <v>3.6097113674281145E-2</v>
      </c>
      <c r="AE72" s="836">
        <f t="shared" si="62"/>
        <v>-1.6562536217378021E-2</v>
      </c>
      <c r="AF72" s="836">
        <f t="shared" si="62"/>
        <v>-3.098971632092129E-2</v>
      </c>
      <c r="AG72" s="836">
        <f t="shared" si="62"/>
        <v>-5.0526051996503618E-2</v>
      </c>
      <c r="AH72" s="836">
        <f t="shared" si="62"/>
        <v>-8.4111835146728819E-2</v>
      </c>
      <c r="AI72" s="836">
        <f t="shared" si="62"/>
        <v>-8.0191271304360101E-2</v>
      </c>
      <c r="AJ72" s="836">
        <f t="shared" si="62"/>
        <v>-4.7450731653376876E-2</v>
      </c>
      <c r="AK72" s="836">
        <f t="shared" si="62"/>
        <v>-2.4666394725195273E-2</v>
      </c>
      <c r="AL72" s="836">
        <f t="shared" si="62"/>
        <v>8.0949014776643402E-4</v>
      </c>
      <c r="AM72" s="836">
        <f t="shared" si="62"/>
        <v>2.4298465784547085E-2</v>
      </c>
      <c r="AN72" s="1069">
        <f t="shared" si="62"/>
        <v>9.9978529557025464E-3</v>
      </c>
      <c r="AO72" s="836">
        <f t="shared" ref="AO72:AO73" si="63">+AO56/AN56-1</f>
        <v>2.342210655139354E-2</v>
      </c>
      <c r="AP72" s="836">
        <f t="shared" ref="AP72:AP73" si="64">+AP56/AO56-1</f>
        <v>2.0291339050705792E-2</v>
      </c>
      <c r="AQ72" s="836">
        <f t="shared" ref="AQ72:AQ73" si="65">+AQ56/AP56-1</f>
        <v>-1.3929705458122443E-2</v>
      </c>
      <c r="AR72" s="836">
        <f t="shared" ref="AR72:AR73" si="66">+AR56/AQ56-1</f>
        <v>4.5921860216535659E-3</v>
      </c>
    </row>
    <row r="73" spans="1:45" s="3" customFormat="1" ht="11.45" hidden="1" outlineLevel="1">
      <c r="A73" s="13" t="str">
        <f>+A61</f>
        <v>Windows OEM Revenue (Deferral Adj.)</v>
      </c>
      <c r="J73" s="836"/>
      <c r="K73" s="836"/>
      <c r="L73" s="836"/>
      <c r="M73" s="1083">
        <f t="shared" ref="M73:AN73" si="67">+M57/L57-1</f>
        <v>7.3709524318670283E-3</v>
      </c>
      <c r="N73" s="1083">
        <f t="shared" si="67"/>
        <v>9.1812541948079751E-3</v>
      </c>
      <c r="O73" s="1083">
        <f t="shared" si="67"/>
        <v>9.4637396197558843E-3</v>
      </c>
      <c r="P73" s="1083">
        <f t="shared" si="67"/>
        <v>1.8004126921873365E-2</v>
      </c>
      <c r="Q73" s="1083">
        <f t="shared" si="67"/>
        <v>6.9377852750813762E-3</v>
      </c>
      <c r="R73" s="1083">
        <f t="shared" si="67"/>
        <v>-1.4156511757942192E-2</v>
      </c>
      <c r="S73" s="1083">
        <f t="shared" si="67"/>
        <v>2.0404143293938359E-2</v>
      </c>
      <c r="T73" s="1083">
        <f t="shared" si="67"/>
        <v>2.3130334463943969E-2</v>
      </c>
      <c r="U73" s="1083">
        <f t="shared" si="67"/>
        <v>2.2450861072158101E-2</v>
      </c>
      <c r="V73" s="1083">
        <f t="shared" si="67"/>
        <v>4.2216383213057762E-2</v>
      </c>
      <c r="W73" s="1083">
        <f t="shared" si="67"/>
        <v>-7.7278135743075183E-4</v>
      </c>
      <c r="X73" s="1083">
        <f t="shared" si="67"/>
        <v>1.1001445644889696E-2</v>
      </c>
      <c r="Y73" s="1083">
        <f t="shared" si="67"/>
        <v>-1.2691898702308912E-2</v>
      </c>
      <c r="Z73" s="1083">
        <f t="shared" si="67"/>
        <v>3.3856833632743832E-3</v>
      </c>
      <c r="AA73" s="1083">
        <f t="shared" si="67"/>
        <v>2.3124632315187243E-2</v>
      </c>
      <c r="AB73" s="1083">
        <f t="shared" si="67"/>
        <v>2.4445651189286544E-4</v>
      </c>
      <c r="AC73" s="1083">
        <f t="shared" si="67"/>
        <v>3.8490680776785302E-2</v>
      </c>
      <c r="AD73" s="1083">
        <f t="shared" si="67"/>
        <v>4.5551663464630021E-2</v>
      </c>
      <c r="AE73" s="1083">
        <f t="shared" si="67"/>
        <v>2.424277301408817E-2</v>
      </c>
      <c r="AF73" s="1083">
        <f t="shared" si="67"/>
        <v>-5.2589889608880558E-3</v>
      </c>
      <c r="AG73" s="1083">
        <f t="shared" si="67"/>
        <v>-4.8475546254568402E-2</v>
      </c>
      <c r="AH73" s="1083">
        <f t="shared" si="67"/>
        <v>-0.10360176392853526</v>
      </c>
      <c r="AI73" s="1083">
        <f t="shared" si="67"/>
        <v>-8.0589375426477039E-2</v>
      </c>
      <c r="AJ73" s="1083">
        <f t="shared" si="67"/>
        <v>-3.5353355584184509E-2</v>
      </c>
      <c r="AK73" s="1083">
        <f t="shared" si="67"/>
        <v>1.0561267664601859E-2</v>
      </c>
      <c r="AL73" s="1083">
        <f t="shared" si="67"/>
        <v>2.5422462011869262E-2</v>
      </c>
      <c r="AM73" s="1083">
        <f t="shared" si="67"/>
        <v>2.4802855833719217E-2</v>
      </c>
      <c r="AN73" s="1199">
        <f t="shared" si="67"/>
        <v>1.0123204231584637E-2</v>
      </c>
      <c r="AO73" s="1083">
        <f t="shared" si="63"/>
        <v>0</v>
      </c>
      <c r="AP73" s="1083">
        <f t="shared" si="64"/>
        <v>0</v>
      </c>
      <c r="AQ73" s="1083">
        <f t="shared" si="65"/>
        <v>1.2088914673066498E-2</v>
      </c>
      <c r="AR73" s="1083">
        <f t="shared" si="66"/>
        <v>1.287266108479912E-2</v>
      </c>
    </row>
    <row r="74" spans="1:45" s="3" customFormat="1" hidden="1" outlineLevel="1">
      <c r="A74" s="15" t="s">
        <v>998</v>
      </c>
      <c r="M74" s="836">
        <f t="shared" ref="M74:AN74" si="68">+M73-M72</f>
        <v>1.4112254494200505E-2</v>
      </c>
      <c r="N74" s="836">
        <f t="shared" si="68"/>
        <v>1.2652554320002452E-2</v>
      </c>
      <c r="O74" s="836">
        <f t="shared" si="68"/>
        <v>1.2825308097913268E-2</v>
      </c>
      <c r="P74" s="836">
        <f t="shared" si="68"/>
        <v>1.4791652896693153E-2</v>
      </c>
      <c r="Q74" s="836">
        <f t="shared" si="68"/>
        <v>6.7489285815205413E-3</v>
      </c>
      <c r="R74" s="836">
        <f t="shared" si="68"/>
        <v>-2.4686420627284544E-3</v>
      </c>
      <c r="S74" s="836">
        <f t="shared" si="68"/>
        <v>3.1289601769727615E-2</v>
      </c>
      <c r="T74" s="836">
        <f t="shared" si="68"/>
        <v>1.9422973014895373E-2</v>
      </c>
      <c r="U74" s="836">
        <f t="shared" si="68"/>
        <v>1.5997806346901955E-2</v>
      </c>
      <c r="V74" s="836">
        <f t="shared" si="68"/>
        <v>3.0177135960920642E-2</v>
      </c>
      <c r="W74" s="836">
        <f t="shared" si="68"/>
        <v>2.6741592533625624E-2</v>
      </c>
      <c r="X74" s="836">
        <f t="shared" si="68"/>
        <v>4.1044995255183903E-3</v>
      </c>
      <c r="Y74" s="836">
        <f t="shared" si="68"/>
        <v>-2.244907031291532E-2</v>
      </c>
      <c r="Z74" s="836">
        <f t="shared" si="68"/>
        <v>-2.6058351857998874E-2</v>
      </c>
      <c r="AA74" s="836">
        <f t="shared" si="68"/>
        <v>-9.6192826552862654E-2</v>
      </c>
      <c r="AB74" s="836">
        <f t="shared" si="68"/>
        <v>-5.8653611134524608E-2</v>
      </c>
      <c r="AC74" s="836">
        <f t="shared" si="68"/>
        <v>-2.7770174455146179E-3</v>
      </c>
      <c r="AD74" s="836">
        <f t="shared" si="68"/>
        <v>9.4545497903488762E-3</v>
      </c>
      <c r="AE74" s="836">
        <f t="shared" si="68"/>
        <v>4.0805309231466191E-2</v>
      </c>
      <c r="AF74" s="836">
        <f t="shared" si="68"/>
        <v>2.5730727360033234E-2</v>
      </c>
      <c r="AG74" s="836">
        <f t="shared" si="68"/>
        <v>2.0505057419352157E-3</v>
      </c>
      <c r="AH74" s="836">
        <f t="shared" si="68"/>
        <v>-1.9489928781806443E-2</v>
      </c>
      <c r="AI74" s="836">
        <f t="shared" si="68"/>
        <v>-3.9810412211693791E-4</v>
      </c>
      <c r="AJ74" s="836">
        <f t="shared" si="68"/>
        <v>1.2097376069192367E-2</v>
      </c>
      <c r="AK74" s="836">
        <f t="shared" si="68"/>
        <v>3.5227662389797132E-2</v>
      </c>
      <c r="AL74" s="836">
        <f t="shared" si="68"/>
        <v>2.4612971864102828E-2</v>
      </c>
      <c r="AM74" s="836">
        <f t="shared" si="68"/>
        <v>5.0439004917213204E-4</v>
      </c>
      <c r="AN74" s="1069">
        <f t="shared" si="68"/>
        <v>1.2535127588209072E-4</v>
      </c>
      <c r="AO74" s="836">
        <f t="shared" ref="AO74:AQ74" si="69">+AO73-AO72</f>
        <v>-2.342210655139354E-2</v>
      </c>
      <c r="AP74" s="836">
        <f t="shared" si="69"/>
        <v>-2.0291339050705792E-2</v>
      </c>
      <c r="AQ74" s="836">
        <f t="shared" si="69"/>
        <v>2.6018620131188941E-2</v>
      </c>
      <c r="AR74" s="836">
        <f t="shared" ref="AR74" si="70">+AR73-AR72</f>
        <v>8.2804750631455537E-3</v>
      </c>
    </row>
    <row r="75" spans="1:45" collapsed="1">
      <c r="AN75" s="1067"/>
    </row>
    <row r="76" spans="1:45">
      <c r="AN76" s="1067"/>
    </row>
    <row r="77" spans="1:45">
      <c r="AN77" s="1067"/>
    </row>
    <row r="78" spans="1:45">
      <c r="AN78" s="1067"/>
    </row>
    <row r="79" spans="1:45">
      <c r="AN79" s="1067"/>
    </row>
    <row r="80" spans="1:45">
      <c r="AN80" s="1067"/>
    </row>
    <row r="81" spans="40:40">
      <c r="AN81" s="1067"/>
    </row>
    <row r="82" spans="40:40">
      <c r="AN82" s="1067"/>
    </row>
    <row r="83" spans="40:40">
      <c r="AN83" s="1067"/>
    </row>
    <row r="84" spans="40:40">
      <c r="AN84" s="1067"/>
    </row>
    <row r="85" spans="40:40">
      <c r="AN85" s="1067"/>
    </row>
    <row r="86" spans="40:40">
      <c r="AN86" s="1067"/>
    </row>
    <row r="87" spans="40:40">
      <c r="AN87" s="1067"/>
    </row>
    <row r="88" spans="40:40">
      <c r="AN88" s="1067"/>
    </row>
    <row r="89" spans="40:40">
      <c r="AN89" s="1067"/>
    </row>
    <row r="90" spans="40:40">
      <c r="AN90" s="1067"/>
    </row>
    <row r="91" spans="40:40">
      <c r="AN91" s="1067"/>
    </row>
    <row r="92" spans="40:40">
      <c r="AN92" s="1067"/>
    </row>
    <row r="93" spans="40:40">
      <c r="AN93" s="1067"/>
    </row>
    <row r="94" spans="40:40">
      <c r="AN94" s="1067"/>
    </row>
    <row r="95" spans="40:40">
      <c r="AN95" s="1067"/>
    </row>
    <row r="96" spans="40:40">
      <c r="AN96" s="1067"/>
    </row>
    <row r="97" spans="40:40">
      <c r="AN97" s="1067"/>
    </row>
    <row r="98" spans="40:40">
      <c r="AN98" s="1067"/>
    </row>
    <row r="99" spans="40:40">
      <c r="AN99" s="1067"/>
    </row>
    <row r="100" spans="40:40">
      <c r="AN100" s="1067"/>
    </row>
    <row r="101" spans="40:40">
      <c r="AN101" s="1067"/>
    </row>
    <row r="102" spans="40:40">
      <c r="AN102" s="1067"/>
    </row>
    <row r="103" spans="40:40">
      <c r="AN103" s="1067"/>
    </row>
    <row r="104" spans="40:40">
      <c r="AN104" s="1067"/>
    </row>
    <row r="105" spans="40:40">
      <c r="AN105" s="1067"/>
    </row>
    <row r="106" spans="40:40">
      <c r="AN106" s="1067"/>
    </row>
    <row r="107" spans="40:40">
      <c r="AN107" s="1067"/>
    </row>
    <row r="108" spans="40:40">
      <c r="AN108" s="1067"/>
    </row>
    <row r="109" spans="40:40">
      <c r="AN109" s="1067"/>
    </row>
    <row r="110" spans="40:40">
      <c r="AN110" s="1067"/>
    </row>
    <row r="111" spans="40:40">
      <c r="AN111" s="1067"/>
    </row>
    <row r="112" spans="40:40">
      <c r="AN112" s="1067"/>
    </row>
    <row r="113" spans="40:40">
      <c r="AN113" s="1067"/>
    </row>
    <row r="114" spans="40:40">
      <c r="AN114" s="1067"/>
    </row>
    <row r="115" spans="40:40">
      <c r="AN115" s="1067"/>
    </row>
    <row r="116" spans="40:40">
      <c r="AN116" s="1067"/>
    </row>
    <row r="117" spans="40:40">
      <c r="AN117" s="1067"/>
    </row>
    <row r="118" spans="40:40">
      <c r="AN118" s="1067"/>
    </row>
    <row r="119" spans="40:40">
      <c r="AN119" s="1067"/>
    </row>
    <row r="120" spans="40:40">
      <c r="AN120" s="1067"/>
    </row>
    <row r="121" spans="40:40">
      <c r="AN121" s="1067"/>
    </row>
    <row r="122" spans="40:40">
      <c r="AN122" s="1067"/>
    </row>
    <row r="123" spans="40:40">
      <c r="AN123" s="1067"/>
    </row>
    <row r="124" spans="40:40">
      <c r="AN124" s="1067"/>
    </row>
    <row r="125" spans="40:40">
      <c r="AN125" s="1067"/>
    </row>
    <row r="126" spans="40:40">
      <c r="AN126" s="1067"/>
    </row>
    <row r="127" spans="40:40">
      <c r="AN127" s="1067"/>
    </row>
    <row r="128" spans="40:40">
      <c r="AN128" s="1067"/>
    </row>
    <row r="129" spans="1:44">
      <c r="AN129" s="1067"/>
    </row>
    <row r="130" spans="1:44">
      <c r="AN130" s="1067"/>
    </row>
    <row r="131" spans="1:44">
      <c r="AN131" s="1067"/>
    </row>
    <row r="132" spans="1:44">
      <c r="AN132" s="1067"/>
    </row>
    <row r="133" spans="1:44" ht="10.5">
      <c r="A133" s="1055" t="s">
        <v>1011</v>
      </c>
      <c r="AN133" s="1067"/>
    </row>
    <row r="134" spans="1:44">
      <c r="AN134" s="1067"/>
    </row>
    <row r="135" spans="1:44" ht="13.5">
      <c r="C135" s="821" t="s">
        <v>848</v>
      </c>
      <c r="D135" s="31"/>
      <c r="E135" s="31"/>
      <c r="F135" s="31"/>
      <c r="G135" s="31"/>
      <c r="H135" s="31"/>
      <c r="I135" s="31"/>
      <c r="J135" s="31"/>
      <c r="K135" s="821" t="s">
        <v>848</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N135" s="1067"/>
    </row>
    <row r="136" spans="1:44" ht="13.5">
      <c r="C136" s="6" t="s">
        <v>925</v>
      </c>
      <c r="D136" s="6" t="s">
        <v>926</v>
      </c>
      <c r="E136" s="6" t="s">
        <v>927</v>
      </c>
      <c r="F136" s="6" t="s">
        <v>928</v>
      </c>
      <c r="G136" s="6" t="s">
        <v>206</v>
      </c>
      <c r="H136" s="6" t="s">
        <v>207</v>
      </c>
      <c r="I136" s="6" t="s">
        <v>208</v>
      </c>
      <c r="J136" s="6" t="s">
        <v>209</v>
      </c>
      <c r="K136" s="6" t="s">
        <v>210</v>
      </c>
      <c r="L136" s="6" t="s">
        <v>211</v>
      </c>
      <c r="M136" s="6" t="s">
        <v>212</v>
      </c>
      <c r="N136" s="6" t="s">
        <v>213</v>
      </c>
      <c r="O136" s="6" t="s">
        <v>214</v>
      </c>
      <c r="P136" s="6" t="s">
        <v>215</v>
      </c>
      <c r="Q136" s="6" t="s">
        <v>216</v>
      </c>
      <c r="R136" s="6" t="s">
        <v>217</v>
      </c>
      <c r="S136" s="6" t="s">
        <v>218</v>
      </c>
      <c r="T136" s="6" t="s">
        <v>219</v>
      </c>
      <c r="U136" s="6" t="s">
        <v>220</v>
      </c>
      <c r="V136" s="6" t="s">
        <v>221</v>
      </c>
      <c r="W136" s="6" t="s">
        <v>222</v>
      </c>
      <c r="X136" s="6" t="s">
        <v>223</v>
      </c>
      <c r="Y136" s="6" t="s">
        <v>224</v>
      </c>
      <c r="Z136" s="6" t="s">
        <v>225</v>
      </c>
      <c r="AA136" s="6" t="s">
        <v>226</v>
      </c>
      <c r="AB136" s="6" t="s">
        <v>227</v>
      </c>
      <c r="AC136" s="6" t="s">
        <v>228</v>
      </c>
      <c r="AD136" s="6" t="s">
        <v>229</v>
      </c>
      <c r="AE136" s="6" t="s">
        <v>230</v>
      </c>
      <c r="AF136" s="6" t="s">
        <v>231</v>
      </c>
      <c r="AG136" s="6" t="s">
        <v>232</v>
      </c>
      <c r="AH136" s="6" t="s">
        <v>233</v>
      </c>
      <c r="AI136" s="6" t="str">
        <f>+AI5</f>
        <v>1Q23</v>
      </c>
      <c r="AJ136" s="6" t="str">
        <f t="shared" ref="AJ136:AN136" si="71">+AJ5</f>
        <v>2Q23</v>
      </c>
      <c r="AK136" s="6" t="str">
        <f t="shared" si="71"/>
        <v>3Q23</v>
      </c>
      <c r="AL136" s="6" t="str">
        <f t="shared" si="71"/>
        <v>4Q23</v>
      </c>
      <c r="AM136" s="6" t="str">
        <f t="shared" si="71"/>
        <v>1Q24</v>
      </c>
      <c r="AN136" s="1066" t="str">
        <f t="shared" si="71"/>
        <v>2Q24</v>
      </c>
      <c r="AO136" s="6" t="str">
        <f t="shared" ref="AO136:AR136" si="72">+AO5</f>
        <v>3Q24E</v>
      </c>
      <c r="AP136" s="6" t="str">
        <f t="shared" si="72"/>
        <v>4Q24E</v>
      </c>
      <c r="AQ136" s="6" t="str">
        <f t="shared" si="72"/>
        <v>1Q25E</v>
      </c>
      <c r="AR136" s="6" t="str">
        <f t="shared" si="72"/>
        <v>2Q25E</v>
      </c>
    </row>
    <row r="137" spans="1:44">
      <c r="A137" t="s">
        <v>1012</v>
      </c>
      <c r="K137" s="8"/>
      <c r="L137" s="8">
        <f t="shared" ref="L137:AN137" si="73">+L56</f>
        <v>265379</v>
      </c>
      <c r="M137" s="8">
        <f t="shared" si="73"/>
        <v>263590</v>
      </c>
      <c r="N137" s="8">
        <f t="shared" si="73"/>
        <v>262675</v>
      </c>
      <c r="O137" s="8">
        <f t="shared" si="73"/>
        <v>261792</v>
      </c>
      <c r="P137" s="8">
        <f t="shared" si="73"/>
        <v>262633</v>
      </c>
      <c r="Q137" s="8">
        <f t="shared" si="73"/>
        <v>262682.59999999998</v>
      </c>
      <c r="R137" s="8">
        <f t="shared" si="73"/>
        <v>259612.40000000002</v>
      </c>
      <c r="S137" s="8">
        <f t="shared" si="73"/>
        <v>256786.40000000002</v>
      </c>
      <c r="T137" s="8">
        <f t="shared" si="73"/>
        <v>257738.40000000002</v>
      </c>
      <c r="U137" s="8">
        <f t="shared" si="73"/>
        <v>259401.59999999998</v>
      </c>
      <c r="V137" s="8">
        <f t="shared" si="73"/>
        <v>262524.59999999998</v>
      </c>
      <c r="W137" s="8">
        <f t="shared" si="73"/>
        <v>255301.39999999997</v>
      </c>
      <c r="X137" s="8">
        <f t="shared" si="73"/>
        <v>257062.2</v>
      </c>
      <c r="Y137" s="8">
        <f t="shared" si="73"/>
        <v>259570.40000000002</v>
      </c>
      <c r="Z137" s="8">
        <f t="shared" si="73"/>
        <v>267213.2</v>
      </c>
      <c r="AA137" s="8">
        <f t="shared" si="73"/>
        <v>299096.40000000002</v>
      </c>
      <c r="AB137" s="8">
        <f t="shared" si="73"/>
        <v>316712.59999999998</v>
      </c>
      <c r="AC137" s="8">
        <f t="shared" si="73"/>
        <v>329782.59999999998</v>
      </c>
      <c r="AD137" s="8">
        <f t="shared" si="73"/>
        <v>341686.8</v>
      </c>
      <c r="AE137" s="8">
        <f t="shared" si="73"/>
        <v>336027.6</v>
      </c>
      <c r="AF137" s="8">
        <f t="shared" si="73"/>
        <v>325614.19999999995</v>
      </c>
      <c r="AG137" s="8">
        <f t="shared" si="73"/>
        <v>309162.2</v>
      </c>
      <c r="AH137" s="8">
        <f t="shared" si="73"/>
        <v>283158</v>
      </c>
      <c r="AI137" s="8">
        <f t="shared" si="73"/>
        <v>260451.20000000001</v>
      </c>
      <c r="AJ137" s="8">
        <f t="shared" si="73"/>
        <v>248092.6</v>
      </c>
      <c r="AK137" s="8">
        <f t="shared" si="73"/>
        <v>241973.05000000002</v>
      </c>
      <c r="AL137" s="8">
        <f t="shared" si="73"/>
        <v>242168.92480000001</v>
      </c>
      <c r="AM137" s="8">
        <f t="shared" si="73"/>
        <v>248053.25813333335</v>
      </c>
      <c r="AN137" s="1068">
        <f t="shared" si="73"/>
        <v>250533.25813333332</v>
      </c>
      <c r="AO137" s="8">
        <f t="shared" ref="AO137:AR137" si="74">+AO56</f>
        <v>256401.27480000001</v>
      </c>
      <c r="AP137" s="8">
        <f t="shared" si="74"/>
        <v>261604</v>
      </c>
      <c r="AQ137" s="8">
        <f t="shared" si="74"/>
        <v>257959.93333333335</v>
      </c>
      <c r="AR137" s="8">
        <f t="shared" si="74"/>
        <v>259144.53333333335</v>
      </c>
    </row>
    <row r="138" spans="1:44">
      <c r="A138" t="s">
        <v>1013</v>
      </c>
      <c r="L138" s="8">
        <f t="shared" ref="L138:AN138" si="75">+L57</f>
        <v>11596.834683065419</v>
      </c>
      <c r="M138" s="8">
        <f t="shared" si="75"/>
        <v>11682.31439987452</v>
      </c>
      <c r="N138" s="8">
        <f t="shared" si="75"/>
        <v>11789.572697963435</v>
      </c>
      <c r="O138" s="8">
        <f t="shared" si="75"/>
        <v>11901.146144205144</v>
      </c>
      <c r="P138" s="8">
        <f t="shared" si="75"/>
        <v>12115.415889901178</v>
      </c>
      <c r="Q138" s="8">
        <f t="shared" si="75"/>
        <v>12199.470043863623</v>
      </c>
      <c r="R138" s="8">
        <f t="shared" si="75"/>
        <v>12026.768102747004</v>
      </c>
      <c r="S138" s="8">
        <f t="shared" si="75"/>
        <v>12272.164002478421</v>
      </c>
      <c r="T138" s="8">
        <f t="shared" si="75"/>
        <v>12556.023260452119</v>
      </c>
      <c r="U138" s="8">
        <f t="shared" si="75"/>
        <v>12837.916794291314</v>
      </c>
      <c r="V138" s="8">
        <f t="shared" si="75"/>
        <v>13379.887209336466</v>
      </c>
      <c r="W138" s="8">
        <f t="shared" si="75"/>
        <v>13369.547481936565</v>
      </c>
      <c r="X138" s="8">
        <f t="shared" si="75"/>
        <v>13516.631831855862</v>
      </c>
      <c r="Y138" s="8">
        <f t="shared" si="75"/>
        <v>13345.080109849543</v>
      </c>
      <c r="Z138" s="8">
        <f t="shared" si="75"/>
        <v>13390.262325559024</v>
      </c>
      <c r="AA138" s="8">
        <f t="shared" si="75"/>
        <v>13699.907218441482</v>
      </c>
      <c r="AB138" s="8">
        <f t="shared" si="75"/>
        <v>13703.256249973358</v>
      </c>
      <c r="AC138" s="8">
        <f t="shared" si="75"/>
        <v>14230.70391189357</v>
      </c>
      <c r="AD138" s="8">
        <f t="shared" si="75"/>
        <v>14878.936147352939</v>
      </c>
      <c r="AE138" s="8">
        <f t="shared" si="75"/>
        <v>15239.642819064329</v>
      </c>
      <c r="AF138" s="8">
        <f t="shared" si="75"/>
        <v>15159.497705710994</v>
      </c>
      <c r="AG138" s="8">
        <f t="shared" si="75"/>
        <v>14424.632773481777</v>
      </c>
      <c r="AH138" s="8">
        <f t="shared" si="75"/>
        <v>12930.215374127705</v>
      </c>
      <c r="AI138" s="8">
        <f t="shared" si="75"/>
        <v>11888.177392996922</v>
      </c>
      <c r="AJ138" s="8">
        <f t="shared" si="75"/>
        <v>11467.890430374438</v>
      </c>
      <c r="AK138" s="8">
        <f t="shared" si="75"/>
        <v>11589.00589075795</v>
      </c>
      <c r="AL138" s="8">
        <f t="shared" si="75"/>
        <v>11883.626952771074</v>
      </c>
      <c r="AM138" s="8">
        <f t="shared" si="75"/>
        <v>12178.374838862353</v>
      </c>
      <c r="AN138" s="1068">
        <f t="shared" si="75"/>
        <v>12301.659014564948</v>
      </c>
      <c r="AO138" s="8">
        <f t="shared" ref="AO138:AR138" si="76">+AO57</f>
        <v>12301.659014564948</v>
      </c>
      <c r="AP138" s="8">
        <f t="shared" si="76"/>
        <v>12301.659014564948</v>
      </c>
      <c r="AQ138" s="8">
        <f t="shared" si="76"/>
        <v>12450.372720729183</v>
      </c>
      <c r="AR138" s="8">
        <f t="shared" si="76"/>
        <v>12610.642149142557</v>
      </c>
    </row>
    <row r="139" spans="1:44">
      <c r="AN139" s="1067"/>
    </row>
    <row r="140" spans="1:44" ht="13.5">
      <c r="C140" s="821" t="s">
        <v>848</v>
      </c>
      <c r="D140" s="31"/>
      <c r="E140" s="31"/>
      <c r="F140" s="31"/>
      <c r="G140" s="31"/>
      <c r="H140" s="31"/>
      <c r="I140" s="31"/>
      <c r="J140" s="31"/>
      <c r="K140" s="821" t="s">
        <v>848</v>
      </c>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N140" s="1067"/>
    </row>
    <row r="141" spans="1:44" ht="13.5">
      <c r="C141" s="6" t="s">
        <v>925</v>
      </c>
      <c r="D141" s="6" t="s">
        <v>926</v>
      </c>
      <c r="E141" s="6" t="s">
        <v>927</v>
      </c>
      <c r="F141" s="6" t="s">
        <v>928</v>
      </c>
      <c r="G141" s="6" t="s">
        <v>206</v>
      </c>
      <c r="H141" s="6" t="s">
        <v>207</v>
      </c>
      <c r="I141" s="6" t="s">
        <v>208</v>
      </c>
      <c r="J141" s="6" t="s">
        <v>209</v>
      </c>
      <c r="K141" s="6" t="s">
        <v>210</v>
      </c>
      <c r="L141" s="6" t="s">
        <v>211</v>
      </c>
      <c r="M141" s="6" t="s">
        <v>212</v>
      </c>
      <c r="N141" s="6" t="s">
        <v>213</v>
      </c>
      <c r="O141" s="6" t="s">
        <v>214</v>
      </c>
      <c r="P141" s="6" t="s">
        <v>215</v>
      </c>
      <c r="Q141" s="6" t="s">
        <v>216</v>
      </c>
      <c r="R141" s="6" t="s">
        <v>217</v>
      </c>
      <c r="S141" s="6" t="s">
        <v>218</v>
      </c>
      <c r="T141" s="6" t="s">
        <v>219</v>
      </c>
      <c r="U141" s="6" t="s">
        <v>220</v>
      </c>
      <c r="V141" s="6" t="s">
        <v>221</v>
      </c>
      <c r="W141" s="6" t="s">
        <v>222</v>
      </c>
      <c r="X141" s="6" t="s">
        <v>223</v>
      </c>
      <c r="Y141" s="6" t="s">
        <v>224</v>
      </c>
      <c r="Z141" s="6" t="s">
        <v>225</v>
      </c>
      <c r="AA141" s="6" t="s">
        <v>226</v>
      </c>
      <c r="AB141" s="6" t="s">
        <v>227</v>
      </c>
      <c r="AC141" s="6" t="s">
        <v>228</v>
      </c>
      <c r="AD141" s="6" t="s">
        <v>229</v>
      </c>
      <c r="AE141" s="6" t="s">
        <v>230</v>
      </c>
      <c r="AF141" s="6" t="s">
        <v>231</v>
      </c>
      <c r="AG141" s="6" t="s">
        <v>232</v>
      </c>
      <c r="AH141" s="6" t="s">
        <v>233</v>
      </c>
      <c r="AI141" s="6" t="str">
        <f>+AI136</f>
        <v>1Q23</v>
      </c>
      <c r="AJ141" s="6" t="str">
        <f t="shared" ref="AJ141:AN141" si="77">+AJ136</f>
        <v>2Q23</v>
      </c>
      <c r="AK141" s="6" t="str">
        <f t="shared" si="77"/>
        <v>3Q23</v>
      </c>
      <c r="AL141" s="6" t="str">
        <f t="shared" si="77"/>
        <v>4Q23</v>
      </c>
      <c r="AM141" s="6" t="str">
        <f t="shared" si="77"/>
        <v>1Q24</v>
      </c>
      <c r="AN141" s="1066" t="str">
        <f t="shared" si="77"/>
        <v>2Q24</v>
      </c>
      <c r="AO141" s="6" t="str">
        <f t="shared" ref="AO141:AR141" si="78">+AO136</f>
        <v>3Q24E</v>
      </c>
      <c r="AP141" s="6" t="str">
        <f t="shared" si="78"/>
        <v>4Q24E</v>
      </c>
      <c r="AQ141" s="6" t="str">
        <f t="shared" si="78"/>
        <v>1Q25E</v>
      </c>
      <c r="AR141" s="6" t="str">
        <f t="shared" si="78"/>
        <v>2Q25E</v>
      </c>
    </row>
    <row r="142" spans="1:44">
      <c r="A142" t="s">
        <v>1012</v>
      </c>
      <c r="K142" s="8"/>
      <c r="L142" s="8"/>
      <c r="M142" s="8"/>
      <c r="N142" s="8"/>
      <c r="O142" s="8"/>
      <c r="P142" s="1084">
        <f t="shared" ref="P142:AN142" si="79">+P60</f>
        <v>-1.0347465323179317E-2</v>
      </c>
      <c r="Q142" s="1084">
        <f t="shared" si="79"/>
        <v>-3.442467468416921E-3</v>
      </c>
      <c r="R142" s="1084">
        <f t="shared" si="79"/>
        <v>-1.1659274769201367E-2</v>
      </c>
      <c r="S142" s="1084">
        <f t="shared" si="79"/>
        <v>-1.9120523163427383E-2</v>
      </c>
      <c r="T142" s="1084">
        <f t="shared" si="79"/>
        <v>-1.8636652667410325E-2</v>
      </c>
      <c r="U142" s="1084">
        <f t="shared" si="79"/>
        <v>-1.2490359087354852E-2</v>
      </c>
      <c r="V142" s="1084">
        <f t="shared" si="79"/>
        <v>1.1217491922573597E-2</v>
      </c>
      <c r="W142" s="1084">
        <f t="shared" si="79"/>
        <v>-5.7830165460478478E-3</v>
      </c>
      <c r="X142" s="1084">
        <f t="shared" si="79"/>
        <v>-2.6235904312279512E-3</v>
      </c>
      <c r="Y142" s="1084">
        <f t="shared" si="79"/>
        <v>6.5072844577684918E-4</v>
      </c>
      <c r="Z142" s="1084">
        <f t="shared" si="79"/>
        <v>1.785965962808822E-2</v>
      </c>
      <c r="AA142" s="1084">
        <f t="shared" si="79"/>
        <v>0.17154234171845539</v>
      </c>
      <c r="AB142" s="1084">
        <f t="shared" si="79"/>
        <v>0.23204656304972082</v>
      </c>
      <c r="AC142" s="1084">
        <f t="shared" si="79"/>
        <v>0.27049386216610194</v>
      </c>
      <c r="AD142" s="1084">
        <f t="shared" si="79"/>
        <v>0.27870479452362384</v>
      </c>
      <c r="AE142" s="1084">
        <f t="shared" si="79"/>
        <v>0.12347590943923081</v>
      </c>
      <c r="AF142" s="1084">
        <f t="shared" si="79"/>
        <v>2.8106238905556635E-2</v>
      </c>
      <c r="AG142" s="1084">
        <f t="shared" si="79"/>
        <v>-6.2527252802300537E-2</v>
      </c>
      <c r="AH142" s="1084">
        <f t="shared" si="79"/>
        <v>-0.17129371108278102</v>
      </c>
      <c r="AI142" s="1084">
        <f t="shared" si="79"/>
        <v>-0.22491128704903995</v>
      </c>
      <c r="AJ142" s="1084">
        <f t="shared" si="79"/>
        <v>-0.23807806907683993</v>
      </c>
      <c r="AK142" s="1084">
        <f t="shared" si="79"/>
        <v>-0.21732653603836427</v>
      </c>
      <c r="AL142" s="1084">
        <f t="shared" si="79"/>
        <v>-0.14475690321304713</v>
      </c>
      <c r="AM142" s="1084">
        <f t="shared" si="79"/>
        <v>-4.7601784390575497E-2</v>
      </c>
      <c r="AN142" s="1200">
        <f t="shared" si="79"/>
        <v>9.8376901742869283E-3</v>
      </c>
      <c r="AO142" s="1084">
        <f t="shared" ref="AO142:AR142" si="80">+AO60</f>
        <v>5.962740396089572E-2</v>
      </c>
      <c r="AP142" s="1084">
        <f t="shared" si="80"/>
        <v>8.0254207743833517E-2</v>
      </c>
      <c r="AQ142" s="1084">
        <f t="shared" si="80"/>
        <v>3.9937694326413364E-2</v>
      </c>
      <c r="AR142" s="1084">
        <f t="shared" si="80"/>
        <v>3.437178466508084E-2</v>
      </c>
    </row>
    <row r="143" spans="1:44" s="953" customFormat="1" ht="11.45">
      <c r="A143" t="str">
        <f>+A138</f>
        <v>LTM Windows OEM Revenue (Deferral Adj.)</v>
      </c>
      <c r="L143" s="10"/>
      <c r="M143" s="10"/>
      <c r="N143" s="10"/>
      <c r="O143" s="10"/>
      <c r="P143" s="1085">
        <f t="shared" ref="P143:AN143" si="81">+P61</f>
        <v>4.47174786058675E-2</v>
      </c>
      <c r="Q143" s="1085">
        <f t="shared" si="81"/>
        <v>4.4268252530051511E-2</v>
      </c>
      <c r="R143" s="1085">
        <f t="shared" si="81"/>
        <v>2.0119084114434749E-2</v>
      </c>
      <c r="S143" s="1085">
        <f t="shared" si="81"/>
        <v>3.1174968677611936E-2</v>
      </c>
      <c r="T143" s="1085">
        <f t="shared" si="81"/>
        <v>3.6367498611270088E-2</v>
      </c>
      <c r="U143" s="1085">
        <f t="shared" si="81"/>
        <v>5.2333974191676624E-2</v>
      </c>
      <c r="V143" s="1085">
        <f t="shared" si="81"/>
        <v>0.1125089546110396</v>
      </c>
      <c r="W143" s="1085">
        <f t="shared" si="81"/>
        <v>8.9420535712896321E-2</v>
      </c>
      <c r="X143" s="1085">
        <f t="shared" si="81"/>
        <v>7.6505797375303164E-2</v>
      </c>
      <c r="Y143" s="1085">
        <f t="shared" si="81"/>
        <v>3.9505110033409174E-2</v>
      </c>
      <c r="Z143" s="1085">
        <f t="shared" si="81"/>
        <v>7.7542628426030547E-4</v>
      </c>
      <c r="AA143" s="1085">
        <f t="shared" si="81"/>
        <v>2.4709866728942265E-2</v>
      </c>
      <c r="AB143" s="1085">
        <f t="shared" si="81"/>
        <v>1.3807020893893185E-2</v>
      </c>
      <c r="AC143" s="1085">
        <f t="shared" si="81"/>
        <v>6.6363318522934867E-2</v>
      </c>
      <c r="AD143" s="1085">
        <f t="shared" si="81"/>
        <v>0.11117585194371937</v>
      </c>
      <c r="AE143" s="1085">
        <f t="shared" si="81"/>
        <v>0.1123902210483736</v>
      </c>
      <c r="AF143" s="1085">
        <f t="shared" si="81"/>
        <v>0.10626973831423947</v>
      </c>
      <c r="AG143" s="1085">
        <f t="shared" si="81"/>
        <v>1.3627496066876077E-2</v>
      </c>
      <c r="AH143" s="1085">
        <f t="shared" si="81"/>
        <v>-0.13097178144500099</v>
      </c>
      <c r="AI143" s="1085">
        <f t="shared" si="81"/>
        <v>-0.2199175837556262</v>
      </c>
      <c r="AJ143" s="1085">
        <f t="shared" si="81"/>
        <v>-0.24351778317469097</v>
      </c>
      <c r="AK143" s="1085">
        <f t="shared" si="81"/>
        <v>-0.19658225808956742</v>
      </c>
      <c r="AL143" s="1085">
        <f t="shared" si="81"/>
        <v>-8.0941298429627717E-2</v>
      </c>
      <c r="AM143" s="1085">
        <f t="shared" si="81"/>
        <v>2.4410591823468275E-2</v>
      </c>
      <c r="AN143" s="1201">
        <f t="shared" si="81"/>
        <v>7.2704617231269308E-2</v>
      </c>
      <c r="AO143" s="1085">
        <f t="shared" ref="AO143:AR143" si="82">+AO61</f>
        <v>6.1493896070527354E-2</v>
      </c>
      <c r="AP143" s="1085">
        <f t="shared" si="82"/>
        <v>3.517714444043496E-2</v>
      </c>
      <c r="AQ143" s="1085">
        <f t="shared" si="82"/>
        <v>2.2334497456824698E-2</v>
      </c>
      <c r="AR143" s="1085">
        <f t="shared" si="82"/>
        <v>2.5117192259334953E-2</v>
      </c>
    </row>
    <row r="144" spans="1:44">
      <c r="A144" t="s">
        <v>1014</v>
      </c>
      <c r="P144" s="1084">
        <f t="shared" ref="P144:AN144" si="83">+P143-P142</f>
        <v>5.5064943929046817E-2</v>
      </c>
      <c r="Q144" s="1084">
        <f t="shared" si="83"/>
        <v>4.7710719998468432E-2</v>
      </c>
      <c r="R144" s="1084">
        <f t="shared" si="83"/>
        <v>3.1778358883636115E-2</v>
      </c>
      <c r="S144" s="1084">
        <f t="shared" si="83"/>
        <v>5.0295491841039319E-2</v>
      </c>
      <c r="T144" s="1084">
        <f t="shared" si="83"/>
        <v>5.5004151278680413E-2</v>
      </c>
      <c r="U144" s="1084">
        <f t="shared" si="83"/>
        <v>6.4824333279031476E-2</v>
      </c>
      <c r="V144" s="1084">
        <f t="shared" si="83"/>
        <v>0.10129146268846601</v>
      </c>
      <c r="W144" s="1084">
        <f t="shared" si="83"/>
        <v>9.5203552258944169E-2</v>
      </c>
      <c r="X144" s="1084">
        <f t="shared" si="83"/>
        <v>7.9129387806531115E-2</v>
      </c>
      <c r="Y144" s="1084">
        <f t="shared" si="83"/>
        <v>3.8854381587632325E-2</v>
      </c>
      <c r="Z144" s="1084">
        <f t="shared" si="83"/>
        <v>-1.7084233343827915E-2</v>
      </c>
      <c r="AA144" s="1084">
        <f t="shared" si="83"/>
        <v>-0.14683247498951313</v>
      </c>
      <c r="AB144" s="1084">
        <f t="shared" si="83"/>
        <v>-0.21823954215582764</v>
      </c>
      <c r="AC144" s="1084">
        <f t="shared" si="83"/>
        <v>-0.20413054364316707</v>
      </c>
      <c r="AD144" s="1084">
        <f t="shared" si="83"/>
        <v>-0.16752894257990447</v>
      </c>
      <c r="AE144" s="1084">
        <f t="shared" si="83"/>
        <v>-1.1085688390857218E-2</v>
      </c>
      <c r="AF144" s="1084">
        <f t="shared" si="83"/>
        <v>7.8163499408682835E-2</v>
      </c>
      <c r="AG144" s="1084">
        <f t="shared" si="83"/>
        <v>7.6154748869176614E-2</v>
      </c>
      <c r="AH144" s="1084">
        <f t="shared" si="83"/>
        <v>4.032192963778003E-2</v>
      </c>
      <c r="AI144" s="1084">
        <f t="shared" si="83"/>
        <v>4.9937032934137537E-3</v>
      </c>
      <c r="AJ144" s="1084">
        <f t="shared" si="83"/>
        <v>-5.439714097851045E-3</v>
      </c>
      <c r="AK144" s="1084">
        <f t="shared" si="83"/>
        <v>2.0744277948796852E-2</v>
      </c>
      <c r="AL144" s="1084">
        <f t="shared" si="83"/>
        <v>6.3815604783419411E-2</v>
      </c>
      <c r="AM144" s="1084">
        <f t="shared" si="83"/>
        <v>7.2012376214043772E-2</v>
      </c>
      <c r="AN144" s="1200">
        <f t="shared" si="83"/>
        <v>6.286692705698238E-2</v>
      </c>
      <c r="AO144" s="1084">
        <f t="shared" ref="AO144:AR144" si="84">+AO143-AO142</f>
        <v>1.8664921096316345E-3</v>
      </c>
      <c r="AP144" s="1084">
        <f t="shared" si="84"/>
        <v>-4.5077063303398557E-2</v>
      </c>
      <c r="AQ144" s="1084">
        <f t="shared" si="84"/>
        <v>-1.7603196869588666E-2</v>
      </c>
      <c r="AR144" s="1084">
        <f t="shared" si="84"/>
        <v>-9.2545924057458873E-3</v>
      </c>
    </row>
    <row r="145" spans="1:40">
      <c r="P145" s="1084"/>
      <c r="Q145" s="1084"/>
      <c r="R145" s="1084"/>
      <c r="S145" s="1084"/>
      <c r="T145" s="1084"/>
      <c r="U145" s="1084"/>
      <c r="V145" s="1084"/>
      <c r="W145" s="1084"/>
      <c r="X145" s="1084"/>
      <c r="Y145" s="1084"/>
      <c r="Z145" s="1084"/>
      <c r="AA145" s="1084"/>
      <c r="AB145" s="1084"/>
      <c r="AC145" s="1084"/>
      <c r="AD145" s="1084"/>
      <c r="AE145" s="1084"/>
      <c r="AF145" s="1084"/>
      <c r="AG145" s="1084"/>
      <c r="AH145" s="1084"/>
      <c r="AI145" s="1084"/>
      <c r="AJ145" s="1084"/>
      <c r="AK145" s="1084"/>
      <c r="AL145" s="1084"/>
      <c r="AM145" s="1084"/>
      <c r="AN145" s="1200"/>
    </row>
    <row r="146" spans="1:40">
      <c r="AN146" s="1067"/>
    </row>
    <row r="147" spans="1:40">
      <c r="AN147" s="1067"/>
    </row>
    <row r="148" spans="1:40">
      <c r="AN148" s="1067"/>
    </row>
    <row r="149" spans="1:40">
      <c r="AN149" s="1067"/>
    </row>
    <row r="150" spans="1:40">
      <c r="AN150" s="1067"/>
    </row>
    <row r="151" spans="1:40">
      <c r="AN151" s="1067"/>
    </row>
    <row r="152" spans="1:40" ht="12.95">
      <c r="A152" s="1086" t="s">
        <v>1015</v>
      </c>
      <c r="AN152" s="1067"/>
    </row>
    <row r="153" spans="1:40">
      <c r="A153" t="s">
        <v>1016</v>
      </c>
      <c r="AN153" s="1067"/>
    </row>
    <row r="154" spans="1:40" ht="12.95">
      <c r="A154" t="s">
        <v>1017</v>
      </c>
      <c r="B154" s="1087"/>
      <c r="C154" s="1088"/>
      <c r="AN154" s="1067"/>
    </row>
    <row r="155" spans="1:40" ht="12.95">
      <c r="A155" s="1089" t="s">
        <v>1018</v>
      </c>
      <c r="B155" s="1090" t="s">
        <v>1019</v>
      </c>
      <c r="C155" s="1091"/>
      <c r="AN155" s="1067"/>
    </row>
    <row r="156" spans="1:40" ht="12.95">
      <c r="A156" s="1089" t="s">
        <v>1020</v>
      </c>
      <c r="B156" s="1090" t="s">
        <v>1021</v>
      </c>
      <c r="C156" s="1092"/>
      <c r="AN156" s="1067"/>
    </row>
    <row r="157" spans="1:40" ht="12.95">
      <c r="A157" s="1089" t="s">
        <v>1022</v>
      </c>
      <c r="B157" s="1090" t="s">
        <v>1023</v>
      </c>
      <c r="C157" s="1092"/>
      <c r="AN157" s="1067"/>
    </row>
    <row r="158" spans="1:40" ht="12.95">
      <c r="A158" s="1089" t="s">
        <v>1024</v>
      </c>
      <c r="B158" s="1090" t="s">
        <v>1025</v>
      </c>
      <c r="C158" s="1092"/>
      <c r="AN158" s="1067"/>
    </row>
    <row r="159" spans="1:40" ht="12.95">
      <c r="A159" s="1089" t="s">
        <v>1026</v>
      </c>
      <c r="B159" s="1090" t="s">
        <v>1027</v>
      </c>
      <c r="C159" s="816"/>
      <c r="AN159" s="1067"/>
    </row>
    <row r="160" spans="1:40" ht="12.95">
      <c r="A160" s="1089" t="s">
        <v>1028</v>
      </c>
      <c r="B160" s="1090" t="s">
        <v>1029</v>
      </c>
      <c r="C160" s="816"/>
      <c r="AN160" s="1067"/>
    </row>
    <row r="161" spans="1:40" ht="12.95">
      <c r="A161" s="1089" t="s">
        <v>1030</v>
      </c>
      <c r="B161" s="1090" t="s">
        <v>1031</v>
      </c>
      <c r="C161" s="816"/>
      <c r="AN161" s="1067"/>
    </row>
    <row r="162" spans="1:40" ht="12.95">
      <c r="A162" s="1089" t="s">
        <v>1032</v>
      </c>
      <c r="B162" s="1090" t="s">
        <v>1033</v>
      </c>
      <c r="C162" s="816"/>
      <c r="AN162" s="1067"/>
    </row>
    <row r="163" spans="1:40" ht="12.6">
      <c r="A163" s="1093"/>
      <c r="B163" s="1094"/>
      <c r="C163" s="1095"/>
      <c r="AN163" s="1067"/>
    </row>
    <row r="164" spans="1:40">
      <c r="AN164" s="1067"/>
    </row>
    <row r="165" spans="1:40">
      <c r="AN165" s="1067"/>
    </row>
    <row r="166" spans="1:40">
      <c r="AN166" s="1067"/>
    </row>
    <row r="167" spans="1:40">
      <c r="AN167" s="1067"/>
    </row>
    <row r="168" spans="1:40">
      <c r="AN168" s="1067"/>
    </row>
    <row r="169" spans="1:40">
      <c r="AN169" s="1067"/>
    </row>
    <row r="170" spans="1:40">
      <c r="AN170" s="1067"/>
    </row>
    <row r="171" spans="1:40">
      <c r="AN171" s="1067"/>
    </row>
    <row r="172" spans="1:40">
      <c r="AN172" s="1067"/>
    </row>
    <row r="173" spans="1:40">
      <c r="AN173" s="1067"/>
    </row>
    <row r="174" spans="1:40">
      <c r="AN174" s="1067"/>
    </row>
    <row r="175" spans="1:40">
      <c r="AN175" s="1067"/>
    </row>
    <row r="176" spans="1:40">
      <c r="AN176" s="1067"/>
    </row>
    <row r="177" spans="40:40">
      <c r="AN177" s="1067"/>
    </row>
    <row r="178" spans="40:40">
      <c r="AN178" s="1067"/>
    </row>
    <row r="179" spans="40:40">
      <c r="AN179" s="1067"/>
    </row>
    <row r="180" spans="40:40">
      <c r="AN180" s="1067"/>
    </row>
    <row r="181" spans="40:40">
      <c r="AN181" s="1067"/>
    </row>
    <row r="182" spans="40:40">
      <c r="AN182" s="1067"/>
    </row>
    <row r="183" spans="40:40">
      <c r="AN183" s="1067"/>
    </row>
    <row r="184" spans="40:40">
      <c r="AN184" s="1067"/>
    </row>
    <row r="185" spans="40:40">
      <c r="AN185" s="1067"/>
    </row>
    <row r="186" spans="40:40">
      <c r="AN186" s="1067"/>
    </row>
    <row r="187" spans="40:40">
      <c r="AN187" s="1067"/>
    </row>
    <row r="188" spans="40:40">
      <c r="AN188" s="1067"/>
    </row>
    <row r="189" spans="40:40">
      <c r="AN189" s="1067"/>
    </row>
    <row r="190" spans="40:40">
      <c r="AN190" s="1067"/>
    </row>
    <row r="191" spans="40:40">
      <c r="AN191" s="1067"/>
    </row>
    <row r="192" spans="40:40">
      <c r="AN192" s="1067"/>
    </row>
    <row r="193" spans="40:40">
      <c r="AN193" s="1067"/>
    </row>
    <row r="194" spans="40:40">
      <c r="AN194" s="1067"/>
    </row>
    <row r="195" spans="40:40">
      <c r="AN195" s="1067"/>
    </row>
    <row r="196" spans="40:40">
      <c r="AN196" s="1067"/>
    </row>
    <row r="197" spans="40:40">
      <c r="AN197" s="1067"/>
    </row>
    <row r="198" spans="40:40">
      <c r="AN198" s="1067"/>
    </row>
    <row r="199" spans="40:40">
      <c r="AN199" s="1067"/>
    </row>
    <row r="200" spans="40:40">
      <c r="AN200" s="1067"/>
    </row>
    <row r="201" spans="40:40">
      <c r="AN201" s="1067"/>
    </row>
    <row r="202" spans="40:40">
      <c r="AN202" s="1067"/>
    </row>
    <row r="203" spans="40:40">
      <c r="AN203" s="1067"/>
    </row>
    <row r="204" spans="40:40">
      <c r="AN204" s="1067"/>
    </row>
    <row r="205" spans="40:40">
      <c r="AN205" s="1067"/>
    </row>
    <row r="206" spans="40:40">
      <c r="AN206" s="1067"/>
    </row>
    <row r="207" spans="40:40">
      <c r="AN207" s="1067"/>
    </row>
    <row r="208" spans="40:40">
      <c r="AN208" s="1067"/>
    </row>
    <row r="209" spans="40:40">
      <c r="AN209" s="1067"/>
    </row>
    <row r="210" spans="40:40">
      <c r="AN210" s="1067"/>
    </row>
    <row r="211" spans="40:40">
      <c r="AN211" s="1067"/>
    </row>
    <row r="212" spans="40:40">
      <c r="AN212" s="1067"/>
    </row>
    <row r="213" spans="40:40">
      <c r="AN213" s="1067"/>
    </row>
    <row r="214" spans="40:40">
      <c r="AN214" s="1067"/>
    </row>
    <row r="215" spans="40:40">
      <c r="AN215" s="1067"/>
    </row>
    <row r="216" spans="40:40">
      <c r="AN216" s="1067"/>
    </row>
    <row r="217" spans="40:40">
      <c r="AN217" s="1067"/>
    </row>
    <row r="218" spans="40:40">
      <c r="AN218" s="1067"/>
    </row>
    <row r="219" spans="40:40">
      <c r="AN219" s="1067"/>
    </row>
    <row r="220" spans="40:40">
      <c r="AN220" s="1067"/>
    </row>
    <row r="221" spans="40:40">
      <c r="AN221" s="1067"/>
    </row>
    <row r="222" spans="40:40">
      <c r="AN222" s="1067"/>
    </row>
    <row r="223" spans="40:40">
      <c r="AN223" s="1067"/>
    </row>
  </sheetData>
  <hyperlinks>
    <hyperlink ref="A156" r:id="rId1" xr:uid="{4DCB16AC-CBB9-4483-9453-8F8D2FEE809E}"/>
    <hyperlink ref="A157" r:id="rId2" xr:uid="{BF06ACBF-4C41-4D0B-AC77-74150B19B2E8}"/>
    <hyperlink ref="A158" r:id="rId3" xr:uid="{137731ED-4A45-41FD-B645-B6773B167475}"/>
    <hyperlink ref="A155" r:id="rId4" xr:uid="{4EC1BC09-38B9-40E8-88EB-7D87EE7E121F}"/>
    <hyperlink ref="A159" r:id="rId5" xr:uid="{2DC92522-67EF-46D9-9B8C-3B10A428AE14}"/>
    <hyperlink ref="A160" r:id="rId6" xr:uid="{FEF60A6D-062E-4EFF-A6ED-B61EE8D571F3}"/>
    <hyperlink ref="A161" r:id="rId7" xr:uid="{F9EF1F5A-4616-4631-B437-9AF20E28DC19}"/>
    <hyperlink ref="A162" r:id="rId8" xr:uid="{2C475B5A-1458-4431-B199-A048FA4A552A}"/>
    <hyperlink ref="B155" r:id="rId9" xr:uid="{1D86FDC9-9717-4FAE-94D3-0B3EBA6F6FBB}"/>
    <hyperlink ref="B156" r:id="rId10" xr:uid="{D916C31F-56D7-48C3-AF25-2814DE9CB555}"/>
    <hyperlink ref="B157" r:id="rId11" xr:uid="{156CAFEC-6A6A-4B2F-BC8E-33D86D39EBBB}"/>
    <hyperlink ref="B158" r:id="rId12" xr:uid="{F0E88272-3CB9-4DC4-8289-E36D9E47854C}"/>
    <hyperlink ref="B159" r:id="rId13" xr:uid="{0B2A9CE0-22BE-40B8-90EE-F50903B51CAF}"/>
    <hyperlink ref="B160" r:id="rId14" location=":~:text=Worldwide%20PC%20shipments%20totaled%2068.9%20million%20units%20in,decline%20in%20the%20history%20of%20the" xr:uid="{29D90418-65EE-4871-9568-048CC7D39E6C}"/>
    <hyperlink ref="B161" r:id="rId15" location=":~:text=Source%3A%20Gartner%20%28July%202016%29%20Asia%2FPacific%20PC%20shipments%20totaled,as%20a%20higher%20priority%20to%20purchase%20than%20PCs" xr:uid="{98749226-9930-4647-96C5-9C96BB896C80}"/>
    <hyperlink ref="B162" r:id="rId16" xr:uid="{AB793EDF-2654-4147-9EDD-2C9FC7D7129A}"/>
  </hyperlinks>
  <pageMargins left="0.3" right="0.3" top="0.3" bottom="0.3" header="0.3" footer="0.3"/>
  <pageSetup scale="49" fitToHeight="0" orientation="landscape" r:id="rId17"/>
  <headerFooter>
    <oddFooter>Page &amp;P</oddFooter>
  </headerFooter>
  <drawing r:id="rId18"/>
  <legacyDrawing r:id="rId19"/>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3BF73-9449-4E48-BD87-B77BDDE6915B}">
  <sheetPr>
    <pageSetUpPr fitToPage="1"/>
  </sheetPr>
  <dimension ref="A1:AD75"/>
  <sheetViews>
    <sheetView view="pageBreakPreview" zoomScale="85" zoomScaleNormal="100" zoomScaleSheetLayoutView="85" workbookViewId="0">
      <pane xSplit="2" ySplit="6" topLeftCell="C7" activePane="bottomRight" state="frozen"/>
      <selection pane="bottomRight" activeCell="A14" sqref="A14"/>
      <selection pane="bottomLeft" activeCell="K34" sqref="K34"/>
      <selection pane="topRight" activeCell="K34" sqref="K34"/>
    </sheetView>
  </sheetViews>
  <sheetFormatPr defaultRowHeight="9.9499999999999993" outlineLevelCol="1"/>
  <cols>
    <col min="1" max="1" width="2.6640625" style="42" customWidth="1"/>
    <col min="2" max="2" width="20.6640625" customWidth="1"/>
    <col min="3" max="3" width="2.6640625" customWidth="1"/>
    <col min="4" max="19" width="9.83203125" customWidth="1"/>
    <col min="20" max="20" width="2.6640625" customWidth="1"/>
    <col min="21" max="21" width="9.1640625" hidden="1" customWidth="1" outlineLevel="1"/>
    <col min="22" max="22" width="9.83203125" customWidth="1" collapsed="1"/>
    <col min="23" max="30" width="9.83203125" customWidth="1"/>
  </cols>
  <sheetData>
    <row r="1" spans="1:30">
      <c r="Q1" t="s">
        <v>1034</v>
      </c>
      <c r="R1" t="s">
        <v>1035</v>
      </c>
      <c r="S1" t="s">
        <v>1036</v>
      </c>
      <c r="AC1" t="s">
        <v>1037</v>
      </c>
      <c r="AD1" t="s">
        <v>1038</v>
      </c>
    </row>
    <row r="2" spans="1:30" s="1" customFormat="1" ht="10.5">
      <c r="A2" s="1237"/>
      <c r="B2" s="1" t="s">
        <v>60</v>
      </c>
      <c r="AC2" s="1216"/>
      <c r="AD2" s="1216">
        <f ca="1">+TODAY()</f>
        <v>45797</v>
      </c>
    </row>
    <row r="3" spans="1:30" s="2" customFormat="1" ht="10.5">
      <c r="A3" s="1238"/>
      <c r="B3" s="2" t="s">
        <v>1039</v>
      </c>
    </row>
    <row r="4" spans="1:30">
      <c r="B4" s="3" t="s">
        <v>63</v>
      </c>
    </row>
    <row r="5" spans="1:30" ht="10.5">
      <c r="B5" s="3"/>
      <c r="D5" s="89" t="s">
        <v>1040</v>
      </c>
      <c r="E5" s="90"/>
      <c r="F5" s="90"/>
      <c r="G5" s="90"/>
      <c r="H5" s="90"/>
      <c r="I5" s="90"/>
      <c r="J5" s="90"/>
      <c r="K5" s="90"/>
      <c r="L5" s="90"/>
      <c r="M5" s="90"/>
      <c r="N5" s="90"/>
      <c r="O5" s="90"/>
      <c r="P5" s="90"/>
      <c r="Q5" s="90"/>
      <c r="R5" s="90"/>
      <c r="S5" s="90"/>
      <c r="V5" s="89" t="s">
        <v>1041</v>
      </c>
      <c r="W5" s="90"/>
      <c r="X5" s="90"/>
      <c r="Y5" s="90"/>
      <c r="Z5" s="90"/>
      <c r="AA5" s="90"/>
      <c r="AB5" s="90"/>
      <c r="AC5" s="90"/>
      <c r="AD5" s="90"/>
    </row>
    <row r="6" spans="1:30" ht="13.5">
      <c r="D6" s="6" t="s">
        <v>226</v>
      </c>
      <c r="E6" s="6" t="s">
        <v>227</v>
      </c>
      <c r="F6" s="6" t="s">
        <v>228</v>
      </c>
      <c r="G6" s="6" t="s">
        <v>229</v>
      </c>
      <c r="H6" s="6" t="s">
        <v>230</v>
      </c>
      <c r="I6" s="6" t="s">
        <v>231</v>
      </c>
      <c r="J6" s="6" t="s">
        <v>232</v>
      </c>
      <c r="K6" s="6" t="s">
        <v>233</v>
      </c>
      <c r="L6" s="6" t="s">
        <v>234</v>
      </c>
      <c r="M6" s="6" t="s">
        <v>235</v>
      </c>
      <c r="N6" s="6" t="s">
        <v>236</v>
      </c>
      <c r="O6" s="6" t="s">
        <v>237</v>
      </c>
      <c r="P6" s="6" t="s">
        <v>238</v>
      </c>
      <c r="Q6" s="6" t="s">
        <v>239</v>
      </c>
      <c r="R6" s="6" t="s">
        <v>240</v>
      </c>
      <c r="S6" s="6" t="s">
        <v>241</v>
      </c>
      <c r="V6" s="6" t="s">
        <v>259</v>
      </c>
      <c r="W6" s="6" t="s">
        <v>260</v>
      </c>
      <c r="X6" s="6" t="s">
        <v>261</v>
      </c>
      <c r="Y6" s="6" t="s">
        <v>262</v>
      </c>
      <c r="Z6" s="6" t="s">
        <v>109</v>
      </c>
      <c r="AA6" s="6" t="s">
        <v>191</v>
      </c>
      <c r="AB6" s="6" t="s">
        <v>263</v>
      </c>
      <c r="AC6" s="6" t="s">
        <v>72</v>
      </c>
      <c r="AD6" s="6" t="s">
        <v>73</v>
      </c>
    </row>
    <row r="8" spans="1:30" ht="10.5">
      <c r="B8" s="5" t="s">
        <v>1042</v>
      </c>
      <c r="C8" s="4"/>
    </row>
    <row r="9" spans="1:30">
      <c r="L9" s="8"/>
      <c r="M9" s="8"/>
      <c r="N9" s="8"/>
      <c r="O9" s="8"/>
    </row>
    <row r="10" spans="1:30">
      <c r="B10" t="s">
        <v>779</v>
      </c>
      <c r="D10" s="61">
        <f t="shared" ref="D10:D13" si="0">+($G10-$X10)/4+X10</f>
        <v>2282.25</v>
      </c>
      <c r="E10" s="61">
        <f t="shared" ref="E10" si="1">+($G10-$X10)/4+D10</f>
        <v>2741.5</v>
      </c>
      <c r="F10" s="61">
        <f>+($G10-$X10)/4+E10</f>
        <v>3200.75</v>
      </c>
      <c r="G10" s="29">
        <f>+Y10</f>
        <v>3660</v>
      </c>
      <c r="H10" s="61">
        <f>+(K10-G10)/4+G10</f>
        <v>3928.5</v>
      </c>
      <c r="I10" s="61">
        <f>+(K10-G10)/4+H10</f>
        <v>4197</v>
      </c>
      <c r="J10" s="61">
        <f>+(K10-G10)/4+I10</f>
        <v>4465.5</v>
      </c>
      <c r="K10" s="29">
        <f>+Z10</f>
        <v>4734</v>
      </c>
      <c r="L10" s="61">
        <f>+(O10-K10)/4+K10</f>
        <v>4971.25</v>
      </c>
      <c r="M10" s="61">
        <f>+(O10-K10)/4+L10</f>
        <v>5208.5</v>
      </c>
      <c r="N10" s="61">
        <f>+(O10-K10)/4+M10</f>
        <v>5445.75</v>
      </c>
      <c r="O10" s="29">
        <f>+AA10</f>
        <v>5683</v>
      </c>
      <c r="P10" s="61">
        <f>+(S10-O10)/4+O10</f>
        <v>6303</v>
      </c>
      <c r="Q10" s="61">
        <f>+(S10-O10)/4+P10</f>
        <v>6923</v>
      </c>
      <c r="R10" s="61">
        <f>+(S10-O10)/4+Q10</f>
        <v>7543</v>
      </c>
      <c r="S10" s="29">
        <f>+AB10</f>
        <v>8163</v>
      </c>
      <c r="U10" s="29">
        <v>1107</v>
      </c>
      <c r="V10" s="29">
        <v>1254</v>
      </c>
      <c r="W10" s="29">
        <v>1540</v>
      </c>
      <c r="X10" s="29">
        <v>1823</v>
      </c>
      <c r="Y10" s="29">
        <v>3660</v>
      </c>
      <c r="Z10" s="29">
        <v>4734</v>
      </c>
      <c r="AA10" s="29">
        <v>5683</v>
      </c>
      <c r="AB10" s="29">
        <v>8163</v>
      </c>
    </row>
    <row r="11" spans="1:30">
      <c r="B11" t="s">
        <v>780</v>
      </c>
      <c r="D11" s="61">
        <f t="shared" si="0"/>
        <v>36478.25</v>
      </c>
      <c r="E11" s="61">
        <f t="shared" ref="E11:F11" si="2">+($G11-$X11)/4+D11</f>
        <v>38961.5</v>
      </c>
      <c r="F11" s="61">
        <f t="shared" si="2"/>
        <v>41444.75</v>
      </c>
      <c r="G11" s="29">
        <f t="shared" ref="G11:G14" si="3">+Y11</f>
        <v>43928</v>
      </c>
      <c r="H11" s="61">
        <f t="shared" ref="H11:H14" si="4">+(K11-G11)/4+G11</f>
        <v>46699.5</v>
      </c>
      <c r="I11" s="61">
        <f t="shared" ref="I11:I14" si="5">+(K11-G11)/4+H11</f>
        <v>49471</v>
      </c>
      <c r="J11" s="61">
        <f t="shared" ref="J11:J14" si="6">+(K11-G11)/4+I11</f>
        <v>52242.5</v>
      </c>
      <c r="K11" s="29">
        <f t="shared" ref="K11:K14" si="7">+Z11</f>
        <v>55014</v>
      </c>
      <c r="L11" s="61">
        <f t="shared" ref="L11:L14" si="8">+(O11-K11)/4+K11</f>
        <v>58376.75</v>
      </c>
      <c r="M11" s="61">
        <f t="shared" ref="M11:M14" si="9">+(O11-K11)/4+L11</f>
        <v>61739.5</v>
      </c>
      <c r="N11" s="61">
        <f t="shared" ref="N11:N14" si="10">+(O11-K11)/4+M11</f>
        <v>65102.25</v>
      </c>
      <c r="O11" s="29">
        <f t="shared" ref="O11:O14" si="11">+AA11</f>
        <v>68465</v>
      </c>
      <c r="P11" s="61">
        <f t="shared" ref="P11:P14" si="12">+(S11-O11)/4+O11</f>
        <v>74834.5</v>
      </c>
      <c r="Q11" s="61">
        <f t="shared" ref="Q11:Q14" si="13">+(S11-O11)/4+P11</f>
        <v>81204</v>
      </c>
      <c r="R11" s="61">
        <f t="shared" ref="R11:R14" si="14">+(S11-O11)/4+Q11</f>
        <v>87573.5</v>
      </c>
      <c r="S11" s="29">
        <f t="shared" ref="S11:S14" si="15">+AB11</f>
        <v>93943</v>
      </c>
      <c r="U11" s="29">
        <v>16284</v>
      </c>
      <c r="V11" s="29">
        <v>20604</v>
      </c>
      <c r="W11" s="29">
        <v>26288</v>
      </c>
      <c r="X11" s="29">
        <v>33995</v>
      </c>
      <c r="Y11" s="29">
        <v>43928</v>
      </c>
      <c r="Z11" s="29">
        <v>55014</v>
      </c>
      <c r="AA11" s="29">
        <v>68465</v>
      </c>
      <c r="AB11" s="29">
        <v>93943</v>
      </c>
    </row>
    <row r="12" spans="1:30">
      <c r="B12" t="s">
        <v>781</v>
      </c>
      <c r="D12" s="61">
        <f t="shared" si="0"/>
        <v>5836.25</v>
      </c>
      <c r="E12" s="61">
        <f t="shared" ref="E12:F12" si="16">+($G12-$X12)/4+D12</f>
        <v>6185.5</v>
      </c>
      <c r="F12" s="61">
        <f t="shared" si="16"/>
        <v>6534.75</v>
      </c>
      <c r="G12" s="29">
        <f t="shared" si="3"/>
        <v>6884</v>
      </c>
      <c r="H12" s="61">
        <f t="shared" si="4"/>
        <v>7117.75</v>
      </c>
      <c r="I12" s="61">
        <f t="shared" si="5"/>
        <v>7351.5</v>
      </c>
      <c r="J12" s="61">
        <f t="shared" si="6"/>
        <v>7585.25</v>
      </c>
      <c r="K12" s="29">
        <f t="shared" si="7"/>
        <v>7819</v>
      </c>
      <c r="L12" s="61">
        <f t="shared" si="8"/>
        <v>7998.5</v>
      </c>
      <c r="M12" s="61">
        <f t="shared" si="9"/>
        <v>8178</v>
      </c>
      <c r="N12" s="61">
        <f t="shared" si="10"/>
        <v>8357.5</v>
      </c>
      <c r="O12" s="29">
        <f t="shared" si="11"/>
        <v>8537</v>
      </c>
      <c r="P12" s="61">
        <f t="shared" si="12"/>
        <v>8801.25</v>
      </c>
      <c r="Q12" s="61">
        <f t="shared" si="13"/>
        <v>9065.5</v>
      </c>
      <c r="R12" s="61">
        <f t="shared" si="14"/>
        <v>9329.75</v>
      </c>
      <c r="S12" s="29">
        <f t="shared" si="15"/>
        <v>9594</v>
      </c>
      <c r="U12" s="29">
        <v>5064</v>
      </c>
      <c r="V12" s="29">
        <v>4735</v>
      </c>
      <c r="W12" s="29">
        <v>5316</v>
      </c>
      <c r="X12" s="29">
        <v>5487</v>
      </c>
      <c r="Y12" s="29">
        <v>6884</v>
      </c>
      <c r="Z12" s="29">
        <v>7819</v>
      </c>
      <c r="AA12" s="29">
        <v>8537</v>
      </c>
      <c r="AB12" s="29">
        <v>9594</v>
      </c>
    </row>
    <row r="13" spans="1:30">
      <c r="B13" t="s">
        <v>782</v>
      </c>
      <c r="D13" s="61">
        <f t="shared" si="0"/>
        <v>43758.25</v>
      </c>
      <c r="E13" s="61">
        <f t="shared" ref="E13:F13" si="17">+($G13-$X13)/4+D13</f>
        <v>46255.5</v>
      </c>
      <c r="F13" s="61">
        <f t="shared" si="17"/>
        <v>48752.75</v>
      </c>
      <c r="G13" s="29">
        <f t="shared" si="3"/>
        <v>51250</v>
      </c>
      <c r="H13" s="61">
        <f t="shared" si="4"/>
        <v>53595.25</v>
      </c>
      <c r="I13" s="61">
        <f t="shared" si="5"/>
        <v>55940.5</v>
      </c>
      <c r="J13" s="61">
        <f t="shared" si="6"/>
        <v>58285.75</v>
      </c>
      <c r="K13" s="29">
        <f t="shared" si="7"/>
        <v>60631</v>
      </c>
      <c r="L13" s="61">
        <f t="shared" si="8"/>
        <v>64213.5</v>
      </c>
      <c r="M13" s="61">
        <f t="shared" si="9"/>
        <v>67796</v>
      </c>
      <c r="N13" s="61">
        <f t="shared" si="10"/>
        <v>71378.5</v>
      </c>
      <c r="O13" s="29">
        <f t="shared" si="11"/>
        <v>74961</v>
      </c>
      <c r="P13" s="61">
        <f t="shared" si="12"/>
        <v>79665.75</v>
      </c>
      <c r="Q13" s="61">
        <f t="shared" si="13"/>
        <v>84370.5</v>
      </c>
      <c r="R13" s="61">
        <f t="shared" si="14"/>
        <v>89075.25</v>
      </c>
      <c r="S13" s="29">
        <f t="shared" si="15"/>
        <v>93780</v>
      </c>
      <c r="U13" s="29">
        <v>21414</v>
      </c>
      <c r="V13" s="29">
        <v>27633</v>
      </c>
      <c r="W13" s="29">
        <v>33823</v>
      </c>
      <c r="X13" s="29">
        <v>41261</v>
      </c>
      <c r="Y13" s="29">
        <v>51250</v>
      </c>
      <c r="Z13" s="29">
        <v>60631</v>
      </c>
      <c r="AA13" s="29">
        <v>74961</v>
      </c>
      <c r="AB13" s="29">
        <v>93780</v>
      </c>
    </row>
    <row r="14" spans="1:30" ht="11.45">
      <c r="B14" t="s">
        <v>783</v>
      </c>
      <c r="D14" s="58">
        <f>+($G14-$X14)/4+X14</f>
        <v>4922.5</v>
      </c>
      <c r="E14" s="58">
        <f t="shared" ref="E14:F14" si="18">+($G14-$X14)/4+D14</f>
        <v>5063</v>
      </c>
      <c r="F14" s="58">
        <f t="shared" si="18"/>
        <v>5203.5</v>
      </c>
      <c r="G14" s="30">
        <f t="shared" si="3"/>
        <v>5344</v>
      </c>
      <c r="H14" s="58">
        <f t="shared" si="4"/>
        <v>5473</v>
      </c>
      <c r="I14" s="58">
        <f t="shared" si="5"/>
        <v>5602</v>
      </c>
      <c r="J14" s="58">
        <f t="shared" si="6"/>
        <v>5731</v>
      </c>
      <c r="K14" s="30">
        <f t="shared" si="7"/>
        <v>5860</v>
      </c>
      <c r="L14" s="58">
        <f t="shared" si="8"/>
        <v>5956.5</v>
      </c>
      <c r="M14" s="58">
        <f t="shared" si="9"/>
        <v>6053</v>
      </c>
      <c r="N14" s="58">
        <f t="shared" si="10"/>
        <v>6149.5</v>
      </c>
      <c r="O14" s="30">
        <f t="shared" si="11"/>
        <v>6246</v>
      </c>
      <c r="P14" s="58">
        <f t="shared" si="12"/>
        <v>6317.5</v>
      </c>
      <c r="Q14" s="58">
        <f t="shared" si="13"/>
        <v>6389</v>
      </c>
      <c r="R14" s="58">
        <f t="shared" si="14"/>
        <v>6460.5</v>
      </c>
      <c r="S14" s="30">
        <f t="shared" si="15"/>
        <v>6532</v>
      </c>
      <c r="U14" s="30">
        <v>4044</v>
      </c>
      <c r="V14" s="30">
        <v>4457</v>
      </c>
      <c r="W14" s="30">
        <v>4840</v>
      </c>
      <c r="X14" s="30">
        <v>4782</v>
      </c>
      <c r="Y14" s="30">
        <v>5344</v>
      </c>
      <c r="Z14" s="30">
        <v>5860</v>
      </c>
      <c r="AA14" s="30">
        <v>6246</v>
      </c>
      <c r="AB14" s="30">
        <v>6532</v>
      </c>
    </row>
    <row r="15" spans="1:30" s="1" customFormat="1" ht="10.5">
      <c r="A15" s="1237"/>
      <c r="B15" s="837" t="s">
        <v>778</v>
      </c>
      <c r="D15" s="849">
        <f t="shared" ref="D15:R15" si="19">+SUM(D10:D14)</f>
        <v>93277.5</v>
      </c>
      <c r="E15" s="849">
        <f t="shared" si="19"/>
        <v>99207</v>
      </c>
      <c r="F15" s="849">
        <f t="shared" si="19"/>
        <v>105136.5</v>
      </c>
      <c r="G15" s="849">
        <f t="shared" si="19"/>
        <v>111066</v>
      </c>
      <c r="H15" s="849">
        <f t="shared" si="19"/>
        <v>116814</v>
      </c>
      <c r="I15" s="849">
        <f t="shared" si="19"/>
        <v>122562</v>
      </c>
      <c r="J15" s="849">
        <f t="shared" si="19"/>
        <v>128310</v>
      </c>
      <c r="K15" s="849">
        <f t="shared" si="19"/>
        <v>134058</v>
      </c>
      <c r="L15" s="849">
        <f t="shared" si="19"/>
        <v>141516.5</v>
      </c>
      <c r="M15" s="849">
        <f t="shared" si="19"/>
        <v>148975</v>
      </c>
      <c r="N15" s="849">
        <f t="shared" si="19"/>
        <v>156433.5</v>
      </c>
      <c r="O15" s="849">
        <f t="shared" si="19"/>
        <v>163892</v>
      </c>
      <c r="P15" s="849">
        <f t="shared" si="19"/>
        <v>175922</v>
      </c>
      <c r="Q15" s="849">
        <f t="shared" si="19"/>
        <v>187952</v>
      </c>
      <c r="R15" s="849">
        <f t="shared" si="19"/>
        <v>199982</v>
      </c>
      <c r="S15" s="849">
        <f t="shared" ref="S15" si="20">+SUM(S10:S14)</f>
        <v>212012</v>
      </c>
      <c r="T15" s="936"/>
      <c r="U15" s="849">
        <f t="shared" ref="U15:AB15" si="21">+SUM(U10:U14)</f>
        <v>47913</v>
      </c>
      <c r="V15" s="849">
        <f t="shared" si="21"/>
        <v>58683</v>
      </c>
      <c r="W15" s="849">
        <f t="shared" si="21"/>
        <v>71807</v>
      </c>
      <c r="X15" s="849">
        <f t="shared" si="21"/>
        <v>87348</v>
      </c>
      <c r="Y15" s="849">
        <f t="shared" si="21"/>
        <v>111066</v>
      </c>
      <c r="Z15" s="849">
        <f t="shared" si="21"/>
        <v>134058</v>
      </c>
      <c r="AA15" s="849">
        <f t="shared" si="21"/>
        <v>163892</v>
      </c>
      <c r="AB15" s="849">
        <f t="shared" si="21"/>
        <v>212012</v>
      </c>
      <c r="AC15" s="849">
        <f>+AC21</f>
        <v>290012</v>
      </c>
      <c r="AD15" s="849">
        <f>+AD21</f>
        <v>354108.91585090919</v>
      </c>
    </row>
    <row r="16" spans="1:30" s="1" customFormat="1" ht="10.5">
      <c r="A16" s="1237"/>
      <c r="B16" s="15"/>
      <c r="D16" s="936"/>
      <c r="E16" s="936"/>
      <c r="F16" s="936"/>
      <c r="G16" s="936"/>
      <c r="H16" s="936"/>
      <c r="I16" s="936"/>
      <c r="J16" s="936"/>
      <c r="K16" s="936"/>
      <c r="L16" s="936"/>
      <c r="M16" s="936"/>
      <c r="N16" s="936"/>
      <c r="O16" s="936"/>
      <c r="P16" s="936"/>
      <c r="Q16" s="849"/>
      <c r="R16" s="849"/>
      <c r="S16" s="849"/>
      <c r="T16" s="936"/>
      <c r="U16" s="936"/>
      <c r="V16" s="936"/>
      <c r="W16" s="936"/>
      <c r="X16" s="936"/>
      <c r="Y16" s="936"/>
      <c r="Z16" s="936"/>
      <c r="AA16" s="936"/>
      <c r="AB16" s="838"/>
      <c r="AC16" s="849"/>
      <c r="AD16" s="849"/>
    </row>
    <row r="17" spans="1:30" s="1" customFormat="1" ht="10.5">
      <c r="A17" s="1237"/>
      <c r="B17" s="24" t="s">
        <v>127</v>
      </c>
      <c r="D17" s="936"/>
      <c r="E17" s="936"/>
      <c r="F17" s="936"/>
      <c r="G17" s="936"/>
      <c r="H17" s="936"/>
      <c r="I17" s="936"/>
      <c r="J17" s="936"/>
      <c r="K17" s="936"/>
      <c r="L17" s="936"/>
      <c r="M17" s="936"/>
      <c r="N17" s="936"/>
      <c r="O17" s="936"/>
      <c r="P17" s="936"/>
      <c r="Q17" s="849"/>
      <c r="R17" s="849"/>
      <c r="S17" s="849"/>
      <c r="T17" s="936"/>
      <c r="U17" s="936"/>
      <c r="V17" s="936"/>
      <c r="W17" s="936"/>
      <c r="X17" s="936"/>
      <c r="Y17" s="936"/>
      <c r="Z17" s="936"/>
      <c r="AA17" s="936"/>
      <c r="AB17" s="838"/>
      <c r="AC17" s="849"/>
      <c r="AD17" s="849"/>
    </row>
    <row r="18" spans="1:30" s="1" customFormat="1" ht="10.5">
      <c r="A18" s="1237"/>
      <c r="B18" s="13" t="s">
        <v>786</v>
      </c>
      <c r="D18" s="94">
        <f>+X15</f>
        <v>87348</v>
      </c>
      <c r="E18" s="94">
        <f>+D21</f>
        <v>93277.5</v>
      </c>
      <c r="F18" s="94">
        <f t="shared" ref="F18:P18" si="22">+E21</f>
        <v>99207</v>
      </c>
      <c r="G18" s="94">
        <f t="shared" si="22"/>
        <v>105136.5</v>
      </c>
      <c r="H18" s="94">
        <f t="shared" si="22"/>
        <v>111066</v>
      </c>
      <c r="I18" s="94">
        <f t="shared" si="22"/>
        <v>116814</v>
      </c>
      <c r="J18" s="94">
        <f t="shared" si="22"/>
        <v>122562</v>
      </c>
      <c r="K18" s="94">
        <f t="shared" si="22"/>
        <v>128310</v>
      </c>
      <c r="L18" s="94">
        <f t="shared" si="22"/>
        <v>134058</v>
      </c>
      <c r="M18" s="94">
        <f t="shared" si="22"/>
        <v>141516.5</v>
      </c>
      <c r="N18" s="94">
        <f t="shared" si="22"/>
        <v>148975</v>
      </c>
      <c r="O18" s="94">
        <f t="shared" si="22"/>
        <v>156433.5</v>
      </c>
      <c r="P18" s="94">
        <f t="shared" si="22"/>
        <v>163892</v>
      </c>
      <c r="Q18" s="94">
        <f t="shared" ref="Q18" si="23">+P21</f>
        <v>175922</v>
      </c>
      <c r="R18" s="94">
        <f t="shared" ref="R18" si="24">+Q21</f>
        <v>187952</v>
      </c>
      <c r="S18" s="94">
        <f t="shared" ref="S18" si="25">+R21</f>
        <v>199982</v>
      </c>
      <c r="T18" s="936"/>
      <c r="U18" s="936"/>
      <c r="V18" s="94">
        <f>+U15</f>
        <v>47913</v>
      </c>
      <c r="W18" s="94">
        <f t="shared" ref="W18:AD18" si="26">+V21</f>
        <v>58683</v>
      </c>
      <c r="X18" s="94">
        <f t="shared" si="26"/>
        <v>71807</v>
      </c>
      <c r="Y18" s="94">
        <f t="shared" si="26"/>
        <v>87348</v>
      </c>
      <c r="Z18" s="94">
        <f t="shared" si="26"/>
        <v>111066</v>
      </c>
      <c r="AA18" s="94">
        <f t="shared" si="26"/>
        <v>134058</v>
      </c>
      <c r="AB18" s="94">
        <f t="shared" si="26"/>
        <v>163892</v>
      </c>
      <c r="AC18" s="94">
        <f t="shared" si="26"/>
        <v>212012</v>
      </c>
      <c r="AD18" s="94">
        <f t="shared" si="26"/>
        <v>290012</v>
      </c>
    </row>
    <row r="19" spans="1:30" s="1" customFormat="1" ht="10.5">
      <c r="A19" s="1237"/>
      <c r="B19" s="13" t="s">
        <v>800</v>
      </c>
      <c r="D19" s="94">
        <f>+D25</f>
        <v>5500</v>
      </c>
      <c r="E19" s="94">
        <f>+E25</f>
        <v>5400</v>
      </c>
      <c r="F19" s="94">
        <f t="shared" ref="F19:P19" si="27">+F25</f>
        <v>6000</v>
      </c>
      <c r="G19" s="94">
        <f t="shared" si="27"/>
        <v>7300</v>
      </c>
      <c r="H19" s="94">
        <f t="shared" si="27"/>
        <v>7400</v>
      </c>
      <c r="I19" s="94">
        <f t="shared" si="27"/>
        <v>6800</v>
      </c>
      <c r="J19" s="94">
        <f t="shared" si="27"/>
        <v>6300</v>
      </c>
      <c r="K19" s="94">
        <f t="shared" si="27"/>
        <v>8700</v>
      </c>
      <c r="L19" s="94">
        <f t="shared" si="27"/>
        <v>6600</v>
      </c>
      <c r="M19" s="94">
        <f t="shared" si="27"/>
        <v>6800</v>
      </c>
      <c r="N19" s="94">
        <f t="shared" si="27"/>
        <v>7800</v>
      </c>
      <c r="O19" s="94">
        <f t="shared" si="27"/>
        <v>10700</v>
      </c>
      <c r="P19" s="94">
        <f t="shared" si="27"/>
        <v>11200</v>
      </c>
      <c r="Q19" s="94">
        <f t="shared" ref="Q19:R19" si="28">+Q25</f>
        <v>11500</v>
      </c>
      <c r="R19" s="94">
        <f t="shared" si="28"/>
        <v>14000</v>
      </c>
      <c r="S19" s="94">
        <f t="shared" ref="S19" si="29">+S25</f>
        <v>19000</v>
      </c>
      <c r="T19" s="936"/>
      <c r="U19" s="936"/>
      <c r="V19" s="94">
        <f t="shared" ref="V19:AD19" si="30">+V25</f>
        <v>13600</v>
      </c>
      <c r="W19" s="94">
        <f t="shared" si="30"/>
        <v>16900</v>
      </c>
      <c r="X19" s="94">
        <f t="shared" si="30"/>
        <v>19000</v>
      </c>
      <c r="Y19" s="94">
        <f t="shared" si="30"/>
        <v>24200</v>
      </c>
      <c r="Z19" s="94">
        <f t="shared" si="30"/>
        <v>29200</v>
      </c>
      <c r="AA19" s="94">
        <f t="shared" si="30"/>
        <v>31900</v>
      </c>
      <c r="AB19" s="94">
        <f t="shared" si="30"/>
        <v>55700</v>
      </c>
      <c r="AC19" s="94">
        <f t="shared" si="30"/>
        <v>83000</v>
      </c>
      <c r="AD19" s="94">
        <f t="shared" si="30"/>
        <v>69096.915850909209</v>
      </c>
    </row>
    <row r="20" spans="1:30" s="1" customFormat="1" ht="11.45">
      <c r="A20" s="1237"/>
      <c r="B20" s="13" t="s">
        <v>200</v>
      </c>
      <c r="D20" s="943">
        <f>+D21-SUM(D18:D19)</f>
        <v>429.5</v>
      </c>
      <c r="E20" s="943">
        <f>+E21-SUM(E18:E19)</f>
        <v>529.5</v>
      </c>
      <c r="F20" s="943">
        <f t="shared" ref="F20:P20" si="31">+F21-SUM(F18:F19)</f>
        <v>-70.5</v>
      </c>
      <c r="G20" s="943">
        <f t="shared" si="31"/>
        <v>-1370.5</v>
      </c>
      <c r="H20" s="943">
        <f t="shared" si="31"/>
        <v>-1652</v>
      </c>
      <c r="I20" s="943">
        <f t="shared" si="31"/>
        <v>-1052</v>
      </c>
      <c r="J20" s="943">
        <f t="shared" si="31"/>
        <v>-552</v>
      </c>
      <c r="K20" s="943">
        <f t="shared" si="31"/>
        <v>-2952</v>
      </c>
      <c r="L20" s="943">
        <f t="shared" si="31"/>
        <v>858.5</v>
      </c>
      <c r="M20" s="943">
        <f t="shared" si="31"/>
        <v>658.5</v>
      </c>
      <c r="N20" s="943">
        <f t="shared" si="31"/>
        <v>-341.5</v>
      </c>
      <c r="O20" s="943">
        <f t="shared" si="31"/>
        <v>-3241.5</v>
      </c>
      <c r="P20" s="943">
        <f t="shared" si="31"/>
        <v>830</v>
      </c>
      <c r="Q20" s="943">
        <f t="shared" ref="Q20:R20" si="32">+Q21-SUM(Q18:Q19)</f>
        <v>530</v>
      </c>
      <c r="R20" s="943">
        <f t="shared" si="32"/>
        <v>-1970</v>
      </c>
      <c r="S20" s="943">
        <f t="shared" ref="S20" si="33">+S21-SUM(S18:S19)</f>
        <v>-6970</v>
      </c>
      <c r="T20" s="936"/>
      <c r="U20" s="936"/>
      <c r="V20" s="943">
        <f t="shared" ref="V20:AB20" si="34">+V21-SUM(V18:V19)</f>
        <v>-2830</v>
      </c>
      <c r="W20" s="943">
        <f t="shared" si="34"/>
        <v>-3776</v>
      </c>
      <c r="X20" s="943">
        <f t="shared" si="34"/>
        <v>-3459</v>
      </c>
      <c r="Y20" s="943">
        <f t="shared" si="34"/>
        <v>-482</v>
      </c>
      <c r="Z20" s="943">
        <f t="shared" si="34"/>
        <v>-6208</v>
      </c>
      <c r="AA20" s="943">
        <f t="shared" si="34"/>
        <v>-2066</v>
      </c>
      <c r="AB20" s="943">
        <f t="shared" si="34"/>
        <v>-7580</v>
      </c>
      <c r="AC20" s="1230">
        <v>-5000</v>
      </c>
      <c r="AD20" s="1230">
        <v>-5000</v>
      </c>
    </row>
    <row r="21" spans="1:30" s="1" customFormat="1" ht="10.5">
      <c r="A21" s="1237"/>
      <c r="B21" s="15" t="s">
        <v>784</v>
      </c>
      <c r="D21" s="94">
        <f t="shared" ref="D21:R21" si="35">+D15</f>
        <v>93277.5</v>
      </c>
      <c r="E21" s="94">
        <f t="shared" si="35"/>
        <v>99207</v>
      </c>
      <c r="F21" s="94">
        <f t="shared" si="35"/>
        <v>105136.5</v>
      </c>
      <c r="G21" s="94">
        <f t="shared" si="35"/>
        <v>111066</v>
      </c>
      <c r="H21" s="94">
        <f t="shared" si="35"/>
        <v>116814</v>
      </c>
      <c r="I21" s="94">
        <f t="shared" si="35"/>
        <v>122562</v>
      </c>
      <c r="J21" s="94">
        <f t="shared" si="35"/>
        <v>128310</v>
      </c>
      <c r="K21" s="94">
        <f t="shared" si="35"/>
        <v>134058</v>
      </c>
      <c r="L21" s="94">
        <f t="shared" si="35"/>
        <v>141516.5</v>
      </c>
      <c r="M21" s="94">
        <f t="shared" si="35"/>
        <v>148975</v>
      </c>
      <c r="N21" s="94">
        <f t="shared" si="35"/>
        <v>156433.5</v>
      </c>
      <c r="O21" s="94">
        <f t="shared" si="35"/>
        <v>163892</v>
      </c>
      <c r="P21" s="94">
        <f t="shared" si="35"/>
        <v>175922</v>
      </c>
      <c r="Q21" s="94">
        <f t="shared" si="35"/>
        <v>187952</v>
      </c>
      <c r="R21" s="94">
        <f t="shared" si="35"/>
        <v>199982</v>
      </c>
      <c r="S21" s="94">
        <f t="shared" ref="S21" si="36">+S15</f>
        <v>212012</v>
      </c>
      <c r="T21" s="936"/>
      <c r="U21" s="936"/>
      <c r="V21" s="94">
        <f t="shared" ref="V21:AB21" si="37">+V15</f>
        <v>58683</v>
      </c>
      <c r="W21" s="94">
        <f t="shared" si="37"/>
        <v>71807</v>
      </c>
      <c r="X21" s="94">
        <f t="shared" si="37"/>
        <v>87348</v>
      </c>
      <c r="Y21" s="94">
        <f t="shared" si="37"/>
        <v>111066</v>
      </c>
      <c r="Z21" s="94">
        <f t="shared" si="37"/>
        <v>134058</v>
      </c>
      <c r="AA21" s="94">
        <f t="shared" si="37"/>
        <v>163892</v>
      </c>
      <c r="AB21" s="94">
        <f t="shared" si="37"/>
        <v>212012</v>
      </c>
      <c r="AC21" s="94">
        <f t="shared" ref="AC21:AD21" si="38">SUM(AC18:AC20)</f>
        <v>290012</v>
      </c>
      <c r="AD21" s="94">
        <f t="shared" si="38"/>
        <v>354108.91585090919</v>
      </c>
    </row>
    <row r="23" spans="1:30">
      <c r="B23" t="str">
        <f>+'Historical Financials'!B1197</f>
        <v>Additions to property plant and equipment</v>
      </c>
      <c r="D23" s="956">
        <f>+'Historical Financials'!X1197</f>
        <v>4907</v>
      </c>
      <c r="E23" s="956">
        <f>+'Historical Financials'!Y1197</f>
        <v>4174</v>
      </c>
      <c r="F23" s="956">
        <f>+'Historical Financials'!Z1197</f>
        <v>5089</v>
      </c>
      <c r="G23" s="956">
        <f>+'Historical Financials'!AA1197</f>
        <v>6452</v>
      </c>
      <c r="H23" s="956">
        <f>+'Historical Financials'!AB1197</f>
        <v>5810</v>
      </c>
      <c r="I23" s="956">
        <f>+'Historical Financials'!AC1197</f>
        <v>5865</v>
      </c>
      <c r="J23" s="956">
        <f>+'Historical Financials'!AD1197</f>
        <v>5340</v>
      </c>
      <c r="K23" s="956">
        <f>+'Historical Financials'!AE1197</f>
        <v>6871</v>
      </c>
      <c r="L23" s="956">
        <f>+'Historical Financials'!AF1197</f>
        <v>6283</v>
      </c>
      <c r="M23" s="956">
        <f>+'Historical Financials'!AG1197</f>
        <v>6274</v>
      </c>
      <c r="N23" s="956">
        <f>+'Historical Financials'!AH1197</f>
        <v>6607</v>
      </c>
      <c r="O23" s="956">
        <f>+'Historical Financials'!AI1197</f>
        <v>8943</v>
      </c>
      <c r="P23" s="956">
        <f>+'Historical Financials'!AJ1197</f>
        <v>9917</v>
      </c>
      <c r="Q23" s="956">
        <f>+'Historical Financials'!AK1197</f>
        <v>9735</v>
      </c>
      <c r="R23" s="956">
        <f>+'Historical Financials'!AL1197</f>
        <v>10952</v>
      </c>
      <c r="S23" s="956">
        <f>+'Historical Financials'!AM1197</f>
        <v>13873</v>
      </c>
      <c r="V23" s="956">
        <f>+'Historical Financials'!BI1197</f>
        <v>11632</v>
      </c>
      <c r="W23" s="956">
        <f>+'Historical Financials'!BJ1197</f>
        <v>13925</v>
      </c>
      <c r="X23" s="956">
        <f>+'Historical Financials'!BK1197</f>
        <v>15441</v>
      </c>
      <c r="Y23" s="956">
        <f>+'Historical Financials'!BL1197</f>
        <v>20622</v>
      </c>
      <c r="Z23" s="956">
        <f>+'Historical Financials'!BM1197</f>
        <v>23886</v>
      </c>
      <c r="AA23" s="956">
        <f>+'Historical Financials'!BN1197</f>
        <v>28107</v>
      </c>
      <c r="AB23" s="956">
        <f>+'Historical Financials'!BO1197</f>
        <v>44477</v>
      </c>
    </row>
    <row r="24" spans="1:30" ht="11.45">
      <c r="B24" t="str">
        <f>+'Historical Financials'!B1198</f>
        <v>Assets acquired under capital leases</v>
      </c>
      <c r="D24" s="1239">
        <f>+'Historical Financials'!X1198</f>
        <v>593</v>
      </c>
      <c r="E24" s="1239">
        <f>+'Historical Financials'!Y1198</f>
        <v>1226</v>
      </c>
      <c r="F24" s="1239">
        <f>+'Historical Financials'!Z1198</f>
        <v>911</v>
      </c>
      <c r="G24" s="1239">
        <f>+'Historical Financials'!AA1198</f>
        <v>848</v>
      </c>
      <c r="H24" s="1239">
        <f>+'Historical Financials'!AB1198</f>
        <v>1590</v>
      </c>
      <c r="I24" s="1239">
        <f>+'Historical Financials'!AC1198</f>
        <v>935</v>
      </c>
      <c r="J24" s="1239">
        <f>+'Historical Financials'!AD1198</f>
        <v>960</v>
      </c>
      <c r="K24" s="1239">
        <f>+'Historical Financials'!AE1198</f>
        <v>1829</v>
      </c>
      <c r="L24" s="1239">
        <f>+'Historical Financials'!AF1198</f>
        <v>317</v>
      </c>
      <c r="M24" s="1239">
        <f>+'Historical Financials'!AG1198</f>
        <v>526</v>
      </c>
      <c r="N24" s="1239">
        <f>+'Historical Financials'!AH1198</f>
        <v>1193</v>
      </c>
      <c r="O24" s="1239">
        <f>+'Historical Financials'!AI1198</f>
        <v>1757</v>
      </c>
      <c r="P24" s="1239">
        <f>+'Historical Financials'!AJ1198</f>
        <v>1283</v>
      </c>
      <c r="Q24" s="1239">
        <f>+'Historical Financials'!AK1198</f>
        <v>1765</v>
      </c>
      <c r="R24" s="1239">
        <f>+'Historical Financials'!AL1198</f>
        <v>3048</v>
      </c>
      <c r="S24" s="1239">
        <f>+'Historical Financials'!AM1198</f>
        <v>5127</v>
      </c>
      <c r="V24" s="1239">
        <f>+'Historical Financials'!BI1198</f>
        <v>1968</v>
      </c>
      <c r="W24" s="1239">
        <f>+'Historical Financials'!BJ1198</f>
        <v>2975</v>
      </c>
      <c r="X24" s="1239">
        <f>+'Historical Financials'!BK1198</f>
        <v>3559</v>
      </c>
      <c r="Y24" s="1239">
        <f>+'Historical Financials'!BL1198</f>
        <v>3578</v>
      </c>
      <c r="Z24" s="1239">
        <f>+'Historical Financials'!BM1198</f>
        <v>5314</v>
      </c>
      <c r="AA24" s="1239">
        <f>+'Historical Financials'!BN1198</f>
        <v>3793</v>
      </c>
      <c r="AB24" s="1239">
        <f>+'Historical Financials'!BO1198</f>
        <v>11223</v>
      </c>
    </row>
    <row r="25" spans="1:30" s="1" customFormat="1" ht="10.5">
      <c r="A25" s="1237"/>
      <c r="B25" s="837" t="s">
        <v>621</v>
      </c>
      <c r="D25" s="936">
        <f>+'Historical Financials'!X1199</f>
        <v>5500</v>
      </c>
      <c r="E25" s="936">
        <f>+'Historical Financials'!Y1199</f>
        <v>5400</v>
      </c>
      <c r="F25" s="936">
        <f>+'Historical Financials'!Z1199</f>
        <v>6000</v>
      </c>
      <c r="G25" s="936">
        <f>+'Historical Financials'!AA1199</f>
        <v>7300</v>
      </c>
      <c r="H25" s="936">
        <f>+'Historical Financials'!AB1199</f>
        <v>7400</v>
      </c>
      <c r="I25" s="936">
        <f>+'Historical Financials'!AC1199</f>
        <v>6800</v>
      </c>
      <c r="J25" s="936">
        <f>+'Historical Financials'!AD1199</f>
        <v>6300</v>
      </c>
      <c r="K25" s="936">
        <f>+'Historical Financials'!AE1199</f>
        <v>8700</v>
      </c>
      <c r="L25" s="936">
        <f>+'Historical Financials'!AF1199</f>
        <v>6600</v>
      </c>
      <c r="M25" s="936">
        <f>+'Historical Financials'!AG1199</f>
        <v>6800</v>
      </c>
      <c r="N25" s="936">
        <f>+'Historical Financials'!AH1199</f>
        <v>7800</v>
      </c>
      <c r="O25" s="936">
        <f>+'Historical Financials'!AI1199</f>
        <v>10700</v>
      </c>
      <c r="P25" s="936">
        <f>+'Historical Financials'!AJ1199</f>
        <v>11200</v>
      </c>
      <c r="Q25" s="936">
        <f>+'Historical Financials'!AK1199</f>
        <v>11500</v>
      </c>
      <c r="R25" s="936">
        <f>+'Historical Financials'!AL1199</f>
        <v>14000</v>
      </c>
      <c r="S25" s="936">
        <f>+'Historical Financials'!AM1199</f>
        <v>19000</v>
      </c>
      <c r="V25" s="936">
        <f>+'Historical Financials'!BI1199</f>
        <v>13600</v>
      </c>
      <c r="W25" s="936">
        <f>+'Historical Financials'!BJ1199</f>
        <v>16900</v>
      </c>
      <c r="X25" s="936">
        <f>+'Historical Financials'!BK1199</f>
        <v>19000</v>
      </c>
      <c r="Y25" s="936">
        <f>+'Historical Financials'!BL1199</f>
        <v>24200</v>
      </c>
      <c r="Z25" s="936">
        <f>+'Historical Financials'!BM1199</f>
        <v>29200</v>
      </c>
      <c r="AA25" s="936">
        <f>+'Historical Financials'!BN1199</f>
        <v>31900</v>
      </c>
      <c r="AB25" s="936">
        <f>+'Historical Financials'!BO1199</f>
        <v>55700</v>
      </c>
      <c r="AC25" s="1215">
        <f>+Base!K49</f>
        <v>83000</v>
      </c>
      <c r="AD25" s="1215">
        <f>+Base!L49</f>
        <v>69096.915850909209</v>
      </c>
    </row>
    <row r="26" spans="1:30">
      <c r="B26" s="13"/>
    </row>
    <row r="27" spans="1:30">
      <c r="B27" s="843" t="s">
        <v>1043</v>
      </c>
      <c r="D27" s="29">
        <f>+'Historical Financials'!X88</f>
        <v>2645</v>
      </c>
      <c r="E27" s="29">
        <f>+'Historical Financials'!Y88</f>
        <v>2761</v>
      </c>
      <c r="F27" s="29">
        <f>+'Historical Financials'!Z88</f>
        <v>2936</v>
      </c>
      <c r="G27" s="29">
        <f>+'Historical Financials'!AA88</f>
        <v>3344</v>
      </c>
      <c r="H27" s="29">
        <f>+'Historical Financials'!AB88</f>
        <v>3212</v>
      </c>
      <c r="I27" s="29">
        <f>+'Historical Financials'!AC88</f>
        <v>3496</v>
      </c>
      <c r="J27" s="29">
        <f>+'Historical Financials'!AD88</f>
        <v>3773</v>
      </c>
      <c r="K27" s="29">
        <f>+'Historical Financials'!AE88</f>
        <v>3979</v>
      </c>
      <c r="L27" s="29">
        <f>+'Historical Financials'!AF88</f>
        <v>2790</v>
      </c>
      <c r="M27" s="29">
        <f>+'Historical Financials'!AG88</f>
        <v>3648</v>
      </c>
      <c r="N27" s="29">
        <f>+'Historical Financials'!AH88</f>
        <v>3549</v>
      </c>
      <c r="O27" s="29">
        <f>+'Historical Financials'!AI88</f>
        <v>3874</v>
      </c>
      <c r="P27" s="29">
        <f>+'Historical Financials'!AJ88</f>
        <v>3921</v>
      </c>
      <c r="Q27" s="29">
        <f>+'Historical Financials'!AK88</f>
        <v>5459</v>
      </c>
      <c r="R27" s="29">
        <f>+'Historical Financials'!AL88</f>
        <v>5357</v>
      </c>
      <c r="S27" s="29">
        <f>+'Historical Financials'!AM88</f>
        <v>5690</v>
      </c>
      <c r="V27" s="29">
        <f>+'Historical Financials'!BI88</f>
        <v>10261</v>
      </c>
      <c r="W27" s="29">
        <f>+'Historical Financials'!BJ88</f>
        <v>11682</v>
      </c>
      <c r="X27" s="29">
        <f>+'Historical Financials'!BK88</f>
        <v>12796</v>
      </c>
      <c r="Y27" s="29">
        <f>+'Historical Financials'!BL88</f>
        <v>11686</v>
      </c>
      <c r="Z27" s="29">
        <f>+'Historical Financials'!BM88</f>
        <v>14460</v>
      </c>
      <c r="AA27" s="29">
        <f>+'Historical Financials'!BN88</f>
        <v>13861</v>
      </c>
      <c r="AB27" s="29">
        <f>+'Historical Financials'!BO88</f>
        <v>20427</v>
      </c>
      <c r="AC27" s="8">
        <f>+Base!K28</f>
        <v>29970.842105263157</v>
      </c>
      <c r="AD27" s="8">
        <f>+Base!L28</f>
        <v>34074.15602074474</v>
      </c>
    </row>
    <row r="28" spans="1:30">
      <c r="B28" s="921" t="s">
        <v>1044</v>
      </c>
      <c r="D28" s="40">
        <f>+'Historical Financials'!X1142</f>
        <v>2645</v>
      </c>
      <c r="E28" s="40">
        <f>+'Historical Financials'!Y1142</f>
        <v>2761</v>
      </c>
      <c r="F28" s="40">
        <f>+'Historical Financials'!Z1142</f>
        <v>2936</v>
      </c>
      <c r="G28" s="40">
        <f>+'Historical Financials'!AA1142</f>
        <v>3344</v>
      </c>
      <c r="H28" s="40">
        <f>+'Historical Financials'!AB1142</f>
        <v>3212</v>
      </c>
      <c r="I28" s="40">
        <f>+'Historical Financials'!AC1142</f>
        <v>3496</v>
      </c>
      <c r="J28" s="40">
        <f>+'Historical Financials'!AD1142</f>
        <v>3773</v>
      </c>
      <c r="K28" s="40">
        <f>+'Historical Financials'!AE1142</f>
        <v>3979</v>
      </c>
      <c r="L28" s="40">
        <f>+'Historical Financials'!AF1142</f>
        <v>2790</v>
      </c>
      <c r="M28" s="40">
        <f>+'Historical Financials'!AG1142</f>
        <v>3648</v>
      </c>
      <c r="N28" s="40">
        <f>+'Historical Financials'!AH1142</f>
        <v>3549</v>
      </c>
      <c r="O28" s="40">
        <f>+'Historical Financials'!AI1142</f>
        <v>3874</v>
      </c>
      <c r="P28" s="40">
        <f>+'Historical Financials'!AJ1142</f>
        <v>3921</v>
      </c>
      <c r="Q28" s="40">
        <f>+'Historical Financials'!AK1142</f>
        <v>5959</v>
      </c>
      <c r="R28" s="40">
        <f>+'Historical Financials'!AL1142</f>
        <v>6027</v>
      </c>
      <c r="S28" s="40">
        <f>+'Historical Financials'!AM1142</f>
        <v>6380</v>
      </c>
      <c r="V28" s="40">
        <f>+'Historical Financials'!BI1142</f>
        <v>10261</v>
      </c>
      <c r="W28" s="40">
        <f>+'Historical Financials'!BJ1142</f>
        <v>11682</v>
      </c>
      <c r="X28" s="40">
        <f>+'Historical Financials'!BK1142</f>
        <v>12796</v>
      </c>
      <c r="Y28" s="40">
        <f>+'Historical Financials'!BL1142</f>
        <v>11686</v>
      </c>
      <c r="Z28" s="40">
        <f>+'Historical Financials'!BM1142</f>
        <v>14460</v>
      </c>
      <c r="AA28" s="40">
        <f>+'Historical Financials'!BN1142</f>
        <v>13861</v>
      </c>
      <c r="AB28" s="40">
        <f>+'Historical Financials'!BO1142</f>
        <v>22287</v>
      </c>
      <c r="AC28" s="1222"/>
      <c r="AD28" s="1222"/>
    </row>
    <row r="30" spans="1:30">
      <c r="B30" s="24" t="s">
        <v>1045</v>
      </c>
    </row>
    <row r="31" spans="1:30">
      <c r="B31" s="13" t="s">
        <v>1046</v>
      </c>
      <c r="D31" s="1240">
        <f t="shared" ref="D31:S31" si="39">+IFERROR(D15/(D27*4),"n/a")</f>
        <v>8.8163988657844996</v>
      </c>
      <c r="E31" s="1240">
        <f t="shared" si="39"/>
        <v>8.9828866352770742</v>
      </c>
      <c r="F31" s="1240">
        <f t="shared" si="39"/>
        <v>8.9523586512261577</v>
      </c>
      <c r="G31" s="1240">
        <f t="shared" si="39"/>
        <v>8.3033791866028714</v>
      </c>
      <c r="H31" s="1240">
        <f t="shared" si="39"/>
        <v>9.0919987546699872</v>
      </c>
      <c r="I31" s="1240">
        <f t="shared" si="39"/>
        <v>8.7644450800915337</v>
      </c>
      <c r="J31" s="1240">
        <f t="shared" si="39"/>
        <v>8.5018552875695725</v>
      </c>
      <c r="K31" s="1240">
        <f t="shared" si="39"/>
        <v>8.4228449359135453</v>
      </c>
      <c r="L31" s="1240">
        <f t="shared" si="39"/>
        <v>12.680689964157706</v>
      </c>
      <c r="M31" s="1240">
        <f t="shared" si="39"/>
        <v>10.209361293859649</v>
      </c>
      <c r="N31" s="1240">
        <f t="shared" si="39"/>
        <v>11.019547759932376</v>
      </c>
      <c r="O31" s="1240">
        <f t="shared" si="39"/>
        <v>10.576406814661848</v>
      </c>
      <c r="P31" s="1240">
        <f t="shared" si="39"/>
        <v>11.216653914817648</v>
      </c>
      <c r="Q31" s="1240">
        <f t="shared" si="39"/>
        <v>8.6074372595713502</v>
      </c>
      <c r="R31" s="1240">
        <f t="shared" si="39"/>
        <v>9.332742206458839</v>
      </c>
      <c r="S31" s="1240">
        <f t="shared" si="39"/>
        <v>9.3151142355008787</v>
      </c>
      <c r="V31" s="1240">
        <f t="shared" ref="V31:AD31" si="40">+IFERROR(V15/(V27),"n/a")</f>
        <v>5.7190332326283988</v>
      </c>
      <c r="W31" s="1240">
        <f t="shared" si="40"/>
        <v>6.1468070535867145</v>
      </c>
      <c r="X31" s="1240">
        <f t="shared" si="40"/>
        <v>6.8261956861519222</v>
      </c>
      <c r="Y31" s="1240">
        <f t="shared" si="40"/>
        <v>9.5041930515146333</v>
      </c>
      <c r="Z31" s="1240">
        <f t="shared" si="40"/>
        <v>9.2709543568464738</v>
      </c>
      <c r="AA31" s="1240">
        <f t="shared" si="40"/>
        <v>11.823966524781762</v>
      </c>
      <c r="AB31" s="1240">
        <f t="shared" si="40"/>
        <v>10.379008175454056</v>
      </c>
      <c r="AC31" s="1240">
        <f t="shared" si="40"/>
        <v>9.6764715179314642</v>
      </c>
      <c r="AD31" s="1240">
        <f t="shared" si="40"/>
        <v>10.39230188519779</v>
      </c>
    </row>
    <row r="33" spans="1:30" ht="10.5">
      <c r="B33" s="45" t="s">
        <v>797</v>
      </c>
    </row>
    <row r="34" spans="1:30">
      <c r="B34" t="s">
        <v>778</v>
      </c>
      <c r="D34" s="61">
        <f t="shared" ref="D34" si="41">+($G34-$X34)/4+X34</f>
        <v>93277.5</v>
      </c>
      <c r="E34" s="61">
        <f t="shared" ref="E34" si="42">+($G34-$X34)/4+D34</f>
        <v>99207</v>
      </c>
      <c r="F34" s="61">
        <f>+($G34-$X34)/4+E34</f>
        <v>105136.5</v>
      </c>
      <c r="G34" s="29">
        <f>+Y34</f>
        <v>111066</v>
      </c>
      <c r="H34" s="61">
        <f t="shared" ref="H34:H35" si="43">+(K34-G34)/4+G34</f>
        <v>116814</v>
      </c>
      <c r="I34" s="61">
        <f t="shared" ref="I34:I35" si="44">+(K34-G34)/4+H34</f>
        <v>122562</v>
      </c>
      <c r="J34" s="61">
        <f t="shared" ref="J34:J35" si="45">+(K34-G34)/4+I34</f>
        <v>128310</v>
      </c>
      <c r="K34" s="29">
        <f>+Z34</f>
        <v>134058</v>
      </c>
      <c r="L34" s="61">
        <f t="shared" ref="L34:L35" si="46">+(O34-K34)/4+K34</f>
        <v>141516.5</v>
      </c>
      <c r="M34" s="61">
        <f t="shared" ref="M34:M35" si="47">+(O34-K34)/4+L34</f>
        <v>148975</v>
      </c>
      <c r="N34" s="61">
        <f t="shared" ref="N34:N35" si="48">+(O34-K34)/4+M34</f>
        <v>156433.5</v>
      </c>
      <c r="O34" s="29">
        <f>+AA34</f>
        <v>163892</v>
      </c>
      <c r="P34" s="61">
        <f t="shared" ref="P34:P35" si="49">+(S34-O34)/4+O34</f>
        <v>175922</v>
      </c>
      <c r="Q34" s="61">
        <f t="shared" ref="Q34:Q35" si="50">+(S34-O34)/4+P34</f>
        <v>187952</v>
      </c>
      <c r="R34" s="61">
        <f t="shared" ref="R34:R35" si="51">+(S34-O34)/4+Q34</f>
        <v>199982</v>
      </c>
      <c r="S34" s="29">
        <f>+AB34</f>
        <v>212012</v>
      </c>
      <c r="T34" s="29"/>
      <c r="U34" s="29">
        <v>47913</v>
      </c>
      <c r="V34" s="29">
        <v>58683</v>
      </c>
      <c r="W34" s="29">
        <v>71807</v>
      </c>
      <c r="X34" s="29">
        <v>87348</v>
      </c>
      <c r="Y34" s="29">
        <v>111066</v>
      </c>
      <c r="Z34" s="29">
        <v>134058</v>
      </c>
      <c r="AA34" s="29">
        <v>163892</v>
      </c>
      <c r="AB34" s="29">
        <f>+AB15</f>
        <v>212012</v>
      </c>
      <c r="AC34" s="8">
        <f>+AC15</f>
        <v>290012</v>
      </c>
      <c r="AD34" s="8">
        <f>+AD15</f>
        <v>354108.91585090919</v>
      </c>
    </row>
    <row r="35" spans="1:30" ht="11.45">
      <c r="B35" t="s">
        <v>788</v>
      </c>
      <c r="D35" s="58">
        <f t="shared" ref="D35" si="52">+($G35-$X35)/4+X35</f>
        <v>-45235.5</v>
      </c>
      <c r="E35" s="58">
        <f t="shared" ref="E35:F35" si="53">+($G35-$X35)/4+D35</f>
        <v>-47274</v>
      </c>
      <c r="F35" s="58">
        <f t="shared" si="53"/>
        <v>-49312.5</v>
      </c>
      <c r="G35" s="30">
        <f>+Y35</f>
        <v>-51351</v>
      </c>
      <c r="H35" s="58">
        <f t="shared" si="43"/>
        <v>-53428.25</v>
      </c>
      <c r="I35" s="58">
        <f t="shared" si="44"/>
        <v>-55505.5</v>
      </c>
      <c r="J35" s="58">
        <f t="shared" si="45"/>
        <v>-57582.75</v>
      </c>
      <c r="K35" s="30">
        <f>+Z35</f>
        <v>-59660</v>
      </c>
      <c r="L35" s="58">
        <f t="shared" si="46"/>
        <v>-61807.75</v>
      </c>
      <c r="M35" s="58">
        <f t="shared" si="47"/>
        <v>-63955.5</v>
      </c>
      <c r="N35" s="58">
        <f t="shared" si="48"/>
        <v>-66103.25</v>
      </c>
      <c r="O35" s="30">
        <f>+AA35</f>
        <v>-68251</v>
      </c>
      <c r="P35" s="58">
        <f t="shared" si="49"/>
        <v>-70293.5</v>
      </c>
      <c r="Q35" s="58">
        <f t="shared" si="50"/>
        <v>-72336</v>
      </c>
      <c r="R35" s="58">
        <f t="shared" si="51"/>
        <v>-74378.5</v>
      </c>
      <c r="S35" s="30">
        <f>+AB35</f>
        <v>-76421</v>
      </c>
      <c r="U35" s="30">
        <v>-24179</v>
      </c>
      <c r="V35" s="30">
        <v>-29223</v>
      </c>
      <c r="W35" s="30">
        <v>-35330</v>
      </c>
      <c r="X35" s="30">
        <v>-43197</v>
      </c>
      <c r="Y35" s="30">
        <v>-51351</v>
      </c>
      <c r="Z35" s="30">
        <v>-59660</v>
      </c>
      <c r="AA35" s="30">
        <v>-68251</v>
      </c>
      <c r="AB35" s="30">
        <v>-76421</v>
      </c>
      <c r="AC35" s="10">
        <f t="shared" ref="AC35:AD35" si="54">-AC43</f>
        <v>-96391.84210526316</v>
      </c>
      <c r="AD35" s="10">
        <f t="shared" si="54"/>
        <v>-120465.99812600791</v>
      </c>
    </row>
    <row r="36" spans="1:30" s="1" customFormat="1" ht="10.5">
      <c r="A36" s="1237"/>
      <c r="B36" s="837" t="s">
        <v>797</v>
      </c>
      <c r="D36" s="838">
        <f>SUM(D34:D35)</f>
        <v>48042</v>
      </c>
      <c r="E36" s="838">
        <f t="shared" ref="E36:P36" si="55">SUM(E34:E35)</f>
        <v>51933</v>
      </c>
      <c r="F36" s="838">
        <f t="shared" si="55"/>
        <v>55824</v>
      </c>
      <c r="G36" s="838">
        <f t="shared" si="55"/>
        <v>59715</v>
      </c>
      <c r="H36" s="838">
        <f t="shared" si="55"/>
        <v>63385.75</v>
      </c>
      <c r="I36" s="838">
        <f t="shared" si="55"/>
        <v>67056.5</v>
      </c>
      <c r="J36" s="838">
        <f t="shared" si="55"/>
        <v>70727.25</v>
      </c>
      <c r="K36" s="838">
        <f t="shared" si="55"/>
        <v>74398</v>
      </c>
      <c r="L36" s="838">
        <f t="shared" si="55"/>
        <v>79708.75</v>
      </c>
      <c r="M36" s="838">
        <f t="shared" si="55"/>
        <v>85019.5</v>
      </c>
      <c r="N36" s="838">
        <f t="shared" si="55"/>
        <v>90330.25</v>
      </c>
      <c r="O36" s="838">
        <f t="shared" si="55"/>
        <v>95641</v>
      </c>
      <c r="P36" s="838">
        <f t="shared" si="55"/>
        <v>105628.5</v>
      </c>
      <c r="Q36" s="838">
        <f t="shared" ref="Q36:R36" si="56">SUM(Q34:Q35)</f>
        <v>115616</v>
      </c>
      <c r="R36" s="838">
        <f t="shared" si="56"/>
        <v>125603.5</v>
      </c>
      <c r="S36" s="838">
        <f>+SUM(S34:S35)</f>
        <v>135591</v>
      </c>
      <c r="U36" s="838">
        <f t="shared" ref="U36" si="57">SUM(U34:U35)</f>
        <v>23734</v>
      </c>
      <c r="V36" s="838">
        <f>SUM(V34:V35)</f>
        <v>29460</v>
      </c>
      <c r="W36" s="838">
        <f t="shared" ref="W36:AD36" si="58">SUM(W34:W35)</f>
        <v>36477</v>
      </c>
      <c r="X36" s="838">
        <f t="shared" si="58"/>
        <v>44151</v>
      </c>
      <c r="Y36" s="838">
        <f t="shared" si="58"/>
        <v>59715</v>
      </c>
      <c r="Z36" s="838">
        <f t="shared" si="58"/>
        <v>74398</v>
      </c>
      <c r="AA36" s="838">
        <f t="shared" si="58"/>
        <v>95641</v>
      </c>
      <c r="AB36" s="838">
        <f t="shared" si="58"/>
        <v>135591</v>
      </c>
      <c r="AC36" s="838">
        <f t="shared" si="58"/>
        <v>193620.15789473685</v>
      </c>
      <c r="AD36" s="838">
        <f t="shared" si="58"/>
        <v>233642.91772490129</v>
      </c>
    </row>
    <row r="37" spans="1:30">
      <c r="B37" s="13" t="s">
        <v>1047</v>
      </c>
      <c r="D37" s="1240">
        <f t="shared" ref="D37:P37" si="59">+IFERROR(D36/(D27*4),"n/a")</f>
        <v>4.5408317580340265</v>
      </c>
      <c r="E37" s="1240">
        <f t="shared" si="59"/>
        <v>4.7023723288663524</v>
      </c>
      <c r="F37" s="1240">
        <f t="shared" si="59"/>
        <v>4.753405994550409</v>
      </c>
      <c r="G37" s="1240">
        <f t="shared" si="59"/>
        <v>4.4643391148325362</v>
      </c>
      <c r="H37" s="1240">
        <f t="shared" si="59"/>
        <v>4.9335110523038601</v>
      </c>
      <c r="I37" s="1240">
        <f t="shared" si="59"/>
        <v>4.7952302631578947</v>
      </c>
      <c r="J37" s="1240">
        <f t="shared" si="59"/>
        <v>4.6864067055393583</v>
      </c>
      <c r="K37" s="1240">
        <f t="shared" si="59"/>
        <v>4.6744156823322447</v>
      </c>
      <c r="L37" s="1240">
        <f t="shared" si="59"/>
        <v>7.1423611111111107</v>
      </c>
      <c r="M37" s="1240">
        <f t="shared" si="59"/>
        <v>5.8264459978070171</v>
      </c>
      <c r="N37" s="1240">
        <f t="shared" si="59"/>
        <v>6.3630776275007044</v>
      </c>
      <c r="O37" s="1240">
        <f t="shared" si="59"/>
        <v>6.1719798657718119</v>
      </c>
      <c r="P37" s="1240">
        <f t="shared" si="59"/>
        <v>6.7347934200459063</v>
      </c>
      <c r="Q37" s="1240">
        <f t="shared" ref="Q37:S37" si="60">+IFERROR(Q36/(Q27*4),"n/a")</f>
        <v>5.2947426268547355</v>
      </c>
      <c r="R37" s="1240">
        <f t="shared" si="60"/>
        <v>5.8616529774127306</v>
      </c>
      <c r="S37" s="1240">
        <f t="shared" si="60"/>
        <v>5.9574253075571182</v>
      </c>
      <c r="U37" s="1240" t="str">
        <f t="shared" ref="U37" si="61">+IFERROR(U36/(U27),"n/a")</f>
        <v>n/a</v>
      </c>
      <c r="V37" s="1240">
        <f t="shared" ref="V37:AD37" si="62">+IFERROR(V36/(V27),"n/a")</f>
        <v>2.8710651983237501</v>
      </c>
      <c r="W37" s="1240">
        <f t="shared" si="62"/>
        <v>3.1224961479198767</v>
      </c>
      <c r="X37" s="1240">
        <f t="shared" si="62"/>
        <v>3.4503751172241324</v>
      </c>
      <c r="Y37" s="1240">
        <f t="shared" si="62"/>
        <v>5.1099606366592507</v>
      </c>
      <c r="Z37" s="1240">
        <f t="shared" si="62"/>
        <v>5.1450899031811899</v>
      </c>
      <c r="AA37" s="1240">
        <f t="shared" si="62"/>
        <v>6.9000072144866893</v>
      </c>
      <c r="AB37" s="1240">
        <f t="shared" si="62"/>
        <v>6.6378322808048171</v>
      </c>
      <c r="AC37" s="1240">
        <f t="shared" si="62"/>
        <v>6.4602842060529015</v>
      </c>
      <c r="AD37" s="1240">
        <f t="shared" si="62"/>
        <v>6.8568952253037985</v>
      </c>
    </row>
    <row r="38" spans="1:30">
      <c r="B38" s="13"/>
      <c r="V38" s="8"/>
      <c r="W38" s="8"/>
      <c r="X38" s="8"/>
      <c r="Y38" s="8"/>
      <c r="Z38" s="8"/>
      <c r="AA38" s="8"/>
    </row>
    <row r="39" spans="1:30">
      <c r="B39" s="24" t="s">
        <v>127</v>
      </c>
      <c r="V39" s="8"/>
      <c r="W39" s="8"/>
      <c r="X39" s="8"/>
      <c r="Y39" s="8"/>
      <c r="Z39" s="8"/>
      <c r="AA39" s="8"/>
    </row>
    <row r="40" spans="1:30">
      <c r="B40" s="13" t="s">
        <v>789</v>
      </c>
      <c r="D40" s="92">
        <f>-X35</f>
        <v>43197</v>
      </c>
      <c r="E40" s="92">
        <f>+D43</f>
        <v>45235.5</v>
      </c>
      <c r="F40" s="92">
        <f t="shared" ref="F40:P40" si="63">+E43</f>
        <v>47274</v>
      </c>
      <c r="G40" s="92">
        <f t="shared" si="63"/>
        <v>49312.5</v>
      </c>
      <c r="H40" s="92">
        <f t="shared" si="63"/>
        <v>51351</v>
      </c>
      <c r="I40" s="92">
        <f t="shared" si="63"/>
        <v>53428.25</v>
      </c>
      <c r="J40" s="92">
        <f t="shared" si="63"/>
        <v>55505.5</v>
      </c>
      <c r="K40" s="92">
        <f t="shared" si="63"/>
        <v>57582.75</v>
      </c>
      <c r="L40" s="92">
        <f t="shared" si="63"/>
        <v>59660</v>
      </c>
      <c r="M40" s="92">
        <f t="shared" si="63"/>
        <v>61807.75</v>
      </c>
      <c r="N40" s="92">
        <f t="shared" si="63"/>
        <v>63955.5</v>
      </c>
      <c r="O40" s="92">
        <f t="shared" si="63"/>
        <v>66103.25</v>
      </c>
      <c r="P40" s="92">
        <f t="shared" si="63"/>
        <v>68251</v>
      </c>
      <c r="Q40" s="92">
        <f t="shared" ref="Q40" si="64">+P43</f>
        <v>70293.5</v>
      </c>
      <c r="R40" s="92">
        <f t="shared" ref="R40" si="65">+Q43</f>
        <v>72336</v>
      </c>
      <c r="S40" s="92">
        <f t="shared" ref="S40" si="66">+R43</f>
        <v>74378.5</v>
      </c>
      <c r="V40" s="92">
        <f>-U35</f>
        <v>24179</v>
      </c>
      <c r="W40" s="92">
        <f t="shared" ref="W40:AD40" si="67">+V43</f>
        <v>29223</v>
      </c>
      <c r="X40" s="92">
        <f t="shared" si="67"/>
        <v>35330</v>
      </c>
      <c r="Y40" s="92">
        <f t="shared" si="67"/>
        <v>43197</v>
      </c>
      <c r="Z40" s="92">
        <f t="shared" si="67"/>
        <v>51351</v>
      </c>
      <c r="AA40" s="92">
        <f t="shared" si="67"/>
        <v>59660</v>
      </c>
      <c r="AB40" s="92">
        <f t="shared" si="67"/>
        <v>68251</v>
      </c>
      <c r="AC40" s="92">
        <f t="shared" si="67"/>
        <v>76421</v>
      </c>
      <c r="AD40" s="92">
        <f t="shared" si="67"/>
        <v>96391.84210526316</v>
      </c>
    </row>
    <row r="41" spans="1:30">
      <c r="B41" s="13" t="s">
        <v>793</v>
      </c>
      <c r="D41" s="92">
        <f t="shared" ref="D41:P41" si="68">+D27</f>
        <v>2645</v>
      </c>
      <c r="E41" s="92">
        <f t="shared" si="68"/>
        <v>2761</v>
      </c>
      <c r="F41" s="92">
        <f t="shared" si="68"/>
        <v>2936</v>
      </c>
      <c r="G41" s="92">
        <f t="shared" si="68"/>
        <v>3344</v>
      </c>
      <c r="H41" s="92">
        <f t="shared" si="68"/>
        <v>3212</v>
      </c>
      <c r="I41" s="92">
        <f t="shared" si="68"/>
        <v>3496</v>
      </c>
      <c r="J41" s="92">
        <f t="shared" si="68"/>
        <v>3773</v>
      </c>
      <c r="K41" s="92">
        <f t="shared" si="68"/>
        <v>3979</v>
      </c>
      <c r="L41" s="92">
        <f t="shared" si="68"/>
        <v>2790</v>
      </c>
      <c r="M41" s="92">
        <f t="shared" si="68"/>
        <v>3648</v>
      </c>
      <c r="N41" s="92">
        <f t="shared" si="68"/>
        <v>3549</v>
      </c>
      <c r="O41" s="92">
        <f t="shared" si="68"/>
        <v>3874</v>
      </c>
      <c r="P41" s="92">
        <f t="shared" si="68"/>
        <v>3921</v>
      </c>
      <c r="Q41" s="92">
        <f t="shared" ref="Q41:R41" si="69">+Q27</f>
        <v>5459</v>
      </c>
      <c r="R41" s="92">
        <f t="shared" si="69"/>
        <v>5357</v>
      </c>
      <c r="S41" s="92">
        <f t="shared" ref="S41" si="70">+S27</f>
        <v>5690</v>
      </c>
      <c r="V41" s="92">
        <f t="shared" ref="V41:AD41" si="71">+V27</f>
        <v>10261</v>
      </c>
      <c r="W41" s="92">
        <f t="shared" si="71"/>
        <v>11682</v>
      </c>
      <c r="X41" s="92">
        <f t="shared" si="71"/>
        <v>12796</v>
      </c>
      <c r="Y41" s="92">
        <f t="shared" si="71"/>
        <v>11686</v>
      </c>
      <c r="Z41" s="92">
        <f t="shared" si="71"/>
        <v>14460</v>
      </c>
      <c r="AA41" s="92">
        <f t="shared" si="71"/>
        <v>13861</v>
      </c>
      <c r="AB41" s="92">
        <f t="shared" si="71"/>
        <v>20427</v>
      </c>
      <c r="AC41" s="92">
        <f t="shared" si="71"/>
        <v>29970.842105263157</v>
      </c>
      <c r="AD41" s="92">
        <f t="shared" si="71"/>
        <v>34074.15602074474</v>
      </c>
    </row>
    <row r="42" spans="1:30" ht="11.45">
      <c r="B42" s="13" t="s">
        <v>200</v>
      </c>
      <c r="D42" s="846">
        <f>+D43-SUM(D40:D41)</f>
        <v>-606.5</v>
      </c>
      <c r="E42" s="846">
        <f>+E43-SUM(E40:E41)</f>
        <v>-722.5</v>
      </c>
      <c r="F42" s="846">
        <f t="shared" ref="F42:P42" si="72">+F43-SUM(F40:F41)</f>
        <v>-897.5</v>
      </c>
      <c r="G42" s="846">
        <f t="shared" si="72"/>
        <v>-1305.5</v>
      </c>
      <c r="H42" s="846">
        <f t="shared" si="72"/>
        <v>-1134.75</v>
      </c>
      <c r="I42" s="846">
        <f t="shared" si="72"/>
        <v>-1418.75</v>
      </c>
      <c r="J42" s="846">
        <f t="shared" si="72"/>
        <v>-1695.75</v>
      </c>
      <c r="K42" s="846">
        <f t="shared" si="72"/>
        <v>-1901.75</v>
      </c>
      <c r="L42" s="846">
        <f t="shared" si="72"/>
        <v>-642.25</v>
      </c>
      <c r="M42" s="846">
        <f t="shared" si="72"/>
        <v>-1500.25</v>
      </c>
      <c r="N42" s="846">
        <f t="shared" si="72"/>
        <v>-1401.25</v>
      </c>
      <c r="O42" s="846">
        <f t="shared" si="72"/>
        <v>-1726.25</v>
      </c>
      <c r="P42" s="846">
        <f t="shared" si="72"/>
        <v>-1878.5</v>
      </c>
      <c r="Q42" s="846">
        <f t="shared" ref="Q42:R42" si="73">+Q43-SUM(Q40:Q41)</f>
        <v>-3416.5</v>
      </c>
      <c r="R42" s="846">
        <f t="shared" si="73"/>
        <v>-3314.5</v>
      </c>
      <c r="S42" s="846">
        <f t="shared" ref="S42" si="74">+S43-SUM(S40:S41)</f>
        <v>-3647.5</v>
      </c>
      <c r="V42" s="846">
        <f>+V43-SUM(V40:V41)</f>
        <v>-5217</v>
      </c>
      <c r="W42" s="846">
        <f t="shared" ref="W42:AB42" si="75">+W43-SUM(W40:W41)</f>
        <v>-5575</v>
      </c>
      <c r="X42" s="846">
        <f t="shared" si="75"/>
        <v>-4929</v>
      </c>
      <c r="Y42" s="846">
        <f t="shared" si="75"/>
        <v>-3532</v>
      </c>
      <c r="Z42" s="846">
        <f t="shared" si="75"/>
        <v>-6151</v>
      </c>
      <c r="AA42" s="846">
        <f t="shared" si="75"/>
        <v>-5270</v>
      </c>
      <c r="AB42" s="846">
        <f t="shared" si="75"/>
        <v>-12257</v>
      </c>
      <c r="AC42" s="1230">
        <v>-10000</v>
      </c>
      <c r="AD42" s="1230">
        <v>-10000</v>
      </c>
    </row>
    <row r="43" spans="1:30">
      <c r="B43" s="15" t="s">
        <v>775</v>
      </c>
      <c r="D43" s="92">
        <f>-D35</f>
        <v>45235.5</v>
      </c>
      <c r="E43" s="92">
        <f>-E35</f>
        <v>47274</v>
      </c>
      <c r="F43" s="92">
        <f t="shared" ref="F43:P43" si="76">-F35</f>
        <v>49312.5</v>
      </c>
      <c r="G43" s="92">
        <f t="shared" si="76"/>
        <v>51351</v>
      </c>
      <c r="H43" s="92">
        <f t="shared" si="76"/>
        <v>53428.25</v>
      </c>
      <c r="I43" s="92">
        <f t="shared" si="76"/>
        <v>55505.5</v>
      </c>
      <c r="J43" s="92">
        <f t="shared" si="76"/>
        <v>57582.75</v>
      </c>
      <c r="K43" s="92">
        <f t="shared" si="76"/>
        <v>59660</v>
      </c>
      <c r="L43" s="92">
        <f t="shared" si="76"/>
        <v>61807.75</v>
      </c>
      <c r="M43" s="92">
        <f t="shared" si="76"/>
        <v>63955.5</v>
      </c>
      <c r="N43" s="92">
        <f t="shared" si="76"/>
        <v>66103.25</v>
      </c>
      <c r="O43" s="92">
        <f t="shared" si="76"/>
        <v>68251</v>
      </c>
      <c r="P43" s="92">
        <f t="shared" si="76"/>
        <v>70293.5</v>
      </c>
      <c r="Q43" s="92">
        <f t="shared" ref="Q43:R43" si="77">-Q35</f>
        <v>72336</v>
      </c>
      <c r="R43" s="92">
        <f t="shared" si="77"/>
        <v>74378.5</v>
      </c>
      <c r="S43" s="92">
        <f t="shared" ref="S43" si="78">-S35</f>
        <v>76421</v>
      </c>
      <c r="V43" s="92">
        <f>-V35</f>
        <v>29223</v>
      </c>
      <c r="W43" s="92">
        <f t="shared" ref="W43:AB43" si="79">-W35</f>
        <v>35330</v>
      </c>
      <c r="X43" s="92">
        <f t="shared" si="79"/>
        <v>43197</v>
      </c>
      <c r="Y43" s="92">
        <f t="shared" si="79"/>
        <v>51351</v>
      </c>
      <c r="Z43" s="92">
        <f t="shared" si="79"/>
        <v>59660</v>
      </c>
      <c r="AA43" s="92">
        <f t="shared" si="79"/>
        <v>68251</v>
      </c>
      <c r="AB43" s="92">
        <f t="shared" si="79"/>
        <v>76421</v>
      </c>
      <c r="AC43" s="92">
        <f t="shared" ref="AC43:AD43" si="80">SUM(AC40:AC42)</f>
        <v>96391.84210526316</v>
      </c>
      <c r="AD43" s="92">
        <f t="shared" si="80"/>
        <v>120465.99812600791</v>
      </c>
    </row>
    <row r="45" spans="1:30" ht="10.5">
      <c r="B45" s="5" t="s">
        <v>1048</v>
      </c>
      <c r="C45" s="4"/>
    </row>
    <row r="47" spans="1:30">
      <c r="B47" s="843" t="s">
        <v>778</v>
      </c>
      <c r="D47" s="8">
        <f t="shared" ref="D47:O47" si="81">+D15</f>
        <v>93277.5</v>
      </c>
      <c r="E47" s="8">
        <f t="shared" si="81"/>
        <v>99207</v>
      </c>
      <c r="F47" s="8">
        <f t="shared" si="81"/>
        <v>105136.5</v>
      </c>
      <c r="G47" s="8">
        <f t="shared" si="81"/>
        <v>111066</v>
      </c>
      <c r="H47" s="8">
        <f t="shared" si="81"/>
        <v>116814</v>
      </c>
      <c r="I47" s="8">
        <f t="shared" si="81"/>
        <v>122562</v>
      </c>
      <c r="J47" s="8">
        <f t="shared" si="81"/>
        <v>128310</v>
      </c>
      <c r="K47" s="8">
        <f t="shared" si="81"/>
        <v>134058</v>
      </c>
      <c r="L47" s="8">
        <f t="shared" si="81"/>
        <v>141516.5</v>
      </c>
      <c r="M47" s="8">
        <f t="shared" si="81"/>
        <v>148975</v>
      </c>
      <c r="N47" s="8">
        <f t="shared" si="81"/>
        <v>156433.5</v>
      </c>
      <c r="O47" s="8">
        <f t="shared" si="81"/>
        <v>163892</v>
      </c>
      <c r="P47" s="8">
        <f t="shared" ref="P47:S47" si="82">+P15</f>
        <v>175922</v>
      </c>
      <c r="Q47" s="8">
        <f t="shared" si="82"/>
        <v>187952</v>
      </c>
      <c r="R47" s="8">
        <f t="shared" si="82"/>
        <v>199982</v>
      </c>
      <c r="S47" s="8">
        <f t="shared" si="82"/>
        <v>212012</v>
      </c>
      <c r="V47" s="8">
        <f t="shared" ref="V47:AA47" si="83">+V15</f>
        <v>58683</v>
      </c>
      <c r="W47" s="8">
        <f t="shared" si="83"/>
        <v>71807</v>
      </c>
      <c r="X47" s="8">
        <f t="shared" si="83"/>
        <v>87348</v>
      </c>
      <c r="Y47" s="8">
        <f t="shared" si="83"/>
        <v>111066</v>
      </c>
      <c r="Z47" s="8">
        <f t="shared" si="83"/>
        <v>134058</v>
      </c>
      <c r="AA47" s="8">
        <f t="shared" si="83"/>
        <v>163892</v>
      </c>
      <c r="AB47" s="8">
        <f>+S47</f>
        <v>212012</v>
      </c>
      <c r="AC47" s="11">
        <f>+AC53</f>
        <v>292012</v>
      </c>
      <c r="AD47" s="11">
        <f>+AD53</f>
        <v>358108.91585090919</v>
      </c>
    </row>
    <row r="48" spans="1:30" s="1" customFormat="1" ht="10.5">
      <c r="A48" s="1237"/>
      <c r="B48" s="837"/>
      <c r="D48" s="936"/>
      <c r="E48" s="936"/>
      <c r="F48" s="936"/>
      <c r="G48" s="936"/>
      <c r="H48" s="936"/>
      <c r="I48" s="936"/>
      <c r="J48" s="936"/>
      <c r="K48" s="936"/>
      <c r="L48" s="936"/>
      <c r="M48" s="936"/>
      <c r="N48" s="936"/>
      <c r="O48" s="936"/>
      <c r="P48" s="936"/>
      <c r="Q48" s="849"/>
      <c r="R48" s="849"/>
      <c r="S48" s="849"/>
      <c r="T48" s="936"/>
      <c r="U48" s="936"/>
      <c r="V48" s="936"/>
      <c r="W48" s="936"/>
      <c r="X48" s="936"/>
      <c r="Y48" s="936"/>
      <c r="Z48" s="936"/>
      <c r="AA48" s="936"/>
      <c r="AB48" s="838"/>
      <c r="AC48" s="849"/>
      <c r="AD48" s="849"/>
    </row>
    <row r="49" spans="1:30" s="1" customFormat="1" ht="10.5">
      <c r="A49" s="1237"/>
      <c r="B49" s="24" t="s">
        <v>127</v>
      </c>
      <c r="D49" s="936"/>
      <c r="E49" s="936"/>
      <c r="F49" s="936"/>
      <c r="G49" s="936"/>
      <c r="H49" s="936"/>
      <c r="I49" s="936"/>
      <c r="J49" s="936"/>
      <c r="K49" s="936"/>
      <c r="L49" s="936"/>
      <c r="M49" s="936"/>
      <c r="N49" s="936"/>
      <c r="O49" s="936"/>
      <c r="P49" s="936"/>
      <c r="Q49" s="849"/>
      <c r="R49" s="849"/>
      <c r="S49" s="849"/>
      <c r="T49" s="936"/>
      <c r="U49" s="936"/>
      <c r="V49" s="936"/>
      <c r="W49" s="936"/>
      <c r="X49" s="936"/>
      <c r="Y49" s="936"/>
      <c r="Z49" s="936"/>
      <c r="AA49" s="936"/>
      <c r="AB49" s="838"/>
      <c r="AC49" s="849"/>
      <c r="AD49" s="849"/>
    </row>
    <row r="50" spans="1:30" s="1" customFormat="1" ht="10.5">
      <c r="A50" s="1237"/>
      <c r="B50" s="13" t="s">
        <v>786</v>
      </c>
      <c r="D50" s="94">
        <f>+X47</f>
        <v>87348</v>
      </c>
      <c r="E50" s="94">
        <f>+D53</f>
        <v>93277.5</v>
      </c>
      <c r="F50" s="94">
        <f t="shared" ref="F50:P50" si="84">+E53</f>
        <v>99207</v>
      </c>
      <c r="G50" s="94">
        <f t="shared" si="84"/>
        <v>105136.5</v>
      </c>
      <c r="H50" s="94">
        <f t="shared" si="84"/>
        <v>111066</v>
      </c>
      <c r="I50" s="94">
        <f t="shared" si="84"/>
        <v>116814</v>
      </c>
      <c r="J50" s="94">
        <f t="shared" si="84"/>
        <v>122562</v>
      </c>
      <c r="K50" s="94">
        <f t="shared" si="84"/>
        <v>128310</v>
      </c>
      <c r="L50" s="94">
        <f t="shared" si="84"/>
        <v>134058</v>
      </c>
      <c r="M50" s="94">
        <f t="shared" si="84"/>
        <v>141516.5</v>
      </c>
      <c r="N50" s="94">
        <f t="shared" si="84"/>
        <v>148975</v>
      </c>
      <c r="O50" s="94">
        <f t="shared" si="84"/>
        <v>156433.5</v>
      </c>
      <c r="P50" s="94">
        <f t="shared" si="84"/>
        <v>163892</v>
      </c>
      <c r="Q50" s="94">
        <f t="shared" ref="Q50" si="85">+P53</f>
        <v>175922</v>
      </c>
      <c r="R50" s="94">
        <f t="shared" ref="R50" si="86">+Q53</f>
        <v>187952</v>
      </c>
      <c r="S50" s="94">
        <f t="shared" ref="S50" si="87">+R53</f>
        <v>199982</v>
      </c>
      <c r="T50" s="936"/>
      <c r="U50" s="936"/>
      <c r="V50" s="94">
        <f>+U47</f>
        <v>0</v>
      </c>
      <c r="W50" s="94">
        <f t="shared" ref="W50:AD50" si="88">+V53</f>
        <v>58683</v>
      </c>
      <c r="X50" s="94">
        <f t="shared" si="88"/>
        <v>71807</v>
      </c>
      <c r="Y50" s="94">
        <f t="shared" si="88"/>
        <v>87348</v>
      </c>
      <c r="Z50" s="94">
        <f t="shared" si="88"/>
        <v>111066</v>
      </c>
      <c r="AA50" s="94">
        <f t="shared" si="88"/>
        <v>134058</v>
      </c>
      <c r="AB50" s="94">
        <f t="shared" si="88"/>
        <v>163892</v>
      </c>
      <c r="AC50" s="94">
        <f t="shared" si="88"/>
        <v>212012</v>
      </c>
      <c r="AD50" s="94">
        <f t="shared" si="88"/>
        <v>292012</v>
      </c>
    </row>
    <row r="51" spans="1:30" s="1" customFormat="1" ht="10.5">
      <c r="A51" s="1237"/>
      <c r="B51" s="13" t="s">
        <v>800</v>
      </c>
      <c r="D51" s="94">
        <f>+D57</f>
        <v>5500</v>
      </c>
      <c r="E51" s="94">
        <f>+E57</f>
        <v>5400</v>
      </c>
      <c r="F51" s="94">
        <f t="shared" ref="F51:P51" si="89">+F57</f>
        <v>6000</v>
      </c>
      <c r="G51" s="94">
        <f t="shared" si="89"/>
        <v>7300</v>
      </c>
      <c r="H51" s="94">
        <f t="shared" si="89"/>
        <v>7400</v>
      </c>
      <c r="I51" s="94">
        <f t="shared" si="89"/>
        <v>6800</v>
      </c>
      <c r="J51" s="94">
        <f t="shared" si="89"/>
        <v>6300</v>
      </c>
      <c r="K51" s="94">
        <f t="shared" si="89"/>
        <v>8700</v>
      </c>
      <c r="L51" s="94">
        <f t="shared" si="89"/>
        <v>6600</v>
      </c>
      <c r="M51" s="94">
        <f t="shared" si="89"/>
        <v>6800</v>
      </c>
      <c r="N51" s="94">
        <f t="shared" si="89"/>
        <v>7800</v>
      </c>
      <c r="O51" s="94">
        <f t="shared" si="89"/>
        <v>10700</v>
      </c>
      <c r="P51" s="94">
        <f t="shared" si="89"/>
        <v>11200</v>
      </c>
      <c r="Q51" s="94">
        <f t="shared" ref="Q51:R51" si="90">+Q57</f>
        <v>11500</v>
      </c>
      <c r="R51" s="94">
        <f t="shared" si="90"/>
        <v>14000</v>
      </c>
      <c r="S51" s="94">
        <f t="shared" ref="S51" si="91">+S57</f>
        <v>19000</v>
      </c>
      <c r="T51" s="936"/>
      <c r="U51" s="936"/>
      <c r="V51" s="94">
        <f t="shared" ref="V51:AD51" si="92">+V57</f>
        <v>13600</v>
      </c>
      <c r="W51" s="94">
        <f t="shared" si="92"/>
        <v>16900</v>
      </c>
      <c r="X51" s="94">
        <f t="shared" si="92"/>
        <v>19000</v>
      </c>
      <c r="Y51" s="94">
        <f t="shared" si="92"/>
        <v>24200</v>
      </c>
      <c r="Z51" s="94">
        <f t="shared" si="92"/>
        <v>29200</v>
      </c>
      <c r="AA51" s="94">
        <f t="shared" si="92"/>
        <v>31900</v>
      </c>
      <c r="AB51" s="94">
        <f t="shared" si="92"/>
        <v>55700</v>
      </c>
      <c r="AC51" s="94">
        <f t="shared" si="92"/>
        <v>83000</v>
      </c>
      <c r="AD51" s="94">
        <f t="shared" si="92"/>
        <v>69096.915850909209</v>
      </c>
    </row>
    <row r="52" spans="1:30" s="1" customFormat="1" ht="11.45">
      <c r="A52" s="1237"/>
      <c r="B52" s="13" t="s">
        <v>200</v>
      </c>
      <c r="D52" s="943">
        <f>+D53-SUM(D50:D51)</f>
        <v>429.5</v>
      </c>
      <c r="E52" s="943">
        <f>+E53-SUM(E50:E51)</f>
        <v>529.5</v>
      </c>
      <c r="F52" s="943">
        <f t="shared" ref="F52:P52" si="93">+F53-SUM(F50:F51)</f>
        <v>-70.5</v>
      </c>
      <c r="G52" s="943">
        <f t="shared" si="93"/>
        <v>-1370.5</v>
      </c>
      <c r="H52" s="943">
        <f t="shared" si="93"/>
        <v>-1652</v>
      </c>
      <c r="I52" s="943">
        <f t="shared" si="93"/>
        <v>-1052</v>
      </c>
      <c r="J52" s="943">
        <f t="shared" si="93"/>
        <v>-552</v>
      </c>
      <c r="K52" s="943">
        <f t="shared" si="93"/>
        <v>-2952</v>
      </c>
      <c r="L52" s="943">
        <f t="shared" si="93"/>
        <v>858.5</v>
      </c>
      <c r="M52" s="943">
        <f t="shared" si="93"/>
        <v>658.5</v>
      </c>
      <c r="N52" s="943">
        <f t="shared" si="93"/>
        <v>-341.5</v>
      </c>
      <c r="O52" s="943">
        <f t="shared" si="93"/>
        <v>-3241.5</v>
      </c>
      <c r="P52" s="943">
        <f t="shared" si="93"/>
        <v>830</v>
      </c>
      <c r="Q52" s="943">
        <f t="shared" ref="Q52:R52" si="94">+Q53-SUM(Q50:Q51)</f>
        <v>530</v>
      </c>
      <c r="R52" s="943">
        <f t="shared" si="94"/>
        <v>-1970</v>
      </c>
      <c r="S52" s="943">
        <f t="shared" ref="S52" si="95">+S53-SUM(S50:S51)</f>
        <v>-6970</v>
      </c>
      <c r="T52" s="936"/>
      <c r="U52" s="936"/>
      <c r="V52" s="943">
        <f t="shared" ref="V52:AB52" si="96">+V53-SUM(V50:V51)</f>
        <v>45083</v>
      </c>
      <c r="W52" s="943">
        <f t="shared" si="96"/>
        <v>-3776</v>
      </c>
      <c r="X52" s="943">
        <f t="shared" si="96"/>
        <v>-3459</v>
      </c>
      <c r="Y52" s="943">
        <f t="shared" si="96"/>
        <v>-482</v>
      </c>
      <c r="Z52" s="943">
        <f t="shared" si="96"/>
        <v>-6208</v>
      </c>
      <c r="AA52" s="943">
        <f t="shared" si="96"/>
        <v>-2066</v>
      </c>
      <c r="AB52" s="943">
        <f t="shared" si="96"/>
        <v>-7580</v>
      </c>
      <c r="AC52" s="1230">
        <v>-3000</v>
      </c>
      <c r="AD52" s="1230">
        <v>-3000</v>
      </c>
    </row>
    <row r="53" spans="1:30" s="1" customFormat="1" ht="10.5">
      <c r="A53" s="1237"/>
      <c r="B53" s="15" t="s">
        <v>784</v>
      </c>
      <c r="D53" s="94">
        <f t="shared" ref="D53:P53" si="97">+D47</f>
        <v>93277.5</v>
      </c>
      <c r="E53" s="94">
        <f t="shared" si="97"/>
        <v>99207</v>
      </c>
      <c r="F53" s="94">
        <f t="shared" si="97"/>
        <v>105136.5</v>
      </c>
      <c r="G53" s="94">
        <f t="shared" si="97"/>
        <v>111066</v>
      </c>
      <c r="H53" s="94">
        <f t="shared" si="97"/>
        <v>116814</v>
      </c>
      <c r="I53" s="94">
        <f t="shared" si="97"/>
        <v>122562</v>
      </c>
      <c r="J53" s="94">
        <f t="shared" si="97"/>
        <v>128310</v>
      </c>
      <c r="K53" s="94">
        <f t="shared" si="97"/>
        <v>134058</v>
      </c>
      <c r="L53" s="94">
        <f t="shared" si="97"/>
        <v>141516.5</v>
      </c>
      <c r="M53" s="94">
        <f t="shared" si="97"/>
        <v>148975</v>
      </c>
      <c r="N53" s="94">
        <f t="shared" si="97"/>
        <v>156433.5</v>
      </c>
      <c r="O53" s="94">
        <f t="shared" si="97"/>
        <v>163892</v>
      </c>
      <c r="P53" s="94">
        <f t="shared" si="97"/>
        <v>175922</v>
      </c>
      <c r="Q53" s="94">
        <f t="shared" ref="Q53:R53" si="98">+Q47</f>
        <v>187952</v>
      </c>
      <c r="R53" s="94">
        <f t="shared" si="98"/>
        <v>199982</v>
      </c>
      <c r="S53" s="94">
        <f t="shared" ref="S53" si="99">+S47</f>
        <v>212012</v>
      </c>
      <c r="T53" s="936"/>
      <c r="U53" s="936"/>
      <c r="V53" s="94">
        <f t="shared" ref="V53:AB53" si="100">+V47</f>
        <v>58683</v>
      </c>
      <c r="W53" s="94">
        <f t="shared" si="100"/>
        <v>71807</v>
      </c>
      <c r="X53" s="94">
        <f t="shared" si="100"/>
        <v>87348</v>
      </c>
      <c r="Y53" s="94">
        <f t="shared" si="100"/>
        <v>111066</v>
      </c>
      <c r="Z53" s="94">
        <f t="shared" si="100"/>
        <v>134058</v>
      </c>
      <c r="AA53" s="94">
        <f t="shared" si="100"/>
        <v>163892</v>
      </c>
      <c r="AB53" s="94">
        <f t="shared" si="100"/>
        <v>212012</v>
      </c>
      <c r="AC53" s="94">
        <f t="shared" ref="AC53:AD53" si="101">SUM(AC50:AC52)</f>
        <v>292012</v>
      </c>
      <c r="AD53" s="94">
        <f t="shared" si="101"/>
        <v>358108.91585090919</v>
      </c>
    </row>
    <row r="55" spans="1:30">
      <c r="B55" t="str">
        <f>+B23</f>
        <v>Additions to property plant and equipment</v>
      </c>
      <c r="D55" s="859">
        <f t="shared" ref="D55:P55" si="102">+D23</f>
        <v>4907</v>
      </c>
      <c r="E55" s="859">
        <f t="shared" si="102"/>
        <v>4174</v>
      </c>
      <c r="F55" s="859">
        <f t="shared" si="102"/>
        <v>5089</v>
      </c>
      <c r="G55" s="859">
        <f t="shared" si="102"/>
        <v>6452</v>
      </c>
      <c r="H55" s="859">
        <f t="shared" si="102"/>
        <v>5810</v>
      </c>
      <c r="I55" s="859">
        <f t="shared" si="102"/>
        <v>5865</v>
      </c>
      <c r="J55" s="859">
        <f t="shared" si="102"/>
        <v>5340</v>
      </c>
      <c r="K55" s="859">
        <f t="shared" si="102"/>
        <v>6871</v>
      </c>
      <c r="L55" s="859">
        <f t="shared" si="102"/>
        <v>6283</v>
      </c>
      <c r="M55" s="859">
        <f t="shared" si="102"/>
        <v>6274</v>
      </c>
      <c r="N55" s="859">
        <f t="shared" si="102"/>
        <v>6607</v>
      </c>
      <c r="O55" s="859">
        <f t="shared" si="102"/>
        <v>8943</v>
      </c>
      <c r="P55" s="859">
        <f t="shared" si="102"/>
        <v>9917</v>
      </c>
      <c r="Q55" s="859">
        <f t="shared" ref="Q55:R55" si="103">+Q23</f>
        <v>9735</v>
      </c>
      <c r="R55" s="859">
        <f t="shared" si="103"/>
        <v>10952</v>
      </c>
      <c r="S55" s="859">
        <f t="shared" ref="S55" si="104">+S23</f>
        <v>13873</v>
      </c>
      <c r="T55" s="41"/>
      <c r="U55" s="41"/>
      <c r="V55" s="859">
        <f t="shared" ref="V55:AA57" si="105">+V23</f>
        <v>11632</v>
      </c>
      <c r="W55" s="859">
        <f t="shared" si="105"/>
        <v>13925</v>
      </c>
      <c r="X55" s="859">
        <f t="shared" si="105"/>
        <v>15441</v>
      </c>
      <c r="Y55" s="859">
        <f t="shared" si="105"/>
        <v>20622</v>
      </c>
      <c r="Z55" s="859">
        <f t="shared" si="105"/>
        <v>23886</v>
      </c>
      <c r="AA55" s="859">
        <f t="shared" si="105"/>
        <v>28107</v>
      </c>
    </row>
    <row r="56" spans="1:30" ht="11.45">
      <c r="B56" t="str">
        <f t="shared" ref="B56:B57" si="106">+B24</f>
        <v>Assets acquired under capital leases</v>
      </c>
      <c r="D56" s="26">
        <f t="shared" ref="D56:P56" si="107">+D24</f>
        <v>593</v>
      </c>
      <c r="E56" s="26">
        <f t="shared" si="107"/>
        <v>1226</v>
      </c>
      <c r="F56" s="26">
        <f t="shared" si="107"/>
        <v>911</v>
      </c>
      <c r="G56" s="26">
        <f t="shared" si="107"/>
        <v>848</v>
      </c>
      <c r="H56" s="26">
        <f t="shared" si="107"/>
        <v>1590</v>
      </c>
      <c r="I56" s="26">
        <f t="shared" si="107"/>
        <v>935</v>
      </c>
      <c r="J56" s="26">
        <f t="shared" si="107"/>
        <v>960</v>
      </c>
      <c r="K56" s="26">
        <f t="shared" si="107"/>
        <v>1829</v>
      </c>
      <c r="L56" s="26">
        <f t="shared" si="107"/>
        <v>317</v>
      </c>
      <c r="M56" s="26">
        <f t="shared" si="107"/>
        <v>526</v>
      </c>
      <c r="N56" s="26">
        <f t="shared" si="107"/>
        <v>1193</v>
      </c>
      <c r="O56" s="26">
        <f t="shared" si="107"/>
        <v>1757</v>
      </c>
      <c r="P56" s="26">
        <f t="shared" si="107"/>
        <v>1283</v>
      </c>
      <c r="Q56" s="26">
        <f t="shared" ref="Q56:R56" si="108">+Q24</f>
        <v>1765</v>
      </c>
      <c r="R56" s="26">
        <f t="shared" si="108"/>
        <v>3048</v>
      </c>
      <c r="S56" s="26">
        <f t="shared" ref="S56" si="109">+S24</f>
        <v>5127</v>
      </c>
      <c r="T56" s="41"/>
      <c r="U56" s="41"/>
      <c r="V56" s="26">
        <f t="shared" si="105"/>
        <v>1968</v>
      </c>
      <c r="W56" s="26">
        <f t="shared" si="105"/>
        <v>2975</v>
      </c>
      <c r="X56" s="26">
        <f t="shared" si="105"/>
        <v>3559</v>
      </c>
      <c r="Y56" s="26">
        <f t="shared" si="105"/>
        <v>3578</v>
      </c>
      <c r="Z56" s="26">
        <f t="shared" si="105"/>
        <v>5314</v>
      </c>
      <c r="AA56" s="26">
        <f t="shared" si="105"/>
        <v>3793</v>
      </c>
    </row>
    <row r="57" spans="1:30" ht="10.5">
      <c r="A57" t="s">
        <v>1049</v>
      </c>
      <c r="B57" s="837" t="str">
        <f t="shared" si="106"/>
        <v>Total Capex</v>
      </c>
      <c r="D57" s="1241">
        <f t="shared" ref="D57:P57" si="110">+D25</f>
        <v>5500</v>
      </c>
      <c r="E57" s="1241">
        <f t="shared" si="110"/>
        <v>5400</v>
      </c>
      <c r="F57" s="1241">
        <f t="shared" si="110"/>
        <v>6000</v>
      </c>
      <c r="G57" s="1241">
        <f t="shared" si="110"/>
        <v>7300</v>
      </c>
      <c r="H57" s="1241">
        <f t="shared" si="110"/>
        <v>7400</v>
      </c>
      <c r="I57" s="1241">
        <f t="shared" si="110"/>
        <v>6800</v>
      </c>
      <c r="J57" s="1241">
        <f t="shared" si="110"/>
        <v>6300</v>
      </c>
      <c r="K57" s="1241">
        <f t="shared" si="110"/>
        <v>8700</v>
      </c>
      <c r="L57" s="1241">
        <f t="shared" si="110"/>
        <v>6600</v>
      </c>
      <c r="M57" s="1241">
        <f t="shared" si="110"/>
        <v>6800</v>
      </c>
      <c r="N57" s="1241">
        <f t="shared" si="110"/>
        <v>7800</v>
      </c>
      <c r="O57" s="1241">
        <f t="shared" si="110"/>
        <v>10700</v>
      </c>
      <c r="P57" s="1241">
        <f t="shared" si="110"/>
        <v>11200</v>
      </c>
      <c r="Q57" s="1241">
        <f t="shared" ref="Q57:R57" si="111">+Q25</f>
        <v>11500</v>
      </c>
      <c r="R57" s="1241">
        <f t="shared" si="111"/>
        <v>14000</v>
      </c>
      <c r="S57" s="1241">
        <f t="shared" ref="S57" si="112">+S25</f>
        <v>19000</v>
      </c>
      <c r="T57" s="41"/>
      <c r="U57" s="41"/>
      <c r="V57" s="1241">
        <f t="shared" si="105"/>
        <v>13600</v>
      </c>
      <c r="W57" s="1241">
        <f t="shared" si="105"/>
        <v>16900</v>
      </c>
      <c r="X57" s="1241">
        <f t="shared" si="105"/>
        <v>19000</v>
      </c>
      <c r="Y57" s="1241">
        <f t="shared" si="105"/>
        <v>24200</v>
      </c>
      <c r="Z57" s="1241">
        <f t="shared" si="105"/>
        <v>29200</v>
      </c>
      <c r="AA57" s="1241">
        <f t="shared" si="105"/>
        <v>31900</v>
      </c>
      <c r="AB57" s="838">
        <f>+SUM(P57:S57)</f>
        <v>55700</v>
      </c>
      <c r="AC57" s="838">
        <f>+AC25</f>
        <v>83000</v>
      </c>
      <c r="AD57" s="838">
        <f>+AD25</f>
        <v>69096.915850909209</v>
      </c>
    </row>
    <row r="58" spans="1:30">
      <c r="B58" s="13"/>
    </row>
    <row r="59" spans="1:30">
      <c r="B59" t="s">
        <v>1043</v>
      </c>
      <c r="D59" s="859">
        <f t="shared" ref="D59:O59" si="113">+D27</f>
        <v>2645</v>
      </c>
      <c r="E59" s="859">
        <f t="shared" si="113"/>
        <v>2761</v>
      </c>
      <c r="F59" s="859">
        <f t="shared" si="113"/>
        <v>2936</v>
      </c>
      <c r="G59" s="859">
        <f t="shared" si="113"/>
        <v>3344</v>
      </c>
      <c r="H59" s="859">
        <f t="shared" si="113"/>
        <v>3212</v>
      </c>
      <c r="I59" s="859">
        <f t="shared" si="113"/>
        <v>3496</v>
      </c>
      <c r="J59" s="859">
        <f t="shared" si="113"/>
        <v>3773</v>
      </c>
      <c r="K59" s="859">
        <f t="shared" si="113"/>
        <v>3979</v>
      </c>
      <c r="L59" s="859">
        <f t="shared" si="113"/>
        <v>2790</v>
      </c>
      <c r="M59" s="859">
        <f t="shared" si="113"/>
        <v>3648</v>
      </c>
      <c r="N59" s="859">
        <f t="shared" si="113"/>
        <v>3549</v>
      </c>
      <c r="O59" s="859">
        <f t="shared" si="113"/>
        <v>3874</v>
      </c>
      <c r="P59" s="859">
        <f t="shared" ref="P59:R59" si="114">+P27</f>
        <v>3921</v>
      </c>
      <c r="Q59" s="859">
        <f t="shared" si="114"/>
        <v>5459</v>
      </c>
      <c r="R59" s="859">
        <f t="shared" si="114"/>
        <v>5357</v>
      </c>
      <c r="S59" s="859">
        <f t="shared" ref="S59" si="115">+S27</f>
        <v>5690</v>
      </c>
      <c r="T59" s="41"/>
      <c r="U59" s="41"/>
      <c r="V59" s="859">
        <f t="shared" ref="V59:AA60" si="116">+V27</f>
        <v>10261</v>
      </c>
      <c r="W59" s="859">
        <f t="shared" si="116"/>
        <v>11682</v>
      </c>
      <c r="X59" s="859">
        <f t="shared" si="116"/>
        <v>12796</v>
      </c>
      <c r="Y59" s="859">
        <f t="shared" si="116"/>
        <v>11686</v>
      </c>
      <c r="Z59" s="859">
        <f t="shared" si="116"/>
        <v>14460</v>
      </c>
      <c r="AA59" s="859">
        <f t="shared" si="116"/>
        <v>13861</v>
      </c>
      <c r="AB59" s="8">
        <f>+SUM(P59:S59)</f>
        <v>20427</v>
      </c>
      <c r="AC59" s="8">
        <f t="shared" ref="AC59:AD59" si="117">+AB59-AB60+AC60</f>
        <v>28110.842105263157</v>
      </c>
      <c r="AD59" s="8">
        <f t="shared" si="117"/>
        <v>32214.15602074474</v>
      </c>
    </row>
    <row r="60" spans="1:30">
      <c r="A60" t="s">
        <v>1050</v>
      </c>
      <c r="B60" s="921" t="s">
        <v>1044</v>
      </c>
      <c r="D60" s="1242">
        <f t="shared" ref="D60:O60" si="118">+D28</f>
        <v>2645</v>
      </c>
      <c r="E60" s="1242">
        <f t="shared" si="118"/>
        <v>2761</v>
      </c>
      <c r="F60" s="1242">
        <f t="shared" si="118"/>
        <v>2936</v>
      </c>
      <c r="G60" s="1242">
        <f t="shared" si="118"/>
        <v>3344</v>
      </c>
      <c r="H60" s="1242">
        <f t="shared" si="118"/>
        <v>3212</v>
      </c>
      <c r="I60" s="1242">
        <f t="shared" si="118"/>
        <v>3496</v>
      </c>
      <c r="J60" s="1242">
        <f t="shared" si="118"/>
        <v>3773</v>
      </c>
      <c r="K60" s="1242">
        <f t="shared" si="118"/>
        <v>3979</v>
      </c>
      <c r="L60" s="1242">
        <f t="shared" si="118"/>
        <v>2790</v>
      </c>
      <c r="M60" s="1242">
        <f t="shared" si="118"/>
        <v>3648</v>
      </c>
      <c r="N60" s="1242">
        <f t="shared" si="118"/>
        <v>3549</v>
      </c>
      <c r="O60" s="1242">
        <f t="shared" si="118"/>
        <v>3874</v>
      </c>
      <c r="P60" s="1242">
        <f t="shared" ref="P60:R60" si="119">+P28</f>
        <v>3921</v>
      </c>
      <c r="Q60" s="1242">
        <f t="shared" si="119"/>
        <v>5959</v>
      </c>
      <c r="R60" s="1242">
        <f t="shared" si="119"/>
        <v>6027</v>
      </c>
      <c r="S60" s="1242">
        <f t="shared" ref="S60" si="120">+S28</f>
        <v>6380</v>
      </c>
      <c r="T60" s="932"/>
      <c r="U60" s="932"/>
      <c r="V60" s="1242">
        <f t="shared" si="116"/>
        <v>10261</v>
      </c>
      <c r="W60" s="1242">
        <f t="shared" si="116"/>
        <v>11682</v>
      </c>
      <c r="X60" s="1242">
        <f t="shared" si="116"/>
        <v>12796</v>
      </c>
      <c r="Y60" s="1242">
        <f t="shared" si="116"/>
        <v>11686</v>
      </c>
      <c r="Z60" s="1242">
        <f t="shared" si="116"/>
        <v>14460</v>
      </c>
      <c r="AA60" s="1242">
        <f t="shared" si="116"/>
        <v>13861</v>
      </c>
      <c r="AB60" s="92">
        <f>+SUM(P60:S60)</f>
        <v>22287</v>
      </c>
      <c r="AC60" s="1316">
        <f>+Base!K28</f>
        <v>29970.842105263157</v>
      </c>
      <c r="AD60" s="1316">
        <f>+Base!L28</f>
        <v>34074.15602074474</v>
      </c>
    </row>
    <row r="62" spans="1:30">
      <c r="B62" s="24" t="s">
        <v>1045</v>
      </c>
    </row>
    <row r="63" spans="1:30">
      <c r="B63" s="13" t="s">
        <v>1046</v>
      </c>
      <c r="D63" s="1240">
        <f t="shared" ref="D63:P63" si="121">+IFERROR(D47/(D59*4),"n/a")</f>
        <v>8.8163988657844996</v>
      </c>
      <c r="E63" s="1240">
        <f t="shared" si="121"/>
        <v>8.9828866352770742</v>
      </c>
      <c r="F63" s="1240">
        <f t="shared" si="121"/>
        <v>8.9523586512261577</v>
      </c>
      <c r="G63" s="1240">
        <f t="shared" si="121"/>
        <v>8.3033791866028714</v>
      </c>
      <c r="H63" s="1240">
        <f t="shared" si="121"/>
        <v>9.0919987546699872</v>
      </c>
      <c r="I63" s="1240">
        <f t="shared" si="121"/>
        <v>8.7644450800915337</v>
      </c>
      <c r="J63" s="1240">
        <f t="shared" si="121"/>
        <v>8.5018552875695725</v>
      </c>
      <c r="K63" s="1240">
        <f t="shared" si="121"/>
        <v>8.4228449359135453</v>
      </c>
      <c r="L63" s="1240">
        <f t="shared" si="121"/>
        <v>12.680689964157706</v>
      </c>
      <c r="M63" s="1240">
        <f t="shared" si="121"/>
        <v>10.209361293859649</v>
      </c>
      <c r="N63" s="1240">
        <f t="shared" si="121"/>
        <v>11.019547759932376</v>
      </c>
      <c r="O63" s="1240">
        <f t="shared" si="121"/>
        <v>10.576406814661848</v>
      </c>
      <c r="P63" s="1240">
        <f t="shared" si="121"/>
        <v>11.216653914817648</v>
      </c>
      <c r="Q63" s="1240">
        <f t="shared" ref="Q63:S63" si="122">+IFERROR(Q47/(Q59*4),"n/a")</f>
        <v>8.6074372595713502</v>
      </c>
      <c r="R63" s="1240">
        <f t="shared" si="122"/>
        <v>9.332742206458839</v>
      </c>
      <c r="S63" s="1240">
        <f t="shared" si="122"/>
        <v>9.3151142355008787</v>
      </c>
      <c r="V63" s="1240">
        <f t="shared" ref="V63:AD63" si="123">+IFERROR(V47/(V59),"n/a")</f>
        <v>5.7190332326283988</v>
      </c>
      <c r="W63" s="1240">
        <f t="shared" si="123"/>
        <v>6.1468070535867145</v>
      </c>
      <c r="X63" s="1240">
        <f t="shared" si="123"/>
        <v>6.8261956861519222</v>
      </c>
      <c r="Y63" s="1240">
        <f t="shared" si="123"/>
        <v>9.5041930515146333</v>
      </c>
      <c r="Z63" s="1240">
        <f t="shared" si="123"/>
        <v>9.2709543568464738</v>
      </c>
      <c r="AA63" s="1240">
        <f t="shared" si="123"/>
        <v>11.823966524781762</v>
      </c>
      <c r="AB63" s="1240">
        <f t="shared" si="123"/>
        <v>10.379008175454056</v>
      </c>
      <c r="AC63" s="1240">
        <f t="shared" si="123"/>
        <v>10.387878061658173</v>
      </c>
      <c r="AD63" s="1240">
        <f t="shared" si="123"/>
        <v>11.116507774417562</v>
      </c>
    </row>
    <row r="65" spans="1:30" ht="10.5">
      <c r="B65" s="45" t="s">
        <v>797</v>
      </c>
    </row>
    <row r="66" spans="1:30">
      <c r="B66" t="s">
        <v>778</v>
      </c>
      <c r="D66" s="8">
        <f t="shared" ref="D66:P66" si="124">+D47</f>
        <v>93277.5</v>
      </c>
      <c r="E66" s="8">
        <f t="shared" si="124"/>
        <v>99207</v>
      </c>
      <c r="F66" s="8">
        <f t="shared" si="124"/>
        <v>105136.5</v>
      </c>
      <c r="G66" s="8">
        <f t="shared" si="124"/>
        <v>111066</v>
      </c>
      <c r="H66" s="8">
        <f t="shared" si="124"/>
        <v>116814</v>
      </c>
      <c r="I66" s="8">
        <f t="shared" si="124"/>
        <v>122562</v>
      </c>
      <c r="J66" s="8">
        <f t="shared" si="124"/>
        <v>128310</v>
      </c>
      <c r="K66" s="8">
        <f t="shared" si="124"/>
        <v>134058</v>
      </c>
      <c r="L66" s="8">
        <f t="shared" si="124"/>
        <v>141516.5</v>
      </c>
      <c r="M66" s="8">
        <f t="shared" si="124"/>
        <v>148975</v>
      </c>
      <c r="N66" s="8">
        <f t="shared" si="124"/>
        <v>156433.5</v>
      </c>
      <c r="O66" s="8">
        <f t="shared" si="124"/>
        <v>163892</v>
      </c>
      <c r="P66" s="8">
        <f t="shared" si="124"/>
        <v>175922</v>
      </c>
      <c r="Q66" s="8">
        <f t="shared" ref="Q66:R66" si="125">+Q47</f>
        <v>187952</v>
      </c>
      <c r="R66" s="8">
        <f t="shared" si="125"/>
        <v>199982</v>
      </c>
      <c r="S66" s="8">
        <f t="shared" ref="S66" si="126">+S47</f>
        <v>212012</v>
      </c>
      <c r="V66" s="8">
        <f t="shared" ref="V66:AD66" si="127">+V47</f>
        <v>58683</v>
      </c>
      <c r="W66" s="8">
        <f t="shared" si="127"/>
        <v>71807</v>
      </c>
      <c r="X66" s="8">
        <f t="shared" si="127"/>
        <v>87348</v>
      </c>
      <c r="Y66" s="8">
        <f t="shared" si="127"/>
        <v>111066</v>
      </c>
      <c r="Z66" s="8">
        <f t="shared" si="127"/>
        <v>134058</v>
      </c>
      <c r="AA66" s="8">
        <f t="shared" si="127"/>
        <v>163892</v>
      </c>
      <c r="AB66" s="8">
        <f t="shared" si="127"/>
        <v>212012</v>
      </c>
      <c r="AC66" s="8">
        <f t="shared" si="127"/>
        <v>292012</v>
      </c>
      <c r="AD66" s="8">
        <f t="shared" si="127"/>
        <v>358108.91585090919</v>
      </c>
    </row>
    <row r="67" spans="1:30" ht="11.45">
      <c r="B67" t="s">
        <v>788</v>
      </c>
      <c r="D67" s="34">
        <f t="shared" ref="D67:P67" si="128">+D35</f>
        <v>-45235.5</v>
      </c>
      <c r="E67" s="34">
        <f t="shared" si="128"/>
        <v>-47274</v>
      </c>
      <c r="F67" s="34">
        <f t="shared" si="128"/>
        <v>-49312.5</v>
      </c>
      <c r="G67" s="34">
        <f t="shared" si="128"/>
        <v>-51351</v>
      </c>
      <c r="H67" s="34">
        <f t="shared" si="128"/>
        <v>-53428.25</v>
      </c>
      <c r="I67" s="34">
        <f t="shared" si="128"/>
        <v>-55505.5</v>
      </c>
      <c r="J67" s="34">
        <f t="shared" si="128"/>
        <v>-57582.75</v>
      </c>
      <c r="K67" s="34">
        <f t="shared" si="128"/>
        <v>-59660</v>
      </c>
      <c r="L67" s="34">
        <f t="shared" si="128"/>
        <v>-61807.75</v>
      </c>
      <c r="M67" s="34">
        <f t="shared" si="128"/>
        <v>-63955.5</v>
      </c>
      <c r="N67" s="34">
        <f t="shared" si="128"/>
        <v>-66103.25</v>
      </c>
      <c r="O67" s="34">
        <f t="shared" si="128"/>
        <v>-68251</v>
      </c>
      <c r="P67" s="34">
        <f t="shared" si="128"/>
        <v>-70293.5</v>
      </c>
      <c r="Q67" s="34">
        <f t="shared" ref="Q67:R67" si="129">+Q35</f>
        <v>-72336</v>
      </c>
      <c r="R67" s="34">
        <f t="shared" si="129"/>
        <v>-74378.5</v>
      </c>
      <c r="S67" s="34">
        <f t="shared" ref="S67" si="130">+S35</f>
        <v>-76421</v>
      </c>
      <c r="U67" s="34"/>
      <c r="V67" s="34">
        <f t="shared" ref="V67:AA67" si="131">+V35</f>
        <v>-29223</v>
      </c>
      <c r="W67" s="34">
        <f t="shared" si="131"/>
        <v>-35330</v>
      </c>
      <c r="X67" s="34">
        <f t="shared" si="131"/>
        <v>-43197</v>
      </c>
      <c r="Y67" s="34">
        <f t="shared" si="131"/>
        <v>-51351</v>
      </c>
      <c r="Z67" s="34">
        <f t="shared" si="131"/>
        <v>-59660</v>
      </c>
      <c r="AA67" s="34">
        <f t="shared" si="131"/>
        <v>-68251</v>
      </c>
      <c r="AB67" s="10">
        <f>+S67</f>
        <v>-76421</v>
      </c>
      <c r="AC67" s="10">
        <f t="shared" ref="AC67:AD67" si="132">-AC75</f>
        <v>-92531.84210526316</v>
      </c>
      <c r="AD67" s="10">
        <f t="shared" si="132"/>
        <v>-112745.99812600791</v>
      </c>
    </row>
    <row r="68" spans="1:30" s="1" customFormat="1" ht="10.5">
      <c r="A68" s="1237"/>
      <c r="B68" s="837" t="s">
        <v>797</v>
      </c>
      <c r="D68" s="838">
        <f>SUM(D66:D67)</f>
        <v>48042</v>
      </c>
      <c r="E68" s="838">
        <f t="shared" ref="E68:P68" si="133">SUM(E66:E67)</f>
        <v>51933</v>
      </c>
      <c r="F68" s="838">
        <f t="shared" si="133"/>
        <v>55824</v>
      </c>
      <c r="G68" s="838">
        <f t="shared" si="133"/>
        <v>59715</v>
      </c>
      <c r="H68" s="838">
        <f t="shared" si="133"/>
        <v>63385.75</v>
      </c>
      <c r="I68" s="838">
        <f t="shared" si="133"/>
        <v>67056.5</v>
      </c>
      <c r="J68" s="838">
        <f t="shared" si="133"/>
        <v>70727.25</v>
      </c>
      <c r="K68" s="838">
        <f t="shared" si="133"/>
        <v>74398</v>
      </c>
      <c r="L68" s="838">
        <f t="shared" si="133"/>
        <v>79708.75</v>
      </c>
      <c r="M68" s="838">
        <f t="shared" si="133"/>
        <v>85019.5</v>
      </c>
      <c r="N68" s="838">
        <f t="shared" si="133"/>
        <v>90330.25</v>
      </c>
      <c r="O68" s="838">
        <f t="shared" si="133"/>
        <v>95641</v>
      </c>
      <c r="P68" s="838">
        <f t="shared" si="133"/>
        <v>105628.5</v>
      </c>
      <c r="Q68" s="838">
        <f t="shared" ref="Q68:R68" si="134">SUM(Q66:Q67)</f>
        <v>115616</v>
      </c>
      <c r="R68" s="838">
        <f t="shared" si="134"/>
        <v>125603.5</v>
      </c>
      <c r="S68" s="838">
        <f t="shared" ref="S68" si="135">SUM(S66:S67)</f>
        <v>135591</v>
      </c>
      <c r="V68" s="838">
        <f>SUM(V66:V67)</f>
        <v>29460</v>
      </c>
      <c r="W68" s="838">
        <f t="shared" ref="W68:AD68" si="136">SUM(W66:W67)</f>
        <v>36477</v>
      </c>
      <c r="X68" s="838">
        <f t="shared" si="136"/>
        <v>44151</v>
      </c>
      <c r="Y68" s="838">
        <f t="shared" si="136"/>
        <v>59715</v>
      </c>
      <c r="Z68" s="838">
        <f t="shared" si="136"/>
        <v>74398</v>
      </c>
      <c r="AA68" s="838">
        <f t="shared" si="136"/>
        <v>95641</v>
      </c>
      <c r="AB68" s="838">
        <f t="shared" si="136"/>
        <v>135591</v>
      </c>
      <c r="AC68" s="838">
        <f t="shared" si="136"/>
        <v>199480.15789473685</v>
      </c>
      <c r="AD68" s="838">
        <f t="shared" si="136"/>
        <v>245362.91772490129</v>
      </c>
    </row>
    <row r="69" spans="1:30">
      <c r="B69" s="13" t="s">
        <v>1047</v>
      </c>
      <c r="D69" s="1240">
        <f t="shared" ref="D69:P69" si="137">+IFERROR(D68/(D59*4),"n/a")</f>
        <v>4.5408317580340265</v>
      </c>
      <c r="E69" s="1240">
        <f t="shared" si="137"/>
        <v>4.7023723288663524</v>
      </c>
      <c r="F69" s="1240">
        <f t="shared" si="137"/>
        <v>4.753405994550409</v>
      </c>
      <c r="G69" s="1240">
        <f t="shared" si="137"/>
        <v>4.4643391148325362</v>
      </c>
      <c r="H69" s="1240">
        <f t="shared" si="137"/>
        <v>4.9335110523038601</v>
      </c>
      <c r="I69" s="1240">
        <f t="shared" si="137"/>
        <v>4.7952302631578947</v>
      </c>
      <c r="J69" s="1240">
        <f t="shared" si="137"/>
        <v>4.6864067055393583</v>
      </c>
      <c r="K69" s="1240">
        <f t="shared" si="137"/>
        <v>4.6744156823322447</v>
      </c>
      <c r="L69" s="1240">
        <f t="shared" si="137"/>
        <v>7.1423611111111107</v>
      </c>
      <c r="M69" s="1240">
        <f t="shared" si="137"/>
        <v>5.8264459978070171</v>
      </c>
      <c r="N69" s="1240">
        <f t="shared" si="137"/>
        <v>6.3630776275007044</v>
      </c>
      <c r="O69" s="1240">
        <f t="shared" si="137"/>
        <v>6.1719798657718119</v>
      </c>
      <c r="P69" s="1240">
        <f t="shared" si="137"/>
        <v>6.7347934200459063</v>
      </c>
      <c r="Q69" s="1240">
        <f t="shared" ref="Q69:R69" si="138">+IFERROR(Q68/(Q59*4),"n/a")</f>
        <v>5.2947426268547355</v>
      </c>
      <c r="R69" s="1240">
        <f t="shared" si="138"/>
        <v>5.8616529774127306</v>
      </c>
      <c r="S69" s="1240">
        <f t="shared" ref="S69" si="139">+IFERROR(S68/(S59*4),"n/a")</f>
        <v>5.9574253075571182</v>
      </c>
      <c r="V69" s="1240">
        <f t="shared" ref="V69:AD69" si="140">+IFERROR(V68/(V59),"n/a")</f>
        <v>2.8710651983237501</v>
      </c>
      <c r="W69" s="1240">
        <f t="shared" si="140"/>
        <v>3.1224961479198767</v>
      </c>
      <c r="X69" s="1240">
        <f t="shared" si="140"/>
        <v>3.4503751172241324</v>
      </c>
      <c r="Y69" s="1240">
        <f t="shared" si="140"/>
        <v>5.1099606366592507</v>
      </c>
      <c r="Z69" s="1240">
        <f t="shared" si="140"/>
        <v>5.1450899031811899</v>
      </c>
      <c r="AA69" s="1240">
        <f t="shared" si="140"/>
        <v>6.9000072144866893</v>
      </c>
      <c r="AB69" s="1240">
        <f t="shared" si="140"/>
        <v>6.6378322808048171</v>
      </c>
      <c r="AC69" s="1240">
        <f t="shared" si="140"/>
        <v>7.0962000052424061</v>
      </c>
      <c r="AD69" s="1240">
        <f t="shared" si="140"/>
        <v>7.6166179106755587</v>
      </c>
    </row>
    <row r="70" spans="1:30">
      <c r="B70" s="13"/>
      <c r="V70" s="8"/>
      <c r="W70" s="8"/>
      <c r="X70" s="8"/>
      <c r="Y70" s="8"/>
      <c r="Z70" s="8"/>
      <c r="AA70" s="8"/>
    </row>
    <row r="71" spans="1:30">
      <c r="B71" s="24" t="s">
        <v>127</v>
      </c>
      <c r="V71" s="8"/>
      <c r="W71" s="8"/>
      <c r="X71" s="8"/>
      <c r="Y71" s="8"/>
      <c r="Z71" s="8"/>
      <c r="AA71" s="8"/>
    </row>
    <row r="72" spans="1:30">
      <c r="B72" s="13" t="s">
        <v>789</v>
      </c>
      <c r="D72" s="92">
        <f>-X67</f>
        <v>43197</v>
      </c>
      <c r="E72" s="92">
        <f>+D75</f>
        <v>45235.5</v>
      </c>
      <c r="F72" s="92">
        <f t="shared" ref="F72:P72" si="141">+E75</f>
        <v>47274</v>
      </c>
      <c r="G72" s="92">
        <f t="shared" si="141"/>
        <v>49312.5</v>
      </c>
      <c r="H72" s="92">
        <f t="shared" si="141"/>
        <v>51351</v>
      </c>
      <c r="I72" s="92">
        <f t="shared" si="141"/>
        <v>53428.25</v>
      </c>
      <c r="J72" s="92">
        <f t="shared" si="141"/>
        <v>55505.5</v>
      </c>
      <c r="K72" s="92">
        <f t="shared" si="141"/>
        <v>57582.75</v>
      </c>
      <c r="L72" s="92">
        <f t="shared" si="141"/>
        <v>59660</v>
      </c>
      <c r="M72" s="92">
        <f t="shared" si="141"/>
        <v>61807.75</v>
      </c>
      <c r="N72" s="92">
        <f t="shared" si="141"/>
        <v>63955.5</v>
      </c>
      <c r="O72" s="92">
        <f t="shared" si="141"/>
        <v>66103.25</v>
      </c>
      <c r="P72" s="92">
        <f t="shared" si="141"/>
        <v>68251</v>
      </c>
      <c r="Q72" s="92">
        <f t="shared" ref="Q72" si="142">+P75</f>
        <v>70293.5</v>
      </c>
      <c r="R72" s="92">
        <f t="shared" ref="R72" si="143">+Q75</f>
        <v>72336</v>
      </c>
      <c r="S72" s="92">
        <f t="shared" ref="S72" si="144">+R75</f>
        <v>74378.5</v>
      </c>
      <c r="V72" s="92">
        <f>-U67</f>
        <v>0</v>
      </c>
      <c r="W72" s="92">
        <f t="shared" ref="W72:AD72" si="145">+V75</f>
        <v>29223</v>
      </c>
      <c r="X72" s="92">
        <f t="shared" si="145"/>
        <v>35330</v>
      </c>
      <c r="Y72" s="92">
        <f t="shared" si="145"/>
        <v>43197</v>
      </c>
      <c r="Z72" s="92">
        <f t="shared" si="145"/>
        <v>51351</v>
      </c>
      <c r="AA72" s="92">
        <f t="shared" si="145"/>
        <v>59660</v>
      </c>
      <c r="AB72" s="92">
        <f t="shared" si="145"/>
        <v>68251</v>
      </c>
      <c r="AC72" s="92">
        <f t="shared" ref="AC72" si="146">+AB75</f>
        <v>76421</v>
      </c>
      <c r="AD72" s="92">
        <f t="shared" si="145"/>
        <v>92531.84210526316</v>
      </c>
    </row>
    <row r="73" spans="1:30">
      <c r="B73" s="13" t="s">
        <v>793</v>
      </c>
      <c r="D73" s="92">
        <f t="shared" ref="D73:P73" si="147">+D59</f>
        <v>2645</v>
      </c>
      <c r="E73" s="92">
        <f t="shared" si="147"/>
        <v>2761</v>
      </c>
      <c r="F73" s="92">
        <f t="shared" si="147"/>
        <v>2936</v>
      </c>
      <c r="G73" s="92">
        <f t="shared" si="147"/>
        <v>3344</v>
      </c>
      <c r="H73" s="92">
        <f t="shared" si="147"/>
        <v>3212</v>
      </c>
      <c r="I73" s="92">
        <f t="shared" si="147"/>
        <v>3496</v>
      </c>
      <c r="J73" s="92">
        <f t="shared" si="147"/>
        <v>3773</v>
      </c>
      <c r="K73" s="92">
        <f t="shared" si="147"/>
        <v>3979</v>
      </c>
      <c r="L73" s="92">
        <f t="shared" si="147"/>
        <v>2790</v>
      </c>
      <c r="M73" s="92">
        <f t="shared" si="147"/>
        <v>3648</v>
      </c>
      <c r="N73" s="92">
        <f t="shared" si="147"/>
        <v>3549</v>
      </c>
      <c r="O73" s="92">
        <f t="shared" si="147"/>
        <v>3874</v>
      </c>
      <c r="P73" s="92">
        <f t="shared" si="147"/>
        <v>3921</v>
      </c>
      <c r="Q73" s="92">
        <f t="shared" ref="Q73:R73" si="148">+Q59</f>
        <v>5459</v>
      </c>
      <c r="R73" s="92">
        <f t="shared" si="148"/>
        <v>5357</v>
      </c>
      <c r="S73" s="92">
        <f t="shared" ref="S73" si="149">+S59</f>
        <v>5690</v>
      </c>
      <c r="V73" s="92">
        <f t="shared" ref="V73:AD73" si="150">+V59</f>
        <v>10261</v>
      </c>
      <c r="W73" s="92">
        <f t="shared" si="150"/>
        <v>11682</v>
      </c>
      <c r="X73" s="92">
        <f t="shared" si="150"/>
        <v>12796</v>
      </c>
      <c r="Y73" s="92">
        <f t="shared" si="150"/>
        <v>11686</v>
      </c>
      <c r="Z73" s="92">
        <f t="shared" si="150"/>
        <v>14460</v>
      </c>
      <c r="AA73" s="92">
        <f t="shared" si="150"/>
        <v>13861</v>
      </c>
      <c r="AB73" s="92">
        <f t="shared" si="150"/>
        <v>20427</v>
      </c>
      <c r="AC73" s="92">
        <f t="shared" ref="AC73" si="151">+AC59</f>
        <v>28110.842105263157</v>
      </c>
      <c r="AD73" s="92">
        <f t="shared" si="150"/>
        <v>32214.15602074474</v>
      </c>
    </row>
    <row r="74" spans="1:30" ht="11.45">
      <c r="B74" s="13" t="s">
        <v>200</v>
      </c>
      <c r="D74" s="846">
        <f>+D75-SUM(D72:D73)</f>
        <v>-606.5</v>
      </c>
      <c r="E74" s="846">
        <f>+E75-SUM(E72:E73)</f>
        <v>-722.5</v>
      </c>
      <c r="F74" s="846">
        <f t="shared" ref="F74:P74" si="152">+F75-SUM(F72:F73)</f>
        <v>-897.5</v>
      </c>
      <c r="G74" s="846">
        <f t="shared" si="152"/>
        <v>-1305.5</v>
      </c>
      <c r="H74" s="846">
        <f t="shared" si="152"/>
        <v>-1134.75</v>
      </c>
      <c r="I74" s="846">
        <f t="shared" si="152"/>
        <v>-1418.75</v>
      </c>
      <c r="J74" s="846">
        <f t="shared" si="152"/>
        <v>-1695.75</v>
      </c>
      <c r="K74" s="846">
        <f t="shared" si="152"/>
        <v>-1901.75</v>
      </c>
      <c r="L74" s="846">
        <f t="shared" si="152"/>
        <v>-642.25</v>
      </c>
      <c r="M74" s="846">
        <f t="shared" si="152"/>
        <v>-1500.25</v>
      </c>
      <c r="N74" s="846">
        <f t="shared" si="152"/>
        <v>-1401.25</v>
      </c>
      <c r="O74" s="846">
        <f t="shared" si="152"/>
        <v>-1726.25</v>
      </c>
      <c r="P74" s="846">
        <f t="shared" si="152"/>
        <v>-1878.5</v>
      </c>
      <c r="Q74" s="846">
        <f t="shared" ref="Q74:R74" si="153">+Q75-SUM(Q72:Q73)</f>
        <v>-3416.5</v>
      </c>
      <c r="R74" s="846">
        <f t="shared" si="153"/>
        <v>-3314.5</v>
      </c>
      <c r="S74" s="846">
        <f t="shared" ref="S74" si="154">+S75-SUM(S72:S73)</f>
        <v>-3647.5</v>
      </c>
      <c r="V74" s="846">
        <f>+V75-SUM(V72:V73)</f>
        <v>18962</v>
      </c>
      <c r="W74" s="846">
        <f t="shared" ref="W74:AB74" si="155">+W75-SUM(W72:W73)</f>
        <v>-5575</v>
      </c>
      <c r="X74" s="846">
        <f t="shared" si="155"/>
        <v>-4929</v>
      </c>
      <c r="Y74" s="846">
        <f t="shared" si="155"/>
        <v>-3532</v>
      </c>
      <c r="Z74" s="846">
        <f t="shared" si="155"/>
        <v>-6151</v>
      </c>
      <c r="AA74" s="846">
        <f t="shared" si="155"/>
        <v>-5270</v>
      </c>
      <c r="AB74" s="846">
        <f t="shared" si="155"/>
        <v>-12257</v>
      </c>
      <c r="AC74" s="1230">
        <v>-12000</v>
      </c>
      <c r="AD74" s="1230">
        <v>-12000</v>
      </c>
    </row>
    <row r="75" spans="1:30">
      <c r="B75" s="15" t="s">
        <v>775</v>
      </c>
      <c r="D75" s="92">
        <f>-D67</f>
        <v>45235.5</v>
      </c>
      <c r="E75" s="92">
        <f>-E67</f>
        <v>47274</v>
      </c>
      <c r="F75" s="92">
        <f t="shared" ref="F75:P75" si="156">-F67</f>
        <v>49312.5</v>
      </c>
      <c r="G75" s="92">
        <f t="shared" si="156"/>
        <v>51351</v>
      </c>
      <c r="H75" s="92">
        <f t="shared" si="156"/>
        <v>53428.25</v>
      </c>
      <c r="I75" s="92">
        <f t="shared" si="156"/>
        <v>55505.5</v>
      </c>
      <c r="J75" s="92">
        <f t="shared" si="156"/>
        <v>57582.75</v>
      </c>
      <c r="K75" s="92">
        <f t="shared" si="156"/>
        <v>59660</v>
      </c>
      <c r="L75" s="92">
        <f t="shared" si="156"/>
        <v>61807.75</v>
      </c>
      <c r="M75" s="92">
        <f t="shared" si="156"/>
        <v>63955.5</v>
      </c>
      <c r="N75" s="92">
        <f t="shared" si="156"/>
        <v>66103.25</v>
      </c>
      <c r="O75" s="92">
        <f t="shared" si="156"/>
        <v>68251</v>
      </c>
      <c r="P75" s="92">
        <f t="shared" si="156"/>
        <v>70293.5</v>
      </c>
      <c r="Q75" s="92">
        <f t="shared" ref="Q75:R75" si="157">-Q67</f>
        <v>72336</v>
      </c>
      <c r="R75" s="92">
        <f t="shared" si="157"/>
        <v>74378.5</v>
      </c>
      <c r="S75" s="92">
        <f t="shared" ref="S75" si="158">-S67</f>
        <v>76421</v>
      </c>
      <c r="V75" s="92">
        <f>-V67</f>
        <v>29223</v>
      </c>
      <c r="W75" s="92">
        <f t="shared" ref="W75:AB75" si="159">-W67</f>
        <v>35330</v>
      </c>
      <c r="X75" s="92">
        <f t="shared" si="159"/>
        <v>43197</v>
      </c>
      <c r="Y75" s="92">
        <f t="shared" si="159"/>
        <v>51351</v>
      </c>
      <c r="Z75" s="92">
        <f t="shared" si="159"/>
        <v>59660</v>
      </c>
      <c r="AA75" s="92">
        <f t="shared" si="159"/>
        <v>68251</v>
      </c>
      <c r="AB75" s="92">
        <f t="shared" si="159"/>
        <v>76421</v>
      </c>
      <c r="AC75" s="92">
        <f t="shared" ref="AC75:AD75" si="160">SUM(AC72:AC74)</f>
        <v>92531.84210526316</v>
      </c>
      <c r="AD75" s="92">
        <f t="shared" si="160"/>
        <v>112745.99812600791</v>
      </c>
    </row>
  </sheetData>
  <pageMargins left="0.3" right="0.3" top="0.3" bottom="0.3" header="0.3" footer="0.3"/>
  <pageSetup scale="62" fitToHeight="0" orientation="landscape" r:id="rId1"/>
  <headerFooter>
    <oddFooter>Page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C3013-90D3-44A8-919D-7F397C219113}">
  <dimension ref="A1:R21"/>
  <sheetViews>
    <sheetView workbookViewId="0">
      <selection activeCell="L111" sqref="L111"/>
    </sheetView>
  </sheetViews>
  <sheetFormatPr defaultRowHeight="9.9499999999999993"/>
  <cols>
    <col min="8" max="8" width="11.5" bestFit="1" customWidth="1"/>
  </cols>
  <sheetData>
    <row r="1" spans="1:18" s="793" customFormat="1" ht="12.95">
      <c r="A1" s="790" t="s">
        <v>60</v>
      </c>
      <c r="B1" s="960"/>
      <c r="C1" s="960"/>
      <c r="D1" s="960"/>
      <c r="E1" s="791"/>
      <c r="F1" s="791"/>
      <c r="G1" s="791"/>
      <c r="H1" s="961">
        <f ca="1">TODAY()</f>
        <v>45797</v>
      </c>
      <c r="I1" s="791"/>
      <c r="J1" s="791"/>
      <c r="K1" s="791"/>
      <c r="L1" s="791"/>
      <c r="M1" s="791"/>
      <c r="N1" s="791"/>
      <c r="O1" s="791"/>
      <c r="P1" s="791"/>
      <c r="Q1" s="791"/>
    </row>
    <row r="2" spans="1:18" s="794" customFormat="1" ht="12.95">
      <c r="A2" s="794" t="s">
        <v>1051</v>
      </c>
      <c r="B2" s="962"/>
      <c r="C2" s="962"/>
      <c r="D2" s="962"/>
      <c r="E2" s="795"/>
      <c r="F2" s="795"/>
      <c r="G2" s="795"/>
      <c r="H2" s="795"/>
      <c r="I2" s="795"/>
      <c r="J2" s="795"/>
      <c r="K2" s="795"/>
      <c r="L2" s="795"/>
      <c r="M2" s="795"/>
      <c r="N2" s="795"/>
      <c r="O2" s="795"/>
      <c r="P2" s="795"/>
      <c r="Q2" s="795"/>
      <c r="R2" s="795"/>
    </row>
    <row r="3" spans="1:18" s="793" customFormat="1" ht="12.95">
      <c r="B3" s="963"/>
      <c r="C3" s="963"/>
      <c r="D3" s="963"/>
      <c r="E3" s="964"/>
      <c r="F3" s="964"/>
      <c r="G3" s="964"/>
      <c r="H3" s="964"/>
      <c r="I3" s="964"/>
      <c r="J3" s="964"/>
      <c r="K3" s="964"/>
      <c r="L3" s="964"/>
      <c r="M3" s="964"/>
      <c r="N3" s="964"/>
      <c r="O3" s="964"/>
      <c r="P3" s="964"/>
      <c r="Q3" s="964"/>
      <c r="R3" s="964"/>
    </row>
    <row r="5" spans="1:18" ht="10.5">
      <c r="A5" s="1154" t="s">
        <v>1052</v>
      </c>
      <c r="B5" s="1154">
        <v>44950</v>
      </c>
    </row>
    <row r="6" spans="1:18">
      <c r="A6" s="852" t="s">
        <v>334</v>
      </c>
    </row>
    <row r="7" spans="1:18">
      <c r="A7" t="s">
        <v>1053</v>
      </c>
    </row>
    <row r="10" spans="1:18">
      <c r="A10" t="s">
        <v>1054</v>
      </c>
    </row>
    <row r="12" spans="1:18">
      <c r="A12" t="s">
        <v>1055</v>
      </c>
    </row>
    <row r="13" spans="1:18">
      <c r="A13" t="s">
        <v>1056</v>
      </c>
    </row>
    <row r="14" spans="1:18">
      <c r="A14" t="s">
        <v>1057</v>
      </c>
    </row>
    <row r="16" spans="1:18">
      <c r="A16" t="s">
        <v>1058</v>
      </c>
    </row>
    <row r="18" spans="1:2">
      <c r="A18" t="s">
        <v>1059</v>
      </c>
    </row>
    <row r="20" spans="1:2">
      <c r="A20" t="s">
        <v>1060</v>
      </c>
    </row>
    <row r="21" spans="1:2">
      <c r="B21" t="s">
        <v>1061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323D0-0D22-4B2A-B113-D28CCE7C35C2}">
  <dimension ref="C1:AJ47"/>
  <sheetViews>
    <sheetView topLeftCell="B1" workbookViewId="0">
      <selection activeCell="A7" sqref="A7"/>
    </sheetView>
  </sheetViews>
  <sheetFormatPr defaultColWidth="19.83203125" defaultRowHeight="9.9499999999999993"/>
  <cols>
    <col min="1" max="2" width="1.83203125" customWidth="1"/>
    <col min="3" max="3" width="9.5" customWidth="1"/>
    <col min="4" max="4" width="66.5" customWidth="1"/>
    <col min="5" max="5" width="6.1640625" customWidth="1"/>
    <col min="6" max="17" width="13.5" customWidth="1"/>
    <col min="18" max="30" width="15.1640625" customWidth="1"/>
    <col min="31" max="33" width="13" customWidth="1"/>
    <col min="34" max="36" width="13.33203125" customWidth="1"/>
  </cols>
  <sheetData>
    <row r="1" spans="3:36">
      <c r="D1" s="42"/>
    </row>
    <row r="2" spans="3:36">
      <c r="D2" s="42"/>
    </row>
    <row r="3" spans="3:36">
      <c r="D3" s="42"/>
    </row>
    <row r="4" spans="3:36" ht="35.1">
      <c r="C4" s="1099" t="s">
        <v>1062</v>
      </c>
      <c r="D4" s="42"/>
    </row>
    <row r="5" spans="3:36">
      <c r="D5" s="42"/>
    </row>
    <row r="6" spans="3:36" ht="14.45">
      <c r="C6" s="1100"/>
      <c r="D6" s="1101"/>
      <c r="E6" s="1100"/>
      <c r="F6" s="1102" t="s">
        <v>1063</v>
      </c>
      <c r="G6" s="1103" t="s">
        <v>1064</v>
      </c>
      <c r="H6" s="1102" t="s">
        <v>1065</v>
      </c>
      <c r="I6" s="1103" t="s">
        <v>1066</v>
      </c>
      <c r="J6" s="1103" t="s">
        <v>1067</v>
      </c>
      <c r="K6" s="1102" t="s">
        <v>1068</v>
      </c>
      <c r="L6" s="1103" t="s">
        <v>1069</v>
      </c>
      <c r="M6" s="1102" t="s">
        <v>1070</v>
      </c>
      <c r="N6" s="1102" t="s">
        <v>1071</v>
      </c>
      <c r="O6" s="1103" t="s">
        <v>1034</v>
      </c>
      <c r="P6" s="1102" t="s">
        <v>1035</v>
      </c>
      <c r="Q6" s="1103" t="s">
        <v>1036</v>
      </c>
      <c r="R6" s="1103" t="s">
        <v>1072</v>
      </c>
      <c r="S6" s="1102" t="s">
        <v>1073</v>
      </c>
      <c r="T6" s="1103" t="s">
        <v>1074</v>
      </c>
      <c r="U6" s="1102" t="s">
        <v>1075</v>
      </c>
      <c r="V6" s="1102" t="s">
        <v>1076</v>
      </c>
      <c r="W6" s="1103" t="s">
        <v>1077</v>
      </c>
      <c r="X6" s="1102" t="s">
        <v>1078</v>
      </c>
      <c r="Y6" s="1103" t="s">
        <v>1079</v>
      </c>
      <c r="Z6" s="1103" t="s">
        <v>1080</v>
      </c>
      <c r="AA6" s="1102" t="s">
        <v>1081</v>
      </c>
      <c r="AB6" s="1103" t="s">
        <v>1082</v>
      </c>
      <c r="AC6" s="1102" t="s">
        <v>1083</v>
      </c>
      <c r="AD6" s="1102"/>
      <c r="AE6" s="1102" t="s">
        <v>1084</v>
      </c>
      <c r="AF6" s="1103" t="s">
        <v>1085</v>
      </c>
      <c r="AG6" s="1102" t="s">
        <v>1086</v>
      </c>
      <c r="AH6" s="1103" t="s">
        <v>1087</v>
      </c>
      <c r="AI6" s="1102" t="s">
        <v>1088</v>
      </c>
      <c r="AJ6" s="1103" t="s">
        <v>1089</v>
      </c>
    </row>
    <row r="7" spans="3:36" ht="14.45">
      <c r="C7" s="1100"/>
      <c r="D7" s="1101"/>
      <c r="E7" s="1100" t="s">
        <v>1090</v>
      </c>
      <c r="F7" s="1102" t="s">
        <v>1091</v>
      </c>
      <c r="G7" s="1103" t="s">
        <v>1091</v>
      </c>
      <c r="H7" s="1102" t="s">
        <v>1091</v>
      </c>
      <c r="I7" s="1103" t="s">
        <v>1091</v>
      </c>
      <c r="J7" s="1103" t="s">
        <v>1091</v>
      </c>
      <c r="K7" s="1102" t="s">
        <v>1091</v>
      </c>
      <c r="L7" s="1103" t="s">
        <v>1091</v>
      </c>
      <c r="M7" s="1102" t="s">
        <v>1091</v>
      </c>
      <c r="N7" s="1102" t="s">
        <v>1091</v>
      </c>
      <c r="O7" s="1103" t="s">
        <v>1091</v>
      </c>
      <c r="P7" s="1102" t="s">
        <v>1091</v>
      </c>
      <c r="Q7" s="1103" t="s">
        <v>1091</v>
      </c>
      <c r="R7" s="1103" t="s">
        <v>1092</v>
      </c>
      <c r="S7" s="1102" t="s">
        <v>1092</v>
      </c>
      <c r="T7" s="1103" t="s">
        <v>1092</v>
      </c>
      <c r="U7" s="1102" t="s">
        <v>1092</v>
      </c>
      <c r="V7" s="1102" t="s">
        <v>1092</v>
      </c>
      <c r="W7" s="1103" t="s">
        <v>1092</v>
      </c>
      <c r="X7" s="1102" t="s">
        <v>1092</v>
      </c>
      <c r="Y7" s="1103" t="s">
        <v>1092</v>
      </c>
      <c r="Z7" s="1103" t="s">
        <v>1092</v>
      </c>
      <c r="AA7" s="1102" t="s">
        <v>1092</v>
      </c>
      <c r="AB7" s="1103" t="s">
        <v>1092</v>
      </c>
      <c r="AC7" s="1102" t="s">
        <v>1092</v>
      </c>
      <c r="AD7" s="1102"/>
      <c r="AE7" s="1102" t="s">
        <v>1091</v>
      </c>
      <c r="AF7" s="1103" t="s">
        <v>1091</v>
      </c>
      <c r="AG7" s="1102" t="s">
        <v>1091</v>
      </c>
      <c r="AH7" s="1103" t="s">
        <v>1092</v>
      </c>
      <c r="AI7" s="1102" t="s">
        <v>1092</v>
      </c>
      <c r="AJ7" s="1103" t="s">
        <v>1092</v>
      </c>
    </row>
    <row r="8" spans="3:36" ht="21">
      <c r="D8" s="1104" t="s">
        <v>1093</v>
      </c>
    </row>
    <row r="9" spans="3:36" ht="14.45">
      <c r="D9" s="1105" t="s">
        <v>1093</v>
      </c>
    </row>
    <row r="10" spans="3:36" ht="14.45">
      <c r="D10" s="1260" t="s">
        <v>1094</v>
      </c>
      <c r="E10" s="1259" t="s">
        <v>1095</v>
      </c>
      <c r="F10" s="1108">
        <v>5525.1622425245214</v>
      </c>
      <c r="G10" s="1108">
        <v>5847.2696459958579</v>
      </c>
      <c r="H10" s="1108">
        <v>5649.8543441460797</v>
      </c>
      <c r="I10" s="1108">
        <v>6424.3350646726731</v>
      </c>
      <c r="J10" s="1108">
        <v>5495.2760167842898</v>
      </c>
      <c r="K10" s="1108">
        <v>5763.1707455625965</v>
      </c>
      <c r="L10" s="1108">
        <v>5526.0720101050711</v>
      </c>
      <c r="M10" s="1108">
        <v>6251.388926189984</v>
      </c>
      <c r="N10" s="1108">
        <v>5647.6534606122295</v>
      </c>
      <c r="O10" s="1108">
        <v>5965.607852109868</v>
      </c>
      <c r="P10" s="1108">
        <v>5841.2638603181895</v>
      </c>
      <c r="Q10" s="1108">
        <v>6376.052216627887</v>
      </c>
      <c r="R10" s="1108">
        <v>5559.2591086986595</v>
      </c>
      <c r="S10" s="1108">
        <v>5943.3229479556776</v>
      </c>
      <c r="T10" s="1108">
        <v>5749.4655533357591</v>
      </c>
      <c r="U10" s="1108">
        <v>6257.1749485176688</v>
      </c>
      <c r="V10" s="1108">
        <v>5438.6317111107264</v>
      </c>
      <c r="W10" s="1108">
        <v>5889.0966076634486</v>
      </c>
      <c r="X10" s="1108">
        <v>5672.096843734369</v>
      </c>
      <c r="Y10" s="1108">
        <v>6105.0335669173128</v>
      </c>
      <c r="Z10" s="1108">
        <v>5430.0401697679963</v>
      </c>
      <c r="AA10" s="1108">
        <v>5851.236958994069</v>
      </c>
      <c r="AB10" s="1108">
        <v>5791.55859456486</v>
      </c>
      <c r="AC10" s="1108">
        <v>6247.645659398001</v>
      </c>
      <c r="AD10" s="1108"/>
      <c r="AE10" s="1108">
        <v>23387.964200873153</v>
      </c>
      <c r="AF10" s="1108">
        <v>23036.944749198326</v>
      </c>
      <c r="AG10" s="1108">
        <v>23850.406020364779</v>
      </c>
      <c r="AH10" s="1108">
        <v>23548.863382462365</v>
      </c>
      <c r="AI10" s="1108">
        <v>23303.495470471855</v>
      </c>
      <c r="AJ10" s="1108">
        <v>23703.948195092475</v>
      </c>
    </row>
    <row r="11" spans="3:36" ht="14.45">
      <c r="D11" s="1260" t="s">
        <v>1096</v>
      </c>
      <c r="E11" s="1259" t="s">
        <v>1095</v>
      </c>
      <c r="F11" s="1108">
        <v>9536.8852090956352</v>
      </c>
      <c r="G11" s="1108">
        <v>10535.369009394293</v>
      </c>
      <c r="H11" s="1108">
        <v>11389.638491977375</v>
      </c>
      <c r="I11" s="1108">
        <v>12407.253025749513</v>
      </c>
      <c r="J11" s="1108">
        <v>12877.967071659521</v>
      </c>
      <c r="K11" s="1108">
        <v>13821.631192156214</v>
      </c>
      <c r="L11" s="1108">
        <v>14489.862425805435</v>
      </c>
      <c r="M11" s="1108">
        <v>15701.023957563517</v>
      </c>
      <c r="N11" s="1108">
        <v>16622.831381607117</v>
      </c>
      <c r="O11" s="1108">
        <v>17969.972485710226</v>
      </c>
      <c r="P11" s="1108">
        <v>18964.673667690982</v>
      </c>
      <c r="Q11" s="1108">
        <v>20259.434239246933</v>
      </c>
      <c r="R11" s="1108">
        <v>21367.983084785377</v>
      </c>
      <c r="S11" s="1108">
        <v>23055.227119046318</v>
      </c>
      <c r="T11" s="1108">
        <v>24593.754437007246</v>
      </c>
      <c r="U11" s="1108">
        <v>26448.992065818118</v>
      </c>
      <c r="V11" s="1108">
        <v>27663.52543854983</v>
      </c>
      <c r="W11" s="1108">
        <v>29615.258060326705</v>
      </c>
      <c r="X11" s="1108">
        <v>31433.950866152332</v>
      </c>
      <c r="Y11" s="1108">
        <v>33671.080834208093</v>
      </c>
      <c r="Z11" s="1108">
        <v>35238.050494125448</v>
      </c>
      <c r="AA11" s="1108">
        <v>37696.643392168575</v>
      </c>
      <c r="AB11" s="1108">
        <v>39706.2519965416</v>
      </c>
      <c r="AC11" s="1108">
        <v>42021.392750056832</v>
      </c>
      <c r="AD11" s="1108"/>
      <c r="AE11" s="1108">
        <v>43927.093990164292</v>
      </c>
      <c r="AF11" s="1108">
        <v>56891.307792658714</v>
      </c>
      <c r="AG11" s="1108">
        <v>73771.572798624227</v>
      </c>
      <c r="AH11" s="1108">
        <v>95459.716452465582</v>
      </c>
      <c r="AI11" s="1108">
        <v>122430.47171692699</v>
      </c>
      <c r="AJ11" s="1108">
        <v>154756.68495491092</v>
      </c>
    </row>
    <row r="12" spans="3:36" ht="14.45">
      <c r="D12" s="1258" t="s">
        <v>1097</v>
      </c>
      <c r="E12" s="1259" t="s">
        <v>1095</v>
      </c>
      <c r="F12" s="1108">
        <v>15070</v>
      </c>
      <c r="G12" s="1108">
        <v>16382</v>
      </c>
      <c r="H12" s="1108">
        <v>17046</v>
      </c>
      <c r="I12" s="1108">
        <v>18852</v>
      </c>
      <c r="J12" s="1108">
        <v>18388</v>
      </c>
      <c r="K12" s="1108">
        <v>19594</v>
      </c>
      <c r="L12" s="1108">
        <v>20025</v>
      </c>
      <c r="M12" s="1108">
        <v>21963</v>
      </c>
      <c r="N12" s="1108">
        <v>22308</v>
      </c>
      <c r="O12" s="1108">
        <v>23953</v>
      </c>
      <c r="P12" s="1108">
        <v>24832</v>
      </c>
      <c r="Q12" s="1108">
        <v>26633</v>
      </c>
      <c r="R12" s="1108">
        <v>26933.85015939593</v>
      </c>
      <c r="S12" s="1108">
        <v>28978.990946709069</v>
      </c>
      <c r="T12" s="1108">
        <v>30335.895489645536</v>
      </c>
      <c r="U12" s="1108">
        <v>32696.552610335322</v>
      </c>
      <c r="V12" s="1108">
        <v>33102.157149660568</v>
      </c>
      <c r="W12" s="1108">
        <v>35504.354667990156</v>
      </c>
      <c r="X12" s="1108">
        <v>37106.047709886705</v>
      </c>
      <c r="Y12" s="1108">
        <v>39776.1144011254</v>
      </c>
      <c r="Z12" s="1108">
        <v>40668.090663893454</v>
      </c>
      <c r="AA12" s="1108">
        <v>43547.880351162668</v>
      </c>
      <c r="AB12" s="1108">
        <v>45497.810591106463</v>
      </c>
      <c r="AC12" s="1108">
        <v>48269.038409454821</v>
      </c>
      <c r="AD12" s="1108"/>
      <c r="AE12" s="1108">
        <v>67350</v>
      </c>
      <c r="AF12" s="1108">
        <v>79970</v>
      </c>
      <c r="AG12" s="1108">
        <v>97726</v>
      </c>
      <c r="AH12" s="1108">
        <v>118981.7036153177</v>
      </c>
      <c r="AI12" s="1108">
        <v>145598.6927280931</v>
      </c>
      <c r="AJ12" s="1108">
        <v>178208.47993160386</v>
      </c>
    </row>
    <row r="13" spans="3:36" ht="14.45">
      <c r="D13" s="1258" t="s">
        <v>1098</v>
      </c>
      <c r="E13" s="1259" t="s">
        <v>1095</v>
      </c>
      <c r="F13" s="1108">
        <v>1791</v>
      </c>
      <c r="G13" s="1108">
        <v>1823</v>
      </c>
      <c r="H13" s="1108">
        <v>1891</v>
      </c>
      <c r="I13" s="1108">
        <v>1902</v>
      </c>
      <c r="J13" s="1108">
        <v>1929</v>
      </c>
      <c r="K13" s="1108">
        <v>1907</v>
      </c>
      <c r="L13" s="1108">
        <v>2047</v>
      </c>
      <c r="M13" s="1108">
        <v>1977</v>
      </c>
      <c r="N13" s="1108">
        <v>1944</v>
      </c>
      <c r="O13" s="1108">
        <v>1917</v>
      </c>
      <c r="P13" s="1108">
        <v>1861</v>
      </c>
      <c r="Q13" s="1108">
        <v>1872</v>
      </c>
      <c r="R13" s="1108">
        <v>1873.9608077470657</v>
      </c>
      <c r="S13" s="1108">
        <v>1859.9386170924679</v>
      </c>
      <c r="T13" s="1108">
        <v>1831.7965998384557</v>
      </c>
      <c r="U13" s="1108">
        <v>1835.464632120531</v>
      </c>
      <c r="V13" s="1108">
        <v>1878.4184954363907</v>
      </c>
      <c r="W13" s="1108">
        <v>1861.628243626983</v>
      </c>
      <c r="X13" s="1108">
        <v>1833.351340643037</v>
      </c>
      <c r="Y13" s="1108">
        <v>1834.2008082194793</v>
      </c>
      <c r="Z13" s="1108">
        <v>1898.4932913380701</v>
      </c>
      <c r="AA13" s="1108">
        <v>1878.88476326313</v>
      </c>
      <c r="AB13" s="1108">
        <v>1833.4051192944944</v>
      </c>
      <c r="AC13" s="1108">
        <v>1832.1947525458288</v>
      </c>
      <c r="AD13" s="1108"/>
      <c r="AE13" s="1108">
        <v>7407</v>
      </c>
      <c r="AF13" s="1108">
        <v>7900</v>
      </c>
      <c r="AG13" s="1108">
        <v>7594</v>
      </c>
      <c r="AH13" s="1108">
        <v>7400.2719568699868</v>
      </c>
      <c r="AI13" s="1108">
        <v>7342.5067539828124</v>
      </c>
      <c r="AJ13" s="1108">
        <v>7261.1243931005001</v>
      </c>
    </row>
    <row r="14" spans="3:36" ht="14.45">
      <c r="D14" s="1258" t="s">
        <v>1099</v>
      </c>
      <c r="E14" s="1259" t="s">
        <v>1095</v>
      </c>
      <c r="F14" s="1108">
        <v>51</v>
      </c>
      <c r="G14" s="1108">
        <v>57</v>
      </c>
      <c r="H14" s="1108">
        <v>114</v>
      </c>
      <c r="I14" s="1108">
        <v>168</v>
      </c>
      <c r="J14" s="1108">
        <v>8</v>
      </c>
      <c r="K14" s="1108">
        <v>7</v>
      </c>
      <c r="L14" s="1108">
        <v>9</v>
      </c>
      <c r="M14" s="1108">
        <v>13</v>
      </c>
      <c r="N14" s="1108">
        <v>7</v>
      </c>
      <c r="O14" s="1108">
        <v>10</v>
      </c>
      <c r="P14" s="1108">
        <v>15</v>
      </c>
      <c r="Q14" s="1108">
        <v>10</v>
      </c>
      <c r="R14" s="1108">
        <v>23.643920625000298</v>
      </c>
      <c r="S14" s="1108">
        <v>16.064533093750537</v>
      </c>
      <c r="T14" s="1108">
        <v>35.990680237332271</v>
      </c>
      <c r="U14" s="1108">
        <v>21.001578356172086</v>
      </c>
      <c r="V14" s="1108">
        <v>14.424107142857142</v>
      </c>
      <c r="W14" s="1108">
        <v>16.044642857142858</v>
      </c>
      <c r="X14" s="1108">
        <v>20.995034340659334</v>
      </c>
      <c r="Y14" s="1108">
        <v>16.524464285714284</v>
      </c>
      <c r="Z14" s="1108">
        <v>7</v>
      </c>
      <c r="AA14" s="1108">
        <v>10</v>
      </c>
      <c r="AB14" s="1108">
        <v>15</v>
      </c>
      <c r="AC14" s="1108">
        <v>10</v>
      </c>
      <c r="AD14" s="1108"/>
      <c r="AE14" s="1108">
        <v>494</v>
      </c>
      <c r="AF14" s="1108">
        <v>36.999999999996398</v>
      </c>
      <c r="AG14" s="1108">
        <v>42</v>
      </c>
      <c r="AH14" s="1108">
        <v>93.483023352710958</v>
      </c>
      <c r="AI14" s="1108">
        <v>90.984167537248723</v>
      </c>
      <c r="AJ14" s="1108">
        <v>97.401038891770838</v>
      </c>
    </row>
    <row r="15" spans="3:36" ht="14.45">
      <c r="D15" s="1105" t="s">
        <v>1100</v>
      </c>
      <c r="E15" s="1259" t="s">
        <v>1095</v>
      </c>
      <c r="F15" s="1108">
        <v>16912</v>
      </c>
      <c r="G15" s="1108">
        <v>18262</v>
      </c>
      <c r="H15" s="1108">
        <v>18987</v>
      </c>
      <c r="I15" s="1108">
        <v>20804</v>
      </c>
      <c r="J15" s="1108">
        <v>20325</v>
      </c>
      <c r="K15" s="1108">
        <v>21508</v>
      </c>
      <c r="L15" s="1108">
        <v>22081</v>
      </c>
      <c r="M15" s="1108">
        <v>23993</v>
      </c>
      <c r="N15" s="1108">
        <v>24259</v>
      </c>
      <c r="O15" s="1108">
        <v>25880</v>
      </c>
      <c r="P15" s="1108">
        <v>26708</v>
      </c>
      <c r="Q15" s="1108">
        <v>28515</v>
      </c>
      <c r="R15" s="1108">
        <v>28827.617820138857</v>
      </c>
      <c r="S15" s="1108">
        <v>30887.687371338136</v>
      </c>
      <c r="T15" s="1108">
        <v>32157.628922450102</v>
      </c>
      <c r="U15" s="1108">
        <v>34545.297715662608</v>
      </c>
      <c r="V15" s="1108">
        <v>34968.701433428447</v>
      </c>
      <c r="W15" s="1108">
        <v>37332.352311803799</v>
      </c>
      <c r="X15" s="1108">
        <v>38848.781569847488</v>
      </c>
      <c r="Y15" s="1108">
        <v>41534.474974415614</v>
      </c>
      <c r="Z15" s="1108">
        <v>42581.150822875228</v>
      </c>
      <c r="AA15" s="1108">
        <v>45480.279575930057</v>
      </c>
      <c r="AB15" s="1108">
        <v>47344.142845136157</v>
      </c>
      <c r="AC15" s="1108">
        <v>50190.314041918813</v>
      </c>
      <c r="AD15" s="1108"/>
      <c r="AE15" s="1108">
        <v>74965</v>
      </c>
      <c r="AF15" s="1108">
        <v>87907</v>
      </c>
      <c r="AG15" s="1108">
        <v>105362</v>
      </c>
      <c r="AH15" s="1108">
        <v>126424.16622075942</v>
      </c>
      <c r="AI15" s="1108">
        <v>152818.40193198255</v>
      </c>
      <c r="AJ15" s="1108">
        <v>185416.03625426238</v>
      </c>
    </row>
    <row r="16" spans="3:36" ht="14.45">
      <c r="D16" s="1105" t="s">
        <v>1101</v>
      </c>
      <c r="E16" s="1259" t="s">
        <v>1095</v>
      </c>
      <c r="F16" s="1108">
        <v>4856.1242306084569</v>
      </c>
      <c r="G16" s="1108">
        <v>5454.2799417726956</v>
      </c>
      <c r="H16" s="1108">
        <v>5559.51560408977</v>
      </c>
      <c r="I16" s="1108">
        <v>6404.1809146825462</v>
      </c>
      <c r="J16" s="1108">
        <v>5790.1534668979584</v>
      </c>
      <c r="K16" s="1108">
        <v>6453.9215152570159</v>
      </c>
      <c r="L16" s="1108">
        <v>6541.3188884419105</v>
      </c>
      <c r="M16" s="1108">
        <v>7450.0592501587998</v>
      </c>
      <c r="N16" s="1108">
        <v>7287.8213688596043</v>
      </c>
      <c r="O16" s="1108">
        <v>7782.3414154099619</v>
      </c>
      <c r="P16" s="1108">
        <v>8043.9537132765963</v>
      </c>
      <c r="Q16" s="1108">
        <v>9449.2888200378347</v>
      </c>
      <c r="R16" s="1108">
        <v>9056.2929097160686</v>
      </c>
      <c r="S16" s="1108">
        <v>10164.776106911986</v>
      </c>
      <c r="T16" s="1108">
        <v>10521.606661758648</v>
      </c>
      <c r="U16" s="1108">
        <v>11542.187123921745</v>
      </c>
      <c r="V16" s="1108">
        <v>11685.636287095725</v>
      </c>
      <c r="W16" s="1108">
        <v>12664.975045950599</v>
      </c>
      <c r="X16" s="1108">
        <v>13377.827227410262</v>
      </c>
      <c r="Y16" s="1108">
        <v>14157.998371549351</v>
      </c>
      <c r="Z16" s="1108">
        <v>14323.757486713483</v>
      </c>
      <c r="AA16" s="1108">
        <v>15463.371210833149</v>
      </c>
      <c r="AB16" s="1108">
        <v>16134.85536596265</v>
      </c>
      <c r="AC16" s="1108">
        <v>17084.724270135684</v>
      </c>
      <c r="AD16" s="1108"/>
      <c r="AE16" s="1108">
        <v>22478.527152066399</v>
      </c>
      <c r="AF16" s="1108">
        <v>26252.667848935293</v>
      </c>
      <c r="AG16" s="1108">
        <v>32181.83224719204</v>
      </c>
      <c r="AH16" s="1108">
        <v>40783.785319680144</v>
      </c>
      <c r="AI16" s="1108">
        <v>50405.53690898991</v>
      </c>
      <c r="AJ16" s="1108">
        <v>60476.879278642067</v>
      </c>
    </row>
    <row r="17" spans="4:36" ht="14.45">
      <c r="D17" s="1105" t="s">
        <v>1102</v>
      </c>
      <c r="E17" s="1259" t="s">
        <v>1095</v>
      </c>
      <c r="F17" s="1108">
        <v>12089.875769391541</v>
      </c>
      <c r="G17" s="1108">
        <v>12849.011724893975</v>
      </c>
      <c r="H17" s="1108">
        <v>13469.609395910233</v>
      </c>
      <c r="I17" s="1108">
        <v>14465.319085317455</v>
      </c>
      <c r="J17" s="1108">
        <v>14534.846533102032</v>
      </c>
      <c r="K17" s="1108">
        <v>15054.078484742991</v>
      </c>
      <c r="L17" s="1108">
        <v>15539.681111558091</v>
      </c>
      <c r="M17" s="1108">
        <v>16542.9407498412</v>
      </c>
      <c r="N17" s="1108">
        <v>16971.178631140399</v>
      </c>
      <c r="O17" s="1108">
        <v>18097.658584590041</v>
      </c>
      <c r="P17" s="1108">
        <v>18664.046286723409</v>
      </c>
      <c r="Q17" s="1108">
        <v>19065.71117996216</v>
      </c>
      <c r="R17" s="1108">
        <v>19764.046826748978</v>
      </c>
      <c r="S17" s="1108">
        <v>20829.740165268733</v>
      </c>
      <c r="T17" s="1108">
        <v>21796.713798337056</v>
      </c>
      <c r="U17" s="1108">
        <v>23148.770210226132</v>
      </c>
      <c r="V17" s="1108">
        <v>23445.913002357851</v>
      </c>
      <c r="W17" s="1108">
        <v>24934.201671935389</v>
      </c>
      <c r="X17" s="1108">
        <v>25723.395379317288</v>
      </c>
      <c r="Y17" s="1108">
        <v>27551.894984956725</v>
      </c>
      <c r="Z17" s="1108">
        <v>27995.14510403325</v>
      </c>
      <c r="AA17" s="1108">
        <v>29860.018385915268</v>
      </c>
      <c r="AB17" s="1108">
        <v>30811.327254202151</v>
      </c>
      <c r="AC17" s="1108">
        <v>32819.142796662418</v>
      </c>
      <c r="AD17" s="1108"/>
      <c r="AE17" s="1108">
        <v>52666.508562219315</v>
      </c>
      <c r="AF17" s="1108">
        <v>61654.332151064707</v>
      </c>
      <c r="AG17" s="1108">
        <v>73180.16775280796</v>
      </c>
      <c r="AH17" s="1108">
        <v>86045.770015245813</v>
      </c>
      <c r="AI17" s="1108">
        <v>103227.69474663414</v>
      </c>
      <c r="AJ17" s="1108">
        <v>124293.70377166166</v>
      </c>
    </row>
    <row r="18" spans="4:36" ht="14.45">
      <c r="D18" s="1105" t="s">
        <v>1103</v>
      </c>
      <c r="E18" s="1259" t="s">
        <v>1104</v>
      </c>
      <c r="F18" s="1109">
        <v>71.34314112953308</v>
      </c>
      <c r="G18" s="1109">
        <v>70.200560229258329</v>
      </c>
      <c r="H18" s="1109">
        <v>70.784045239734851</v>
      </c>
      <c r="I18" s="1109">
        <v>69.313657555320731</v>
      </c>
      <c r="J18" s="1109">
        <v>71.512160064462648</v>
      </c>
      <c r="K18" s="1109">
        <v>69.992925817105231</v>
      </c>
      <c r="L18" s="1109">
        <v>70.375803231547891</v>
      </c>
      <c r="M18" s="1109">
        <v>68.94902992473304</v>
      </c>
      <c r="N18" s="1109">
        <v>69.958277880953048</v>
      </c>
      <c r="O18" s="1109">
        <v>67.84764457762391</v>
      </c>
      <c r="P18" s="1109">
        <v>69.881856697331926</v>
      </c>
      <c r="Q18" s="1109">
        <v>66.862041662150304</v>
      </c>
      <c r="R18" s="1109">
        <v>68.576182229366879</v>
      </c>
      <c r="S18" s="1109">
        <v>67.204966566205925</v>
      </c>
      <c r="T18" s="1109">
        <v>67.442711927592796</v>
      </c>
      <c r="U18" s="1109">
        <v>66.73009385726057</v>
      </c>
      <c r="V18" s="1109">
        <v>66.744223701694025</v>
      </c>
      <c r="W18" s="1109">
        <v>66.321559638010413</v>
      </c>
      <c r="X18" s="1109">
        <v>65.794675711401439</v>
      </c>
      <c r="Y18" s="1109">
        <v>66.061529643194064</v>
      </c>
      <c r="Z18" s="1109">
        <v>66.183244653808174</v>
      </c>
      <c r="AA18" s="1109">
        <v>65.906436953770196</v>
      </c>
      <c r="AB18" s="1109">
        <v>65.647376095317426</v>
      </c>
      <c r="AC18" s="1109">
        <v>65.774961327113488</v>
      </c>
      <c r="AD18" s="1109"/>
      <c r="AE18" s="1109">
        <v>70.086810878983314</v>
      </c>
      <c r="AF18" s="1109">
        <v>70.135861934845579</v>
      </c>
      <c r="AG18" s="1109">
        <v>69.45594023728475</v>
      </c>
      <c r="AH18" s="1109">
        <v>67.843033852874811</v>
      </c>
      <c r="AI18" s="1109">
        <v>67.194755890122735</v>
      </c>
      <c r="AJ18" s="1109">
        <v>67.277532080472483</v>
      </c>
    </row>
    <row r="19" spans="4:36" ht="14.45">
      <c r="D19" s="1105" t="s">
        <v>1105</v>
      </c>
      <c r="E19" s="1259" t="s">
        <v>1095</v>
      </c>
      <c r="F19" s="1108">
        <v>7681</v>
      </c>
      <c r="G19" s="1108">
        <v>8323</v>
      </c>
      <c r="H19" s="1108">
        <v>8391</v>
      </c>
      <c r="I19" s="1108">
        <v>8808</v>
      </c>
      <c r="J19" s="1108">
        <v>8978</v>
      </c>
      <c r="K19" s="1108">
        <v>8904</v>
      </c>
      <c r="L19" s="1108">
        <v>9476</v>
      </c>
      <c r="M19" s="1108">
        <v>10526</v>
      </c>
      <c r="N19" s="1108">
        <v>11751</v>
      </c>
      <c r="O19" s="1108">
        <v>12461</v>
      </c>
      <c r="P19" s="1108">
        <v>12513</v>
      </c>
      <c r="Q19" s="1108">
        <v>12859</v>
      </c>
      <c r="R19" s="1108">
        <v>13246.594145362618</v>
      </c>
      <c r="S19" s="1108">
        <v>14087.435295009273</v>
      </c>
      <c r="T19" s="1108">
        <v>14513.546714612545</v>
      </c>
      <c r="U19" s="1108">
        <v>15460.326042714591</v>
      </c>
      <c r="V19" s="1108">
        <v>16162.490894311981</v>
      </c>
      <c r="W19" s="1108">
        <v>17174.043458151129</v>
      </c>
      <c r="X19" s="1108">
        <v>17624.236545388791</v>
      </c>
      <c r="Y19" s="1108">
        <v>18722.215122782189</v>
      </c>
      <c r="Z19" s="1108">
        <v>19746.855437508926</v>
      </c>
      <c r="AA19" s="1108">
        <v>21049.555389954625</v>
      </c>
      <c r="AB19" s="1108">
        <v>21490.103399197</v>
      </c>
      <c r="AC19" s="1108">
        <v>22364.342897457824</v>
      </c>
      <c r="AD19" s="1108"/>
      <c r="AE19" s="1108">
        <v>33203</v>
      </c>
      <c r="AF19" s="1108">
        <v>37884</v>
      </c>
      <c r="AG19" s="1108">
        <v>49584</v>
      </c>
      <c r="AH19" s="1108">
        <v>57307.902197699012</v>
      </c>
      <c r="AI19" s="1108">
        <v>69637.522735134</v>
      </c>
      <c r="AJ19" s="1108">
        <v>84401.564125175239</v>
      </c>
    </row>
    <row r="20" spans="4:36" ht="14.45">
      <c r="D20" s="1105" t="s">
        <v>1106</v>
      </c>
      <c r="E20" s="1259" t="s">
        <v>1104</v>
      </c>
      <c r="F20" s="1109">
        <v>45.417455061494799</v>
      </c>
      <c r="G20" s="1109">
        <v>44.885554703756434</v>
      </c>
      <c r="H20" s="1109">
        <v>44.044932024565639</v>
      </c>
      <c r="I20" s="1109">
        <v>42.338011920784467</v>
      </c>
      <c r="J20" s="1109">
        <v>44.172201722017221</v>
      </c>
      <c r="K20" s="1109">
        <v>41.398549376976007</v>
      </c>
      <c r="L20" s="1109">
        <v>42.914723065078576</v>
      </c>
      <c r="M20" s="1109">
        <v>43.871129079314798</v>
      </c>
      <c r="N20" s="1109">
        <v>48.439754317985077</v>
      </c>
      <c r="O20" s="1109">
        <v>48.149149922720248</v>
      </c>
      <c r="P20" s="1109">
        <v>46.851130747341621</v>
      </c>
      <c r="Q20" s="1109">
        <v>45.095563738383305</v>
      </c>
      <c r="R20" s="1109">
        <v>45.98086387549899</v>
      </c>
      <c r="S20" s="1109">
        <v>45.790731721831385</v>
      </c>
      <c r="T20" s="1109">
        <v>45.220850244319294</v>
      </c>
      <c r="U20" s="1109">
        <v>44.837850058338518</v>
      </c>
      <c r="V20" s="1109">
        <v>46.340170385948937</v>
      </c>
      <c r="W20" s="1109">
        <v>46.273670053621473</v>
      </c>
      <c r="X20" s="1109">
        <v>45.597255861520587</v>
      </c>
      <c r="Y20" s="1109">
        <v>45.284640741581853</v>
      </c>
      <c r="Z20" s="1109">
        <v>46.739855378039884</v>
      </c>
      <c r="AA20" s="1109">
        <v>46.943319391114699</v>
      </c>
      <c r="AB20" s="1109">
        <v>45.860583531010157</v>
      </c>
      <c r="AC20" s="1109">
        <v>45.026232525670075</v>
      </c>
      <c r="AD20" s="1109"/>
      <c r="AE20" s="1109">
        <v>44.288668045087711</v>
      </c>
      <c r="AF20" s="1109">
        <v>43.095544154617947</v>
      </c>
      <c r="AG20" s="1109">
        <v>47.06061008712819</v>
      </c>
      <c r="AH20" s="1109">
        <v>45.429023324186566</v>
      </c>
      <c r="AI20" s="1109">
        <v>45.772341515089416</v>
      </c>
      <c r="AJ20" s="1109">
        <v>45.885399439117876</v>
      </c>
    </row>
    <row r="21" spans="4:36" ht="14.45">
      <c r="D21" s="1105" t="s">
        <v>401</v>
      </c>
    </row>
    <row r="22" spans="4:36" ht="14.45">
      <c r="D22" s="1105" t="s">
        <v>363</v>
      </c>
    </row>
    <row r="23" spans="4:36" ht="14.45">
      <c r="D23" s="1260" t="s">
        <v>1107</v>
      </c>
      <c r="E23" s="1259" t="s">
        <v>1095</v>
      </c>
      <c r="F23" s="1108">
        <v>1761.0948516651999</v>
      </c>
      <c r="G23" s="1108">
        <v>1892.5075287397799</v>
      </c>
      <c r="H23" s="1108">
        <v>1986.0573017787151</v>
      </c>
      <c r="I23" s="1108">
        <v>2065.0691880609475</v>
      </c>
      <c r="J23" s="1108">
        <v>2136.7280745497451</v>
      </c>
      <c r="K23" s="1108">
        <v>2236.949087100345</v>
      </c>
      <c r="L23" s="1108">
        <v>2314.0374220111648</v>
      </c>
      <c r="M23" s="1108">
        <v>2387.4436949415249</v>
      </c>
      <c r="N23" s="1108">
        <v>2455.0370460536951</v>
      </c>
      <c r="O23" s="1108">
        <v>2562.2967118823399</v>
      </c>
      <c r="P23" s="1108">
        <v>2637.0629417955124</v>
      </c>
      <c r="Q23" s="1108">
        <v>2725.0937046803201</v>
      </c>
      <c r="R23" s="1108">
        <v>2756.4550632305277</v>
      </c>
      <c r="S23" s="1108">
        <v>2855.4609161623775</v>
      </c>
      <c r="T23" s="1108">
        <v>2928.1654514695101</v>
      </c>
      <c r="U23" s="1108">
        <v>3013.6230933244001</v>
      </c>
      <c r="V23" s="1108">
        <v>3017.2212208721198</v>
      </c>
      <c r="W23" s="1108">
        <v>3119.8426935335824</v>
      </c>
      <c r="X23" s="1108">
        <v>3193.4674187924475</v>
      </c>
      <c r="Y23" s="1108">
        <v>3280.8047615533324</v>
      </c>
      <c r="Z23" s="1108">
        <v>3360.0112666527848</v>
      </c>
      <c r="AA23" s="1108">
        <v>3507.1213343976851</v>
      </c>
      <c r="AB23" s="1108">
        <v>3598.5825170125549</v>
      </c>
      <c r="AC23" s="1108">
        <v>3714.9467058578098</v>
      </c>
      <c r="AD23" s="1108"/>
      <c r="AE23" s="1108">
        <v>7704.7288702446422</v>
      </c>
      <c r="AF23" s="1108">
        <v>9075.1582786027793</v>
      </c>
      <c r="AG23" s="1108">
        <v>10379.490404411876</v>
      </c>
      <c r="AH23" s="1108">
        <v>11553.704524186825</v>
      </c>
      <c r="AI23" s="1108">
        <v>12611.336094751476</v>
      </c>
      <c r="AJ23" s="1108">
        <v>14180.661823920849</v>
      </c>
    </row>
    <row r="24" spans="4:36" ht="14.45">
      <c r="D24" s="1260" t="s">
        <v>1108</v>
      </c>
      <c r="E24" s="1259" t="s">
        <v>1095</v>
      </c>
      <c r="F24" s="1108">
        <v>367.96372111485124</v>
      </c>
      <c r="G24" s="1108">
        <v>400.88306041246051</v>
      </c>
      <c r="H24" s="1108">
        <v>423.17222765790751</v>
      </c>
      <c r="I24" s="1108">
        <v>436.1419304159885</v>
      </c>
      <c r="J24" s="1108">
        <v>463.25220230055777</v>
      </c>
      <c r="K24" s="1108">
        <v>491.46809369326274</v>
      </c>
      <c r="L24" s="1108">
        <v>499.84835447646026</v>
      </c>
      <c r="M24" s="1108">
        <v>503.33647335887503</v>
      </c>
      <c r="N24" s="1108">
        <v>536.96963784712</v>
      </c>
      <c r="O24" s="1108">
        <v>558.53993903414596</v>
      </c>
      <c r="P24" s="1108">
        <v>565.23341678638576</v>
      </c>
      <c r="Q24" s="1108">
        <v>572.50069749209695</v>
      </c>
      <c r="R24" s="1108">
        <v>599.93397752921896</v>
      </c>
      <c r="S24" s="1108">
        <v>623.2908401033045</v>
      </c>
      <c r="T24" s="1108">
        <v>630.87315341165322</v>
      </c>
      <c r="U24" s="1108">
        <v>638.41081454357595</v>
      </c>
      <c r="V24" s="1108">
        <v>669.78016553775205</v>
      </c>
      <c r="W24" s="1108">
        <v>692.78932036011872</v>
      </c>
      <c r="X24" s="1108">
        <v>699.17564183280797</v>
      </c>
      <c r="Y24" s="1108">
        <v>704.86135271131025</v>
      </c>
      <c r="Z24" s="1108">
        <v>795.05468364600495</v>
      </c>
      <c r="AA24" s="1108">
        <v>824.07335659523653</v>
      </c>
      <c r="AB24" s="1108">
        <v>830.29255479390895</v>
      </c>
      <c r="AC24" s="1108">
        <v>821.76141121565797</v>
      </c>
      <c r="AD24" s="1108"/>
      <c r="AE24" s="1108">
        <v>1628.1609396012075</v>
      </c>
      <c r="AF24" s="1108">
        <v>1957.9051238291574</v>
      </c>
      <c r="AG24" s="1108">
        <v>2233.2436911597474</v>
      </c>
      <c r="AH24" s="1108">
        <v>2492.5087855877523</v>
      </c>
      <c r="AI24" s="1108">
        <v>2766.6064804419898</v>
      </c>
      <c r="AJ24" s="1108">
        <v>3271.182006250805</v>
      </c>
    </row>
    <row r="25" spans="4:36" ht="14.45">
      <c r="D25" s="1258" t="s">
        <v>1109</v>
      </c>
      <c r="E25" s="1259" t="s">
        <v>1095</v>
      </c>
      <c r="F25" s="1108">
        <v>2278.9739031872514</v>
      </c>
      <c r="G25" s="1108">
        <v>2449.0857857813999</v>
      </c>
      <c r="H25" s="1108">
        <v>2593.4859967466714</v>
      </c>
      <c r="I25" s="1108">
        <v>2490.0211490418019</v>
      </c>
      <c r="J25" s="1108">
        <v>2760.3375270283786</v>
      </c>
      <c r="K25" s="1108">
        <v>2892.6564783975182</v>
      </c>
      <c r="L25" s="1108">
        <v>3022.5894430142375</v>
      </c>
      <c r="M25" s="1108">
        <v>3094.0198731286332</v>
      </c>
      <c r="N25" s="1108">
        <v>3161.4377043831187</v>
      </c>
      <c r="O25" s="1108">
        <v>3296.8707382185544</v>
      </c>
      <c r="P25" s="1108">
        <v>3410.8905747844256</v>
      </c>
      <c r="Q25" s="1108">
        <v>3485.5774726018681</v>
      </c>
      <c r="R25" s="1108">
        <v>3521.9287716598433</v>
      </c>
      <c r="S25" s="1108">
        <v>3646.4282019137167</v>
      </c>
      <c r="T25" s="1108">
        <v>3757.4489834740966</v>
      </c>
      <c r="U25" s="1108">
        <v>3825.1412505436056</v>
      </c>
      <c r="V25" s="1108">
        <v>3835.8069869198539</v>
      </c>
      <c r="W25" s="1108">
        <v>3949.9282804374243</v>
      </c>
      <c r="X25" s="1108">
        <v>4065.9719591912617</v>
      </c>
      <c r="Y25" s="1108">
        <v>4116.9881775336053</v>
      </c>
      <c r="Z25" s="1108">
        <v>4049.2382926739424</v>
      </c>
      <c r="AA25" s="1108">
        <v>4201.9345017892092</v>
      </c>
      <c r="AB25" s="1108">
        <v>4333.9885667290609</v>
      </c>
      <c r="AC25" s="1108">
        <v>4364.3048515477258</v>
      </c>
      <c r="AD25" s="1108"/>
      <c r="AE25" s="1108">
        <v>9254.2560519037888</v>
      </c>
      <c r="AF25" s="1108">
        <v>11769.60332156878</v>
      </c>
      <c r="AG25" s="1108">
        <v>13354.776489987973</v>
      </c>
      <c r="AH25" s="1108">
        <v>14750.947207591274</v>
      </c>
      <c r="AI25" s="1108">
        <v>15968.695404082135</v>
      </c>
      <c r="AJ25" s="1108">
        <v>16949.46621273995</v>
      </c>
    </row>
    <row r="26" spans="4:36" ht="14.45">
      <c r="D26" s="1258" t="s">
        <v>1110</v>
      </c>
      <c r="E26" s="1259" t="s">
        <v>1095</v>
      </c>
      <c r="F26" s="1108">
        <v>7261.8109197587373</v>
      </c>
      <c r="G26" s="1108">
        <v>8004.5808421455777</v>
      </c>
      <c r="H26" s="1108">
        <v>8790.9685594962466</v>
      </c>
      <c r="I26" s="1108">
        <v>9619.4269225007029</v>
      </c>
      <c r="J26" s="1108">
        <v>10074.485843159286</v>
      </c>
      <c r="K26" s="1108">
        <v>10796.962220581438</v>
      </c>
      <c r="L26" s="1108">
        <v>11431.095323936825</v>
      </c>
      <c r="M26" s="1108">
        <v>12408.118607336988</v>
      </c>
      <c r="N26" s="1108">
        <v>13419.771308959313</v>
      </c>
      <c r="O26" s="1108">
        <v>14510.593165220125</v>
      </c>
      <c r="P26" s="1108">
        <v>15515.419378211374</v>
      </c>
      <c r="Q26" s="1108">
        <v>16539.772160078337</v>
      </c>
      <c r="R26" s="1108">
        <v>17855.640210301324</v>
      </c>
      <c r="S26" s="1108">
        <v>19353.629770411739</v>
      </c>
      <c r="T26" s="1108">
        <v>20908.948775062814</v>
      </c>
      <c r="U26" s="1108">
        <v>22461.353817351064</v>
      </c>
      <c r="V26" s="1108">
        <v>23912.257629322725</v>
      </c>
      <c r="W26" s="1108">
        <v>25752.182921590775</v>
      </c>
      <c r="X26" s="1108">
        <v>27544.021653064814</v>
      </c>
      <c r="Y26" s="1108">
        <v>29411.114518069498</v>
      </c>
      <c r="Z26" s="1108">
        <v>30930.500125286198</v>
      </c>
      <c r="AA26" s="1108">
        <v>33103.643172056603</v>
      </c>
      <c r="AB26" s="1108">
        <v>35086.086896811379</v>
      </c>
      <c r="AC26" s="1108">
        <v>37200.426704196259</v>
      </c>
      <c r="AD26" s="1108"/>
      <c r="AE26" s="1108">
        <v>33676.78724390125</v>
      </c>
      <c r="AF26" s="1108">
        <v>44710.661995014576</v>
      </c>
      <c r="AG26" s="1108">
        <v>59985.556012469147</v>
      </c>
      <c r="AH26" s="1108">
        <v>80579.572573126919</v>
      </c>
      <c r="AI26" s="1108">
        <v>106619.57672204779</v>
      </c>
      <c r="AJ26" s="1108">
        <v>136320.6568983506</v>
      </c>
    </row>
    <row r="27" spans="4:36" ht="14.45">
      <c r="D27" s="1105" t="s">
        <v>1096</v>
      </c>
      <c r="E27" s="1259" t="s">
        <v>1095</v>
      </c>
      <c r="F27" s="1108">
        <v>9536.8852090956352</v>
      </c>
      <c r="G27" s="1108">
        <v>10535.369009394293</v>
      </c>
      <c r="H27" s="1108">
        <v>11389.638491977375</v>
      </c>
      <c r="I27" s="1108">
        <v>12407.253025749513</v>
      </c>
      <c r="J27" s="1108">
        <v>12877.967071659521</v>
      </c>
      <c r="K27" s="1108">
        <v>13821.631192156214</v>
      </c>
      <c r="L27" s="1108">
        <v>14489.862425805435</v>
      </c>
      <c r="M27" s="1108">
        <v>15701.023957563517</v>
      </c>
      <c r="N27" s="1108">
        <v>16622.831381607117</v>
      </c>
      <c r="O27" s="1108">
        <v>17969.972485710226</v>
      </c>
      <c r="P27" s="1108">
        <v>18964.673667690982</v>
      </c>
      <c r="Q27" s="1108">
        <v>20259.434239246933</v>
      </c>
      <c r="R27" s="1108">
        <v>21367.983084785377</v>
      </c>
      <c r="S27" s="1108">
        <v>23055.227119046318</v>
      </c>
      <c r="T27" s="1108">
        <v>24593.754437007246</v>
      </c>
      <c r="U27" s="1108">
        <v>26448.992065818118</v>
      </c>
      <c r="V27" s="1108">
        <v>27663.52543854983</v>
      </c>
      <c r="W27" s="1108">
        <v>29615.258060326705</v>
      </c>
      <c r="X27" s="1108">
        <v>31433.950866152332</v>
      </c>
      <c r="Y27" s="1108">
        <v>33671.080834208093</v>
      </c>
      <c r="Z27" s="1108">
        <v>35238.050494125448</v>
      </c>
      <c r="AA27" s="1108">
        <v>37696.643392168575</v>
      </c>
      <c r="AB27" s="1108">
        <v>39706.2519965416</v>
      </c>
      <c r="AC27" s="1108">
        <v>42021.392750056832</v>
      </c>
      <c r="AD27" s="1108"/>
      <c r="AE27" s="1108">
        <v>43927.093990164292</v>
      </c>
      <c r="AF27" s="1108">
        <v>56891.307792658714</v>
      </c>
      <c r="AG27" s="1108">
        <v>73771.572798624227</v>
      </c>
      <c r="AH27" s="1108">
        <v>95459.716452465582</v>
      </c>
      <c r="AI27" s="1108">
        <v>122430.47171692699</v>
      </c>
      <c r="AJ27" s="1108">
        <v>154756.68495491092</v>
      </c>
    </row>
    <row r="28" spans="4:36" ht="14.45">
      <c r="D28" s="1105" t="s">
        <v>401</v>
      </c>
    </row>
    <row r="29" spans="4:36" ht="14.45">
      <c r="D29" s="1105" t="s">
        <v>1111</v>
      </c>
      <c r="E29" s="1259" t="s">
        <v>1112</v>
      </c>
      <c r="F29" s="1108">
        <v>170.50501923076951</v>
      </c>
      <c r="G29" s="1108">
        <v>176.65673076923099</v>
      </c>
      <c r="H29" s="1108">
        <v>183.71730769230749</v>
      </c>
      <c r="I29" s="1108">
        <v>192.29807692307699</v>
      </c>
      <c r="J29" s="1108">
        <v>195.8115384615385</v>
      </c>
      <c r="K29" s="1108">
        <v>202.87211538461551</v>
      </c>
      <c r="L29" s="1108">
        <v>209.93269230769249</v>
      </c>
      <c r="M29" s="1108">
        <v>215.473076923077</v>
      </c>
      <c r="N29" s="1108">
        <v>219.49326923076899</v>
      </c>
      <c r="O29" s="1108">
        <v>226.553846153846</v>
      </c>
      <c r="P29" s="1108">
        <v>232.09423076923099</v>
      </c>
      <c r="Q29" s="1108">
        <v>238.141346153846</v>
      </c>
      <c r="R29" s="1108">
        <v>239.992730769231</v>
      </c>
      <c r="S29" s="1108">
        <v>247.41815384615401</v>
      </c>
      <c r="T29" s="1108">
        <v>253.201769230769</v>
      </c>
      <c r="U29" s="1108">
        <v>259.53265384615401</v>
      </c>
      <c r="V29" s="1108">
        <v>261.33214923076901</v>
      </c>
      <c r="W29" s="1108">
        <v>269.15160615384599</v>
      </c>
      <c r="X29" s="1108">
        <v>275.19791076923099</v>
      </c>
      <c r="Y29" s="1108">
        <v>281.83526615384602</v>
      </c>
      <c r="Z29" s="1108">
        <v>283.57872116923102</v>
      </c>
      <c r="AA29" s="1108">
        <v>291.82373464615398</v>
      </c>
      <c r="AB29" s="1108">
        <v>298.1537436307695</v>
      </c>
      <c r="AC29" s="1108">
        <v>305.12208744615401</v>
      </c>
      <c r="AD29" s="1108"/>
      <c r="AE29" s="1108">
        <v>192.29807692307699</v>
      </c>
      <c r="AF29" s="1108">
        <v>215.473076923077</v>
      </c>
      <c r="AG29" s="1108">
        <v>238.141346153846</v>
      </c>
      <c r="AH29" s="1108">
        <v>259.53265384615401</v>
      </c>
      <c r="AI29" s="1108">
        <v>281.83526615384602</v>
      </c>
      <c r="AJ29" s="1108">
        <v>305.12208744615401</v>
      </c>
    </row>
    <row r="30" spans="4:36" ht="14.45">
      <c r="D30" s="1105" t="s">
        <v>1113</v>
      </c>
      <c r="E30" s="1259" t="s">
        <v>1114</v>
      </c>
      <c r="F30" s="1108">
        <v>1185.9381390764461</v>
      </c>
      <c r="G30" s="1108">
        <v>1231.874534836161</v>
      </c>
      <c r="H30" s="1108">
        <v>1237.3859375303559</v>
      </c>
      <c r="I30" s="1108">
        <v>1252.4345413668509</v>
      </c>
      <c r="J30" s="1108">
        <v>1234.572691284076</v>
      </c>
      <c r="K30" s="1108">
        <v>1239.488664735841</v>
      </c>
      <c r="L30" s="1108">
        <v>1244.109384526841</v>
      </c>
      <c r="M30" s="1108">
        <v>1239.714318907286</v>
      </c>
      <c r="N30" s="1108">
        <v>1227.0696819347311</v>
      </c>
      <c r="O30" s="1108">
        <v>1231.6506447953759</v>
      </c>
      <c r="P30" s="1108">
        <v>1227.9430841782359</v>
      </c>
      <c r="Q30" s="1108">
        <v>1227.0400959170811</v>
      </c>
      <c r="R30" s="1108">
        <v>1205.1143589669309</v>
      </c>
      <c r="S30" s="1108">
        <v>1211.572033279811</v>
      </c>
      <c r="T30" s="1108">
        <v>1209.8719509673761</v>
      </c>
      <c r="U30" s="1108">
        <v>1210.805442286731</v>
      </c>
      <c r="V30" s="1108">
        <v>1191.043622228746</v>
      </c>
      <c r="W30" s="1108">
        <v>1198.991139419431</v>
      </c>
      <c r="X30" s="1108">
        <v>1198.8632695376809</v>
      </c>
      <c r="Y30" s="1108">
        <v>1201.2601456551411</v>
      </c>
      <c r="Z30" s="1108">
        <v>1183.137509040361</v>
      </c>
      <c r="AA30" s="1108">
        <v>1192.329267316466</v>
      </c>
      <c r="AB30" s="1108">
        <v>1193.482544526596</v>
      </c>
      <c r="AC30" s="1108">
        <v>1197.0943633983561</v>
      </c>
      <c r="AD30" s="1108"/>
      <c r="AE30" s="1108">
        <v>1226.9082882024511</v>
      </c>
      <c r="AF30" s="1108">
        <v>1239.4712648635109</v>
      </c>
      <c r="AG30" s="1108">
        <v>1228.4258767063559</v>
      </c>
      <c r="AH30" s="1108">
        <v>1209.3409463752109</v>
      </c>
      <c r="AI30" s="1108">
        <v>1197.5395442102511</v>
      </c>
      <c r="AJ30" s="1108">
        <v>1191.5109210704461</v>
      </c>
    </row>
    <row r="31" spans="4:36" ht="14.45">
      <c r="D31" s="1105" t="s">
        <v>1115</v>
      </c>
      <c r="E31" s="1259" t="s">
        <v>1116</v>
      </c>
      <c r="F31" s="1108">
        <v>196</v>
      </c>
      <c r="G31" s="1108">
        <v>209</v>
      </c>
      <c r="H31" s="1108">
        <v>218</v>
      </c>
      <c r="I31" s="1108">
        <v>230</v>
      </c>
      <c r="J31" s="1108">
        <v>232</v>
      </c>
      <c r="K31" s="1108">
        <v>241</v>
      </c>
      <c r="L31" s="1108">
        <v>250</v>
      </c>
      <c r="M31" s="1108">
        <v>256</v>
      </c>
      <c r="N31" s="1108">
        <v>259</v>
      </c>
      <c r="O31" s="1108">
        <v>268</v>
      </c>
      <c r="P31" s="1108">
        <v>274</v>
      </c>
      <c r="Q31" s="1108">
        <v>281</v>
      </c>
      <c r="R31" s="1108">
        <v>282.09374077925003</v>
      </c>
      <c r="S31" s="1108">
        <v>289.73495007890074</v>
      </c>
      <c r="T31" s="1108">
        <v>295.37489146419875</v>
      </c>
      <c r="U31" s="1108">
        <v>302.27750953125047</v>
      </c>
      <c r="V31" s="1108">
        <v>301.63289669429224</v>
      </c>
      <c r="W31" s="1108">
        <v>309.05660365601562</v>
      </c>
      <c r="X31" s="1108">
        <v>314.99597849700473</v>
      </c>
      <c r="Y31" s="1108">
        <v>319.72441917033251</v>
      </c>
      <c r="Z31" s="1108">
        <v>320.27288952719181</v>
      </c>
      <c r="AA31" s="1108">
        <v>328.47483530750679</v>
      </c>
      <c r="AB31" s="1108">
        <v>333.39182892712461</v>
      </c>
      <c r="AC31" s="1108">
        <v>339.56384724660597</v>
      </c>
      <c r="AD31" s="1108"/>
      <c r="AE31" s="1108">
        <v>230</v>
      </c>
      <c r="AF31" s="1108">
        <v>256</v>
      </c>
      <c r="AG31" s="1108">
        <v>281</v>
      </c>
      <c r="AH31" s="1108">
        <v>302.27750953125047</v>
      </c>
      <c r="AI31" s="1108">
        <v>319.72441917033251</v>
      </c>
      <c r="AJ31" s="1108">
        <v>339.56384724660597</v>
      </c>
    </row>
    <row r="32" spans="4:36" ht="14.45">
      <c r="D32" s="1105" t="s">
        <v>401</v>
      </c>
    </row>
    <row r="33" spans="3:36" ht="14.45">
      <c r="D33" s="1105" t="s">
        <v>1117</v>
      </c>
    </row>
    <row r="34" spans="3:36" ht="14.45">
      <c r="D34" s="1258" t="s">
        <v>1118</v>
      </c>
      <c r="E34" s="1259" t="s">
        <v>1095</v>
      </c>
      <c r="F34" s="1108">
        <v>8921.1489834895037</v>
      </c>
      <c r="G34" s="1108">
        <v>9204.1861715977338</v>
      </c>
      <c r="H34" s="1108">
        <v>9585.3860953696822</v>
      </c>
      <c r="I34" s="1108">
        <v>10071.401480208848</v>
      </c>
      <c r="J34" s="1108">
        <v>10001.796769304328</v>
      </c>
      <c r="K34" s="1108">
        <v>10309.469618400346</v>
      </c>
      <c r="L34" s="1108">
        <v>11030.572702217214</v>
      </c>
      <c r="M34" s="1108">
        <v>11659.76651554717</v>
      </c>
      <c r="N34" s="1108">
        <v>11879.03828339149</v>
      </c>
      <c r="O34" s="1108">
        <v>12158.640067527362</v>
      </c>
      <c r="P34" s="1108">
        <v>12773.856756515006</v>
      </c>
      <c r="Q34" s="1108">
        <v>13247.701029736154</v>
      </c>
      <c r="R34" s="1108">
        <v>13503.479139199737</v>
      </c>
      <c r="S34" s="1108">
        <v>13895.796383016568</v>
      </c>
      <c r="T34" s="1108">
        <v>14589.026516206717</v>
      </c>
      <c r="U34" s="1108">
        <v>15140.880251562021</v>
      </c>
      <c r="V34" s="1108">
        <v>15364.468873956854</v>
      </c>
      <c r="W34" s="1108">
        <v>15800.199172486271</v>
      </c>
      <c r="X34" s="1108">
        <v>16560.539266405289</v>
      </c>
      <c r="Y34" s="1108">
        <v>17161.391814804309</v>
      </c>
      <c r="Z34" s="1108">
        <v>18022.503570169349</v>
      </c>
      <c r="AA34" s="1108">
        <v>18601.405751984796</v>
      </c>
      <c r="AB34" s="1108">
        <v>19586.896277891894</v>
      </c>
      <c r="AC34" s="1108">
        <v>20254.14792076587</v>
      </c>
      <c r="AD34" s="1108"/>
      <c r="AE34" s="1108">
        <v>37645.266594132481</v>
      </c>
      <c r="AF34" s="1108">
        <v>42835.072325195601</v>
      </c>
      <c r="AG34" s="1108">
        <v>49802.368324817042</v>
      </c>
      <c r="AH34" s="1108">
        <v>56886.398297569955</v>
      </c>
      <c r="AI34" s="1108">
        <v>64976.446148994066</v>
      </c>
      <c r="AJ34" s="1108">
        <v>76523.427347034187</v>
      </c>
    </row>
    <row r="35" spans="3:36" ht="14.45">
      <c r="D35" s="1258" t="s">
        <v>1096</v>
      </c>
      <c r="E35" s="1259" t="s">
        <v>1095</v>
      </c>
      <c r="F35" s="1108">
        <v>9536.8852090956352</v>
      </c>
      <c r="G35" s="1108">
        <v>10535.369009394293</v>
      </c>
      <c r="H35" s="1108">
        <v>11389.638491977375</v>
      </c>
      <c r="I35" s="1108">
        <v>12407.253025749513</v>
      </c>
      <c r="J35" s="1108">
        <v>12877.967071659521</v>
      </c>
      <c r="K35" s="1108">
        <v>13821.631192156214</v>
      </c>
      <c r="L35" s="1108">
        <v>14489.862425805435</v>
      </c>
      <c r="M35" s="1108">
        <v>15701.023957563517</v>
      </c>
      <c r="N35" s="1108">
        <v>16622.831381607117</v>
      </c>
      <c r="O35" s="1108">
        <v>17969.972485710226</v>
      </c>
      <c r="P35" s="1108">
        <v>18964.673667690982</v>
      </c>
      <c r="Q35" s="1108">
        <v>20259.434239246933</v>
      </c>
      <c r="R35" s="1108">
        <v>21367.983084785377</v>
      </c>
      <c r="S35" s="1108">
        <v>23055.227119046318</v>
      </c>
      <c r="T35" s="1108">
        <v>24593.754437007246</v>
      </c>
      <c r="U35" s="1108">
        <v>26448.992065818118</v>
      </c>
      <c r="V35" s="1108">
        <v>27663.52543854983</v>
      </c>
      <c r="W35" s="1108">
        <v>29615.258060326705</v>
      </c>
      <c r="X35" s="1108">
        <v>31433.950866152332</v>
      </c>
      <c r="Y35" s="1108">
        <v>33671.080834208093</v>
      </c>
      <c r="Z35" s="1108">
        <v>35238.050494125448</v>
      </c>
      <c r="AA35" s="1108">
        <v>37696.643392168575</v>
      </c>
      <c r="AB35" s="1108">
        <v>39706.2519965416</v>
      </c>
      <c r="AC35" s="1108">
        <v>42021.392750056832</v>
      </c>
      <c r="AD35" s="1108"/>
      <c r="AE35" s="1108">
        <v>43927.093990164292</v>
      </c>
      <c r="AF35" s="1108">
        <v>56891.307792658714</v>
      </c>
      <c r="AG35" s="1108">
        <v>73771.572798624227</v>
      </c>
      <c r="AH35" s="1108">
        <v>95459.716452465582</v>
      </c>
      <c r="AI35" s="1108">
        <v>122430.47171692699</v>
      </c>
      <c r="AJ35" s="1108">
        <v>154756.68495491092</v>
      </c>
    </row>
    <row r="36" spans="3:36" ht="14.45">
      <c r="D36" s="1258" t="s">
        <v>1119</v>
      </c>
      <c r="E36" s="1259" t="s">
        <v>1095</v>
      </c>
      <c r="F36" s="1108">
        <v>2029.5317631525008</v>
      </c>
      <c r="G36" s="1108">
        <v>2163.1702911867492</v>
      </c>
      <c r="H36" s="1108">
        <v>2190.6749755310698</v>
      </c>
      <c r="I36" s="1108">
        <v>2276.5190850860572</v>
      </c>
      <c r="J36" s="1108">
        <v>2472.2661612625047</v>
      </c>
      <c r="K36" s="1108">
        <v>2519.3049336183699</v>
      </c>
      <c r="L36" s="1108">
        <v>2522.8175243555488</v>
      </c>
      <c r="M36" s="1108">
        <v>2549.6264302493892</v>
      </c>
      <c r="N36" s="1108">
        <v>2788.3147210540674</v>
      </c>
      <c r="O36" s="1108">
        <v>2891.0994957212183</v>
      </c>
      <c r="P36" s="1108">
        <v>2843.324112122792</v>
      </c>
      <c r="Q36" s="1108">
        <v>2894.7018244462151</v>
      </c>
      <c r="R36" s="1108">
        <v>3078.8155422468249</v>
      </c>
      <c r="S36" s="1108">
        <v>3185.8629780822098</v>
      </c>
      <c r="T36" s="1108">
        <v>3159.5178113423908</v>
      </c>
      <c r="U36" s="1108">
        <v>3163.525518307837</v>
      </c>
      <c r="V36" s="1108">
        <v>3355.5481500146461</v>
      </c>
      <c r="W36" s="1108">
        <v>3452.6012789391389</v>
      </c>
      <c r="X36" s="1108">
        <v>3444.0212355771391</v>
      </c>
      <c r="Y36" s="1108">
        <v>3453.7363021590249</v>
      </c>
      <c r="Z36" s="1108">
        <v>3702.776192203155</v>
      </c>
      <c r="AA36" s="1108">
        <v>3810.8945137485116</v>
      </c>
      <c r="AB36" s="1108">
        <v>3744.1020184001331</v>
      </c>
      <c r="AC36" s="1108">
        <v>3789.7176443412131</v>
      </c>
      <c r="AD36" s="1108"/>
      <c r="AE36" s="1108">
        <v>8659.8961149563766</v>
      </c>
      <c r="AF36" s="1108">
        <v>10113.250098408036</v>
      </c>
      <c r="AG36" s="1108">
        <v>11713.677286234089</v>
      </c>
      <c r="AH36" s="1108">
        <v>12587.721849979271</v>
      </c>
      <c r="AI36" s="1108">
        <v>13705.906966689956</v>
      </c>
      <c r="AJ36" s="1108">
        <v>15047.490368693034</v>
      </c>
    </row>
    <row r="37" spans="3:36" ht="14.45">
      <c r="D37" s="1258" t="s">
        <v>1120</v>
      </c>
      <c r="E37" s="1259" t="s">
        <v>1095</v>
      </c>
      <c r="F37" s="1108">
        <v>1511.2328333128066</v>
      </c>
      <c r="G37" s="1108">
        <v>1600.5916641374006</v>
      </c>
      <c r="H37" s="1108">
        <v>1659.6668583503015</v>
      </c>
      <c r="I37" s="1108">
        <v>1974.1989169643973</v>
      </c>
      <c r="J37" s="1108">
        <v>1668.2981351067763</v>
      </c>
      <c r="K37" s="1108">
        <v>1740.9537400052525</v>
      </c>
      <c r="L37" s="1108">
        <v>1825.0674074612016</v>
      </c>
      <c r="M37" s="1108">
        <v>1817.7090417785989</v>
      </c>
      <c r="N37" s="1108">
        <v>1976.6558710402519</v>
      </c>
      <c r="O37" s="1108">
        <v>2129.4031832018782</v>
      </c>
      <c r="P37" s="1108">
        <v>2109.1589575093335</v>
      </c>
      <c r="Q37" s="1108">
        <v>2218.7301455861798</v>
      </c>
      <c r="R37" s="1108">
        <v>1577.4239369181871</v>
      </c>
      <c r="S37" s="1108">
        <v>1696.7880358913324</v>
      </c>
      <c r="T37" s="1108">
        <v>1637.8045381699219</v>
      </c>
      <c r="U37" s="1108">
        <v>1746.9930599456111</v>
      </c>
      <c r="V37" s="1108">
        <v>1693.9963488179465</v>
      </c>
      <c r="W37" s="1108">
        <v>1838.0879225445835</v>
      </c>
      <c r="X37" s="1108">
        <v>1775.1417904296286</v>
      </c>
      <c r="Y37" s="1108">
        <v>1885.7053636655235</v>
      </c>
      <c r="Z37" s="1108">
        <v>1937.2108189350149</v>
      </c>
      <c r="AA37" s="1108">
        <v>2173.4945149731002</v>
      </c>
      <c r="AB37" s="1108">
        <v>2073.4507006333001</v>
      </c>
      <c r="AC37" s="1108">
        <v>2129.8330495057949</v>
      </c>
      <c r="AD37" s="1108"/>
      <c r="AE37" s="1108">
        <v>8748.7686296928914</v>
      </c>
      <c r="AF37" s="1108">
        <v>7052.0283243517997</v>
      </c>
      <c r="AG37" s="1108">
        <v>9382.1724985234705</v>
      </c>
      <c r="AH37" s="1108">
        <v>6659.0095709251345</v>
      </c>
      <c r="AI37" s="1108">
        <v>7192.931425457642</v>
      </c>
      <c r="AJ37" s="1108">
        <v>8313.9890840470543</v>
      </c>
    </row>
    <row r="38" spans="3:36" ht="14.45">
      <c r="D38" s="1105" t="s">
        <v>1121</v>
      </c>
      <c r="E38" s="1259" t="s">
        <v>1095</v>
      </c>
      <c r="F38" s="1108">
        <v>20700</v>
      </c>
      <c r="G38" s="1108">
        <v>22100</v>
      </c>
      <c r="H38" s="1108">
        <v>23400</v>
      </c>
      <c r="I38" s="1108">
        <v>25000</v>
      </c>
      <c r="J38" s="1108">
        <v>25700</v>
      </c>
      <c r="K38" s="1108">
        <v>27100</v>
      </c>
      <c r="L38" s="1108">
        <v>28500</v>
      </c>
      <c r="M38" s="1108">
        <v>30300</v>
      </c>
      <c r="N38" s="1108">
        <v>31800</v>
      </c>
      <c r="O38" s="1108">
        <v>33700</v>
      </c>
      <c r="P38" s="1108">
        <v>35100</v>
      </c>
      <c r="Q38" s="1108">
        <v>36800</v>
      </c>
      <c r="R38" s="1108">
        <v>37119.819362687304</v>
      </c>
      <c r="S38" s="1108">
        <v>39362.082989511429</v>
      </c>
      <c r="T38" s="1108">
        <v>41446.85348596712</v>
      </c>
      <c r="U38" s="1108">
        <v>43812.663694679555</v>
      </c>
      <c r="V38" s="1108">
        <v>45449.58831591261</v>
      </c>
      <c r="W38" s="1108">
        <v>48046.340420682922</v>
      </c>
      <c r="X38" s="1108">
        <v>50462.398429114699</v>
      </c>
      <c r="Y38" s="1108">
        <v>53234.421503875397</v>
      </c>
      <c r="Z38" s="1108">
        <v>56370.175306933452</v>
      </c>
      <c r="AA38" s="1108">
        <v>59560.047359714023</v>
      </c>
      <c r="AB38" s="1108">
        <v>62329.184363570086</v>
      </c>
      <c r="AC38" s="1108">
        <v>65568.856729841704</v>
      </c>
      <c r="AD38" s="1108"/>
      <c r="AE38" s="1108">
        <v>91200</v>
      </c>
      <c r="AF38" s="1108">
        <v>111600</v>
      </c>
      <c r="AG38" s="1108">
        <v>137400</v>
      </c>
      <c r="AH38" s="1108">
        <v>162171.9707854247</v>
      </c>
      <c r="AI38" s="1108">
        <v>197951.44409515584</v>
      </c>
      <c r="AJ38" s="1108">
        <v>244697.49179571751</v>
      </c>
    </row>
    <row r="39" spans="3:36" ht="14.45">
      <c r="D39" s="1105" t="s">
        <v>1122</v>
      </c>
      <c r="E39" s="1259" t="s">
        <v>1095</v>
      </c>
      <c r="F39" s="1108">
        <v>6003</v>
      </c>
      <c r="G39" s="1108">
        <v>6660</v>
      </c>
      <c r="H39" s="1108">
        <v>7020</v>
      </c>
      <c r="I39" s="1108">
        <v>7781</v>
      </c>
      <c r="J39" s="1108">
        <v>6939</v>
      </c>
      <c r="K39" s="1108">
        <v>7588</v>
      </c>
      <c r="L39" s="1108">
        <v>7980</v>
      </c>
      <c r="M39" s="1108">
        <v>8484</v>
      </c>
      <c r="N39" s="1108">
        <v>8586</v>
      </c>
      <c r="O39" s="1108">
        <v>9436</v>
      </c>
      <c r="P39" s="1108">
        <v>9828</v>
      </c>
      <c r="Q39" s="1108">
        <v>11408</v>
      </c>
      <c r="R39" s="1108">
        <v>11328.640125726783</v>
      </c>
      <c r="S39" s="1108">
        <v>12289.632961197851</v>
      </c>
      <c r="T39" s="1108">
        <v>13136.96355788915</v>
      </c>
      <c r="U39" s="1108">
        <v>14332.8877080821</v>
      </c>
      <c r="V39" s="1108">
        <v>14360.883135726717</v>
      </c>
      <c r="W39" s="1108">
        <v>15465.351477132666</v>
      </c>
      <c r="X39" s="1108">
        <v>16293.96264455645</v>
      </c>
      <c r="Y39" s="1108">
        <v>17523.514291167401</v>
      </c>
      <c r="Z39" s="1108">
        <v>18008.492909435932</v>
      </c>
      <c r="AA39" s="1108">
        <v>19401.307669295635</v>
      </c>
      <c r="AB39" s="1108">
        <v>20293.227492102065</v>
      </c>
      <c r="AC39" s="1108">
        <v>22232.970325076134</v>
      </c>
      <c r="AD39" s="1108"/>
      <c r="AE39" s="1108">
        <v>27420</v>
      </c>
      <c r="AF39" s="1108">
        <v>30991</v>
      </c>
      <c r="AG39" s="1108">
        <v>39163.843611328572</v>
      </c>
      <c r="AH39" s="1108">
        <v>51088.1243528958</v>
      </c>
      <c r="AI39" s="1108">
        <v>63643.711548583051</v>
      </c>
      <c r="AJ39" s="1108">
        <v>79935.998395909701</v>
      </c>
    </row>
    <row r="40" spans="3:36" ht="14.45">
      <c r="D40" s="1105" t="s">
        <v>1123</v>
      </c>
      <c r="E40" s="1259" t="s">
        <v>1095</v>
      </c>
      <c r="F40" s="1108">
        <v>14697</v>
      </c>
      <c r="G40" s="1108">
        <v>15540</v>
      </c>
      <c r="H40" s="1108">
        <v>16380</v>
      </c>
      <c r="I40" s="1108">
        <v>17319</v>
      </c>
      <c r="J40" s="1108">
        <v>18761</v>
      </c>
      <c r="K40" s="1108">
        <v>19512</v>
      </c>
      <c r="L40" s="1108">
        <v>20520</v>
      </c>
      <c r="M40" s="1108">
        <v>21816</v>
      </c>
      <c r="N40" s="1108">
        <v>23214</v>
      </c>
      <c r="O40" s="1108">
        <v>24264</v>
      </c>
      <c r="P40" s="1108">
        <v>25272</v>
      </c>
      <c r="Q40" s="1108">
        <v>25392</v>
      </c>
      <c r="R40" s="1108">
        <v>27044.045933801433</v>
      </c>
      <c r="S40" s="1108">
        <v>28372.187329740216</v>
      </c>
      <c r="T40" s="1108">
        <v>29628.565473101768</v>
      </c>
      <c r="U40" s="1108">
        <v>30745.199773486602</v>
      </c>
      <c r="V40" s="1108">
        <v>32600.051893182099</v>
      </c>
      <c r="W40" s="1108">
        <v>34101.011072256319</v>
      </c>
      <c r="X40" s="1108">
        <v>35619.887233722053</v>
      </c>
      <c r="Y40" s="1108">
        <v>36977.766742641732</v>
      </c>
      <c r="Z40" s="1108">
        <v>39592.586972386503</v>
      </c>
      <c r="AA40" s="1108">
        <v>41538.558049369603</v>
      </c>
      <c r="AB40" s="1108">
        <v>43247.306735022234</v>
      </c>
      <c r="AC40" s="1108">
        <v>44254.906904242431</v>
      </c>
      <c r="AD40" s="1108"/>
      <c r="AE40" s="1108">
        <v>63980</v>
      </c>
      <c r="AF40" s="1108">
        <v>80609</v>
      </c>
      <c r="AG40" s="1108">
        <v>97814.920343579128</v>
      </c>
      <c r="AH40" s="1108">
        <v>115789.99851013023</v>
      </c>
      <c r="AI40" s="1108">
        <v>139298.71694180224</v>
      </c>
      <c r="AJ40" s="1108">
        <v>168633.35866102067</v>
      </c>
    </row>
    <row r="41" spans="3:36" ht="14.45">
      <c r="D41" s="1105" t="s">
        <v>1124</v>
      </c>
      <c r="E41" s="1259" t="s">
        <v>1104</v>
      </c>
      <c r="F41" s="1109">
        <v>71</v>
      </c>
      <c r="G41" s="1109">
        <v>70</v>
      </c>
      <c r="H41" s="1109">
        <v>70</v>
      </c>
      <c r="I41" s="1109">
        <v>69</v>
      </c>
      <c r="J41" s="1109">
        <v>73</v>
      </c>
      <c r="K41" s="1109">
        <v>72</v>
      </c>
      <c r="L41" s="1109">
        <v>72</v>
      </c>
      <c r="M41" s="1109">
        <v>72</v>
      </c>
      <c r="N41" s="1109">
        <v>73</v>
      </c>
      <c r="O41" s="1109">
        <v>72</v>
      </c>
      <c r="P41" s="1109">
        <v>72</v>
      </c>
      <c r="Q41" s="1109">
        <v>69</v>
      </c>
      <c r="R41" s="1109">
        <v>70.476903191680663</v>
      </c>
      <c r="S41" s="1109">
        <v>69.776291881857247</v>
      </c>
      <c r="T41" s="1109">
        <v>69.286479260142542</v>
      </c>
      <c r="U41" s="1109">
        <v>68.222891145307116</v>
      </c>
      <c r="V41" s="1109">
        <v>69.431767810772172</v>
      </c>
      <c r="W41" s="1109">
        <v>68.813678251572995</v>
      </c>
      <c r="X41" s="1109">
        <v>68.633527022675835</v>
      </c>
      <c r="Y41" s="1109">
        <v>67.878541441004558</v>
      </c>
      <c r="Z41" s="1109">
        <v>68.779809731594767</v>
      </c>
      <c r="AA41" s="1109">
        <v>68.202968323155531</v>
      </c>
      <c r="AB41" s="1109">
        <v>68.10889571305357</v>
      </c>
      <c r="AC41" s="1109">
        <v>66.57387690940611</v>
      </c>
      <c r="AD41" s="1109"/>
      <c r="AE41" s="1109">
        <v>69.952850877192986</v>
      </c>
      <c r="AF41" s="1109">
        <v>72.230286738351253</v>
      </c>
      <c r="AG41" s="1109">
        <v>71.363502537342072</v>
      </c>
      <c r="AH41" s="1109">
        <v>69.390782288422884</v>
      </c>
      <c r="AI41" s="1109">
        <v>68.660372654770725</v>
      </c>
      <c r="AJ41" s="1109">
        <v>67.881567577512399</v>
      </c>
    </row>
    <row r="42" spans="3:36" ht="14.45">
      <c r="D42" s="1105" t="s">
        <v>1125</v>
      </c>
      <c r="E42" s="1259" t="s">
        <v>1095</v>
      </c>
      <c r="F42" s="1108">
        <v>82800</v>
      </c>
      <c r="G42" s="1108">
        <v>88800</v>
      </c>
      <c r="H42" s="1108">
        <v>93600</v>
      </c>
      <c r="I42" s="1108">
        <v>100400</v>
      </c>
      <c r="J42" s="1108">
        <v>102800</v>
      </c>
      <c r="K42" s="1108">
        <v>108400</v>
      </c>
      <c r="L42" s="1108">
        <v>114000</v>
      </c>
      <c r="M42" s="1108">
        <v>121200</v>
      </c>
      <c r="N42" s="1108">
        <v>127200</v>
      </c>
      <c r="O42" s="1108">
        <v>134800</v>
      </c>
      <c r="P42" s="1108">
        <v>140400</v>
      </c>
      <c r="Q42" s="1108">
        <v>147200</v>
      </c>
      <c r="R42" s="1108">
        <v>154914.859983659</v>
      </c>
      <c r="S42" s="1108">
        <v>162675.002755136</v>
      </c>
      <c r="T42" s="1108">
        <v>173471.20480019899</v>
      </c>
      <c r="U42" s="1108">
        <v>183656.93635946201</v>
      </c>
      <c r="V42" s="1108">
        <v>188736.193670104</v>
      </c>
      <c r="W42" s="1108">
        <v>197928.98197533999</v>
      </c>
      <c r="X42" s="1108">
        <v>210568.26425083101</v>
      </c>
      <c r="Y42" s="1108">
        <v>223347.73506945299</v>
      </c>
      <c r="AE42" s="1108">
        <v>100400</v>
      </c>
      <c r="AF42" s="1108">
        <v>121200</v>
      </c>
      <c r="AG42" s="1108">
        <v>147200</v>
      </c>
      <c r="AH42" s="1108">
        <v>183656.93635946201</v>
      </c>
      <c r="AI42" s="1108">
        <v>223347.73506945299</v>
      </c>
    </row>
    <row r="43" spans="3:36" ht="14.45">
      <c r="D43" s="1105" t="s">
        <v>1126</v>
      </c>
      <c r="E43" s="1259" t="s">
        <v>1104</v>
      </c>
      <c r="F43" s="1109">
        <v>50</v>
      </c>
      <c r="G43" s="1109">
        <v>46</v>
      </c>
      <c r="H43" s="1109">
        <v>46</v>
      </c>
      <c r="I43" s="1109">
        <v>40</v>
      </c>
      <c r="J43" s="1109">
        <v>35</v>
      </c>
      <c r="K43" s="1109">
        <v>31</v>
      </c>
      <c r="L43" s="1109">
        <v>27</v>
      </c>
      <c r="M43" s="1109">
        <v>26</v>
      </c>
      <c r="N43" s="1109">
        <v>29</v>
      </c>
      <c r="O43" s="1109">
        <v>30</v>
      </c>
      <c r="P43" s="1109">
        <v>31</v>
      </c>
      <c r="Q43" s="1109">
        <v>29</v>
      </c>
      <c r="R43" s="1109">
        <v>28.552564022809065</v>
      </c>
      <c r="S43" s="1109">
        <v>28.609210229369765</v>
      </c>
      <c r="T43" s="1109">
        <v>29.673783559614179</v>
      </c>
      <c r="U43" s="1109">
        <v>30.55049995583855</v>
      </c>
      <c r="V43" s="1109">
        <v>29.364597595765591</v>
      </c>
      <c r="W43" s="1109">
        <v>28.623213524649362</v>
      </c>
      <c r="X43" s="1109">
        <v>27.888331782259584</v>
      </c>
      <c r="Y43" s="1109">
        <v>27.178829475476476</v>
      </c>
      <c r="Z43" s="1109">
        <v>26.874493748680273</v>
      </c>
      <c r="AA43" s="1109">
        <v>26.035866447672444</v>
      </c>
      <c r="AB43" s="1109">
        <v>25.527509525837555</v>
      </c>
      <c r="AC43" s="1109">
        <v>24.882834896355835</v>
      </c>
      <c r="AD43" s="1109"/>
      <c r="AE43" s="1109">
        <v>45.020660505844077</v>
      </c>
      <c r="AF43" s="1109">
        <v>29.416246791883481</v>
      </c>
      <c r="AG43" s="1109">
        <v>29.751673622594851</v>
      </c>
      <c r="AH43" s="1109">
        <v>29.397749374325908</v>
      </c>
      <c r="AI43" s="1109">
        <v>28.251681717062265</v>
      </c>
      <c r="AJ43" s="1109">
        <v>25.919902769212985</v>
      </c>
    </row>
    <row r="44" spans="3:36">
      <c r="D44" s="42"/>
    </row>
    <row r="45" spans="3:36">
      <c r="D45" s="42"/>
    </row>
    <row r="46" spans="3:36" ht="12.95">
      <c r="C46" s="1110" t="s">
        <v>1127</v>
      </c>
    </row>
    <row r="47" spans="3:36" ht="12.95">
      <c r="C47" s="1110"/>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A515B-31EC-4EB3-AB96-DBBCAC20AF72}">
  <dimension ref="C1:DM455"/>
  <sheetViews>
    <sheetView workbookViewId="0">
      <pane xSplit="6" ySplit="7" topLeftCell="BI136" activePane="bottomRight" state="frozen"/>
      <selection pane="bottomRight" activeCell="BS179" sqref="BS179"/>
      <selection pane="bottomLeft" activeCell="A8" sqref="A8"/>
      <selection pane="topRight" activeCell="G1" sqref="G1"/>
    </sheetView>
  </sheetViews>
  <sheetFormatPr defaultColWidth="20.83203125" defaultRowHeight="9.9499999999999993" outlineLevelRow="1"/>
  <cols>
    <col min="1" max="2" width="1.83203125" customWidth="1"/>
    <col min="3" max="3" width="10" customWidth="1"/>
    <col min="4" max="4" width="55.83203125" customWidth="1"/>
    <col min="5" max="5" width="6.5" customWidth="1"/>
    <col min="6" max="6" width="14.83203125" customWidth="1"/>
    <col min="7" max="7" width="14.1640625" customWidth="1"/>
    <col min="8" max="8" width="20.83203125" hidden="1" customWidth="1"/>
    <col min="9" max="9" width="14.1640625" customWidth="1"/>
    <col min="10" max="10" width="20.83203125" hidden="1" customWidth="1"/>
    <col min="11" max="11" width="14.1640625" customWidth="1"/>
    <col min="12" max="12" width="20.83203125" hidden="1" customWidth="1"/>
    <col min="13" max="13" width="14.1640625" customWidth="1"/>
    <col min="14" max="14" width="20.83203125" hidden="1" customWidth="1"/>
    <col min="15" max="15" width="14.1640625" customWidth="1"/>
    <col min="16" max="16" width="20.83203125" hidden="1" customWidth="1"/>
    <col min="17" max="17" width="14.1640625" customWidth="1"/>
    <col min="18" max="18" width="20.83203125" hidden="1" customWidth="1"/>
    <col min="19" max="54" width="14.1640625" customWidth="1"/>
    <col min="55" max="84" width="15.83203125" customWidth="1"/>
    <col min="85" max="88" width="20.83203125" hidden="1" customWidth="1"/>
  </cols>
  <sheetData>
    <row r="1" spans="3:88">
      <c r="D1" s="42"/>
    </row>
    <row r="2" spans="3:88">
      <c r="D2" s="42"/>
    </row>
    <row r="3" spans="3:88">
      <c r="D3" s="42"/>
    </row>
    <row r="4" spans="3:88" ht="35.1">
      <c r="C4" s="1099" t="s">
        <v>1062</v>
      </c>
      <c r="D4" s="42"/>
    </row>
    <row r="5" spans="3:88">
      <c r="D5" s="42"/>
    </row>
    <row r="6" spans="3:88" ht="14.45">
      <c r="C6" s="1100"/>
      <c r="D6" s="1101"/>
      <c r="E6" s="1100"/>
      <c r="F6" s="1100"/>
      <c r="G6" s="1102" t="s">
        <v>1128</v>
      </c>
      <c r="H6" s="1102" t="s">
        <v>1128</v>
      </c>
      <c r="I6" s="1103" t="s">
        <v>1129</v>
      </c>
      <c r="J6" s="1103" t="s">
        <v>1129</v>
      </c>
      <c r="K6" s="1102" t="s">
        <v>1130</v>
      </c>
      <c r="L6" s="1102" t="s">
        <v>1130</v>
      </c>
      <c r="M6" s="1103" t="s">
        <v>1131</v>
      </c>
      <c r="N6" s="1103" t="s">
        <v>1131</v>
      </c>
      <c r="O6" s="1102" t="s">
        <v>1132</v>
      </c>
      <c r="P6" s="1102" t="s">
        <v>1132</v>
      </c>
      <c r="Q6" s="1103" t="s">
        <v>1133</v>
      </c>
      <c r="R6" s="1103" t="s">
        <v>1133</v>
      </c>
      <c r="S6" s="1102" t="s">
        <v>1134</v>
      </c>
      <c r="T6" s="1103" t="s">
        <v>1135</v>
      </c>
      <c r="U6" s="1102" t="s">
        <v>1136</v>
      </c>
      <c r="V6" s="1103" t="s">
        <v>1137</v>
      </c>
      <c r="W6" s="1102" t="s">
        <v>1138</v>
      </c>
      <c r="X6" s="1103" t="s">
        <v>1139</v>
      </c>
      <c r="Y6" s="1102" t="s">
        <v>1140</v>
      </c>
      <c r="Z6" s="1103" t="s">
        <v>1141</v>
      </c>
      <c r="AA6" s="1102" t="s">
        <v>1142</v>
      </c>
      <c r="AB6" s="1103" t="s">
        <v>1143</v>
      </c>
      <c r="AC6" s="1102" t="s">
        <v>1144</v>
      </c>
      <c r="AD6" s="1103" t="s">
        <v>1145</v>
      </c>
      <c r="AE6" s="1102" t="s">
        <v>1146</v>
      </c>
      <c r="AF6" s="1103" t="s">
        <v>1147</v>
      </c>
      <c r="AG6" s="1102" t="s">
        <v>1148</v>
      </c>
      <c r="AH6" s="1103" t="s">
        <v>1149</v>
      </c>
      <c r="AI6" s="1102" t="s">
        <v>1150</v>
      </c>
      <c r="AJ6" s="1103" t="s">
        <v>1151</v>
      </c>
      <c r="AK6" s="1102" t="s">
        <v>1152</v>
      </c>
      <c r="AL6" s="1103" t="s">
        <v>1153</v>
      </c>
      <c r="AM6" s="1102" t="s">
        <v>1154</v>
      </c>
      <c r="AN6" s="1103" t="s">
        <v>1155</v>
      </c>
      <c r="AO6" s="1102" t="s">
        <v>1156</v>
      </c>
      <c r="AP6" s="1103" t="s">
        <v>1157</v>
      </c>
      <c r="AQ6" s="1102" t="s">
        <v>1158</v>
      </c>
      <c r="AR6" s="1103" t="s">
        <v>1159</v>
      </c>
      <c r="AS6" s="1102" t="s">
        <v>1160</v>
      </c>
      <c r="AT6" s="1103" t="s">
        <v>1161</v>
      </c>
      <c r="AU6" s="1102" t="s">
        <v>1162</v>
      </c>
      <c r="AV6" s="1103" t="s">
        <v>1163</v>
      </c>
      <c r="AW6" s="1102" t="s">
        <v>1063</v>
      </c>
      <c r="AX6" s="1103" t="s">
        <v>1064</v>
      </c>
      <c r="AY6" s="1102" t="s">
        <v>1065</v>
      </c>
      <c r="AZ6" s="1103" t="s">
        <v>1066</v>
      </c>
      <c r="BA6" s="1102" t="s">
        <v>1067</v>
      </c>
      <c r="BB6" s="1103" t="s">
        <v>1068</v>
      </c>
      <c r="BC6" s="1102" t="s">
        <v>1164</v>
      </c>
      <c r="BD6" s="1103" t="s">
        <v>1165</v>
      </c>
      <c r="BE6" s="1102" t="s">
        <v>1166</v>
      </c>
      <c r="BF6" s="1103" t="s">
        <v>1167</v>
      </c>
      <c r="BG6" s="1102" t="s">
        <v>1168</v>
      </c>
      <c r="BH6" s="1103" t="s">
        <v>1169</v>
      </c>
      <c r="BI6" s="1102" t="s">
        <v>1072</v>
      </c>
      <c r="BJ6" s="1103" t="s">
        <v>1073</v>
      </c>
      <c r="BK6" s="1102" t="s">
        <v>1074</v>
      </c>
      <c r="BL6" s="1103" t="s">
        <v>1075</v>
      </c>
      <c r="BM6" s="1102" t="s">
        <v>1076</v>
      </c>
      <c r="BN6" s="1103" t="s">
        <v>1077</v>
      </c>
      <c r="BO6" s="1102" t="s">
        <v>1078</v>
      </c>
      <c r="BP6" s="1103" t="s">
        <v>1079</v>
      </c>
      <c r="BQ6" s="1102" t="s">
        <v>1080</v>
      </c>
      <c r="BR6" s="1103" t="s">
        <v>1081</v>
      </c>
      <c r="BS6" s="1102" t="s">
        <v>1082</v>
      </c>
      <c r="BT6" s="1103" t="s">
        <v>1083</v>
      </c>
      <c r="BU6" s="1102" t="s">
        <v>1170</v>
      </c>
      <c r="BV6" s="1103" t="s">
        <v>1171</v>
      </c>
      <c r="BW6" s="1102" t="s">
        <v>1172</v>
      </c>
      <c r="BX6" s="1103" t="s">
        <v>1173</v>
      </c>
      <c r="BY6" s="1102" t="s">
        <v>1174</v>
      </c>
      <c r="BZ6" s="1103" t="s">
        <v>1175</v>
      </c>
      <c r="CA6" s="1102" t="s">
        <v>1176</v>
      </c>
      <c r="CB6" s="1103" t="s">
        <v>1177</v>
      </c>
      <c r="CC6" s="1102" t="s">
        <v>1178</v>
      </c>
      <c r="CD6" s="1103" t="s">
        <v>1179</v>
      </c>
      <c r="CE6" s="1102" t="s">
        <v>1180</v>
      </c>
      <c r="CF6" s="1103" t="s">
        <v>1181</v>
      </c>
      <c r="CG6" s="1102" t="s">
        <v>1182</v>
      </c>
      <c r="CH6" s="1103" t="s">
        <v>1183</v>
      </c>
      <c r="CI6" s="1102" t="s">
        <v>1184</v>
      </c>
      <c r="CJ6" s="1103" t="s">
        <v>1185</v>
      </c>
    </row>
    <row r="7" spans="3:88" ht="14.45">
      <c r="C7" s="1100"/>
      <c r="D7" s="1101"/>
      <c r="E7" s="1100" t="s">
        <v>1090</v>
      </c>
      <c r="F7" s="1100"/>
      <c r="G7" s="1102" t="s">
        <v>1091</v>
      </c>
      <c r="H7" s="1102" t="s">
        <v>1186</v>
      </c>
      <c r="I7" s="1103" t="s">
        <v>1091</v>
      </c>
      <c r="J7" s="1103" t="s">
        <v>1186</v>
      </c>
      <c r="K7" s="1102" t="s">
        <v>1091</v>
      </c>
      <c r="L7" s="1102" t="s">
        <v>1186</v>
      </c>
      <c r="M7" s="1103" t="s">
        <v>1091</v>
      </c>
      <c r="N7" s="1103" t="s">
        <v>1186</v>
      </c>
      <c r="O7" s="1102" t="s">
        <v>1091</v>
      </c>
      <c r="P7" s="1102" t="s">
        <v>1186</v>
      </c>
      <c r="Q7" s="1103" t="s">
        <v>1091</v>
      </c>
      <c r="R7" s="1103" t="s">
        <v>1186</v>
      </c>
      <c r="S7" s="1102" t="s">
        <v>1091</v>
      </c>
      <c r="T7" s="1103" t="s">
        <v>1091</v>
      </c>
      <c r="U7" s="1102" t="s">
        <v>1091</v>
      </c>
      <c r="V7" s="1103" t="s">
        <v>1091</v>
      </c>
      <c r="W7" s="1102" t="s">
        <v>1091</v>
      </c>
      <c r="X7" s="1103" t="s">
        <v>1091</v>
      </c>
      <c r="Y7" s="1102" t="s">
        <v>1091</v>
      </c>
      <c r="Z7" s="1103" t="s">
        <v>1091</v>
      </c>
      <c r="AA7" s="1102" t="s">
        <v>1091</v>
      </c>
      <c r="AB7" s="1103" t="s">
        <v>1091</v>
      </c>
      <c r="AC7" s="1102" t="s">
        <v>1091</v>
      </c>
      <c r="AD7" s="1103" t="s">
        <v>1091</v>
      </c>
      <c r="AE7" s="1102" t="s">
        <v>1091</v>
      </c>
      <c r="AF7" s="1103" t="s">
        <v>1091</v>
      </c>
      <c r="AG7" s="1102" t="s">
        <v>1091</v>
      </c>
      <c r="AH7" s="1103" t="s">
        <v>1091</v>
      </c>
      <c r="AI7" s="1102" t="s">
        <v>1091</v>
      </c>
      <c r="AJ7" s="1103" t="s">
        <v>1091</v>
      </c>
      <c r="AK7" s="1102" t="s">
        <v>1091</v>
      </c>
      <c r="AL7" s="1103" t="s">
        <v>1091</v>
      </c>
      <c r="AM7" s="1102" t="s">
        <v>1091</v>
      </c>
      <c r="AN7" s="1103" t="s">
        <v>1091</v>
      </c>
      <c r="AO7" s="1102" t="s">
        <v>1091</v>
      </c>
      <c r="AP7" s="1103" t="s">
        <v>1091</v>
      </c>
      <c r="AQ7" s="1102" t="s">
        <v>1091</v>
      </c>
      <c r="AR7" s="1103" t="s">
        <v>1091</v>
      </c>
      <c r="AS7" s="1102" t="s">
        <v>1091</v>
      </c>
      <c r="AT7" s="1103" t="s">
        <v>1091</v>
      </c>
      <c r="AU7" s="1102" t="s">
        <v>1091</v>
      </c>
      <c r="AV7" s="1103" t="s">
        <v>1091</v>
      </c>
      <c r="AW7" s="1102" t="s">
        <v>1091</v>
      </c>
      <c r="AX7" s="1103" t="s">
        <v>1091</v>
      </c>
      <c r="AY7" s="1102" t="s">
        <v>1091</v>
      </c>
      <c r="AZ7" s="1103" t="s">
        <v>1091</v>
      </c>
      <c r="BA7" s="1102" t="s">
        <v>1091</v>
      </c>
      <c r="BB7" s="1103" t="s">
        <v>1091</v>
      </c>
      <c r="BC7" s="1102" t="s">
        <v>1092</v>
      </c>
      <c r="BD7" s="1103" t="s">
        <v>1092</v>
      </c>
      <c r="BE7" s="1102" t="s">
        <v>1092</v>
      </c>
      <c r="BF7" s="1103" t="s">
        <v>1092</v>
      </c>
      <c r="BG7" s="1102" t="s">
        <v>1092</v>
      </c>
      <c r="BH7" s="1103" t="s">
        <v>1092</v>
      </c>
      <c r="BI7" s="1102" t="s">
        <v>1092</v>
      </c>
      <c r="BJ7" s="1103" t="s">
        <v>1092</v>
      </c>
      <c r="BK7" s="1102" t="s">
        <v>1092</v>
      </c>
      <c r="BL7" s="1103" t="s">
        <v>1092</v>
      </c>
      <c r="BM7" s="1102" t="s">
        <v>1092</v>
      </c>
      <c r="BN7" s="1103" t="s">
        <v>1092</v>
      </c>
      <c r="BO7" s="1102" t="s">
        <v>1092</v>
      </c>
      <c r="BP7" s="1103" t="s">
        <v>1092</v>
      </c>
      <c r="BQ7" s="1102" t="s">
        <v>1092</v>
      </c>
      <c r="BR7" s="1103" t="s">
        <v>1092</v>
      </c>
      <c r="BS7" s="1102" t="s">
        <v>1092</v>
      </c>
      <c r="BT7" s="1103" t="s">
        <v>1092</v>
      </c>
      <c r="BU7" s="1102" t="s">
        <v>1092</v>
      </c>
      <c r="BV7" s="1103" t="s">
        <v>1092</v>
      </c>
      <c r="BW7" s="1102" t="s">
        <v>1092</v>
      </c>
      <c r="BX7" s="1103" t="s">
        <v>1092</v>
      </c>
      <c r="BY7" s="1102" t="s">
        <v>1092</v>
      </c>
      <c r="BZ7" s="1103" t="s">
        <v>1092</v>
      </c>
      <c r="CA7" s="1102" t="s">
        <v>1092</v>
      </c>
      <c r="CB7" s="1103" t="s">
        <v>1092</v>
      </c>
      <c r="CC7" s="1102" t="s">
        <v>1092</v>
      </c>
      <c r="CD7" s="1103" t="s">
        <v>1092</v>
      </c>
      <c r="CE7" s="1102" t="s">
        <v>1092</v>
      </c>
      <c r="CF7" s="1103" t="s">
        <v>1092</v>
      </c>
      <c r="CG7" s="1102" t="s">
        <v>1092</v>
      </c>
      <c r="CH7" s="1103" t="s">
        <v>1092</v>
      </c>
      <c r="CI7" s="1102" t="s">
        <v>1092</v>
      </c>
      <c r="CJ7" s="1103" t="s">
        <v>1092</v>
      </c>
    </row>
    <row r="8" spans="3:88" ht="21">
      <c r="D8" s="1104" t="s">
        <v>86</v>
      </c>
    </row>
    <row r="9" spans="3:88" ht="14.45">
      <c r="D9" s="1105" t="s">
        <v>1187</v>
      </c>
      <c r="F9" s="1106" t="s">
        <v>1188</v>
      </c>
    </row>
    <row r="10" spans="3:88" ht="14.45">
      <c r="D10" s="1614" t="s">
        <v>1189</v>
      </c>
      <c r="E10" s="1612" t="s">
        <v>1095</v>
      </c>
      <c r="F10" s="1107" t="s">
        <v>1190</v>
      </c>
      <c r="G10" s="1108">
        <v>5217.1693061853175</v>
      </c>
      <c r="I10" s="1108">
        <v>4613.8402337629759</v>
      </c>
      <c r="K10" s="1108">
        <v>4481.4001695970101</v>
      </c>
      <c r="M10" s="1108">
        <v>4812.5665851321955</v>
      </c>
      <c r="O10" s="1108">
        <v>5142.0892912458239</v>
      </c>
      <c r="Q10" s="1108">
        <v>5762.1226859368189</v>
      </c>
      <c r="S10" s="1108">
        <v>5595.2779333131512</v>
      </c>
      <c r="T10" s="1108">
        <v>5827.2076156620951</v>
      </c>
      <c r="U10" s="1108">
        <v>5495.1259752454116</v>
      </c>
      <c r="V10" s="1108">
        <v>5719.9719408151232</v>
      </c>
      <c r="W10" s="1108">
        <v>5380.9447421371187</v>
      </c>
      <c r="X10" s="1108">
        <v>5521.4804333524153</v>
      </c>
      <c r="Y10" s="1108">
        <v>5517.0856293251854</v>
      </c>
      <c r="Z10" s="1108">
        <v>5885.7672475261943</v>
      </c>
      <c r="AA10" s="1108">
        <v>5699.0093476298443</v>
      </c>
      <c r="AB10" s="1108">
        <v>6399.2492795696362</v>
      </c>
      <c r="AC10" s="1108">
        <v>5982</v>
      </c>
      <c r="AD10" s="1108">
        <v>6439</v>
      </c>
      <c r="AE10" s="1108">
        <v>6234</v>
      </c>
      <c r="AF10" s="1108">
        <v>6918</v>
      </c>
      <c r="AG10" s="1108">
        <v>6575</v>
      </c>
      <c r="AH10" s="1108">
        <v>7075</v>
      </c>
      <c r="AI10" s="1108">
        <v>7088</v>
      </c>
      <c r="AJ10" s="1108">
        <v>7578</v>
      </c>
      <c r="AK10" s="1108">
        <v>7622</v>
      </c>
      <c r="AL10" s="1108">
        <v>7747</v>
      </c>
      <c r="AM10" s="1108">
        <v>7889</v>
      </c>
      <c r="AN10" s="1108">
        <v>8511</v>
      </c>
      <c r="AO10" s="1108">
        <v>8466</v>
      </c>
      <c r="AP10" s="1108">
        <v>8983</v>
      </c>
      <c r="AQ10" s="1108">
        <v>8920</v>
      </c>
      <c r="AR10" s="1108">
        <v>8947</v>
      </c>
      <c r="AS10" s="1108">
        <v>9278</v>
      </c>
      <c r="AT10" s="1108">
        <v>9881</v>
      </c>
      <c r="AU10" s="1108">
        <v>10016</v>
      </c>
      <c r="AV10" s="1108">
        <v>10697</v>
      </c>
      <c r="AW10" s="1108">
        <v>10808</v>
      </c>
      <c r="AX10" s="1108">
        <v>11251</v>
      </c>
      <c r="AY10" s="1108">
        <v>11164</v>
      </c>
      <c r="AZ10" s="1108">
        <v>11639</v>
      </c>
      <c r="BA10" s="1108">
        <v>11548</v>
      </c>
      <c r="BB10" s="1108">
        <v>11837</v>
      </c>
      <c r="BC10" s="1108">
        <v>12021.299155082599</v>
      </c>
      <c r="BD10" s="1108">
        <v>12534.017736709973</v>
      </c>
      <c r="BE10" s="1108">
        <v>12505.609119931787</v>
      </c>
      <c r="BF10" s="1108">
        <v>12841.152677984976</v>
      </c>
      <c r="BG10" s="1108">
        <v>13040.375296344815</v>
      </c>
      <c r="BH10" s="1108">
        <v>13629.662319443452</v>
      </c>
      <c r="BI10" s="1108">
        <v>13600.348502205723</v>
      </c>
      <c r="BJ10" s="1108">
        <v>13919.820113880553</v>
      </c>
      <c r="BK10" s="1108">
        <v>14166.650352923887</v>
      </c>
      <c r="BL10" s="1108">
        <v>14800.234474627689</v>
      </c>
      <c r="BM10" s="1108">
        <v>15023.001425064876</v>
      </c>
      <c r="BN10" s="1108">
        <v>15416.173185465592</v>
      </c>
      <c r="BO10" s="1108">
        <v>15684.598418711623</v>
      </c>
      <c r="BP10" s="1108">
        <v>16380.89605416461</v>
      </c>
      <c r="BQ10" s="1108">
        <v>16354.162531321695</v>
      </c>
      <c r="BR10" s="1108">
        <v>16632.18269877007</v>
      </c>
      <c r="BS10" s="1108">
        <v>16913.066120948293</v>
      </c>
      <c r="BT10" s="1108">
        <v>17807.911027390193</v>
      </c>
      <c r="BU10" s="1108">
        <v>18446.1597803925</v>
      </c>
      <c r="BV10" s="1108">
        <v>19075.812138222798</v>
      </c>
      <c r="BW10" s="1108">
        <v>19472.508272937499</v>
      </c>
      <c r="BX10" s="1108">
        <v>20465.412900982501</v>
      </c>
      <c r="BY10" s="1108">
        <v>20137.532526669049</v>
      </c>
      <c r="BZ10" s="1108">
        <v>20830.01897600685</v>
      </c>
      <c r="CA10" s="1108">
        <v>21254.589652701899</v>
      </c>
      <c r="CB10" s="1108">
        <v>22311.75579180105</v>
      </c>
      <c r="CC10" s="1108">
        <v>21880.612943170701</v>
      </c>
      <c r="CD10" s="1108">
        <v>22635.961065141099</v>
      </c>
      <c r="CE10" s="1108">
        <v>23083.632262897601</v>
      </c>
      <c r="CF10" s="1108">
        <v>24202.7535269662</v>
      </c>
    </row>
    <row r="11" spans="3:88" ht="14.45" outlineLevel="1">
      <c r="D11" s="1611"/>
      <c r="E11" s="1619"/>
      <c r="F11" s="1107" t="s">
        <v>1191</v>
      </c>
      <c r="O11" s="1109">
        <v>-1.4390948526527787</v>
      </c>
      <c r="Q11" s="1109">
        <v>24.887780980602393</v>
      </c>
      <c r="S11" s="1109">
        <v>24.855574632075459</v>
      </c>
      <c r="T11" s="1109">
        <v>21.083158281165446</v>
      </c>
      <c r="U11" s="1109">
        <v>6.8656272577883231</v>
      </c>
      <c r="V11" s="1109">
        <v>-0.73151419050083621</v>
      </c>
      <c r="W11" s="1109">
        <v>-3.8306084832700806</v>
      </c>
      <c r="X11" s="1109">
        <v>-5.2465469307796875</v>
      </c>
      <c r="Y11" s="1109">
        <v>0.399620576101408</v>
      </c>
      <c r="Z11" s="1109">
        <v>2.8985335667126457</v>
      </c>
      <c r="AA11" s="1109">
        <v>5.910943537517201</v>
      </c>
      <c r="AB11" s="1109">
        <v>15.897345952999709</v>
      </c>
      <c r="AC11" s="1109">
        <v>8.4268108546953968</v>
      </c>
      <c r="AD11" s="1109">
        <v>9.3995010201317601</v>
      </c>
      <c r="AE11" s="1109">
        <v>9.3874324419673467</v>
      </c>
      <c r="AF11" s="1109">
        <v>8.1064308916131331</v>
      </c>
      <c r="AG11" s="1109">
        <v>9.9130725509862927</v>
      </c>
      <c r="AH11" s="1109">
        <v>9.8773101413262925</v>
      </c>
      <c r="AI11" s="1109">
        <v>13.699069618222651</v>
      </c>
      <c r="AJ11" s="1109">
        <v>9.5403295750216834</v>
      </c>
      <c r="AK11" s="1109">
        <v>15.923954372623575</v>
      </c>
      <c r="AL11" s="1109">
        <v>9.4982332155477032</v>
      </c>
      <c r="AM11" s="1109">
        <v>11.30079006772009</v>
      </c>
      <c r="AN11" s="1109">
        <v>12.311955661124308</v>
      </c>
      <c r="AO11" s="1109">
        <v>11.073209131461558</v>
      </c>
      <c r="AP11" s="1109">
        <v>15.954563056667098</v>
      </c>
      <c r="AQ11" s="1109">
        <v>13.068830016478641</v>
      </c>
      <c r="AR11" s="1109">
        <v>5.1227822817530262</v>
      </c>
      <c r="AS11" s="1109">
        <v>9.5913064020789047</v>
      </c>
      <c r="AT11" s="1109">
        <v>9.996660358454859</v>
      </c>
      <c r="AU11" s="1109">
        <v>12.286995515695068</v>
      </c>
      <c r="AV11" s="1109">
        <v>19.559628925896948</v>
      </c>
      <c r="AW11" s="1109">
        <v>16.490622979090322</v>
      </c>
      <c r="AX11" s="1109">
        <v>13.864993421718449</v>
      </c>
      <c r="AY11" s="1109">
        <v>11.461661341853036</v>
      </c>
      <c r="AZ11" s="1109">
        <v>8.8062073478545386</v>
      </c>
      <c r="BA11" s="1109">
        <v>6.8467801628423395</v>
      </c>
      <c r="BB11" s="1109">
        <v>5.2084259176962053</v>
      </c>
      <c r="BC11" s="1109">
        <v>7.6791396908151119</v>
      </c>
      <c r="BD11" s="1109">
        <v>7.689816450811696</v>
      </c>
      <c r="BE11" s="1109">
        <v>8.2924239689278405</v>
      </c>
      <c r="BF11" s="1109">
        <v>8.4831686912644706</v>
      </c>
      <c r="BG11" s="1109">
        <v>8.4772546470682517</v>
      </c>
      <c r="BH11" s="1109">
        <v>8.7413677381716592</v>
      </c>
      <c r="BI11" s="1109">
        <v>8.7539868852058547</v>
      </c>
      <c r="BJ11" s="1109">
        <v>8.4000826323392079</v>
      </c>
      <c r="BK11" s="1109">
        <v>8.6368300833701017</v>
      </c>
      <c r="BL11" s="1109">
        <v>8.5884164093658537</v>
      </c>
      <c r="BM11" s="1109">
        <v>10.460415206481111</v>
      </c>
      <c r="BN11" s="1109">
        <v>10.749801788694866</v>
      </c>
      <c r="BO11" s="1109">
        <v>10.714939862085625</v>
      </c>
      <c r="BP11" s="1109">
        <v>10.679976606091468</v>
      </c>
      <c r="BQ11" s="1109">
        <v>8.8608199426505116</v>
      </c>
      <c r="BR11" s="1109">
        <v>7.8878817633609284</v>
      </c>
      <c r="BS11" s="1109">
        <v>7.8323184913113018</v>
      </c>
      <c r="BT11" s="1109">
        <v>8.7114585704411738</v>
      </c>
      <c r="BU11" s="1109">
        <v>12.791833547356429</v>
      </c>
      <c r="BV11" s="1109">
        <v>14.692175306813049</v>
      </c>
      <c r="BW11" s="1109">
        <v>15.132928196970244</v>
      </c>
      <c r="BX11" s="1109">
        <v>14.923153364281902</v>
      </c>
      <c r="BY11" s="1109">
        <v>9.1692404620413637</v>
      </c>
      <c r="BZ11" s="1109">
        <v>9.195974593758411</v>
      </c>
      <c r="CA11" s="1109">
        <v>9.1517813462228776</v>
      </c>
      <c r="CB11" s="1109">
        <v>9.0217720001628194</v>
      </c>
      <c r="CC11" s="1109">
        <v>8.6558788381506613</v>
      </c>
      <c r="CD11" s="1109">
        <v>8.6699013150896853</v>
      </c>
      <c r="CE11" s="1109">
        <v>8.6054007161845743</v>
      </c>
      <c r="CF11" s="1109">
        <v>8.4753425629552641</v>
      </c>
    </row>
    <row r="12" spans="3:88" ht="14.45" outlineLevel="1">
      <c r="D12" s="1611"/>
      <c r="E12" s="1619"/>
      <c r="F12" s="1107"/>
    </row>
    <row r="13" spans="3:88" ht="14.45">
      <c r="D13" s="1614" t="s">
        <v>1192</v>
      </c>
      <c r="E13" s="1612" t="s">
        <v>1095</v>
      </c>
      <c r="F13" s="1106" t="s">
        <v>1190</v>
      </c>
      <c r="AD13" s="1108">
        <v>228</v>
      </c>
      <c r="AE13" s="1108">
        <v>976</v>
      </c>
      <c r="AF13" s="1108">
        <v>1067</v>
      </c>
      <c r="AG13" s="1108">
        <v>1148</v>
      </c>
      <c r="AH13" s="1108">
        <v>1312</v>
      </c>
      <c r="AI13" s="1108">
        <v>1335</v>
      </c>
      <c r="AJ13" s="1108">
        <v>1464</v>
      </c>
      <c r="AK13" s="1108">
        <v>1530</v>
      </c>
      <c r="AL13" s="1108">
        <v>1693</v>
      </c>
      <c r="AM13" s="1108">
        <v>1696</v>
      </c>
      <c r="AN13" s="1108">
        <v>1835</v>
      </c>
      <c r="AO13" s="1108">
        <v>1909</v>
      </c>
      <c r="AP13" s="1108">
        <v>2102</v>
      </c>
      <c r="AQ13" s="1108">
        <v>2050</v>
      </c>
      <c r="AR13" s="1108">
        <v>2016</v>
      </c>
      <c r="AS13" s="1108">
        <v>2206</v>
      </c>
      <c r="AT13" s="1108">
        <v>2577</v>
      </c>
      <c r="AU13" s="1108">
        <v>2562</v>
      </c>
      <c r="AV13" s="1108">
        <v>2944</v>
      </c>
      <c r="AW13" s="1108">
        <v>3136</v>
      </c>
      <c r="AX13" s="1108">
        <v>3531</v>
      </c>
      <c r="AY13" s="1108">
        <v>3437</v>
      </c>
      <c r="AZ13" s="1108">
        <v>3712</v>
      </c>
      <c r="BA13" s="1108">
        <v>3663</v>
      </c>
      <c r="BB13" s="1108">
        <v>3876</v>
      </c>
      <c r="BC13" s="1108">
        <v>3645.1661519646223</v>
      </c>
      <c r="BD13" s="1108">
        <v>3969.9132442627288</v>
      </c>
      <c r="BE13" s="1108">
        <v>4056.897397224257</v>
      </c>
      <c r="BF13" s="1108">
        <v>4345.6173275419287</v>
      </c>
      <c r="BG13" s="1108">
        <v>4120.8924354186356</v>
      </c>
      <c r="BH13" s="1108">
        <v>4487.6897619405527</v>
      </c>
      <c r="BI13" s="1108">
        <v>4649.0533036982233</v>
      </c>
      <c r="BJ13" s="1108">
        <v>4988.4564355406192</v>
      </c>
      <c r="BK13" s="1108">
        <v>4754.9956670471338</v>
      </c>
      <c r="BL13" s="1108">
        <v>5184.8698885043077</v>
      </c>
      <c r="BM13" s="1108">
        <v>5632.4571396531983</v>
      </c>
      <c r="BN13" s="1108">
        <v>6037.5378809199601</v>
      </c>
      <c r="BO13" s="1108">
        <v>5707.2821062054645</v>
      </c>
      <c r="BP13" s="1108">
        <v>6316.1345342800014</v>
      </c>
      <c r="BQ13" s="1108">
        <v>7152.1580908219021</v>
      </c>
      <c r="BR13" s="1108">
        <v>7606.4589398992057</v>
      </c>
      <c r="BS13" s="1108">
        <v>7230.2373607555437</v>
      </c>
      <c r="BT13" s="1108">
        <v>8037.8110525899956</v>
      </c>
      <c r="BU13" s="1108">
        <v>7758.3311166611247</v>
      </c>
      <c r="BV13" s="1108">
        <v>8125.7688622200003</v>
      </c>
      <c r="BW13" s="1108">
        <v>7849.7697914753398</v>
      </c>
      <c r="BX13" s="1108">
        <v>8700.720785816975</v>
      </c>
      <c r="BY13" s="1108">
        <v>8891.9963635304393</v>
      </c>
      <c r="BZ13" s="1108">
        <v>9285.6943649993991</v>
      </c>
      <c r="CA13" s="1108">
        <v>9047.1465499584501</v>
      </c>
      <c r="CB13" s="1108">
        <v>9996.2172733098341</v>
      </c>
      <c r="CC13" s="1108">
        <v>10097.15606128828</v>
      </c>
      <c r="CD13" s="1108">
        <v>10551.198422373351</v>
      </c>
      <c r="CE13" s="1108">
        <v>10274.483609562894</v>
      </c>
      <c r="CF13" s="1108">
        <v>11376.86049277975</v>
      </c>
    </row>
    <row r="14" spans="3:88" ht="14.45" hidden="1" outlineLevel="1">
      <c r="D14" s="1611"/>
      <c r="E14" s="1619"/>
      <c r="F14" s="1106" t="s">
        <v>1191</v>
      </c>
      <c r="AH14" s="1109">
        <v>475.43859649122805</v>
      </c>
      <c r="AI14" s="1109">
        <v>36.782786885245898</v>
      </c>
      <c r="AJ14" s="1109">
        <v>37.207122774133083</v>
      </c>
      <c r="AK14" s="1109">
        <v>33.275261324041807</v>
      </c>
      <c r="AL14" s="1109">
        <v>29.039634146341463</v>
      </c>
      <c r="AM14" s="1109">
        <v>27.04119850187266</v>
      </c>
      <c r="AN14" s="1109">
        <v>25.341530054644807</v>
      </c>
      <c r="AO14" s="1109">
        <v>24.77124183006536</v>
      </c>
      <c r="AP14" s="1109">
        <v>24.158298877731838</v>
      </c>
      <c r="AQ14" s="1109">
        <v>20.872641509433961</v>
      </c>
      <c r="AR14" s="1109">
        <v>9.8637602179836517</v>
      </c>
      <c r="AS14" s="1109">
        <v>15.557883708748035</v>
      </c>
      <c r="AT14" s="1109">
        <v>22.597526165556616</v>
      </c>
      <c r="AU14" s="1109">
        <v>24.975609756097562</v>
      </c>
      <c r="AV14" s="1109">
        <v>46.031746031746032</v>
      </c>
      <c r="AW14" s="1109">
        <v>42.157751586582052</v>
      </c>
      <c r="AX14" s="1109">
        <v>37.019790454016302</v>
      </c>
      <c r="AY14" s="1109">
        <v>34.15300546448087</v>
      </c>
      <c r="AZ14" s="1109">
        <v>26.086956521739129</v>
      </c>
      <c r="BA14" s="1109">
        <v>16.804846938775512</v>
      </c>
      <c r="BB14" s="1109">
        <v>9.770603228547154</v>
      </c>
      <c r="BC14" s="1109">
        <v>6.0566235660349799</v>
      </c>
      <c r="BD14" s="1109">
        <v>6.9480938648364434</v>
      </c>
      <c r="BE14" s="1109">
        <v>10.753409697631914</v>
      </c>
      <c r="BF14" s="1109">
        <v>12.116030122340781</v>
      </c>
      <c r="BG14" s="1109">
        <v>13.050880635375506</v>
      </c>
      <c r="BH14" s="1109">
        <v>13.042514680292028</v>
      </c>
      <c r="BI14" s="1109">
        <v>14.596275145610567</v>
      </c>
      <c r="BJ14" s="1109">
        <v>14.792814450652708</v>
      </c>
      <c r="BK14" s="1109">
        <v>15.387522037179322</v>
      </c>
      <c r="BL14" s="1109">
        <v>15.535390446916336</v>
      </c>
      <c r="BM14" s="1109">
        <v>21.152776096860368</v>
      </c>
      <c r="BN14" s="1109">
        <v>21.030181558870279</v>
      </c>
      <c r="BO14" s="1109">
        <v>20.027072700777104</v>
      </c>
      <c r="BP14" s="1109">
        <v>21.818573466691802</v>
      </c>
      <c r="BQ14" s="1109">
        <v>26.981136535772642</v>
      </c>
      <c r="BR14" s="1109">
        <v>25.986107084104681</v>
      </c>
      <c r="BS14" s="1109">
        <v>26.684422220765764</v>
      </c>
      <c r="BT14" s="1109">
        <v>27.258388955552139</v>
      </c>
      <c r="BU14" s="1109">
        <v>8.4753862839959027</v>
      </c>
      <c r="BV14" s="1109">
        <v>6.8272231063627622</v>
      </c>
      <c r="BW14" s="1109">
        <v>8.5686319799472859</v>
      </c>
      <c r="BX14" s="1109">
        <v>8.2473913468440188</v>
      </c>
      <c r="BY14" s="1109">
        <v>14.612230772604596</v>
      </c>
      <c r="BZ14" s="1109">
        <v>14.274655388887119</v>
      </c>
      <c r="CA14" s="1109">
        <v>15.253654441986725</v>
      </c>
      <c r="CB14" s="1109">
        <v>14.88953064215835</v>
      </c>
      <c r="CC14" s="1109">
        <v>13.553308486502234</v>
      </c>
      <c r="CD14" s="1109">
        <v>13.628534470658657</v>
      </c>
      <c r="CE14" s="1109">
        <v>13.566012806657596</v>
      </c>
      <c r="CF14" s="1109">
        <v>13.811656766967936</v>
      </c>
    </row>
    <row r="15" spans="3:88" ht="14.45" hidden="1" outlineLevel="1" collapsed="1">
      <c r="D15" s="1611"/>
      <c r="E15" s="1619"/>
      <c r="F15" s="1106"/>
    </row>
    <row r="16" spans="3:88" ht="14.45" collapsed="1">
      <c r="D16" s="1614" t="s">
        <v>1193</v>
      </c>
      <c r="E16" s="1612" t="s">
        <v>1095</v>
      </c>
      <c r="F16" s="1107" t="s">
        <v>1190</v>
      </c>
      <c r="G16" s="1108">
        <v>304.70653400558501</v>
      </c>
      <c r="I16" s="1108">
        <v>385.20150947283804</v>
      </c>
      <c r="K16" s="1108">
        <v>344.27921502384697</v>
      </c>
      <c r="M16" s="1108">
        <v>443.82191088222532</v>
      </c>
      <c r="O16" s="1108">
        <v>372.46673370538616</v>
      </c>
      <c r="Q16" s="1108">
        <v>446.82044610157288</v>
      </c>
      <c r="S16" s="1108">
        <v>435.38759833115898</v>
      </c>
      <c r="T16" s="1108">
        <v>494.16707304340042</v>
      </c>
      <c r="U16" s="1108">
        <v>383.93960212782071</v>
      </c>
      <c r="V16" s="1108">
        <v>457.57343288567563</v>
      </c>
      <c r="W16" s="1108">
        <v>438.9116451359979</v>
      </c>
      <c r="X16" s="1108">
        <v>474.92733890890275</v>
      </c>
      <c r="Y16" s="1108">
        <v>431.19416016688939</v>
      </c>
      <c r="Z16" s="1108">
        <v>538.47555496456926</v>
      </c>
      <c r="AA16" s="1108">
        <v>467.18399073389139</v>
      </c>
      <c r="AB16" s="1108">
        <v>567.03769532584533</v>
      </c>
      <c r="AC16" s="1108">
        <v>454</v>
      </c>
      <c r="AD16" s="1108">
        <v>512</v>
      </c>
      <c r="AE16" s="1108">
        <v>497</v>
      </c>
      <c r="AF16" s="1108">
        <v>562.999999999995</v>
      </c>
      <c r="AG16" s="1108">
        <v>515</v>
      </c>
      <c r="AH16" s="1108">
        <v>566</v>
      </c>
      <c r="AI16" s="1108">
        <v>583</v>
      </c>
      <c r="AJ16" s="1108">
        <v>626</v>
      </c>
      <c r="AK16" s="1108">
        <v>619</v>
      </c>
      <c r="AL16" s="1108">
        <v>660</v>
      </c>
      <c r="AM16" s="1108">
        <v>657</v>
      </c>
      <c r="AN16" s="1108">
        <v>701</v>
      </c>
      <c r="AO16" s="1108">
        <v>702</v>
      </c>
      <c r="AP16" s="1108">
        <v>741</v>
      </c>
      <c r="AQ16" s="1108">
        <v>773</v>
      </c>
      <c r="AR16" s="1108">
        <v>789</v>
      </c>
      <c r="AS16" s="1108">
        <v>835</v>
      </c>
      <c r="AT16" s="1108">
        <v>895</v>
      </c>
      <c r="AU16" s="1108">
        <v>974</v>
      </c>
      <c r="AV16" s="1108">
        <v>1050</v>
      </c>
      <c r="AW16" s="1108">
        <v>1095</v>
      </c>
      <c r="AX16" s="1108">
        <v>1154</v>
      </c>
      <c r="AY16" s="1108">
        <v>1188</v>
      </c>
      <c r="AZ16" s="1108">
        <v>1249</v>
      </c>
      <c r="BA16" s="1108">
        <v>1254</v>
      </c>
      <c r="BB16" s="1108">
        <v>1289</v>
      </c>
      <c r="BC16" s="1108">
        <v>1355.3209033535845</v>
      </c>
      <c r="BD16" s="1108">
        <v>1432.2554485870598</v>
      </c>
      <c r="BE16" s="1108">
        <v>1443.9412740130263</v>
      </c>
      <c r="BF16" s="1108">
        <v>1490.8789072147842</v>
      </c>
      <c r="BG16" s="1108">
        <v>1566.3794873065551</v>
      </c>
      <c r="BH16" s="1108">
        <v>1653.439382085443</v>
      </c>
      <c r="BI16" s="1108">
        <v>1665.3025671739993</v>
      </c>
      <c r="BJ16" s="1108">
        <v>1720.0835771414593</v>
      </c>
      <c r="BK16" s="1108">
        <v>1810.9074362495046</v>
      </c>
      <c r="BL16" s="1108">
        <v>1907.2947535394674</v>
      </c>
      <c r="BM16" s="1108">
        <v>1958.9464650165157</v>
      </c>
      <c r="BN16" s="1108">
        <v>2027.2661137335886</v>
      </c>
      <c r="BO16" s="1108">
        <v>2148.4743713217626</v>
      </c>
      <c r="BP16" s="1108">
        <v>2285.3090563187357</v>
      </c>
      <c r="BQ16" s="1108">
        <v>2296.9301678191</v>
      </c>
      <c r="BR16" s="1108">
        <v>2375.3090044153059</v>
      </c>
      <c r="BS16" s="1108">
        <v>2520.6472345822799</v>
      </c>
      <c r="BT16" s="1108">
        <v>2699.1645968877419</v>
      </c>
      <c r="BU16" s="1108">
        <v>2587.1714226312001</v>
      </c>
      <c r="BV16" s="1108">
        <v>2568.1057875677202</v>
      </c>
      <c r="BW16" s="1108">
        <v>2780.9226422733</v>
      </c>
      <c r="BX16" s="1108">
        <v>3099.267959808255</v>
      </c>
      <c r="BY16" s="1108">
        <v>2887.298821712975</v>
      </c>
      <c r="BZ16" s="1108">
        <v>2864.3500458451449</v>
      </c>
      <c r="CA16" s="1108">
        <v>3107.3479203609299</v>
      </c>
      <c r="CB16" s="1108">
        <v>3468.1686189182251</v>
      </c>
      <c r="CC16" s="1108">
        <v>3227.1684317982449</v>
      </c>
      <c r="CD16" s="1108">
        <v>3199.6926462727151</v>
      </c>
      <c r="CE16" s="1108">
        <v>3477.2942030664999</v>
      </c>
      <c r="CF16" s="1108">
        <v>3886.6450048030101</v>
      </c>
    </row>
    <row r="17" spans="4:84" ht="14.45" hidden="1" outlineLevel="1">
      <c r="D17" s="1611"/>
      <c r="E17" s="1619"/>
      <c r="F17" s="1107" t="s">
        <v>1191</v>
      </c>
      <c r="O17" s="1109">
        <v>22.237855817873324</v>
      </c>
      <c r="Q17" s="1109">
        <v>15.996545993047262</v>
      </c>
      <c r="S17" s="1109">
        <v>26.463515464040217</v>
      </c>
      <c r="T17" s="1109">
        <v>11.343550403155946</v>
      </c>
      <c r="U17" s="1109">
        <v>3.080239759481274</v>
      </c>
      <c r="V17" s="1109">
        <v>2.406556566048085</v>
      </c>
      <c r="W17" s="1109">
        <v>0.80940449804877113</v>
      </c>
      <c r="X17" s="1109">
        <v>-3.8933662690245505</v>
      </c>
      <c r="Y17" s="1109">
        <v>12.307810337141714</v>
      </c>
      <c r="Z17" s="1109">
        <v>17.680686041732443</v>
      </c>
      <c r="AA17" s="1109">
        <v>6.441466274865693</v>
      </c>
      <c r="AB17" s="1109">
        <v>19.394620791583982</v>
      </c>
      <c r="AC17" s="1109">
        <v>5.2889955244950073</v>
      </c>
      <c r="AD17" s="1109">
        <v>-4.9167607926624077</v>
      </c>
      <c r="AE17" s="1109">
        <v>6.3820699890146386</v>
      </c>
      <c r="AF17" s="1109">
        <v>-0.712068237990791</v>
      </c>
      <c r="AG17" s="1109">
        <v>13.43612334801762</v>
      </c>
      <c r="AH17" s="1109">
        <v>10.546875</v>
      </c>
      <c r="AI17" s="1109">
        <v>17.303822937625753</v>
      </c>
      <c r="AJ17" s="1109">
        <v>11.190053285969016</v>
      </c>
      <c r="AK17" s="1109">
        <v>20.194174757281552</v>
      </c>
      <c r="AL17" s="1109">
        <v>16.607773851590103</v>
      </c>
      <c r="AM17" s="1109">
        <v>12.69296740994854</v>
      </c>
      <c r="AN17" s="1109">
        <v>11.980830670926517</v>
      </c>
      <c r="AO17" s="1109">
        <v>13.408723747980615</v>
      </c>
      <c r="AP17" s="1109">
        <v>12.272727272727273</v>
      </c>
      <c r="AQ17" s="1109">
        <v>17.656012176560122</v>
      </c>
      <c r="AR17" s="1109">
        <v>12.553495007132668</v>
      </c>
      <c r="AS17" s="1109">
        <v>18.945868945868945</v>
      </c>
      <c r="AT17" s="1109">
        <v>20.78272604588394</v>
      </c>
      <c r="AU17" s="1109">
        <v>26.002587322121606</v>
      </c>
      <c r="AV17" s="1109">
        <v>33.079847908745244</v>
      </c>
      <c r="AW17" s="1109">
        <v>31.137724550898206</v>
      </c>
      <c r="AX17" s="1109">
        <v>28.938547486033517</v>
      </c>
      <c r="AY17" s="1109">
        <v>21.971252566735114</v>
      </c>
      <c r="AZ17" s="1109">
        <v>18.952380952380953</v>
      </c>
      <c r="BA17" s="1109">
        <v>14.520547945205479</v>
      </c>
      <c r="BB17" s="1109">
        <v>11.69844020797227</v>
      </c>
      <c r="BC17" s="1109">
        <v>14.084251124039101</v>
      </c>
      <c r="BD17" s="1109">
        <v>14.672173625865481</v>
      </c>
      <c r="BE17" s="1109">
        <v>15.146832058455045</v>
      </c>
      <c r="BF17" s="1109">
        <v>15.661668519378141</v>
      </c>
      <c r="BG17" s="1109">
        <v>15.572591216643275</v>
      </c>
      <c r="BH17" s="1109">
        <v>15.443050589654533</v>
      </c>
      <c r="BI17" s="1109">
        <v>15.3303529128828</v>
      </c>
      <c r="BJ17" s="1109">
        <v>15.373795203452733</v>
      </c>
      <c r="BK17" s="1109">
        <v>15.611028548606948</v>
      </c>
      <c r="BL17" s="1109">
        <v>15.353170742421945</v>
      </c>
      <c r="BM17" s="1109">
        <v>17.633065824237999</v>
      </c>
      <c r="BN17" s="1109">
        <v>17.858582029056063</v>
      </c>
      <c r="BO17" s="1109">
        <v>18.640761438993199</v>
      </c>
      <c r="BP17" s="1109">
        <v>19.819396140935595</v>
      </c>
      <c r="BQ17" s="1109">
        <v>17.253340447960365</v>
      </c>
      <c r="BR17" s="1109">
        <v>17.168090973549173</v>
      </c>
      <c r="BS17" s="1109">
        <v>17.322657799802045</v>
      </c>
      <c r="BT17" s="1109">
        <v>18.109390474987258</v>
      </c>
      <c r="BU17" s="1109">
        <v>12.636050450226779</v>
      </c>
      <c r="BV17" s="1109">
        <v>8.1167032497261182</v>
      </c>
      <c r="BW17" s="1109">
        <v>10.325737140847984</v>
      </c>
      <c r="BX17" s="1109">
        <v>14.823229505227292</v>
      </c>
      <c r="BY17" s="1109">
        <v>11.60059965321277</v>
      </c>
      <c r="BZ17" s="1109">
        <v>11.535516165710632</v>
      </c>
      <c r="CA17" s="1109">
        <v>11.738020796608335</v>
      </c>
      <c r="CB17" s="1109">
        <v>11.902832020139142</v>
      </c>
      <c r="CC17" s="1109">
        <v>11.771196231210741</v>
      </c>
      <c r="CD17" s="1109">
        <v>11.7074587623813</v>
      </c>
      <c r="CE17" s="1109">
        <v>11.90553141093384</v>
      </c>
      <c r="CF17" s="1109">
        <v>12.066206458419378</v>
      </c>
    </row>
    <row r="18" spans="4:84" ht="14.45" hidden="1" outlineLevel="1" collapsed="1">
      <c r="D18" s="1611"/>
      <c r="E18" s="1619"/>
      <c r="F18" s="1107"/>
    </row>
    <row r="19" spans="4:84" ht="14.45" collapsed="1">
      <c r="D19" s="1614" t="s">
        <v>1194</v>
      </c>
      <c r="E19" s="1612" t="s">
        <v>1095</v>
      </c>
      <c r="F19" s="1106" t="s">
        <v>1190</v>
      </c>
      <c r="G19" s="1108">
        <v>12.841043023089</v>
      </c>
      <c r="I19" s="1108">
        <v>-722.40026387024602</v>
      </c>
      <c r="K19" s="1108">
        <v>266.226758066819</v>
      </c>
      <c r="M19" s="1108">
        <v>889.85281894960792</v>
      </c>
      <c r="O19" s="1108">
        <v>226.02085917709056</v>
      </c>
      <c r="Q19" s="1108">
        <v>263.16015486870396</v>
      </c>
      <c r="S19" s="1108">
        <v>223.59955274300839</v>
      </c>
      <c r="T19" s="1108">
        <v>397.76076272153591</v>
      </c>
      <c r="U19" s="1108">
        <v>192.77609706373099</v>
      </c>
      <c r="V19" s="1108">
        <v>254.57679038284408</v>
      </c>
      <c r="W19" s="1108">
        <v>259.86182553117675</v>
      </c>
      <c r="X19" s="1108">
        <v>453.10130658626031</v>
      </c>
      <c r="Y19" s="1108">
        <v>-78.398872304827805</v>
      </c>
      <c r="Z19" s="1108">
        <v>211.53151046981901</v>
      </c>
      <c r="AA19" s="1108">
        <v>-168.89482044744801</v>
      </c>
      <c r="AB19" s="1108">
        <v>247.71407100593001</v>
      </c>
      <c r="AC19" s="1108">
        <v>17.689380289380995</v>
      </c>
      <c r="AD19" s="1108">
        <v>50.467888435374853</v>
      </c>
      <c r="AE19" s="1108">
        <v>-3.8720518750406501</v>
      </c>
      <c r="AF19" s="1108">
        <v>41.317402321394816</v>
      </c>
      <c r="AG19" s="1108">
        <v>414.83721202335732</v>
      </c>
      <c r="AH19" s="1108">
        <v>376.8463107334905</v>
      </c>
      <c r="AI19" s="1108">
        <v>336.46907047176711</v>
      </c>
      <c r="AJ19" s="1108">
        <v>482.19778147439467</v>
      </c>
      <c r="AK19" s="1108">
        <v>305.73591036383709</v>
      </c>
      <c r="AL19" s="1108">
        <v>249.28800451628899</v>
      </c>
      <c r="AM19" s="1108">
        <v>267.41081757709867</v>
      </c>
      <c r="AN19" s="1108">
        <v>509.52951844625744</v>
      </c>
      <c r="AO19" s="1108">
        <v>464.27319915057859</v>
      </c>
      <c r="AP19" s="1108">
        <v>225.01292561493756</v>
      </c>
      <c r="AQ19" s="1108">
        <v>167.8043283082576</v>
      </c>
      <c r="AR19" s="1108">
        <v>313.29506305062665</v>
      </c>
      <c r="AS19" s="1108">
        <v>189.71299653856659</v>
      </c>
      <c r="AT19" s="1108">
        <v>156.35797030662465</v>
      </c>
      <c r="AU19" s="1108">
        <v>128.48252695218534</v>
      </c>
      <c r="AV19" s="1108">
        <v>395.75377553895373</v>
      </c>
      <c r="AW19" s="1108">
        <v>0.11675294170674</v>
      </c>
      <c r="AX19" s="1108">
        <v>147.68119143740273</v>
      </c>
      <c r="AY19" s="1108">
        <v>147.45541129981399</v>
      </c>
      <c r="AZ19" s="1108">
        <v>-7.1801787687600003</v>
      </c>
      <c r="BA19" s="1108">
        <v>188.27513203150639</v>
      </c>
      <c r="BB19" s="1108">
        <v>83.212348342502764</v>
      </c>
      <c r="BC19" s="1108">
        <v>494.80307653449501</v>
      </c>
      <c r="BD19" s="1108">
        <v>914.02886781508096</v>
      </c>
      <c r="BE19" s="1108">
        <v>472.61832048900999</v>
      </c>
      <c r="BF19" s="1108">
        <v>233.378003140668</v>
      </c>
      <c r="BG19" s="1108">
        <v>491.72515621869098</v>
      </c>
      <c r="BH19" s="1108">
        <v>904.58602180696698</v>
      </c>
      <c r="BI19" s="1108">
        <v>528.95153456493995</v>
      </c>
      <c r="BJ19" s="1108">
        <v>511.91759928551102</v>
      </c>
      <c r="BK19" s="1108">
        <v>481.74790237512298</v>
      </c>
      <c r="BL19" s="1108">
        <v>454.66711257420297</v>
      </c>
      <c r="BN19" s="1108">
        <v>5.2000000000000001E-11</v>
      </c>
      <c r="BO19" s="1108">
        <v>-6.3999999999999999E-11</v>
      </c>
    </row>
    <row r="20" spans="4:84" ht="14.45" hidden="1" outlineLevel="1">
      <c r="D20" s="1611"/>
      <c r="E20" s="1619"/>
      <c r="F20" s="1106" t="s">
        <v>1191</v>
      </c>
      <c r="O20" s="1109">
        <v>1660.1440846408732</v>
      </c>
      <c r="Q20" s="1109">
        <v>136.42857956042656</v>
      </c>
      <c r="S20" s="1109">
        <v>-16.011615674301158</v>
      </c>
      <c r="T20" s="1109">
        <v>-55.300387406643594</v>
      </c>
      <c r="U20" s="1109">
        <v>-14.70871415779896</v>
      </c>
      <c r="V20" s="1109">
        <v>-3.2616504919379961</v>
      </c>
      <c r="W20" s="1109">
        <v>16.217506852460474</v>
      </c>
      <c r="X20" s="1109">
        <v>13.913022362003858</v>
      </c>
      <c r="Y20" s="1109">
        <v>-140.66835748775921</v>
      </c>
      <c r="Z20" s="1109">
        <v>-16.908564150051397</v>
      </c>
      <c r="AA20" s="1109">
        <v>-164.99408680063513</v>
      </c>
      <c r="AB20" s="1109">
        <v>-45.329208412077087</v>
      </c>
      <c r="AC20" s="1109">
        <v>122.56330961063031</v>
      </c>
      <c r="AD20" s="1109">
        <v>-76.141668764486255</v>
      </c>
      <c r="AE20" s="1109">
        <v>97.707418223494031</v>
      </c>
      <c r="AF20" s="1109">
        <v>-83.320526704998628</v>
      </c>
      <c r="AG20" s="1109">
        <v>2245.1200959955941</v>
      </c>
      <c r="AH20" s="1109">
        <v>646.70512759028907</v>
      </c>
      <c r="AI20" s="1109">
        <v>8789.6839538916247</v>
      </c>
      <c r="AJ20" s="1109">
        <v>1067.0573520656812</v>
      </c>
      <c r="AK20" s="1109">
        <v>-26.299786638566385</v>
      </c>
      <c r="AL20" s="1109">
        <v>-33.848893457102733</v>
      </c>
      <c r="AM20" s="1109">
        <v>-20.52439851242228</v>
      </c>
      <c r="AN20" s="1109">
        <v>5.6681590048572463</v>
      </c>
      <c r="AO20" s="1109">
        <v>51.854323752180839</v>
      </c>
      <c r="AP20" s="1109">
        <v>-9.7377645380306515</v>
      </c>
      <c r="AQ20" s="1109">
        <v>-37.248489111747688</v>
      </c>
      <c r="AR20" s="1109">
        <v>-38.512872815302572</v>
      </c>
      <c r="AS20" s="1109">
        <v>-59.137637734493339</v>
      </c>
      <c r="AT20" s="1109">
        <v>-30.511560667319827</v>
      </c>
      <c r="AU20" s="1109">
        <v>-23.433126995292913</v>
      </c>
      <c r="AV20" s="1109">
        <v>26.319825050994254</v>
      </c>
      <c r="AW20" s="1109">
        <v>-99.938458121564167</v>
      </c>
      <c r="AX20" s="1109">
        <v>-5.5493038520558864</v>
      </c>
      <c r="AY20" s="1109">
        <v>14.766898501840171</v>
      </c>
      <c r="AZ20" s="1109">
        <v>-101.81430455312315</v>
      </c>
      <c r="BA20" s="1109">
        <v>161159.43319219811</v>
      </c>
      <c r="BB20" s="1109">
        <v>-43.654064859184331</v>
      </c>
      <c r="BC20" s="1109">
        <v>235.56115179010675</v>
      </c>
      <c r="BD20" s="1109">
        <v>12829.890121843466</v>
      </c>
      <c r="BE20" s="1109">
        <v>151.02535602520305</v>
      </c>
      <c r="BF20" s="1109">
        <v>180.46078231091624</v>
      </c>
      <c r="BG20" s="1109">
        <v>-0.62204955097716452</v>
      </c>
      <c r="BH20" s="1109">
        <v>-1.0331015070329679</v>
      </c>
      <c r="BI20" s="1109">
        <v>11.919388570811847</v>
      </c>
      <c r="BJ20" s="1109">
        <v>119.35126378511087</v>
      </c>
      <c r="BK20" s="1109">
        <v>-2.0290305910504811</v>
      </c>
      <c r="BL20" s="1109">
        <v>-49.737548269209704</v>
      </c>
      <c r="BN20" s="1109">
        <v>-99.999999999989839</v>
      </c>
      <c r="BO20" s="1109">
        <v>-100.00000000001327</v>
      </c>
    </row>
    <row r="21" spans="4:84" ht="14.45" hidden="1" outlineLevel="1" collapsed="1">
      <c r="D21" s="1611"/>
      <c r="E21" s="1619"/>
      <c r="F21" s="1106"/>
    </row>
    <row r="22" spans="4:84" ht="14.45" collapsed="1">
      <c r="D22" s="1613" t="s">
        <v>1195</v>
      </c>
      <c r="E22" s="1612" t="s">
        <v>1095</v>
      </c>
      <c r="F22" s="1107" t="s">
        <v>1190</v>
      </c>
      <c r="G22" s="1108">
        <v>5601.8523867301474</v>
      </c>
      <c r="I22" s="1108">
        <v>4813.543227753451</v>
      </c>
      <c r="K22" s="1108">
        <v>4959.8599742490178</v>
      </c>
      <c r="M22" s="1108">
        <v>5402.1271967141611</v>
      </c>
      <c r="O22" s="1108">
        <v>6183</v>
      </c>
      <c r="Q22" s="1108">
        <v>6943</v>
      </c>
      <c r="S22" s="1108">
        <v>6768</v>
      </c>
      <c r="T22" s="1108">
        <v>7078</v>
      </c>
      <c r="U22" s="1108">
        <v>6490</v>
      </c>
      <c r="V22" s="1108">
        <v>6822</v>
      </c>
      <c r="W22" s="1108">
        <v>6457</v>
      </c>
      <c r="X22" s="1108">
        <v>6662</v>
      </c>
      <c r="Y22" s="1108">
        <v>5998</v>
      </c>
      <c r="Z22" s="1108">
        <v>6480</v>
      </c>
      <c r="AA22" s="1108">
        <v>6207</v>
      </c>
      <c r="AB22" s="1108">
        <v>7107</v>
      </c>
      <c r="AC22" s="1108">
        <v>6436</v>
      </c>
      <c r="AD22" s="1108">
        <v>7179</v>
      </c>
      <c r="AE22" s="1108">
        <v>7707</v>
      </c>
      <c r="AF22" s="1108">
        <v>8547.9999999999909</v>
      </c>
      <c r="AG22" s="1108">
        <v>8238</v>
      </c>
      <c r="AH22" s="1108">
        <v>8953</v>
      </c>
      <c r="AI22" s="1108">
        <v>9006</v>
      </c>
      <c r="AJ22" s="1108">
        <v>9668</v>
      </c>
      <c r="AK22" s="1108">
        <v>9771</v>
      </c>
      <c r="AL22" s="1108">
        <v>10100</v>
      </c>
      <c r="AM22" s="1108">
        <v>10242</v>
      </c>
      <c r="AN22" s="1108">
        <v>11047</v>
      </c>
      <c r="AO22" s="1108">
        <v>11077</v>
      </c>
      <c r="AP22" s="1108">
        <v>11826</v>
      </c>
      <c r="AQ22" s="1108">
        <v>11743</v>
      </c>
      <c r="AR22" s="1108">
        <v>11752</v>
      </c>
      <c r="AS22" s="1108">
        <v>12319</v>
      </c>
      <c r="AT22" s="1108">
        <v>13353</v>
      </c>
      <c r="AU22" s="1108">
        <v>13552</v>
      </c>
      <c r="AV22" s="1108">
        <v>14691</v>
      </c>
      <c r="AW22" s="1108">
        <v>15039</v>
      </c>
      <c r="AX22" s="1108">
        <v>15936</v>
      </c>
      <c r="AY22" s="1108">
        <v>15789</v>
      </c>
      <c r="AZ22" s="1108">
        <v>16600</v>
      </c>
      <c r="BA22" s="1108">
        <v>16465</v>
      </c>
      <c r="BB22" s="1108">
        <v>17002</v>
      </c>
      <c r="BC22" s="1108">
        <v>17058.668286173848</v>
      </c>
      <c r="BD22" s="1108">
        <v>17955.397590109682</v>
      </c>
      <c r="BE22" s="1108">
        <v>18072.84483668577</v>
      </c>
      <c r="BF22" s="1108">
        <v>18718.790777922561</v>
      </c>
      <c r="BG22" s="1108">
        <v>18836.18589485835</v>
      </c>
      <c r="BH22" s="1108">
        <v>19767.281822606044</v>
      </c>
      <c r="BI22" s="1108">
        <v>19830.047037687658</v>
      </c>
      <c r="BJ22" s="1108">
        <v>20544.255789753184</v>
      </c>
      <c r="BK22" s="1108">
        <v>20711.564873614167</v>
      </c>
      <c r="BL22" s="1108">
        <v>21744.143220318576</v>
      </c>
      <c r="BM22" s="1108">
        <v>22633.520371878058</v>
      </c>
      <c r="BN22" s="1108">
        <v>23494.68843030047</v>
      </c>
      <c r="BO22" s="1108">
        <v>23565.420201466899</v>
      </c>
      <c r="BP22" s="1108">
        <v>25003.457228197116</v>
      </c>
      <c r="BQ22" s="1108">
        <v>25828.384195013561</v>
      </c>
      <c r="BR22" s="1108">
        <v>26631.896605825721</v>
      </c>
      <c r="BS22" s="1108">
        <v>26696.997572239441</v>
      </c>
      <c r="BT22" s="1108">
        <v>28572.68306283484</v>
      </c>
      <c r="BU22" s="1108">
        <v>28791.662319684849</v>
      </c>
      <c r="BV22" s="1108">
        <v>29769.686788010549</v>
      </c>
      <c r="BW22" s="1108">
        <v>30103.200706686199</v>
      </c>
      <c r="BX22" s="1108">
        <v>32265.401646607748</v>
      </c>
      <c r="BY22" s="1108">
        <v>31916.827711912501</v>
      </c>
      <c r="BZ22" s="1108">
        <v>32980.063386851398</v>
      </c>
      <c r="CA22" s="1108">
        <v>33409.084123021254</v>
      </c>
      <c r="CB22" s="1108">
        <v>35776.141684029149</v>
      </c>
      <c r="CC22" s="1108">
        <v>35204.937436257249</v>
      </c>
      <c r="CD22" s="1108">
        <v>36386.852133787201</v>
      </c>
      <c r="CE22" s="1108">
        <v>36835.410075527048</v>
      </c>
      <c r="CF22" s="1108">
        <v>39466.259024548999</v>
      </c>
    </row>
    <row r="23" spans="4:84" ht="14.45" hidden="1" outlineLevel="1">
      <c r="D23" s="1611"/>
      <c r="E23" s="1619"/>
      <c r="F23" s="1107" t="s">
        <v>1191</v>
      </c>
      <c r="O23" s="1109">
        <v>10.374204337238416</v>
      </c>
      <c r="Q23" s="1109">
        <v>44.23886254866764</v>
      </c>
      <c r="S23" s="1109">
        <v>36.455465177215132</v>
      </c>
      <c r="T23" s="1109">
        <v>31.02246100952949</v>
      </c>
      <c r="U23" s="1109">
        <v>4.9652272359695946</v>
      </c>
      <c r="V23" s="1109">
        <v>-1.7427624945988767</v>
      </c>
      <c r="W23" s="1109">
        <v>-4.5951536643026003</v>
      </c>
      <c r="X23" s="1109">
        <v>-5.8773664877083922</v>
      </c>
      <c r="Y23" s="1109">
        <v>-7.5808936825885977</v>
      </c>
      <c r="Z23" s="1109">
        <v>-5.0131926121372032</v>
      </c>
      <c r="AA23" s="1109">
        <v>-3.8717670744927983</v>
      </c>
      <c r="AB23" s="1109">
        <v>6.6796757730411285</v>
      </c>
      <c r="AC23" s="1109">
        <v>7.3024341447149048</v>
      </c>
      <c r="AD23" s="1109">
        <v>10.787037037037036</v>
      </c>
      <c r="AE23" s="1109">
        <v>24.166263895601737</v>
      </c>
      <c r="AF23" s="1109">
        <v>20.27578443787802</v>
      </c>
      <c r="AG23" s="1109">
        <v>27.998756991920448</v>
      </c>
      <c r="AH23" s="1109">
        <v>24.710962529600224</v>
      </c>
      <c r="AI23" s="1109">
        <v>16.854807318022576</v>
      </c>
      <c r="AJ23" s="1109">
        <v>13.102480112307093</v>
      </c>
      <c r="AK23" s="1109">
        <v>18.608885651857246</v>
      </c>
      <c r="AL23" s="1109">
        <v>12.811348151457613</v>
      </c>
      <c r="AM23" s="1109">
        <v>13.724183877415056</v>
      </c>
      <c r="AN23" s="1109">
        <v>14.263549855192387</v>
      </c>
      <c r="AO23" s="1109">
        <v>13.366083307747415</v>
      </c>
      <c r="AP23" s="1109">
        <v>17.089108910891092</v>
      </c>
      <c r="AQ23" s="1109">
        <v>14.655340753759031</v>
      </c>
      <c r="AR23" s="1109">
        <v>6.3818231193989314</v>
      </c>
      <c r="AS23" s="1109">
        <v>11.212422135957389</v>
      </c>
      <c r="AT23" s="1109">
        <v>12.91222729578894</v>
      </c>
      <c r="AU23" s="1109">
        <v>15.404922081239889</v>
      </c>
      <c r="AV23" s="1109">
        <v>25.008509189925121</v>
      </c>
      <c r="AW23" s="1109">
        <v>22.079714262521307</v>
      </c>
      <c r="AX23" s="1109">
        <v>19.343967647719616</v>
      </c>
      <c r="AY23" s="1109">
        <v>16.506788665879572</v>
      </c>
      <c r="AZ23" s="1109">
        <v>12.994350282485875</v>
      </c>
      <c r="BA23" s="1109">
        <v>9.4820134317441322</v>
      </c>
      <c r="BB23" s="1109">
        <v>6.6892570281124497</v>
      </c>
      <c r="BC23" s="1109">
        <v>8.0414737233127376</v>
      </c>
      <c r="BD23" s="1109">
        <v>8.1650457235523017</v>
      </c>
      <c r="BE23" s="1109">
        <v>9.7652282823308241</v>
      </c>
      <c r="BF23" s="1109">
        <v>10.097581331152576</v>
      </c>
      <c r="BG23" s="1109">
        <v>10.420025636615438</v>
      </c>
      <c r="BH23" s="1109">
        <v>10.09102819028857</v>
      </c>
      <c r="BI23" s="1109">
        <v>9.7228865564926021</v>
      </c>
      <c r="BJ23" s="1109">
        <v>9.7520455967894328</v>
      </c>
      <c r="BK23" s="1109">
        <v>9.9562564800750462</v>
      </c>
      <c r="BL23" s="1109">
        <v>10.000673918918759</v>
      </c>
      <c r="BM23" s="1109">
        <v>14.137502189794638</v>
      </c>
      <c r="BN23" s="1109">
        <v>14.361350787011068</v>
      </c>
      <c r="BO23" s="1109">
        <v>13.779042507253751</v>
      </c>
      <c r="BP23" s="1109">
        <v>14.989388061208638</v>
      </c>
      <c r="BQ23" s="1109">
        <v>14.11562925538129</v>
      </c>
      <c r="BR23" s="1109">
        <v>13.352840089078507</v>
      </c>
      <c r="BS23" s="1109">
        <v>13.288867094241791</v>
      </c>
      <c r="BT23" s="1109">
        <v>14.27492927103139</v>
      </c>
      <c r="BU23" s="1109">
        <v>11.472952013945106</v>
      </c>
      <c r="BV23" s="1109">
        <v>11.782075563850144</v>
      </c>
      <c r="BW23" s="1109">
        <v>12.758749837804451</v>
      </c>
      <c r="BX23" s="1109">
        <v>12.923947588863694</v>
      </c>
      <c r="BY23" s="1109">
        <v>10.854411105297586</v>
      </c>
      <c r="BZ23" s="1109">
        <v>10.784045602165342</v>
      </c>
      <c r="CA23" s="1109">
        <v>10.981833621435436</v>
      </c>
      <c r="CB23" s="1109">
        <v>10.880819262296416</v>
      </c>
      <c r="CC23" s="1109">
        <v>10.302119477611829</v>
      </c>
      <c r="CD23" s="1109">
        <v>10.32984293260647</v>
      </c>
      <c r="CE23" s="1109">
        <v>10.255671600841074</v>
      </c>
      <c r="CF23" s="1109">
        <v>10.314464240192668</v>
      </c>
    </row>
    <row r="24" spans="4:84" ht="14.45" hidden="1" outlineLevel="1" collapsed="1">
      <c r="D24" s="1611"/>
      <c r="E24" s="1619"/>
      <c r="F24" s="1107"/>
    </row>
    <row r="25" spans="4:84" ht="14.45" collapsed="1">
      <c r="D25" s="1105" t="s">
        <v>401</v>
      </c>
      <c r="F25" s="1106" t="s">
        <v>1188</v>
      </c>
    </row>
    <row r="26" spans="4:84" ht="14.45">
      <c r="D26" s="1105" t="s">
        <v>1093</v>
      </c>
      <c r="F26" s="1106" t="s">
        <v>1188</v>
      </c>
    </row>
    <row r="27" spans="4:84" ht="14.45">
      <c r="D27" s="1614" t="s">
        <v>1097</v>
      </c>
      <c r="E27" s="1612" t="s">
        <v>1095</v>
      </c>
      <c r="F27" s="1107" t="s">
        <v>1190</v>
      </c>
      <c r="G27" s="1108">
        <v>3447.7166666666667</v>
      </c>
      <c r="I27" s="1108">
        <v>3899.335</v>
      </c>
      <c r="K27" s="1108">
        <v>3830.5768729563301</v>
      </c>
      <c r="M27" s="1108">
        <v>4521.5274390192963</v>
      </c>
      <c r="O27" s="1108">
        <v>3697.1757581914362</v>
      </c>
      <c r="Q27" s="1108">
        <v>4311.2094289993602</v>
      </c>
      <c r="S27" s="1108">
        <v>4107.7405836310263</v>
      </c>
      <c r="T27" s="1108">
        <v>4989.6357040056791</v>
      </c>
      <c r="U27" s="1108">
        <v>4121.476431937579</v>
      </c>
      <c r="V27" s="1108">
        <v>4687.6683578336197</v>
      </c>
      <c r="W27" s="1108">
        <v>4600.3687489534623</v>
      </c>
      <c r="X27" s="1108">
        <v>5225.7543084881609</v>
      </c>
      <c r="Y27" s="1108">
        <v>4178.7458262739055</v>
      </c>
      <c r="Z27" s="1108">
        <v>4760.7142857142899</v>
      </c>
      <c r="AA27" s="1108">
        <v>4488.9830508474597</v>
      </c>
      <c r="AB27" s="1108">
        <v>5652.6785714285697</v>
      </c>
      <c r="AC27" s="1108">
        <v>4689</v>
      </c>
      <c r="AD27" s="1108">
        <v>5332</v>
      </c>
      <c r="AE27" s="1108">
        <v>5297</v>
      </c>
      <c r="AF27" s="1108">
        <v>6331</v>
      </c>
      <c r="AG27" s="1108">
        <v>5496</v>
      </c>
      <c r="AH27" s="1108">
        <v>6299</v>
      </c>
      <c r="AI27" s="1108">
        <v>6343</v>
      </c>
      <c r="AJ27" s="1108">
        <v>7991</v>
      </c>
      <c r="AK27" s="1108">
        <v>7058</v>
      </c>
      <c r="AL27" s="1108">
        <v>7791</v>
      </c>
      <c r="AM27" s="1108">
        <v>8053</v>
      </c>
      <c r="AN27" s="1108">
        <v>9720</v>
      </c>
      <c r="AO27" s="1108">
        <v>9192</v>
      </c>
      <c r="AP27" s="1108">
        <v>10119</v>
      </c>
      <c r="AQ27" s="1108">
        <v>10490</v>
      </c>
      <c r="AR27" s="1108">
        <v>11578</v>
      </c>
      <c r="AS27" s="1108">
        <v>11195</v>
      </c>
      <c r="AT27" s="1108">
        <v>12729</v>
      </c>
      <c r="AU27" s="1108">
        <v>13204</v>
      </c>
      <c r="AV27" s="1108">
        <v>15461</v>
      </c>
      <c r="AW27" s="1108">
        <v>15069</v>
      </c>
      <c r="AX27" s="1108">
        <v>16382</v>
      </c>
      <c r="AY27" s="1108">
        <v>17038</v>
      </c>
      <c r="AZ27" s="1108">
        <v>18831</v>
      </c>
      <c r="BA27" s="1108">
        <v>18388</v>
      </c>
      <c r="BB27" s="1108">
        <v>19594</v>
      </c>
      <c r="BC27" s="1108">
        <v>19950.272390517395</v>
      </c>
      <c r="BD27" s="1108">
        <v>21871.757727970213</v>
      </c>
      <c r="BE27" s="1108">
        <v>21670.920589416852</v>
      </c>
      <c r="BF27" s="1108">
        <v>23050.845645004443</v>
      </c>
      <c r="BG27" s="1108">
        <v>23638.301985174414</v>
      </c>
      <c r="BH27" s="1108">
        <v>25802.72116822773</v>
      </c>
      <c r="BI27" s="1108">
        <v>25854.708075342369</v>
      </c>
      <c r="BJ27" s="1108">
        <v>27434.502050401796</v>
      </c>
      <c r="BK27" s="1108">
        <v>28137.823180808075</v>
      </c>
      <c r="BL27" s="1108">
        <v>30610.730668999251</v>
      </c>
      <c r="BM27" s="1108">
        <v>30488.904102920143</v>
      </c>
      <c r="BN27" s="1108">
        <v>32257.316187780641</v>
      </c>
      <c r="BO27" s="1108">
        <v>33023.524431729711</v>
      </c>
      <c r="BP27" s="1108">
        <v>36086.558985370946</v>
      </c>
      <c r="BQ27" s="1108">
        <v>35837.509828857779</v>
      </c>
      <c r="BR27" s="1108">
        <v>37887.700190458119</v>
      </c>
      <c r="BS27" s="1108">
        <v>38761.077570696361</v>
      </c>
      <c r="BT27" s="1108">
        <v>42317.443178727619</v>
      </c>
      <c r="BU27" s="1108">
        <v>35820.119715583649</v>
      </c>
      <c r="BV27" s="1108">
        <v>37567.552708838899</v>
      </c>
      <c r="BW27" s="1108">
        <v>39114.72783858575</v>
      </c>
      <c r="BX27" s="1108">
        <v>43315.210115747301</v>
      </c>
      <c r="BY27" s="1108">
        <v>38610.136562920998</v>
      </c>
      <c r="BZ27" s="1108">
        <v>40514.072375956952</v>
      </c>
      <c r="CA27" s="1108">
        <v>42227.112375754397</v>
      </c>
      <c r="CB27" s="1108">
        <v>46734.7808117518</v>
      </c>
      <c r="CC27" s="1108">
        <v>40791.469249702648</v>
      </c>
      <c r="CD27" s="1108">
        <v>42824.456488923148</v>
      </c>
      <c r="CE27" s="1108">
        <v>44665.073820133897</v>
      </c>
      <c r="CF27" s="1108">
        <v>49413.576961332546</v>
      </c>
    </row>
    <row r="28" spans="4:84" ht="14.45" hidden="1" outlineLevel="1">
      <c r="D28" s="1611"/>
      <c r="E28" s="1619"/>
      <c r="F28" s="1107" t="s">
        <v>1191</v>
      </c>
      <c r="O28" s="1109">
        <v>7.2354870090282795</v>
      </c>
      <c r="Q28" s="1109">
        <v>10.562683867873885</v>
      </c>
      <c r="S28" s="1109">
        <v>7.2355605922297839</v>
      </c>
      <c r="T28" s="1109">
        <v>10.352879006035932</v>
      </c>
      <c r="U28" s="1109">
        <v>11.47634577031036</v>
      </c>
      <c r="V28" s="1109">
        <v>8.7320955994855574</v>
      </c>
      <c r="W28" s="1109">
        <v>11.992679559306021</v>
      </c>
      <c r="X28" s="1109">
        <v>4.7321812350534076</v>
      </c>
      <c r="Y28" s="1109">
        <v>1.3895358928305981</v>
      </c>
      <c r="Z28" s="1109">
        <v>1.5582571612303218</v>
      </c>
      <c r="AA28" s="1109">
        <v>-2.4212341267499848</v>
      </c>
      <c r="AB28" s="1109">
        <v>8.1696198814199601</v>
      </c>
      <c r="AC28" s="1109">
        <v>12.210701366851898</v>
      </c>
      <c r="AD28" s="1109">
        <v>11.999999999999902</v>
      </c>
      <c r="AE28" s="1109">
        <v>17.999999999999947</v>
      </c>
      <c r="AF28" s="1109">
        <v>12.000000000000032</v>
      </c>
      <c r="AG28" s="1109">
        <v>17.210492642354446</v>
      </c>
      <c r="AH28" s="1109">
        <v>18.135783945986496</v>
      </c>
      <c r="AI28" s="1109">
        <v>19.747026618840856</v>
      </c>
      <c r="AJ28" s="1109">
        <v>26.220186384457435</v>
      </c>
      <c r="AK28" s="1109">
        <v>28.420669577874818</v>
      </c>
      <c r="AL28" s="1109">
        <v>23.686299412605173</v>
      </c>
      <c r="AM28" s="1109">
        <v>26.958852278101848</v>
      </c>
      <c r="AN28" s="1109">
        <v>21.636841446627457</v>
      </c>
      <c r="AO28" s="1109">
        <v>30.23519410597903</v>
      </c>
      <c r="AP28" s="1109">
        <v>29.88063149788217</v>
      </c>
      <c r="AQ28" s="1109">
        <v>30.262014156215074</v>
      </c>
      <c r="AR28" s="1109">
        <v>19.115226337448561</v>
      </c>
      <c r="AS28" s="1109">
        <v>21.790687554395127</v>
      </c>
      <c r="AT28" s="1109">
        <v>25.793062555588499</v>
      </c>
      <c r="AU28" s="1109">
        <v>25.872259294566252</v>
      </c>
      <c r="AV28" s="1109">
        <v>33.537743997236134</v>
      </c>
      <c r="AW28" s="1109">
        <v>34.604734256364452</v>
      </c>
      <c r="AX28" s="1109">
        <v>28.698248094901409</v>
      </c>
      <c r="AY28" s="1109">
        <v>29.036655558921538</v>
      </c>
      <c r="AZ28" s="1109">
        <v>21.796778992303214</v>
      </c>
      <c r="BA28" s="1109">
        <v>22.025350056407195</v>
      </c>
      <c r="BB28" s="1109">
        <v>19.606885606153096</v>
      </c>
      <c r="BC28" s="1109">
        <v>17.092806611793609</v>
      </c>
      <c r="BD28" s="1109">
        <v>16.147616844406631</v>
      </c>
      <c r="BE28" s="1109">
        <v>17.853603379469501</v>
      </c>
      <c r="BF28" s="1109">
        <v>17.642368301543552</v>
      </c>
      <c r="BG28" s="1109">
        <v>18.48611147991134</v>
      </c>
      <c r="BH28" s="1109">
        <v>17.972782476602198</v>
      </c>
      <c r="BI28" s="1109">
        <v>19.305997955475409</v>
      </c>
      <c r="BJ28" s="1109">
        <v>19.017334430623695</v>
      </c>
      <c r="BK28" s="1109">
        <v>19.034874833461778</v>
      </c>
      <c r="BL28" s="1109">
        <v>18.633730409379766</v>
      </c>
      <c r="BM28" s="1109">
        <v>17.923992852958982</v>
      </c>
      <c r="BN28" s="1109">
        <v>17.579375519623156</v>
      </c>
      <c r="BO28" s="1109">
        <v>17.363465608292046</v>
      </c>
      <c r="BP28" s="1109">
        <v>17.888590689268625</v>
      </c>
      <c r="BQ28" s="1109">
        <v>17.542794283069561</v>
      </c>
      <c r="BR28" s="1109">
        <v>17.454595323123371</v>
      </c>
      <c r="BS28" s="1109">
        <v>17.374139307353538</v>
      </c>
      <c r="BT28" s="1109">
        <v>17.266495804941108</v>
      </c>
      <c r="BU28" s="1109">
        <v>-4.8524892932508008E-2</v>
      </c>
      <c r="BV28" s="1109">
        <v>-0.8449905378523036</v>
      </c>
      <c r="BW28" s="1109">
        <v>0.91238502656270459</v>
      </c>
      <c r="BX28" s="1109">
        <v>2.357814797093519</v>
      </c>
      <c r="BY28" s="1109">
        <v>7.7889657251020958</v>
      </c>
      <c r="BZ28" s="1109">
        <v>7.84325689233623</v>
      </c>
      <c r="CA28" s="1109">
        <v>7.9570655585601546</v>
      </c>
      <c r="CB28" s="1109">
        <v>7.8946187421616809</v>
      </c>
      <c r="CC28" s="1109">
        <v>5.649637325749528</v>
      </c>
      <c r="CD28" s="1109">
        <v>5.7026706462056174</v>
      </c>
      <c r="CE28" s="1109">
        <v>5.7734505326471428</v>
      </c>
      <c r="CF28" s="1109">
        <v>5.7319112298203914</v>
      </c>
    </row>
    <row r="29" spans="4:84" ht="14.45" hidden="1" outlineLevel="1" collapsed="1">
      <c r="D29" s="1611"/>
      <c r="E29" s="1619"/>
      <c r="F29" s="1107"/>
    </row>
    <row r="30" spans="4:84" ht="14.45" collapsed="1">
      <c r="D30" s="1614" t="s">
        <v>1098</v>
      </c>
      <c r="E30" s="1612" t="s">
        <v>1095</v>
      </c>
      <c r="F30" s="1106" t="s">
        <v>1190</v>
      </c>
      <c r="G30" s="1108">
        <v>992.97333333333336</v>
      </c>
      <c r="I30" s="1108">
        <v>1103.75</v>
      </c>
      <c r="K30" s="1108">
        <v>1080.7748829810166</v>
      </c>
      <c r="M30" s="1108">
        <v>1207.0690721557032</v>
      </c>
      <c r="O30" s="1108">
        <v>1094.7145129728858</v>
      </c>
      <c r="Q30" s="1108">
        <v>1167.7402597402599</v>
      </c>
      <c r="S30" s="1108">
        <v>1182.98398403138</v>
      </c>
      <c r="T30" s="1108">
        <v>1354.4089784261071</v>
      </c>
      <c r="U30" s="1108">
        <v>1243.8738891033411</v>
      </c>
      <c r="V30" s="1108">
        <v>1287.8194444444443</v>
      </c>
      <c r="W30" s="1108">
        <v>1260.2578133265256</v>
      </c>
      <c r="X30" s="1108">
        <v>1353.3751992320799</v>
      </c>
      <c r="Y30" s="1108">
        <v>1353.720421775171</v>
      </c>
      <c r="Z30" s="1108">
        <v>1413.6735454545455</v>
      </c>
      <c r="AA30" s="1108">
        <v>1396.39000153713</v>
      </c>
      <c r="AB30" s="1108">
        <v>1499.0215382961937</v>
      </c>
      <c r="AC30" s="1108">
        <v>1355</v>
      </c>
      <c r="AD30" s="1108">
        <v>1371</v>
      </c>
      <c r="AE30" s="1108">
        <v>1383</v>
      </c>
      <c r="AF30" s="1108">
        <v>1433</v>
      </c>
      <c r="AG30" s="1108">
        <v>1371</v>
      </c>
      <c r="AH30" s="1108">
        <v>1435</v>
      </c>
      <c r="AI30" s="1108">
        <v>1489</v>
      </c>
      <c r="AJ30" s="1108">
        <v>1551</v>
      </c>
      <c r="AK30" s="1108">
        <v>1450</v>
      </c>
      <c r="AL30" s="1108">
        <v>1521</v>
      </c>
      <c r="AM30" s="1108">
        <v>1542</v>
      </c>
      <c r="AN30" s="1108">
        <v>1611</v>
      </c>
      <c r="AO30" s="1108">
        <v>1545</v>
      </c>
      <c r="AP30" s="1108">
        <v>1612</v>
      </c>
      <c r="AQ30" s="1108">
        <v>1633</v>
      </c>
      <c r="AR30" s="1108">
        <v>1619</v>
      </c>
      <c r="AS30" s="1108">
        <v>1637</v>
      </c>
      <c r="AT30" s="1108">
        <v>1695</v>
      </c>
      <c r="AU30" s="1108">
        <v>1803</v>
      </c>
      <c r="AV30" s="1108">
        <v>1808</v>
      </c>
      <c r="AW30" s="1108">
        <v>1791</v>
      </c>
      <c r="AX30" s="1108">
        <v>1823</v>
      </c>
      <c r="AY30" s="1108">
        <v>1891</v>
      </c>
      <c r="AZ30" s="1108">
        <v>1902</v>
      </c>
      <c r="BA30" s="1108">
        <v>1876</v>
      </c>
      <c r="BB30" s="1108">
        <v>1862</v>
      </c>
      <c r="BC30" s="1108">
        <v>1837.108486949486</v>
      </c>
      <c r="BD30" s="1108">
        <v>1896.8788841143371</v>
      </c>
      <c r="BE30" s="1108">
        <v>1895.7288204621605</v>
      </c>
      <c r="BF30" s="1108">
        <v>1890.7761189118862</v>
      </c>
      <c r="BG30" s="1108">
        <v>1880.9301040943417</v>
      </c>
      <c r="BH30" s="1108">
        <v>1945.2797997234843</v>
      </c>
      <c r="BI30" s="1108">
        <v>1945.9332647083918</v>
      </c>
      <c r="BJ30" s="1108">
        <v>1938.8271594167747</v>
      </c>
      <c r="BK30" s="1108">
        <v>1928.3057238018901</v>
      </c>
      <c r="BL30" s="1108">
        <v>2001.8043689257238</v>
      </c>
      <c r="BM30" s="1108">
        <v>2044.9888375314615</v>
      </c>
      <c r="BN30" s="1108">
        <v>2036.0412987648415</v>
      </c>
      <c r="BO30" s="1108">
        <v>2029.3969642570571</v>
      </c>
      <c r="BP30" s="1108">
        <v>2110.9196435989616</v>
      </c>
      <c r="BQ30" s="1108">
        <v>2122.4185556368338</v>
      </c>
      <c r="BR30" s="1108">
        <v>2105.5859734140281</v>
      </c>
      <c r="BS30" s="1108">
        <v>2113.7314142587561</v>
      </c>
      <c r="BT30" s="1108">
        <v>2185.2523415601559</v>
      </c>
      <c r="BU30" s="1108">
        <v>2307.3540845684001</v>
      </c>
      <c r="BV30" s="1108">
        <v>2267.5022978607999</v>
      </c>
      <c r="BW30" s="1108">
        <v>2318.2040141706302</v>
      </c>
      <c r="BX30" s="1108">
        <v>2392.376260191395</v>
      </c>
      <c r="BY30" s="1108">
        <v>2400.9738071629499</v>
      </c>
      <c r="BZ30" s="1108">
        <v>2359.291729490375</v>
      </c>
      <c r="CA30" s="1108">
        <v>2412.8499983165002</v>
      </c>
      <c r="CB30" s="1108">
        <v>2490.607162094575</v>
      </c>
      <c r="CC30" s="1108">
        <v>2498.6220764382201</v>
      </c>
      <c r="CD30" s="1108">
        <v>2455.0230622035251</v>
      </c>
      <c r="CE30" s="1108">
        <v>2511.5903551727852</v>
      </c>
      <c r="CF30" s="1108">
        <v>2593.1079717597249</v>
      </c>
    </row>
    <row r="31" spans="4:84" ht="14.45" hidden="1" outlineLevel="1">
      <c r="D31" s="1611"/>
      <c r="E31" s="1619"/>
      <c r="F31" s="1106" t="s">
        <v>1191</v>
      </c>
      <c r="O31" s="1109">
        <v>10.246113991602908</v>
      </c>
      <c r="Q31" s="1109">
        <v>5.7975320262976169</v>
      </c>
      <c r="S31" s="1109">
        <v>9.4570203897085445</v>
      </c>
      <c r="T31" s="1109">
        <v>12.206418809759551</v>
      </c>
      <c r="U31" s="1109">
        <v>13.625413234486796</v>
      </c>
      <c r="V31" s="1109">
        <v>10.283038860961561</v>
      </c>
      <c r="W31" s="1109">
        <v>6.5321111983115214</v>
      </c>
      <c r="X31" s="1109">
        <v>-7.632695961809495E-2</v>
      </c>
      <c r="Y31" s="1109">
        <v>8.8310023736420629</v>
      </c>
      <c r="Z31" s="1109">
        <v>9.7726510927464467</v>
      </c>
      <c r="AA31" s="1109">
        <v>10.801931697711552</v>
      </c>
      <c r="AB31" s="1109">
        <v>10.761711840645164</v>
      </c>
      <c r="AC31" s="1109">
        <v>9.4523079082392186E-2</v>
      </c>
      <c r="AD31" s="1109">
        <v>-3.0186279987876907</v>
      </c>
      <c r="AE31" s="1109">
        <v>-0.95890127560283922</v>
      </c>
      <c r="AF31" s="1109">
        <v>-4.4043088514414963</v>
      </c>
      <c r="AG31" s="1109">
        <v>1.1808118081180812</v>
      </c>
      <c r="AH31" s="1109">
        <v>4.6681254558716265</v>
      </c>
      <c r="AI31" s="1109">
        <v>7.664497469269703</v>
      </c>
      <c r="AJ31" s="1109">
        <v>8.2344731332868104</v>
      </c>
      <c r="AK31" s="1109">
        <v>5.7622173595915394</v>
      </c>
      <c r="AL31" s="1109">
        <v>5.9930313588850179</v>
      </c>
      <c r="AM31" s="1109">
        <v>3.5594358629952985</v>
      </c>
      <c r="AN31" s="1109">
        <v>3.8684719535783367</v>
      </c>
      <c r="AO31" s="1109">
        <v>6.5517241379310347</v>
      </c>
      <c r="AP31" s="1109">
        <v>5.982905982905983</v>
      </c>
      <c r="AQ31" s="1109">
        <v>5.9014267185473406</v>
      </c>
      <c r="AR31" s="1109">
        <v>0.49658597144630662</v>
      </c>
      <c r="AS31" s="1109">
        <v>5.9546925566343045</v>
      </c>
      <c r="AT31" s="1109">
        <v>5.1488833746898264</v>
      </c>
      <c r="AU31" s="1109">
        <v>10.41028781383956</v>
      </c>
      <c r="AV31" s="1109">
        <v>11.673872760963558</v>
      </c>
      <c r="AW31" s="1109">
        <v>9.4074526572999382</v>
      </c>
      <c r="AX31" s="1109">
        <v>7.5516224188790559</v>
      </c>
      <c r="AY31" s="1109">
        <v>4.8807542983915697</v>
      </c>
      <c r="AZ31" s="1109">
        <v>5.1991150442477876</v>
      </c>
      <c r="BA31" s="1109">
        <v>4.7459519821328868</v>
      </c>
      <c r="BB31" s="1109">
        <v>2.1393307734503564</v>
      </c>
      <c r="BC31" s="1109">
        <v>-2.8498949259922819</v>
      </c>
      <c r="BD31" s="1109">
        <v>-0.26924899504011057</v>
      </c>
      <c r="BE31" s="1109">
        <v>1.0516428817782759</v>
      </c>
      <c r="BF31" s="1109">
        <v>1.5454414023569396</v>
      </c>
      <c r="BG31" s="1109">
        <v>2.3853581569165478</v>
      </c>
      <c r="BH31" s="1109">
        <v>2.5516081187094795</v>
      </c>
      <c r="BI31" s="1109">
        <v>2.6482925038820673</v>
      </c>
      <c r="BJ31" s="1109">
        <v>2.5413395073204752</v>
      </c>
      <c r="BK31" s="1109">
        <v>2.5187336629055381</v>
      </c>
      <c r="BL31" s="1109">
        <v>2.9057295104937753</v>
      </c>
      <c r="BM31" s="1109">
        <v>5.0903889984075956</v>
      </c>
      <c r="BN31" s="1109">
        <v>5.0140694014885812</v>
      </c>
      <c r="BO31" s="1109">
        <v>5.2424902963962241</v>
      </c>
      <c r="BP31" s="1109">
        <v>5.4508460650325645</v>
      </c>
      <c r="BQ31" s="1109">
        <v>3.7863149511778742</v>
      </c>
      <c r="BR31" s="1109">
        <v>3.4156809437694462</v>
      </c>
      <c r="BS31" s="1109">
        <v>4.1556408867780599</v>
      </c>
      <c r="BT31" s="1109">
        <v>3.5213419035914866</v>
      </c>
      <c r="BU31" s="1109">
        <v>8.7134334761823737</v>
      </c>
      <c r="BV31" s="1109">
        <v>7.6898462704060613</v>
      </c>
      <c r="BW31" s="1109">
        <v>9.6735374481614826</v>
      </c>
      <c r="BX31" s="1109">
        <v>9.4782609171517223</v>
      </c>
      <c r="BY31" s="1109">
        <v>4.057449319143478</v>
      </c>
      <c r="BZ31" s="1109">
        <v>4.0480413941000553</v>
      </c>
      <c r="CA31" s="1109">
        <v>4.0827288524789704</v>
      </c>
      <c r="CB31" s="1109">
        <v>4.1059971852137211</v>
      </c>
      <c r="CC31" s="1109">
        <v>4.0670276778510051</v>
      </c>
      <c r="CD31" s="1109">
        <v>4.0576301572433682</v>
      </c>
      <c r="CE31" s="1109">
        <v>4.0922708384349766</v>
      </c>
      <c r="CF31" s="1109">
        <v>4.1154948570431253</v>
      </c>
    </row>
    <row r="32" spans="4:84" ht="14.45" hidden="1" outlineLevel="1" collapsed="1">
      <c r="D32" s="1611"/>
      <c r="E32" s="1619"/>
      <c r="F32" s="1106"/>
    </row>
    <row r="33" spans="4:84" ht="14.45" collapsed="1">
      <c r="D33" s="1614" t="s">
        <v>1099</v>
      </c>
      <c r="E33" s="1612" t="s">
        <v>1095</v>
      </c>
      <c r="F33" s="1107" t="s">
        <v>1190</v>
      </c>
      <c r="O33" s="1108">
        <v>72.491680331956672</v>
      </c>
      <c r="Q33" s="1108">
        <v>71.345518780821251</v>
      </c>
      <c r="S33" s="1108">
        <v>-9.5337920513563663</v>
      </c>
      <c r="T33" s="1108">
        <v>-312.40226898757123</v>
      </c>
      <c r="U33" s="1108">
        <v>98.79833355758673</v>
      </c>
      <c r="V33" s="1108">
        <v>65.499265780097502</v>
      </c>
      <c r="W33" s="1108">
        <v>33.746905171764276</v>
      </c>
      <c r="X33" s="1108">
        <v>-298.9082920932305</v>
      </c>
      <c r="Y33" s="1108">
        <v>65.580299292349082</v>
      </c>
      <c r="Z33" s="1108">
        <v>84.036376848805119</v>
      </c>
      <c r="AA33" s="1108">
        <v>39.907189031262632</v>
      </c>
      <c r="AB33" s="1108">
        <v>43.134568699826332</v>
      </c>
      <c r="AC33" s="1108">
        <v>53</v>
      </c>
      <c r="AD33" s="1108">
        <v>55</v>
      </c>
      <c r="AE33" s="1108">
        <v>50</v>
      </c>
      <c r="AF33" s="1108">
        <v>58</v>
      </c>
      <c r="AG33" s="1108">
        <v>55</v>
      </c>
      <c r="AH33" s="1108">
        <v>61</v>
      </c>
      <c r="AI33" s="1108">
        <v>64</v>
      </c>
      <c r="AJ33" s="1108">
        <v>64</v>
      </c>
      <c r="AK33" s="1108">
        <v>59</v>
      </c>
      <c r="AL33" s="1108">
        <v>66</v>
      </c>
      <c r="AM33" s="1108">
        <v>54</v>
      </c>
      <c r="AN33" s="1108">
        <v>60</v>
      </c>
      <c r="AO33" s="1108">
        <v>108</v>
      </c>
      <c r="AP33" s="1108">
        <v>138</v>
      </c>
      <c r="AQ33" s="1108">
        <v>158</v>
      </c>
      <c r="AR33" s="1108">
        <v>174</v>
      </c>
      <c r="AS33" s="1108">
        <v>154</v>
      </c>
      <c r="AT33" s="1108">
        <v>177</v>
      </c>
      <c r="AU33" s="1108">
        <v>111</v>
      </c>
      <c r="AV33" s="1108">
        <v>106</v>
      </c>
      <c r="AW33" s="1108">
        <v>104</v>
      </c>
      <c r="AX33" s="1108">
        <v>57</v>
      </c>
      <c r="AY33" s="1108">
        <v>122</v>
      </c>
      <c r="AZ33" s="1108">
        <v>175</v>
      </c>
      <c r="BA33" s="1108">
        <v>61</v>
      </c>
      <c r="BB33" s="1108">
        <v>52</v>
      </c>
      <c r="BC33" s="1108">
        <v>71.527777777777828</v>
      </c>
      <c r="BD33" s="1108">
        <v>83.507068888888838</v>
      </c>
      <c r="BE33" s="1108">
        <v>73.345882352941175</v>
      </c>
      <c r="BF33" s="1108">
        <v>63.315294117647056</v>
      </c>
      <c r="BG33" s="1108">
        <v>73.415176470588236</v>
      </c>
      <c r="BH33" s="1108">
        <v>86.392000941176349</v>
      </c>
      <c r="BI33" s="1108">
        <v>73.260666666666665</v>
      </c>
      <c r="BJ33" s="1108">
        <v>61.282666666666664</v>
      </c>
      <c r="BK33" s="1108">
        <v>73.703000000000003</v>
      </c>
      <c r="BL33" s="1108">
        <v>89.726701028571313</v>
      </c>
      <c r="BM33" s="1108">
        <v>95.769428571428577</v>
      </c>
      <c r="BN33" s="1108">
        <v>74.218285714285713</v>
      </c>
      <c r="BO33" s="1108">
        <v>80.921199999999999</v>
      </c>
      <c r="BP33" s="1108">
        <v>107.12245714285714</v>
      </c>
      <c r="BQ33" s="1108">
        <v>109.6772</v>
      </c>
      <c r="BR33" s="1108">
        <v>83.105599999999995</v>
      </c>
      <c r="BS33" s="1108">
        <v>79.909679999999994</v>
      </c>
      <c r="BT33" s="1108">
        <v>105.01143999999999</v>
      </c>
      <c r="BU33" s="1108">
        <v>30.5</v>
      </c>
      <c r="BV33" s="1108">
        <v>26</v>
      </c>
      <c r="BW33" s="1108">
        <v>61</v>
      </c>
      <c r="BX33" s="1108">
        <v>87.500000000024997</v>
      </c>
      <c r="BY33" s="1108">
        <v>30.5</v>
      </c>
      <c r="BZ33" s="1108">
        <v>26.000000000025</v>
      </c>
      <c r="CA33" s="1108">
        <v>60.999999999975003</v>
      </c>
      <c r="CB33" s="1108">
        <v>87.499999999980005</v>
      </c>
      <c r="CC33" s="1108">
        <v>30.500000000010001</v>
      </c>
      <c r="CD33" s="1108">
        <v>25.999999999980002</v>
      </c>
      <c r="CE33" s="1108">
        <v>61.000000000005002</v>
      </c>
      <c r="CF33" s="1108">
        <v>87.500000000005002</v>
      </c>
    </row>
    <row r="34" spans="4:84" ht="14.45" hidden="1" outlineLevel="1">
      <c r="D34" s="1611"/>
      <c r="E34" s="1619"/>
      <c r="F34" s="1107" t="s">
        <v>1191</v>
      </c>
      <c r="U34" s="1109">
        <v>36.289203264658269</v>
      </c>
      <c r="V34" s="1109">
        <v>-8.1942819964402727</v>
      </c>
      <c r="W34" s="1109">
        <v>453.97148364446576</v>
      </c>
      <c r="X34" s="1109">
        <v>4.3194234593979797</v>
      </c>
      <c r="Y34" s="1109">
        <v>-33.622059268718132</v>
      </c>
      <c r="Z34" s="1109">
        <v>28.301250171174093</v>
      </c>
      <c r="AA34" s="1109">
        <v>18.254366817175903</v>
      </c>
      <c r="AB34" s="1109">
        <v>114.43070327616489</v>
      </c>
      <c r="AC34" s="1109">
        <v>-19.183046475996733</v>
      </c>
      <c r="AD34" s="1109">
        <v>-34.552152219801435</v>
      </c>
      <c r="AE34" s="1109">
        <v>25.29070880144133</v>
      </c>
      <c r="AF34" s="1109">
        <v>34.462918601602986</v>
      </c>
      <c r="AG34" s="1109">
        <v>3.7735849056603774</v>
      </c>
      <c r="AH34" s="1109">
        <v>10.909090909090908</v>
      </c>
      <c r="AI34" s="1109">
        <v>28.000000000000004</v>
      </c>
      <c r="AJ34" s="1109">
        <v>10.344827586206897</v>
      </c>
      <c r="AK34" s="1109">
        <v>7.2727272727272725</v>
      </c>
      <c r="AL34" s="1109">
        <v>8.1967213114754092</v>
      </c>
      <c r="AM34" s="1109">
        <v>-15.625</v>
      </c>
      <c r="AN34" s="1109">
        <v>-6.25</v>
      </c>
      <c r="AO34" s="1109">
        <v>83.050847457627114</v>
      </c>
      <c r="AP34" s="1109">
        <v>109.09090909090908</v>
      </c>
      <c r="AQ34" s="1109">
        <v>192.59259259259258</v>
      </c>
      <c r="AR34" s="1109">
        <v>190</v>
      </c>
      <c r="AS34" s="1109">
        <v>42.592592592592595</v>
      </c>
      <c r="AT34" s="1109">
        <v>28.260869565217391</v>
      </c>
      <c r="AU34" s="1109">
        <v>-29.746835443037973</v>
      </c>
      <c r="AV34" s="1109">
        <v>-39.080459770114942</v>
      </c>
      <c r="AW34" s="1109">
        <v>-32.467532467532465</v>
      </c>
      <c r="AX34" s="1109">
        <v>-67.796610169491515</v>
      </c>
      <c r="AY34" s="1109">
        <v>9.9099099099099099</v>
      </c>
      <c r="AZ34" s="1109">
        <v>65.094339622641513</v>
      </c>
      <c r="BA34" s="1109">
        <v>-41.346153846153847</v>
      </c>
      <c r="BB34" s="1109">
        <v>-8.7719298245614024</v>
      </c>
      <c r="BC34" s="1109">
        <v>-41.370673952641127</v>
      </c>
      <c r="BD34" s="1109">
        <v>-52.281674920634948</v>
      </c>
      <c r="BE34" s="1109">
        <v>20.239151398264219</v>
      </c>
      <c r="BF34" s="1109">
        <v>21.76018099547511</v>
      </c>
      <c r="BG34" s="1109">
        <v>2.6386933181038685</v>
      </c>
      <c r="BH34" s="1109">
        <v>3.4547159787467638</v>
      </c>
      <c r="BI34" s="1109">
        <v>-0.11618332691731793</v>
      </c>
      <c r="BJ34" s="1109">
        <v>-3.2103261610118055</v>
      </c>
      <c r="BK34" s="1109">
        <v>0.39204908746228484</v>
      </c>
      <c r="BL34" s="1109">
        <v>3.8599639446544778</v>
      </c>
      <c r="BM34" s="1109">
        <v>30.724211133889824</v>
      </c>
      <c r="BN34" s="1109">
        <v>21.108120372730273</v>
      </c>
      <c r="BO34" s="1109">
        <v>9.7936311954737203</v>
      </c>
      <c r="BP34" s="1109">
        <v>19.387491030954731</v>
      </c>
      <c r="BQ34" s="1109">
        <v>14.522140975497692</v>
      </c>
      <c r="BR34" s="1109">
        <v>11.974561525076604</v>
      </c>
      <c r="BS34" s="1109">
        <v>-1.2500061788505414</v>
      </c>
      <c r="BT34" s="1109">
        <v>-1.9706578799270118</v>
      </c>
      <c r="BU34" s="1109">
        <v>-72.19112085282994</v>
      </c>
      <c r="BV34" s="1109">
        <v>-68.714502993781394</v>
      </c>
      <c r="BW34" s="1109">
        <v>-23.663816448770657</v>
      </c>
      <c r="BX34" s="1109">
        <v>-16.675745042611545</v>
      </c>
      <c r="BY34" s="1109">
        <v>0</v>
      </c>
      <c r="BZ34" s="1109">
        <v>9.6155562145073551E-11</v>
      </c>
      <c r="CA34" s="1109">
        <v>-4.0978513842689052E-11</v>
      </c>
      <c r="CB34" s="1109">
        <v>-5.1418932603790503E-11</v>
      </c>
      <c r="CC34" s="1109">
        <v>3.2789800019093149E-11</v>
      </c>
      <c r="CD34" s="1109">
        <v>-1.7307181329093799E-10</v>
      </c>
      <c r="CE34" s="1109">
        <v>4.9178875907874952E-11</v>
      </c>
      <c r="CF34" s="1109">
        <v>2.85678782217669E-11</v>
      </c>
    </row>
    <row r="35" spans="4:84" ht="14.45" hidden="1" outlineLevel="1" collapsed="1">
      <c r="D35" s="1611"/>
      <c r="E35" s="1619"/>
      <c r="F35" s="1107"/>
    </row>
    <row r="36" spans="4:84" ht="14.45" collapsed="1">
      <c r="D36" s="1613" t="s">
        <v>1100</v>
      </c>
      <c r="E36" s="1612" t="s">
        <v>1095</v>
      </c>
      <c r="F36" s="1106" t="s">
        <v>1190</v>
      </c>
      <c r="G36" s="1108">
        <v>4553.0256156321429</v>
      </c>
      <c r="I36" s="1108">
        <v>5198.7262404662997</v>
      </c>
      <c r="K36" s="1108">
        <v>4998.4664370917599</v>
      </c>
      <c r="M36" s="1108">
        <v>5724.6368131657437</v>
      </c>
      <c r="O36" s="1108">
        <v>4859</v>
      </c>
      <c r="Q36" s="1108">
        <v>5521</v>
      </c>
      <c r="S36" s="1108">
        <v>5287</v>
      </c>
      <c r="T36" s="1108">
        <v>6065</v>
      </c>
      <c r="U36" s="1108">
        <v>5475</v>
      </c>
      <c r="V36" s="1108">
        <v>6041</v>
      </c>
      <c r="W36" s="1108">
        <v>5903</v>
      </c>
      <c r="X36" s="1108">
        <v>6296</v>
      </c>
      <c r="Y36" s="1108">
        <v>5583</v>
      </c>
      <c r="Z36" s="1108">
        <v>6260</v>
      </c>
      <c r="AA36" s="1108">
        <v>5923</v>
      </c>
      <c r="AB36" s="1108">
        <v>7186</v>
      </c>
      <c r="AC36" s="1108">
        <v>6097</v>
      </c>
      <c r="AD36" s="1108">
        <v>6758</v>
      </c>
      <c r="AE36" s="1108">
        <v>6730</v>
      </c>
      <c r="AF36" s="1108">
        <v>7822</v>
      </c>
      <c r="AG36" s="1108">
        <v>6922</v>
      </c>
      <c r="AH36" s="1108">
        <v>7795</v>
      </c>
      <c r="AI36" s="1108">
        <v>7896</v>
      </c>
      <c r="AJ36" s="1108">
        <v>9606</v>
      </c>
      <c r="AK36" s="1108">
        <v>8567</v>
      </c>
      <c r="AL36" s="1108">
        <v>9378</v>
      </c>
      <c r="AM36" s="1108">
        <v>9649</v>
      </c>
      <c r="AN36" s="1108">
        <v>11391</v>
      </c>
      <c r="AO36" s="1108">
        <v>10845</v>
      </c>
      <c r="AP36" s="1108">
        <v>11869</v>
      </c>
      <c r="AQ36" s="1108">
        <v>12281</v>
      </c>
      <c r="AR36" s="1108">
        <v>13371</v>
      </c>
      <c r="AS36" s="1108">
        <v>12986</v>
      </c>
      <c r="AT36" s="1108">
        <v>14601</v>
      </c>
      <c r="AU36" s="1108">
        <v>15118</v>
      </c>
      <c r="AV36" s="1108">
        <v>17375</v>
      </c>
      <c r="AW36" s="1108">
        <v>16964</v>
      </c>
      <c r="AX36" s="1108">
        <v>18262</v>
      </c>
      <c r="AY36" s="1108">
        <v>19051</v>
      </c>
      <c r="AZ36" s="1108">
        <v>20909</v>
      </c>
      <c r="BA36" s="1108">
        <v>20325</v>
      </c>
      <c r="BB36" s="1108">
        <v>21508</v>
      </c>
      <c r="BC36" s="1108">
        <v>21869.884574423617</v>
      </c>
      <c r="BD36" s="1108">
        <v>23858.676269355645</v>
      </c>
      <c r="BE36" s="1108">
        <v>23589.362182921239</v>
      </c>
      <c r="BF36" s="1108">
        <v>24907.306935713292</v>
      </c>
      <c r="BG36" s="1108">
        <v>25510.651048384534</v>
      </c>
      <c r="BH36" s="1108">
        <v>27682.610028441948</v>
      </c>
      <c r="BI36" s="1108">
        <v>27795.210655362844</v>
      </c>
      <c r="BJ36" s="1108">
        <v>29396.356075926411</v>
      </c>
      <c r="BK36" s="1108">
        <v>30187.460822320019</v>
      </c>
      <c r="BL36" s="1108">
        <v>32814.611989653735</v>
      </c>
      <c r="BM36" s="1108">
        <v>32584.559619023028</v>
      </c>
      <c r="BN36" s="1108">
        <v>34339.360772259774</v>
      </c>
      <c r="BO36" s="1108">
        <v>35113.58125598677</v>
      </c>
      <c r="BP36" s="1108">
        <v>38275.241151112758</v>
      </c>
      <c r="BQ36" s="1108">
        <v>38006.461734494616</v>
      </c>
      <c r="BR36" s="1108">
        <v>40036.890763872179</v>
      </c>
      <c r="BS36" s="1108">
        <v>40926.352788955119</v>
      </c>
      <c r="BT36" s="1108">
        <v>44566.603051287777</v>
      </c>
      <c r="BU36" s="1108">
        <v>38157.973800152053</v>
      </c>
      <c r="BV36" s="1108">
        <v>39861.055006699702</v>
      </c>
      <c r="BW36" s="1108">
        <v>41493.931852756403</v>
      </c>
      <c r="BX36" s="1108">
        <v>45795.086375938699</v>
      </c>
      <c r="BY36" s="1108">
        <v>41041.610370083952</v>
      </c>
      <c r="BZ36" s="1108">
        <v>42899.364105447348</v>
      </c>
      <c r="CA36" s="1108">
        <v>44700.962374070848</v>
      </c>
      <c r="CB36" s="1108">
        <v>49312.887973846351</v>
      </c>
      <c r="CC36" s="1108">
        <v>43320.59132614085</v>
      </c>
      <c r="CD36" s="1108">
        <v>45305.479551126649</v>
      </c>
      <c r="CE36" s="1108">
        <v>47237.664175306702</v>
      </c>
      <c r="CF36" s="1108">
        <v>52094.1849330923</v>
      </c>
    </row>
    <row r="37" spans="4:84" ht="14.45" hidden="1" outlineLevel="1">
      <c r="D37" s="1611"/>
      <c r="E37" s="1619"/>
      <c r="F37" s="1106" t="s">
        <v>1191</v>
      </c>
      <c r="O37" s="1109">
        <v>6.7202429812241578</v>
      </c>
      <c r="Q37" s="1109">
        <v>6.1990907893006106</v>
      </c>
      <c r="S37" s="1109">
        <v>5.7724417386728835</v>
      </c>
      <c r="T37" s="1109">
        <v>5.9455856841690951</v>
      </c>
      <c r="U37" s="1109">
        <v>12.67750565960074</v>
      </c>
      <c r="V37" s="1109">
        <v>9.4185835899293604</v>
      </c>
      <c r="W37" s="1109">
        <v>11.651219973519956</v>
      </c>
      <c r="X37" s="1109">
        <v>3.8087386644682608</v>
      </c>
      <c r="Y37" s="1109">
        <v>1.9726027397260273</v>
      </c>
      <c r="Z37" s="1109">
        <v>3.6252276113226287</v>
      </c>
      <c r="AA37" s="1109">
        <v>0.33881077418261901</v>
      </c>
      <c r="AB37" s="1109">
        <v>14.135959339263025</v>
      </c>
      <c r="AC37" s="1109">
        <v>9.2065197922264019</v>
      </c>
      <c r="AD37" s="1109">
        <v>7.9552715654952078</v>
      </c>
      <c r="AE37" s="1109">
        <v>13.624852270808713</v>
      </c>
      <c r="AF37" s="1109">
        <v>8.850542721959366</v>
      </c>
      <c r="AG37" s="1109">
        <v>13.531244874528456</v>
      </c>
      <c r="AH37" s="1109">
        <v>15.344776561112756</v>
      </c>
      <c r="AI37" s="1109">
        <v>17.325408618127785</v>
      </c>
      <c r="AJ37" s="1109">
        <v>22.807466121196626</v>
      </c>
      <c r="AK37" s="1109">
        <v>23.764807859000289</v>
      </c>
      <c r="AL37" s="1109">
        <v>20.307889672867223</v>
      </c>
      <c r="AM37" s="1109">
        <v>22.20111448834853</v>
      </c>
      <c r="AN37" s="1109">
        <v>18.582136164896941</v>
      </c>
      <c r="AO37" s="1109">
        <v>26.590405042605347</v>
      </c>
      <c r="AP37" s="1109">
        <v>26.562166773299211</v>
      </c>
      <c r="AQ37" s="1109">
        <v>27.277438076484611</v>
      </c>
      <c r="AR37" s="1109">
        <v>17.382143797735054</v>
      </c>
      <c r="AS37" s="1109">
        <v>19.741816505301983</v>
      </c>
      <c r="AT37" s="1109">
        <v>23.017945909512175</v>
      </c>
      <c r="AU37" s="1109">
        <v>23.100724696685937</v>
      </c>
      <c r="AV37" s="1109">
        <v>29.945404233041657</v>
      </c>
      <c r="AW37" s="1109">
        <v>30.63298937317111</v>
      </c>
      <c r="AX37" s="1109">
        <v>25.073625094171632</v>
      </c>
      <c r="AY37" s="1109">
        <v>26.015345945230848</v>
      </c>
      <c r="AZ37" s="1109">
        <v>20.339568345323741</v>
      </c>
      <c r="BA37" s="1109">
        <v>19.812544211270929</v>
      </c>
      <c r="BB37" s="1109">
        <v>17.774613952469608</v>
      </c>
      <c r="BC37" s="1109">
        <v>14.796517633843981</v>
      </c>
      <c r="BD37" s="1109">
        <v>14.107208710869218</v>
      </c>
      <c r="BE37" s="1109">
        <v>16.060822548197979</v>
      </c>
      <c r="BF37" s="1109">
        <v>15.804849059481549</v>
      </c>
      <c r="BG37" s="1109">
        <v>16.647396841859511</v>
      </c>
      <c r="BH37" s="1109">
        <v>16.027434698872238</v>
      </c>
      <c r="BI37" s="1109">
        <v>17.829428535743329</v>
      </c>
      <c r="BJ37" s="1109">
        <v>18.023020922332254</v>
      </c>
      <c r="BK37" s="1109">
        <v>18.33277310353726</v>
      </c>
      <c r="BL37" s="1109">
        <v>18.538721442591623</v>
      </c>
      <c r="BM37" s="1109">
        <v>17.23084247514462</v>
      </c>
      <c r="BN37" s="1109">
        <v>16.815025248593116</v>
      </c>
      <c r="BO37" s="1109">
        <v>16.318432552712327</v>
      </c>
      <c r="BP37" s="1109">
        <v>16.64084634973203</v>
      </c>
      <c r="BQ37" s="1109">
        <v>16.63948256126271</v>
      </c>
      <c r="BR37" s="1109">
        <v>16.591834744387608</v>
      </c>
      <c r="BS37" s="1109">
        <v>16.554197336329192</v>
      </c>
      <c r="BT37" s="1109">
        <v>16.4371580974144</v>
      </c>
      <c r="BU37" s="1109">
        <v>0.39864817387071882</v>
      </c>
      <c r="BV37" s="1109">
        <v>-0.4391843467803575</v>
      </c>
      <c r="BW37" s="1109">
        <v>1.3868303064485574</v>
      </c>
      <c r="BX37" s="1109">
        <v>2.756511020678801</v>
      </c>
      <c r="BY37" s="1109">
        <v>7.5571008697542759</v>
      </c>
      <c r="BZ37" s="1109">
        <v>7.622249582297755</v>
      </c>
      <c r="CA37" s="1109">
        <v>7.7289145138011435</v>
      </c>
      <c r="CB37" s="1109">
        <v>7.681613632147112</v>
      </c>
      <c r="CC37" s="1109">
        <v>5.5528546163434465</v>
      </c>
      <c r="CD37" s="1109">
        <v>5.6087438493610993</v>
      </c>
      <c r="CE37" s="1109">
        <v>5.6748259243458419</v>
      </c>
      <c r="CF37" s="1109">
        <v>5.6401015505744478</v>
      </c>
    </row>
    <row r="38" spans="4:84" ht="14.45" hidden="1" outlineLevel="1" collapsed="1">
      <c r="D38" s="1611"/>
      <c r="E38" s="1619"/>
      <c r="F38" s="1106"/>
    </row>
    <row r="39" spans="4:84" ht="14.45" collapsed="1">
      <c r="D39" s="1105" t="s">
        <v>401</v>
      </c>
      <c r="F39" s="1107" t="s">
        <v>1188</v>
      </c>
    </row>
    <row r="40" spans="4:84" ht="14.45">
      <c r="D40" s="1105" t="s">
        <v>1196</v>
      </c>
      <c r="F40" s="1107" t="s">
        <v>1188</v>
      </c>
    </row>
    <row r="41" spans="4:84" ht="14.45">
      <c r="D41" s="1614" t="s">
        <v>1197</v>
      </c>
      <c r="E41" s="1612" t="s">
        <v>1095</v>
      </c>
      <c r="F41" s="1106" t="s">
        <v>1190</v>
      </c>
      <c r="G41" s="1108">
        <v>4488.3050264347603</v>
      </c>
      <c r="I41" s="1108">
        <v>4836.537891513045</v>
      </c>
      <c r="K41" s="1108">
        <v>4152.91535419091</v>
      </c>
      <c r="M41" s="1108">
        <v>4243.3439296156403</v>
      </c>
      <c r="O41" s="1108">
        <v>4292.6903237024771</v>
      </c>
      <c r="Q41" s="1108">
        <v>4887.3601567962787</v>
      </c>
      <c r="S41" s="1108">
        <v>4405.7892754661352</v>
      </c>
      <c r="T41" s="1108">
        <v>4578.8647297283615</v>
      </c>
      <c r="U41" s="1108">
        <v>4442.8084947269126</v>
      </c>
      <c r="V41" s="1108">
        <v>4672.5071928029338</v>
      </c>
      <c r="W41" s="1108">
        <v>3944.0198930919296</v>
      </c>
      <c r="X41" s="1108">
        <v>3874.9249757824459</v>
      </c>
      <c r="Y41" s="1108">
        <v>4365.5889377562262</v>
      </c>
      <c r="Z41" s="1108">
        <v>4600.4558115434384</v>
      </c>
      <c r="AA41" s="1108">
        <v>3835.1799662213862</v>
      </c>
      <c r="AB41" s="1108">
        <v>4185.8213784678383</v>
      </c>
      <c r="AC41" s="1108">
        <v>4643</v>
      </c>
      <c r="AD41" s="1108">
        <v>4805</v>
      </c>
      <c r="AE41" s="1108">
        <v>4253</v>
      </c>
      <c r="AF41" s="1108">
        <v>4892</v>
      </c>
      <c r="AG41" s="1108">
        <v>4643</v>
      </c>
      <c r="AH41" s="1108">
        <v>4839</v>
      </c>
      <c r="AI41" s="1108">
        <v>4612</v>
      </c>
      <c r="AJ41" s="1108">
        <v>5424</v>
      </c>
      <c r="AK41" s="1108">
        <v>4901</v>
      </c>
      <c r="AL41" s="1108">
        <v>4758</v>
      </c>
      <c r="AM41" s="1108">
        <v>4944</v>
      </c>
      <c r="AN41" s="1108">
        <v>5792</v>
      </c>
      <c r="AO41" s="1108">
        <v>5353</v>
      </c>
      <c r="AP41" s="1108">
        <v>5593</v>
      </c>
      <c r="AQ41" s="1108">
        <v>5220</v>
      </c>
      <c r="AR41" s="1108">
        <v>6128</v>
      </c>
      <c r="AS41" s="1108">
        <v>5151</v>
      </c>
      <c r="AT41" s="1108">
        <v>5514</v>
      </c>
      <c r="AU41" s="1108">
        <v>5463</v>
      </c>
      <c r="AV41" s="1108">
        <v>6360</v>
      </c>
      <c r="AW41" s="1108">
        <v>5676</v>
      </c>
      <c r="AX41" s="1108">
        <v>6594</v>
      </c>
      <c r="AY41" s="1108">
        <v>6077</v>
      </c>
      <c r="AZ41" s="1108">
        <v>6414</v>
      </c>
      <c r="BA41" s="1108">
        <v>5313</v>
      </c>
      <c r="BB41" s="1108">
        <v>4808</v>
      </c>
      <c r="BC41" s="1108">
        <v>4636.6124552208912</v>
      </c>
      <c r="BD41" s="1108">
        <v>5616.5732258916441</v>
      </c>
      <c r="BE41" s="1108">
        <v>5143.2113578698636</v>
      </c>
      <c r="BF41" s="1108">
        <v>4923.9839550456209</v>
      </c>
      <c r="BG41" s="1108">
        <v>4771.0355072362299</v>
      </c>
      <c r="BH41" s="1108">
        <v>5770.5702945433632</v>
      </c>
      <c r="BI41" s="1108">
        <v>5395.6259762842046</v>
      </c>
      <c r="BJ41" s="1108">
        <v>5058.2400071329466</v>
      </c>
      <c r="BK41" s="1108">
        <v>4917.9567575025922</v>
      </c>
      <c r="BL41" s="1108">
        <v>5999.7681602674047</v>
      </c>
      <c r="BM41" s="1108">
        <v>5603.3046223298015</v>
      </c>
      <c r="BN41" s="1108">
        <v>5234.0502763800596</v>
      </c>
      <c r="BO41" s="1108">
        <v>5209.6942217983815</v>
      </c>
      <c r="BP41" s="1108">
        <v>6455.1817092221054</v>
      </c>
      <c r="BQ41" s="1108">
        <v>5923.2600081218798</v>
      </c>
      <c r="BR41" s="1108">
        <v>5524.1919902237596</v>
      </c>
      <c r="BS41" s="1108">
        <v>5560.5396663376723</v>
      </c>
      <c r="BT41" s="1108">
        <v>6708.4244139089951</v>
      </c>
      <c r="BU41" s="1108">
        <v>6271.1735505825454</v>
      </c>
      <c r="BV41" s="1108">
        <v>5725.8678627262898</v>
      </c>
      <c r="BW41" s="1108">
        <v>5695.8000510318152</v>
      </c>
      <c r="BX41" s="1108">
        <v>6620.8034704012698</v>
      </c>
      <c r="BY41" s="1108">
        <v>6468.1019432188004</v>
      </c>
      <c r="BZ41" s="1108">
        <v>5892.6066363262353</v>
      </c>
      <c r="CA41" s="1108">
        <v>5878.6069567302648</v>
      </c>
      <c r="CB41" s="1108">
        <v>6828.817311458175</v>
      </c>
      <c r="CC41" s="1108">
        <v>6574.3559823041351</v>
      </c>
      <c r="CD41" s="1108">
        <v>5978.3251702527004</v>
      </c>
      <c r="CE41" s="1108">
        <v>5979.5936728460747</v>
      </c>
      <c r="CF41" s="1108">
        <v>6941.2209934060347</v>
      </c>
    </row>
    <row r="42" spans="4:84" ht="14.45" hidden="1" outlineLevel="1">
      <c r="D42" s="1611"/>
      <c r="E42" s="1619"/>
      <c r="F42" s="1106" t="s">
        <v>1191</v>
      </c>
      <c r="O42" s="1109">
        <v>-4.3583201582818383</v>
      </c>
      <c r="Q42" s="1109">
        <v>1.0507984517688678</v>
      </c>
      <c r="S42" s="1109">
        <v>6.0890699594933428</v>
      </c>
      <c r="T42" s="1109">
        <v>7.906990469733441</v>
      </c>
      <c r="U42" s="1109">
        <v>3.4970650036305768</v>
      </c>
      <c r="V42" s="1109">
        <v>-4.3960943556527976</v>
      </c>
      <c r="W42" s="1109">
        <v>-10.480968414571986</v>
      </c>
      <c r="X42" s="1109">
        <v>-15.373674382114283</v>
      </c>
      <c r="Y42" s="1109">
        <v>-1.7380797993507235</v>
      </c>
      <c r="Z42" s="1109">
        <v>-1.5420282577729623</v>
      </c>
      <c r="AA42" s="1109">
        <v>-2.7596191150348877</v>
      </c>
      <c r="AB42" s="1109">
        <v>8.0232883121205312</v>
      </c>
      <c r="AC42" s="1109">
        <v>6.3544934303034557</v>
      </c>
      <c r="AD42" s="1109">
        <v>4.4461722237027139</v>
      </c>
      <c r="AE42" s="1109">
        <v>10.894404889955434</v>
      </c>
      <c r="AF42" s="1109">
        <v>16.870729963891783</v>
      </c>
      <c r="AG42" s="1109">
        <v>0</v>
      </c>
      <c r="AH42" s="1109">
        <v>0.70759625390218517</v>
      </c>
      <c r="AI42" s="1109">
        <v>8.4411003997178469</v>
      </c>
      <c r="AJ42" s="1109">
        <v>10.874897792313982</v>
      </c>
      <c r="AK42" s="1109">
        <v>5.5567520999353865</v>
      </c>
      <c r="AL42" s="1109">
        <v>-1.6738995660260385</v>
      </c>
      <c r="AM42" s="1109">
        <v>7.1986123156981785</v>
      </c>
      <c r="AN42" s="1109">
        <v>6.7846607669616521</v>
      </c>
      <c r="AO42" s="1109">
        <v>9.2226076310956948</v>
      </c>
      <c r="AP42" s="1109">
        <v>17.549390500210173</v>
      </c>
      <c r="AQ42" s="1109">
        <v>5.5825242718446608</v>
      </c>
      <c r="AR42" s="1109">
        <v>5.8011049723756907</v>
      </c>
      <c r="AS42" s="1109">
        <v>-3.7735849056603774</v>
      </c>
      <c r="AT42" s="1109">
        <v>-1.4124798855712499</v>
      </c>
      <c r="AU42" s="1109">
        <v>4.6551724137931041</v>
      </c>
      <c r="AV42" s="1109">
        <v>3.7859007832898173</v>
      </c>
      <c r="AW42" s="1109">
        <v>10.19219569015725</v>
      </c>
      <c r="AX42" s="1109">
        <v>19.586507072905331</v>
      </c>
      <c r="AY42" s="1109">
        <v>11.239245835621453</v>
      </c>
      <c r="AZ42" s="1109">
        <v>0.84905660377358494</v>
      </c>
      <c r="BA42" s="1109">
        <v>-6.395348837209303</v>
      </c>
      <c r="BB42" s="1109">
        <v>-27.085228996057019</v>
      </c>
      <c r="BC42" s="1109">
        <v>-23.702279821936955</v>
      </c>
      <c r="BD42" s="1109">
        <v>-12.432597039419331</v>
      </c>
      <c r="BE42" s="1109">
        <v>-3.1957207252049007</v>
      </c>
      <c r="BF42" s="1109">
        <v>2.4123118769887868</v>
      </c>
      <c r="BG42" s="1109">
        <v>2.8991651407910202</v>
      </c>
      <c r="BH42" s="1109">
        <v>2.7418331865026406</v>
      </c>
      <c r="BI42" s="1109">
        <v>4.9077240045387178</v>
      </c>
      <c r="BJ42" s="1109">
        <v>2.7265737117147424</v>
      </c>
      <c r="BK42" s="1109">
        <v>3.0794415602970622</v>
      </c>
      <c r="BL42" s="1109">
        <v>3.9718408064584274</v>
      </c>
      <c r="BM42" s="1109">
        <v>3.8490185746458758</v>
      </c>
      <c r="BN42" s="1109">
        <v>3.4757201911967739</v>
      </c>
      <c r="BO42" s="1109">
        <v>5.9320868133036964</v>
      </c>
      <c r="BP42" s="1109">
        <v>7.5905191132319239</v>
      </c>
      <c r="BQ42" s="1109">
        <v>5.7101194269720743</v>
      </c>
      <c r="BR42" s="1109">
        <v>5.543349767827717</v>
      </c>
      <c r="BS42" s="1109">
        <v>6.7344728807937475</v>
      </c>
      <c r="BT42" s="1109">
        <v>3.9230918058448778</v>
      </c>
      <c r="BU42" s="1109">
        <v>5.8736834443129649</v>
      </c>
      <c r="BV42" s="1109">
        <v>3.6507759480379902</v>
      </c>
      <c r="BW42" s="1109">
        <v>2.4325046274371633</v>
      </c>
      <c r="BX42" s="1109">
        <v>-1.3061329770080639</v>
      </c>
      <c r="BY42" s="1109">
        <v>3.1402159587492493</v>
      </c>
      <c r="BZ42" s="1109">
        <v>2.9120262220049766</v>
      </c>
      <c r="CA42" s="1109">
        <v>3.2095035650932551</v>
      </c>
      <c r="CB42" s="1109">
        <v>3.1418217137367774</v>
      </c>
      <c r="CC42" s="1109">
        <v>1.642739091283681</v>
      </c>
      <c r="CD42" s="1109">
        <v>1.4546793841291716</v>
      </c>
      <c r="CE42" s="1109">
        <v>1.7178681422168032</v>
      </c>
      <c r="CF42" s="1109">
        <v>1.6460197545372295</v>
      </c>
    </row>
    <row r="43" spans="4:84" ht="14.45" hidden="1" outlineLevel="1" collapsed="1">
      <c r="D43" s="1611"/>
      <c r="E43" s="1619"/>
      <c r="F43" s="1106"/>
    </row>
    <row r="44" spans="4:84" ht="14.45" collapsed="1">
      <c r="D44" s="1615" t="s">
        <v>1198</v>
      </c>
      <c r="E44" s="1612" t="s">
        <v>1095</v>
      </c>
      <c r="F44" s="1107" t="s">
        <v>1190</v>
      </c>
      <c r="I44" s="1108">
        <v>303.66666666666669</v>
      </c>
      <c r="K44" s="1108">
        <v>348.23655913978502</v>
      </c>
      <c r="M44" s="1108">
        <v>201.09677419354833</v>
      </c>
      <c r="O44" s="1108">
        <v>400</v>
      </c>
      <c r="Q44" s="1108">
        <v>893</v>
      </c>
      <c r="S44" s="1108">
        <v>494</v>
      </c>
      <c r="T44" s="1108">
        <v>409</v>
      </c>
      <c r="U44" s="1108">
        <v>908</v>
      </c>
      <c r="V44" s="1108">
        <v>1104</v>
      </c>
      <c r="W44" s="1108">
        <v>713</v>
      </c>
      <c r="X44" s="1108">
        <v>888</v>
      </c>
      <c r="Y44" s="1108">
        <v>672</v>
      </c>
      <c r="Z44" s="1108">
        <v>1352</v>
      </c>
      <c r="AA44" s="1108">
        <v>1111</v>
      </c>
      <c r="AB44" s="1108">
        <v>965</v>
      </c>
      <c r="AC44" s="1108">
        <v>926</v>
      </c>
      <c r="AD44" s="1108">
        <v>1321</v>
      </c>
      <c r="AE44" s="1108">
        <v>831</v>
      </c>
      <c r="AF44" s="1108">
        <v>948</v>
      </c>
      <c r="AG44" s="1108">
        <v>1037</v>
      </c>
      <c r="AH44" s="1108">
        <v>1335</v>
      </c>
      <c r="AI44" s="1108">
        <v>1094</v>
      </c>
      <c r="AJ44" s="1108">
        <v>1185</v>
      </c>
      <c r="AK44" s="1108">
        <v>1180</v>
      </c>
      <c r="AL44" s="1108">
        <v>1860</v>
      </c>
      <c r="AM44" s="1108">
        <v>1329</v>
      </c>
      <c r="AN44" s="1108">
        <v>1350</v>
      </c>
      <c r="AO44" s="1108">
        <v>1136</v>
      </c>
      <c r="AP44" s="1108">
        <v>1976</v>
      </c>
      <c r="AQ44" s="1108">
        <v>1340</v>
      </c>
      <c r="AR44" s="1108">
        <v>1724</v>
      </c>
      <c r="AS44" s="1108">
        <v>1553</v>
      </c>
      <c r="AT44" s="1108">
        <v>2045</v>
      </c>
      <c r="AU44" s="1108">
        <v>1504</v>
      </c>
      <c r="AV44" s="1108">
        <v>1376</v>
      </c>
      <c r="AW44" s="1108">
        <v>1286</v>
      </c>
      <c r="AX44" s="1108">
        <v>2207</v>
      </c>
      <c r="AY44" s="1108">
        <v>1699</v>
      </c>
      <c r="AZ44" s="1108">
        <v>1512</v>
      </c>
      <c r="BA44" s="1108">
        <v>1283.3790241915385</v>
      </c>
      <c r="BB44" s="1108">
        <v>1407.1942083333333</v>
      </c>
      <c r="BC44" s="1108">
        <v>998.97390694326373</v>
      </c>
      <c r="BD44" s="1108">
        <v>1107.0289297197467</v>
      </c>
      <c r="BE44" s="1108">
        <v>1122.8532457525109</v>
      </c>
      <c r="BF44" s="1108">
        <v>1405.2700390393984</v>
      </c>
      <c r="BG44" s="1108">
        <v>1153.8504108971581</v>
      </c>
      <c r="BH44" s="1108">
        <v>1184.2903469119874</v>
      </c>
      <c r="BI44" s="1108">
        <v>1176.8594908588575</v>
      </c>
      <c r="BJ44" s="1108">
        <v>1459.6357333362573</v>
      </c>
      <c r="BK44" s="1108">
        <v>1248.1565304959588</v>
      </c>
      <c r="BL44" s="1108">
        <v>1274.61916624746</v>
      </c>
      <c r="BM44" s="1108">
        <v>1374.3153683378966</v>
      </c>
      <c r="BN44" s="1108">
        <v>1608.0687594250201</v>
      </c>
      <c r="BO44" s="1108">
        <v>1231.2515539098767</v>
      </c>
      <c r="BP44" s="1108">
        <v>1403.1186706007834</v>
      </c>
      <c r="BQ44" s="1108">
        <v>1415.0387808360899</v>
      </c>
      <c r="BR44" s="1108">
        <v>1648.4329873607567</v>
      </c>
      <c r="BS44" s="1108">
        <v>1243.35262551864</v>
      </c>
      <c r="BT44" s="1108">
        <v>1460.81203059876</v>
      </c>
    </row>
    <row r="45" spans="4:84" ht="14.45" hidden="1" outlineLevel="1">
      <c r="D45" s="1611"/>
      <c r="E45" s="1619"/>
      <c r="F45" s="1107" t="s">
        <v>1191</v>
      </c>
      <c r="Q45" s="1109">
        <v>194.07244785949501</v>
      </c>
      <c r="S45" s="1109">
        <v>41.857592787006702</v>
      </c>
      <c r="T45" s="1109">
        <v>103.3846647417389</v>
      </c>
      <c r="U45" s="1109">
        <v>127</v>
      </c>
      <c r="V45" s="1109">
        <v>23.628219484882418</v>
      </c>
      <c r="W45" s="1109">
        <v>44.331983805668017</v>
      </c>
      <c r="X45" s="1109">
        <v>117.11491442542787</v>
      </c>
      <c r="Y45" s="1109">
        <v>-25.991189427312776</v>
      </c>
      <c r="Z45" s="1109">
        <v>22.463768115942027</v>
      </c>
      <c r="AA45" s="1109">
        <v>55.820476858345025</v>
      </c>
      <c r="AB45" s="1109">
        <v>8.6711711711711708</v>
      </c>
      <c r="AC45" s="1109">
        <v>37.797619047619044</v>
      </c>
      <c r="AD45" s="1109">
        <v>-2.2928994082840237</v>
      </c>
      <c r="AE45" s="1109">
        <v>-25.202520252025202</v>
      </c>
      <c r="AF45" s="1109">
        <v>-1.7616580310880827</v>
      </c>
      <c r="AG45" s="1109">
        <v>11.987041036717063</v>
      </c>
      <c r="AH45" s="1109">
        <v>1.0598031794095382</v>
      </c>
      <c r="AI45" s="1109">
        <v>31.648616125150419</v>
      </c>
      <c r="AJ45" s="1109">
        <v>25</v>
      </c>
      <c r="AK45" s="1109">
        <v>13.789778206364515</v>
      </c>
      <c r="AL45" s="1109">
        <v>39.325842696629216</v>
      </c>
      <c r="AM45" s="1109">
        <v>21.480804387568554</v>
      </c>
      <c r="AN45" s="1109">
        <v>13.924050632911392</v>
      </c>
      <c r="AO45" s="1109">
        <v>-3.7288135593220342</v>
      </c>
      <c r="AP45" s="1109">
        <v>6.236559139784946</v>
      </c>
      <c r="AQ45" s="1109">
        <v>0.82768999247554553</v>
      </c>
      <c r="AR45" s="1109">
        <v>27.703703703703702</v>
      </c>
      <c r="AS45" s="1109">
        <v>36.70774647887324</v>
      </c>
      <c r="AT45" s="1109">
        <v>3.4919028340080973</v>
      </c>
      <c r="AU45" s="1109">
        <v>12.238805970149254</v>
      </c>
      <c r="AV45" s="1109">
        <v>-20.185614849187935</v>
      </c>
      <c r="AW45" s="1109">
        <v>-17.192530585962654</v>
      </c>
      <c r="AX45" s="1109">
        <v>7.9217603911980436</v>
      </c>
      <c r="AY45" s="1109">
        <v>12.965425531914892</v>
      </c>
      <c r="AZ45" s="1109">
        <v>9.8837209302325579</v>
      </c>
      <c r="BA45" s="1109">
        <v>-0.20380838323961745</v>
      </c>
      <c r="BB45" s="1109">
        <v>-36.2395012082767</v>
      </c>
      <c r="BC45" s="1109">
        <v>-41.20224208691797</v>
      </c>
      <c r="BD45" s="1109">
        <v>-26.783800944461198</v>
      </c>
      <c r="BE45" s="1109">
        <v>-12.508056888349911</v>
      </c>
      <c r="BF45" s="1109">
        <v>-0.13673800549633475</v>
      </c>
      <c r="BG45" s="1109">
        <v>15.503558489109817</v>
      </c>
      <c r="BH45" s="1109">
        <v>6.9791687568454153</v>
      </c>
      <c r="BI45" s="1109">
        <v>4.8097331784576003</v>
      </c>
      <c r="BJ45" s="1109">
        <v>3.8687008750305187</v>
      </c>
      <c r="BK45" s="1109">
        <v>8.1731668774528998</v>
      </c>
      <c r="BL45" s="1109">
        <v>7.6272528583048214</v>
      </c>
      <c r="BM45" s="1109">
        <v>16.7782032615413</v>
      </c>
      <c r="BN45" s="1109">
        <v>10.169182810391511</v>
      </c>
      <c r="BO45" s="1109">
        <v>-1.3543955564102856</v>
      </c>
      <c r="BP45" s="1109">
        <v>10.081403744432311</v>
      </c>
      <c r="BQ45" s="1109">
        <v>2.9631781348297346</v>
      </c>
      <c r="BR45" s="1109">
        <v>2.510105845857562</v>
      </c>
      <c r="BS45" s="1109">
        <v>0.98282691058021054</v>
      </c>
      <c r="BT45" s="1109">
        <v>4.1117947616842416</v>
      </c>
    </row>
    <row r="46" spans="4:84" ht="14.45" hidden="1" outlineLevel="1" collapsed="1">
      <c r="D46" s="1611"/>
      <c r="E46" s="1619"/>
      <c r="F46" s="1107"/>
    </row>
    <row r="47" spans="4:84" ht="14.45" collapsed="1">
      <c r="D47" s="1615" t="s">
        <v>1199</v>
      </c>
      <c r="E47" s="1612" t="s">
        <v>1095</v>
      </c>
      <c r="F47" s="1106" t="s">
        <v>1190</v>
      </c>
      <c r="G47" s="1108">
        <v>120</v>
      </c>
      <c r="I47" s="1108">
        <v>120</v>
      </c>
      <c r="K47" s="1108">
        <v>60</v>
      </c>
      <c r="M47" s="1108">
        <v>100</v>
      </c>
      <c r="O47" s="1108">
        <v>99.267516842018367</v>
      </c>
      <c r="Q47" s="1108">
        <v>394.58788297791619</v>
      </c>
      <c r="S47" s="1108">
        <v>209.50993877064269</v>
      </c>
      <c r="T47" s="1108">
        <v>191.90127904396391</v>
      </c>
      <c r="U47" s="1108">
        <v>200.48966020545916</v>
      </c>
      <c r="V47" s="1108">
        <v>441.60013284695475</v>
      </c>
      <c r="W47" s="1108">
        <v>153.92122036268702</v>
      </c>
      <c r="X47" s="1108">
        <v>111.91228070175437</v>
      </c>
      <c r="Y47" s="1108">
        <v>319.20135480436164</v>
      </c>
      <c r="Z47" s="1108">
        <v>510.5625344144616</v>
      </c>
      <c r="AA47" s="1108">
        <v>350.58</v>
      </c>
      <c r="AB47" s="1108">
        <v>209.68473684210525</v>
      </c>
      <c r="AC47" s="1108">
        <v>436</v>
      </c>
      <c r="AD47" s="1108">
        <v>376</v>
      </c>
      <c r="AE47" s="1108">
        <v>127</v>
      </c>
      <c r="AF47" s="1108">
        <v>97</v>
      </c>
      <c r="AG47" s="1108">
        <v>117</v>
      </c>
      <c r="AH47" s="1108">
        <v>143</v>
      </c>
      <c r="AI47" s="1108">
        <v>125</v>
      </c>
      <c r="AJ47" s="1108">
        <v>98</v>
      </c>
      <c r="AK47" s="1108">
        <v>81</v>
      </c>
      <c r="AL47" s="1108">
        <v>88</v>
      </c>
      <c r="AM47" s="1108">
        <v>94</v>
      </c>
      <c r="AN47" s="1108">
        <v>113</v>
      </c>
      <c r="AO47" s="1108">
        <v>66</v>
      </c>
      <c r="AP47" s="1108">
        <v>72</v>
      </c>
      <c r="AQ47" s="1108">
        <v>72</v>
      </c>
      <c r="AR47" s="1108">
        <v>71</v>
      </c>
      <c r="AS47" s="1108">
        <v>67</v>
      </c>
      <c r="AT47" s="1108">
        <v>75</v>
      </c>
      <c r="AU47" s="1108">
        <v>95</v>
      </c>
      <c r="AV47" s="1108">
        <v>76</v>
      </c>
      <c r="AW47" s="1108">
        <v>87.39917692307661</v>
      </c>
      <c r="AX47" s="1108">
        <v>150</v>
      </c>
      <c r="AY47" s="1108">
        <v>65</v>
      </c>
      <c r="AZ47" s="1108">
        <v>88.498363636363621</v>
      </c>
      <c r="BA47" s="1108">
        <v>153.8975941815776</v>
      </c>
      <c r="BB47" s="1108">
        <v>6.06923728355964</v>
      </c>
      <c r="BC47" s="1108">
        <v>81.893129229410135</v>
      </c>
      <c r="BD47" s="1108">
        <v>62.156892214659713</v>
      </c>
      <c r="BE47" s="1108">
        <v>123.01212851105404</v>
      </c>
      <c r="BF47" s="1108">
        <v>-6.9649923436046697</v>
      </c>
      <c r="BG47" s="1108">
        <v>80.888598273235857</v>
      </c>
      <c r="BH47" s="1108">
        <v>67.157360674659714</v>
      </c>
      <c r="BI47" s="1108">
        <v>118.52641260116458</v>
      </c>
      <c r="BJ47" s="1108">
        <v>-6.3337846920406999</v>
      </c>
      <c r="BK47" s="1108">
        <v>79.30050335492605</v>
      </c>
      <c r="BL47" s="1108">
        <v>63.408838549698679</v>
      </c>
      <c r="BM47" s="1108">
        <v>94.330970901587435</v>
      </c>
      <c r="BN47" s="1108">
        <v>-16.760264411537001</v>
      </c>
      <c r="BO47" s="1108">
        <v>24.334653693428066</v>
      </c>
      <c r="BP47" s="1108">
        <v>9.5355935594666992</v>
      </c>
      <c r="BQ47" s="1108">
        <v>98.654540727269961</v>
      </c>
      <c r="BR47" s="1108">
        <v>-18.029730988985701</v>
      </c>
      <c r="BS47" s="1108">
        <v>25.319623147028999</v>
      </c>
      <c r="BT47" s="1108">
        <v>9.5268394950613668</v>
      </c>
    </row>
    <row r="48" spans="4:84" ht="14.45" hidden="1" outlineLevel="1">
      <c r="D48" s="1611"/>
      <c r="E48" s="1619"/>
      <c r="F48" s="1106" t="s">
        <v>1191</v>
      </c>
      <c r="O48" s="1109">
        <v>-17.277069298318029</v>
      </c>
      <c r="Q48" s="1109">
        <v>228.82323581493017</v>
      </c>
      <c r="S48" s="1109">
        <v>249.18323128440448</v>
      </c>
      <c r="T48" s="1109">
        <v>91.90127904396391</v>
      </c>
      <c r="U48" s="1109">
        <v>101.96904947721535</v>
      </c>
      <c r="V48" s="1109">
        <v>11.914265971433714</v>
      </c>
      <c r="W48" s="1109">
        <v>-26.532735742341291</v>
      </c>
      <c r="X48" s="1109">
        <v>-41.682368528603888</v>
      </c>
      <c r="Y48" s="1109">
        <v>59.210881238088945</v>
      </c>
      <c r="Z48" s="1109">
        <v>15.616481164286045</v>
      </c>
      <c r="AA48" s="1109">
        <v>127.76586566421624</v>
      </c>
      <c r="AB48" s="1109">
        <v>87.365261012697943</v>
      </c>
      <c r="AC48" s="1109">
        <v>36.590898953804313</v>
      </c>
      <c r="AD48" s="1109">
        <v>-26.355740060085797</v>
      </c>
      <c r="AE48" s="1109">
        <v>-63.774316846368876</v>
      </c>
      <c r="AF48" s="1109">
        <v>-53.740075953624611</v>
      </c>
      <c r="AG48" s="1109">
        <v>-73.165137614678898</v>
      </c>
      <c r="AH48" s="1109">
        <v>-61.968085106382972</v>
      </c>
      <c r="AI48" s="1109">
        <v>-1.5748031496062991</v>
      </c>
      <c r="AJ48" s="1109">
        <v>1.0309278350515463</v>
      </c>
      <c r="AK48" s="1109">
        <v>-30.76923076923077</v>
      </c>
      <c r="AL48" s="1109">
        <v>-38.461538461538467</v>
      </c>
      <c r="AM48" s="1109">
        <v>-24.8</v>
      </c>
      <c r="AN48" s="1109">
        <v>15.306122448979592</v>
      </c>
      <c r="AO48" s="1109">
        <v>-18.518518518518519</v>
      </c>
      <c r="AP48" s="1109">
        <v>-18.181818181818183</v>
      </c>
      <c r="AQ48" s="1109">
        <v>-23.404255319148938</v>
      </c>
      <c r="AR48" s="1109">
        <v>-37.168141592920357</v>
      </c>
      <c r="AS48" s="1109">
        <v>1.5151515151515151</v>
      </c>
      <c r="AT48" s="1109">
        <v>4.1666666666666661</v>
      </c>
      <c r="AU48" s="1109">
        <v>31.944444444444443</v>
      </c>
      <c r="AV48" s="1109">
        <v>7.042253521126761</v>
      </c>
      <c r="AW48" s="1109">
        <v>30.446532721009866</v>
      </c>
      <c r="AX48" s="1109">
        <v>100</v>
      </c>
      <c r="AY48" s="1109">
        <v>-31.578947368421051</v>
      </c>
      <c r="AZ48" s="1109">
        <v>16.445215311004766</v>
      </c>
      <c r="BA48" s="1109">
        <v>76.0858621323503</v>
      </c>
      <c r="BB48" s="1109">
        <v>-95.953841810960256</v>
      </c>
      <c r="BC48" s="1109">
        <v>25.989429583707903</v>
      </c>
      <c r="BD48" s="1109">
        <v>-29.76492484080271</v>
      </c>
      <c r="BE48" s="1109">
        <v>-20.068842423932264</v>
      </c>
      <c r="BF48" s="1109">
        <v>-214.75893952064541</v>
      </c>
      <c r="BG48" s="1109">
        <v>-1.2266364292421286</v>
      </c>
      <c r="BH48" s="1109">
        <v>8.0449138974497174</v>
      </c>
      <c r="BI48" s="1109">
        <v>-3.6465639316909888</v>
      </c>
      <c r="BJ48" s="1109">
        <v>9.0625749523407784</v>
      </c>
      <c r="BK48" s="1109">
        <v>-1.9633112109883974</v>
      </c>
      <c r="BL48" s="1109">
        <v>-5.581699589298263</v>
      </c>
      <c r="BM48" s="1109">
        <v>-20.413544262909223</v>
      </c>
      <c r="BN48" s="1109">
        <v>-164.6168953706092</v>
      </c>
      <c r="BO48" s="1109">
        <v>-69.313367930953461</v>
      </c>
      <c r="BP48" s="1109">
        <v>-84.961728084653572</v>
      </c>
      <c r="BQ48" s="1109">
        <v>4.5834043521010424</v>
      </c>
      <c r="BR48" s="1109">
        <v>-7.5742634261477235</v>
      </c>
      <c r="BS48" s="1109">
        <v>4.0476000439937962</v>
      </c>
      <c r="BT48" s="1109">
        <v>-9.1804084881968492E-2</v>
      </c>
    </row>
    <row r="49" spans="4:84" ht="14.45" hidden="1" outlineLevel="1" collapsed="1">
      <c r="D49" s="1611"/>
      <c r="E49" s="1619"/>
      <c r="F49" s="1106"/>
    </row>
    <row r="50" spans="4:84" ht="14.45" collapsed="1">
      <c r="D50" s="1614" t="s">
        <v>1200</v>
      </c>
      <c r="E50" s="1612" t="s">
        <v>1095</v>
      </c>
      <c r="F50" s="1107" t="s">
        <v>1190</v>
      </c>
      <c r="G50" s="1108">
        <v>120</v>
      </c>
      <c r="I50" s="1108">
        <v>293.18963545432251</v>
      </c>
      <c r="K50" s="1108">
        <v>332.92453334004654</v>
      </c>
      <c r="M50" s="1108">
        <v>215.33644151221469</v>
      </c>
      <c r="O50" s="1108">
        <v>400</v>
      </c>
      <c r="Q50" s="1108">
        <v>893</v>
      </c>
      <c r="S50" s="1108">
        <v>494</v>
      </c>
      <c r="T50" s="1108">
        <v>482.11738657680093</v>
      </c>
      <c r="U50" s="1108">
        <v>908</v>
      </c>
      <c r="V50" s="1108">
        <v>1104</v>
      </c>
      <c r="W50" s="1108">
        <v>713</v>
      </c>
      <c r="X50" s="1108">
        <v>888</v>
      </c>
      <c r="Y50" s="1108">
        <v>849.4007526690898</v>
      </c>
      <c r="Z50" s="1108">
        <v>1635.5736302302564</v>
      </c>
      <c r="AA50" s="1108">
        <v>1305.8555555555556</v>
      </c>
      <c r="AB50" s="1108">
        <v>1082.0748538011696</v>
      </c>
      <c r="AC50" s="1108">
        <v>1362</v>
      </c>
      <c r="AD50" s="1108">
        <v>1697</v>
      </c>
      <c r="AE50" s="1108">
        <v>958</v>
      </c>
      <c r="AF50" s="1108">
        <v>1045</v>
      </c>
      <c r="AG50" s="1108">
        <v>1154</v>
      </c>
      <c r="AH50" s="1108">
        <v>1478</v>
      </c>
      <c r="AI50" s="1108">
        <v>1219</v>
      </c>
      <c r="AJ50" s="1108">
        <v>1283</v>
      </c>
      <c r="AK50" s="1108">
        <v>1261</v>
      </c>
      <c r="AL50" s="1108">
        <v>1948</v>
      </c>
      <c r="AM50" s="1108">
        <v>1423</v>
      </c>
      <c r="AN50" s="1108">
        <v>1463</v>
      </c>
      <c r="AO50" s="1108">
        <v>1202</v>
      </c>
      <c r="AP50" s="1108">
        <v>2048</v>
      </c>
      <c r="AQ50" s="1108">
        <v>1412</v>
      </c>
      <c r="AR50" s="1108">
        <v>1795</v>
      </c>
      <c r="AS50" s="1108">
        <v>1620</v>
      </c>
      <c r="AT50" s="1108">
        <v>2120</v>
      </c>
      <c r="AU50" s="1108">
        <v>1599</v>
      </c>
      <c r="AV50" s="1108">
        <v>1452</v>
      </c>
      <c r="AW50" s="1108">
        <v>1361</v>
      </c>
      <c r="AX50" s="1108">
        <v>2357</v>
      </c>
      <c r="AY50" s="1108">
        <v>1764</v>
      </c>
      <c r="AZ50" s="1108">
        <v>1456</v>
      </c>
      <c r="BA50" s="1108">
        <v>1448</v>
      </c>
      <c r="BB50" s="1108">
        <v>1430</v>
      </c>
      <c r="BC50" s="1108">
        <v>1019.2172133801575</v>
      </c>
      <c r="BD50" s="1108">
        <v>1153.3031602231351</v>
      </c>
      <c r="BE50" s="1108">
        <v>1223.9892056301837</v>
      </c>
      <c r="BF50" s="1108">
        <v>1437.9536476936246</v>
      </c>
      <c r="BG50" s="1108">
        <v>1143.0783124925695</v>
      </c>
      <c r="BH50" s="1108">
        <v>1228.1866723400985</v>
      </c>
      <c r="BI50" s="1108">
        <v>1266.0149805233646</v>
      </c>
      <c r="BJ50" s="1108">
        <v>1474.7744078495168</v>
      </c>
      <c r="BK50" s="1108">
        <v>1198.5899158615555</v>
      </c>
      <c r="BL50" s="1108">
        <v>1262.3407805856127</v>
      </c>
      <c r="BM50" s="1108">
        <v>1451.7404181950687</v>
      </c>
      <c r="BN50" s="1108">
        <v>1684.7984464513315</v>
      </c>
      <c r="BO50" s="1108">
        <v>1291.0759279780457</v>
      </c>
      <c r="BP50" s="1108">
        <v>1374.7242479654783</v>
      </c>
      <c r="BQ50" s="1108">
        <v>1502.2257530725199</v>
      </c>
      <c r="BR50" s="1108">
        <v>1640.9495466538281</v>
      </c>
      <c r="BS50" s="1108">
        <v>1250.6752812042519</v>
      </c>
      <c r="BT50" s="1108">
        <v>1384.757823150991</v>
      </c>
      <c r="BU50" s="1108">
        <v>1511.857739028</v>
      </c>
      <c r="BV50" s="1108">
        <v>1722.7660700250001</v>
      </c>
      <c r="BW50" s="1108">
        <v>1232.5849101845999</v>
      </c>
      <c r="BX50" s="1108">
        <v>1161.8551227921801</v>
      </c>
      <c r="BY50" s="1108">
        <v>1557.2134711988399</v>
      </c>
      <c r="BZ50" s="1108">
        <v>1774.4490521257501</v>
      </c>
      <c r="CA50" s="1108">
        <v>1269.5624574901401</v>
      </c>
      <c r="CB50" s="1108">
        <v>1196.7107764759401</v>
      </c>
      <c r="CC50" s="1108">
        <v>1603.92987533481</v>
      </c>
      <c r="CD50" s="1108">
        <v>1827.6825236895199</v>
      </c>
      <c r="CE50" s="1108">
        <v>1307.64933121484</v>
      </c>
      <c r="CF50" s="1108">
        <v>1232.6120997702201</v>
      </c>
    </row>
    <row r="51" spans="4:84" ht="14.45" hidden="1" outlineLevel="1">
      <c r="D51" s="1611"/>
      <c r="E51" s="1619"/>
      <c r="F51" s="1107" t="s">
        <v>1191</v>
      </c>
      <c r="O51" s="1109">
        <v>233.33333333333334</v>
      </c>
      <c r="Q51" s="1109">
        <v>204.58102607079539</v>
      </c>
      <c r="S51" s="1109">
        <v>48.381975651951201</v>
      </c>
      <c r="T51" s="1109">
        <v>123.89029148577875</v>
      </c>
      <c r="U51" s="1109">
        <v>127</v>
      </c>
      <c r="V51" s="1109">
        <v>23.628219484882418</v>
      </c>
      <c r="W51" s="1109">
        <v>44.331983805668017</v>
      </c>
      <c r="X51" s="1109">
        <v>84.187508006111344</v>
      </c>
      <c r="Y51" s="1109">
        <v>-6.4536616003205065</v>
      </c>
      <c r="Z51" s="1109">
        <v>48.14978534694351</v>
      </c>
      <c r="AA51" s="1109">
        <v>83.149446781985361</v>
      </c>
      <c r="AB51" s="1109">
        <v>21.855276328960546</v>
      </c>
      <c r="AC51" s="1109">
        <v>60.348339193267584</v>
      </c>
      <c r="AD51" s="1109">
        <v>3.7556468650754642</v>
      </c>
      <c r="AE51" s="1109">
        <v>-26.638134215967398</v>
      </c>
      <c r="AF51" s="1109">
        <v>-3.4262744089220019</v>
      </c>
      <c r="AG51" s="1109">
        <v>-15.27165932452276</v>
      </c>
      <c r="AH51" s="1109">
        <v>-12.905126694166174</v>
      </c>
      <c r="AI51" s="1109">
        <v>27.244258872651354</v>
      </c>
      <c r="AJ51" s="1109">
        <v>22.775119617224881</v>
      </c>
      <c r="AK51" s="1109">
        <v>9.2720970537261689</v>
      </c>
      <c r="AL51" s="1109">
        <v>31.799729364005415</v>
      </c>
      <c r="AM51" s="1109">
        <v>16.735028712059062</v>
      </c>
      <c r="AN51" s="1109">
        <v>14.02961808261886</v>
      </c>
      <c r="AO51" s="1109">
        <v>-4.6788263283108646</v>
      </c>
      <c r="AP51" s="1109">
        <v>5.1334702258726894</v>
      </c>
      <c r="AQ51" s="1109">
        <v>-0.77301475755446236</v>
      </c>
      <c r="AR51" s="1109">
        <v>22.693096377306905</v>
      </c>
      <c r="AS51" s="1109">
        <v>34.775374376039935</v>
      </c>
      <c r="AT51" s="1109">
        <v>3.515625</v>
      </c>
      <c r="AU51" s="1109">
        <v>13.243626062322948</v>
      </c>
      <c r="AV51" s="1109">
        <v>-19.108635097493039</v>
      </c>
      <c r="AW51" s="1109">
        <v>-15.987654320987655</v>
      </c>
      <c r="AX51" s="1109">
        <v>11.179245283018869</v>
      </c>
      <c r="AY51" s="1109">
        <v>10.318949343339586</v>
      </c>
      <c r="AZ51" s="1109">
        <v>0.27548209366391185</v>
      </c>
      <c r="BA51" s="1109">
        <v>6.3923585598824397</v>
      </c>
      <c r="BB51" s="1109">
        <v>-39.329656342808654</v>
      </c>
      <c r="BC51" s="1109">
        <v>-42.221246407020544</v>
      </c>
      <c r="BD51" s="1109">
        <v>-20.789618116542915</v>
      </c>
      <c r="BE51" s="1109">
        <v>-15.470358727197256</v>
      </c>
      <c r="BF51" s="1109">
        <v>0.55619913941430699</v>
      </c>
      <c r="BG51" s="1109">
        <v>12.152571354405982</v>
      </c>
      <c r="BH51" s="1109">
        <v>6.4929599345305986</v>
      </c>
      <c r="BI51" s="1109">
        <v>3.4335086208169141</v>
      </c>
      <c r="BJ51" s="1109">
        <v>2.5606360966467947</v>
      </c>
      <c r="BK51" s="1109">
        <v>4.8563254820169526</v>
      </c>
      <c r="BL51" s="1109">
        <v>2.7808564459048721</v>
      </c>
      <c r="BM51" s="1109">
        <v>14.670082149812016</v>
      </c>
      <c r="BN51" s="1109">
        <v>14.241095959080758</v>
      </c>
      <c r="BO51" s="1109">
        <v>7.7162347932829514</v>
      </c>
      <c r="BP51" s="1109">
        <v>8.9027835516594607</v>
      </c>
      <c r="BQ51" s="1109">
        <v>3.477573142188803</v>
      </c>
      <c r="BR51" s="1109">
        <v>-2.6026199092159552</v>
      </c>
      <c r="BS51" s="1109">
        <v>-3.1292231462378273</v>
      </c>
      <c r="BT51" s="1109">
        <v>0.72986093031834742</v>
      </c>
      <c r="BU51" s="1109">
        <v>0.64118098999299478</v>
      </c>
      <c r="BV51" s="1109">
        <v>4.9859255903394271</v>
      </c>
      <c r="BW51" s="1109">
        <v>-1.4464482741062117</v>
      </c>
      <c r="BX51" s="1109">
        <v>-16.096872437347926</v>
      </c>
      <c r="BY51" s="1109">
        <v>2.9999999999999956</v>
      </c>
      <c r="BZ51" s="1109">
        <v>2.9999999999999996</v>
      </c>
      <c r="CA51" s="1109">
        <v>3.000000000000175</v>
      </c>
      <c r="CB51" s="1109">
        <v>2.9999999999995359</v>
      </c>
      <c r="CC51" s="1109">
        <v>3.000000000000318</v>
      </c>
      <c r="CD51" s="1109">
        <v>2.9999999999998508</v>
      </c>
      <c r="CE51" s="1109">
        <v>2.9999999999996607</v>
      </c>
      <c r="CF51" s="1109">
        <v>3.0000000000001519</v>
      </c>
    </row>
    <row r="52" spans="4:84" ht="14.45" hidden="1" outlineLevel="1" collapsed="1">
      <c r="D52" s="1611"/>
      <c r="E52" s="1619"/>
      <c r="F52" s="1107"/>
    </row>
    <row r="53" spans="4:84" ht="14.45" collapsed="1">
      <c r="D53" s="1614" t="s">
        <v>1201</v>
      </c>
      <c r="E53" s="1612" t="s">
        <v>1095</v>
      </c>
      <c r="F53" s="1106" t="s">
        <v>1190</v>
      </c>
      <c r="G53" s="1108">
        <v>1368.0831018882666</v>
      </c>
      <c r="I53" s="1108">
        <v>2933.4713745869367</v>
      </c>
      <c r="K53" s="1108">
        <v>1556.7193851516033</v>
      </c>
      <c r="M53" s="1108">
        <v>1251.7523559466649</v>
      </c>
      <c r="O53" s="1108">
        <v>1429.5707525942439</v>
      </c>
      <c r="Q53" s="1108">
        <v>3852.7643102079078</v>
      </c>
      <c r="S53" s="1108">
        <v>1939.7326962796499</v>
      </c>
      <c r="T53" s="1108">
        <v>1498.2288680778699</v>
      </c>
      <c r="U53" s="1108">
        <v>1938.2336329998961</v>
      </c>
      <c r="V53" s="1108">
        <v>3471.0316618504462</v>
      </c>
      <c r="W53" s="1108">
        <v>1850.9717693196651</v>
      </c>
      <c r="X53" s="1108">
        <v>1777.2666595095288</v>
      </c>
      <c r="Y53" s="1108">
        <v>1995.6322938228791</v>
      </c>
      <c r="Z53" s="1108">
        <v>3667.5609523506532</v>
      </c>
      <c r="AA53" s="1108">
        <v>1832.6923076923099</v>
      </c>
      <c r="AB53" s="1108">
        <v>1686.2737764315571</v>
      </c>
      <c r="AC53" s="1108">
        <v>1885</v>
      </c>
      <c r="AD53" s="1108">
        <v>3617</v>
      </c>
      <c r="AE53" s="1108">
        <v>1906</v>
      </c>
      <c r="AF53" s="1108">
        <v>1643</v>
      </c>
      <c r="AG53" s="1108">
        <v>1896</v>
      </c>
      <c r="AH53" s="1108">
        <v>3920</v>
      </c>
      <c r="AI53" s="1108">
        <v>2251</v>
      </c>
      <c r="AJ53" s="1108">
        <v>2286</v>
      </c>
      <c r="AK53" s="1108">
        <v>2738</v>
      </c>
      <c r="AL53" s="1108">
        <v>4232</v>
      </c>
      <c r="AM53" s="1108">
        <v>2363</v>
      </c>
      <c r="AN53" s="1108">
        <v>2053</v>
      </c>
      <c r="AO53" s="1108">
        <v>2542</v>
      </c>
      <c r="AP53" s="1108">
        <v>3327</v>
      </c>
      <c r="AQ53" s="1108">
        <v>2349</v>
      </c>
      <c r="AR53" s="1108">
        <v>3357</v>
      </c>
      <c r="AS53" s="1108">
        <v>3092</v>
      </c>
      <c r="AT53" s="1108">
        <v>5031</v>
      </c>
      <c r="AU53" s="1108">
        <v>3533</v>
      </c>
      <c r="AV53" s="1108">
        <v>3714</v>
      </c>
      <c r="AW53" s="1108">
        <v>3593</v>
      </c>
      <c r="AX53" s="1108">
        <v>5442</v>
      </c>
      <c r="AY53" s="1108">
        <v>3740</v>
      </c>
      <c r="AZ53" s="1108">
        <v>3455</v>
      </c>
      <c r="BA53" s="1108">
        <v>3610</v>
      </c>
      <c r="BB53" s="1108">
        <v>4758</v>
      </c>
      <c r="BC53" s="1108">
        <v>3433.3806440241074</v>
      </c>
      <c r="BD53" s="1108">
        <v>3408.361027877314</v>
      </c>
      <c r="BE53" s="1108">
        <v>3620.5561783825524</v>
      </c>
      <c r="BF53" s="1108">
        <v>4862.2006488315019</v>
      </c>
      <c r="BG53" s="1108">
        <v>3549.2830724229975</v>
      </c>
      <c r="BH53" s="1108">
        <v>3529.9505633947906</v>
      </c>
      <c r="BI53" s="1108">
        <v>3749.5112898254247</v>
      </c>
      <c r="BJ53" s="1108">
        <v>5036.2348607449576</v>
      </c>
      <c r="BK53" s="1108">
        <v>3740.5623230243423</v>
      </c>
      <c r="BL53" s="1108">
        <v>3717.7269044181148</v>
      </c>
      <c r="BM53" s="1108">
        <v>4021.557088344543</v>
      </c>
      <c r="BN53" s="1108">
        <v>5365.8840981887515</v>
      </c>
      <c r="BO53" s="1108">
        <v>4001.2765064790569</v>
      </c>
      <c r="BP53" s="1108">
        <v>3864.8393514392901</v>
      </c>
      <c r="BQ53" s="1108">
        <v>4125.6791777772942</v>
      </c>
      <c r="BR53" s="1108">
        <v>5301.9416383676898</v>
      </c>
      <c r="BS53" s="1108">
        <v>4104.3996722643142</v>
      </c>
      <c r="BT53" s="1108">
        <v>4298.7013398342278</v>
      </c>
      <c r="BU53" s="1108">
        <v>4458.9459175009997</v>
      </c>
      <c r="BV53" s="1108">
        <v>6039.0866147235001</v>
      </c>
      <c r="BW53" s="1108">
        <v>4362.4260182002499</v>
      </c>
      <c r="BX53" s="1108">
        <v>4474.252122570565</v>
      </c>
      <c r="BY53" s="1108">
        <v>4639.2268571885297</v>
      </c>
      <c r="BZ53" s="1108">
        <v>6280.9846899089553</v>
      </c>
      <c r="CA53" s="1108">
        <v>4536.7357654443849</v>
      </c>
      <c r="CB53" s="1108">
        <v>4652.1342589522101</v>
      </c>
      <c r="CC53" s="1108">
        <v>4827.2418531748153</v>
      </c>
      <c r="CD53" s="1108">
        <v>6533.1759811871652</v>
      </c>
      <c r="CE53" s="1108">
        <v>4718.4466534407447</v>
      </c>
      <c r="CF53" s="1108">
        <v>4837.5355880605348</v>
      </c>
    </row>
    <row r="54" spans="4:84" ht="14.45" hidden="1" outlineLevel="1">
      <c r="D54" s="1611"/>
      <c r="E54" s="1619"/>
      <c r="F54" s="1106" t="s">
        <v>1191</v>
      </c>
      <c r="O54" s="1109">
        <v>4.4944382852993616</v>
      </c>
      <c r="Q54" s="1109">
        <v>31.338057142296716</v>
      </c>
      <c r="S54" s="1109">
        <v>24.603876252928288</v>
      </c>
      <c r="T54" s="1109">
        <v>19.690517134661338</v>
      </c>
      <c r="U54" s="1109">
        <v>35.581511407013686</v>
      </c>
      <c r="V54" s="1109">
        <v>-9.9080197391275675</v>
      </c>
      <c r="W54" s="1109">
        <v>-4.5759360106794924</v>
      </c>
      <c r="X54" s="1109">
        <v>18.624510405385941</v>
      </c>
      <c r="Y54" s="1109">
        <v>2.9613901980508053</v>
      </c>
      <c r="Z54" s="1109">
        <v>5.6619849556611372</v>
      </c>
      <c r="AA54" s="1109">
        <v>-0.98756026052595725</v>
      </c>
      <c r="AB54" s="1109">
        <v>-5.1198216424699616</v>
      </c>
      <c r="AC54" s="1109">
        <v>-5.5437213641672098</v>
      </c>
      <c r="AD54" s="1109">
        <v>-1.3785988292368296</v>
      </c>
      <c r="AE54" s="1109">
        <v>3.9999999999998752</v>
      </c>
      <c r="AF54" s="1109">
        <v>-2.5662366951546707</v>
      </c>
      <c r="AG54" s="1109">
        <v>0.58355437665782495</v>
      </c>
      <c r="AH54" s="1109">
        <v>8.3771081006358852</v>
      </c>
      <c r="AI54" s="1109">
        <v>18.100734522560337</v>
      </c>
      <c r="AJ54" s="1109">
        <v>39.135727328058429</v>
      </c>
      <c r="AK54" s="1109">
        <v>44.40928270042194</v>
      </c>
      <c r="AL54" s="1109">
        <v>7.9591836734693873</v>
      </c>
      <c r="AM54" s="1109">
        <v>4.9755664149266989</v>
      </c>
      <c r="AN54" s="1109">
        <v>-10.192475940507437</v>
      </c>
      <c r="AO54" s="1109">
        <v>-7.1585098612125639</v>
      </c>
      <c r="AP54" s="1109">
        <v>-21.384688090737239</v>
      </c>
      <c r="AQ54" s="1109">
        <v>-0.59246720270842146</v>
      </c>
      <c r="AR54" s="1109">
        <v>63.51680467608378</v>
      </c>
      <c r="AS54" s="1109">
        <v>21.636506687647522</v>
      </c>
      <c r="AT54" s="1109">
        <v>51.217312894499543</v>
      </c>
      <c r="AU54" s="1109">
        <v>50.404427415921674</v>
      </c>
      <c r="AV54" s="1109">
        <v>10.63449508489723</v>
      </c>
      <c r="AW54" s="1109">
        <v>16.203104786545925</v>
      </c>
      <c r="AX54" s="1109">
        <v>8.1693500298151456</v>
      </c>
      <c r="AY54" s="1109">
        <v>5.8590433059722615</v>
      </c>
      <c r="AZ54" s="1109">
        <v>-6.9736133548734518</v>
      </c>
      <c r="BA54" s="1109">
        <v>0.47314222098524911</v>
      </c>
      <c r="BB54" s="1109">
        <v>-12.56890848952591</v>
      </c>
      <c r="BC54" s="1109">
        <v>-8.1983785020292146</v>
      </c>
      <c r="BD54" s="1109">
        <v>-1.3498978906710861</v>
      </c>
      <c r="BE54" s="1109">
        <v>0.29241491364411049</v>
      </c>
      <c r="BF54" s="1109">
        <v>2.190009433196761</v>
      </c>
      <c r="BG54" s="1109">
        <v>3.3757523681687172</v>
      </c>
      <c r="BH54" s="1109">
        <v>3.5673901480208254</v>
      </c>
      <c r="BI54" s="1109">
        <v>3.5617486675895669</v>
      </c>
      <c r="BJ54" s="1109">
        <v>3.5793301116703216</v>
      </c>
      <c r="BK54" s="1109">
        <v>5.3892362682349733</v>
      </c>
      <c r="BL54" s="1109">
        <v>5.3195175867487992</v>
      </c>
      <c r="BM54" s="1109">
        <v>7.2555001836461894</v>
      </c>
      <c r="BN54" s="1109">
        <v>6.545549335144238</v>
      </c>
      <c r="BO54" s="1109">
        <v>6.9699195185156135</v>
      </c>
      <c r="BP54" s="1109">
        <v>3.9570536191442169</v>
      </c>
      <c r="BQ54" s="1109">
        <v>2.5890988775099695</v>
      </c>
      <c r="BR54" s="1109">
        <v>-1.19164817299437</v>
      </c>
      <c r="BS54" s="1109">
        <v>2.5772566734209774</v>
      </c>
      <c r="BT54" s="1109">
        <v>11.225873805941374</v>
      </c>
      <c r="BU54" s="1109">
        <v>8.0778636768177563</v>
      </c>
      <c r="BV54" s="1109">
        <v>13.903302349113661</v>
      </c>
      <c r="BW54" s="1109">
        <v>6.2865794400959949</v>
      </c>
      <c r="BX54" s="1109">
        <v>4.0838097103788789</v>
      </c>
      <c r="BY54" s="1109">
        <v>4.0431290942539135</v>
      </c>
      <c r="BZ54" s="1109">
        <v>4.0055407484254211</v>
      </c>
      <c r="CA54" s="1109">
        <v>3.9957066668158134</v>
      </c>
      <c r="CB54" s="1109">
        <v>3.9756842374686636</v>
      </c>
      <c r="CC54" s="1109">
        <v>4.0527226146519313</v>
      </c>
      <c r="CD54" s="1109">
        <v>4.0151553256192631</v>
      </c>
      <c r="CE54" s="1109">
        <v>4.0053222711453369</v>
      </c>
      <c r="CF54" s="1109">
        <v>3.9852961842524777</v>
      </c>
    </row>
    <row r="55" spans="4:84" ht="14.45" hidden="1" outlineLevel="1" collapsed="1">
      <c r="D55" s="1611"/>
      <c r="E55" s="1619"/>
      <c r="F55" s="1106"/>
    </row>
    <row r="56" spans="4:84" ht="14.45" collapsed="1">
      <c r="D56" s="1614" t="s">
        <v>1202</v>
      </c>
      <c r="E56" s="1612" t="s">
        <v>1095</v>
      </c>
      <c r="F56" s="1107" t="s">
        <v>1190</v>
      </c>
      <c r="G56" s="1108">
        <v>567.19570458032001</v>
      </c>
      <c r="I56" s="1108">
        <v>719.59695547019464</v>
      </c>
      <c r="K56" s="1108">
        <v>687.21505376344101</v>
      </c>
      <c r="M56" s="1108">
        <v>583.06299325675104</v>
      </c>
      <c r="O56" s="1108">
        <v>839.85773294126875</v>
      </c>
      <c r="Q56" s="1108">
        <v>988.68773697562813</v>
      </c>
      <c r="S56" s="1108">
        <v>965.72433179723498</v>
      </c>
      <c r="T56" s="1108">
        <v>946.31461387028401</v>
      </c>
      <c r="U56" s="1108">
        <v>926.93697502906332</v>
      </c>
      <c r="V56" s="1108">
        <v>1219.509804940308</v>
      </c>
      <c r="W56" s="1108">
        <v>1102.5002498999345</v>
      </c>
      <c r="X56" s="1108">
        <v>976.96390581223386</v>
      </c>
      <c r="Y56" s="1108">
        <v>1113.9996396554659</v>
      </c>
      <c r="Z56" s="1108">
        <v>1458.846483264211</v>
      </c>
      <c r="AA56" s="1108">
        <v>1487.0497640776418</v>
      </c>
      <c r="AB56" s="1108">
        <v>1441.7666961424113</v>
      </c>
      <c r="AC56" s="1108">
        <v>1429</v>
      </c>
      <c r="AD56" s="1108">
        <v>1605</v>
      </c>
      <c r="AE56" s="1108">
        <v>1599</v>
      </c>
      <c r="AF56" s="1108">
        <v>1586</v>
      </c>
      <c r="AG56" s="1108">
        <v>1639</v>
      </c>
      <c r="AH56" s="1108">
        <v>1820</v>
      </c>
      <c r="AI56" s="1108">
        <v>1784</v>
      </c>
      <c r="AJ56" s="1108">
        <v>1769</v>
      </c>
      <c r="AK56" s="1108">
        <v>1788</v>
      </c>
      <c r="AL56" s="1108">
        <v>1976</v>
      </c>
      <c r="AM56" s="1108">
        <v>1911</v>
      </c>
      <c r="AN56" s="1108">
        <v>1953</v>
      </c>
      <c r="AO56" s="1108">
        <v>1991</v>
      </c>
      <c r="AP56" s="1108">
        <v>2163</v>
      </c>
      <c r="AQ56" s="1108">
        <v>1986</v>
      </c>
      <c r="AR56" s="1108">
        <v>1600</v>
      </c>
      <c r="AS56" s="1108">
        <v>1943</v>
      </c>
      <c r="AT56" s="1108">
        <v>2386</v>
      </c>
      <c r="AU56" s="1108">
        <v>2401</v>
      </c>
      <c r="AV56" s="1108">
        <v>2537</v>
      </c>
      <c r="AW56" s="1108">
        <v>2656</v>
      </c>
      <c r="AX56" s="1108">
        <v>3064</v>
      </c>
      <c r="AY56" s="1108">
        <v>2945</v>
      </c>
      <c r="AZ56" s="1108">
        <v>2926</v>
      </c>
      <c r="BA56" s="1108">
        <v>2928</v>
      </c>
      <c r="BB56" s="1108">
        <v>3223</v>
      </c>
      <c r="BC56" s="1108">
        <v>3052.3548347184351</v>
      </c>
      <c r="BD56" s="1108">
        <v>3048.2713445647969</v>
      </c>
      <c r="BE56" s="1108">
        <v>3094.510401979378</v>
      </c>
      <c r="BF56" s="1108">
        <v>3424.2264761238039</v>
      </c>
      <c r="BG56" s="1108">
        <v>3258.62245776485</v>
      </c>
      <c r="BH56" s="1108">
        <v>3248.1146828998835</v>
      </c>
      <c r="BI56" s="1108">
        <v>3319.8449963627381</v>
      </c>
      <c r="BJ56" s="1108">
        <v>3673.5654806489379</v>
      </c>
      <c r="BK56" s="1108">
        <v>3504.9708432467169</v>
      </c>
      <c r="BL56" s="1108">
        <v>3492.0681537955975</v>
      </c>
      <c r="BM56" s="1108">
        <v>3580.3587153756666</v>
      </c>
      <c r="BN56" s="1108">
        <v>3972.6887448845232</v>
      </c>
      <c r="BO56" s="1108">
        <v>3787.8347887205559</v>
      </c>
      <c r="BP56" s="1108">
        <v>3749.1003194816822</v>
      </c>
      <c r="BQ56" s="1108">
        <v>4043.6740286309901</v>
      </c>
      <c r="BR56" s="1108">
        <v>4526.0714561852101</v>
      </c>
      <c r="BS56" s="1108">
        <v>4270.0018003642126</v>
      </c>
      <c r="BT56" s="1108">
        <v>4176.7494263697954</v>
      </c>
      <c r="BU56" s="1108">
        <v>5186.6380644359697</v>
      </c>
      <c r="BV56" s="1108">
        <v>5839.5470527450198</v>
      </c>
      <c r="BW56" s="1108">
        <v>5572.3959688120403</v>
      </c>
      <c r="BX56" s="1108">
        <v>5371.6149506104748</v>
      </c>
      <c r="BY56" s="1108">
        <v>5851.5931949214701</v>
      </c>
      <c r="BZ56" s="1108">
        <v>6594.9599822298596</v>
      </c>
      <c r="CA56" s="1108">
        <v>6286.3138356896097</v>
      </c>
      <c r="CB56" s="1108">
        <v>6088.9826094172249</v>
      </c>
      <c r="CC56" s="1108">
        <v>6598.8389460488497</v>
      </c>
      <c r="CD56" s="1108">
        <v>7444.4086499254199</v>
      </c>
      <c r="CE56" s="1108">
        <v>7088.5413890507753</v>
      </c>
      <c r="CF56" s="1108">
        <v>6897.4676854202453</v>
      </c>
    </row>
    <row r="57" spans="4:84" ht="14.45" hidden="1" outlineLevel="1">
      <c r="D57" s="1611"/>
      <c r="E57" s="1619"/>
      <c r="F57" s="1107" t="s">
        <v>1191</v>
      </c>
      <c r="O57" s="1109">
        <v>48.071948739932211</v>
      </c>
      <c r="Q57" s="1109">
        <v>37.394652584321427</v>
      </c>
      <c r="S57" s="1109">
        <v>40.527237654148479</v>
      </c>
      <c r="T57" s="1109">
        <v>62.30057897939264</v>
      </c>
      <c r="U57" s="1109">
        <v>10.368332477315418</v>
      </c>
      <c r="V57" s="1109">
        <v>23.34630635459877</v>
      </c>
      <c r="W57" s="1109">
        <v>14.163039451243442</v>
      </c>
      <c r="X57" s="1109">
        <v>3.238805730432385</v>
      </c>
      <c r="Y57" s="1109">
        <v>20.180731772032008</v>
      </c>
      <c r="Z57" s="1109">
        <v>19.625646087824443</v>
      </c>
      <c r="AA57" s="1109">
        <v>34.879766622511873</v>
      </c>
      <c r="AB57" s="1109">
        <v>47.576250009333457</v>
      </c>
      <c r="AC57" s="1109">
        <v>28.276522642498914</v>
      </c>
      <c r="AD57" s="1109">
        <v>10.018430205813454</v>
      </c>
      <c r="AE57" s="1109">
        <v>7.5283449570227718</v>
      </c>
      <c r="AF57" s="1109">
        <v>10.003928114271128</v>
      </c>
      <c r="AG57" s="1109">
        <v>14.695591322603219</v>
      </c>
      <c r="AH57" s="1109">
        <v>13.395638629283487</v>
      </c>
      <c r="AI57" s="1109">
        <v>11.569731081926204</v>
      </c>
      <c r="AJ57" s="1109">
        <v>11.538461538461538</v>
      </c>
      <c r="AK57" s="1109">
        <v>9.0909090909090917</v>
      </c>
      <c r="AL57" s="1109">
        <v>8.5714285714285712</v>
      </c>
      <c r="AM57" s="1109">
        <v>7.1188340807174884</v>
      </c>
      <c r="AN57" s="1109">
        <v>10.40135669869983</v>
      </c>
      <c r="AO57" s="1109">
        <v>11.353467561521253</v>
      </c>
      <c r="AP57" s="1109">
        <v>9.4635627530364381</v>
      </c>
      <c r="AQ57" s="1109">
        <v>3.9246467817896389</v>
      </c>
      <c r="AR57" s="1109">
        <v>-18.074756784434204</v>
      </c>
      <c r="AS57" s="1109">
        <v>-2.4108488196885989</v>
      </c>
      <c r="AT57" s="1109">
        <v>10.309754969949145</v>
      </c>
      <c r="AU57" s="1109">
        <v>20.896273917421954</v>
      </c>
      <c r="AV57" s="1109">
        <v>58.562499999999993</v>
      </c>
      <c r="AW57" s="1109">
        <v>36.695831188883169</v>
      </c>
      <c r="AX57" s="1109">
        <v>28.415758591785416</v>
      </c>
      <c r="AY57" s="1109">
        <v>22.657226155768427</v>
      </c>
      <c r="AZ57" s="1109">
        <v>15.333070555774537</v>
      </c>
      <c r="BA57" s="1109">
        <v>10.240963855421686</v>
      </c>
      <c r="BB57" s="1109">
        <v>5.1892950391644908</v>
      </c>
      <c r="BC57" s="1109">
        <v>3.6453254573322611</v>
      </c>
      <c r="BD57" s="1109">
        <v>4.1787882626383084</v>
      </c>
      <c r="BE57" s="1109">
        <v>5.6868306686946042</v>
      </c>
      <c r="BF57" s="1109">
        <v>6.2434525635682245</v>
      </c>
      <c r="BG57" s="1109">
        <v>6.757655456707151</v>
      </c>
      <c r="BH57" s="1109">
        <v>6.5559563354297898</v>
      </c>
      <c r="BI57" s="1109">
        <v>7.2817526882193295</v>
      </c>
      <c r="BJ57" s="1109">
        <v>7.2816154615854636</v>
      </c>
      <c r="BK57" s="1109">
        <v>7.5598934419313455</v>
      </c>
      <c r="BL57" s="1109">
        <v>7.510617533920164</v>
      </c>
      <c r="BM57" s="1109">
        <v>7.8471651326598213</v>
      </c>
      <c r="BN57" s="1109">
        <v>8.1425869720102284</v>
      </c>
      <c r="BO57" s="1109">
        <v>8.0703651506503586</v>
      </c>
      <c r="BP57" s="1109">
        <v>7.3604567369829645</v>
      </c>
      <c r="BQ57" s="1109">
        <v>12.940471893658017</v>
      </c>
      <c r="BR57" s="1109">
        <v>13.929677023231591</v>
      </c>
      <c r="BS57" s="1109">
        <v>12.729356968774283</v>
      </c>
      <c r="BT57" s="1109">
        <v>11.406712822964318</v>
      </c>
      <c r="BU57" s="1109">
        <v>28.265484005691157</v>
      </c>
      <c r="BV57" s="1109">
        <v>29.02021342957033</v>
      </c>
      <c r="BW57" s="1109">
        <v>30.501021529703788</v>
      </c>
      <c r="BX57" s="1109">
        <v>28.607546258267924</v>
      </c>
      <c r="BY57" s="1109">
        <v>12.82054236722246</v>
      </c>
      <c r="BZ57" s="1109">
        <v>12.936156223447842</v>
      </c>
      <c r="CA57" s="1109">
        <v>12.811685868579204</v>
      </c>
      <c r="CB57" s="1109">
        <v>13.354785579432168</v>
      </c>
      <c r="CC57" s="1109">
        <v>12.769953861042588</v>
      </c>
      <c r="CD57" s="1109">
        <v>12.880270236429068</v>
      </c>
      <c r="CE57" s="1109">
        <v>12.761493847262892</v>
      </c>
      <c r="CF57" s="1109">
        <v>13.277835196188882</v>
      </c>
    </row>
    <row r="58" spans="4:84" ht="14.45" hidden="1" outlineLevel="1" collapsed="1">
      <c r="D58" s="1611"/>
      <c r="E58" s="1619"/>
      <c r="F58" s="1107"/>
    </row>
    <row r="59" spans="4:84" ht="14.45" collapsed="1">
      <c r="D59" s="1614" t="s">
        <v>1203</v>
      </c>
      <c r="E59" s="1612" t="s">
        <v>1095</v>
      </c>
      <c r="F59" s="1106" t="s">
        <v>1190</v>
      </c>
      <c r="G59" s="1108">
        <v>376.83577301218497</v>
      </c>
      <c r="I59" s="1108">
        <v>821.26114866514001</v>
      </c>
      <c r="K59" s="1108">
        <v>656.37818181818</v>
      </c>
      <c r="M59" s="1108">
        <v>554.14895127190505</v>
      </c>
      <c r="O59" s="1108">
        <v>985.75759678646648</v>
      </c>
      <c r="Q59" s="1108">
        <v>2238.7063177536224</v>
      </c>
      <c r="S59" s="1108">
        <v>1088.7320727272729</v>
      </c>
      <c r="T59" s="1108">
        <v>1670.9272876489374</v>
      </c>
      <c r="U59" s="1108">
        <v>906.75186144893598</v>
      </c>
      <c r="V59" s="1108">
        <v>1151.9818064560304</v>
      </c>
      <c r="W59" s="1108">
        <v>647.62168928243671</v>
      </c>
      <c r="X59" s="1108">
        <v>628.41244555065998</v>
      </c>
      <c r="Y59" s="1108">
        <v>305.63514318674652</v>
      </c>
      <c r="Z59" s="1108">
        <v>699.47008814439846</v>
      </c>
      <c r="AA59" s="1108">
        <v>530.6309027726503</v>
      </c>
      <c r="AB59" s="1108">
        <v>542.70391907602857</v>
      </c>
      <c r="AC59" s="1108">
        <v>76</v>
      </c>
      <c r="AD59" s="1108">
        <v>165</v>
      </c>
      <c r="AE59" s="1108">
        <v>59</v>
      </c>
      <c r="AF59" s="1108">
        <v>69</v>
      </c>
      <c r="AG59" s="1108">
        <v>46</v>
      </c>
      <c r="AH59" s="1108">
        <v>113</v>
      </c>
      <c r="AI59" s="1108">
        <v>51</v>
      </c>
      <c r="AJ59" s="1108">
        <v>49</v>
      </c>
      <c r="AK59" s="1108">
        <v>58</v>
      </c>
      <c r="AL59" s="1108">
        <v>79</v>
      </c>
      <c r="AM59" s="1108">
        <v>39</v>
      </c>
      <c r="AN59" s="1108">
        <v>18</v>
      </c>
      <c r="AO59" s="1108">
        <v>45</v>
      </c>
      <c r="AP59" s="1108">
        <v>80</v>
      </c>
      <c r="AQ59" s="1108">
        <v>30</v>
      </c>
      <c r="AR59" s="1108">
        <v>30</v>
      </c>
      <c r="AS59" s="1108">
        <v>43</v>
      </c>
      <c r="AT59" s="1108">
        <v>71</v>
      </c>
      <c r="AU59" s="1108">
        <v>40</v>
      </c>
      <c r="AV59" s="1108">
        <v>23</v>
      </c>
      <c r="AW59" s="1108">
        <v>28</v>
      </c>
      <c r="AX59" s="1108">
        <v>73</v>
      </c>
      <c r="AY59" s="1108">
        <v>-6</v>
      </c>
      <c r="AZ59" s="1108">
        <v>-14</v>
      </c>
      <c r="BA59" s="1108">
        <v>33</v>
      </c>
      <c r="BB59" s="1108">
        <v>18</v>
      </c>
      <c r="BC59" s="1108">
        <v>22.566666666666727</v>
      </c>
      <c r="BD59" s="1108">
        <v>128.44324222874158</v>
      </c>
      <c r="BE59" s="1108">
        <v>42.723874999994997</v>
      </c>
      <c r="BF59" s="1108">
        <v>27.042812499998764</v>
      </c>
      <c r="BG59" s="1108">
        <v>25.143000000000072</v>
      </c>
      <c r="BH59" s="1108">
        <v>164.56866802098833</v>
      </c>
      <c r="BI59" s="1108">
        <v>44.033577142859997</v>
      </c>
      <c r="BJ59" s="1108">
        <v>24.171564285718585</v>
      </c>
      <c r="BK59" s="1108">
        <v>18.681916666666787</v>
      </c>
      <c r="BL59" s="1108">
        <v>219.87734690959351</v>
      </c>
      <c r="BM59" s="1108">
        <v>34.733874999999998</v>
      </c>
      <c r="BN59" s="1108">
        <v>18.94575</v>
      </c>
      <c r="BO59" s="1108">
        <v>3.1965187500001822</v>
      </c>
      <c r="BP59" s="1108">
        <v>158.0150875000005</v>
      </c>
      <c r="BQ59" s="1108">
        <v>35.370568749999997</v>
      </c>
      <c r="BR59" s="1108">
        <v>19.293037500000001</v>
      </c>
      <c r="BS59" s="1108">
        <v>3.3788446875001821</v>
      </c>
      <c r="BT59" s="1108">
        <v>157.9398418750005</v>
      </c>
      <c r="BU59" s="1108">
        <v>33</v>
      </c>
      <c r="BV59" s="1108">
        <v>18</v>
      </c>
      <c r="BW59" s="1108">
        <v>-0.89999999999963598</v>
      </c>
      <c r="BX59" s="1108">
        <v>319.04000000000099</v>
      </c>
      <c r="BY59" s="1108">
        <v>33</v>
      </c>
      <c r="BZ59" s="1108">
        <v>18</v>
      </c>
      <c r="CA59" s="1108">
        <v>-0.89999999999963598</v>
      </c>
      <c r="CB59" s="1108">
        <v>319.04000000000099</v>
      </c>
      <c r="CC59" s="1108">
        <v>33</v>
      </c>
      <c r="CD59" s="1108">
        <v>18</v>
      </c>
      <c r="CE59" s="1108">
        <v>-0.89999999999963598</v>
      </c>
      <c r="CF59" s="1108">
        <v>319.04000000000099</v>
      </c>
    </row>
    <row r="60" spans="4:84" ht="14.45" hidden="1" outlineLevel="1">
      <c r="D60" s="1611"/>
      <c r="E60" s="1619"/>
      <c r="F60" s="1106" t="s">
        <v>1191</v>
      </c>
      <c r="O60" s="1109">
        <v>161.58811540288454</v>
      </c>
      <c r="Q60" s="1109">
        <v>172.59372020609609</v>
      </c>
      <c r="S60" s="1109">
        <v>65.869631697913007</v>
      </c>
      <c r="T60" s="1109">
        <v>201.53035277135461</v>
      </c>
      <c r="U60" s="1109">
        <v>-8.0147224424225882</v>
      </c>
      <c r="V60" s="1109">
        <v>-48.54252220041262</v>
      </c>
      <c r="W60" s="1109">
        <v>-40.515972156478782</v>
      </c>
      <c r="X60" s="1109">
        <v>-62.391394874228077</v>
      </c>
      <c r="Y60" s="1109">
        <v>-66.293408794511919</v>
      </c>
      <c r="Z60" s="1109">
        <v>-39.281151470937203</v>
      </c>
      <c r="AA60" s="1109">
        <v>-18.064680112769526</v>
      </c>
      <c r="AB60" s="1109">
        <v>-13.638897046274675</v>
      </c>
      <c r="AC60" s="1109">
        <v>-75.133749604978135</v>
      </c>
      <c r="AD60" s="1109">
        <v>-76.410713939501946</v>
      </c>
      <c r="AE60" s="1109">
        <v>-88.881160201617831</v>
      </c>
      <c r="AF60" s="1109">
        <v>-87.285885070173293</v>
      </c>
      <c r="AG60" s="1109">
        <v>-39.473684210526315</v>
      </c>
      <c r="AH60" s="1109">
        <v>-31.515151515151512</v>
      </c>
      <c r="AI60" s="1109">
        <v>-13.559322033898304</v>
      </c>
      <c r="AJ60" s="1109">
        <v>-28.985507246376812</v>
      </c>
      <c r="AK60" s="1109">
        <v>26.086956521739129</v>
      </c>
      <c r="AL60" s="1109">
        <v>-30.088495575221241</v>
      </c>
      <c r="AM60" s="1109">
        <v>-23.52941176470588</v>
      </c>
      <c r="AN60" s="1109">
        <v>-63.265306122448983</v>
      </c>
      <c r="AO60" s="1109">
        <v>-22.413793103448278</v>
      </c>
      <c r="AP60" s="1109">
        <v>1.2658227848101267</v>
      </c>
      <c r="AQ60" s="1109">
        <v>-23.076923076923077</v>
      </c>
      <c r="AR60" s="1109">
        <v>66.666666666666657</v>
      </c>
      <c r="AS60" s="1109">
        <v>-4.4444444444444446</v>
      </c>
      <c r="AT60" s="1109">
        <v>-11.25</v>
      </c>
      <c r="AU60" s="1109">
        <v>33.333333333333329</v>
      </c>
      <c r="AV60" s="1109">
        <v>-23.333333333333332</v>
      </c>
      <c r="AW60" s="1109">
        <v>-34.883720930232556</v>
      </c>
      <c r="AX60" s="1109">
        <v>2.8169014084507045</v>
      </c>
      <c r="AY60" s="1109">
        <v>-114.99999999999999</v>
      </c>
      <c r="AZ60" s="1109">
        <v>-160.86956521739131</v>
      </c>
      <c r="BA60" s="1109">
        <v>17.857142857142858</v>
      </c>
      <c r="BB60" s="1109">
        <v>-75.342465753424662</v>
      </c>
      <c r="BC60" s="1109">
        <v>476.11111111111211</v>
      </c>
      <c r="BD60" s="1109">
        <v>1017.4517302052971</v>
      </c>
      <c r="BE60" s="1109">
        <v>29.466287878772718</v>
      </c>
      <c r="BF60" s="1109">
        <v>50.237847222215358</v>
      </c>
      <c r="BG60" s="1109">
        <v>11.416543574593817</v>
      </c>
      <c r="BH60" s="1109">
        <v>28.125594749400527</v>
      </c>
      <c r="BI60" s="1109">
        <v>3.0655041071652627</v>
      </c>
      <c r="BJ60" s="1109">
        <v>-10.61741715762852</v>
      </c>
      <c r="BK60" s="1109">
        <v>-25.697344522663428</v>
      </c>
      <c r="BL60" s="1109">
        <v>33.6082679368538</v>
      </c>
      <c r="BM60" s="1109">
        <v>-21.119569987894877</v>
      </c>
      <c r="BN60" s="1109">
        <v>-21.619677667308359</v>
      </c>
      <c r="BO60" s="1109">
        <v>-82.889770856843768</v>
      </c>
      <c r="BP60" s="1109">
        <v>-28.134894421401572</v>
      </c>
      <c r="BQ60" s="1109">
        <v>1.8330628241162246</v>
      </c>
      <c r="BR60" s="1109">
        <v>1.8330628241162277</v>
      </c>
      <c r="BS60" s="1109">
        <v>5.7038907561543173</v>
      </c>
      <c r="BT60" s="1109">
        <v>-4.7619266103312914E-2</v>
      </c>
      <c r="BU60" s="1109">
        <v>-6.7020939548787917</v>
      </c>
      <c r="BV60" s="1109">
        <v>-6.7020939548788032</v>
      </c>
      <c r="BW60" s="1109">
        <v>-126.63632345485215</v>
      </c>
      <c r="BX60" s="1109">
        <v>102.00096201976774</v>
      </c>
      <c r="BY60" s="1109">
        <v>0</v>
      </c>
      <c r="BZ60" s="1109">
        <v>0</v>
      </c>
      <c r="CA60" s="1109">
        <v>0</v>
      </c>
      <c r="CB60" s="1109">
        <v>0</v>
      </c>
      <c r="CC60" s="1109">
        <v>0</v>
      </c>
      <c r="CD60" s="1109">
        <v>0</v>
      </c>
      <c r="CE60" s="1109">
        <v>0</v>
      </c>
      <c r="CF60" s="1109">
        <v>0</v>
      </c>
    </row>
    <row r="61" spans="4:84" ht="14.45" hidden="1" outlineLevel="1" collapsed="1">
      <c r="D61" s="1611"/>
      <c r="E61" s="1619"/>
      <c r="F61" s="1106"/>
    </row>
    <row r="62" spans="4:84" ht="14.45" collapsed="1">
      <c r="D62" s="1613" t="s">
        <v>1204</v>
      </c>
      <c r="E62" s="1612" t="s">
        <v>1095</v>
      </c>
      <c r="F62" s="1107" t="s">
        <v>1190</v>
      </c>
      <c r="G62" s="1108">
        <v>6945.4799670223501</v>
      </c>
      <c r="I62" s="1108">
        <v>10033.065178241841</v>
      </c>
      <c r="K62" s="1108">
        <v>7410.5009967643264</v>
      </c>
      <c r="M62" s="1108">
        <v>6996.1428416501567</v>
      </c>
      <c r="O62" s="1108">
        <v>7594</v>
      </c>
      <c r="Q62" s="1108">
        <v>12070</v>
      </c>
      <c r="S62" s="1108">
        <v>8451</v>
      </c>
      <c r="T62" s="1108">
        <v>10292</v>
      </c>
      <c r="U62" s="1108">
        <v>11236</v>
      </c>
      <c r="V62" s="1108">
        <v>13282</v>
      </c>
      <c r="W62" s="1108">
        <v>9369</v>
      </c>
      <c r="X62" s="1108">
        <v>9243</v>
      </c>
      <c r="Y62" s="1108">
        <v>9329</v>
      </c>
      <c r="Z62" s="1108">
        <v>12513</v>
      </c>
      <c r="AA62" s="1108">
        <v>9387</v>
      </c>
      <c r="AB62" s="1108">
        <v>9181</v>
      </c>
      <c r="AC62" s="1108">
        <v>9395</v>
      </c>
      <c r="AD62" s="1108">
        <v>11889</v>
      </c>
      <c r="AE62" s="1108">
        <v>8775</v>
      </c>
      <c r="AF62" s="1108">
        <v>9235</v>
      </c>
      <c r="AG62" s="1108">
        <v>9378</v>
      </c>
      <c r="AH62" s="1108">
        <v>12170</v>
      </c>
      <c r="AI62" s="1108">
        <v>9917</v>
      </c>
      <c r="AJ62" s="1108">
        <v>10811</v>
      </c>
      <c r="AK62" s="1108">
        <v>10746</v>
      </c>
      <c r="AL62" s="1108">
        <v>12993</v>
      </c>
      <c r="AM62" s="1108">
        <v>10680</v>
      </c>
      <c r="AN62" s="1108">
        <v>11279</v>
      </c>
      <c r="AO62" s="1108">
        <v>11133</v>
      </c>
      <c r="AP62" s="1108">
        <v>13211</v>
      </c>
      <c r="AQ62" s="1108">
        <v>10997</v>
      </c>
      <c r="AR62" s="1108">
        <v>12910</v>
      </c>
      <c r="AS62" s="1108">
        <v>11849</v>
      </c>
      <c r="AT62" s="1108">
        <v>15122</v>
      </c>
      <c r="AU62" s="1108">
        <v>13036</v>
      </c>
      <c r="AV62" s="1108">
        <v>14086</v>
      </c>
      <c r="AW62" s="1108">
        <v>13314</v>
      </c>
      <c r="AX62" s="1108">
        <v>17530</v>
      </c>
      <c r="AY62" s="1108">
        <v>14520</v>
      </c>
      <c r="AZ62" s="1108">
        <v>14356</v>
      </c>
      <c r="BA62" s="1108">
        <v>13332</v>
      </c>
      <c r="BB62" s="1108">
        <v>14237</v>
      </c>
      <c r="BC62" s="1108">
        <v>12139.085552348244</v>
      </c>
      <c r="BD62" s="1108">
        <v>13347.268646323468</v>
      </c>
      <c r="BE62" s="1108">
        <v>13157.958063705901</v>
      </c>
      <c r="BF62" s="1108">
        <v>14701.063939982472</v>
      </c>
      <c r="BG62" s="1108">
        <v>12750.813651473662</v>
      </c>
      <c r="BH62" s="1108">
        <v>13917.969271454467</v>
      </c>
      <c r="BI62" s="1108">
        <v>13702.662280293369</v>
      </c>
      <c r="BJ62" s="1108">
        <v>15277.004733872556</v>
      </c>
      <c r="BK62" s="1108">
        <v>13376.391086026806</v>
      </c>
      <c r="BL62" s="1108">
        <v>14540.136298186013</v>
      </c>
      <c r="BM62" s="1108">
        <v>14724.527543528742</v>
      </c>
      <c r="BN62" s="1108">
        <v>16300.440314964229</v>
      </c>
      <c r="BO62" s="1108">
        <v>14277.639596694415</v>
      </c>
      <c r="BP62" s="1108">
        <v>15525.972681843943</v>
      </c>
      <c r="BQ62" s="1108">
        <v>15573.56550514662</v>
      </c>
      <c r="BR62" s="1108">
        <v>16937.098455879459</v>
      </c>
      <c r="BS62" s="1108">
        <v>15044.603749485899</v>
      </c>
      <c r="BT62" s="1108">
        <v>16578.27585029004</v>
      </c>
      <c r="BU62" s="1108">
        <v>17558.727584867302</v>
      </c>
      <c r="BV62" s="1108">
        <v>19421.775510207299</v>
      </c>
      <c r="BW62" s="1108">
        <v>16886.8244581812</v>
      </c>
      <c r="BX62" s="1108">
        <v>17992.717103162398</v>
      </c>
      <c r="BY62" s="1108">
        <v>18658.351561075349</v>
      </c>
      <c r="BZ62" s="1108">
        <v>20649.54241732795</v>
      </c>
      <c r="CA62" s="1108">
        <v>18001.962150255898</v>
      </c>
      <c r="CB62" s="1108">
        <v>19144.83252617695</v>
      </c>
      <c r="CC62" s="1108">
        <v>19750.354234246752</v>
      </c>
      <c r="CD62" s="1108">
        <v>21893.060643493998</v>
      </c>
      <c r="CE62" s="1108">
        <v>19125.909975500999</v>
      </c>
      <c r="CF62" s="1108">
        <v>20293.58396362665</v>
      </c>
    </row>
    <row r="63" spans="4:84" ht="14.45" hidden="1" outlineLevel="1">
      <c r="D63" s="1611"/>
      <c r="E63" s="1619"/>
      <c r="F63" s="1107" t="s">
        <v>1191</v>
      </c>
      <c r="O63" s="1109">
        <v>9.3372961416182996</v>
      </c>
      <c r="Q63" s="1109">
        <v>20.302218570009376</v>
      </c>
      <c r="S63" s="1109">
        <v>14.04087258999075</v>
      </c>
      <c r="T63" s="1109">
        <v>47.109632163720384</v>
      </c>
      <c r="U63" s="1109">
        <v>47.958914932841715</v>
      </c>
      <c r="V63" s="1109">
        <v>10.041425020712511</v>
      </c>
      <c r="W63" s="1109">
        <v>10.862619808306709</v>
      </c>
      <c r="X63" s="1109">
        <v>-10.192382432957638</v>
      </c>
      <c r="Y63" s="1109">
        <v>-16.972232111071555</v>
      </c>
      <c r="Z63" s="1109">
        <v>-5.7897906941725639</v>
      </c>
      <c r="AA63" s="1109">
        <v>0.19212295869356388</v>
      </c>
      <c r="AB63" s="1109">
        <v>-0.67077788596775945</v>
      </c>
      <c r="AC63" s="1109">
        <v>0.70747132597277307</v>
      </c>
      <c r="AD63" s="1109">
        <v>-4.9868137137377131</v>
      </c>
      <c r="AE63" s="1109">
        <v>-6.5196548418024927</v>
      </c>
      <c r="AF63" s="1109">
        <v>0.58817122317830306</v>
      </c>
      <c r="AG63" s="1109">
        <v>-0.18094731240021286</v>
      </c>
      <c r="AH63" s="1109">
        <v>2.3635293128101607</v>
      </c>
      <c r="AI63" s="1109">
        <v>13.014245014245015</v>
      </c>
      <c r="AJ63" s="1109">
        <v>17.065511640498105</v>
      </c>
      <c r="AK63" s="1109">
        <v>14.587332053742802</v>
      </c>
      <c r="AL63" s="1109">
        <v>6.7625308134757605</v>
      </c>
      <c r="AM63" s="1109">
        <v>7.6938590299485732</v>
      </c>
      <c r="AN63" s="1109">
        <v>4.3289242438257336</v>
      </c>
      <c r="AO63" s="1109">
        <v>3.6013400335008376</v>
      </c>
      <c r="AP63" s="1109">
        <v>1.6778265219733703</v>
      </c>
      <c r="AQ63" s="1109">
        <v>2.9681647940074907</v>
      </c>
      <c r="AR63" s="1109">
        <v>14.460501817537017</v>
      </c>
      <c r="AS63" s="1109">
        <v>6.4313302793496812</v>
      </c>
      <c r="AT63" s="1109">
        <v>14.465218378623874</v>
      </c>
      <c r="AU63" s="1109">
        <v>18.541420387378377</v>
      </c>
      <c r="AV63" s="1109">
        <v>9.1092176607281186</v>
      </c>
      <c r="AW63" s="1109">
        <v>12.363912566461305</v>
      </c>
      <c r="AX63" s="1109">
        <v>15.923819600581934</v>
      </c>
      <c r="AY63" s="1109">
        <v>11.383860079779073</v>
      </c>
      <c r="AZ63" s="1109">
        <v>1.916796819537129</v>
      </c>
      <c r="BA63" s="1109">
        <v>0.13519603424966201</v>
      </c>
      <c r="BB63" s="1109">
        <v>-18.784940102681119</v>
      </c>
      <c r="BC63" s="1109">
        <v>-16.39748242184405</v>
      </c>
      <c r="BD63" s="1109">
        <v>-7.0265488553673192</v>
      </c>
      <c r="BE63" s="1109">
        <v>-1.3054450667124158</v>
      </c>
      <c r="BF63" s="1109">
        <v>3.2595626886455871</v>
      </c>
      <c r="BG63" s="1109">
        <v>5.0393260389130532</v>
      </c>
      <c r="BH63" s="1109">
        <v>4.275785857417354</v>
      </c>
      <c r="BI63" s="1109">
        <v>4.1397321221895869</v>
      </c>
      <c r="BJ63" s="1109">
        <v>3.9176810347970688</v>
      </c>
      <c r="BK63" s="1109">
        <v>4.906176591176548</v>
      </c>
      <c r="BL63" s="1109">
        <v>4.4702428536582595</v>
      </c>
      <c r="BM63" s="1109">
        <v>7.4574213560307898</v>
      </c>
      <c r="BN63" s="1109">
        <v>6.6991900501443604</v>
      </c>
      <c r="BO63" s="1109">
        <v>6.7376058674679999</v>
      </c>
      <c r="BP63" s="1109">
        <v>6.7801041437343361</v>
      </c>
      <c r="BQ63" s="1109">
        <v>5.766147396634266</v>
      </c>
      <c r="BR63" s="1109">
        <v>3.9057726577530594</v>
      </c>
      <c r="BS63" s="1109">
        <v>5.3717853542756009</v>
      </c>
      <c r="BT63" s="1109">
        <v>6.7776956072881607</v>
      </c>
      <c r="BU63" s="1109">
        <v>12.746997975926849</v>
      </c>
      <c r="BV63" s="1109">
        <v>14.670027813797834</v>
      </c>
      <c r="BW63" s="1109">
        <v>12.245059686322762</v>
      </c>
      <c r="BX63" s="1109">
        <v>8.5318959923544337</v>
      </c>
      <c r="BY63" s="1109">
        <v>6.2625493270693511</v>
      </c>
      <c r="BZ63" s="1109">
        <v>6.3215997243680748</v>
      </c>
      <c r="CA63" s="1109">
        <v>6.6035961636022416</v>
      </c>
      <c r="CB63" s="1109">
        <v>6.4032320210939995</v>
      </c>
      <c r="CC63" s="1109">
        <v>5.8526213829602973</v>
      </c>
      <c r="CD63" s="1109">
        <v>6.0220134714586075</v>
      </c>
      <c r="CE63" s="1109">
        <v>6.2434739939119579</v>
      </c>
      <c r="CF63" s="1109">
        <v>6.0003211617495191</v>
      </c>
    </row>
    <row r="64" spans="4:84" ht="14.45" hidden="1" outlineLevel="1" collapsed="1">
      <c r="D64" s="1611"/>
      <c r="E64" s="1619"/>
      <c r="F64" s="1107"/>
    </row>
    <row r="65" spans="4:84" ht="14.45" collapsed="1">
      <c r="D65" s="1105" t="s">
        <v>401</v>
      </c>
      <c r="F65" s="1106" t="s">
        <v>1188</v>
      </c>
    </row>
    <row r="66" spans="4:84" ht="14.45">
      <c r="D66" s="1613" t="s">
        <v>1205</v>
      </c>
      <c r="E66" s="1612" t="s">
        <v>1095</v>
      </c>
      <c r="F66" s="1107" t="s">
        <v>1190</v>
      </c>
      <c r="G66" s="1108">
        <v>-1112.548437655787</v>
      </c>
      <c r="I66" s="1108">
        <v>-46.532596750666002</v>
      </c>
      <c r="K66" s="1108">
        <v>2093.029052792695</v>
      </c>
      <c r="M66" s="1108">
        <v>926.04560153318505</v>
      </c>
      <c r="O66" s="1108">
        <v>-107</v>
      </c>
      <c r="Q66" s="1108">
        <v>-15</v>
      </c>
      <c r="S66" s="1108">
        <v>-103</v>
      </c>
      <c r="T66" s="1108">
        <v>-53</v>
      </c>
      <c r="U66" s="1108">
        <v>-29.75</v>
      </c>
      <c r="V66" s="1108">
        <v>325</v>
      </c>
      <c r="W66" s="1108">
        <v>60</v>
      </c>
      <c r="X66" s="1108">
        <v>17</v>
      </c>
      <c r="Z66" s="1108">
        <v>-3161</v>
      </c>
      <c r="AA66" s="1108">
        <v>-1545</v>
      </c>
    </row>
    <row r="67" spans="4:84" ht="14.45" hidden="1" outlineLevel="1">
      <c r="D67" s="1611"/>
      <c r="E67" s="1619"/>
      <c r="F67" s="1107" t="s">
        <v>1191</v>
      </c>
      <c r="O67" s="1109">
        <v>90.382441215282626</v>
      </c>
      <c r="Q67" s="1109">
        <v>67.764532720204755</v>
      </c>
      <c r="S67" s="1109">
        <v>-104.92109748130676</v>
      </c>
      <c r="T67" s="1109">
        <v>-105.72326027057974</v>
      </c>
      <c r="U67" s="1109">
        <v>72.196261682242991</v>
      </c>
      <c r="V67" s="1109">
        <v>2266.666666666667</v>
      </c>
      <c r="W67" s="1109">
        <v>158.25242718446603</v>
      </c>
      <c r="X67" s="1109">
        <v>132.0754716981132</v>
      </c>
      <c r="Z67" s="1109">
        <v>-1072.6153846153845</v>
      </c>
      <c r="AA67" s="1109">
        <v>-2675</v>
      </c>
    </row>
    <row r="68" spans="4:84" ht="14.45" hidden="1" outlineLevel="1" collapsed="1">
      <c r="D68" s="1611"/>
      <c r="E68" s="1619"/>
      <c r="F68" s="1107"/>
    </row>
    <row r="69" spans="4:84" ht="14.45" collapsed="1">
      <c r="D69" s="1610" t="s">
        <v>523</v>
      </c>
      <c r="E69" s="1612" t="s">
        <v>1095</v>
      </c>
      <c r="F69" s="1106" t="s">
        <v>1190</v>
      </c>
      <c r="G69" s="1108">
        <v>16008</v>
      </c>
      <c r="I69" s="1108">
        <v>21456</v>
      </c>
      <c r="K69" s="1108">
        <v>20489</v>
      </c>
      <c r="M69" s="1108">
        <v>19896</v>
      </c>
      <c r="O69" s="1108">
        <v>18529</v>
      </c>
      <c r="Q69" s="1108">
        <v>24519</v>
      </c>
      <c r="S69" s="1108">
        <v>20403</v>
      </c>
      <c r="T69" s="1108">
        <v>23382</v>
      </c>
      <c r="U69" s="1108">
        <v>23201</v>
      </c>
      <c r="V69" s="1108">
        <v>26470</v>
      </c>
      <c r="W69" s="1108">
        <v>21729</v>
      </c>
      <c r="X69" s="1108">
        <v>22180</v>
      </c>
      <c r="Y69" s="1108">
        <v>20910</v>
      </c>
      <c r="Z69" s="1108">
        <v>25253</v>
      </c>
      <c r="AA69" s="1108">
        <v>21517</v>
      </c>
      <c r="AB69" s="1108">
        <v>23474</v>
      </c>
      <c r="AC69" s="1108">
        <v>21928</v>
      </c>
      <c r="AD69" s="1108">
        <v>25826</v>
      </c>
      <c r="AE69" s="1108">
        <v>23212</v>
      </c>
      <c r="AF69" s="1108">
        <v>25604.999999999989</v>
      </c>
      <c r="AG69" s="1108">
        <v>24538</v>
      </c>
      <c r="AH69" s="1108">
        <v>28918</v>
      </c>
      <c r="AI69" s="1108">
        <v>26819</v>
      </c>
      <c r="AJ69" s="1108">
        <v>30085</v>
      </c>
      <c r="AK69" s="1108">
        <v>29084</v>
      </c>
      <c r="AL69" s="1108">
        <v>32471</v>
      </c>
      <c r="AM69" s="1108">
        <v>30571</v>
      </c>
      <c r="AN69" s="1108">
        <v>33717</v>
      </c>
      <c r="AO69" s="1108">
        <v>33055</v>
      </c>
      <c r="AP69" s="1108">
        <v>36906</v>
      </c>
      <c r="AQ69" s="1108">
        <v>35021</v>
      </c>
      <c r="AR69" s="1108">
        <v>38033</v>
      </c>
      <c r="AS69" s="1108">
        <v>37154</v>
      </c>
      <c r="AT69" s="1108">
        <v>43076</v>
      </c>
      <c r="AU69" s="1108">
        <v>41706</v>
      </c>
      <c r="AV69" s="1108">
        <v>46152</v>
      </c>
      <c r="AW69" s="1108">
        <v>45317</v>
      </c>
      <c r="AX69" s="1108">
        <v>51728</v>
      </c>
      <c r="AY69" s="1108">
        <v>49360</v>
      </c>
      <c r="AZ69" s="1108">
        <v>51865</v>
      </c>
      <c r="BA69" s="1108">
        <v>50122</v>
      </c>
      <c r="BB69" s="1108">
        <v>52747</v>
      </c>
      <c r="BC69" s="1108">
        <v>51069.394719016753</v>
      </c>
      <c r="BD69" s="1108">
        <v>55182.846858397024</v>
      </c>
      <c r="BE69" s="1108">
        <v>54914.211366179072</v>
      </c>
      <c r="BF69" s="1108">
        <v>58389.644867760551</v>
      </c>
      <c r="BG69" s="1108">
        <v>57107.983432296263</v>
      </c>
      <c r="BH69" s="1108">
        <v>61383.18781743951</v>
      </c>
      <c r="BI69" s="1108">
        <v>61470.657884956941</v>
      </c>
      <c r="BJ69" s="1108">
        <v>65290.926705492187</v>
      </c>
      <c r="BK69" s="1108">
        <v>64217.921622161892</v>
      </c>
      <c r="BL69" s="1108">
        <v>69005.19666134617</v>
      </c>
      <c r="BM69" s="1108">
        <v>69942.607534429859</v>
      </c>
      <c r="BN69" s="1108">
        <v>74134.489517524446</v>
      </c>
      <c r="BO69" s="1108">
        <v>72956.641054148087</v>
      </c>
      <c r="BP69" s="1108">
        <v>78804.671061153829</v>
      </c>
      <c r="BQ69" s="1108">
        <v>79408.411434654758</v>
      </c>
      <c r="BR69" s="1108">
        <v>83605.885825577338</v>
      </c>
      <c r="BS69" s="1108">
        <v>82667.954110680439</v>
      </c>
      <c r="BT69" s="1108">
        <v>89717.561964412642</v>
      </c>
      <c r="BU69" s="1108">
        <v>84508.363704704199</v>
      </c>
      <c r="BV69" s="1108">
        <v>89052.51730491755</v>
      </c>
      <c r="BW69" s="1108">
        <v>88483.957017623747</v>
      </c>
      <c r="BX69" s="1108">
        <v>96053.205125708948</v>
      </c>
      <c r="BY69" s="1108">
        <v>91616.789643071796</v>
      </c>
      <c r="BZ69" s="1108">
        <v>96528.969909626598</v>
      </c>
      <c r="CA69" s="1108">
        <v>96112.008647347844</v>
      </c>
      <c r="CB69" s="1108">
        <v>104233.8621840526</v>
      </c>
      <c r="CC69" s="1108">
        <v>98275.882996644854</v>
      </c>
      <c r="CD69" s="1108">
        <v>103585.39232840795</v>
      </c>
      <c r="CE69" s="1108">
        <v>103198.9842263348</v>
      </c>
      <c r="CF69" s="1108">
        <v>111854.027921268</v>
      </c>
    </row>
    <row r="70" spans="4:84" ht="14.45" hidden="1" outlineLevel="1">
      <c r="D70" s="1611"/>
      <c r="E70" s="1619"/>
      <c r="F70" s="1106" t="s">
        <v>1191</v>
      </c>
      <c r="O70" s="1109">
        <v>15.748375812093954</v>
      </c>
      <c r="Q70" s="1109">
        <v>14.27572706935123</v>
      </c>
      <c r="S70" s="1109">
        <v>-0.41973742007906684</v>
      </c>
      <c r="T70" s="1109">
        <v>17.521109770808202</v>
      </c>
      <c r="U70" s="1109">
        <v>25.214528576825519</v>
      </c>
      <c r="V70" s="1109">
        <v>7.9570944981442961</v>
      </c>
      <c r="W70" s="1109">
        <v>6.4990442581973245</v>
      </c>
      <c r="X70" s="1109">
        <v>-5.1407065263878202</v>
      </c>
      <c r="Y70" s="1109">
        <v>-9.8745743717943188</v>
      </c>
      <c r="Z70" s="1109">
        <v>-4.5976577257272382</v>
      </c>
      <c r="AA70" s="1109">
        <v>-0.9756546550692623</v>
      </c>
      <c r="AB70" s="1109">
        <v>5.8340847610459869</v>
      </c>
      <c r="AC70" s="1109">
        <v>4.8684839789574363</v>
      </c>
      <c r="AD70" s="1109">
        <v>2.2690373420979686</v>
      </c>
      <c r="AE70" s="1109">
        <v>7.8774922154575444</v>
      </c>
      <c r="AF70" s="1109">
        <v>9.0781289937803056</v>
      </c>
      <c r="AG70" s="1109">
        <v>11.902590295512587</v>
      </c>
      <c r="AH70" s="1109">
        <v>11.972430883605668</v>
      </c>
      <c r="AI70" s="1109">
        <v>15.539376184732035</v>
      </c>
      <c r="AJ70" s="1109">
        <v>17.496582698691711</v>
      </c>
      <c r="AK70" s="1109">
        <v>18.526367267095935</v>
      </c>
      <c r="AL70" s="1109">
        <v>12.28646517739816</v>
      </c>
      <c r="AM70" s="1109">
        <v>13.990081658525671</v>
      </c>
      <c r="AN70" s="1109">
        <v>12.072461359481469</v>
      </c>
      <c r="AO70" s="1109">
        <v>13.653555219364598</v>
      </c>
      <c r="AP70" s="1109">
        <v>13.65834128915032</v>
      </c>
      <c r="AQ70" s="1109">
        <v>14.556278826338687</v>
      </c>
      <c r="AR70" s="1109">
        <v>12.800664353293593</v>
      </c>
      <c r="AS70" s="1109">
        <v>12.400544546967177</v>
      </c>
      <c r="AT70" s="1109">
        <v>16.718148810491517</v>
      </c>
      <c r="AU70" s="1109">
        <v>19.088546871876876</v>
      </c>
      <c r="AV70" s="1109">
        <v>21.347251071437963</v>
      </c>
      <c r="AW70" s="1109">
        <v>21.970716477364483</v>
      </c>
      <c r="AX70" s="1109">
        <v>20.085430402080046</v>
      </c>
      <c r="AY70" s="1109">
        <v>18.352275451973338</v>
      </c>
      <c r="AZ70" s="1109">
        <v>12.378661813139193</v>
      </c>
      <c r="BA70" s="1109">
        <v>10.603084935013349</v>
      </c>
      <c r="BB70" s="1109">
        <v>1.9699195793380759</v>
      </c>
      <c r="BC70" s="1109">
        <v>3.4631173399853181</v>
      </c>
      <c r="BD70" s="1109">
        <v>6.3970825381220937</v>
      </c>
      <c r="BE70" s="1109">
        <v>9.5610936638184256</v>
      </c>
      <c r="BF70" s="1109">
        <v>10.697565487630674</v>
      </c>
      <c r="BG70" s="1109">
        <v>11.824280954383266</v>
      </c>
      <c r="BH70" s="1109">
        <v>11.235993269707498</v>
      </c>
      <c r="BI70" s="1109">
        <v>11.93943490339533</v>
      </c>
      <c r="BJ70" s="1109">
        <v>11.819359157538107</v>
      </c>
      <c r="BK70" s="1109">
        <v>12.449989935811228</v>
      </c>
      <c r="BL70" s="1109">
        <v>12.417095160608749</v>
      </c>
      <c r="BM70" s="1109">
        <v>13.782103431084586</v>
      </c>
      <c r="BN70" s="1109">
        <v>13.544857238622024</v>
      </c>
      <c r="BO70" s="1109">
        <v>13.60791382100791</v>
      </c>
      <c r="BP70" s="1109">
        <v>14.20106727309266</v>
      </c>
      <c r="BQ70" s="1109">
        <v>13.533673155615872</v>
      </c>
      <c r="BR70" s="1109">
        <v>12.775964830531375</v>
      </c>
      <c r="BS70" s="1109">
        <v>13.311074792114757</v>
      </c>
      <c r="BT70" s="1109">
        <v>13.848025448631358</v>
      </c>
      <c r="BU70" s="1109">
        <v>6.4224333139395391</v>
      </c>
      <c r="BV70" s="1109">
        <v>6.5146507635876736</v>
      </c>
      <c r="BW70" s="1109">
        <v>7.0353778190234637</v>
      </c>
      <c r="BX70" s="1109">
        <v>7.0617647454680075</v>
      </c>
      <c r="BY70" s="1109">
        <v>8.4115058282354394</v>
      </c>
      <c r="BZ70" s="1109">
        <v>8.3955544783866447</v>
      </c>
      <c r="CA70" s="1109">
        <v>8.6208301333142057</v>
      </c>
      <c r="CB70" s="1109">
        <v>8.5167975890416976</v>
      </c>
      <c r="CC70" s="1109">
        <v>7.2684203184984986</v>
      </c>
      <c r="CD70" s="1109">
        <v>7.3101602818177724</v>
      </c>
      <c r="CE70" s="1109">
        <v>7.3736629571340391</v>
      </c>
      <c r="CF70" s="1109">
        <v>7.3106431801979772</v>
      </c>
    </row>
    <row r="71" spans="4:84" ht="14.45" hidden="1" outlineLevel="1" collapsed="1">
      <c r="D71" s="1611"/>
      <c r="E71" s="1619"/>
      <c r="F71" s="1106"/>
    </row>
    <row r="72" spans="4:84" ht="14.45" collapsed="1">
      <c r="D72" s="1613" t="s">
        <v>1206</v>
      </c>
      <c r="E72" s="1612" t="s">
        <v>1095</v>
      </c>
      <c r="F72" s="1107" t="s">
        <v>1190</v>
      </c>
      <c r="O72" s="1108">
        <v>113</v>
      </c>
      <c r="Q72" s="1108">
        <v>-97</v>
      </c>
      <c r="T72" s="1108">
        <v>-382</v>
      </c>
      <c r="V72" s="1108">
        <v>-326</v>
      </c>
      <c r="W72" s="1108">
        <v>190</v>
      </c>
    </row>
    <row r="73" spans="4:84" ht="14.45" hidden="1" outlineLevel="1">
      <c r="D73" s="1611"/>
      <c r="E73" s="1619"/>
      <c r="F73" s="1107" t="s">
        <v>1191</v>
      </c>
      <c r="V73" s="1109">
        <v>-236.08247422680412</v>
      </c>
    </row>
    <row r="74" spans="4:84" ht="14.45" hidden="1" outlineLevel="1" collapsed="1">
      <c r="D74" s="1611"/>
      <c r="E74" s="1619"/>
      <c r="F74" s="1107"/>
    </row>
    <row r="75" spans="4:84" ht="14.45" collapsed="1">
      <c r="D75" s="1610" t="s">
        <v>1207</v>
      </c>
      <c r="E75" s="1612" t="s">
        <v>1095</v>
      </c>
      <c r="F75" s="1106" t="s">
        <v>1190</v>
      </c>
      <c r="G75" s="1108">
        <v>16008</v>
      </c>
      <c r="I75" s="1108">
        <v>21456</v>
      </c>
      <c r="K75" s="1108">
        <v>20489</v>
      </c>
      <c r="M75" s="1108">
        <v>19896</v>
      </c>
      <c r="O75" s="1108">
        <v>18529</v>
      </c>
      <c r="Q75" s="1108">
        <v>24519</v>
      </c>
      <c r="S75" s="1108">
        <v>20403</v>
      </c>
      <c r="T75" s="1108">
        <v>23382</v>
      </c>
      <c r="U75" s="1108">
        <v>23201</v>
      </c>
      <c r="V75" s="1108">
        <v>26470</v>
      </c>
      <c r="W75" s="1108">
        <v>21729</v>
      </c>
      <c r="X75" s="1108">
        <v>22180</v>
      </c>
      <c r="Y75" s="1108">
        <v>20910</v>
      </c>
      <c r="Z75" s="1108">
        <v>25253</v>
      </c>
      <c r="AA75" s="1108">
        <v>21517</v>
      </c>
      <c r="AB75" s="1108">
        <v>23474</v>
      </c>
      <c r="AC75" s="1108">
        <v>21928</v>
      </c>
      <c r="AD75" s="1108">
        <v>25826</v>
      </c>
      <c r="AE75" s="1108">
        <v>23212</v>
      </c>
      <c r="AF75" s="1108">
        <v>25605</v>
      </c>
      <c r="AG75" s="1108">
        <v>24538</v>
      </c>
      <c r="AH75" s="1108">
        <v>28918</v>
      </c>
      <c r="AI75" s="1108">
        <v>26819</v>
      </c>
      <c r="AJ75" s="1108">
        <v>30085</v>
      </c>
      <c r="AK75" s="1108">
        <v>29084</v>
      </c>
      <c r="AL75" s="1108">
        <v>32471</v>
      </c>
      <c r="AM75" s="1108">
        <v>30571</v>
      </c>
      <c r="AN75" s="1108">
        <v>33717</v>
      </c>
      <c r="AO75" s="1108">
        <v>33055</v>
      </c>
      <c r="AP75" s="1108">
        <v>36906</v>
      </c>
      <c r="AQ75" s="1108">
        <v>35021</v>
      </c>
      <c r="AR75" s="1108">
        <v>38033</v>
      </c>
      <c r="AS75" s="1108">
        <v>37154</v>
      </c>
      <c r="AT75" s="1108">
        <v>43076</v>
      </c>
      <c r="AU75" s="1108">
        <v>41706</v>
      </c>
      <c r="AV75" s="1108">
        <v>46152</v>
      </c>
      <c r="AW75" s="1108">
        <v>45317</v>
      </c>
      <c r="AX75" s="1108">
        <v>51728</v>
      </c>
      <c r="AY75" s="1108">
        <v>49360</v>
      </c>
      <c r="AZ75" s="1108">
        <v>51865</v>
      </c>
      <c r="BA75" s="1108">
        <v>50122</v>
      </c>
      <c r="BB75" s="1108">
        <v>52747</v>
      </c>
      <c r="BC75" s="1108">
        <v>51076.577915034126</v>
      </c>
      <c r="BD75" s="1108">
        <v>55191.824256487896</v>
      </c>
      <c r="BE75" s="1108">
        <v>54920.81806291244</v>
      </c>
      <c r="BF75" s="1108">
        <v>58383.464793233274</v>
      </c>
      <c r="BG75" s="1108">
        <v>57115.072412156434</v>
      </c>
      <c r="BH75" s="1108">
        <v>61379.830485384817</v>
      </c>
      <c r="BI75" s="1108">
        <v>61464.631018257249</v>
      </c>
      <c r="BJ75" s="1108">
        <v>65262.852191484169</v>
      </c>
      <c r="BK75" s="1108">
        <v>64217.554603593555</v>
      </c>
      <c r="BL75" s="1108">
        <v>68990.496639553428</v>
      </c>
      <c r="BM75" s="1108">
        <v>69942.607534429873</v>
      </c>
      <c r="BN75" s="1108">
        <v>74134.489517524431</v>
      </c>
      <c r="BO75" s="1108">
        <v>72956.641054148102</v>
      </c>
      <c r="BP75" s="1108">
        <v>78804.671061153844</v>
      </c>
      <c r="BQ75" s="1108">
        <v>79408.411434654758</v>
      </c>
      <c r="BR75" s="1108">
        <v>83605.885825577367</v>
      </c>
      <c r="BS75" s="1108">
        <v>82667.954110680454</v>
      </c>
      <c r="BT75" s="1108">
        <v>89717.561964412642</v>
      </c>
      <c r="BU75" s="1108">
        <v>84508.363704704199</v>
      </c>
      <c r="BV75" s="1108">
        <v>89052.51730491755</v>
      </c>
      <c r="BW75" s="1108">
        <v>88483.957017623747</v>
      </c>
      <c r="BX75" s="1108">
        <v>96053.205125708948</v>
      </c>
      <c r="BY75" s="1108">
        <v>91616.789643071796</v>
      </c>
      <c r="BZ75" s="1108">
        <v>96528.969909626598</v>
      </c>
      <c r="CA75" s="1108">
        <v>96112.008647347844</v>
      </c>
      <c r="CB75" s="1108">
        <v>104233.8621840526</v>
      </c>
      <c r="CC75" s="1108">
        <v>98275.882996644854</v>
      </c>
      <c r="CD75" s="1108">
        <v>103585.39232840795</v>
      </c>
      <c r="CE75" s="1108">
        <v>103198.9842263348</v>
      </c>
      <c r="CF75" s="1108">
        <v>111854.027921268</v>
      </c>
    </row>
    <row r="76" spans="4:84" ht="14.45" hidden="1" outlineLevel="1">
      <c r="D76" s="1611"/>
      <c r="E76" s="1619"/>
      <c r="F76" s="1106" t="s">
        <v>1191</v>
      </c>
      <c r="O76" s="1109">
        <v>15.748375812093954</v>
      </c>
      <c r="Q76" s="1109">
        <v>14.27572706935123</v>
      </c>
      <c r="S76" s="1109">
        <v>-0.41973742007906684</v>
      </c>
      <c r="T76" s="1109">
        <v>17.521109770808202</v>
      </c>
      <c r="U76" s="1109">
        <v>25.214528576825519</v>
      </c>
      <c r="V76" s="1109">
        <v>7.9570944981442961</v>
      </c>
      <c r="W76" s="1109">
        <v>6.4990442581973245</v>
      </c>
      <c r="X76" s="1109">
        <v>-5.1407065263878202</v>
      </c>
      <c r="Y76" s="1109">
        <v>-9.8745743717943188</v>
      </c>
      <c r="Z76" s="1109">
        <v>-4.5976577257272382</v>
      </c>
      <c r="AA76" s="1109">
        <v>-0.9756546550692623</v>
      </c>
      <c r="AB76" s="1109">
        <v>5.8340847610459869</v>
      </c>
      <c r="AC76" s="1109">
        <v>4.8684839789574363</v>
      </c>
      <c r="AD76" s="1109">
        <v>2.2690373420979686</v>
      </c>
      <c r="AE76" s="1109">
        <v>7.8774922154575444</v>
      </c>
      <c r="AF76" s="1109">
        <v>9.0781289937803535</v>
      </c>
      <c r="AG76" s="1109">
        <v>11.902590295512587</v>
      </c>
      <c r="AH76" s="1109">
        <v>11.972430883605668</v>
      </c>
      <c r="AI76" s="1109">
        <v>15.539376184732035</v>
      </c>
      <c r="AJ76" s="1109">
        <v>17.496582698691661</v>
      </c>
      <c r="AK76" s="1109">
        <v>18.526367267095935</v>
      </c>
      <c r="AL76" s="1109">
        <v>12.28646517739816</v>
      </c>
      <c r="AM76" s="1109">
        <v>13.990081658525671</v>
      </c>
      <c r="AN76" s="1109">
        <v>12.072461359481469</v>
      </c>
      <c r="AO76" s="1109">
        <v>13.653555219364598</v>
      </c>
      <c r="AP76" s="1109">
        <v>13.65834128915032</v>
      </c>
      <c r="AQ76" s="1109">
        <v>14.556278826338687</v>
      </c>
      <c r="AR76" s="1109">
        <v>12.800664353293593</v>
      </c>
      <c r="AS76" s="1109">
        <v>12.400544546967177</v>
      </c>
      <c r="AT76" s="1109">
        <v>16.718148810491517</v>
      </c>
      <c r="AU76" s="1109">
        <v>19.088546871876876</v>
      </c>
      <c r="AV76" s="1109">
        <v>21.347251071437963</v>
      </c>
      <c r="AW76" s="1109">
        <v>21.970716477364483</v>
      </c>
      <c r="AX76" s="1109">
        <v>20.085430402080046</v>
      </c>
      <c r="AY76" s="1109">
        <v>18.352275451973338</v>
      </c>
      <c r="AZ76" s="1109">
        <v>12.378661813139193</v>
      </c>
      <c r="BA76" s="1109">
        <v>10.603084935013349</v>
      </c>
      <c r="BB76" s="1109">
        <v>1.9699195793380759</v>
      </c>
      <c r="BC76" s="1109">
        <v>3.4776700061469326</v>
      </c>
      <c r="BD76" s="1109">
        <v>6.4143917024735302</v>
      </c>
      <c r="BE76" s="1109">
        <v>9.5742748950808831</v>
      </c>
      <c r="BF76" s="1109">
        <v>10.685849040198066</v>
      </c>
      <c r="BG76" s="1109">
        <v>11.822433576437605</v>
      </c>
      <c r="BH76" s="1109">
        <v>11.211816808482299</v>
      </c>
      <c r="BI76" s="1109">
        <v>11.914995417309324</v>
      </c>
      <c r="BJ76" s="1109">
        <v>11.783109177597535</v>
      </c>
      <c r="BK76" s="1109">
        <v>12.435390329515577</v>
      </c>
      <c r="BL76" s="1109">
        <v>12.399294839989484</v>
      </c>
      <c r="BM76" s="1109">
        <v>13.793260246944872</v>
      </c>
      <c r="BN76" s="1109">
        <v>13.59370151339766</v>
      </c>
      <c r="BO76" s="1109">
        <v>13.608563117203337</v>
      </c>
      <c r="BP76" s="1109">
        <v>14.22540045316007</v>
      </c>
      <c r="BQ76" s="1109">
        <v>13.533673155615849</v>
      </c>
      <c r="BR76" s="1109">
        <v>12.775964830531436</v>
      </c>
      <c r="BS76" s="1109">
        <v>13.311074792114756</v>
      </c>
      <c r="BT76" s="1109">
        <v>13.848025448631335</v>
      </c>
      <c r="BU76" s="1109">
        <v>6.4224333139395391</v>
      </c>
      <c r="BV76" s="1109">
        <v>6.5146507635876354</v>
      </c>
      <c r="BW76" s="1109">
        <v>7.0353778190234459</v>
      </c>
      <c r="BX76" s="1109">
        <v>7.0617647454680075</v>
      </c>
      <c r="BY76" s="1109">
        <v>8.4115058282354394</v>
      </c>
      <c r="BZ76" s="1109">
        <v>8.3955544783866447</v>
      </c>
      <c r="CA76" s="1109">
        <v>8.6208301333142057</v>
      </c>
      <c r="CB76" s="1109">
        <v>8.5167975890416976</v>
      </c>
      <c r="CC76" s="1109">
        <v>7.2684203184984986</v>
      </c>
      <c r="CD76" s="1109">
        <v>7.3101602818177724</v>
      </c>
      <c r="CE76" s="1109">
        <v>7.3736629571340391</v>
      </c>
      <c r="CF76" s="1109">
        <v>7.3106431801979772</v>
      </c>
    </row>
    <row r="77" spans="4:84" ht="14.45" hidden="1" outlineLevel="1" collapsed="1">
      <c r="D77" s="1611"/>
      <c r="E77" s="1619"/>
      <c r="F77" s="1106"/>
    </row>
    <row r="78" spans="4:84" ht="14.45" collapsed="1">
      <c r="D78" s="1105" t="s">
        <v>401</v>
      </c>
      <c r="F78" s="1107" t="s">
        <v>1188</v>
      </c>
    </row>
    <row r="79" spans="4:84" ht="14.45">
      <c r="D79" s="1105" t="s">
        <v>1208</v>
      </c>
      <c r="F79" s="1107" t="s">
        <v>1188</v>
      </c>
    </row>
    <row r="80" spans="4:84" ht="14.45">
      <c r="D80" s="1610" t="s">
        <v>1209</v>
      </c>
      <c r="E80" s="1612" t="s">
        <v>1095</v>
      </c>
      <c r="F80" s="1106" t="s">
        <v>1190</v>
      </c>
      <c r="G80" s="1108">
        <v>12081.660153395038</v>
      </c>
      <c r="I80" s="1108">
        <v>13529.464979575378</v>
      </c>
      <c r="K80" s="1108">
        <v>12709.691072544276</v>
      </c>
      <c r="M80" s="1108">
        <v>14011.066661174595</v>
      </c>
      <c r="O80" s="1108">
        <v>13452.615501533648</v>
      </c>
      <c r="Q80" s="1108">
        <v>15208.132983304335</v>
      </c>
      <c r="S80" s="1108">
        <v>14290.072343362493</v>
      </c>
      <c r="T80" s="1108">
        <v>15422.004115493091</v>
      </c>
      <c r="U80" s="1108">
        <v>13657.75316083486</v>
      </c>
      <c r="V80" s="1108">
        <v>14550.486678036305</v>
      </c>
      <c r="W80" s="1108">
        <v>13174.60545782884</v>
      </c>
      <c r="X80" s="1108">
        <v>13565.807011216124</v>
      </c>
      <c r="Y80" s="1108">
        <v>12276.576113371741</v>
      </c>
      <c r="Z80" s="1108">
        <v>13325.33222198462</v>
      </c>
      <c r="AA80" s="1108">
        <v>11753.988261830264</v>
      </c>
      <c r="AB80" s="1108">
        <v>13690.881870911991</v>
      </c>
      <c r="AC80" s="1108">
        <v>12244.138732819645</v>
      </c>
      <c r="AD80" s="1108">
        <v>13378.6327262995</v>
      </c>
      <c r="AE80" s="1108">
        <v>12197.744946995545</v>
      </c>
      <c r="AF80" s="1108">
        <v>13944.665531956802</v>
      </c>
      <c r="AG80" s="1108">
        <v>11930.373948090572</v>
      </c>
      <c r="AH80" s="1108">
        <v>13152.938112523074</v>
      </c>
      <c r="AI80" s="1108">
        <v>12415.710499268058</v>
      </c>
      <c r="AJ80" s="1108">
        <v>14464.89086683912</v>
      </c>
      <c r="AK80" s="1108">
        <v>12461.581953886131</v>
      </c>
      <c r="AL80" s="1108">
        <v>12767.160426873515</v>
      </c>
      <c r="AM80" s="1108">
        <v>12708.698526979924</v>
      </c>
      <c r="AN80" s="1108">
        <v>14665.66414682247</v>
      </c>
      <c r="AO80" s="1108">
        <v>13191.13198324336</v>
      </c>
      <c r="AP80" s="1108">
        <v>14063.593226095029</v>
      </c>
      <c r="AQ80" s="1108">
        <v>13315.048591144683</v>
      </c>
      <c r="AR80" s="1108">
        <v>14157.080145130667</v>
      </c>
      <c r="AS80" s="1108">
        <v>12607.799939460179</v>
      </c>
      <c r="AT80" s="1108">
        <v>13893.604408559391</v>
      </c>
      <c r="AU80" s="1108">
        <v>13509.457259202209</v>
      </c>
      <c r="AV80" s="1108">
        <v>15779.400026676571</v>
      </c>
      <c r="AW80" s="1108">
        <v>13859.480708994093</v>
      </c>
      <c r="AX80" s="1108">
        <v>15312.052472969963</v>
      </c>
      <c r="AY80" s="1108">
        <v>14271.29893501215</v>
      </c>
      <c r="AZ80" s="1108">
        <v>15385.043567751582</v>
      </c>
      <c r="BA80" s="1108">
        <v>13322.321763723652</v>
      </c>
      <c r="BB80" s="1108">
        <v>13085.126904385364</v>
      </c>
      <c r="BC80" s="1108">
        <v>12589.210989995046</v>
      </c>
      <c r="BD80" s="1108">
        <v>14501.666247743053</v>
      </c>
      <c r="BE80" s="1108">
        <v>13113.021556395332</v>
      </c>
      <c r="BF80" s="1108">
        <v>13141.146196121692</v>
      </c>
      <c r="BG80" s="1108">
        <v>12762.315390140653</v>
      </c>
      <c r="BH80" s="1108">
        <v>14770.340044932398</v>
      </c>
      <c r="BI80" s="1108">
        <v>13393.957993821443</v>
      </c>
      <c r="BJ80" s="1108">
        <v>13283.21687251179</v>
      </c>
      <c r="BK80" s="1108">
        <v>12997.848317038035</v>
      </c>
      <c r="BL80" s="1108">
        <v>15032.077160040501</v>
      </c>
      <c r="BM80" s="1108">
        <v>13712.828054947342</v>
      </c>
      <c r="BN80" s="1108">
        <v>13667.063760777301</v>
      </c>
      <c r="BO80" s="1108">
        <v>13600.002021230315</v>
      </c>
      <c r="BP80" s="1108">
        <v>15783.069833892003</v>
      </c>
      <c r="BQ80" s="1108">
        <v>14188.279473114662</v>
      </c>
      <c r="BR80" s="1108">
        <v>14050.896627101187</v>
      </c>
      <c r="BS80" s="1108">
        <v>14177.439067174373</v>
      </c>
      <c r="BT80" s="1108">
        <v>16226.787105445981</v>
      </c>
      <c r="BU80" s="1108">
        <v>11148.575346176709</v>
      </c>
      <c r="BV80" s="1108">
        <v>10719.386383868368</v>
      </c>
      <c r="BW80" s="1108">
        <v>10853.814906218009</v>
      </c>
      <c r="BX80" s="1108">
        <v>11996.690102525148</v>
      </c>
      <c r="BY80" s="1108">
        <v>10962.497653395418</v>
      </c>
      <c r="BZ80" s="1108">
        <v>10489.951620440592</v>
      </c>
      <c r="CA80" s="1108">
        <v>10690.207986195663</v>
      </c>
      <c r="CB80" s="1108">
        <v>11808.384486792398</v>
      </c>
      <c r="CC80" s="1108">
        <v>10809.867009304933</v>
      </c>
      <c r="CD80" s="1108">
        <v>10301.703242951398</v>
      </c>
      <c r="CE80" s="1108">
        <v>10555.567741333751</v>
      </c>
      <c r="CF80" s="1108">
        <v>11650.172593251031</v>
      </c>
    </row>
    <row r="81" spans="4:84" ht="14.45" hidden="1" outlineLevel="1">
      <c r="D81" s="1611"/>
      <c r="E81" s="1619"/>
      <c r="F81" s="1106" t="s">
        <v>1191</v>
      </c>
      <c r="O81" s="1109">
        <v>11.347408640304796</v>
      </c>
      <c r="Q81" s="1109">
        <v>12.407497312444663</v>
      </c>
      <c r="S81" s="1109">
        <v>12.43445857021803</v>
      </c>
      <c r="T81" s="1109">
        <v>10.070164452420164</v>
      </c>
      <c r="U81" s="1109">
        <v>1.5248905261421131</v>
      </c>
      <c r="V81" s="1109">
        <v>-4.324306645595497</v>
      </c>
      <c r="W81" s="1109">
        <v>-7.8058869033771501</v>
      </c>
      <c r="X81" s="1109">
        <v>-12.036030404195095</v>
      </c>
      <c r="Y81" s="1109">
        <v>-10.112769144369951</v>
      </c>
      <c r="Z81" s="1109">
        <v>-8.4200239013381815</v>
      </c>
      <c r="AA81" s="1109">
        <v>-10.782996124976124</v>
      </c>
      <c r="AB81" s="1109">
        <v>0.92198613464319745</v>
      </c>
      <c r="AC81" s="1109">
        <v>-0.26422171990417082</v>
      </c>
      <c r="AD81" s="1109">
        <v>0.3999938119887429</v>
      </c>
      <c r="AE81" s="1109">
        <v>3.7753711785329083</v>
      </c>
      <c r="AF81" s="1109">
        <v>1.8536692043483756</v>
      </c>
      <c r="AG81" s="1109">
        <v>-2.5625712969753178</v>
      </c>
      <c r="AH81" s="1109">
        <v>-1.6869781717885071</v>
      </c>
      <c r="AI81" s="1109">
        <v>1.7869331849425247</v>
      </c>
      <c r="AJ81" s="1109">
        <v>3.7306404638399142</v>
      </c>
      <c r="AK81" s="1109">
        <v>4.4525679421857323</v>
      </c>
      <c r="AL81" s="1109">
        <v>-2.9330152879093587</v>
      </c>
      <c r="AM81" s="1109">
        <v>2.3598168443854974</v>
      </c>
      <c r="AN81" s="1109">
        <v>1.3880041116910504</v>
      </c>
      <c r="AO81" s="1109">
        <v>5.8543933832551662</v>
      </c>
      <c r="AP81" s="1109">
        <v>10.154433373396483</v>
      </c>
      <c r="AQ81" s="1109">
        <v>4.771142087268089</v>
      </c>
      <c r="AR81" s="1109">
        <v>-3.467855233831977</v>
      </c>
      <c r="AS81" s="1109">
        <v>-4.4221530383001628</v>
      </c>
      <c r="AT81" s="1109">
        <v>-1.2087154029755542</v>
      </c>
      <c r="AU81" s="1109">
        <v>1.4600672819686078</v>
      </c>
      <c r="AV81" s="1109">
        <v>11.459424294520936</v>
      </c>
      <c r="AW81" s="1109">
        <v>9.9278286104173894</v>
      </c>
      <c r="AX81" s="1109">
        <v>10.20935980829217</v>
      </c>
      <c r="AY81" s="1109">
        <v>5.63932111551705</v>
      </c>
      <c r="AZ81" s="1109">
        <v>-2.4991853825766004</v>
      </c>
      <c r="BA81" s="1109">
        <v>-3.8757508780386876</v>
      </c>
      <c r="BB81" s="1109">
        <v>-14.543612442001111</v>
      </c>
      <c r="BC81" s="1109">
        <v>-11.786509081457142</v>
      </c>
      <c r="BD81" s="1109">
        <v>-5.7417927750309801</v>
      </c>
      <c r="BE81" s="1109">
        <v>-1.5710490336469711</v>
      </c>
      <c r="BF81" s="1109">
        <v>0.42811424104379958</v>
      </c>
      <c r="BG81" s="1109">
        <v>1.3750218364214957</v>
      </c>
      <c r="BH81" s="1109">
        <v>1.8527098376102817</v>
      </c>
      <c r="BI81" s="1109">
        <v>2.1424233630508769</v>
      </c>
      <c r="BJ81" s="1109">
        <v>1.0811132778663319</v>
      </c>
      <c r="BK81" s="1109">
        <v>1.8455344480778118</v>
      </c>
      <c r="BL81" s="1109">
        <v>1.7720452901685404</v>
      </c>
      <c r="BM81" s="1109">
        <v>2.3807007702502285</v>
      </c>
      <c r="BN81" s="1109">
        <v>2.8897133273479945</v>
      </c>
      <c r="BO81" s="1109">
        <v>4.6327183507977701</v>
      </c>
      <c r="BP81" s="1109">
        <v>4.9959341337593219</v>
      </c>
      <c r="BQ81" s="1109">
        <v>3.4672017782341107</v>
      </c>
      <c r="BR81" s="1109">
        <v>2.8084515667910819</v>
      </c>
      <c r="BS81" s="1109">
        <v>4.2458600009224146</v>
      </c>
      <c r="BT81" s="1109">
        <v>2.8113496057728611</v>
      </c>
      <c r="BU81" s="1109">
        <v>-21.424050271196599</v>
      </c>
      <c r="BV81" s="1109">
        <v>-23.710303560322586</v>
      </c>
      <c r="BW81" s="1109">
        <v>-23.443050223729703</v>
      </c>
      <c r="BX81" s="1109">
        <v>-26.06860480409669</v>
      </c>
      <c r="BY81" s="1109">
        <v>-1.6690714912296369</v>
      </c>
      <c r="BZ81" s="1109">
        <v>-2.1403721744096607</v>
      </c>
      <c r="CA81" s="1109">
        <v>-1.5073678834215072</v>
      </c>
      <c r="CB81" s="1109">
        <v>-1.569646411830828</v>
      </c>
      <c r="CC81" s="1109">
        <v>-1.3922980776484839</v>
      </c>
      <c r="CD81" s="1109">
        <v>-1.7945590628118335</v>
      </c>
      <c r="CE81" s="1109">
        <v>-1.2594726410914903</v>
      </c>
      <c r="CF81" s="1109">
        <v>-1.3398267452954831</v>
      </c>
    </row>
    <row r="82" spans="4:84" ht="14.45" hidden="1" outlineLevel="1" collapsed="1">
      <c r="D82" s="1611"/>
      <c r="E82" s="1619"/>
      <c r="F82" s="1106"/>
    </row>
    <row r="83" spans="4:84" ht="14.45" collapsed="1">
      <c r="D83" s="1610" t="s">
        <v>1210</v>
      </c>
      <c r="E83" s="1612" t="s">
        <v>1095</v>
      </c>
      <c r="F83" s="1107" t="s">
        <v>1190</v>
      </c>
      <c r="G83" s="1108">
        <v>240.7721674876845</v>
      </c>
      <c r="I83" s="1108">
        <v>278.94024917365857</v>
      </c>
      <c r="K83" s="1108">
        <v>349.43322351685015</v>
      </c>
      <c r="M83" s="1108">
        <v>390.34411961722532</v>
      </c>
      <c r="O83" s="1108">
        <v>548.80635155106006</v>
      </c>
      <c r="Q83" s="1108">
        <v>657.85623054426276</v>
      </c>
      <c r="S83" s="1108">
        <v>784.80883734860504</v>
      </c>
      <c r="T83" s="1108">
        <v>1015.0362636046079</v>
      </c>
      <c r="U83" s="1108">
        <v>1245.113208384251</v>
      </c>
      <c r="V83" s="1108">
        <v>1341.5725861396779</v>
      </c>
      <c r="W83" s="1108">
        <v>1604.795574902201</v>
      </c>
      <c r="X83" s="1108">
        <v>1849.8592943985698</v>
      </c>
      <c r="Y83" s="1108">
        <v>2172.4102321880946</v>
      </c>
      <c r="Z83" s="1108">
        <v>2396.7000032885221</v>
      </c>
      <c r="AA83" s="1108">
        <v>2742.8853225962489</v>
      </c>
      <c r="AB83" s="1108">
        <v>3123.0810045477701</v>
      </c>
      <c r="AC83" s="1108">
        <v>3465.6679855103171</v>
      </c>
      <c r="AD83" s="1108">
        <v>3913.8145634300545</v>
      </c>
      <c r="AE83" s="1108">
        <v>5028.6828991630982</v>
      </c>
      <c r="AF83" s="1108">
        <v>5781.7427989278331</v>
      </c>
      <c r="AG83" s="1108">
        <v>6415.9902130690471</v>
      </c>
      <c r="AH83" s="1108">
        <v>6937.9854283840987</v>
      </c>
      <c r="AI83" s="1108">
        <v>7532.7189500586319</v>
      </c>
      <c r="AJ83" s="1108">
        <v>8608.1023724748047</v>
      </c>
      <c r="AK83" s="1108">
        <v>9283.8575242307106</v>
      </c>
      <c r="AL83" s="1108">
        <v>9897.2435993788222</v>
      </c>
      <c r="AM83" s="1108">
        <v>10521.840074740579</v>
      </c>
      <c r="AN83" s="1108">
        <v>11920.747015874498</v>
      </c>
      <c r="AO83" s="1108">
        <v>12439.409090030525</v>
      </c>
      <c r="AP83" s="1108">
        <v>13513.036615045421</v>
      </c>
      <c r="AQ83" s="1108">
        <v>14131.043013964914</v>
      </c>
      <c r="AR83" s="1108">
        <v>15163.502179224624</v>
      </c>
      <c r="AS83" s="1108">
        <v>16141.793181579071</v>
      </c>
      <c r="AT83" s="1108">
        <v>17805.98425692234</v>
      </c>
      <c r="AU83" s="1108">
        <v>18724.422740379468</v>
      </c>
      <c r="AV83" s="1108">
        <v>20879.875183652683</v>
      </c>
      <c r="AW83" s="1108">
        <v>21963.654702773223</v>
      </c>
      <c r="AX83" s="1108">
        <v>23634.381117448316</v>
      </c>
      <c r="AY83" s="1108">
        <v>24618.560474257305</v>
      </c>
      <c r="AZ83" s="1108">
        <v>26519.73988778596</v>
      </c>
      <c r="BA83" s="1108">
        <v>26907.172258684655</v>
      </c>
      <c r="BB83" s="1108">
        <v>28377.04601054954</v>
      </c>
      <c r="BC83" s="1108">
        <v>29095.54900953377</v>
      </c>
      <c r="BD83" s="1108">
        <v>31140.951147654316</v>
      </c>
      <c r="BE83" s="1108">
        <v>31816.06801236438</v>
      </c>
      <c r="BF83" s="1108">
        <v>33576.718967352761</v>
      </c>
      <c r="BG83" s="1108">
        <v>34410.358923225336</v>
      </c>
      <c r="BH83" s="1108">
        <v>36804.476713873213</v>
      </c>
      <c r="BI83" s="1108">
        <v>37799.433924101242</v>
      </c>
      <c r="BJ83" s="1108">
        <v>39949.721788660885</v>
      </c>
      <c r="BK83" s="1108">
        <v>40925.472396825789</v>
      </c>
      <c r="BL83" s="1108">
        <v>43799.684837842149</v>
      </c>
      <c r="BM83" s="1108">
        <v>44808.083233926613</v>
      </c>
      <c r="BN83" s="1108">
        <v>47278.87566388947</v>
      </c>
      <c r="BO83" s="1108">
        <v>48135.79947607861</v>
      </c>
      <c r="BP83" s="1108">
        <v>51445.060668238984</v>
      </c>
      <c r="BQ83" s="1108">
        <v>53519.33205420585</v>
      </c>
      <c r="BR83" s="1108">
        <v>56314.657498299799</v>
      </c>
      <c r="BS83" s="1108">
        <v>57138.545304364619</v>
      </c>
      <c r="BT83" s="1108">
        <v>61279.074891290576</v>
      </c>
      <c r="BU83" s="1108">
        <v>55257.690257439812</v>
      </c>
      <c r="BV83" s="1108">
        <v>58292.233453186527</v>
      </c>
      <c r="BW83" s="1108">
        <v>59738.587292230237</v>
      </c>
      <c r="BX83" s="1108">
        <v>63942.992571362192</v>
      </c>
      <c r="BY83" s="1108">
        <v>60968.213792000031</v>
      </c>
      <c r="BZ83" s="1108">
        <v>64189.613118421839</v>
      </c>
      <c r="CA83" s="1108">
        <v>65902.277068430558</v>
      </c>
      <c r="CB83" s="1108">
        <v>70396.64515636905</v>
      </c>
      <c r="CC83" s="1108">
        <v>66712.002089518923</v>
      </c>
      <c r="CD83" s="1108">
        <v>70169.235707271378</v>
      </c>
      <c r="CE83" s="1108">
        <v>71996.571095146734</v>
      </c>
      <c r="CF83" s="1108">
        <v>76858.293091734275</v>
      </c>
    </row>
    <row r="84" spans="4:84" ht="14.45" hidden="1" outlineLevel="1">
      <c r="D84" s="1611"/>
      <c r="E84" s="1619"/>
      <c r="F84" s="1107" t="s">
        <v>1191</v>
      </c>
      <c r="O84" s="1109">
        <v>127.93596007276527</v>
      </c>
      <c r="Q84" s="1109">
        <v>135.84127156016993</v>
      </c>
      <c r="S84" s="1109">
        <v>124.59479652505352</v>
      </c>
      <c r="T84" s="1109">
        <v>160.03626354099069</v>
      </c>
      <c r="U84" s="1109">
        <v>126.87660317072837</v>
      </c>
      <c r="V84" s="1109">
        <v>103.93096908571613</v>
      </c>
      <c r="W84" s="1109">
        <v>104.48235271201021</v>
      </c>
      <c r="X84" s="1109">
        <v>82.245636015931993</v>
      </c>
      <c r="Y84" s="1109">
        <v>74.474916622816266</v>
      </c>
      <c r="Z84" s="1109">
        <v>78.648552307179415</v>
      </c>
      <c r="AA84" s="1109">
        <v>70.918051214305294</v>
      </c>
      <c r="AB84" s="1109">
        <v>68.828030002311763</v>
      </c>
      <c r="AC84" s="1109">
        <v>59.53101003486011</v>
      </c>
      <c r="AD84" s="1109">
        <v>63.300144284219684</v>
      </c>
      <c r="AE84" s="1109">
        <v>83.33551380132991</v>
      </c>
      <c r="AF84" s="1109">
        <v>85.129453591135515</v>
      </c>
      <c r="AG84" s="1109">
        <v>85.129973208449087</v>
      </c>
      <c r="AH84" s="1109">
        <v>77.269140270755969</v>
      </c>
      <c r="AI84" s="1109">
        <v>49.795067637139532</v>
      </c>
      <c r="AJ84" s="1109">
        <v>48.884214878446201</v>
      </c>
      <c r="AK84" s="1109">
        <v>44.698748220032556</v>
      </c>
      <c r="AL84" s="1109">
        <v>42.652989135550165</v>
      </c>
      <c r="AM84" s="1109">
        <v>39.68183526425981</v>
      </c>
      <c r="AN84" s="1109">
        <v>38.482867652598763</v>
      </c>
      <c r="AO84" s="1109">
        <v>33.989659552226847</v>
      </c>
      <c r="AP84" s="1109">
        <v>36.533333542417161</v>
      </c>
      <c r="AQ84" s="1109">
        <v>34.302012894957642</v>
      </c>
      <c r="AR84" s="1109">
        <v>27.20261707619369</v>
      </c>
      <c r="AS84" s="1109">
        <v>29.763343779052931</v>
      </c>
      <c r="AT84" s="1109">
        <v>31.768933691019154</v>
      </c>
      <c r="AU84" s="1109">
        <v>32.505595813947885</v>
      </c>
      <c r="AV84" s="1109">
        <v>37.698237101584674</v>
      </c>
      <c r="AW84" s="1109">
        <v>36.067006036467063</v>
      </c>
      <c r="AX84" s="1109">
        <v>32.73279801008529</v>
      </c>
      <c r="AY84" s="1109">
        <v>31.478341498705053</v>
      </c>
      <c r="AZ84" s="1109">
        <v>27.01100775041439</v>
      </c>
      <c r="BA84" s="1109">
        <v>22.507718423051166</v>
      </c>
      <c r="BB84" s="1109">
        <v>20.066803820811305</v>
      </c>
      <c r="BC84" s="1109">
        <v>18.185419655052058</v>
      </c>
      <c r="BD84" s="1109">
        <v>17.425552737026354</v>
      </c>
      <c r="BE84" s="1109">
        <v>18.243818809668159</v>
      </c>
      <c r="BF84" s="1109">
        <v>18.323517376932656</v>
      </c>
      <c r="BG84" s="1109">
        <v>18.266745583491335</v>
      </c>
      <c r="BH84" s="1109">
        <v>18.186745611479182</v>
      </c>
      <c r="BI84" s="1109">
        <v>18.806113657450076</v>
      </c>
      <c r="BJ84" s="1109">
        <v>18.98042160553182</v>
      </c>
      <c r="BK84" s="1109">
        <v>18.933581855791296</v>
      </c>
      <c r="BL84" s="1109">
        <v>19.006405602099314</v>
      </c>
      <c r="BM84" s="1109">
        <v>18.541677962422064</v>
      </c>
      <c r="BN84" s="1109">
        <v>18.345944720217933</v>
      </c>
      <c r="BO84" s="1109">
        <v>17.618189007910043</v>
      </c>
      <c r="BP84" s="1109">
        <v>17.455321559280641</v>
      </c>
      <c r="BQ84" s="1109">
        <v>19.441244060365165</v>
      </c>
      <c r="BR84" s="1109">
        <v>19.111668176389511</v>
      </c>
      <c r="BS84" s="1109">
        <v>18.702807320692745</v>
      </c>
      <c r="BT84" s="1109">
        <v>19.115565411555419</v>
      </c>
      <c r="BU84" s="1109">
        <v>3.2480939812053427</v>
      </c>
      <c r="BV84" s="1109">
        <v>3.51165405728772</v>
      </c>
      <c r="BW84" s="1109">
        <v>4.5504168403583938</v>
      </c>
      <c r="BX84" s="1109">
        <v>4.3471897785621287</v>
      </c>
      <c r="BY84" s="1109">
        <v>10.334350762682057</v>
      </c>
      <c r="BZ84" s="1109">
        <v>10.116921785080331</v>
      </c>
      <c r="CA84" s="1109">
        <v>10.317769561654812</v>
      </c>
      <c r="CB84" s="1109">
        <v>10.092822255393189</v>
      </c>
      <c r="CC84" s="1109">
        <v>9.4209555115301153</v>
      </c>
      <c r="CD84" s="1109">
        <v>9.3155610360478107</v>
      </c>
      <c r="CE84" s="1109">
        <v>9.2474711008666368</v>
      </c>
      <c r="CF84" s="1109">
        <v>9.1789145931773355</v>
      </c>
    </row>
    <row r="85" spans="4:84" ht="14.45" hidden="1" outlineLevel="1" collapsed="1">
      <c r="D85" s="1611"/>
      <c r="E85" s="1619"/>
      <c r="F85" s="1107"/>
    </row>
    <row r="86" spans="4:84" ht="14.45" collapsed="1">
      <c r="D86" s="1610" t="s">
        <v>1211</v>
      </c>
      <c r="E86" s="1612" t="s">
        <v>1095</v>
      </c>
      <c r="F86" s="1106" t="s">
        <v>1190</v>
      </c>
      <c r="G86" s="1108">
        <v>992.97333333333336</v>
      </c>
      <c r="I86" s="1108">
        <v>1103.75</v>
      </c>
      <c r="K86" s="1108">
        <v>1080.7748829810166</v>
      </c>
      <c r="M86" s="1108">
        <v>1207.0690721557032</v>
      </c>
      <c r="O86" s="1108">
        <v>1094.7145129728858</v>
      </c>
      <c r="Q86" s="1108">
        <v>1167.7402597402599</v>
      </c>
      <c r="S86" s="1108">
        <v>1182.98398403138</v>
      </c>
      <c r="T86" s="1108">
        <v>1354.4089784261071</v>
      </c>
      <c r="U86" s="1108">
        <v>1243.8738891033411</v>
      </c>
      <c r="V86" s="1108">
        <v>1287.8194444444443</v>
      </c>
      <c r="W86" s="1108">
        <v>1260.2578133265256</v>
      </c>
      <c r="X86" s="1108">
        <v>1353.3751992320799</v>
      </c>
      <c r="Y86" s="1108">
        <v>1353.720421775171</v>
      </c>
      <c r="Z86" s="1108">
        <v>1413.6735454545455</v>
      </c>
      <c r="AA86" s="1108">
        <v>1396.39000153713</v>
      </c>
      <c r="AB86" s="1108">
        <v>1499.0215382961937</v>
      </c>
      <c r="AC86" s="1108">
        <v>1355</v>
      </c>
      <c r="AD86" s="1108">
        <v>1371</v>
      </c>
      <c r="AE86" s="1108">
        <v>1383</v>
      </c>
      <c r="AF86" s="1108">
        <v>1433</v>
      </c>
      <c r="AG86" s="1108">
        <v>1371</v>
      </c>
      <c r="AH86" s="1108">
        <v>1435</v>
      </c>
      <c r="AI86" s="1108">
        <v>1489</v>
      </c>
      <c r="AJ86" s="1108">
        <v>1551</v>
      </c>
      <c r="AK86" s="1108">
        <v>1450</v>
      </c>
      <c r="AL86" s="1108">
        <v>1521</v>
      </c>
      <c r="AM86" s="1108">
        <v>1542</v>
      </c>
      <c r="AN86" s="1108">
        <v>1611</v>
      </c>
      <c r="AO86" s="1108">
        <v>1545</v>
      </c>
      <c r="AP86" s="1108">
        <v>1612</v>
      </c>
      <c r="AQ86" s="1108">
        <v>1633</v>
      </c>
      <c r="AR86" s="1108">
        <v>1619</v>
      </c>
      <c r="AS86" s="1108">
        <v>1637</v>
      </c>
      <c r="AT86" s="1108">
        <v>1695</v>
      </c>
      <c r="AU86" s="1108">
        <v>1803</v>
      </c>
      <c r="AV86" s="1108">
        <v>1808</v>
      </c>
      <c r="AW86" s="1108">
        <v>1791</v>
      </c>
      <c r="AX86" s="1108">
        <v>1823</v>
      </c>
      <c r="AY86" s="1108">
        <v>1891</v>
      </c>
      <c r="AZ86" s="1108">
        <v>1902</v>
      </c>
      <c r="BA86" s="1108">
        <v>1876</v>
      </c>
      <c r="BB86" s="1108">
        <v>1862</v>
      </c>
      <c r="BC86" s="1108">
        <v>1837.108486949486</v>
      </c>
      <c r="BD86" s="1108">
        <v>1896.8788841143371</v>
      </c>
      <c r="BE86" s="1108">
        <v>1895.7288204621605</v>
      </c>
      <c r="BF86" s="1108">
        <v>1890.7761189118862</v>
      </c>
      <c r="BG86" s="1108">
        <v>1880.9301040943417</v>
      </c>
      <c r="BH86" s="1108">
        <v>1945.2797997234843</v>
      </c>
      <c r="BI86" s="1108">
        <v>1945.9332647083918</v>
      </c>
      <c r="BJ86" s="1108">
        <v>1938.8271594167747</v>
      </c>
      <c r="BK86" s="1108">
        <v>1928.3057238018901</v>
      </c>
      <c r="BL86" s="1108">
        <v>2001.8043689257238</v>
      </c>
      <c r="BM86" s="1108">
        <v>2044.9888375314615</v>
      </c>
      <c r="BN86" s="1108">
        <v>2036.0412987648415</v>
      </c>
      <c r="BO86" s="1108">
        <v>2029.3969642570571</v>
      </c>
      <c r="BP86" s="1108">
        <v>2110.9196435989616</v>
      </c>
      <c r="BQ86" s="1108">
        <v>2122.4185556368338</v>
      </c>
      <c r="BR86" s="1108">
        <v>2105.5859734140281</v>
      </c>
      <c r="BS86" s="1108">
        <v>2113.7314142587561</v>
      </c>
      <c r="BT86" s="1108">
        <v>2185.2523415601559</v>
      </c>
      <c r="BU86" s="1108">
        <v>2307.3540845684001</v>
      </c>
      <c r="BV86" s="1108">
        <v>2267.5022978607999</v>
      </c>
      <c r="BW86" s="1108">
        <v>2318.2040141706302</v>
      </c>
      <c r="BX86" s="1108">
        <v>2392.376260191395</v>
      </c>
      <c r="BY86" s="1108">
        <v>2400.9738071629499</v>
      </c>
      <c r="BZ86" s="1108">
        <v>2359.291729490375</v>
      </c>
      <c r="CA86" s="1108">
        <v>2412.8499983165002</v>
      </c>
      <c r="CB86" s="1108">
        <v>2490.607162094575</v>
      </c>
      <c r="CC86" s="1108">
        <v>2498.6220764382201</v>
      </c>
      <c r="CD86" s="1108">
        <v>2455.0230622035251</v>
      </c>
      <c r="CE86" s="1108">
        <v>2511.5903551727852</v>
      </c>
      <c r="CF86" s="1108">
        <v>2593.1079717597249</v>
      </c>
    </row>
    <row r="87" spans="4:84" ht="14.45" hidden="1" outlineLevel="1">
      <c r="D87" s="1611"/>
      <c r="E87" s="1619"/>
      <c r="F87" s="1106" t="s">
        <v>1191</v>
      </c>
      <c r="O87" s="1109">
        <v>10.246113991602908</v>
      </c>
      <c r="Q87" s="1109">
        <v>5.7975320262976169</v>
      </c>
      <c r="S87" s="1109">
        <v>9.4570203897085445</v>
      </c>
      <c r="T87" s="1109">
        <v>12.206418809759551</v>
      </c>
      <c r="U87" s="1109">
        <v>13.625413234486796</v>
      </c>
      <c r="V87" s="1109">
        <v>10.283038860961561</v>
      </c>
      <c r="W87" s="1109">
        <v>6.5321111983115214</v>
      </c>
      <c r="X87" s="1109">
        <v>-7.632695961809495E-2</v>
      </c>
      <c r="Y87" s="1109">
        <v>8.8310023736420629</v>
      </c>
      <c r="Z87" s="1109">
        <v>9.7726510927464467</v>
      </c>
      <c r="AA87" s="1109">
        <v>10.801931697711552</v>
      </c>
      <c r="AB87" s="1109">
        <v>10.761711840645164</v>
      </c>
      <c r="AC87" s="1109">
        <v>9.4523079082392186E-2</v>
      </c>
      <c r="AD87" s="1109">
        <v>-3.0186279987876907</v>
      </c>
      <c r="AE87" s="1109">
        <v>-0.95890127560283922</v>
      </c>
      <c r="AF87" s="1109">
        <v>-4.4043088514414963</v>
      </c>
      <c r="AG87" s="1109">
        <v>1.1808118081180812</v>
      </c>
      <c r="AH87" s="1109">
        <v>4.6681254558716265</v>
      </c>
      <c r="AI87" s="1109">
        <v>7.664497469269703</v>
      </c>
      <c r="AJ87" s="1109">
        <v>8.2344731332868104</v>
      </c>
      <c r="AK87" s="1109">
        <v>5.7622173595915394</v>
      </c>
      <c r="AL87" s="1109">
        <v>5.9930313588850179</v>
      </c>
      <c r="AM87" s="1109">
        <v>3.5594358629952985</v>
      </c>
      <c r="AN87" s="1109">
        <v>3.8684719535783367</v>
      </c>
      <c r="AO87" s="1109">
        <v>6.5517241379310347</v>
      </c>
      <c r="AP87" s="1109">
        <v>5.982905982905983</v>
      </c>
      <c r="AQ87" s="1109">
        <v>5.9014267185473406</v>
      </c>
      <c r="AR87" s="1109">
        <v>0.49658597144630662</v>
      </c>
      <c r="AS87" s="1109">
        <v>5.9546925566343045</v>
      </c>
      <c r="AT87" s="1109">
        <v>5.1488833746898264</v>
      </c>
      <c r="AU87" s="1109">
        <v>10.41028781383956</v>
      </c>
      <c r="AV87" s="1109">
        <v>11.673872760963558</v>
      </c>
      <c r="AW87" s="1109">
        <v>9.4074526572999382</v>
      </c>
      <c r="AX87" s="1109">
        <v>7.5516224188790559</v>
      </c>
      <c r="AY87" s="1109">
        <v>4.8807542983915697</v>
      </c>
      <c r="AZ87" s="1109">
        <v>5.1991150442477876</v>
      </c>
      <c r="BA87" s="1109">
        <v>4.7459519821328868</v>
      </c>
      <c r="BB87" s="1109">
        <v>2.1393307734503564</v>
      </c>
      <c r="BC87" s="1109">
        <v>-2.8498949259922819</v>
      </c>
      <c r="BD87" s="1109">
        <v>-0.26924899504011057</v>
      </c>
      <c r="BE87" s="1109">
        <v>1.0516428817782759</v>
      </c>
      <c r="BF87" s="1109">
        <v>1.5454414023569396</v>
      </c>
      <c r="BG87" s="1109">
        <v>2.3853581569165478</v>
      </c>
      <c r="BH87" s="1109">
        <v>2.5516081187094795</v>
      </c>
      <c r="BI87" s="1109">
        <v>2.6482925038820673</v>
      </c>
      <c r="BJ87" s="1109">
        <v>2.5413395073204752</v>
      </c>
      <c r="BK87" s="1109">
        <v>2.5187336629055381</v>
      </c>
      <c r="BL87" s="1109">
        <v>2.9057295104937753</v>
      </c>
      <c r="BM87" s="1109">
        <v>5.0903889984075956</v>
      </c>
      <c r="BN87" s="1109">
        <v>5.0140694014885812</v>
      </c>
      <c r="BO87" s="1109">
        <v>5.2424902963962241</v>
      </c>
      <c r="BP87" s="1109">
        <v>5.4508460650325645</v>
      </c>
      <c r="BQ87" s="1109">
        <v>3.7863149511778742</v>
      </c>
      <c r="BR87" s="1109">
        <v>3.4156809437694462</v>
      </c>
      <c r="BS87" s="1109">
        <v>4.1556408867780599</v>
      </c>
      <c r="BT87" s="1109">
        <v>3.5213419035914866</v>
      </c>
      <c r="BU87" s="1109">
        <v>8.7134334761823737</v>
      </c>
      <c r="BV87" s="1109">
        <v>7.6898462704060613</v>
      </c>
      <c r="BW87" s="1109">
        <v>9.6735374481614826</v>
      </c>
      <c r="BX87" s="1109">
        <v>9.4782609171517223</v>
      </c>
      <c r="BY87" s="1109">
        <v>4.057449319143478</v>
      </c>
      <c r="BZ87" s="1109">
        <v>4.0480413941000553</v>
      </c>
      <c r="CA87" s="1109">
        <v>4.0827288524789704</v>
      </c>
      <c r="CB87" s="1109">
        <v>4.1059971852137211</v>
      </c>
      <c r="CC87" s="1109">
        <v>4.0670276778510051</v>
      </c>
      <c r="CD87" s="1109">
        <v>4.0576301572433682</v>
      </c>
      <c r="CE87" s="1109">
        <v>4.0922708384349766</v>
      </c>
      <c r="CF87" s="1109">
        <v>4.1154948570431253</v>
      </c>
    </row>
    <row r="88" spans="4:84" ht="14.45" hidden="1" outlineLevel="1" collapsed="1">
      <c r="D88" s="1611"/>
      <c r="E88" s="1619"/>
      <c r="F88" s="1106"/>
    </row>
    <row r="89" spans="4:84" ht="14.45" collapsed="1">
      <c r="D89" s="1105" t="s">
        <v>401</v>
      </c>
      <c r="F89" s="1107" t="s">
        <v>1188</v>
      </c>
    </row>
    <row r="90" spans="4:84" ht="14.45">
      <c r="D90" s="1105" t="s">
        <v>1212</v>
      </c>
      <c r="F90" s="1107" t="s">
        <v>1188</v>
      </c>
    </row>
    <row r="91" spans="4:84" ht="14.45">
      <c r="D91" s="1613" t="s">
        <v>1213</v>
      </c>
      <c r="E91" s="1612" t="s">
        <v>1095</v>
      </c>
      <c r="F91" s="1106" t="s">
        <v>1190</v>
      </c>
      <c r="AB91" s="1108">
        <v>13450</v>
      </c>
      <c r="AC91" s="1108">
        <v>11215</v>
      </c>
      <c r="AD91" s="1108">
        <v>14115</v>
      </c>
      <c r="AE91" s="1108">
        <v>12298</v>
      </c>
      <c r="AF91" s="1108">
        <v>13450</v>
      </c>
      <c r="AG91" s="1108">
        <v>12527</v>
      </c>
      <c r="AH91" s="1108">
        <v>15110</v>
      </c>
      <c r="AI91" s="1108">
        <v>13457</v>
      </c>
      <c r="AJ91" s="1108">
        <v>14832</v>
      </c>
      <c r="AK91" s="1108">
        <v>14740</v>
      </c>
      <c r="AL91" s="1108">
        <v>16787</v>
      </c>
      <c r="AM91" s="1108">
        <v>15372</v>
      </c>
      <c r="AN91" s="1108">
        <v>17300</v>
      </c>
      <c r="AO91" s="1108">
        <v>17270</v>
      </c>
      <c r="AP91" s="1108">
        <v>19149</v>
      </c>
      <c r="AQ91" s="1108">
        <v>17428</v>
      </c>
      <c r="AR91" s="1108">
        <v>19313</v>
      </c>
      <c r="AS91" s="1108">
        <v>19025</v>
      </c>
      <c r="AT91" s="1108">
        <v>21836</v>
      </c>
      <c r="AU91" s="1108">
        <v>20373</v>
      </c>
      <c r="AV91" s="1108">
        <v>22719</v>
      </c>
      <c r="AW91" s="1108">
        <v>22830</v>
      </c>
      <c r="AX91" s="1108">
        <v>26463</v>
      </c>
      <c r="AY91" s="1108">
        <v>24771</v>
      </c>
      <c r="AZ91" s="1108">
        <v>26154</v>
      </c>
      <c r="BA91" s="1108">
        <v>25867</v>
      </c>
      <c r="BB91" s="1108">
        <v>26976</v>
      </c>
      <c r="BC91" s="1108">
        <v>26025.739134091265</v>
      </c>
      <c r="BD91" s="1108">
        <v>28865.90079336915</v>
      </c>
      <c r="BE91" s="1108">
        <v>28935.2826075419</v>
      </c>
      <c r="BF91" s="1108">
        <v>33491.572800000002</v>
      </c>
      <c r="BG91" s="1108">
        <v>29781.746828149098</v>
      </c>
      <c r="BH91" s="1108">
        <v>32425.851527606799</v>
      </c>
      <c r="BI91" s="1108">
        <v>31312.652496195798</v>
      </c>
      <c r="BK91" s="1108">
        <v>31613.840959274901</v>
      </c>
      <c r="BL91" s="1108">
        <v>34377.639147926602</v>
      </c>
      <c r="BM91" s="1108">
        <v>34328.770081007497</v>
      </c>
      <c r="BO91" s="1108">
        <v>34371.357438406201</v>
      </c>
      <c r="BP91" s="1108">
        <v>37099.678572996199</v>
      </c>
    </row>
    <row r="92" spans="4:84" ht="14.45" hidden="1" outlineLevel="1">
      <c r="D92" s="1611"/>
      <c r="E92" s="1619"/>
      <c r="F92" s="1106" t="s">
        <v>1191</v>
      </c>
      <c r="AF92" s="1109">
        <v>0</v>
      </c>
      <c r="AG92" s="1109">
        <v>11.698617922425324</v>
      </c>
      <c r="AH92" s="1109">
        <v>7.0492383988664544</v>
      </c>
      <c r="AI92" s="1109">
        <v>9.42429663359896</v>
      </c>
      <c r="AJ92" s="1109">
        <v>10.275092936802974</v>
      </c>
      <c r="AK92" s="1109">
        <v>17.665841781751418</v>
      </c>
      <c r="AL92" s="1109">
        <v>11.098610191925877</v>
      </c>
      <c r="AM92" s="1109">
        <v>14.230512001188972</v>
      </c>
      <c r="AN92" s="1109">
        <v>16.639697950377563</v>
      </c>
      <c r="AO92" s="1109">
        <v>17.164179104477611</v>
      </c>
      <c r="AP92" s="1109">
        <v>14.070411628045512</v>
      </c>
      <c r="AQ92" s="1109">
        <v>13.374967473328129</v>
      </c>
      <c r="AR92" s="1109">
        <v>11.635838150289016</v>
      </c>
      <c r="AS92" s="1109">
        <v>10.162130862767805</v>
      </c>
      <c r="AT92" s="1109">
        <v>14.032064337563318</v>
      </c>
      <c r="AU92" s="1109">
        <v>16.898095019508837</v>
      </c>
      <c r="AV92" s="1109">
        <v>17.635789364676643</v>
      </c>
      <c r="AW92" s="1109">
        <v>20</v>
      </c>
      <c r="AX92" s="1109">
        <v>21.189778347682726</v>
      </c>
      <c r="AY92" s="1109">
        <v>21.587395081725813</v>
      </c>
      <c r="AZ92" s="1109">
        <v>15.119503499273733</v>
      </c>
      <c r="BA92" s="1109">
        <v>13.302671922908454</v>
      </c>
      <c r="BB92" s="1109">
        <v>1.9385557193062013</v>
      </c>
      <c r="BC92" s="1109">
        <v>5.0653551899045874</v>
      </c>
      <c r="BD92" s="1109">
        <v>10.368971451285272</v>
      </c>
      <c r="BE92" s="1109">
        <v>11.861764439408899</v>
      </c>
      <c r="BF92" s="1109">
        <v>24.153220640569401</v>
      </c>
      <c r="BG92" s="1109">
        <v>14.431896341947947</v>
      </c>
      <c r="BH92" s="1109">
        <v>12.332720048201001</v>
      </c>
      <c r="BI92" s="1109">
        <v>8.2161626720529899</v>
      </c>
      <c r="BK92" s="1109">
        <v>6.1517349593279906</v>
      </c>
      <c r="BL92" s="1109">
        <v>6.0192331993443116</v>
      </c>
      <c r="BM92" s="1109">
        <v>9.6322647376428066</v>
      </c>
      <c r="BO92" s="1109">
        <v>8.7224974740764516</v>
      </c>
      <c r="BP92" s="1109">
        <v>7.9180522355147529</v>
      </c>
    </row>
    <row r="93" spans="4:84" ht="14.45" hidden="1" outlineLevel="1" collapsed="1">
      <c r="D93" s="1611"/>
      <c r="E93" s="1619"/>
      <c r="F93" s="1106"/>
    </row>
    <row r="94" spans="4:84" ht="14.45" collapsed="1">
      <c r="D94" s="1613" t="s">
        <v>1214</v>
      </c>
      <c r="E94" s="1612" t="s">
        <v>1095</v>
      </c>
      <c r="F94" s="1107" t="s">
        <v>1190</v>
      </c>
      <c r="AB94" s="1108">
        <v>12155</v>
      </c>
      <c r="AC94" s="1108">
        <v>10713</v>
      </c>
      <c r="AD94" s="1108">
        <v>11711</v>
      </c>
      <c r="AE94" s="1108">
        <v>10914</v>
      </c>
      <c r="AF94" s="1108">
        <v>12155</v>
      </c>
      <c r="AG94" s="1108">
        <v>12011</v>
      </c>
      <c r="AH94" s="1108">
        <v>13808</v>
      </c>
      <c r="AI94" s="1108">
        <v>13362</v>
      </c>
      <c r="AJ94" s="1108">
        <v>15253</v>
      </c>
      <c r="AK94" s="1108">
        <v>14344</v>
      </c>
      <c r="AL94" s="1108">
        <v>15684</v>
      </c>
      <c r="AM94" s="1108">
        <v>15199</v>
      </c>
      <c r="AN94" s="1108">
        <v>16417</v>
      </c>
      <c r="AO94" s="1108">
        <v>15785</v>
      </c>
      <c r="AP94" s="1108">
        <v>17757</v>
      </c>
      <c r="AQ94" s="1108">
        <v>17593</v>
      </c>
      <c r="AR94" s="1108">
        <v>18720</v>
      </c>
      <c r="AS94" s="1108">
        <v>18129</v>
      </c>
      <c r="AT94" s="1108">
        <v>21240</v>
      </c>
      <c r="AU94" s="1108">
        <v>21333</v>
      </c>
      <c r="AV94" s="1108">
        <v>23433</v>
      </c>
      <c r="AW94" s="1108">
        <v>22487</v>
      </c>
      <c r="AX94" s="1108">
        <v>25265</v>
      </c>
      <c r="AY94" s="1108">
        <v>24589</v>
      </c>
      <c r="AZ94" s="1108">
        <v>25711</v>
      </c>
      <c r="BA94" s="1108">
        <v>24255</v>
      </c>
      <c r="BB94" s="1108">
        <v>25771</v>
      </c>
      <c r="BC94" s="1108">
        <v>24533.515358745732</v>
      </c>
      <c r="BD94" s="1108">
        <v>26833.831544885601</v>
      </c>
      <c r="BE94" s="1108">
        <v>26160.020420410201</v>
      </c>
      <c r="BF94" s="1108">
        <v>41887.234962492148</v>
      </c>
      <c r="BG94" s="1108">
        <v>27579.662863539601</v>
      </c>
      <c r="BH94" s="1108">
        <v>29681.4892662438</v>
      </c>
      <c r="BI94" s="1108">
        <v>29361.286051541701</v>
      </c>
      <c r="BJ94" s="1108">
        <v>64056.789985359501</v>
      </c>
      <c r="BK94" s="1108">
        <v>31381.5645451378</v>
      </c>
      <c r="BL94" s="1108">
        <v>33795.346032436399</v>
      </c>
      <c r="BM94" s="1108">
        <v>32189.442854402801</v>
      </c>
      <c r="BN94" s="1108">
        <v>69857.501958028195</v>
      </c>
      <c r="BO94" s="1108">
        <v>34118.820719913201</v>
      </c>
      <c r="BP94" s="1108">
        <v>36471.2791844577</v>
      </c>
    </row>
    <row r="95" spans="4:84" ht="14.45" hidden="1" outlineLevel="1">
      <c r="D95" s="1611"/>
      <c r="E95" s="1619"/>
      <c r="F95" s="1107" t="s">
        <v>1191</v>
      </c>
      <c r="AF95" s="1109">
        <v>0</v>
      </c>
      <c r="AG95" s="1109">
        <v>12.116120601138803</v>
      </c>
      <c r="AH95" s="1109">
        <v>17.906241994705834</v>
      </c>
      <c r="AI95" s="1109">
        <v>22.429906542056074</v>
      </c>
      <c r="AJ95" s="1109">
        <v>25.487453722747837</v>
      </c>
      <c r="AK95" s="1109">
        <v>19.42386146032803</v>
      </c>
      <c r="AL95" s="1109">
        <v>13.586326767091542</v>
      </c>
      <c r="AM95" s="1109">
        <v>13.747941924861548</v>
      </c>
      <c r="AN95" s="1109">
        <v>7.6312856487248411</v>
      </c>
      <c r="AO95" s="1109">
        <v>10.04601226993865</v>
      </c>
      <c r="AP95" s="1109">
        <v>13.217291507268552</v>
      </c>
      <c r="AQ95" s="1109">
        <v>15.751036252385026</v>
      </c>
      <c r="AR95" s="1109">
        <v>14.028141560577451</v>
      </c>
      <c r="AS95" s="1109">
        <v>14.84954070319924</v>
      </c>
      <c r="AT95" s="1109">
        <v>19.614799797263053</v>
      </c>
      <c r="AU95" s="1109">
        <v>21.258455067356337</v>
      </c>
      <c r="AV95" s="1109">
        <v>25.176282051282051</v>
      </c>
      <c r="AW95" s="1109">
        <v>24.038832809311046</v>
      </c>
      <c r="AX95" s="1109">
        <v>18.950094161958571</v>
      </c>
      <c r="AY95" s="1109">
        <v>15.262738480288753</v>
      </c>
      <c r="AZ95" s="1109">
        <v>9.7213331626338917</v>
      </c>
      <c r="BA95" s="1109">
        <v>7.862320451816605</v>
      </c>
      <c r="BB95" s="1109">
        <v>2.0027706313081337</v>
      </c>
      <c r="BC95" s="1109">
        <v>-0.22564822178318902</v>
      </c>
      <c r="BD95" s="1109">
        <v>4.367125140545296</v>
      </c>
      <c r="BE95" s="1109">
        <v>7.8541349017118165</v>
      </c>
      <c r="BF95" s="1109">
        <v>62.536319748912142</v>
      </c>
      <c r="BG95" s="1109">
        <v>12.416269989241373</v>
      </c>
      <c r="BH95" s="1109">
        <v>10.612191988292288</v>
      </c>
      <c r="BI95" s="1109">
        <v>12.23724438928134</v>
      </c>
      <c r="BJ95" s="1109">
        <v>52.926756905102579</v>
      </c>
      <c r="BK95" s="1109">
        <v>13.785163728829787</v>
      </c>
      <c r="BL95" s="1109">
        <v>13.860007930502366</v>
      </c>
      <c r="BM95" s="1109">
        <v>9.6322647376428492</v>
      </c>
      <c r="BN95" s="1109">
        <v>9.0555770496687025</v>
      </c>
      <c r="BO95" s="1109">
        <v>8.7224974740767216</v>
      </c>
      <c r="BP95" s="1109">
        <v>7.9180522355148275</v>
      </c>
    </row>
    <row r="96" spans="4:84" ht="14.45" hidden="1" outlineLevel="1" collapsed="1">
      <c r="D96" s="1611"/>
      <c r="E96" s="1619"/>
      <c r="F96" s="1107"/>
    </row>
    <row r="97" spans="4:84" ht="14.45" collapsed="1">
      <c r="D97" s="1610" t="s">
        <v>523</v>
      </c>
      <c r="E97" s="1612" t="s">
        <v>1095</v>
      </c>
      <c r="F97" s="1106" t="s">
        <v>1190</v>
      </c>
      <c r="G97" s="1108">
        <v>16008</v>
      </c>
      <c r="I97" s="1108">
        <v>21456</v>
      </c>
      <c r="K97" s="1108">
        <v>20489</v>
      </c>
      <c r="M97" s="1108">
        <v>19896</v>
      </c>
      <c r="O97" s="1108">
        <v>18529</v>
      </c>
      <c r="Q97" s="1108">
        <v>24519</v>
      </c>
      <c r="S97" s="1108">
        <v>20403</v>
      </c>
      <c r="T97" s="1108">
        <v>23382</v>
      </c>
      <c r="U97" s="1108">
        <v>23201</v>
      </c>
      <c r="V97" s="1108">
        <v>26470</v>
      </c>
      <c r="W97" s="1108">
        <v>21729</v>
      </c>
      <c r="X97" s="1108">
        <v>22180</v>
      </c>
      <c r="Y97" s="1108">
        <v>20910</v>
      </c>
      <c r="Z97" s="1108">
        <v>25253</v>
      </c>
      <c r="AA97" s="1108">
        <v>21517</v>
      </c>
      <c r="AB97" s="1108">
        <v>23474</v>
      </c>
      <c r="AC97" s="1108">
        <v>21928</v>
      </c>
      <c r="AD97" s="1108">
        <v>25826</v>
      </c>
      <c r="AE97" s="1108">
        <v>23212</v>
      </c>
      <c r="AF97" s="1108">
        <v>25604.999999999989</v>
      </c>
      <c r="AG97" s="1108">
        <v>24538</v>
      </c>
      <c r="AH97" s="1108">
        <v>28918</v>
      </c>
      <c r="AI97" s="1108">
        <v>26819</v>
      </c>
      <c r="AJ97" s="1108">
        <v>30085</v>
      </c>
      <c r="AK97" s="1108">
        <v>29084</v>
      </c>
      <c r="AL97" s="1108">
        <v>32471</v>
      </c>
      <c r="AM97" s="1108">
        <v>30571</v>
      </c>
      <c r="AN97" s="1108">
        <v>33717</v>
      </c>
      <c r="AO97" s="1108">
        <v>33055</v>
      </c>
      <c r="AP97" s="1108">
        <v>36906</v>
      </c>
      <c r="AQ97" s="1108">
        <v>35021</v>
      </c>
      <c r="AR97" s="1108">
        <v>38033</v>
      </c>
      <c r="AS97" s="1108">
        <v>37154</v>
      </c>
      <c r="AT97" s="1108">
        <v>43076</v>
      </c>
      <c r="AU97" s="1108">
        <v>41706</v>
      </c>
      <c r="AV97" s="1108">
        <v>46152</v>
      </c>
      <c r="AW97" s="1108">
        <v>45317</v>
      </c>
      <c r="AX97" s="1108">
        <v>51728</v>
      </c>
      <c r="AY97" s="1108">
        <v>49360</v>
      </c>
      <c r="AZ97" s="1108">
        <v>51865</v>
      </c>
      <c r="BA97" s="1108">
        <v>50122</v>
      </c>
      <c r="BB97" s="1108">
        <v>52747</v>
      </c>
      <c r="BC97" s="1108">
        <v>51069.394719016753</v>
      </c>
      <c r="BD97" s="1108">
        <v>55182.846858397024</v>
      </c>
      <c r="BE97" s="1108">
        <v>54914.211366179072</v>
      </c>
      <c r="BF97" s="1108">
        <v>58389.644867760551</v>
      </c>
      <c r="BG97" s="1108">
        <v>57107.983432296263</v>
      </c>
      <c r="BH97" s="1108">
        <v>61383.18781743951</v>
      </c>
      <c r="BI97" s="1108">
        <v>61470.657884956941</v>
      </c>
      <c r="BJ97" s="1108">
        <v>65290.926705492187</v>
      </c>
      <c r="BK97" s="1108">
        <v>64217.921622161892</v>
      </c>
      <c r="BL97" s="1108">
        <v>69005.19666134617</v>
      </c>
      <c r="BM97" s="1108">
        <v>69942.607534429859</v>
      </c>
      <c r="BN97" s="1108">
        <v>74134.489517524446</v>
      </c>
      <c r="BO97" s="1108">
        <v>72956.641054148087</v>
      </c>
      <c r="BP97" s="1108">
        <v>78804.671061153829</v>
      </c>
      <c r="BQ97" s="1108">
        <v>79408.411434654758</v>
      </c>
      <c r="BR97" s="1108">
        <v>83605.885825577338</v>
      </c>
      <c r="BS97" s="1108">
        <v>82667.954110680439</v>
      </c>
      <c r="BT97" s="1108">
        <v>89717.561964412642</v>
      </c>
      <c r="BU97" s="1108">
        <v>84508.363704704199</v>
      </c>
      <c r="BV97" s="1108">
        <v>89052.51730491755</v>
      </c>
      <c r="BW97" s="1108">
        <v>88483.957017623747</v>
      </c>
      <c r="BX97" s="1108">
        <v>96053.205125708948</v>
      </c>
      <c r="BY97" s="1108">
        <v>91616.789643071796</v>
      </c>
      <c r="BZ97" s="1108">
        <v>96528.969909626598</v>
      </c>
      <c r="CA97" s="1108">
        <v>96112.008647347844</v>
      </c>
      <c r="CB97" s="1108">
        <v>104233.8621840526</v>
      </c>
      <c r="CC97" s="1108">
        <v>98275.882996644854</v>
      </c>
      <c r="CD97" s="1108">
        <v>103585.39232840795</v>
      </c>
      <c r="CE97" s="1108">
        <v>103198.9842263348</v>
      </c>
      <c r="CF97" s="1108">
        <v>111854.027921268</v>
      </c>
    </row>
    <row r="98" spans="4:84" ht="14.45" hidden="1" outlineLevel="1">
      <c r="D98" s="1611"/>
      <c r="E98" s="1619"/>
      <c r="F98" s="1106" t="s">
        <v>1191</v>
      </c>
      <c r="O98" s="1109">
        <v>15.748375812093954</v>
      </c>
      <c r="Q98" s="1109">
        <v>14.27572706935123</v>
      </c>
      <c r="S98" s="1109">
        <v>-0.41973742007906684</v>
      </c>
      <c r="T98" s="1109">
        <v>17.521109770808202</v>
      </c>
      <c r="U98" s="1109">
        <v>25.214528576825519</v>
      </c>
      <c r="V98" s="1109">
        <v>7.9570944981442961</v>
      </c>
      <c r="W98" s="1109">
        <v>6.4990442581973245</v>
      </c>
      <c r="X98" s="1109">
        <v>-5.1407065263878202</v>
      </c>
      <c r="Y98" s="1109">
        <v>-9.8745743717943188</v>
      </c>
      <c r="Z98" s="1109">
        <v>-4.5976577257272382</v>
      </c>
      <c r="AA98" s="1109">
        <v>-0.9756546550692623</v>
      </c>
      <c r="AB98" s="1109">
        <v>5.8340847610459869</v>
      </c>
      <c r="AC98" s="1109">
        <v>4.8684839789574363</v>
      </c>
      <c r="AD98" s="1109">
        <v>2.2690373420979686</v>
      </c>
      <c r="AE98" s="1109">
        <v>7.8774922154575444</v>
      </c>
      <c r="AF98" s="1109">
        <v>9.0781289937803056</v>
      </c>
      <c r="AG98" s="1109">
        <v>11.902590295512587</v>
      </c>
      <c r="AH98" s="1109">
        <v>11.972430883605668</v>
      </c>
      <c r="AI98" s="1109">
        <v>15.539376184732035</v>
      </c>
      <c r="AJ98" s="1109">
        <v>17.496582698691711</v>
      </c>
      <c r="AK98" s="1109">
        <v>18.526367267095935</v>
      </c>
      <c r="AL98" s="1109">
        <v>12.28646517739816</v>
      </c>
      <c r="AM98" s="1109">
        <v>13.990081658525671</v>
      </c>
      <c r="AN98" s="1109">
        <v>12.072461359481469</v>
      </c>
      <c r="AO98" s="1109">
        <v>13.653555219364598</v>
      </c>
      <c r="AP98" s="1109">
        <v>13.65834128915032</v>
      </c>
      <c r="AQ98" s="1109">
        <v>14.556278826338687</v>
      </c>
      <c r="AR98" s="1109">
        <v>12.800664353293593</v>
      </c>
      <c r="AS98" s="1109">
        <v>12.400544546967177</v>
      </c>
      <c r="AT98" s="1109">
        <v>16.718148810491517</v>
      </c>
      <c r="AU98" s="1109">
        <v>19.088546871876876</v>
      </c>
      <c r="AV98" s="1109">
        <v>21.347251071437963</v>
      </c>
      <c r="AW98" s="1109">
        <v>21.970716477364483</v>
      </c>
      <c r="AX98" s="1109">
        <v>20.085430402080046</v>
      </c>
      <c r="AY98" s="1109">
        <v>18.352275451973338</v>
      </c>
      <c r="AZ98" s="1109">
        <v>12.378661813139193</v>
      </c>
      <c r="BA98" s="1109">
        <v>10.603084935013349</v>
      </c>
      <c r="BB98" s="1109">
        <v>1.9699195793380759</v>
      </c>
      <c r="BC98" s="1109">
        <v>3.4631173399853181</v>
      </c>
      <c r="BD98" s="1109">
        <v>6.3970825381220937</v>
      </c>
      <c r="BE98" s="1109">
        <v>9.5610936638184256</v>
      </c>
      <c r="BF98" s="1109">
        <v>10.697565487630674</v>
      </c>
      <c r="BG98" s="1109">
        <v>11.824280954383266</v>
      </c>
      <c r="BH98" s="1109">
        <v>11.235993269707498</v>
      </c>
      <c r="BI98" s="1109">
        <v>11.93943490339533</v>
      </c>
      <c r="BJ98" s="1109">
        <v>11.819359157538107</v>
      </c>
      <c r="BK98" s="1109">
        <v>12.449989935811228</v>
      </c>
      <c r="BL98" s="1109">
        <v>12.417095160608749</v>
      </c>
      <c r="BM98" s="1109">
        <v>13.782103431084586</v>
      </c>
      <c r="BN98" s="1109">
        <v>13.544857238622024</v>
      </c>
      <c r="BO98" s="1109">
        <v>13.60791382100791</v>
      </c>
      <c r="BP98" s="1109">
        <v>14.20106727309266</v>
      </c>
      <c r="BQ98" s="1109">
        <v>13.533673155615872</v>
      </c>
      <c r="BR98" s="1109">
        <v>12.775964830531375</v>
      </c>
      <c r="BS98" s="1109">
        <v>13.311074792114757</v>
      </c>
      <c r="BT98" s="1109">
        <v>13.848025448631358</v>
      </c>
      <c r="BU98" s="1109">
        <v>6.4224333139395391</v>
      </c>
      <c r="BV98" s="1109">
        <v>6.5146507635876736</v>
      </c>
      <c r="BW98" s="1109">
        <v>7.0353778190234637</v>
      </c>
      <c r="BX98" s="1109">
        <v>7.0617647454680075</v>
      </c>
      <c r="BY98" s="1109">
        <v>8.4115058282354394</v>
      </c>
      <c r="BZ98" s="1109">
        <v>8.3955544783866447</v>
      </c>
      <c r="CA98" s="1109">
        <v>8.6208301333142057</v>
      </c>
      <c r="CB98" s="1109">
        <v>8.5167975890416976</v>
      </c>
      <c r="CC98" s="1109">
        <v>7.2684203184984986</v>
      </c>
      <c r="CD98" s="1109">
        <v>7.3101602818177724</v>
      </c>
      <c r="CE98" s="1109">
        <v>7.3736629571340391</v>
      </c>
      <c r="CF98" s="1109">
        <v>7.3106431801979772</v>
      </c>
    </row>
    <row r="99" spans="4:84" ht="14.45" hidden="1" outlineLevel="1" collapsed="1">
      <c r="D99" s="1611"/>
      <c r="E99" s="1619"/>
      <c r="F99" s="1106"/>
    </row>
    <row r="100" spans="4:84" ht="14.45" collapsed="1">
      <c r="D100" s="1105" t="s">
        <v>401</v>
      </c>
      <c r="F100" s="1107" t="s">
        <v>1188</v>
      </c>
    </row>
    <row r="101" spans="4:84" ht="14.45">
      <c r="D101" s="1105" t="s">
        <v>1215</v>
      </c>
      <c r="F101" s="1107" t="s">
        <v>1188</v>
      </c>
    </row>
    <row r="102" spans="4:84" ht="14.45">
      <c r="D102" s="1610" t="s">
        <v>1216</v>
      </c>
      <c r="E102" s="1612" t="s">
        <v>1114</v>
      </c>
      <c r="F102" s="1106" t="s">
        <v>1190</v>
      </c>
      <c r="M102" s="1108">
        <v>58000</v>
      </c>
      <c r="T102" s="1108">
        <v>62000</v>
      </c>
      <c r="X102" s="1108">
        <v>60000</v>
      </c>
      <c r="AA102" s="1108">
        <v>62437</v>
      </c>
      <c r="AB102" s="1108">
        <v>63000</v>
      </c>
      <c r="AC102" s="1108">
        <v>64336</v>
      </c>
      <c r="AD102" s="1108">
        <v>71361</v>
      </c>
      <c r="AE102" s="1108">
        <v>71594</v>
      </c>
      <c r="AF102" s="1108">
        <v>73000</v>
      </c>
      <c r="AG102" s="1108">
        <v>74191</v>
      </c>
      <c r="AH102" s="1108">
        <v>74530</v>
      </c>
      <c r="AI102" s="1108">
        <v>75910</v>
      </c>
      <c r="AJ102" s="1108">
        <v>78000</v>
      </c>
      <c r="AK102" s="1108">
        <v>74191</v>
      </c>
      <c r="AL102" s="1108">
        <v>74530</v>
      </c>
      <c r="AM102" s="1108">
        <v>75910</v>
      </c>
      <c r="AN102" s="1108">
        <v>85000</v>
      </c>
      <c r="AR102" s="1108">
        <v>96000</v>
      </c>
      <c r="AU102" s="1108">
        <v>101277</v>
      </c>
      <c r="AV102" s="1108">
        <v>103000</v>
      </c>
      <c r="AZ102" s="1108">
        <v>122000</v>
      </c>
      <c r="BD102" s="1108">
        <v>77829</v>
      </c>
    </row>
    <row r="103" spans="4:84" ht="14.45" hidden="1" outlineLevel="1">
      <c r="D103" s="1611"/>
      <c r="E103" s="1619"/>
      <c r="F103" s="1106" t="s">
        <v>1191</v>
      </c>
      <c r="T103" s="1109">
        <v>6.8965517241379306</v>
      </c>
      <c r="X103" s="1109">
        <v>-3.225806451612903</v>
      </c>
      <c r="AB103" s="1109">
        <v>5</v>
      </c>
      <c r="AE103" s="1109">
        <v>14.665983311177666</v>
      </c>
      <c r="AF103" s="1109">
        <v>15.873015873015872</v>
      </c>
      <c r="AG103" s="1109">
        <v>15.318017905993534</v>
      </c>
      <c r="AH103" s="1109">
        <v>4.4408009977438656</v>
      </c>
      <c r="AI103" s="1109">
        <v>6.0284381372740734</v>
      </c>
      <c r="AJ103" s="1109">
        <v>6.8493150684931505</v>
      </c>
      <c r="AK103" s="1109">
        <v>0</v>
      </c>
      <c r="AL103" s="1109">
        <v>0</v>
      </c>
      <c r="AM103" s="1109">
        <v>0</v>
      </c>
      <c r="AN103" s="1109">
        <v>8.9743589743589745</v>
      </c>
      <c r="AR103" s="1109">
        <v>12.941176470588237</v>
      </c>
      <c r="AV103" s="1109">
        <v>7.291666666666667</v>
      </c>
      <c r="AZ103" s="1109">
        <v>18.446601941747574</v>
      </c>
      <c r="BD103" s="1109">
        <v>-36.205737704918036</v>
      </c>
    </row>
    <row r="104" spans="4:84" ht="14.45" hidden="1" outlineLevel="1" collapsed="1">
      <c r="D104" s="1611"/>
      <c r="E104" s="1619"/>
      <c r="F104" s="1106"/>
    </row>
    <row r="105" spans="4:84" ht="14.45" collapsed="1">
      <c r="D105" s="1610" t="s">
        <v>1217</v>
      </c>
      <c r="E105" s="1612" t="s">
        <v>1114</v>
      </c>
      <c r="F105" s="1107" t="s">
        <v>1190</v>
      </c>
      <c r="M105" s="1108">
        <v>41000</v>
      </c>
      <c r="T105" s="1108">
        <v>66000</v>
      </c>
      <c r="X105" s="1108">
        <v>58000</v>
      </c>
      <c r="AA105" s="1108">
        <v>50252</v>
      </c>
      <c r="AB105" s="1108">
        <v>51000</v>
      </c>
      <c r="AC105" s="1108">
        <v>49280</v>
      </c>
      <c r="AD105" s="1108">
        <v>45431</v>
      </c>
      <c r="AE105" s="1108">
        <v>49973</v>
      </c>
      <c r="AF105" s="1108">
        <v>51000</v>
      </c>
      <c r="AG105" s="1108">
        <v>51225</v>
      </c>
      <c r="AH105" s="1108">
        <v>51549</v>
      </c>
      <c r="AI105" s="1108">
        <v>52380</v>
      </c>
      <c r="AJ105" s="1108">
        <v>53000</v>
      </c>
      <c r="AK105" s="1108">
        <v>51225</v>
      </c>
      <c r="AL105" s="1108">
        <v>51549</v>
      </c>
      <c r="AM105" s="1108">
        <v>52380</v>
      </c>
      <c r="AN105" s="1108">
        <v>59000</v>
      </c>
      <c r="AR105" s="1108">
        <v>67000</v>
      </c>
      <c r="AU105" s="1108">
        <v>74231</v>
      </c>
      <c r="AV105" s="1108">
        <v>78000</v>
      </c>
      <c r="AZ105" s="1108">
        <v>99000</v>
      </c>
      <c r="BD105" s="1108">
        <v>53471</v>
      </c>
    </row>
    <row r="106" spans="4:84" ht="14.45" hidden="1" outlineLevel="1">
      <c r="D106" s="1611"/>
      <c r="E106" s="1619"/>
      <c r="F106" s="1107" t="s">
        <v>1191</v>
      </c>
      <c r="T106" s="1109">
        <v>60.975609756097562</v>
      </c>
      <c r="X106" s="1109">
        <v>-12.121212121212121</v>
      </c>
      <c r="AB106" s="1109">
        <v>-12.068965517241379</v>
      </c>
      <c r="AE106" s="1109">
        <v>-0.55520178301361134</v>
      </c>
      <c r="AF106" s="1109">
        <v>0</v>
      </c>
      <c r="AG106" s="1109">
        <v>3.9468344155844153</v>
      </c>
      <c r="AH106" s="1109">
        <v>13.466575686205454</v>
      </c>
      <c r="AI106" s="1109">
        <v>4.8166009645208412</v>
      </c>
      <c r="AJ106" s="1109">
        <v>3.9215686274509802</v>
      </c>
      <c r="AK106" s="1109">
        <v>0</v>
      </c>
      <c r="AL106" s="1109">
        <v>0</v>
      </c>
      <c r="AM106" s="1109">
        <v>0</v>
      </c>
      <c r="AN106" s="1109">
        <v>11.320754716981133</v>
      </c>
      <c r="AR106" s="1109">
        <v>13.559322033898304</v>
      </c>
      <c r="AV106" s="1109">
        <v>16.417910447761194</v>
      </c>
      <c r="AZ106" s="1109">
        <v>26.923076923076923</v>
      </c>
      <c r="BD106" s="1109">
        <v>-45.988888888888887</v>
      </c>
    </row>
    <row r="107" spans="4:84" ht="14.45" hidden="1" outlineLevel="1" collapsed="1">
      <c r="D107" s="1611"/>
      <c r="E107" s="1619"/>
      <c r="F107" s="1107"/>
    </row>
    <row r="108" spans="4:84" ht="14.45" collapsed="1">
      <c r="D108" s="1610" t="s">
        <v>1215</v>
      </c>
      <c r="E108" s="1612" t="s">
        <v>1114</v>
      </c>
      <c r="F108" s="1106" t="s">
        <v>1190</v>
      </c>
      <c r="M108" s="1108">
        <v>99000</v>
      </c>
      <c r="T108" s="1108">
        <v>128000</v>
      </c>
      <c r="X108" s="1108">
        <v>118000</v>
      </c>
      <c r="AA108" s="1108">
        <v>112689</v>
      </c>
      <c r="AB108" s="1108">
        <v>114000</v>
      </c>
      <c r="AC108" s="1108">
        <v>113616</v>
      </c>
      <c r="AD108" s="1108">
        <v>120849</v>
      </c>
      <c r="AE108" s="1108">
        <v>121567</v>
      </c>
      <c r="AF108" s="1108">
        <v>124000</v>
      </c>
      <c r="AG108" s="1108">
        <v>125416</v>
      </c>
      <c r="AH108" s="1108">
        <v>126079</v>
      </c>
      <c r="AI108" s="1108">
        <v>128290</v>
      </c>
      <c r="AJ108" s="1108">
        <v>131000</v>
      </c>
      <c r="AK108" s="1108">
        <v>125416</v>
      </c>
      <c r="AL108" s="1108">
        <v>126079</v>
      </c>
      <c r="AM108" s="1108">
        <v>128290</v>
      </c>
      <c r="AN108" s="1108">
        <v>144000</v>
      </c>
      <c r="AR108" s="1108">
        <v>163000</v>
      </c>
      <c r="AU108" s="1108">
        <v>175508</v>
      </c>
      <c r="AV108" s="1108">
        <v>181000</v>
      </c>
      <c r="AZ108" s="1108">
        <v>221000</v>
      </c>
      <c r="BD108" s="1108">
        <v>180630.25</v>
      </c>
    </row>
    <row r="109" spans="4:84" ht="14.45" hidden="1" outlineLevel="1">
      <c r="D109" s="1611"/>
      <c r="E109" s="1619"/>
      <c r="F109" s="1106" t="s">
        <v>1191</v>
      </c>
      <c r="T109" s="1109">
        <v>29.292929292929294</v>
      </c>
      <c r="X109" s="1109">
        <v>-7.8125</v>
      </c>
      <c r="AB109" s="1109">
        <v>-3.3898305084745761</v>
      </c>
      <c r="AE109" s="1109">
        <v>7.8783199779925273</v>
      </c>
      <c r="AF109" s="1109">
        <v>8.7719298245614024</v>
      </c>
      <c r="AG109" s="1109">
        <v>10.385861146317419</v>
      </c>
      <c r="AH109" s="1109">
        <v>4.327714751466706</v>
      </c>
      <c r="AI109" s="1109">
        <v>5.5302837118625945</v>
      </c>
      <c r="AJ109" s="1109">
        <v>5.6451612903225801</v>
      </c>
      <c r="AK109" s="1109">
        <v>0</v>
      </c>
      <c r="AL109" s="1109">
        <v>0</v>
      </c>
      <c r="AM109" s="1109">
        <v>0</v>
      </c>
      <c r="AN109" s="1109">
        <v>9.9236641221374047</v>
      </c>
      <c r="AR109" s="1109">
        <v>13.194444444444445</v>
      </c>
      <c r="AV109" s="1109">
        <v>11.042944785276074</v>
      </c>
      <c r="AZ109" s="1109">
        <v>22.099447513812155</v>
      </c>
      <c r="BD109" s="1109">
        <v>-18.266855203619908</v>
      </c>
    </row>
    <row r="110" spans="4:84" ht="14.45" hidden="1" outlineLevel="1" collapsed="1">
      <c r="D110" s="1611"/>
      <c r="E110" s="1619"/>
      <c r="F110" s="1106"/>
    </row>
    <row r="111" spans="4:84" ht="14.45" collapsed="1">
      <c r="D111" s="1105" t="s">
        <v>401</v>
      </c>
      <c r="F111" s="1107" t="s">
        <v>1188</v>
      </c>
    </row>
    <row r="112" spans="4:84" ht="14.45">
      <c r="D112" s="1613" t="s">
        <v>1218</v>
      </c>
      <c r="E112" s="1612" t="s">
        <v>1114</v>
      </c>
      <c r="F112" s="1106" t="s">
        <v>1190</v>
      </c>
      <c r="M112" s="1108">
        <v>27000</v>
      </c>
      <c r="T112" s="1108">
        <v>43000</v>
      </c>
      <c r="X112" s="1108">
        <v>40000</v>
      </c>
      <c r="AB112" s="1108">
        <v>38000</v>
      </c>
      <c r="AF112" s="1108">
        <v>39000</v>
      </c>
      <c r="AJ112" s="1108">
        <v>42000</v>
      </c>
      <c r="AN112" s="1108">
        <v>47000</v>
      </c>
      <c r="AR112" s="1108">
        <v>56000</v>
      </c>
      <c r="AV112" s="1108">
        <v>67000</v>
      </c>
      <c r="AZ112" s="1108">
        <v>85000</v>
      </c>
      <c r="BD112" s="1108">
        <v>58034.6</v>
      </c>
    </row>
    <row r="113" spans="4:56" ht="14.45" hidden="1" outlineLevel="1">
      <c r="D113" s="1611"/>
      <c r="E113" s="1619"/>
      <c r="F113" s="1106" t="s">
        <v>1191</v>
      </c>
      <c r="T113" s="1109">
        <v>59.259259259259252</v>
      </c>
      <c r="X113" s="1109">
        <v>-6.9767441860465116</v>
      </c>
      <c r="AB113" s="1109">
        <v>-5</v>
      </c>
      <c r="AF113" s="1109">
        <v>2.6315789473684208</v>
      </c>
      <c r="AJ113" s="1109">
        <v>7.6923076923076925</v>
      </c>
      <c r="AN113" s="1109">
        <v>11.904761904761903</v>
      </c>
      <c r="AR113" s="1109">
        <v>19.148936170212767</v>
      </c>
      <c r="AV113" s="1109">
        <v>19.642857142857142</v>
      </c>
      <c r="AZ113" s="1109">
        <v>26.865671641791046</v>
      </c>
      <c r="BD113" s="1109">
        <v>-31.724000000000004</v>
      </c>
    </row>
    <row r="114" spans="4:56" ht="14.45" hidden="1" outlineLevel="1" collapsed="1">
      <c r="D114" s="1611"/>
      <c r="E114" s="1619"/>
      <c r="F114" s="1106"/>
    </row>
    <row r="115" spans="4:56" ht="14.45" collapsed="1">
      <c r="D115" s="1613" t="s">
        <v>1219</v>
      </c>
      <c r="E115" s="1612" t="s">
        <v>1114</v>
      </c>
      <c r="F115" s="1107" t="s">
        <v>1190</v>
      </c>
      <c r="M115" s="1108">
        <v>37000</v>
      </c>
      <c r="T115" s="1108">
        <v>44000</v>
      </c>
      <c r="X115" s="1108">
        <v>37250</v>
      </c>
      <c r="AB115" s="1108">
        <v>37000</v>
      </c>
      <c r="AF115" s="1108">
        <v>40000</v>
      </c>
      <c r="AJ115" s="1108">
        <v>42000</v>
      </c>
      <c r="AN115" s="1108">
        <v>47000</v>
      </c>
      <c r="AR115" s="1108">
        <v>55000</v>
      </c>
      <c r="AV115" s="1108">
        <v>60000</v>
      </c>
      <c r="AZ115" s="1108">
        <v>73000</v>
      </c>
    </row>
    <row r="116" spans="4:56" ht="14.45" hidden="1" outlineLevel="1">
      <c r="D116" s="1611"/>
      <c r="E116" s="1619"/>
      <c r="F116" s="1107" t="s">
        <v>1191</v>
      </c>
      <c r="T116" s="1109">
        <v>18.918918918918919</v>
      </c>
      <c r="X116" s="1109">
        <v>-15.340909090909092</v>
      </c>
      <c r="AB116" s="1109">
        <v>-0.67114093959731547</v>
      </c>
      <c r="AF116" s="1109">
        <v>8.1081081081081088</v>
      </c>
      <c r="AJ116" s="1109">
        <v>5</v>
      </c>
      <c r="AN116" s="1109">
        <v>11.904761904761903</v>
      </c>
      <c r="AR116" s="1109">
        <v>17.021276595744681</v>
      </c>
      <c r="AV116" s="1109">
        <v>9.0909090909090917</v>
      </c>
      <c r="AZ116" s="1109">
        <v>21.666666666666668</v>
      </c>
    </row>
    <row r="117" spans="4:56" ht="14.45" hidden="1" outlineLevel="1" collapsed="1">
      <c r="D117" s="1611"/>
      <c r="E117" s="1619"/>
      <c r="F117" s="1107"/>
    </row>
    <row r="118" spans="4:56" ht="14.45" collapsed="1">
      <c r="D118" s="1613" t="s">
        <v>1220</v>
      </c>
      <c r="E118" s="1612" t="s">
        <v>1114</v>
      </c>
      <c r="F118" s="1106" t="s">
        <v>1190</v>
      </c>
      <c r="M118" s="1108">
        <v>26000</v>
      </c>
      <c r="T118" s="1108">
        <v>30000</v>
      </c>
      <c r="X118" s="1108">
        <v>29000</v>
      </c>
      <c r="AB118" s="1108">
        <v>29000</v>
      </c>
      <c r="AF118" s="1108">
        <v>34000</v>
      </c>
      <c r="AJ118" s="1108">
        <v>36000</v>
      </c>
      <c r="AN118" s="1108">
        <v>38000</v>
      </c>
      <c r="AR118" s="1108">
        <v>40000</v>
      </c>
      <c r="AV118" s="1108">
        <v>40000</v>
      </c>
      <c r="AZ118" s="1108">
        <v>47000</v>
      </c>
    </row>
    <row r="119" spans="4:56" ht="14.45" hidden="1" outlineLevel="1">
      <c r="D119" s="1611"/>
      <c r="E119" s="1619"/>
      <c r="F119" s="1106" t="s">
        <v>1191</v>
      </c>
      <c r="T119" s="1109">
        <v>15.384615384615385</v>
      </c>
      <c r="X119" s="1109">
        <v>-3.3333333333333335</v>
      </c>
      <c r="AB119" s="1109">
        <v>0</v>
      </c>
      <c r="AF119" s="1109">
        <v>17.241379310344829</v>
      </c>
      <c r="AJ119" s="1109">
        <v>5.8823529411764701</v>
      </c>
      <c r="AN119" s="1109">
        <v>5.5555555555555554</v>
      </c>
      <c r="AR119" s="1109">
        <v>5.2631578947368416</v>
      </c>
      <c r="AV119" s="1109">
        <v>0</v>
      </c>
      <c r="AZ119" s="1109">
        <v>17.5</v>
      </c>
    </row>
    <row r="120" spans="4:56" ht="14.45" hidden="1" outlineLevel="1" collapsed="1">
      <c r="D120" s="1611"/>
      <c r="E120" s="1619"/>
      <c r="F120" s="1106"/>
    </row>
    <row r="121" spans="4:56" ht="14.45" collapsed="1">
      <c r="D121" s="1613" t="s">
        <v>1221</v>
      </c>
      <c r="E121" s="1612" t="s">
        <v>1114</v>
      </c>
      <c r="F121" s="1107" t="s">
        <v>1190</v>
      </c>
      <c r="M121" s="1108">
        <v>9000</v>
      </c>
      <c r="T121" s="1108">
        <v>11000</v>
      </c>
      <c r="X121" s="1108">
        <v>10000</v>
      </c>
      <c r="AB121" s="1108">
        <v>10000</v>
      </c>
      <c r="AF121" s="1108">
        <v>11000</v>
      </c>
      <c r="AJ121" s="1108">
        <v>11000</v>
      </c>
      <c r="AN121" s="1108">
        <v>12000</v>
      </c>
      <c r="AR121" s="1108">
        <v>12000</v>
      </c>
      <c r="AV121" s="1108">
        <v>14000</v>
      </c>
      <c r="AZ121" s="1108">
        <v>16000</v>
      </c>
      <c r="BD121" s="1108">
        <v>45955</v>
      </c>
    </row>
    <row r="122" spans="4:56" ht="14.45" hidden="1" outlineLevel="1">
      <c r="D122" s="1611"/>
      <c r="E122" s="1619"/>
      <c r="F122" s="1107" t="s">
        <v>1191</v>
      </c>
      <c r="T122" s="1109">
        <v>22.222222222222221</v>
      </c>
      <c r="X122" s="1109">
        <v>-9.0909090909090917</v>
      </c>
      <c r="AB122" s="1109">
        <v>0</v>
      </c>
      <c r="AF122" s="1109">
        <v>10</v>
      </c>
      <c r="AJ122" s="1109">
        <v>0</v>
      </c>
      <c r="AN122" s="1109">
        <v>9.0909090909090917</v>
      </c>
      <c r="AR122" s="1109">
        <v>0</v>
      </c>
      <c r="AV122" s="1109">
        <v>16.666666666666664</v>
      </c>
      <c r="AZ122" s="1109">
        <v>14.285714285714285</v>
      </c>
      <c r="BD122" s="1109">
        <v>187.21875</v>
      </c>
    </row>
    <row r="123" spans="4:56" ht="14.45" hidden="1" outlineLevel="1" collapsed="1">
      <c r="D123" s="1611"/>
      <c r="E123" s="1619"/>
      <c r="F123" s="1107"/>
    </row>
    <row r="124" spans="4:56" ht="14.45" collapsed="1">
      <c r="D124" s="1610" t="s">
        <v>1215</v>
      </c>
      <c r="E124" s="1612" t="s">
        <v>1114</v>
      </c>
      <c r="F124" s="1106" t="s">
        <v>1190</v>
      </c>
      <c r="M124" s="1108">
        <v>99000</v>
      </c>
      <c r="T124" s="1108">
        <v>128000</v>
      </c>
      <c r="X124" s="1108">
        <v>118000</v>
      </c>
      <c r="AA124" s="1108">
        <v>112689</v>
      </c>
      <c r="AB124" s="1108">
        <v>114000</v>
      </c>
      <c r="AC124" s="1108">
        <v>113616</v>
      </c>
      <c r="AD124" s="1108">
        <v>120849</v>
      </c>
      <c r="AE124" s="1108">
        <v>121567</v>
      </c>
      <c r="AF124" s="1108">
        <v>124000</v>
      </c>
      <c r="AG124" s="1108">
        <v>125416</v>
      </c>
      <c r="AH124" s="1108">
        <v>126079</v>
      </c>
      <c r="AI124" s="1108">
        <v>128290</v>
      </c>
      <c r="AJ124" s="1108">
        <v>131000</v>
      </c>
      <c r="AK124" s="1108">
        <v>125416</v>
      </c>
      <c r="AL124" s="1108">
        <v>126079</v>
      </c>
      <c r="AM124" s="1108">
        <v>128290</v>
      </c>
      <c r="AN124" s="1108">
        <v>144000</v>
      </c>
      <c r="AR124" s="1108">
        <v>163000</v>
      </c>
      <c r="AU124" s="1108">
        <v>175508</v>
      </c>
      <c r="AV124" s="1108">
        <v>181000</v>
      </c>
      <c r="AZ124" s="1108">
        <v>221000</v>
      </c>
      <c r="BD124" s="1108">
        <v>180630.25</v>
      </c>
    </row>
    <row r="125" spans="4:56" ht="14.45" hidden="1" outlineLevel="1">
      <c r="D125" s="1611"/>
      <c r="E125" s="1619"/>
      <c r="F125" s="1106" t="s">
        <v>1191</v>
      </c>
      <c r="T125" s="1109">
        <v>29.292929292929294</v>
      </c>
      <c r="X125" s="1109">
        <v>-7.8125</v>
      </c>
      <c r="AB125" s="1109">
        <v>-3.3898305084745761</v>
      </c>
      <c r="AE125" s="1109">
        <v>7.8783199779925273</v>
      </c>
      <c r="AF125" s="1109">
        <v>8.7719298245614024</v>
      </c>
      <c r="AG125" s="1109">
        <v>10.385861146317419</v>
      </c>
      <c r="AH125" s="1109">
        <v>4.327714751466706</v>
      </c>
      <c r="AI125" s="1109">
        <v>5.5302837118625945</v>
      </c>
      <c r="AJ125" s="1109">
        <v>5.6451612903225801</v>
      </c>
      <c r="AK125" s="1109">
        <v>0</v>
      </c>
      <c r="AL125" s="1109">
        <v>0</v>
      </c>
      <c r="AM125" s="1109">
        <v>0</v>
      </c>
      <c r="AN125" s="1109">
        <v>9.9236641221374047</v>
      </c>
      <c r="AR125" s="1109">
        <v>13.194444444444445</v>
      </c>
      <c r="AV125" s="1109">
        <v>11.042944785276074</v>
      </c>
      <c r="AZ125" s="1109">
        <v>22.099447513812155</v>
      </c>
      <c r="BD125" s="1109">
        <v>-18.266855203619908</v>
      </c>
    </row>
    <row r="126" spans="4:56" ht="14.45" hidden="1" outlineLevel="1" collapsed="1">
      <c r="D126" s="1611"/>
      <c r="E126" s="1619"/>
      <c r="F126" s="1106"/>
    </row>
    <row r="127" spans="4:56" collapsed="1">
      <c r="D127" s="42"/>
    </row>
    <row r="128" spans="4:56">
      <c r="D128" s="42"/>
    </row>
    <row r="129" spans="3:88" ht="12.95">
      <c r="C129" s="1110" t="s">
        <v>1127</v>
      </c>
    </row>
    <row r="130" spans="3:88" ht="12.95">
      <c r="C130" s="1110"/>
    </row>
    <row r="132" spans="3:88" ht="35.1">
      <c r="C132" s="1099" t="s">
        <v>1062</v>
      </c>
      <c r="D132" s="42"/>
    </row>
    <row r="133" spans="3:88">
      <c r="D133" s="42"/>
    </row>
    <row r="134" spans="3:88" ht="14.45">
      <c r="C134" s="1100"/>
      <c r="D134" s="1101"/>
      <c r="E134" s="1100"/>
      <c r="F134" s="1100"/>
      <c r="G134" s="1102" t="s">
        <v>1128</v>
      </c>
      <c r="H134" s="1102" t="s">
        <v>1128</v>
      </c>
      <c r="I134" s="1103" t="s">
        <v>1129</v>
      </c>
      <c r="J134" s="1103" t="s">
        <v>1129</v>
      </c>
      <c r="K134" s="1102" t="s">
        <v>1130</v>
      </c>
      <c r="L134" s="1102" t="s">
        <v>1130</v>
      </c>
      <c r="M134" s="1103" t="s">
        <v>1131</v>
      </c>
      <c r="N134" s="1103" t="s">
        <v>1131</v>
      </c>
      <c r="O134" s="1102" t="s">
        <v>1132</v>
      </c>
      <c r="P134" s="1102" t="s">
        <v>1132</v>
      </c>
      <c r="Q134" s="1103" t="s">
        <v>1133</v>
      </c>
      <c r="R134" s="1103" t="s">
        <v>1133</v>
      </c>
      <c r="S134" s="1102" t="s">
        <v>1134</v>
      </c>
      <c r="T134" s="1103" t="s">
        <v>1135</v>
      </c>
      <c r="U134" s="1102" t="s">
        <v>1136</v>
      </c>
      <c r="V134" s="1103" t="s">
        <v>1137</v>
      </c>
      <c r="W134" s="1102" t="s">
        <v>1138</v>
      </c>
      <c r="X134" s="1103" t="s">
        <v>1139</v>
      </c>
      <c r="Y134" s="1102" t="s">
        <v>1140</v>
      </c>
      <c r="Z134" s="1103" t="s">
        <v>1141</v>
      </c>
      <c r="AA134" s="1102" t="s">
        <v>1142</v>
      </c>
      <c r="AB134" s="1103" t="s">
        <v>1143</v>
      </c>
      <c r="AC134" s="1102" t="s">
        <v>1144</v>
      </c>
      <c r="AD134" s="1103" t="s">
        <v>1145</v>
      </c>
      <c r="AE134" s="1102" t="s">
        <v>1146</v>
      </c>
      <c r="AF134" s="1103" t="s">
        <v>1147</v>
      </c>
      <c r="AG134" s="1102" t="s">
        <v>1148</v>
      </c>
      <c r="AH134" s="1103" t="s">
        <v>1149</v>
      </c>
      <c r="AI134" s="1102" t="s">
        <v>1150</v>
      </c>
      <c r="AJ134" s="1103" t="s">
        <v>1151</v>
      </c>
      <c r="AK134" s="1102" t="s">
        <v>1152</v>
      </c>
      <c r="AL134" s="1103" t="s">
        <v>1153</v>
      </c>
      <c r="AM134" s="1102" t="s">
        <v>1154</v>
      </c>
      <c r="AN134" s="1103" t="s">
        <v>1155</v>
      </c>
      <c r="AO134" s="1102" t="s">
        <v>1156</v>
      </c>
      <c r="AP134" s="1103" t="s">
        <v>1157</v>
      </c>
      <c r="AQ134" s="1102" t="s">
        <v>1158</v>
      </c>
      <c r="AR134" s="1103" t="s">
        <v>1159</v>
      </c>
      <c r="AS134" s="1102" t="s">
        <v>1160</v>
      </c>
      <c r="AT134" s="1103" t="s">
        <v>1161</v>
      </c>
      <c r="AU134" s="1102" t="s">
        <v>1162</v>
      </c>
      <c r="AV134" s="1103" t="s">
        <v>1163</v>
      </c>
      <c r="AW134" s="1102" t="s">
        <v>1063</v>
      </c>
      <c r="AX134" s="1103" t="s">
        <v>1064</v>
      </c>
      <c r="AY134" s="1102" t="s">
        <v>1065</v>
      </c>
      <c r="AZ134" s="1103" t="s">
        <v>1066</v>
      </c>
      <c r="BA134" s="1102" t="s">
        <v>1067</v>
      </c>
      <c r="BB134" s="1103" t="s">
        <v>1068</v>
      </c>
      <c r="BC134" s="1102" t="s">
        <v>1164</v>
      </c>
      <c r="BD134" s="1103" t="s">
        <v>1165</v>
      </c>
      <c r="BE134" s="1102" t="s">
        <v>1166</v>
      </c>
      <c r="BF134" s="1103" t="s">
        <v>1167</v>
      </c>
      <c r="BG134" s="1102" t="s">
        <v>1168</v>
      </c>
      <c r="BH134" s="1103" t="s">
        <v>1169</v>
      </c>
      <c r="BI134" s="1102" t="s">
        <v>1072</v>
      </c>
      <c r="BJ134" s="1103" t="s">
        <v>1073</v>
      </c>
      <c r="BK134" s="1102" t="s">
        <v>1074</v>
      </c>
      <c r="BL134" s="1103" t="s">
        <v>1075</v>
      </c>
      <c r="BM134" s="1102" t="s">
        <v>1076</v>
      </c>
      <c r="BN134" s="1103" t="s">
        <v>1077</v>
      </c>
      <c r="BO134" s="1102" t="s">
        <v>1078</v>
      </c>
      <c r="BP134" s="1103" t="s">
        <v>1079</v>
      </c>
      <c r="BQ134" s="1102" t="s">
        <v>1080</v>
      </c>
      <c r="BR134" s="1103" t="s">
        <v>1081</v>
      </c>
      <c r="BS134" s="1102" t="s">
        <v>1082</v>
      </c>
      <c r="BT134" s="1103" t="s">
        <v>1083</v>
      </c>
      <c r="BU134" s="1102" t="s">
        <v>1170</v>
      </c>
      <c r="BV134" s="1103" t="s">
        <v>1171</v>
      </c>
      <c r="BW134" s="1102" t="s">
        <v>1172</v>
      </c>
      <c r="BX134" s="1103" t="s">
        <v>1173</v>
      </c>
      <c r="BY134" s="1102" t="s">
        <v>1174</v>
      </c>
      <c r="BZ134" s="1103" t="s">
        <v>1175</v>
      </c>
      <c r="CA134" s="1102" t="s">
        <v>1176</v>
      </c>
      <c r="CB134" s="1103" t="s">
        <v>1177</v>
      </c>
      <c r="CC134" s="1102" t="s">
        <v>1178</v>
      </c>
      <c r="CD134" s="1103" t="s">
        <v>1179</v>
      </c>
      <c r="CE134" s="1102" t="s">
        <v>1180</v>
      </c>
      <c r="CF134" s="1103" t="s">
        <v>1181</v>
      </c>
      <c r="CG134" s="1102" t="s">
        <v>1182</v>
      </c>
      <c r="CH134" s="1103" t="s">
        <v>1183</v>
      </c>
      <c r="CI134" s="1102" t="s">
        <v>1184</v>
      </c>
      <c r="CJ134" s="1103" t="s">
        <v>1185</v>
      </c>
    </row>
    <row r="135" spans="3:88" ht="14.45">
      <c r="C135" s="1100"/>
      <c r="D135" s="1101"/>
      <c r="E135" s="1100" t="s">
        <v>1090</v>
      </c>
      <c r="F135" s="1100"/>
      <c r="G135" s="1102" t="s">
        <v>1091</v>
      </c>
      <c r="H135" s="1102" t="s">
        <v>1186</v>
      </c>
      <c r="I135" s="1103" t="s">
        <v>1091</v>
      </c>
      <c r="J135" s="1103" t="s">
        <v>1186</v>
      </c>
      <c r="K135" s="1102" t="s">
        <v>1091</v>
      </c>
      <c r="L135" s="1102" t="s">
        <v>1186</v>
      </c>
      <c r="M135" s="1103" t="s">
        <v>1091</v>
      </c>
      <c r="N135" s="1103" t="s">
        <v>1186</v>
      </c>
      <c r="O135" s="1102" t="s">
        <v>1091</v>
      </c>
      <c r="P135" s="1102" t="s">
        <v>1186</v>
      </c>
      <c r="Q135" s="1103" t="s">
        <v>1091</v>
      </c>
      <c r="R135" s="1103" t="s">
        <v>1186</v>
      </c>
      <c r="S135" s="1102" t="s">
        <v>1091</v>
      </c>
      <c r="T135" s="1103" t="s">
        <v>1091</v>
      </c>
      <c r="U135" s="1102" t="s">
        <v>1091</v>
      </c>
      <c r="V135" s="1103" t="s">
        <v>1091</v>
      </c>
      <c r="W135" s="1102" t="s">
        <v>1091</v>
      </c>
      <c r="X135" s="1103" t="s">
        <v>1091</v>
      </c>
      <c r="Y135" s="1102" t="s">
        <v>1091</v>
      </c>
      <c r="Z135" s="1103" t="s">
        <v>1091</v>
      </c>
      <c r="AA135" s="1102" t="s">
        <v>1091</v>
      </c>
      <c r="AB135" s="1103" t="s">
        <v>1091</v>
      </c>
      <c r="AC135" s="1102" t="s">
        <v>1091</v>
      </c>
      <c r="AD135" s="1103" t="s">
        <v>1091</v>
      </c>
      <c r="AE135" s="1102" t="s">
        <v>1091</v>
      </c>
      <c r="AF135" s="1103" t="s">
        <v>1091</v>
      </c>
      <c r="AG135" s="1102" t="s">
        <v>1091</v>
      </c>
      <c r="AH135" s="1103" t="s">
        <v>1091</v>
      </c>
      <c r="AI135" s="1102" t="s">
        <v>1091</v>
      </c>
      <c r="AJ135" s="1103" t="s">
        <v>1091</v>
      </c>
      <c r="AK135" s="1102" t="s">
        <v>1091</v>
      </c>
      <c r="AL135" s="1103" t="s">
        <v>1091</v>
      </c>
      <c r="AM135" s="1102" t="s">
        <v>1091</v>
      </c>
      <c r="AN135" s="1103" t="s">
        <v>1091</v>
      </c>
      <c r="AO135" s="1102" t="s">
        <v>1091</v>
      </c>
      <c r="AP135" s="1103" t="s">
        <v>1091</v>
      </c>
      <c r="AQ135" s="1102" t="s">
        <v>1091</v>
      </c>
      <c r="AR135" s="1103" t="s">
        <v>1091</v>
      </c>
      <c r="AS135" s="1102" t="s">
        <v>1091</v>
      </c>
      <c r="AT135" s="1103" t="s">
        <v>1091</v>
      </c>
      <c r="AU135" s="1102" t="s">
        <v>1091</v>
      </c>
      <c r="AV135" s="1103" t="s">
        <v>1091</v>
      </c>
      <c r="AW135" s="1102" t="s">
        <v>1091</v>
      </c>
      <c r="AX135" s="1103" t="s">
        <v>1091</v>
      </c>
      <c r="AY135" s="1102" t="s">
        <v>1091</v>
      </c>
      <c r="AZ135" s="1103" t="s">
        <v>1091</v>
      </c>
      <c r="BA135" s="1102" t="s">
        <v>1091</v>
      </c>
      <c r="BB135" s="1103" t="s">
        <v>1091</v>
      </c>
      <c r="BC135" s="1102" t="s">
        <v>1092</v>
      </c>
      <c r="BD135" s="1103" t="s">
        <v>1092</v>
      </c>
      <c r="BE135" s="1102" t="s">
        <v>1092</v>
      </c>
      <c r="BF135" s="1103" t="s">
        <v>1092</v>
      </c>
      <c r="BG135" s="1102" t="s">
        <v>1092</v>
      </c>
      <c r="BH135" s="1103" t="s">
        <v>1092</v>
      </c>
      <c r="BI135" s="1102" t="s">
        <v>1092</v>
      </c>
      <c r="BJ135" s="1103" t="s">
        <v>1092</v>
      </c>
      <c r="BK135" s="1102" t="s">
        <v>1092</v>
      </c>
      <c r="BL135" s="1103" t="s">
        <v>1092</v>
      </c>
      <c r="BM135" s="1102" t="s">
        <v>1092</v>
      </c>
      <c r="BN135" s="1103" t="s">
        <v>1092</v>
      </c>
      <c r="BO135" s="1102" t="s">
        <v>1092</v>
      </c>
      <c r="BP135" s="1103" t="s">
        <v>1092</v>
      </c>
      <c r="BQ135" s="1102" t="s">
        <v>1092</v>
      </c>
      <c r="BR135" s="1103" t="s">
        <v>1092</v>
      </c>
      <c r="BS135" s="1102" t="s">
        <v>1092</v>
      </c>
      <c r="BT135" s="1103" t="s">
        <v>1092</v>
      </c>
      <c r="BU135" s="1102" t="s">
        <v>1092</v>
      </c>
      <c r="BV135" s="1103" t="s">
        <v>1092</v>
      </c>
      <c r="BW135" s="1102" t="s">
        <v>1092</v>
      </c>
      <c r="BX135" s="1103" t="s">
        <v>1092</v>
      </c>
      <c r="BY135" s="1102" t="s">
        <v>1092</v>
      </c>
      <c r="BZ135" s="1103" t="s">
        <v>1092</v>
      </c>
      <c r="CA135" s="1102" t="s">
        <v>1092</v>
      </c>
      <c r="CB135" s="1103" t="s">
        <v>1092</v>
      </c>
      <c r="CC135" s="1102" t="s">
        <v>1092</v>
      </c>
      <c r="CD135" s="1103" t="s">
        <v>1092</v>
      </c>
      <c r="CE135" s="1102" t="s">
        <v>1092</v>
      </c>
      <c r="CF135" s="1103" t="s">
        <v>1092</v>
      </c>
      <c r="CG135" s="1102" t="s">
        <v>1092</v>
      </c>
      <c r="CH135" s="1103" t="s">
        <v>1092</v>
      </c>
      <c r="CI135" s="1102" t="s">
        <v>1092</v>
      </c>
      <c r="CJ135" s="1103" t="s">
        <v>1092</v>
      </c>
    </row>
    <row r="136" spans="3:88" ht="21">
      <c r="D136" s="1104" t="s">
        <v>1093</v>
      </c>
    </row>
    <row r="137" spans="3:88" ht="14.45">
      <c r="D137" s="1105" t="s">
        <v>1093</v>
      </c>
      <c r="F137" s="1106" t="s">
        <v>1188</v>
      </c>
    </row>
    <row r="138" spans="3:88" ht="14.45">
      <c r="D138" s="1614" t="s">
        <v>1094</v>
      </c>
      <c r="E138" s="1612" t="s">
        <v>1095</v>
      </c>
      <c r="F138" s="1107" t="s">
        <v>1190</v>
      </c>
      <c r="G138" s="1108">
        <v>3418.1879321336232</v>
      </c>
      <c r="I138" s="1108">
        <v>3856.61463764879</v>
      </c>
      <c r="K138" s="1108">
        <v>3778.9360486778232</v>
      </c>
      <c r="M138" s="1108">
        <v>4456.1622055858297</v>
      </c>
      <c r="O138" s="1108">
        <v>3620.7307501283526</v>
      </c>
      <c r="Q138" s="1108">
        <v>4224.9154316614149</v>
      </c>
      <c r="S138" s="1108">
        <v>3989.0589988244474</v>
      </c>
      <c r="T138" s="1108">
        <v>4846.3717765921119</v>
      </c>
      <c r="U138" s="1108">
        <v>3970.1847155315177</v>
      </c>
      <c r="V138" s="1108">
        <v>4496.7659089094541</v>
      </c>
      <c r="W138" s="1108">
        <v>4368.6054948552646</v>
      </c>
      <c r="X138" s="1108">
        <v>4904.2281340295349</v>
      </c>
      <c r="Y138" s="1108">
        <v>3804.15630322178</v>
      </c>
      <c r="Z138" s="1108">
        <v>4334.3092517069645</v>
      </c>
      <c r="AA138" s="1108">
        <v>3975.8939650984776</v>
      </c>
      <c r="AB138" s="1108">
        <v>4990.6214697519545</v>
      </c>
      <c r="AC138" s="1108">
        <v>3881.3684779700161</v>
      </c>
      <c r="AD138" s="1108">
        <v>4494.1567144382843</v>
      </c>
      <c r="AE138" s="1108">
        <v>4307.8041759753569</v>
      </c>
      <c r="AF138" s="1108">
        <v>5052.5215886531842</v>
      </c>
      <c r="AG138" s="1108">
        <v>3960.4919742021075</v>
      </c>
      <c r="AH138" s="1108">
        <v>4634.5840946880471</v>
      </c>
      <c r="AI138" s="1108">
        <v>4437.4766594186985</v>
      </c>
      <c r="AJ138" s="1108">
        <v>5516.0476603730867</v>
      </c>
      <c r="AK138" s="1108">
        <v>4352.0992075780041</v>
      </c>
      <c r="AL138" s="1108">
        <v>4820.2320569527501</v>
      </c>
      <c r="AM138" s="1108">
        <v>4751.5481411165147</v>
      </c>
      <c r="AN138" s="1108">
        <v>5698.829045294503</v>
      </c>
      <c r="AO138" s="1108">
        <v>4876.3726831245003</v>
      </c>
      <c r="AP138" s="1108">
        <v>5303.7654481615136</v>
      </c>
      <c r="AQ138" s="1108">
        <v>5253.1171156791879</v>
      </c>
      <c r="AR138" s="1108">
        <v>5674.1054611439677</v>
      </c>
      <c r="AS138" s="1108">
        <v>4814.859021268333</v>
      </c>
      <c r="AT138" s="1108">
        <v>5508.6798533266019</v>
      </c>
      <c r="AU138" s="1108">
        <v>5364.939422210964</v>
      </c>
      <c r="AV138" s="1108">
        <v>6532.2129947406611</v>
      </c>
      <c r="AW138" s="1108">
        <v>5490.8042252519826</v>
      </c>
      <c r="AX138" s="1108">
        <v>5831.2536164310277</v>
      </c>
      <c r="AY138" s="1108">
        <v>5667.6482413089734</v>
      </c>
      <c r="AZ138" s="1108">
        <v>6398.8970833648282</v>
      </c>
      <c r="BA138" s="1108">
        <v>5439.0251762803791</v>
      </c>
      <c r="BB138" s="1108">
        <v>5726.2729887714604</v>
      </c>
      <c r="BC138" s="1108">
        <v>5433.2092834899886</v>
      </c>
      <c r="BD138" s="1108">
        <v>6180.8391541879892</v>
      </c>
      <c r="BE138" s="1108">
        <v>5331.960496400895</v>
      </c>
      <c r="BF138" s="1108">
        <v>5666.8252461160364</v>
      </c>
      <c r="BG138" s="1108">
        <v>5448.2285919022079</v>
      </c>
      <c r="BH138" s="1108">
        <v>6183.4809664445056</v>
      </c>
      <c r="BI138" s="1108">
        <v>5335.2079504798321</v>
      </c>
      <c r="BJ138" s="1108">
        <v>5578.4395870964372</v>
      </c>
      <c r="BK138" s="1108">
        <v>5403.0956399758934</v>
      </c>
      <c r="BL138" s="1108">
        <v>6219.3299994364852</v>
      </c>
      <c r="BM138" s="1108">
        <v>5323.6765516704754</v>
      </c>
      <c r="BN138" s="1108">
        <v>5535.7545072822959</v>
      </c>
      <c r="BO138" s="1108">
        <v>5402.0149412133997</v>
      </c>
      <c r="BP138" s="1108">
        <v>6229.7345399184869</v>
      </c>
      <c r="BQ138" s="1108">
        <v>5221.4463958105762</v>
      </c>
      <c r="BR138" s="1108">
        <v>5376.8506793853639</v>
      </c>
      <c r="BS138" s="1108">
        <v>5324.499205087368</v>
      </c>
      <c r="BT138" s="1108">
        <v>6106.4641670398496</v>
      </c>
      <c r="BU138" s="1108">
        <v>4081.6362611951699</v>
      </c>
      <c r="BV138" s="1108">
        <v>4135.4136435820801</v>
      </c>
      <c r="BW138" s="1108">
        <v>4200.5972114712449</v>
      </c>
      <c r="BX138" s="1108">
        <v>4927.2175738719952</v>
      </c>
      <c r="BY138" s="1108">
        <v>3866.4605255136048</v>
      </c>
      <c r="BZ138" s="1108">
        <v>3914.9971757251001</v>
      </c>
      <c r="CA138" s="1108">
        <v>4007.8751490129198</v>
      </c>
      <c r="CB138" s="1108">
        <v>4712.0623649939353</v>
      </c>
      <c r="CC138" s="1108">
        <v>3656.2014930795049</v>
      </c>
      <c r="CD138" s="1108">
        <v>3700.035604631405</v>
      </c>
      <c r="CE138" s="1108">
        <v>3818.4014220342101</v>
      </c>
      <c r="CF138" s="1108">
        <v>4498.5736573363347</v>
      </c>
    </row>
    <row r="139" spans="3:88" ht="14.45" outlineLevel="1">
      <c r="D139" s="1611"/>
      <c r="E139" s="1619"/>
      <c r="F139" s="1107" t="s">
        <v>1191</v>
      </c>
      <c r="O139" s="1109">
        <v>5.9254441831787377</v>
      </c>
      <c r="Q139" s="1109">
        <v>9.5498469154066647</v>
      </c>
      <c r="S139" s="1109">
        <v>5.5603732754393151</v>
      </c>
      <c r="T139" s="1109">
        <v>8.7566285293015547</v>
      </c>
      <c r="U139" s="1109">
        <v>9.6514761665384015</v>
      </c>
      <c r="V139" s="1109">
        <v>6.4344596157072926</v>
      </c>
      <c r="W139" s="1109">
        <v>9.5146874524209188</v>
      </c>
      <c r="X139" s="1109">
        <v>1.1938076586874353</v>
      </c>
      <c r="Y139" s="1109">
        <v>-4.1818813029083506</v>
      </c>
      <c r="Z139" s="1109">
        <v>-3.6127443699173623</v>
      </c>
      <c r="AA139" s="1109">
        <v>-8.9894024585023313</v>
      </c>
      <c r="AB139" s="1109">
        <v>1.7616092351608228</v>
      </c>
      <c r="AC139" s="1109">
        <v>2.0296793452688644</v>
      </c>
      <c r="AD139" s="1109">
        <v>3.6879570295628481</v>
      </c>
      <c r="AE139" s="1109">
        <v>8.3480649582328184</v>
      </c>
      <c r="AF139" s="1109">
        <v>1.2403288703902897</v>
      </c>
      <c r="AG139" s="1109">
        <v>2.0385463704665718</v>
      </c>
      <c r="AH139" s="1109">
        <v>3.1246658532982319</v>
      </c>
      <c r="AI139" s="1109">
        <v>3.0101759074037227</v>
      </c>
      <c r="AJ139" s="1109">
        <v>9.1741532141273154</v>
      </c>
      <c r="AK139" s="1109">
        <v>9.887843124711571</v>
      </c>
      <c r="AL139" s="1109">
        <v>4.0057092173056992</v>
      </c>
      <c r="AM139" s="1109">
        <v>7.0777044208489182</v>
      </c>
      <c r="AN139" s="1109">
        <v>3.3136295437493288</v>
      </c>
      <c r="AO139" s="1109">
        <v>12.046450472305773</v>
      </c>
      <c r="AP139" s="1109">
        <v>10.031330141280444</v>
      </c>
      <c r="AQ139" s="1109">
        <v>10.555906404955733</v>
      </c>
      <c r="AR139" s="1109">
        <v>-0.4338362136156631</v>
      </c>
      <c r="AS139" s="1109">
        <v>-1.2614635068612703</v>
      </c>
      <c r="AT139" s="1109">
        <v>3.8635646158922698</v>
      </c>
      <c r="AU139" s="1109">
        <v>2.1286848183531952</v>
      </c>
      <c r="AV139" s="1109">
        <v>15.123221439449393</v>
      </c>
      <c r="AW139" s="1109">
        <v>14.038733034505169</v>
      </c>
      <c r="AX139" s="1109">
        <v>5.8557362506668227</v>
      </c>
      <c r="AY139" s="1109">
        <v>5.6423529750361832</v>
      </c>
      <c r="AZ139" s="1109">
        <v>-2.0408996381956732</v>
      </c>
      <c r="BA139" s="1109">
        <v>-0.94301393470693795</v>
      </c>
      <c r="BB139" s="1109">
        <v>-1.8003097543855391</v>
      </c>
      <c r="BC139" s="1109">
        <v>-4.1364415686609357</v>
      </c>
      <c r="BD139" s="1109">
        <v>-3.4077424021043066</v>
      </c>
      <c r="BE139" s="1109">
        <v>-1.9684534711549759</v>
      </c>
      <c r="BF139" s="1109">
        <v>-1.0381576772884205</v>
      </c>
      <c r="BG139" s="1109">
        <v>0.276435300548035</v>
      </c>
      <c r="BH139" s="1109">
        <v>4.2741967403025369E-2</v>
      </c>
      <c r="BI139" s="1109">
        <v>6.0905441462464023E-2</v>
      </c>
      <c r="BJ139" s="1109">
        <v>-1.5597032761893883</v>
      </c>
      <c r="BK139" s="1109">
        <v>-0.82839681127543618</v>
      </c>
      <c r="BL139" s="1109">
        <v>0.57975488542002807</v>
      </c>
      <c r="BM139" s="1109">
        <v>-0.21613775726060666</v>
      </c>
      <c r="BN139" s="1109">
        <v>-0.76517956585703184</v>
      </c>
      <c r="BO139" s="1109">
        <v>-2.0001473868016907E-2</v>
      </c>
      <c r="BP139" s="1109">
        <v>0.16729359083606185</v>
      </c>
      <c r="BQ139" s="1109">
        <v>-1.9202923931924682</v>
      </c>
      <c r="BR139" s="1109">
        <v>-2.870499905440056</v>
      </c>
      <c r="BS139" s="1109">
        <v>-1.4349411649094796</v>
      </c>
      <c r="BT139" s="1109">
        <v>-1.9787419847307048</v>
      </c>
      <c r="BU139" s="1109">
        <v>-21.82939454343402</v>
      </c>
      <c r="BV139" s="1109">
        <v>-23.088553315473405</v>
      </c>
      <c r="BW139" s="1109">
        <v>-21.108125859841898</v>
      </c>
      <c r="BX139" s="1109">
        <v>-19.311447032358537</v>
      </c>
      <c r="BY139" s="1109">
        <v>-5.2718008639642511</v>
      </c>
      <c r="BZ139" s="1109">
        <v>-5.3299738999278468</v>
      </c>
      <c r="CA139" s="1109">
        <v>-4.5879681568141804</v>
      </c>
      <c r="CB139" s="1109">
        <v>-4.3666675086357669</v>
      </c>
      <c r="CC139" s="1109">
        <v>-5.4380235113397406</v>
      </c>
      <c r="CD139" s="1109">
        <v>-5.4907209748850416</v>
      </c>
      <c r="CE139" s="1109">
        <v>-4.7275356625161908</v>
      </c>
      <c r="CF139" s="1109">
        <v>-4.5306851039072642</v>
      </c>
    </row>
    <row r="140" spans="3:88" ht="14.45" outlineLevel="1">
      <c r="D140" s="1611"/>
      <c r="E140" s="1619"/>
      <c r="F140" s="1107"/>
    </row>
    <row r="141" spans="3:88" ht="14.45">
      <c r="D141" s="1614" t="s">
        <v>1096</v>
      </c>
      <c r="E141" s="1612" t="s">
        <v>1095</v>
      </c>
      <c r="F141" s="1106" t="s">
        <v>1190</v>
      </c>
      <c r="G141" s="1108">
        <v>29.528734533042165</v>
      </c>
      <c r="I141" s="1108">
        <v>42.720362351209197</v>
      </c>
      <c r="K141" s="1108">
        <v>51.640824278505399</v>
      </c>
      <c r="M141" s="1108">
        <v>65.365233433468632</v>
      </c>
      <c r="O141" s="1108">
        <v>76.002648068956759</v>
      </c>
      <c r="Q141" s="1108">
        <v>86.906654256452171</v>
      </c>
      <c r="S141" s="1108">
        <v>120.09332854663077</v>
      </c>
      <c r="T141" s="1108">
        <v>143.06793547872522</v>
      </c>
      <c r="U141" s="1108">
        <v>166.96081660332311</v>
      </c>
      <c r="V141" s="1108">
        <v>191.62924314105771</v>
      </c>
      <c r="W141" s="1108">
        <v>245.4033851155221</v>
      </c>
      <c r="X141" s="1108">
        <v>319.6959359988029</v>
      </c>
      <c r="Y141" s="1108">
        <v>378.24738541403508</v>
      </c>
      <c r="Z141" s="1108">
        <v>442.45710829132207</v>
      </c>
      <c r="AA141" s="1108">
        <v>519.21108254435933</v>
      </c>
      <c r="AB141" s="1108">
        <v>658.70801574620089</v>
      </c>
      <c r="AC141" s="1108">
        <v>811.41105774531002</v>
      </c>
      <c r="AD141" s="1108">
        <v>842.61233252092336</v>
      </c>
      <c r="AE141" s="1108">
        <v>989.48344752810476</v>
      </c>
      <c r="AF141" s="1108">
        <v>1295.745337170302</v>
      </c>
      <c r="AG141" s="1108">
        <v>1542.8557865160546</v>
      </c>
      <c r="AH141" s="1108">
        <v>1678.1076319210672</v>
      </c>
      <c r="AI141" s="1108">
        <v>1908.3643867994663</v>
      </c>
      <c r="AJ141" s="1108">
        <v>2473.4224949490526</v>
      </c>
      <c r="AK141" s="1108">
        <v>2714.5637181541724</v>
      </c>
      <c r="AL141" s="1108">
        <v>2980.0382221601849</v>
      </c>
      <c r="AM141" s="1108">
        <v>3303.4116490372553</v>
      </c>
      <c r="AN141" s="1108">
        <v>4023.4569447866184</v>
      </c>
      <c r="AO141" s="1108">
        <v>4318.4699362640222</v>
      </c>
      <c r="AP141" s="1108">
        <v>4827.9539634351177</v>
      </c>
      <c r="AQ141" s="1108">
        <v>5246.5172272705677</v>
      </c>
      <c r="AR141" s="1108">
        <v>5907.4284904647411</v>
      </c>
      <c r="AS141" s="1108">
        <v>6387.7208123885985</v>
      </c>
      <c r="AT141" s="1108">
        <v>7239.6495255537848</v>
      </c>
      <c r="AU141" s="1108">
        <v>7858.0017297963759</v>
      </c>
      <c r="AV141" s="1108">
        <v>8927.7595417011344</v>
      </c>
      <c r="AW141" s="1108">
        <v>9578.9385462084992</v>
      </c>
      <c r="AX141" s="1108">
        <v>10560.788326958758</v>
      </c>
      <c r="AY141" s="1108">
        <v>11429.030011195948</v>
      </c>
      <c r="AZ141" s="1108">
        <v>12451.041900270982</v>
      </c>
      <c r="BA141" s="1108">
        <v>12933.9797018963</v>
      </c>
      <c r="BB141" s="1108">
        <v>13844.071671288053</v>
      </c>
      <c r="BC141" s="1108">
        <v>14517.063107027399</v>
      </c>
      <c r="BD141" s="1108">
        <v>15690.918573782228</v>
      </c>
      <c r="BE141" s="1108">
        <v>16338.960093015945</v>
      </c>
      <c r="BF141" s="1108">
        <v>17384.020398888399</v>
      </c>
      <c r="BG141" s="1108">
        <v>18190.0733932722</v>
      </c>
      <c r="BH141" s="1108">
        <v>19619.240201783221</v>
      </c>
      <c r="BI141" s="1108">
        <v>20519.500124862534</v>
      </c>
      <c r="BJ141" s="1108">
        <v>21856.062463305349</v>
      </c>
      <c r="BK141" s="1108">
        <v>22734.727540832188</v>
      </c>
      <c r="BL141" s="1108">
        <v>24391.400669562761</v>
      </c>
      <c r="BM141" s="1108">
        <v>25165.227551249685</v>
      </c>
      <c r="BN141" s="1108">
        <v>26721.561680498329</v>
      </c>
      <c r="BO141" s="1108">
        <v>27621.509490516284</v>
      </c>
      <c r="BP141" s="1108">
        <v>29856.824445452457</v>
      </c>
      <c r="BQ141" s="1108">
        <v>30616.06343304722</v>
      </c>
      <c r="BR141" s="1108">
        <v>32510.84951107276</v>
      </c>
      <c r="BS141" s="1108">
        <v>33436.578365609021</v>
      </c>
      <c r="BT141" s="1108">
        <v>36210.979011687778</v>
      </c>
      <c r="BU141" s="1108">
        <v>31738.48345438845</v>
      </c>
      <c r="BV141" s="1108">
        <v>33432.139065256852</v>
      </c>
      <c r="BW141" s="1108">
        <v>34914.1306271145</v>
      </c>
      <c r="BX141" s="1108">
        <v>38387.992541875348</v>
      </c>
      <c r="BY141" s="1108">
        <v>34743.6760374074</v>
      </c>
      <c r="BZ141" s="1108">
        <v>36599.075200231797</v>
      </c>
      <c r="CA141" s="1108">
        <v>38219.237226741447</v>
      </c>
      <c r="CB141" s="1108">
        <v>42022.718446757797</v>
      </c>
      <c r="CC141" s="1108">
        <v>37135.2677566231</v>
      </c>
      <c r="CD141" s="1108">
        <v>39124.4208842917</v>
      </c>
      <c r="CE141" s="1108">
        <v>40846.672398099749</v>
      </c>
      <c r="CF141" s="1108">
        <v>44915.003303996251</v>
      </c>
    </row>
    <row r="142" spans="3:88" ht="14.45" hidden="1" outlineLevel="1">
      <c r="D142" s="1611"/>
      <c r="E142" s="1619"/>
      <c r="F142" s="1106" t="s">
        <v>1191</v>
      </c>
      <c r="O142" s="1109">
        <v>157.3853884050163</v>
      </c>
      <c r="Q142" s="1109">
        <v>103.43145393286272</v>
      </c>
      <c r="S142" s="1109">
        <v>132.55501867854102</v>
      </c>
      <c r="T142" s="1109">
        <v>118.87466465540206</v>
      </c>
      <c r="U142" s="1109">
        <v>119.67763077391795</v>
      </c>
      <c r="V142" s="1109">
        <v>120.50008112794271</v>
      </c>
      <c r="W142" s="1109">
        <v>104.34389494020475</v>
      </c>
      <c r="X142" s="1109">
        <v>123.45743295243328</v>
      </c>
      <c r="Y142" s="1109">
        <v>126.54859571794081</v>
      </c>
      <c r="Z142" s="1109">
        <v>130.89226938376558</v>
      </c>
      <c r="AA142" s="1109">
        <v>111.57453973177427</v>
      </c>
      <c r="AB142" s="1109">
        <v>106.04203606412671</v>
      </c>
      <c r="AC142" s="1109">
        <v>114.51861639628459</v>
      </c>
      <c r="AD142" s="1109">
        <v>90.439325469290822</v>
      </c>
      <c r="AE142" s="1109">
        <v>90.574408134588921</v>
      </c>
      <c r="AF142" s="1109">
        <v>96.71012135816342</v>
      </c>
      <c r="AG142" s="1109">
        <v>90.144781955921331</v>
      </c>
      <c r="AH142" s="1109">
        <v>99.155360912000091</v>
      </c>
      <c r="AI142" s="1109">
        <v>92.864710528193257</v>
      </c>
      <c r="AJ142" s="1109">
        <v>90.888010475160712</v>
      </c>
      <c r="AK142" s="1109">
        <v>75.944099369388809</v>
      </c>
      <c r="AL142" s="1109">
        <v>77.583258992076168</v>
      </c>
      <c r="AM142" s="1109">
        <v>73.10172375294816</v>
      </c>
      <c r="AN142" s="1109">
        <v>62.66759734751637</v>
      </c>
      <c r="AO142" s="1109">
        <v>59.085230064168883</v>
      </c>
      <c r="AP142" s="1109">
        <v>62.009799992947954</v>
      </c>
      <c r="AQ142" s="1109">
        <v>58.821175943955097</v>
      </c>
      <c r="AR142" s="1109">
        <v>46.824697555649827</v>
      </c>
      <c r="AS142" s="1109">
        <v>47.916296898311131</v>
      </c>
      <c r="AT142" s="1109">
        <v>49.952745622344992</v>
      </c>
      <c r="AU142" s="1109">
        <v>49.775582341590805</v>
      </c>
      <c r="AV142" s="1109">
        <v>51.127678584879192</v>
      </c>
      <c r="AW142" s="1109">
        <v>49.958628868543016</v>
      </c>
      <c r="AX142" s="1109">
        <v>45.874303578955761</v>
      </c>
      <c r="AY142" s="1109">
        <v>45.44448326931213</v>
      </c>
      <c r="AZ142" s="1109">
        <v>39.464350961882047</v>
      </c>
      <c r="BA142" s="1109">
        <v>35.025187180220307</v>
      </c>
      <c r="BB142" s="1109">
        <v>31.089377446833062</v>
      </c>
      <c r="BC142" s="1109">
        <v>27.019205416438624</v>
      </c>
      <c r="BD142" s="1109">
        <v>26.020928203933952</v>
      </c>
      <c r="BE142" s="1109">
        <v>26.325852286751523</v>
      </c>
      <c r="BF142" s="1109">
        <v>25.570141585889296</v>
      </c>
      <c r="BG142" s="1109">
        <v>25.301331675459721</v>
      </c>
      <c r="BH142" s="1109">
        <v>25.035638350483698</v>
      </c>
      <c r="BI142" s="1109">
        <v>25.58632867726724</v>
      </c>
      <c r="BJ142" s="1109">
        <v>25.72501620340315</v>
      </c>
      <c r="BK142" s="1109">
        <v>24.984254045070969</v>
      </c>
      <c r="BL142" s="1109">
        <v>24.323880123277107</v>
      </c>
      <c r="BM142" s="1109">
        <v>22.640548737140712</v>
      </c>
      <c r="BN142" s="1109">
        <v>22.261554318678307</v>
      </c>
      <c r="BO142" s="1109">
        <v>21.494790033913112</v>
      </c>
      <c r="BP142" s="1109">
        <v>22.407174765940447</v>
      </c>
      <c r="BQ142" s="1109">
        <v>21.6601891268289</v>
      </c>
      <c r="BR142" s="1109">
        <v>21.665230123131284</v>
      </c>
      <c r="BS142" s="1109">
        <v>21.052683152922231</v>
      </c>
      <c r="BT142" s="1109">
        <v>21.28208436179867</v>
      </c>
      <c r="BU142" s="1109">
        <v>3.6661147629112913</v>
      </c>
      <c r="BV142" s="1109">
        <v>2.8337910821749297</v>
      </c>
      <c r="BW142" s="1109">
        <v>4.4189696844854396</v>
      </c>
      <c r="BX142" s="1109">
        <v>6.0120261578260514</v>
      </c>
      <c r="BY142" s="1109">
        <v>9.4686079986705387</v>
      </c>
      <c r="BZ142" s="1109">
        <v>9.4727296054653873</v>
      </c>
      <c r="CA142" s="1109">
        <v>9.4663866470734419</v>
      </c>
      <c r="CB142" s="1109">
        <v>9.4683927556709993</v>
      </c>
      <c r="CC142" s="1109">
        <v>6.8835310248712585</v>
      </c>
      <c r="CD142" s="1109">
        <v>6.9000259439449136</v>
      </c>
      <c r="CE142" s="1109">
        <v>6.8746405266296717</v>
      </c>
      <c r="CF142" s="1109">
        <v>6.882669575274952</v>
      </c>
    </row>
    <row r="143" spans="3:88" ht="14.45" hidden="1" outlineLevel="1" collapsed="1">
      <c r="D143" s="1611"/>
      <c r="E143" s="1619"/>
      <c r="F143" s="1106"/>
    </row>
    <row r="144" spans="3:88" ht="14.45" collapsed="1">
      <c r="D144" s="1613" t="s">
        <v>1097</v>
      </c>
      <c r="E144" s="1612" t="s">
        <v>1095</v>
      </c>
      <c r="F144" s="1107" t="s">
        <v>1190</v>
      </c>
      <c r="G144" s="1108">
        <v>3447.7166666666667</v>
      </c>
      <c r="I144" s="1108">
        <v>3899.335</v>
      </c>
      <c r="K144" s="1108">
        <v>3830.5768729563301</v>
      </c>
      <c r="M144" s="1108">
        <v>4521.5274390192963</v>
      </c>
      <c r="O144" s="1108">
        <v>3697.1757581914362</v>
      </c>
      <c r="Q144" s="1108">
        <v>4311.2094289993602</v>
      </c>
      <c r="S144" s="1108">
        <v>4107.7405836310263</v>
      </c>
      <c r="T144" s="1108">
        <v>4989.6357040056791</v>
      </c>
      <c r="U144" s="1108">
        <v>4121.476431937579</v>
      </c>
      <c r="V144" s="1108">
        <v>4687.6683578336197</v>
      </c>
      <c r="W144" s="1108">
        <v>4600.3687489534623</v>
      </c>
      <c r="X144" s="1108">
        <v>5225.7543084881609</v>
      </c>
      <c r="Y144" s="1108">
        <v>4178.7458262739055</v>
      </c>
      <c r="Z144" s="1108">
        <v>4760.7142857142899</v>
      </c>
      <c r="AA144" s="1108">
        <v>4488.9830508474597</v>
      </c>
      <c r="AB144" s="1108">
        <v>5652.6785714285697</v>
      </c>
      <c r="AC144" s="1108">
        <v>4689</v>
      </c>
      <c r="AD144" s="1108">
        <v>5332</v>
      </c>
      <c r="AE144" s="1108">
        <v>5297</v>
      </c>
      <c r="AF144" s="1108">
        <v>6331</v>
      </c>
      <c r="AG144" s="1108">
        <v>5496</v>
      </c>
      <c r="AH144" s="1108">
        <v>6299</v>
      </c>
      <c r="AI144" s="1108">
        <v>6343</v>
      </c>
      <c r="AJ144" s="1108">
        <v>7991</v>
      </c>
      <c r="AK144" s="1108">
        <v>7058</v>
      </c>
      <c r="AL144" s="1108">
        <v>7791</v>
      </c>
      <c r="AM144" s="1108">
        <v>8053</v>
      </c>
      <c r="AN144" s="1108">
        <v>9720</v>
      </c>
      <c r="AO144" s="1108">
        <v>9192</v>
      </c>
      <c r="AP144" s="1108">
        <v>10119</v>
      </c>
      <c r="AQ144" s="1108">
        <v>10490</v>
      </c>
      <c r="AR144" s="1108">
        <v>11578</v>
      </c>
      <c r="AS144" s="1108">
        <v>11195</v>
      </c>
      <c r="AT144" s="1108">
        <v>12729</v>
      </c>
      <c r="AU144" s="1108">
        <v>13204</v>
      </c>
      <c r="AV144" s="1108">
        <v>15461</v>
      </c>
      <c r="AW144" s="1108">
        <v>15069</v>
      </c>
      <c r="AX144" s="1108">
        <v>16382</v>
      </c>
      <c r="AY144" s="1108">
        <v>17038</v>
      </c>
      <c r="AZ144" s="1108">
        <v>18831</v>
      </c>
      <c r="BA144" s="1108">
        <v>18388</v>
      </c>
      <c r="BB144" s="1108">
        <v>19594</v>
      </c>
      <c r="BC144" s="1108">
        <v>19950.272390517395</v>
      </c>
      <c r="BD144" s="1108">
        <v>21871.757727970213</v>
      </c>
      <c r="BE144" s="1108">
        <v>21670.920589416852</v>
      </c>
      <c r="BF144" s="1108">
        <v>23050.845645004443</v>
      </c>
      <c r="BG144" s="1108">
        <v>23638.301985174414</v>
      </c>
      <c r="BH144" s="1108">
        <v>25802.72116822773</v>
      </c>
      <c r="BI144" s="1108">
        <v>25854.708075342369</v>
      </c>
      <c r="BJ144" s="1108">
        <v>27434.502050401796</v>
      </c>
      <c r="BK144" s="1108">
        <v>28137.823180808075</v>
      </c>
      <c r="BL144" s="1108">
        <v>30610.730668999251</v>
      </c>
      <c r="BM144" s="1108">
        <v>30488.904102920143</v>
      </c>
      <c r="BN144" s="1108">
        <v>32257.316187780641</v>
      </c>
      <c r="BO144" s="1108">
        <v>33023.524431729711</v>
      </c>
      <c r="BP144" s="1108">
        <v>36086.558985370946</v>
      </c>
      <c r="BQ144" s="1108">
        <v>35837.509828857779</v>
      </c>
      <c r="BR144" s="1108">
        <v>37887.700190458119</v>
      </c>
      <c r="BS144" s="1108">
        <v>38761.077570696361</v>
      </c>
      <c r="BT144" s="1108">
        <v>42317.443178727619</v>
      </c>
      <c r="BU144" s="1108">
        <v>35820.119715583649</v>
      </c>
      <c r="BV144" s="1108">
        <v>37567.552708838899</v>
      </c>
      <c r="BW144" s="1108">
        <v>39114.72783858575</v>
      </c>
      <c r="BX144" s="1108">
        <v>43315.210115747301</v>
      </c>
      <c r="BY144" s="1108">
        <v>38610.136562920998</v>
      </c>
      <c r="BZ144" s="1108">
        <v>40514.072375956952</v>
      </c>
      <c r="CA144" s="1108">
        <v>42227.112375754397</v>
      </c>
      <c r="CB144" s="1108">
        <v>46734.7808117518</v>
      </c>
      <c r="CC144" s="1108">
        <v>40791.469249702648</v>
      </c>
      <c r="CD144" s="1108">
        <v>42824.456488923148</v>
      </c>
      <c r="CE144" s="1108">
        <v>44665.073820133897</v>
      </c>
      <c r="CF144" s="1108">
        <v>49413.576961332546</v>
      </c>
    </row>
    <row r="145" spans="4:84" ht="14.45" hidden="1" outlineLevel="1">
      <c r="D145" s="1611"/>
      <c r="E145" s="1619"/>
      <c r="F145" s="1107" t="s">
        <v>1191</v>
      </c>
      <c r="O145" s="1109">
        <v>7.2354870090282795</v>
      </c>
      <c r="Q145" s="1109">
        <v>10.562683867873885</v>
      </c>
      <c r="S145" s="1109">
        <v>7.2355605922297839</v>
      </c>
      <c r="T145" s="1109">
        <v>10.352879006035932</v>
      </c>
      <c r="U145" s="1109">
        <v>11.47634577031036</v>
      </c>
      <c r="V145" s="1109">
        <v>8.7320955994855574</v>
      </c>
      <c r="W145" s="1109">
        <v>11.992679559306021</v>
      </c>
      <c r="X145" s="1109">
        <v>4.7321812350534076</v>
      </c>
      <c r="Y145" s="1109">
        <v>1.3895358928305981</v>
      </c>
      <c r="Z145" s="1109">
        <v>1.5582571612303218</v>
      </c>
      <c r="AA145" s="1109">
        <v>-2.4212341267499848</v>
      </c>
      <c r="AB145" s="1109">
        <v>8.1696198814199601</v>
      </c>
      <c r="AC145" s="1109">
        <v>12.210701366851898</v>
      </c>
      <c r="AD145" s="1109">
        <v>11.999999999999902</v>
      </c>
      <c r="AE145" s="1109">
        <v>17.999999999999947</v>
      </c>
      <c r="AF145" s="1109">
        <v>12.000000000000032</v>
      </c>
      <c r="AG145" s="1109">
        <v>17.210492642354446</v>
      </c>
      <c r="AH145" s="1109">
        <v>18.135783945986496</v>
      </c>
      <c r="AI145" s="1109">
        <v>19.747026618840856</v>
      </c>
      <c r="AJ145" s="1109">
        <v>26.220186384457435</v>
      </c>
      <c r="AK145" s="1109">
        <v>28.420669577874818</v>
      </c>
      <c r="AL145" s="1109">
        <v>23.686299412605173</v>
      </c>
      <c r="AM145" s="1109">
        <v>26.958852278101848</v>
      </c>
      <c r="AN145" s="1109">
        <v>21.636841446627457</v>
      </c>
      <c r="AO145" s="1109">
        <v>30.23519410597903</v>
      </c>
      <c r="AP145" s="1109">
        <v>29.88063149788217</v>
      </c>
      <c r="AQ145" s="1109">
        <v>30.262014156215074</v>
      </c>
      <c r="AR145" s="1109">
        <v>19.115226337448561</v>
      </c>
      <c r="AS145" s="1109">
        <v>21.790687554395127</v>
      </c>
      <c r="AT145" s="1109">
        <v>25.793062555588499</v>
      </c>
      <c r="AU145" s="1109">
        <v>25.872259294566252</v>
      </c>
      <c r="AV145" s="1109">
        <v>33.537743997236134</v>
      </c>
      <c r="AW145" s="1109">
        <v>34.604734256364452</v>
      </c>
      <c r="AX145" s="1109">
        <v>28.698248094901409</v>
      </c>
      <c r="AY145" s="1109">
        <v>29.036655558921538</v>
      </c>
      <c r="AZ145" s="1109">
        <v>21.796778992303214</v>
      </c>
      <c r="BA145" s="1109">
        <v>22.025350056407195</v>
      </c>
      <c r="BB145" s="1109">
        <v>19.606885606153096</v>
      </c>
      <c r="BC145" s="1109">
        <v>17.092806611793609</v>
      </c>
      <c r="BD145" s="1109">
        <v>16.147616844406631</v>
      </c>
      <c r="BE145" s="1109">
        <v>17.853603379469501</v>
      </c>
      <c r="BF145" s="1109">
        <v>17.642368301543552</v>
      </c>
      <c r="BG145" s="1109">
        <v>18.48611147991134</v>
      </c>
      <c r="BH145" s="1109">
        <v>17.972782476602198</v>
      </c>
      <c r="BI145" s="1109">
        <v>19.305997955475409</v>
      </c>
      <c r="BJ145" s="1109">
        <v>19.017334430623695</v>
      </c>
      <c r="BK145" s="1109">
        <v>19.034874833461778</v>
      </c>
      <c r="BL145" s="1109">
        <v>18.633730409379766</v>
      </c>
      <c r="BM145" s="1109">
        <v>17.923992852958982</v>
      </c>
      <c r="BN145" s="1109">
        <v>17.579375519623156</v>
      </c>
      <c r="BO145" s="1109">
        <v>17.363465608292046</v>
      </c>
      <c r="BP145" s="1109">
        <v>17.888590689268625</v>
      </c>
      <c r="BQ145" s="1109">
        <v>17.542794283069561</v>
      </c>
      <c r="BR145" s="1109">
        <v>17.454595323123371</v>
      </c>
      <c r="BS145" s="1109">
        <v>17.374139307353538</v>
      </c>
      <c r="BT145" s="1109">
        <v>17.266495804941108</v>
      </c>
      <c r="BU145" s="1109">
        <v>-4.8524892932508008E-2</v>
      </c>
      <c r="BV145" s="1109">
        <v>-0.8449905378523036</v>
      </c>
      <c r="BW145" s="1109">
        <v>0.91238502656270459</v>
      </c>
      <c r="BX145" s="1109">
        <v>2.357814797093519</v>
      </c>
      <c r="BY145" s="1109">
        <v>7.7889657251020958</v>
      </c>
      <c r="BZ145" s="1109">
        <v>7.84325689233623</v>
      </c>
      <c r="CA145" s="1109">
        <v>7.9570655585601546</v>
      </c>
      <c r="CB145" s="1109">
        <v>7.8946187421616809</v>
      </c>
      <c r="CC145" s="1109">
        <v>5.649637325749528</v>
      </c>
      <c r="CD145" s="1109">
        <v>5.7026706462056174</v>
      </c>
      <c r="CE145" s="1109">
        <v>5.7734505326471428</v>
      </c>
      <c r="CF145" s="1109">
        <v>5.7319112298203914</v>
      </c>
    </row>
    <row r="146" spans="4:84" ht="14.45" hidden="1" outlineLevel="1" collapsed="1">
      <c r="D146" s="1611"/>
      <c r="E146" s="1619"/>
      <c r="F146" s="1107"/>
    </row>
    <row r="147" spans="4:84" ht="14.45" collapsed="1">
      <c r="D147" s="1613" t="s">
        <v>1098</v>
      </c>
      <c r="E147" s="1612" t="s">
        <v>1095</v>
      </c>
      <c r="F147" s="1106" t="s">
        <v>1190</v>
      </c>
      <c r="G147" s="1108">
        <v>992.97333333333336</v>
      </c>
      <c r="I147" s="1108">
        <v>1103.75</v>
      </c>
      <c r="K147" s="1108">
        <v>1080.7748829810166</v>
      </c>
      <c r="M147" s="1108">
        <v>1207.0690721557032</v>
      </c>
      <c r="O147" s="1108">
        <v>1094.7145129728858</v>
      </c>
      <c r="Q147" s="1108">
        <v>1167.7402597402599</v>
      </c>
      <c r="S147" s="1108">
        <v>1182.98398403138</v>
      </c>
      <c r="T147" s="1108">
        <v>1354.4089784261071</v>
      </c>
      <c r="U147" s="1108">
        <v>1243.8738891033411</v>
      </c>
      <c r="V147" s="1108">
        <v>1287.8194444444443</v>
      </c>
      <c r="W147" s="1108">
        <v>1260.2578133265256</v>
      </c>
      <c r="X147" s="1108">
        <v>1353.3751992320799</v>
      </c>
      <c r="Y147" s="1108">
        <v>1353.720421775171</v>
      </c>
      <c r="Z147" s="1108">
        <v>1413.6735454545455</v>
      </c>
      <c r="AA147" s="1108">
        <v>1396.39000153713</v>
      </c>
      <c r="AB147" s="1108">
        <v>1499.0215382961937</v>
      </c>
      <c r="AC147" s="1108">
        <v>1355</v>
      </c>
      <c r="AD147" s="1108">
        <v>1371</v>
      </c>
      <c r="AE147" s="1108">
        <v>1383</v>
      </c>
      <c r="AF147" s="1108">
        <v>1433</v>
      </c>
      <c r="AG147" s="1108">
        <v>1371</v>
      </c>
      <c r="AH147" s="1108">
        <v>1435</v>
      </c>
      <c r="AI147" s="1108">
        <v>1489</v>
      </c>
      <c r="AJ147" s="1108">
        <v>1551</v>
      </c>
      <c r="AK147" s="1108">
        <v>1450</v>
      </c>
      <c r="AL147" s="1108">
        <v>1521</v>
      </c>
      <c r="AM147" s="1108">
        <v>1542</v>
      </c>
      <c r="AN147" s="1108">
        <v>1611</v>
      </c>
      <c r="AO147" s="1108">
        <v>1545</v>
      </c>
      <c r="AP147" s="1108">
        <v>1612</v>
      </c>
      <c r="AQ147" s="1108">
        <v>1633</v>
      </c>
      <c r="AR147" s="1108">
        <v>1619</v>
      </c>
      <c r="AS147" s="1108">
        <v>1637</v>
      </c>
      <c r="AT147" s="1108">
        <v>1695</v>
      </c>
      <c r="AU147" s="1108">
        <v>1803</v>
      </c>
      <c r="AV147" s="1108">
        <v>1808</v>
      </c>
      <c r="AW147" s="1108">
        <v>1791</v>
      </c>
      <c r="AX147" s="1108">
        <v>1823</v>
      </c>
      <c r="AY147" s="1108">
        <v>1891</v>
      </c>
      <c r="AZ147" s="1108">
        <v>1902</v>
      </c>
      <c r="BA147" s="1108">
        <v>1876</v>
      </c>
      <c r="BB147" s="1108">
        <v>1862</v>
      </c>
      <c r="BC147" s="1108">
        <v>1837.108486949486</v>
      </c>
      <c r="BD147" s="1108">
        <v>1896.8788841143371</v>
      </c>
      <c r="BE147" s="1108">
        <v>1895.7288204621605</v>
      </c>
      <c r="BF147" s="1108">
        <v>1890.7761189118862</v>
      </c>
      <c r="BG147" s="1108">
        <v>1880.9301040943417</v>
      </c>
      <c r="BH147" s="1108">
        <v>1945.2797997234843</v>
      </c>
      <c r="BI147" s="1108">
        <v>1945.9332647083918</v>
      </c>
      <c r="BJ147" s="1108">
        <v>1938.8271594167747</v>
      </c>
      <c r="BK147" s="1108">
        <v>1928.3057238018901</v>
      </c>
      <c r="BL147" s="1108">
        <v>2001.8043689257238</v>
      </c>
      <c r="BM147" s="1108">
        <v>2044.9888375314615</v>
      </c>
      <c r="BN147" s="1108">
        <v>2036.0412987648415</v>
      </c>
      <c r="BO147" s="1108">
        <v>2029.3969642570571</v>
      </c>
      <c r="BP147" s="1108">
        <v>2110.9196435989616</v>
      </c>
      <c r="BQ147" s="1108">
        <v>2122.4185556368338</v>
      </c>
      <c r="BR147" s="1108">
        <v>2105.5859734140281</v>
      </c>
      <c r="BS147" s="1108">
        <v>2113.7314142587561</v>
      </c>
      <c r="BT147" s="1108">
        <v>2185.2523415601559</v>
      </c>
      <c r="BU147" s="1108">
        <v>2307.3540845684001</v>
      </c>
      <c r="BV147" s="1108">
        <v>2267.5022978607999</v>
      </c>
      <c r="BW147" s="1108">
        <v>2318.2040141706302</v>
      </c>
      <c r="BX147" s="1108">
        <v>2392.376260191395</v>
      </c>
      <c r="BY147" s="1108">
        <v>2400.9738071629499</v>
      </c>
      <c r="BZ147" s="1108">
        <v>2359.291729490375</v>
      </c>
      <c r="CA147" s="1108">
        <v>2412.8499983165002</v>
      </c>
      <c r="CB147" s="1108">
        <v>2490.607162094575</v>
      </c>
      <c r="CC147" s="1108">
        <v>2498.6220764382201</v>
      </c>
      <c r="CD147" s="1108">
        <v>2455.0230622035251</v>
      </c>
      <c r="CE147" s="1108">
        <v>2511.5903551727852</v>
      </c>
      <c r="CF147" s="1108">
        <v>2593.1079717597249</v>
      </c>
    </row>
    <row r="148" spans="4:84" ht="14.45" hidden="1" outlineLevel="1">
      <c r="D148" s="1611"/>
      <c r="E148" s="1619"/>
      <c r="F148" s="1106" t="s">
        <v>1191</v>
      </c>
      <c r="O148" s="1109">
        <v>10.246113991602908</v>
      </c>
      <c r="Q148" s="1109">
        <v>5.7975320262976169</v>
      </c>
      <c r="S148" s="1109">
        <v>9.4570203897085445</v>
      </c>
      <c r="T148" s="1109">
        <v>12.206418809759551</v>
      </c>
      <c r="U148" s="1109">
        <v>13.625413234486796</v>
      </c>
      <c r="V148" s="1109">
        <v>10.283038860961561</v>
      </c>
      <c r="W148" s="1109">
        <v>6.5321111983115214</v>
      </c>
      <c r="X148" s="1109">
        <v>-7.632695961809495E-2</v>
      </c>
      <c r="Y148" s="1109">
        <v>8.8310023736420629</v>
      </c>
      <c r="Z148" s="1109">
        <v>9.7726510927464467</v>
      </c>
      <c r="AA148" s="1109">
        <v>10.801931697711552</v>
      </c>
      <c r="AB148" s="1109">
        <v>10.761711840645164</v>
      </c>
      <c r="AC148" s="1109">
        <v>9.4523079082392186E-2</v>
      </c>
      <c r="AD148" s="1109">
        <v>-3.0186279987876907</v>
      </c>
      <c r="AE148" s="1109">
        <v>-0.95890127560283922</v>
      </c>
      <c r="AF148" s="1109">
        <v>-4.4043088514414963</v>
      </c>
      <c r="AG148" s="1109">
        <v>1.1808118081180812</v>
      </c>
      <c r="AH148" s="1109">
        <v>4.6681254558716265</v>
      </c>
      <c r="AI148" s="1109">
        <v>7.664497469269703</v>
      </c>
      <c r="AJ148" s="1109">
        <v>8.2344731332868104</v>
      </c>
      <c r="AK148" s="1109">
        <v>5.7622173595915394</v>
      </c>
      <c r="AL148" s="1109">
        <v>5.9930313588850179</v>
      </c>
      <c r="AM148" s="1109">
        <v>3.5594358629952985</v>
      </c>
      <c r="AN148" s="1109">
        <v>3.8684719535783367</v>
      </c>
      <c r="AO148" s="1109">
        <v>6.5517241379310347</v>
      </c>
      <c r="AP148" s="1109">
        <v>5.982905982905983</v>
      </c>
      <c r="AQ148" s="1109">
        <v>5.9014267185473406</v>
      </c>
      <c r="AR148" s="1109">
        <v>0.49658597144630662</v>
      </c>
      <c r="AS148" s="1109">
        <v>5.9546925566343045</v>
      </c>
      <c r="AT148" s="1109">
        <v>5.1488833746898264</v>
      </c>
      <c r="AU148" s="1109">
        <v>10.41028781383956</v>
      </c>
      <c r="AV148" s="1109">
        <v>11.673872760963558</v>
      </c>
      <c r="AW148" s="1109">
        <v>9.4074526572999382</v>
      </c>
      <c r="AX148" s="1109">
        <v>7.5516224188790559</v>
      </c>
      <c r="AY148" s="1109">
        <v>4.8807542983915697</v>
      </c>
      <c r="AZ148" s="1109">
        <v>5.1991150442477876</v>
      </c>
      <c r="BA148" s="1109">
        <v>4.7459519821328868</v>
      </c>
      <c r="BB148" s="1109">
        <v>2.1393307734503564</v>
      </c>
      <c r="BC148" s="1109">
        <v>-2.8498949259922819</v>
      </c>
      <c r="BD148" s="1109">
        <v>-0.26924899504011057</v>
      </c>
      <c r="BE148" s="1109">
        <v>1.0516428817782759</v>
      </c>
      <c r="BF148" s="1109">
        <v>1.5454414023569396</v>
      </c>
      <c r="BG148" s="1109">
        <v>2.3853581569165478</v>
      </c>
      <c r="BH148" s="1109">
        <v>2.5516081187094795</v>
      </c>
      <c r="BI148" s="1109">
        <v>2.6482925038820673</v>
      </c>
      <c r="BJ148" s="1109">
        <v>2.5413395073204752</v>
      </c>
      <c r="BK148" s="1109">
        <v>2.5187336629055381</v>
      </c>
      <c r="BL148" s="1109">
        <v>2.9057295104937753</v>
      </c>
      <c r="BM148" s="1109">
        <v>5.0903889984075956</v>
      </c>
      <c r="BN148" s="1109">
        <v>5.0140694014885812</v>
      </c>
      <c r="BO148" s="1109">
        <v>5.2424902963962241</v>
      </c>
      <c r="BP148" s="1109">
        <v>5.4508460650325645</v>
      </c>
      <c r="BQ148" s="1109">
        <v>3.7863149511778742</v>
      </c>
      <c r="BR148" s="1109">
        <v>3.4156809437694462</v>
      </c>
      <c r="BS148" s="1109">
        <v>4.1556408867780599</v>
      </c>
      <c r="BT148" s="1109">
        <v>3.5213419035914866</v>
      </c>
      <c r="BU148" s="1109">
        <v>8.7134334761823737</v>
      </c>
      <c r="BV148" s="1109">
        <v>7.6898462704060613</v>
      </c>
      <c r="BW148" s="1109">
        <v>9.6735374481614826</v>
      </c>
      <c r="BX148" s="1109">
        <v>9.4782609171517223</v>
      </c>
      <c r="BY148" s="1109">
        <v>4.057449319143478</v>
      </c>
      <c r="BZ148" s="1109">
        <v>4.0480413941000553</v>
      </c>
      <c r="CA148" s="1109">
        <v>4.0827288524789704</v>
      </c>
      <c r="CB148" s="1109">
        <v>4.1059971852137211</v>
      </c>
      <c r="CC148" s="1109">
        <v>4.0670276778510051</v>
      </c>
      <c r="CD148" s="1109">
        <v>4.0576301572433682</v>
      </c>
      <c r="CE148" s="1109">
        <v>4.0922708384349766</v>
      </c>
      <c r="CF148" s="1109">
        <v>4.1154948570431253</v>
      </c>
    </row>
    <row r="149" spans="4:84" ht="14.45" hidden="1" outlineLevel="1" collapsed="1">
      <c r="D149" s="1611"/>
      <c r="E149" s="1619"/>
      <c r="F149" s="1106"/>
    </row>
    <row r="150" spans="4:84" ht="14.45" collapsed="1">
      <c r="D150" s="1613" t="s">
        <v>1222</v>
      </c>
      <c r="E150" s="1612" t="s">
        <v>1095</v>
      </c>
      <c r="F150" s="1107" t="s">
        <v>1190</v>
      </c>
      <c r="G150" s="1108">
        <v>-1</v>
      </c>
      <c r="I150" s="1108">
        <v>-1</v>
      </c>
      <c r="AK150" s="1108">
        <v>-59</v>
      </c>
      <c r="AL150" s="1108">
        <v>57</v>
      </c>
      <c r="AM150" s="1108">
        <v>72.5</v>
      </c>
      <c r="AN150" s="1108">
        <v>81.25</v>
      </c>
      <c r="AO150" s="1108">
        <v>95</v>
      </c>
      <c r="AP150" s="1108">
        <v>100</v>
      </c>
      <c r="AQ150" s="1108">
        <v>110</v>
      </c>
      <c r="AR150" s="1108">
        <v>119</v>
      </c>
      <c r="AS150" s="1108">
        <v>112.5</v>
      </c>
      <c r="AT150" s="1108">
        <v>130</v>
      </c>
      <c r="AU150" s="1108">
        <v>145</v>
      </c>
      <c r="AV150" s="1108">
        <v>155</v>
      </c>
      <c r="AW150" s="1108">
        <v>167.5</v>
      </c>
      <c r="AX150" s="1108">
        <v>185</v>
      </c>
      <c r="AY150" s="1108">
        <v>197.5</v>
      </c>
      <c r="AZ150" s="1108">
        <v>215</v>
      </c>
      <c r="BA150" s="1108">
        <v>237.5</v>
      </c>
      <c r="BB150" s="1108">
        <v>254</v>
      </c>
      <c r="BC150" s="1108">
        <v>272</v>
      </c>
      <c r="BD150" s="1108">
        <v>295.2</v>
      </c>
      <c r="BE150" s="1108">
        <v>324.3</v>
      </c>
      <c r="BF150" s="1108">
        <v>346.98</v>
      </c>
      <c r="BG150" s="1108">
        <v>373.34</v>
      </c>
      <c r="BH150" s="1108">
        <v>405.28399999999999</v>
      </c>
      <c r="BI150" s="1108">
        <v>441.61200000000002</v>
      </c>
      <c r="BJ150" s="1108">
        <v>472.67759999999998</v>
      </c>
      <c r="BK150" s="1108">
        <v>511.08420000000001</v>
      </c>
      <c r="BL150" s="1108">
        <v>554.93723999999997</v>
      </c>
    </row>
    <row r="151" spans="4:84" ht="14.45" hidden="1" outlineLevel="1">
      <c r="D151" s="1611"/>
      <c r="E151" s="1619"/>
      <c r="F151" s="1107" t="s">
        <v>1191</v>
      </c>
      <c r="AO151" s="1109">
        <v>261.0169491525424</v>
      </c>
      <c r="AP151" s="1109">
        <v>75.438596491228068</v>
      </c>
      <c r="AQ151" s="1109">
        <v>51.724137931034484</v>
      </c>
      <c r="AR151" s="1109">
        <v>46.46153846153846</v>
      </c>
      <c r="AS151" s="1109">
        <v>18.421052631578945</v>
      </c>
      <c r="AT151" s="1109">
        <v>30</v>
      </c>
      <c r="AU151" s="1109">
        <v>31.818181818181817</v>
      </c>
      <c r="AV151" s="1109">
        <v>30.252100840336134</v>
      </c>
      <c r="AW151" s="1109">
        <v>48.888888888888886</v>
      </c>
      <c r="AX151" s="1109">
        <v>42.307692307692307</v>
      </c>
      <c r="AY151" s="1109">
        <v>36.206896551724135</v>
      </c>
      <c r="AZ151" s="1109">
        <v>38.70967741935484</v>
      </c>
      <c r="BA151" s="1109">
        <v>41.791044776119399</v>
      </c>
      <c r="BB151" s="1109">
        <v>37.297297297297298</v>
      </c>
      <c r="BC151" s="1109">
        <v>37.721518987341774</v>
      </c>
      <c r="BD151" s="1109">
        <v>37.302325581395344</v>
      </c>
      <c r="BE151" s="1109">
        <v>36.547368421052632</v>
      </c>
      <c r="BF151" s="1109">
        <v>36.606299212598429</v>
      </c>
      <c r="BG151" s="1109">
        <v>37.257352941176464</v>
      </c>
      <c r="BH151" s="1109">
        <v>37.29132791327914</v>
      </c>
      <c r="BI151" s="1109">
        <v>36.173913043478265</v>
      </c>
      <c r="BJ151" s="1109">
        <v>36.226180183295853</v>
      </c>
      <c r="BK151" s="1109">
        <v>36.895109015910442</v>
      </c>
      <c r="BL151" s="1109">
        <v>36.925523830203019</v>
      </c>
    </row>
    <row r="152" spans="4:84" ht="14.45" hidden="1" outlineLevel="1" collapsed="1">
      <c r="D152" s="1611"/>
      <c r="E152" s="1619"/>
      <c r="F152" s="1107"/>
    </row>
    <row r="153" spans="4:84" ht="14.45" collapsed="1">
      <c r="D153" s="1613" t="s">
        <v>1223</v>
      </c>
      <c r="E153" s="1612" t="s">
        <v>1095</v>
      </c>
      <c r="F153" s="1106" t="s">
        <v>1190</v>
      </c>
      <c r="AL153" s="1108">
        <v>-48</v>
      </c>
      <c r="AM153" s="1108">
        <v>-72</v>
      </c>
      <c r="AN153" s="1108">
        <v>-82.5</v>
      </c>
      <c r="AO153" s="1108">
        <v>-100</v>
      </c>
      <c r="AP153" s="1108">
        <v>-100</v>
      </c>
      <c r="AQ153" s="1108">
        <v>-110</v>
      </c>
      <c r="AR153" s="1108">
        <v>-118</v>
      </c>
      <c r="AS153" s="1108">
        <v>-109.99999999999901</v>
      </c>
      <c r="AT153" s="1108">
        <v>-130.00000000000099</v>
      </c>
      <c r="AU153" s="1108">
        <v>-145.00000000000099</v>
      </c>
      <c r="AV153" s="1108">
        <v>-155</v>
      </c>
      <c r="AW153" s="1108">
        <v>-165</v>
      </c>
      <c r="AX153" s="1108">
        <v>-185</v>
      </c>
      <c r="AY153" s="1108">
        <v>66</v>
      </c>
      <c r="AZ153" s="1108">
        <v>135</v>
      </c>
      <c r="BA153" s="1108">
        <v>135</v>
      </c>
      <c r="BB153" s="1108">
        <v>135</v>
      </c>
      <c r="BC153" s="1108">
        <v>138</v>
      </c>
      <c r="BD153" s="1108">
        <v>140</v>
      </c>
      <c r="BE153" s="1108">
        <v>141.4</v>
      </c>
      <c r="BF153" s="1108">
        <v>142.81399999999999</v>
      </c>
      <c r="BG153" s="1108">
        <v>144.24214000000001</v>
      </c>
      <c r="BH153" s="1108">
        <v>146.40577210000001</v>
      </c>
      <c r="BI153" s="1108">
        <v>147.869829821</v>
      </c>
      <c r="BJ153" s="1108">
        <v>149.34852811920999</v>
      </c>
      <c r="BK153" s="1108">
        <v>150.84201340040201</v>
      </c>
      <c r="BL153" s="1108">
        <v>152.35043353440599</v>
      </c>
    </row>
    <row r="154" spans="4:84" ht="14.45" hidden="1" outlineLevel="1">
      <c r="D154" s="1611"/>
      <c r="E154" s="1619"/>
      <c r="F154" s="1106" t="s">
        <v>1191</v>
      </c>
      <c r="AP154" s="1109">
        <v>-108.33333333333333</v>
      </c>
      <c r="AQ154" s="1109">
        <v>-52.777777777777779</v>
      </c>
      <c r="AR154" s="1109">
        <v>-43.030303030303031</v>
      </c>
      <c r="AS154" s="1109">
        <v>-9.9999999999990052</v>
      </c>
      <c r="AT154" s="1109">
        <v>-30.000000000000991</v>
      </c>
      <c r="AU154" s="1109">
        <v>-31.818181818182723</v>
      </c>
      <c r="AV154" s="1109">
        <v>-31.35593220338983</v>
      </c>
      <c r="AW154" s="1109">
        <v>-50.000000000001357</v>
      </c>
      <c r="AX154" s="1109">
        <v>-42.307692307691219</v>
      </c>
      <c r="AY154" s="1109">
        <v>145.51724137931004</v>
      </c>
      <c r="AZ154" s="1109">
        <v>187.09677419354838</v>
      </c>
      <c r="BA154" s="1109">
        <v>181.81818181818181</v>
      </c>
      <c r="BB154" s="1109">
        <v>172.97297297297297</v>
      </c>
      <c r="BC154" s="1109">
        <v>109.09090909090908</v>
      </c>
      <c r="BD154" s="1109">
        <v>3.7037037037037033</v>
      </c>
      <c r="BE154" s="1109">
        <v>4.7407407407407449</v>
      </c>
      <c r="BF154" s="1109">
        <v>5.7881481481481432</v>
      </c>
      <c r="BG154" s="1109">
        <v>4.5232898550724681</v>
      </c>
      <c r="BH154" s="1109">
        <v>4.5755515000000049</v>
      </c>
      <c r="BI154" s="1109">
        <v>4.5755514999999933</v>
      </c>
      <c r="BJ154" s="1109">
        <v>4.575551499999996</v>
      </c>
      <c r="BK154" s="1109">
        <v>4.5755514999999329</v>
      </c>
      <c r="BL154" s="1109">
        <v>4.0604009999999082</v>
      </c>
    </row>
    <row r="155" spans="4:84" ht="14.45" hidden="1" outlineLevel="1" collapsed="1">
      <c r="D155" s="1611"/>
      <c r="E155" s="1619"/>
      <c r="F155" s="1106"/>
    </row>
    <row r="156" spans="4:84" ht="14.45" collapsed="1">
      <c r="D156" s="1613" t="s">
        <v>1099</v>
      </c>
      <c r="E156" s="1612" t="s">
        <v>1095</v>
      </c>
      <c r="F156" s="1107" t="s">
        <v>1190</v>
      </c>
      <c r="O156" s="1108">
        <v>72.491680331956672</v>
      </c>
      <c r="Q156" s="1108">
        <v>71.345518780821251</v>
      </c>
      <c r="S156" s="1108">
        <v>-9.5337920513563663</v>
      </c>
      <c r="T156" s="1108">
        <v>-312.40226898757123</v>
      </c>
      <c r="U156" s="1108">
        <v>98.79833355758673</v>
      </c>
      <c r="V156" s="1108">
        <v>65.499265780097502</v>
      </c>
      <c r="W156" s="1108">
        <v>33.746905171764276</v>
      </c>
      <c r="X156" s="1108">
        <v>-298.9082920932305</v>
      </c>
      <c r="Y156" s="1108">
        <v>65.580299292349082</v>
      </c>
      <c r="Z156" s="1108">
        <v>84.036376848805119</v>
      </c>
      <c r="AA156" s="1108">
        <v>39.907189031262632</v>
      </c>
      <c r="AB156" s="1108">
        <v>43.134568699826332</v>
      </c>
      <c r="AC156" s="1108">
        <v>53</v>
      </c>
      <c r="AD156" s="1108">
        <v>55</v>
      </c>
      <c r="AE156" s="1108">
        <v>50</v>
      </c>
      <c r="AF156" s="1108">
        <v>58</v>
      </c>
      <c r="AG156" s="1108">
        <v>55</v>
      </c>
      <c r="AH156" s="1108">
        <v>61</v>
      </c>
      <c r="AI156" s="1108">
        <v>64</v>
      </c>
      <c r="AJ156" s="1108">
        <v>64</v>
      </c>
      <c r="AK156" s="1108">
        <v>59</v>
      </c>
      <c r="AL156" s="1108">
        <v>66</v>
      </c>
      <c r="AM156" s="1108">
        <v>54</v>
      </c>
      <c r="AN156" s="1108">
        <v>60</v>
      </c>
      <c r="AO156" s="1108">
        <v>108</v>
      </c>
      <c r="AP156" s="1108">
        <v>138</v>
      </c>
      <c r="AQ156" s="1108">
        <v>158</v>
      </c>
      <c r="AR156" s="1108">
        <v>174</v>
      </c>
      <c r="AS156" s="1108">
        <v>154</v>
      </c>
      <c r="AT156" s="1108">
        <v>177</v>
      </c>
      <c r="AU156" s="1108">
        <v>111</v>
      </c>
      <c r="AV156" s="1108">
        <v>106</v>
      </c>
      <c r="AW156" s="1108">
        <v>104</v>
      </c>
      <c r="AX156" s="1108">
        <v>57</v>
      </c>
      <c r="AY156" s="1108">
        <v>122</v>
      </c>
      <c r="AZ156" s="1108">
        <v>175</v>
      </c>
      <c r="BA156" s="1108">
        <v>61</v>
      </c>
      <c r="BB156" s="1108">
        <v>52</v>
      </c>
      <c r="BC156" s="1108">
        <v>71.527777777777828</v>
      </c>
      <c r="BD156" s="1108">
        <v>83.507068888888838</v>
      </c>
      <c r="BE156" s="1108">
        <v>73.345882352941175</v>
      </c>
      <c r="BF156" s="1108">
        <v>63.315294117647056</v>
      </c>
      <c r="BG156" s="1108">
        <v>73.415176470588236</v>
      </c>
      <c r="BH156" s="1108">
        <v>86.392000941176349</v>
      </c>
      <c r="BI156" s="1108">
        <v>73.260666666666665</v>
      </c>
      <c r="BJ156" s="1108">
        <v>61.282666666666664</v>
      </c>
      <c r="BK156" s="1108">
        <v>73.703000000000003</v>
      </c>
      <c r="BL156" s="1108">
        <v>89.726701028571313</v>
      </c>
      <c r="BM156" s="1108">
        <v>95.769428571428577</v>
      </c>
      <c r="BN156" s="1108">
        <v>74.218285714285713</v>
      </c>
      <c r="BO156" s="1108">
        <v>80.921199999999999</v>
      </c>
      <c r="BP156" s="1108">
        <v>107.12245714285714</v>
      </c>
      <c r="BQ156" s="1108">
        <v>109.6772</v>
      </c>
      <c r="BR156" s="1108">
        <v>83.105599999999995</v>
      </c>
      <c r="BS156" s="1108">
        <v>79.909679999999994</v>
      </c>
      <c r="BT156" s="1108">
        <v>105.01143999999999</v>
      </c>
      <c r="BU156" s="1108">
        <v>30.5</v>
      </c>
      <c r="BV156" s="1108">
        <v>26</v>
      </c>
      <c r="BW156" s="1108">
        <v>61</v>
      </c>
      <c r="BX156" s="1108">
        <v>87.500000000024997</v>
      </c>
      <c r="BY156" s="1108">
        <v>30.5</v>
      </c>
      <c r="BZ156" s="1108">
        <v>26.000000000025</v>
      </c>
      <c r="CA156" s="1108">
        <v>60.999999999975003</v>
      </c>
      <c r="CB156" s="1108">
        <v>87.499999999980005</v>
      </c>
      <c r="CC156" s="1108">
        <v>30.500000000010001</v>
      </c>
      <c r="CD156" s="1108">
        <v>25.999999999980002</v>
      </c>
      <c r="CE156" s="1108">
        <v>61.000000000005002</v>
      </c>
      <c r="CF156" s="1108">
        <v>87.500000000005002</v>
      </c>
    </row>
    <row r="157" spans="4:84" ht="14.45" hidden="1" outlineLevel="1">
      <c r="D157" s="1611"/>
      <c r="E157" s="1619"/>
      <c r="F157" s="1107" t="s">
        <v>1191</v>
      </c>
      <c r="U157" s="1109">
        <v>36.289203264658269</v>
      </c>
      <c r="V157" s="1109">
        <v>-8.1942819964402727</v>
      </c>
      <c r="W157" s="1109">
        <v>453.97148364446576</v>
      </c>
      <c r="X157" s="1109">
        <v>4.3194234593979797</v>
      </c>
      <c r="Y157" s="1109">
        <v>-33.622059268718132</v>
      </c>
      <c r="Z157" s="1109">
        <v>28.301250171174093</v>
      </c>
      <c r="AA157" s="1109">
        <v>18.254366817175903</v>
      </c>
      <c r="AB157" s="1109">
        <v>114.43070327616489</v>
      </c>
      <c r="AC157" s="1109">
        <v>-19.183046475996733</v>
      </c>
      <c r="AD157" s="1109">
        <v>-34.552152219801435</v>
      </c>
      <c r="AE157" s="1109">
        <v>25.29070880144133</v>
      </c>
      <c r="AF157" s="1109">
        <v>34.462918601602986</v>
      </c>
      <c r="AG157" s="1109">
        <v>3.7735849056603774</v>
      </c>
      <c r="AH157" s="1109">
        <v>10.909090909090908</v>
      </c>
      <c r="AI157" s="1109">
        <v>28.000000000000004</v>
      </c>
      <c r="AJ157" s="1109">
        <v>10.344827586206897</v>
      </c>
      <c r="AK157" s="1109">
        <v>7.2727272727272725</v>
      </c>
      <c r="AL157" s="1109">
        <v>8.1967213114754092</v>
      </c>
      <c r="AM157" s="1109">
        <v>-15.625</v>
      </c>
      <c r="AN157" s="1109">
        <v>-6.25</v>
      </c>
      <c r="AO157" s="1109">
        <v>83.050847457627114</v>
      </c>
      <c r="AP157" s="1109">
        <v>109.09090909090908</v>
      </c>
      <c r="AQ157" s="1109">
        <v>192.59259259259258</v>
      </c>
      <c r="AR157" s="1109">
        <v>190</v>
      </c>
      <c r="AS157" s="1109">
        <v>42.592592592592595</v>
      </c>
      <c r="AT157" s="1109">
        <v>28.260869565217391</v>
      </c>
      <c r="AU157" s="1109">
        <v>-29.746835443037973</v>
      </c>
      <c r="AV157" s="1109">
        <v>-39.080459770114942</v>
      </c>
      <c r="AW157" s="1109">
        <v>-32.467532467532465</v>
      </c>
      <c r="AX157" s="1109">
        <v>-67.796610169491515</v>
      </c>
      <c r="AY157" s="1109">
        <v>9.9099099099099099</v>
      </c>
      <c r="AZ157" s="1109">
        <v>65.094339622641513</v>
      </c>
      <c r="BA157" s="1109">
        <v>-41.346153846153847</v>
      </c>
      <c r="BB157" s="1109">
        <v>-8.7719298245614024</v>
      </c>
      <c r="BC157" s="1109">
        <v>-41.370673952641127</v>
      </c>
      <c r="BD157" s="1109">
        <v>-52.281674920634948</v>
      </c>
      <c r="BE157" s="1109">
        <v>20.239151398264219</v>
      </c>
      <c r="BF157" s="1109">
        <v>21.76018099547511</v>
      </c>
      <c r="BG157" s="1109">
        <v>2.6386933181038685</v>
      </c>
      <c r="BH157" s="1109">
        <v>3.4547159787467638</v>
      </c>
      <c r="BI157" s="1109">
        <v>-0.11618332691731793</v>
      </c>
      <c r="BJ157" s="1109">
        <v>-3.2103261610118055</v>
      </c>
      <c r="BK157" s="1109">
        <v>0.39204908746228484</v>
      </c>
      <c r="BL157" s="1109">
        <v>3.8599639446544778</v>
      </c>
      <c r="BM157" s="1109">
        <v>30.724211133889824</v>
      </c>
      <c r="BN157" s="1109">
        <v>21.108120372730273</v>
      </c>
      <c r="BO157" s="1109">
        <v>9.7936311954737203</v>
      </c>
      <c r="BP157" s="1109">
        <v>19.387491030954731</v>
      </c>
      <c r="BQ157" s="1109">
        <v>14.522140975497692</v>
      </c>
      <c r="BR157" s="1109">
        <v>11.974561525076604</v>
      </c>
      <c r="BS157" s="1109">
        <v>-1.2500061788505414</v>
      </c>
      <c r="BT157" s="1109">
        <v>-1.9706578799270118</v>
      </c>
      <c r="BU157" s="1109">
        <v>-72.19112085282994</v>
      </c>
      <c r="BV157" s="1109">
        <v>-68.714502993781394</v>
      </c>
      <c r="BW157" s="1109">
        <v>-23.663816448770657</v>
      </c>
      <c r="BX157" s="1109">
        <v>-16.675745042611545</v>
      </c>
      <c r="BY157" s="1109">
        <v>0</v>
      </c>
      <c r="BZ157" s="1109">
        <v>9.6155562145073551E-11</v>
      </c>
      <c r="CA157" s="1109">
        <v>-4.0978513842689052E-11</v>
      </c>
      <c r="CB157" s="1109">
        <v>-5.1418932603790503E-11</v>
      </c>
      <c r="CC157" s="1109">
        <v>3.2789800019093149E-11</v>
      </c>
      <c r="CD157" s="1109">
        <v>-1.7307181329093799E-10</v>
      </c>
      <c r="CE157" s="1109">
        <v>4.9178875907874952E-11</v>
      </c>
      <c r="CF157" s="1109">
        <v>2.85678782217669E-11</v>
      </c>
    </row>
    <row r="158" spans="4:84" ht="14.45" hidden="1" outlineLevel="1" collapsed="1">
      <c r="D158" s="1611"/>
      <c r="E158" s="1619"/>
      <c r="F158" s="1107"/>
    </row>
    <row r="159" spans="4:84" ht="14.45" collapsed="1">
      <c r="D159" s="1610" t="s">
        <v>1100</v>
      </c>
      <c r="E159" s="1612" t="s">
        <v>1095</v>
      </c>
      <c r="F159" s="1106" t="s">
        <v>1190</v>
      </c>
      <c r="G159" s="1108">
        <v>4553.0256156321429</v>
      </c>
      <c r="I159" s="1108">
        <v>5198.7262404662997</v>
      </c>
      <c r="K159" s="1108">
        <v>4998.4664370917599</v>
      </c>
      <c r="M159" s="1108">
        <v>5724.6368131657437</v>
      </c>
      <c r="O159" s="1108">
        <v>4859</v>
      </c>
      <c r="Q159" s="1108">
        <v>5521</v>
      </c>
      <c r="S159" s="1108">
        <v>5287</v>
      </c>
      <c r="T159" s="1108">
        <v>6065</v>
      </c>
      <c r="U159" s="1108">
        <v>5475</v>
      </c>
      <c r="V159" s="1108">
        <v>6041</v>
      </c>
      <c r="W159" s="1108">
        <v>5903</v>
      </c>
      <c r="X159" s="1108">
        <v>6296</v>
      </c>
      <c r="Y159" s="1108">
        <v>5583</v>
      </c>
      <c r="Z159" s="1108">
        <v>6260</v>
      </c>
      <c r="AA159" s="1108">
        <v>5923</v>
      </c>
      <c r="AB159" s="1108">
        <v>7186</v>
      </c>
      <c r="AC159" s="1108">
        <v>6097</v>
      </c>
      <c r="AD159" s="1108">
        <v>6758</v>
      </c>
      <c r="AE159" s="1108">
        <v>6730</v>
      </c>
      <c r="AF159" s="1108">
        <v>7822</v>
      </c>
      <c r="AG159" s="1108">
        <v>6922</v>
      </c>
      <c r="AH159" s="1108">
        <v>7795</v>
      </c>
      <c r="AI159" s="1108">
        <v>7896</v>
      </c>
      <c r="AJ159" s="1108">
        <v>9606</v>
      </c>
      <c r="AK159" s="1108">
        <v>8567</v>
      </c>
      <c r="AL159" s="1108">
        <v>9378</v>
      </c>
      <c r="AM159" s="1108">
        <v>9649</v>
      </c>
      <c r="AN159" s="1108">
        <v>11391</v>
      </c>
      <c r="AO159" s="1108">
        <v>10845</v>
      </c>
      <c r="AP159" s="1108">
        <v>11869</v>
      </c>
      <c r="AQ159" s="1108">
        <v>12281</v>
      </c>
      <c r="AR159" s="1108">
        <v>13371</v>
      </c>
      <c r="AS159" s="1108">
        <v>12986</v>
      </c>
      <c r="AT159" s="1108">
        <v>14601</v>
      </c>
      <c r="AU159" s="1108">
        <v>15118</v>
      </c>
      <c r="AV159" s="1108">
        <v>17375</v>
      </c>
      <c r="AW159" s="1108">
        <v>16964</v>
      </c>
      <c r="AX159" s="1108">
        <v>18262</v>
      </c>
      <c r="AY159" s="1108">
        <v>19051</v>
      </c>
      <c r="AZ159" s="1108">
        <v>20909</v>
      </c>
      <c r="BA159" s="1108">
        <v>20325</v>
      </c>
      <c r="BB159" s="1108">
        <v>21508</v>
      </c>
      <c r="BC159" s="1108">
        <v>21869.884574423617</v>
      </c>
      <c r="BD159" s="1108">
        <v>23858.676269355645</v>
      </c>
      <c r="BE159" s="1108">
        <v>23589.362182921239</v>
      </c>
      <c r="BF159" s="1108">
        <v>24907.306935713292</v>
      </c>
      <c r="BG159" s="1108">
        <v>25510.651048384534</v>
      </c>
      <c r="BH159" s="1108">
        <v>27682.610028441948</v>
      </c>
      <c r="BI159" s="1108">
        <v>27795.210655362844</v>
      </c>
      <c r="BJ159" s="1108">
        <v>29396.356075926411</v>
      </c>
      <c r="BK159" s="1108">
        <v>30187.460822320019</v>
      </c>
      <c r="BL159" s="1108">
        <v>32814.611989653735</v>
      </c>
      <c r="BM159" s="1108">
        <v>32584.559619023028</v>
      </c>
      <c r="BN159" s="1108">
        <v>34339.360772259774</v>
      </c>
      <c r="BO159" s="1108">
        <v>35113.58125598677</v>
      </c>
      <c r="BP159" s="1108">
        <v>38275.241151112758</v>
      </c>
      <c r="BQ159" s="1108">
        <v>38006.461734494616</v>
      </c>
      <c r="BR159" s="1108">
        <v>40036.890763872179</v>
      </c>
      <c r="BS159" s="1108">
        <v>40926.352788955119</v>
      </c>
      <c r="BT159" s="1108">
        <v>44566.603051287777</v>
      </c>
      <c r="BU159" s="1108">
        <v>38157.973800152053</v>
      </c>
      <c r="BV159" s="1108">
        <v>39861.055006699702</v>
      </c>
      <c r="BW159" s="1108">
        <v>41493.931852756403</v>
      </c>
      <c r="BX159" s="1108">
        <v>45795.086375938699</v>
      </c>
      <c r="BY159" s="1108">
        <v>41041.610370083952</v>
      </c>
      <c r="BZ159" s="1108">
        <v>42899.364105447348</v>
      </c>
      <c r="CA159" s="1108">
        <v>44700.962374070848</v>
      </c>
      <c r="CB159" s="1108">
        <v>49312.887973846351</v>
      </c>
      <c r="CC159" s="1108">
        <v>43320.59132614085</v>
      </c>
      <c r="CD159" s="1108">
        <v>45305.479551126649</v>
      </c>
      <c r="CE159" s="1108">
        <v>47237.664175306702</v>
      </c>
      <c r="CF159" s="1108">
        <v>52094.1849330923</v>
      </c>
    </row>
    <row r="160" spans="4:84" ht="14.45" hidden="1" outlineLevel="1">
      <c r="D160" s="1611"/>
      <c r="E160" s="1619"/>
      <c r="F160" s="1106" t="s">
        <v>1191</v>
      </c>
      <c r="O160" s="1109">
        <v>6.7202429812241578</v>
      </c>
      <c r="Q160" s="1109">
        <v>6.1990907893006106</v>
      </c>
      <c r="S160" s="1109">
        <v>5.7724417386728835</v>
      </c>
      <c r="T160" s="1109">
        <v>5.9455856841690951</v>
      </c>
      <c r="U160" s="1109">
        <v>12.67750565960074</v>
      </c>
      <c r="V160" s="1109">
        <v>9.4185835899293604</v>
      </c>
      <c r="W160" s="1109">
        <v>11.651219973519956</v>
      </c>
      <c r="X160" s="1109">
        <v>3.8087386644682608</v>
      </c>
      <c r="Y160" s="1109">
        <v>1.9726027397260273</v>
      </c>
      <c r="Z160" s="1109">
        <v>3.6252276113226287</v>
      </c>
      <c r="AA160" s="1109">
        <v>0.33881077418261901</v>
      </c>
      <c r="AB160" s="1109">
        <v>14.135959339263025</v>
      </c>
      <c r="AC160" s="1109">
        <v>9.2065197922264019</v>
      </c>
      <c r="AD160" s="1109">
        <v>7.9552715654952078</v>
      </c>
      <c r="AE160" s="1109">
        <v>13.624852270808713</v>
      </c>
      <c r="AF160" s="1109">
        <v>8.850542721959366</v>
      </c>
      <c r="AG160" s="1109">
        <v>13.531244874528456</v>
      </c>
      <c r="AH160" s="1109">
        <v>15.344776561112756</v>
      </c>
      <c r="AI160" s="1109">
        <v>17.325408618127785</v>
      </c>
      <c r="AJ160" s="1109">
        <v>22.807466121196626</v>
      </c>
      <c r="AK160" s="1109">
        <v>23.764807859000289</v>
      </c>
      <c r="AL160" s="1109">
        <v>20.307889672867223</v>
      </c>
      <c r="AM160" s="1109">
        <v>22.20111448834853</v>
      </c>
      <c r="AN160" s="1109">
        <v>18.582136164896941</v>
      </c>
      <c r="AO160" s="1109">
        <v>26.590405042605347</v>
      </c>
      <c r="AP160" s="1109">
        <v>26.562166773299211</v>
      </c>
      <c r="AQ160" s="1109">
        <v>27.277438076484611</v>
      </c>
      <c r="AR160" s="1109">
        <v>17.382143797735054</v>
      </c>
      <c r="AS160" s="1109">
        <v>19.741816505301983</v>
      </c>
      <c r="AT160" s="1109">
        <v>23.017945909512175</v>
      </c>
      <c r="AU160" s="1109">
        <v>23.100724696685937</v>
      </c>
      <c r="AV160" s="1109">
        <v>29.945404233041657</v>
      </c>
      <c r="AW160" s="1109">
        <v>30.63298937317111</v>
      </c>
      <c r="AX160" s="1109">
        <v>25.073625094171632</v>
      </c>
      <c r="AY160" s="1109">
        <v>26.015345945230848</v>
      </c>
      <c r="AZ160" s="1109">
        <v>20.339568345323741</v>
      </c>
      <c r="BA160" s="1109">
        <v>19.812544211270929</v>
      </c>
      <c r="BB160" s="1109">
        <v>17.774613952469608</v>
      </c>
      <c r="BC160" s="1109">
        <v>14.796517633843981</v>
      </c>
      <c r="BD160" s="1109">
        <v>14.107208710869218</v>
      </c>
      <c r="BE160" s="1109">
        <v>16.060822548197979</v>
      </c>
      <c r="BF160" s="1109">
        <v>15.804849059481549</v>
      </c>
      <c r="BG160" s="1109">
        <v>16.647396841859511</v>
      </c>
      <c r="BH160" s="1109">
        <v>16.027434698872238</v>
      </c>
      <c r="BI160" s="1109">
        <v>17.829428535743329</v>
      </c>
      <c r="BJ160" s="1109">
        <v>18.023020922332254</v>
      </c>
      <c r="BK160" s="1109">
        <v>18.33277310353726</v>
      </c>
      <c r="BL160" s="1109">
        <v>18.538721442591623</v>
      </c>
      <c r="BM160" s="1109">
        <v>17.23084247514462</v>
      </c>
      <c r="BN160" s="1109">
        <v>16.815025248593116</v>
      </c>
      <c r="BO160" s="1109">
        <v>16.318432552712327</v>
      </c>
      <c r="BP160" s="1109">
        <v>16.64084634973203</v>
      </c>
      <c r="BQ160" s="1109">
        <v>16.63948256126271</v>
      </c>
      <c r="BR160" s="1109">
        <v>16.591834744387608</v>
      </c>
      <c r="BS160" s="1109">
        <v>16.554197336329192</v>
      </c>
      <c r="BT160" s="1109">
        <v>16.4371580974144</v>
      </c>
      <c r="BU160" s="1109">
        <v>0.39864817387071882</v>
      </c>
      <c r="BV160" s="1109">
        <v>-0.4391843467803575</v>
      </c>
      <c r="BW160" s="1109">
        <v>1.3868303064485574</v>
      </c>
      <c r="BX160" s="1109">
        <v>2.756511020678801</v>
      </c>
      <c r="BY160" s="1109">
        <v>7.5571008697542759</v>
      </c>
      <c r="BZ160" s="1109">
        <v>7.622249582297755</v>
      </c>
      <c r="CA160" s="1109">
        <v>7.7289145138011435</v>
      </c>
      <c r="CB160" s="1109">
        <v>7.681613632147112</v>
      </c>
      <c r="CC160" s="1109">
        <v>5.5528546163434465</v>
      </c>
      <c r="CD160" s="1109">
        <v>5.6087438493610993</v>
      </c>
      <c r="CE160" s="1109">
        <v>5.6748259243458419</v>
      </c>
      <c r="CF160" s="1109">
        <v>5.6401015505744478</v>
      </c>
    </row>
    <row r="161" spans="4:84" ht="14.45" hidden="1" outlineLevel="1" collapsed="1">
      <c r="D161" s="1611"/>
      <c r="E161" s="1619"/>
      <c r="F161" s="1106"/>
    </row>
    <row r="162" spans="4:84" ht="14.45" collapsed="1">
      <c r="D162" s="1610" t="s">
        <v>1101</v>
      </c>
      <c r="E162" s="1612" t="s">
        <v>1095</v>
      </c>
      <c r="F162" s="1107" t="s">
        <v>1190</v>
      </c>
      <c r="G162" s="1108">
        <v>1111.1576020836894</v>
      </c>
      <c r="I162" s="1108">
        <v>1240.7625022852999</v>
      </c>
      <c r="K162" s="1108">
        <v>1274.66924293273</v>
      </c>
      <c r="M162" s="1108">
        <v>1430.045011086155</v>
      </c>
      <c r="O162" s="1108">
        <v>1291.72209990437</v>
      </c>
      <c r="Q162" s="1108">
        <v>1429.7307057750099</v>
      </c>
      <c r="S162" s="1108">
        <v>1394.5562937392867</v>
      </c>
      <c r="T162" s="1108">
        <v>1368.0369406250809</v>
      </c>
      <c r="U162" s="1108">
        <v>1417.6892538333325</v>
      </c>
      <c r="V162" s="1108">
        <v>1527.5813228571426</v>
      </c>
      <c r="W162" s="1108">
        <v>1561.3203277777777</v>
      </c>
      <c r="X162" s="1108">
        <v>1596.00010315962</v>
      </c>
      <c r="Y162" s="1108">
        <v>1456.6192973990187</v>
      </c>
      <c r="Z162" s="1108">
        <v>1639.4031665616521</v>
      </c>
      <c r="AA162" s="1108">
        <v>1758.1192498477933</v>
      </c>
      <c r="AB162" s="1108">
        <v>2180.3718306752644</v>
      </c>
      <c r="AC162" s="1108">
        <v>1983.0704126169001</v>
      </c>
      <c r="AD162" s="1108">
        <v>2132.6602162022737</v>
      </c>
      <c r="AE162" s="1108">
        <v>2164.2830319619593</v>
      </c>
      <c r="AF162" s="1108">
        <v>2526.4205703100611</v>
      </c>
      <c r="AG162" s="1108">
        <v>2319.5699491601599</v>
      </c>
      <c r="AH162" s="1108">
        <v>2508.4054758936318</v>
      </c>
      <c r="AI162" s="1108">
        <v>2559.3532894158952</v>
      </c>
      <c r="AJ162" s="1108">
        <v>3058.3719852377662</v>
      </c>
      <c r="AK162" s="1108">
        <v>2682.1433978896116</v>
      </c>
      <c r="AL162" s="1108">
        <v>2989.9306239237294</v>
      </c>
      <c r="AM162" s="1108">
        <v>3143.1421655109771</v>
      </c>
      <c r="AN162" s="1108">
        <v>3579.3767916291608</v>
      </c>
      <c r="AO162" s="1108">
        <v>3339.9079486650026</v>
      </c>
      <c r="AP162" s="1108">
        <v>3660.1339983878102</v>
      </c>
      <c r="AQ162" s="1108">
        <v>3790.4801697658554</v>
      </c>
      <c r="AR162" s="1108">
        <v>4116.8682001051693</v>
      </c>
      <c r="AS162" s="1108">
        <v>3560.8172576381735</v>
      </c>
      <c r="AT162" s="1108">
        <v>4018.2821670555454</v>
      </c>
      <c r="AU162" s="1108">
        <v>4343.9135534111683</v>
      </c>
      <c r="AV162" s="1108">
        <v>5073.6121383683239</v>
      </c>
      <c r="AW162" s="1108">
        <v>4873.797732969324</v>
      </c>
      <c r="AX162" s="1108">
        <v>5478.9746596436398</v>
      </c>
      <c r="AY162" s="1108">
        <v>5700.9241303960043</v>
      </c>
      <c r="AZ162" s="1108">
        <v>6453.0591059416383</v>
      </c>
      <c r="BA162" s="1108">
        <v>5820.54296243114</v>
      </c>
      <c r="BB162" s="1108">
        <v>6432.3653288304567</v>
      </c>
      <c r="BC162" s="1108">
        <v>6561.2344065653597</v>
      </c>
      <c r="BD162" s="1108">
        <v>7212.3588011780876</v>
      </c>
      <c r="BE162" s="1108">
        <v>7063.3605829805438</v>
      </c>
      <c r="BF162" s="1108">
        <v>7528.0393290417587</v>
      </c>
      <c r="BG162" s="1108">
        <v>7734.0797256949591</v>
      </c>
      <c r="BH162" s="1108">
        <v>8507.5026733390332</v>
      </c>
      <c r="BI162" s="1108">
        <v>8401.8661370146892</v>
      </c>
      <c r="BJ162" s="1108">
        <v>8918.0193763896677</v>
      </c>
      <c r="BK162" s="1108">
        <v>9079.8824175225982</v>
      </c>
      <c r="BL162" s="1108">
        <v>10095.384143451214</v>
      </c>
      <c r="BM162" s="1108">
        <v>9721.5892355862707</v>
      </c>
      <c r="BN162" s="1108">
        <v>10420.921778685874</v>
      </c>
      <c r="BO162" s="1108">
        <v>10472.843618361279</v>
      </c>
      <c r="BP162" s="1108">
        <v>11561.392730462583</v>
      </c>
      <c r="BQ162" s="1108">
        <v>11388.931203512793</v>
      </c>
      <c r="BR162" s="1108">
        <v>12329.100148292942</v>
      </c>
      <c r="BS162" s="1108">
        <v>12131.562980225703</v>
      </c>
      <c r="BT162" s="1108">
        <v>19410.73749587885</v>
      </c>
      <c r="BU162" s="1108">
        <v>9803.3743561184692</v>
      </c>
      <c r="BV162" s="1108">
        <v>10301.3204220179</v>
      </c>
      <c r="BW162" s="1108">
        <v>10612.742200128299</v>
      </c>
      <c r="BX162" s="1108">
        <v>11605.528111158501</v>
      </c>
      <c r="BY162" s="1108">
        <v>10616.3783470669</v>
      </c>
      <c r="BZ162" s="1108">
        <v>11162.690256842199</v>
      </c>
      <c r="CA162" s="1108">
        <v>11499.0525675342</v>
      </c>
      <c r="CB162" s="1108">
        <v>12582.010266998401</v>
      </c>
      <c r="CC162" s="1108">
        <v>11418.188131384901</v>
      </c>
      <c r="CD162" s="1108">
        <v>12012.0303756551</v>
      </c>
      <c r="CE162" s="1108">
        <v>12372.795249603199</v>
      </c>
      <c r="CF162" s="1108">
        <v>13544.2706537799</v>
      </c>
    </row>
    <row r="163" spans="4:84" ht="14.45" hidden="1" outlineLevel="1">
      <c r="D163" s="1611"/>
      <c r="E163" s="1619"/>
      <c r="F163" s="1107" t="s">
        <v>1191</v>
      </c>
      <c r="O163" s="1109">
        <v>16.250124868162573</v>
      </c>
      <c r="Q163" s="1109">
        <v>15.230005995640482</v>
      </c>
      <c r="S163" s="1109">
        <v>9.4053458551116655</v>
      </c>
      <c r="T163" s="1109">
        <v>-4.3360922195013591</v>
      </c>
      <c r="U163" s="1109">
        <v>9.7518772759472192</v>
      </c>
      <c r="V163" s="1109">
        <v>6.8439893391735662</v>
      </c>
      <c r="W163" s="1109">
        <v>11.958214579587825</v>
      </c>
      <c r="X163" s="1109">
        <v>16.663523898000783</v>
      </c>
      <c r="Y163" s="1109">
        <v>2.7460209252783785</v>
      </c>
      <c r="Z163" s="1109">
        <v>7.3201892450060395</v>
      </c>
      <c r="AA163" s="1109">
        <v>12.604647398021063</v>
      </c>
      <c r="AB163" s="1109">
        <v>36.614767527818877</v>
      </c>
      <c r="AC163" s="1109">
        <v>36.141984124330058</v>
      </c>
      <c r="AD163" s="1109">
        <v>30.08759893242965</v>
      </c>
      <c r="AE163" s="1109">
        <v>23.102174789868723</v>
      </c>
      <c r="AF163" s="1109">
        <v>15.871088351367337</v>
      </c>
      <c r="AG163" s="1109">
        <v>16.968612632327474</v>
      </c>
      <c r="AH163" s="1109">
        <v>17.618618138826868</v>
      </c>
      <c r="AI163" s="1109">
        <v>18.254093924850395</v>
      </c>
      <c r="AJ163" s="1109">
        <v>21.055536880085651</v>
      </c>
      <c r="AK163" s="1109">
        <v>15.631063372791479</v>
      </c>
      <c r="AL163" s="1109">
        <v>19.196463755866738</v>
      </c>
      <c r="AM163" s="1109">
        <v>22.810015268674231</v>
      </c>
      <c r="AN163" s="1109">
        <v>17.035364203772296</v>
      </c>
      <c r="AO163" s="1109">
        <v>24.523839825004853</v>
      </c>
      <c r="AP163" s="1109">
        <v>22.415348674029204</v>
      </c>
      <c r="AQ163" s="1109">
        <v>20.595250553983178</v>
      </c>
      <c r="AR163" s="1109">
        <v>15.016340546572302</v>
      </c>
      <c r="AS163" s="1109">
        <v>6.6142334569870647</v>
      </c>
      <c r="AT163" s="1109">
        <v>9.7851108409006287</v>
      </c>
      <c r="AU163" s="1109">
        <v>14.600614140120918</v>
      </c>
      <c r="AV163" s="1109">
        <v>23.239605733278363</v>
      </c>
      <c r="AW163" s="1109">
        <v>36.873009209184382</v>
      </c>
      <c r="AX163" s="1109">
        <v>36.351167784178735</v>
      </c>
      <c r="AY163" s="1109">
        <v>31.239355026280602</v>
      </c>
      <c r="AZ163" s="1109">
        <v>27.188656325174776</v>
      </c>
      <c r="BA163" s="1109">
        <v>19.425205585727472</v>
      </c>
      <c r="BB163" s="1109">
        <v>17.400895759003689</v>
      </c>
      <c r="BC163" s="1109">
        <v>15.09071611008434</v>
      </c>
      <c r="BD163" s="1109">
        <v>11.766507679083954</v>
      </c>
      <c r="BE163" s="1109">
        <v>21.352262642354937</v>
      </c>
      <c r="BF163" s="1109">
        <v>17.033765095716653</v>
      </c>
      <c r="BG163" s="1109">
        <v>17.875375980410283</v>
      </c>
      <c r="BH163" s="1109">
        <v>17.95728565180913</v>
      </c>
      <c r="BI163" s="1109">
        <v>18.949981928705853</v>
      </c>
      <c r="BJ163" s="1109">
        <v>18.46403806613533</v>
      </c>
      <c r="BK163" s="1109">
        <v>17.400941541324876</v>
      </c>
      <c r="BL163" s="1109">
        <v>18.664483939432813</v>
      </c>
      <c r="BM163" s="1109">
        <v>15.707499703637257</v>
      </c>
      <c r="BN163" s="1109">
        <v>16.852423602881139</v>
      </c>
      <c r="BO163" s="1109">
        <v>15.341181050434175</v>
      </c>
      <c r="BP163" s="1109">
        <v>14.52157308904739</v>
      </c>
      <c r="BQ163" s="1109">
        <v>17.150919746980769</v>
      </c>
      <c r="BR163" s="1109">
        <v>18.3110324607743</v>
      </c>
      <c r="BS163" s="1109">
        <v>15.838290175137443</v>
      </c>
      <c r="BT163" s="1109">
        <v>67.892726667215342</v>
      </c>
      <c r="BU163" s="1109">
        <v>-13.921910836596116</v>
      </c>
      <c r="BV163" s="1109">
        <v>-16.447102399081448</v>
      </c>
      <c r="BW163" s="1109">
        <v>-12.519580391851093</v>
      </c>
      <c r="BX163" s="1109">
        <v>-40.210782235231896</v>
      </c>
      <c r="BY163" s="1109">
        <v>8.2931035928564771</v>
      </c>
      <c r="BZ163" s="1109">
        <v>8.3617419858450344</v>
      </c>
      <c r="CA163" s="1109">
        <v>8.3513794144098359</v>
      </c>
      <c r="CB163" s="1109">
        <v>8.4139398611341978</v>
      </c>
      <c r="CC163" s="1109">
        <v>7.5525735623346995</v>
      </c>
      <c r="CD163" s="1109">
        <v>7.6087403598097323</v>
      </c>
      <c r="CE163" s="1109">
        <v>7.5983884492873566</v>
      </c>
      <c r="CF163" s="1109">
        <v>7.6479065456291284</v>
      </c>
    </row>
    <row r="164" spans="4:84" ht="14.45" hidden="1" outlineLevel="1" collapsed="1">
      <c r="D164" s="1611"/>
      <c r="E164" s="1619"/>
      <c r="F164" s="1107"/>
    </row>
    <row r="165" spans="4:84" ht="14.45" collapsed="1">
      <c r="D165" s="1610" t="s">
        <v>1102</v>
      </c>
      <c r="E165" s="1612" t="s">
        <v>1095</v>
      </c>
      <c r="F165" s="1106" t="s">
        <v>1190</v>
      </c>
      <c r="G165" s="1108">
        <v>3347.7548979163098</v>
      </c>
      <c r="I165" s="1108">
        <v>3739.7649977146998</v>
      </c>
      <c r="K165" s="1108">
        <v>3635.9233909732852</v>
      </c>
      <c r="M165" s="1108">
        <v>4277.8965748799401</v>
      </c>
      <c r="O165" s="1108">
        <v>3548.3410365717227</v>
      </c>
      <c r="Q165" s="1108">
        <v>4116.4026706687428</v>
      </c>
      <c r="S165" s="1108">
        <v>3877.0102015705352</v>
      </c>
      <c r="T165" s="1108">
        <v>4694.2075083089676</v>
      </c>
      <c r="U165" s="1108">
        <v>4071.2288527619057</v>
      </c>
      <c r="V165" s="1108">
        <v>4508.6862024489801</v>
      </c>
      <c r="W165" s="1108">
        <v>4324.1036562500003</v>
      </c>
      <c r="X165" s="1108">
        <v>4699.4539621032918</v>
      </c>
      <c r="Y165" s="1108">
        <v>4157.1619526009808</v>
      </c>
      <c r="Z165" s="1108">
        <v>4637.3739445494593</v>
      </c>
      <c r="AA165" s="1108">
        <v>4172.3874168188731</v>
      </c>
      <c r="AB165" s="1108">
        <v>5005.6281693247356</v>
      </c>
      <c r="AC165" s="1108">
        <v>4113.9295873830997</v>
      </c>
      <c r="AD165" s="1108">
        <v>4625.3397837977263</v>
      </c>
      <c r="AE165" s="1108">
        <v>4565.7169680380412</v>
      </c>
      <c r="AF165" s="1108">
        <v>5295.5794296899394</v>
      </c>
      <c r="AG165" s="1108">
        <v>4602.4300508398401</v>
      </c>
      <c r="AH165" s="1108">
        <v>5286.5945241063682</v>
      </c>
      <c r="AI165" s="1108">
        <v>5336.6467105841048</v>
      </c>
      <c r="AJ165" s="1108">
        <v>6547.6280147622338</v>
      </c>
      <c r="AK165" s="1108">
        <v>5884.8566021103879</v>
      </c>
      <c r="AL165" s="1108">
        <v>6388.0693760762706</v>
      </c>
      <c r="AM165" s="1108">
        <v>6505.8578344890229</v>
      </c>
      <c r="AN165" s="1108">
        <v>7811.6232083708392</v>
      </c>
      <c r="AO165" s="1108">
        <v>7505.0920513349974</v>
      </c>
      <c r="AP165" s="1108">
        <v>8208.8660016121903</v>
      </c>
      <c r="AQ165" s="1108">
        <v>8490.519830234145</v>
      </c>
      <c r="AR165" s="1108">
        <v>9254.1317998948307</v>
      </c>
      <c r="AS165" s="1108">
        <v>9425.182742361827</v>
      </c>
      <c r="AT165" s="1108">
        <v>10582.717832944454</v>
      </c>
      <c r="AU165" s="1108">
        <v>10774.086446588837</v>
      </c>
      <c r="AV165" s="1108">
        <v>12301.387861631672</v>
      </c>
      <c r="AW165" s="1108">
        <v>12084.747721576136</v>
      </c>
      <c r="AX165" s="1108">
        <v>12833.979885810901</v>
      </c>
      <c r="AY165" s="1108">
        <v>13349.484960513082</v>
      </c>
      <c r="AZ165" s="1108">
        <v>14454.49089405837</v>
      </c>
      <c r="BA165" s="1108">
        <v>14504.457037568855</v>
      </c>
      <c r="BB165" s="1108">
        <v>15075.634671169555</v>
      </c>
      <c r="BC165" s="1108">
        <v>15301.514371558669</v>
      </c>
      <c r="BD165" s="1108">
        <v>16651.151341058659</v>
      </c>
      <c r="BE165" s="1108">
        <v>16473.789546787972</v>
      </c>
      <c r="BF165" s="1108">
        <v>17412.041898301261</v>
      </c>
      <c r="BG165" s="1108">
        <v>17738.82877230948</v>
      </c>
      <c r="BH165" s="1108">
        <v>19200.827464187249</v>
      </c>
      <c r="BI165" s="1108">
        <v>19336.365310481768</v>
      </c>
      <c r="BJ165" s="1108">
        <v>20466.126001618668</v>
      </c>
      <c r="BK165" s="1108">
        <v>21032.956712706688</v>
      </c>
      <c r="BL165" s="1108">
        <v>22619.055666857799</v>
      </c>
      <c r="BM165" s="1108">
        <v>22767.270254291449</v>
      </c>
      <c r="BN165" s="1108">
        <v>23931.421159518617</v>
      </c>
      <c r="BO165" s="1108">
        <v>24501.485367889232</v>
      </c>
      <c r="BP165" s="1108">
        <v>26435.902057417585</v>
      </c>
      <c r="BQ165" s="1108">
        <v>26737.848051174074</v>
      </c>
      <c r="BR165" s="1108">
        <v>28011.782286014</v>
      </c>
      <c r="BS165" s="1108">
        <v>28819.712576531751</v>
      </c>
      <c r="BT165" s="1108">
        <v>33304.140493217965</v>
      </c>
      <c r="BU165" s="1108">
        <v>25097.638143565699</v>
      </c>
      <c r="BV165" s="1108">
        <v>26537.914068637499</v>
      </c>
      <c r="BW165" s="1108">
        <v>27196.8552790586</v>
      </c>
      <c r="BX165" s="1108">
        <v>29951.894728999399</v>
      </c>
      <c r="BY165" s="1108">
        <v>27025.204883906699</v>
      </c>
      <c r="BZ165" s="1108">
        <v>28592.612853508199</v>
      </c>
      <c r="CA165" s="1108">
        <v>29326.695108716998</v>
      </c>
      <c r="CB165" s="1108">
        <v>32303.979190612099</v>
      </c>
      <c r="CC165" s="1108">
        <v>28968.297199891502</v>
      </c>
      <c r="CD165" s="1108">
        <v>30662.9013965991</v>
      </c>
      <c r="CE165" s="1108">
        <v>31470.3589455404</v>
      </c>
      <c r="CF165" s="1108">
        <v>34670.470978113401</v>
      </c>
    </row>
    <row r="166" spans="4:84" ht="14.45" hidden="1" outlineLevel="1">
      <c r="D166" s="1611"/>
      <c r="E166" s="1619"/>
      <c r="F166" s="1106" t="s">
        <v>1191</v>
      </c>
      <c r="O166" s="1109">
        <v>5.9916614200239273</v>
      </c>
      <c r="Q166" s="1109">
        <v>10.071158834424065</v>
      </c>
      <c r="S166" s="1109">
        <v>6.6306900523752352</v>
      </c>
      <c r="T166" s="1109">
        <v>9.7316736424538579</v>
      </c>
      <c r="U166" s="1109">
        <v>14.736120649084455</v>
      </c>
      <c r="V166" s="1109">
        <v>9.5297657485123466</v>
      </c>
      <c r="W166" s="1109">
        <v>11.531913289739409</v>
      </c>
      <c r="X166" s="1109">
        <v>0.11176441998010857</v>
      </c>
      <c r="Y166" s="1109">
        <v>2.1107410795828496</v>
      </c>
      <c r="Z166" s="1109">
        <v>2.8542181984317292</v>
      </c>
      <c r="AA166" s="1109">
        <v>-3.5086170797926779</v>
      </c>
      <c r="AB166" s="1109">
        <v>6.5151017477871438</v>
      </c>
      <c r="AC166" s="1109">
        <v>-1.0399490255805948</v>
      </c>
      <c r="AD166" s="1109">
        <v>-0.2595037815718389</v>
      </c>
      <c r="AE166" s="1109">
        <v>9.4269661928721806</v>
      </c>
      <c r="AF166" s="1109">
        <v>5.7925049675497267</v>
      </c>
      <c r="AG166" s="1109">
        <v>11.874302976767257</v>
      </c>
      <c r="AH166" s="1109">
        <v>14.296349483879553</v>
      </c>
      <c r="AI166" s="1109">
        <v>16.885184691536935</v>
      </c>
      <c r="AJ166" s="1109">
        <v>23.64327835501096</v>
      </c>
      <c r="AK166" s="1109">
        <v>27.864118239809727</v>
      </c>
      <c r="AL166" s="1109">
        <v>20.835243689435266</v>
      </c>
      <c r="AM166" s="1109">
        <v>21.909097366067655</v>
      </c>
      <c r="AN166" s="1109">
        <v>19.304627427807613</v>
      </c>
      <c r="AO166" s="1109">
        <v>27.532284281040454</v>
      </c>
      <c r="AP166" s="1109">
        <v>28.503081578213909</v>
      </c>
      <c r="AQ166" s="1109">
        <v>30.505769511654258</v>
      </c>
      <c r="AR166" s="1109">
        <v>18.466182418760511</v>
      </c>
      <c r="AS166" s="1109">
        <v>25.583839317271078</v>
      </c>
      <c r="AT166" s="1109">
        <v>28.918145708141029</v>
      </c>
      <c r="AU166" s="1109">
        <v>26.895486519247875</v>
      </c>
      <c r="AV166" s="1109">
        <v>32.928600193175036</v>
      </c>
      <c r="AW166" s="1109">
        <v>28.217648950834629</v>
      </c>
      <c r="AX166" s="1109">
        <v>21.273004613788068</v>
      </c>
      <c r="AY166" s="1109">
        <v>23.903636996894871</v>
      </c>
      <c r="AZ166" s="1109">
        <v>17.502927772420527</v>
      </c>
      <c r="BA166" s="1109">
        <v>20.022836816630971</v>
      </c>
      <c r="BB166" s="1109">
        <v>17.466559908177835</v>
      </c>
      <c r="BC166" s="1109">
        <v>14.622507286382691</v>
      </c>
      <c r="BD166" s="1109">
        <v>15.19707932365327</v>
      </c>
      <c r="BE166" s="1109">
        <v>13.577430055590719</v>
      </c>
      <c r="BF166" s="1109">
        <v>15.497902928092438</v>
      </c>
      <c r="BG166" s="1109">
        <v>15.928582894259877</v>
      </c>
      <c r="BH166" s="1109">
        <v>15.312311268480034</v>
      </c>
      <c r="BI166" s="1109">
        <v>17.37654688111477</v>
      </c>
      <c r="BJ166" s="1109">
        <v>17.5400686556777</v>
      </c>
      <c r="BK166" s="1109">
        <v>18.570154674131473</v>
      </c>
      <c r="BL166" s="1109">
        <v>17.80250465270894</v>
      </c>
      <c r="BM166" s="1109">
        <v>17.743277439787878</v>
      </c>
      <c r="BN166" s="1109">
        <v>16.931856852761872</v>
      </c>
      <c r="BO166" s="1109">
        <v>16.490922805385203</v>
      </c>
      <c r="BP166" s="1109">
        <v>16.874472775414567</v>
      </c>
      <c r="BQ166" s="1109">
        <v>17.439850067814799</v>
      </c>
      <c r="BR166" s="1109">
        <v>17.050224887594851</v>
      </c>
      <c r="BS166" s="1109">
        <v>17.624348662150222</v>
      </c>
      <c r="BT166" s="1109">
        <v>25.980722809771638</v>
      </c>
      <c r="BU166" s="1109">
        <v>-6.1344125543280335</v>
      </c>
      <c r="BV166" s="1109">
        <v>-5.2616010017769863</v>
      </c>
      <c r="BW166" s="1109">
        <v>-5.63106690659595</v>
      </c>
      <c r="BX166" s="1109">
        <v>-10.065552554647716</v>
      </c>
      <c r="BY166" s="1109">
        <v>7.6802714634531162</v>
      </c>
      <c r="BZ166" s="1109">
        <v>7.7425029697377079</v>
      </c>
      <c r="CA166" s="1109">
        <v>7.8311988934189793</v>
      </c>
      <c r="CB166" s="1109">
        <v>7.8528736926128868</v>
      </c>
      <c r="CC166" s="1109">
        <v>7.1899263089098691</v>
      </c>
      <c r="CD166" s="1109">
        <v>7.2406413282264435</v>
      </c>
      <c r="CE166" s="1109">
        <v>7.3095990832810349</v>
      </c>
      <c r="CF166" s="1109">
        <v>7.3256974737930456</v>
      </c>
    </row>
    <row r="167" spans="4:84" ht="14.45" hidden="1" outlineLevel="1" collapsed="1">
      <c r="D167" s="1611"/>
      <c r="E167" s="1619"/>
      <c r="F167" s="1106"/>
    </row>
    <row r="168" spans="4:84" ht="14.45" collapsed="1">
      <c r="D168" s="1610" t="s">
        <v>1105</v>
      </c>
      <c r="E168" s="1612" t="s">
        <v>1095</v>
      </c>
      <c r="F168" s="1107" t="s">
        <v>1190</v>
      </c>
      <c r="G168" s="1108">
        <v>1334.54372813593</v>
      </c>
      <c r="I168" s="1108">
        <v>1738.86605145414</v>
      </c>
      <c r="K168" s="1108">
        <v>1468.6810483674201</v>
      </c>
      <c r="M168" s="1108">
        <v>1830.1125714858999</v>
      </c>
      <c r="O168" s="1108">
        <v>1827</v>
      </c>
      <c r="Q168" s="1108">
        <v>2248</v>
      </c>
      <c r="S168" s="1108">
        <v>1966</v>
      </c>
      <c r="T168" s="1108">
        <v>2402</v>
      </c>
      <c r="U168" s="1108">
        <v>2105</v>
      </c>
      <c r="V168" s="1108">
        <v>2600</v>
      </c>
      <c r="W168" s="1108">
        <v>2533</v>
      </c>
      <c r="X168" s="1108">
        <v>2633</v>
      </c>
      <c r="Y168" s="1108">
        <v>2079</v>
      </c>
      <c r="Z168" s="1108">
        <v>2488</v>
      </c>
      <c r="AA168" s="1108">
        <v>2005</v>
      </c>
      <c r="AB168" s="1108">
        <v>2677</v>
      </c>
      <c r="AC168" s="1108">
        <v>1777</v>
      </c>
      <c r="AD168" s="1108">
        <v>2291</v>
      </c>
      <c r="AE168" s="1108">
        <v>2148</v>
      </c>
      <c r="AF168" s="1108">
        <v>2911</v>
      </c>
      <c r="AG168" s="1108">
        <v>2137</v>
      </c>
      <c r="AH168" s="1108">
        <v>2832</v>
      </c>
      <c r="AI168" s="1108">
        <v>2654</v>
      </c>
      <c r="AJ168" s="1108">
        <v>3901</v>
      </c>
      <c r="AK168" s="1108">
        <v>2931</v>
      </c>
      <c r="AL168" s="1108">
        <v>3279</v>
      </c>
      <c r="AM168" s="1108">
        <v>3208</v>
      </c>
      <c r="AN168" s="1108">
        <v>4502</v>
      </c>
      <c r="AO168" s="1108">
        <v>3889</v>
      </c>
      <c r="AP168" s="1108">
        <v>4531</v>
      </c>
      <c r="AQ168" s="1108">
        <v>4560</v>
      </c>
      <c r="AR168" s="1108">
        <v>5344</v>
      </c>
      <c r="AS168" s="1108">
        <v>5422</v>
      </c>
      <c r="AT168" s="1108">
        <v>6492</v>
      </c>
      <c r="AU168" s="1108">
        <v>6425</v>
      </c>
      <c r="AV168" s="1108">
        <v>7787</v>
      </c>
      <c r="AW168" s="1108">
        <v>7681</v>
      </c>
      <c r="AX168" s="1108">
        <v>8197</v>
      </c>
      <c r="AY168" s="1108">
        <v>8281</v>
      </c>
      <c r="AZ168" s="1108">
        <v>8681</v>
      </c>
      <c r="BA168" s="1108">
        <v>8978</v>
      </c>
      <c r="BB168" s="1108">
        <v>8904</v>
      </c>
      <c r="BC168" s="1108">
        <v>9208.8970447249867</v>
      </c>
      <c r="BD168" s="1108">
        <v>10078.759503694426</v>
      </c>
      <c r="BE168" s="1108">
        <v>10272.124471379871</v>
      </c>
      <c r="BF168" s="1108">
        <v>10762.204954467212</v>
      </c>
      <c r="BG168" s="1108">
        <v>10821.501178259758</v>
      </c>
      <c r="BH168" s="1108">
        <v>11713.844313239555</v>
      </c>
      <c r="BI168" s="1108">
        <v>12199.076355622399</v>
      </c>
      <c r="BJ168" s="1108">
        <v>12705.8133204513</v>
      </c>
      <c r="BK168" s="1108">
        <v>12938.563771287985</v>
      </c>
      <c r="BL168" s="1108">
        <v>13932.552067811301</v>
      </c>
      <c r="BM168" s="1108">
        <v>14995.86413429164</v>
      </c>
      <c r="BN168" s="1108">
        <v>15785.72779726382</v>
      </c>
      <c r="BO168" s="1108">
        <v>15603.27397570778</v>
      </c>
      <c r="BP168" s="1108">
        <v>17088.662557716001</v>
      </c>
      <c r="BQ168" s="1108">
        <v>17398.399960598566</v>
      </c>
      <c r="BR168" s="1108">
        <v>18054.326187981067</v>
      </c>
      <c r="BS168" s="1108">
        <v>18261.898999225399</v>
      </c>
      <c r="BT168" s="1108">
        <v>12137.62188826557</v>
      </c>
      <c r="BU168" s="1108">
        <v>16545.654013682499</v>
      </c>
      <c r="BV168" s="1108">
        <v>17815.037742541801</v>
      </c>
      <c r="BW168" s="1108">
        <v>17909.904120966901</v>
      </c>
      <c r="BX168" s="1108">
        <v>21138.965957644301</v>
      </c>
      <c r="BY168" s="1108">
        <v>17827.021964758598</v>
      </c>
      <c r="BZ168" s="1108">
        <v>19190.1589169904</v>
      </c>
      <c r="CA168" s="1108">
        <v>19329.730127283001</v>
      </c>
      <c r="CB168" s="1108">
        <v>22835.918034815099</v>
      </c>
      <c r="CC168" s="1108">
        <v>19071.3458702643</v>
      </c>
      <c r="CD168" s="1108">
        <v>20524.796335079998</v>
      </c>
      <c r="CE168" s="1108">
        <v>20705.1260532753</v>
      </c>
      <c r="CF168" s="1108">
        <v>24494.454784134799</v>
      </c>
    </row>
    <row r="169" spans="4:84" ht="14.45" hidden="1" outlineLevel="1">
      <c r="D169" s="1611"/>
      <c r="E169" s="1619"/>
      <c r="F169" s="1107" t="s">
        <v>1191</v>
      </c>
      <c r="O169" s="1109">
        <v>36.900722058161804</v>
      </c>
      <c r="Q169" s="1109">
        <v>29.279653146376216</v>
      </c>
      <c r="S169" s="1109">
        <v>33.861603387978462</v>
      </c>
      <c r="T169" s="1109">
        <v>31.248756902957876</v>
      </c>
      <c r="U169" s="1109">
        <v>15.216201423097974</v>
      </c>
      <c r="V169" s="1109">
        <v>15.658362989323843</v>
      </c>
      <c r="W169" s="1109">
        <v>28.840284842319431</v>
      </c>
      <c r="X169" s="1109">
        <v>9.616985845129058</v>
      </c>
      <c r="Y169" s="1109">
        <v>-1.2351543942992875</v>
      </c>
      <c r="Z169" s="1109">
        <v>-4.3076923076923075</v>
      </c>
      <c r="AA169" s="1109">
        <v>-20.844848006316621</v>
      </c>
      <c r="AB169" s="1109">
        <v>1.6710976072920622</v>
      </c>
      <c r="AC169" s="1109">
        <v>-14.526214526214526</v>
      </c>
      <c r="AD169" s="1109">
        <v>-7.918006430868167</v>
      </c>
      <c r="AE169" s="1109">
        <v>7.1321695760598507</v>
      </c>
      <c r="AF169" s="1109">
        <v>8.741128128502055</v>
      </c>
      <c r="AG169" s="1109">
        <v>20.258863252673045</v>
      </c>
      <c r="AH169" s="1109">
        <v>23.614142295940638</v>
      </c>
      <c r="AI169" s="1109">
        <v>23.556797020484172</v>
      </c>
      <c r="AJ169" s="1109">
        <v>34.008931638612161</v>
      </c>
      <c r="AK169" s="1109">
        <v>37.1548900327562</v>
      </c>
      <c r="AL169" s="1109">
        <v>15.783898305084746</v>
      </c>
      <c r="AM169" s="1109">
        <v>20.874152223059532</v>
      </c>
      <c r="AN169" s="1109">
        <v>15.406306075365292</v>
      </c>
      <c r="AO169" s="1109">
        <v>32.685090412828387</v>
      </c>
      <c r="AP169" s="1109">
        <v>38.182372674595918</v>
      </c>
      <c r="AQ169" s="1109">
        <v>42.144638403990022</v>
      </c>
      <c r="AR169" s="1109">
        <v>18.702798756108397</v>
      </c>
      <c r="AS169" s="1109">
        <v>39.418873746464392</v>
      </c>
      <c r="AT169" s="1109">
        <v>43.27962922092253</v>
      </c>
      <c r="AU169" s="1109">
        <v>40.899122807017548</v>
      </c>
      <c r="AV169" s="1109">
        <v>45.71482035928144</v>
      </c>
      <c r="AW169" s="1109">
        <v>41.6635927701955</v>
      </c>
      <c r="AX169" s="1109">
        <v>26.263093037584717</v>
      </c>
      <c r="AY169" s="1109">
        <v>28.88715953307393</v>
      </c>
      <c r="AZ169" s="1109">
        <v>11.480672916399126</v>
      </c>
      <c r="BA169" s="1109">
        <v>16.885822158573102</v>
      </c>
      <c r="BB169" s="1109">
        <v>8.6251067463706246</v>
      </c>
      <c r="BC169" s="1109">
        <v>11.205132770498572</v>
      </c>
      <c r="BD169" s="1109">
        <v>16.101365092667042</v>
      </c>
      <c r="BE169" s="1109">
        <v>14.414395983291062</v>
      </c>
      <c r="BF169" s="1109">
        <v>20.869327880359524</v>
      </c>
      <c r="BG169" s="1109">
        <v>17.511371076284298</v>
      </c>
      <c r="BH169" s="1109">
        <v>16.22307595439478</v>
      </c>
      <c r="BI169" s="1109">
        <v>18.759039472422565</v>
      </c>
      <c r="BJ169" s="1109">
        <v>18.059573983278661</v>
      </c>
      <c r="BK169" s="1109">
        <v>19.563483459035947</v>
      </c>
      <c r="BL169" s="1109">
        <v>18.940901852896015</v>
      </c>
      <c r="BM169" s="1109">
        <v>22.926225700523929</v>
      </c>
      <c r="BN169" s="1109">
        <v>24.240199341313197</v>
      </c>
      <c r="BO169" s="1109">
        <v>20.595100441774402</v>
      </c>
      <c r="BP169" s="1109">
        <v>22.652780872761539</v>
      </c>
      <c r="BQ169" s="1109">
        <v>16.021322978066678</v>
      </c>
      <c r="BR169" s="1109">
        <v>14.371199224089423</v>
      </c>
      <c r="BS169" s="1109">
        <v>17.038892143128066</v>
      </c>
      <c r="BT169" s="1109">
        <v>-28.972663324169272</v>
      </c>
      <c r="BU169" s="1109">
        <v>-4.9012894797639204</v>
      </c>
      <c r="BV169" s="1109">
        <v>-1.3253800942101213</v>
      </c>
      <c r="BW169" s="1109">
        <v>-1.9274823405464472</v>
      </c>
      <c r="BX169" s="1109">
        <v>74.160689402271331</v>
      </c>
      <c r="BY169" s="1109">
        <v>7.744438207256521</v>
      </c>
      <c r="BZ169" s="1109">
        <v>7.7188788164329791</v>
      </c>
      <c r="CA169" s="1109">
        <v>7.9276024970671237</v>
      </c>
      <c r="CB169" s="1109">
        <v>8.0276021096346177</v>
      </c>
      <c r="CC169" s="1109">
        <v>6.9799875041694994</v>
      </c>
      <c r="CD169" s="1109">
        <v>6.954801280503986</v>
      </c>
      <c r="CE169" s="1109">
        <v>7.1154429830915911</v>
      </c>
      <c r="CF169" s="1109">
        <v>7.2628424519265451</v>
      </c>
    </row>
    <row r="170" spans="4:84" ht="14.45" hidden="1" outlineLevel="1" collapsed="1">
      <c r="D170" s="1611"/>
      <c r="E170" s="1619"/>
      <c r="F170" s="1107"/>
    </row>
    <row r="171" spans="4:84" ht="14.45" collapsed="1">
      <c r="D171" s="1105" t="s">
        <v>401</v>
      </c>
      <c r="F171" s="1106" t="s">
        <v>1188</v>
      </c>
    </row>
    <row r="172" spans="4:84" ht="14.45">
      <c r="D172" s="1105" t="s">
        <v>363</v>
      </c>
      <c r="F172" s="1106" t="s">
        <v>1188</v>
      </c>
    </row>
    <row r="173" spans="4:84" ht="14.45">
      <c r="D173" s="1614" t="s">
        <v>1107</v>
      </c>
      <c r="E173" s="1612" t="s">
        <v>1095</v>
      </c>
      <c r="F173" s="1107" t="s">
        <v>1190</v>
      </c>
      <c r="AC173" s="1108">
        <v>250.544642857143</v>
      </c>
      <c r="AD173" s="1108">
        <v>260.41463414634148</v>
      </c>
      <c r="AE173" s="1108">
        <v>319.98387096774201</v>
      </c>
      <c r="AF173" s="1108">
        <v>418.22580645161298</v>
      </c>
      <c r="AG173" s="1108">
        <v>435.41666666666669</v>
      </c>
      <c r="AH173" s="1108">
        <v>485</v>
      </c>
      <c r="AI173" s="1108">
        <v>530.83333333333337</v>
      </c>
      <c r="AJ173" s="1108">
        <v>669.66666666666663</v>
      </c>
      <c r="AK173" s="1108">
        <v>726</v>
      </c>
      <c r="AL173" s="1108">
        <v>791.7</v>
      </c>
      <c r="AM173" s="1108">
        <v>851.94333333333338</v>
      </c>
      <c r="AN173" s="1108">
        <v>1000.49</v>
      </c>
      <c r="AO173" s="1108">
        <v>1014.062</v>
      </c>
      <c r="AP173" s="1108">
        <v>1089.0535749999999</v>
      </c>
      <c r="AQ173" s="1108">
        <v>1159.8379882500001</v>
      </c>
      <c r="AR173" s="1108">
        <v>1284.1695695456251</v>
      </c>
      <c r="AS173" s="1108">
        <v>1313.4693006380251</v>
      </c>
      <c r="AT173" s="1108">
        <v>1417.992365026435</v>
      </c>
      <c r="AU173" s="1108">
        <v>1514.1856508262124</v>
      </c>
      <c r="AV173" s="1108">
        <v>1659.2300935360074</v>
      </c>
      <c r="AW173" s="1108">
        <v>1761.0948516651999</v>
      </c>
      <c r="AX173" s="1108">
        <v>1892.5075287397799</v>
      </c>
      <c r="AY173" s="1108">
        <v>1986.0573017787151</v>
      </c>
      <c r="AZ173" s="1108">
        <v>2065.0691880609475</v>
      </c>
      <c r="BA173" s="1108">
        <v>2136.7280745497451</v>
      </c>
      <c r="BB173" s="1108">
        <v>2180.2774761033852</v>
      </c>
      <c r="BC173" s="1108">
        <v>2277.2002332785801</v>
      </c>
      <c r="BD173" s="1108">
        <v>2366.0126738847976</v>
      </c>
      <c r="BE173" s="1108">
        <v>2439.817198964065</v>
      </c>
      <c r="BF173" s="1108">
        <v>2450.6006637004075</v>
      </c>
      <c r="BG173" s="1108">
        <v>2573.6872423239452</v>
      </c>
      <c r="BH173" s="1108">
        <v>2667.2700119439651</v>
      </c>
      <c r="BI173" s="1108">
        <v>2723.8341358037451</v>
      </c>
      <c r="BJ173" s="1108">
        <v>2737.9556227470025</v>
      </c>
      <c r="BK173" s="1108">
        <v>2947.7647335121965</v>
      </c>
      <c r="BL173" s="1108">
        <v>3054.0035578080301</v>
      </c>
      <c r="BM173" s="1108">
        <v>2980.9824767999999</v>
      </c>
      <c r="BN173" s="1108">
        <v>2705.2000272</v>
      </c>
      <c r="BO173" s="1108">
        <v>3069.6712404479999</v>
      </c>
      <c r="BP173" s="1108">
        <v>3262.1124038399998</v>
      </c>
    </row>
    <row r="174" spans="4:84" ht="14.45" hidden="1" outlineLevel="1">
      <c r="D174" s="1611"/>
      <c r="E174" s="1619"/>
      <c r="F174" s="1107" t="s">
        <v>1191</v>
      </c>
      <c r="AG174" s="1109">
        <v>73.788056971122344</v>
      </c>
      <c r="AH174" s="1109">
        <v>86.241453591832894</v>
      </c>
      <c r="AI174" s="1109">
        <v>65.89377824823157</v>
      </c>
      <c r="AJ174" s="1109">
        <v>60.120838154004332</v>
      </c>
      <c r="AK174" s="1109">
        <v>66.73684210526315</v>
      </c>
      <c r="AL174" s="1109">
        <v>63.237113402061865</v>
      </c>
      <c r="AM174" s="1109">
        <v>60.491679748822605</v>
      </c>
      <c r="AN174" s="1109">
        <v>49.401194624191149</v>
      </c>
      <c r="AO174" s="1109">
        <v>39.677961432506883</v>
      </c>
      <c r="AP174" s="1109">
        <v>37.558870152835652</v>
      </c>
      <c r="AQ174" s="1109">
        <v>36.1402739912279</v>
      </c>
      <c r="AR174" s="1109">
        <v>28.354063463465412</v>
      </c>
      <c r="AS174" s="1109">
        <v>29.525541893693386</v>
      </c>
      <c r="AT174" s="1109">
        <v>30.204096251778534</v>
      </c>
      <c r="AU174" s="1109">
        <v>30.55147927262351</v>
      </c>
      <c r="AV174" s="1109">
        <v>29.206464074918792</v>
      </c>
      <c r="AW174" s="1109">
        <v>34.079635573495196</v>
      </c>
      <c r="AX174" s="1109">
        <v>33.463872966939334</v>
      </c>
      <c r="AY174" s="1109">
        <v>31.163394706258568</v>
      </c>
      <c r="AZ174" s="1109">
        <v>24.459482509749503</v>
      </c>
      <c r="BA174" s="1109">
        <v>21.329528192610741</v>
      </c>
      <c r="BB174" s="1109">
        <v>15.205749144640453</v>
      </c>
      <c r="BC174" s="1109">
        <v>14.65934196556751</v>
      </c>
      <c r="BD174" s="1109">
        <v>14.573046150886068</v>
      </c>
      <c r="BE174" s="1109">
        <v>14.184730758413766</v>
      </c>
      <c r="BF174" s="1109">
        <v>12.398568097861871</v>
      </c>
      <c r="BG174" s="1109">
        <v>13.019804087166301</v>
      </c>
      <c r="BH174" s="1109">
        <v>12.732701789146711</v>
      </c>
      <c r="BI174" s="1109">
        <v>11.640910514126727</v>
      </c>
      <c r="BJ174" s="1109">
        <v>11.7258990133745</v>
      </c>
      <c r="BK174" s="1109">
        <v>14.534691124725516</v>
      </c>
      <c r="BL174" s="1109">
        <v>14.499227454748953</v>
      </c>
      <c r="BM174" s="1109">
        <v>9.4406754661063754</v>
      </c>
      <c r="BN174" s="1109">
        <v>-1.1963523175784221</v>
      </c>
      <c r="BO174" s="1109">
        <v>4.1355575480596301</v>
      </c>
      <c r="BP174" s="1109">
        <v>6.8142961228682077</v>
      </c>
    </row>
    <row r="175" spans="4:84" ht="14.45" hidden="1" outlineLevel="1" collapsed="1">
      <c r="D175" s="1611"/>
      <c r="E175" s="1619"/>
      <c r="F175" s="1107"/>
    </row>
    <row r="176" spans="4:84" ht="14.45" collapsed="1">
      <c r="D176" s="1614" t="s">
        <v>1108</v>
      </c>
      <c r="E176" s="1612" t="s">
        <v>1095</v>
      </c>
      <c r="F176" s="1106" t="s">
        <v>1190</v>
      </c>
      <c r="AC176" s="1108">
        <v>9.0847474348855499</v>
      </c>
      <c r="AD176" s="1108">
        <v>14.223164956590351</v>
      </c>
      <c r="AE176" s="1108">
        <v>20.675022510755149</v>
      </c>
      <c r="AF176" s="1108">
        <v>27.785319652722951</v>
      </c>
      <c r="AG176" s="1108">
        <v>60.559326493028166</v>
      </c>
      <c r="AH176" s="1108">
        <v>76.26177321757433</v>
      </c>
      <c r="AI176" s="1108">
        <v>91.964219942120494</v>
      </c>
      <c r="AJ176" s="1108">
        <v>108</v>
      </c>
      <c r="AK176" s="1108">
        <v>126.02853196527234</v>
      </c>
      <c r="AL176" s="1108">
        <v>148.26423835832668</v>
      </c>
      <c r="AM176" s="1108">
        <v>169.71120599842132</v>
      </c>
      <c r="AN176" s="1108">
        <v>198.26026666666667</v>
      </c>
      <c r="AO176" s="1108">
        <v>192.71758411194625</v>
      </c>
      <c r="AP176" s="1108">
        <v>216.68774387829725</v>
      </c>
      <c r="AQ176" s="1108">
        <v>239.0770261954485</v>
      </c>
      <c r="AR176" s="1108">
        <v>260.38488668773402</v>
      </c>
      <c r="AS176" s="1108">
        <v>276.26090083580652</v>
      </c>
      <c r="AT176" s="1108">
        <v>303.24627831947299</v>
      </c>
      <c r="AU176" s="1108">
        <v>322.08682087743728</v>
      </c>
      <c r="AV176" s="1108">
        <v>352.62731301991153</v>
      </c>
      <c r="AW176" s="1108">
        <v>367.96372111485124</v>
      </c>
      <c r="AX176" s="1108">
        <v>400.88306041246051</v>
      </c>
      <c r="AY176" s="1108">
        <v>423.17222765790751</v>
      </c>
      <c r="AZ176" s="1108">
        <v>436.1419304159885</v>
      </c>
      <c r="BA176" s="1108">
        <v>463.25220230055777</v>
      </c>
      <c r="BB176" s="1108">
        <v>491.46809369326274</v>
      </c>
      <c r="BC176" s="1108">
        <v>499.84835447646026</v>
      </c>
      <c r="BD176" s="1108">
        <v>503.05939739197999</v>
      </c>
      <c r="BE176" s="1108">
        <v>538.03592412771695</v>
      </c>
      <c r="BF176" s="1108">
        <v>560.7989423776105</v>
      </c>
      <c r="BG176" s="1108">
        <v>568.58652863892826</v>
      </c>
      <c r="BH176" s="1108">
        <v>578.90565510072724</v>
      </c>
      <c r="BI176" s="1108">
        <v>609.50698205800802</v>
      </c>
      <c r="BJ176" s="1108">
        <v>633.21179872107473</v>
      </c>
      <c r="BK176" s="1108">
        <v>622.69684528039602</v>
      </c>
      <c r="BL176" s="1108">
        <v>628.20278143617031</v>
      </c>
      <c r="BM176" s="1108">
        <v>824.47334334674599</v>
      </c>
      <c r="BN176" s="1108">
        <v>840.35776968387199</v>
      </c>
      <c r="BO176" s="1108">
        <v>816.65033342453796</v>
      </c>
      <c r="BP176" s="1108">
        <v>776.81791248492095</v>
      </c>
    </row>
    <row r="177" spans="4:84" ht="14.45" hidden="1" outlineLevel="1">
      <c r="D177" s="1611"/>
      <c r="E177" s="1619"/>
      <c r="F177" s="1106" t="s">
        <v>1191</v>
      </c>
      <c r="AG177" s="1109">
        <v>566.60440399784318</v>
      </c>
      <c r="AH177" s="1109">
        <v>436.18005169966187</v>
      </c>
      <c r="AI177" s="1109">
        <v>344.80831831878635</v>
      </c>
      <c r="AJ177" s="1109">
        <v>288.69446653789367</v>
      </c>
      <c r="AK177" s="1109">
        <v>108.10755215347589</v>
      </c>
      <c r="AL177" s="1109">
        <v>94.414884552093753</v>
      </c>
      <c r="AM177" s="1109">
        <v>84.540472485095222</v>
      </c>
      <c r="AN177" s="1109">
        <v>83.574320987654318</v>
      </c>
      <c r="AO177" s="1109">
        <v>52.915836681371765</v>
      </c>
      <c r="AP177" s="1109">
        <v>46.14970290718648</v>
      </c>
      <c r="AQ177" s="1109">
        <v>40.872857975962077</v>
      </c>
      <c r="AR177" s="1109">
        <v>31.33488170149441</v>
      </c>
      <c r="AS177" s="1109">
        <v>43.350126616018301</v>
      </c>
      <c r="AT177" s="1109">
        <v>39.946206874437422</v>
      </c>
      <c r="AU177" s="1109">
        <v>34.720941615748231</v>
      </c>
      <c r="AV177" s="1109">
        <v>35.425414856277357</v>
      </c>
      <c r="AW177" s="1109">
        <v>33.194281203603097</v>
      </c>
      <c r="AX177" s="1109">
        <v>32.197190558799271</v>
      </c>
      <c r="AY177" s="1109">
        <v>31.384521262028276</v>
      </c>
      <c r="AZ177" s="1109">
        <v>23.68353621869365</v>
      </c>
      <c r="BA177" s="1109">
        <v>25.896161963196494</v>
      </c>
      <c r="BB177" s="1109">
        <v>22.596373413134774</v>
      </c>
      <c r="BC177" s="1109">
        <v>18.119366491257015</v>
      </c>
      <c r="BD177" s="1109">
        <v>15.3430482852603</v>
      </c>
      <c r="BE177" s="1109">
        <v>16.14319833899884</v>
      </c>
      <c r="BF177" s="1109">
        <v>14.106887013426112</v>
      </c>
      <c r="BG177" s="1109">
        <v>13.75180563202297</v>
      </c>
      <c r="BH177" s="1109">
        <v>15.076998482079532</v>
      </c>
      <c r="BI177" s="1109">
        <v>13.283696259903554</v>
      </c>
      <c r="BJ177" s="1109">
        <v>12.912445240437966</v>
      </c>
      <c r="BK177" s="1109">
        <v>9.5166371195947992</v>
      </c>
      <c r="BL177" s="1109">
        <v>8.5155717345455137</v>
      </c>
      <c r="BM177" s="1109">
        <v>35.268892337033016</v>
      </c>
      <c r="BN177" s="1109">
        <v>32.713536194552745</v>
      </c>
      <c r="BO177" s="1109">
        <v>31.147337522933178</v>
      </c>
      <c r="BP177" s="1109">
        <v>23.657190869004605</v>
      </c>
    </row>
    <row r="178" spans="4:84" ht="14.45" hidden="1" outlineLevel="1" collapsed="1">
      <c r="D178" s="1611"/>
      <c r="E178" s="1619"/>
      <c r="F178" s="1106"/>
    </row>
    <row r="179" spans="4:84" ht="14.45" collapsed="1">
      <c r="D179" s="1613" t="s">
        <v>1109</v>
      </c>
      <c r="E179" s="1612" t="s">
        <v>1095</v>
      </c>
      <c r="F179" s="1107" t="s">
        <v>1190</v>
      </c>
      <c r="T179" s="1108">
        <v>19.6026305683564</v>
      </c>
      <c r="U179" s="1108">
        <v>23.898809523809501</v>
      </c>
      <c r="V179" s="1108">
        <v>62.164938556067597</v>
      </c>
      <c r="W179" s="1108">
        <v>114.79838709677399</v>
      </c>
      <c r="X179" s="1108">
        <v>117.61578341013799</v>
      </c>
      <c r="Y179" s="1108">
        <v>143.392857142857</v>
      </c>
      <c r="Z179" s="1108">
        <v>186.49481566820299</v>
      </c>
      <c r="AA179" s="1108">
        <v>229.59677419354799</v>
      </c>
      <c r="AB179" s="1108">
        <v>294.03945852534599</v>
      </c>
      <c r="AC179" s="1108">
        <v>297.39432057353332</v>
      </c>
      <c r="AD179" s="1108">
        <v>327.79390051398548</v>
      </c>
      <c r="AE179" s="1108">
        <v>387.35403976164969</v>
      </c>
      <c r="AF179" s="1108">
        <v>491.62198827133767</v>
      </c>
      <c r="AG179" s="1108">
        <v>529.61399706844054</v>
      </c>
      <c r="AH179" s="1108">
        <v>589.33016566467472</v>
      </c>
      <c r="AI179" s="1108">
        <v>649.22663711805171</v>
      </c>
      <c r="AJ179" s="1108">
        <v>809.56013214285713</v>
      </c>
      <c r="AK179" s="1108">
        <v>941.58374020170072</v>
      </c>
      <c r="AL179" s="1108">
        <v>1017.3873083722762</v>
      </c>
      <c r="AM179" s="1108">
        <v>1099.8904251271247</v>
      </c>
      <c r="AN179" s="1108">
        <v>1270.9315279140512</v>
      </c>
      <c r="AO179" s="1108">
        <v>1304.1181897542958</v>
      </c>
      <c r="AP179" s="1108">
        <v>1398.4651366655705</v>
      </c>
      <c r="AQ179" s="1108">
        <v>1497.5965235985182</v>
      </c>
      <c r="AR179" s="1108">
        <v>1634.3804866407331</v>
      </c>
      <c r="AS179" s="1108">
        <v>1702.4503429682557</v>
      </c>
      <c r="AT179" s="1108">
        <v>1841.742196406321</v>
      </c>
      <c r="AU179" s="1108">
        <v>1984.2492656675468</v>
      </c>
      <c r="AV179" s="1108">
        <v>2155.5672637142288</v>
      </c>
      <c r="AW179" s="1108">
        <v>2264.2212472775568</v>
      </c>
      <c r="AX179" s="1108">
        <v>2431.2484762501335</v>
      </c>
      <c r="AY179" s="1108">
        <v>2570.5542193303745</v>
      </c>
      <c r="AZ179" s="1108">
        <v>2494.0895563215445</v>
      </c>
      <c r="BA179" s="1108">
        <v>2735.9000240252258</v>
      </c>
      <c r="BB179" s="1108">
        <v>2839.2794870213675</v>
      </c>
      <c r="BC179" s="1108">
        <v>2966.2918131841493</v>
      </c>
      <c r="BD179" s="1108">
        <v>3066.0283565399818</v>
      </c>
      <c r="BE179" s="1108">
        <v>3126.3649103832263</v>
      </c>
      <c r="BF179" s="1108">
        <v>3209.6711687500679</v>
      </c>
      <c r="BG179" s="1108">
        <v>3332.582282690717</v>
      </c>
      <c r="BH179" s="1108">
        <v>3440.1038019014595</v>
      </c>
      <c r="BI179" s="1108">
        <v>3474.3400668382692</v>
      </c>
      <c r="BJ179" s="1108">
        <v>3556.4305026714119</v>
      </c>
      <c r="BK179" s="1108">
        <v>3735.7716008210159</v>
      </c>
      <c r="BL179" s="1108">
        <v>3833.090624870169</v>
      </c>
      <c r="BM179" s="1108">
        <v>3696.115249883846</v>
      </c>
      <c r="BN179" s="1108">
        <v>3737.0387532958721</v>
      </c>
      <c r="BO179" s="1108">
        <v>3898.6539816232439</v>
      </c>
      <c r="BP179" s="1108">
        <v>3968.4883046877858</v>
      </c>
      <c r="BQ179" s="1108">
        <v>3981.4611225706299</v>
      </c>
      <c r="BR179" s="1108">
        <v>4105.9236663150232</v>
      </c>
      <c r="BS179" s="1108">
        <v>4237.8816418501865</v>
      </c>
      <c r="BT179" s="1108">
        <v>4271.8030616382666</v>
      </c>
    </row>
    <row r="180" spans="4:84" ht="14.45" hidden="1" outlineLevel="1">
      <c r="D180" s="1611"/>
      <c r="E180" s="1619"/>
      <c r="F180" s="1107" t="s">
        <v>1191</v>
      </c>
      <c r="X180" s="1109">
        <v>499.99999999999795</v>
      </c>
      <c r="Y180" s="1109">
        <v>499.99999999999989</v>
      </c>
      <c r="Z180" s="1109">
        <v>200.00000000000031</v>
      </c>
      <c r="AA180" s="1109">
        <v>100</v>
      </c>
      <c r="AB180" s="1109">
        <v>150.00000000000085</v>
      </c>
      <c r="AC180" s="1109">
        <v>107.39828084829244</v>
      </c>
      <c r="AD180" s="1109">
        <v>75.765690504325207</v>
      </c>
      <c r="AE180" s="1109">
        <v>68.71057580064857</v>
      </c>
      <c r="AF180" s="1109">
        <v>67.195923546077481</v>
      </c>
      <c r="AG180" s="1109">
        <v>78.084771776093447</v>
      </c>
      <c r="AH180" s="1109">
        <v>79.786800407389109</v>
      </c>
      <c r="AI180" s="1109">
        <v>67.605490191231752</v>
      </c>
      <c r="AJ180" s="1109">
        <v>64.671261956664551</v>
      </c>
      <c r="AK180" s="1109">
        <v>77.786792912125861</v>
      </c>
      <c r="AL180" s="1109">
        <v>72.63452096072804</v>
      </c>
      <c r="AM180" s="1109">
        <v>69.415480241166819</v>
      </c>
      <c r="AN180" s="1109">
        <v>56.990380016611212</v>
      </c>
      <c r="AO180" s="1109">
        <v>38.502624256758622</v>
      </c>
      <c r="AP180" s="1109">
        <v>37.4565148549949</v>
      </c>
      <c r="AQ180" s="1109">
        <v>36.158701756625149</v>
      </c>
      <c r="AR180" s="1109">
        <v>28.597052692775808</v>
      </c>
      <c r="AS180" s="1109">
        <v>30.544175853341031</v>
      </c>
      <c r="AT180" s="1109">
        <v>31.697397962860759</v>
      </c>
      <c r="AU180" s="1109">
        <v>32.495584384749307</v>
      </c>
      <c r="AV180" s="1109">
        <v>31.888950053774241</v>
      </c>
      <c r="AW180" s="1109">
        <v>32.997785023781809</v>
      </c>
      <c r="AX180" s="1109">
        <v>32.008078057508818</v>
      </c>
      <c r="AY180" s="1109">
        <v>29.547948627592479</v>
      </c>
      <c r="AZ180" s="1109">
        <v>15.704557139358874</v>
      </c>
      <c r="BA180" s="1109">
        <v>20.831832459606311</v>
      </c>
      <c r="BB180" s="1109">
        <v>16.782777028227311</v>
      </c>
      <c r="BC180" s="1109">
        <v>15.395030024181471</v>
      </c>
      <c r="BD180" s="1109">
        <v>22.931766775126238</v>
      </c>
      <c r="BE180" s="1109">
        <v>14.271898933774793</v>
      </c>
      <c r="BF180" s="1109">
        <v>13.045270232176792</v>
      </c>
      <c r="BG180" s="1109">
        <v>12.348430045841486</v>
      </c>
      <c r="BH180" s="1109">
        <v>12.20065184862225</v>
      </c>
      <c r="BI180" s="1109">
        <v>11.130343591669487</v>
      </c>
      <c r="BJ180" s="1109">
        <v>10.803578176401835</v>
      </c>
      <c r="BK180" s="1109">
        <v>12.098405498476247</v>
      </c>
      <c r="BL180" s="1109">
        <v>11.423690841872057</v>
      </c>
      <c r="BM180" s="1109">
        <v>6.3832318880459331</v>
      </c>
      <c r="BN180" s="1109">
        <v>5.0783573723371322</v>
      </c>
      <c r="BO180" s="1109">
        <v>4.3600733183589462</v>
      </c>
      <c r="BP180" s="1109">
        <v>3.5323370373535807</v>
      </c>
      <c r="BQ180" s="1109">
        <v>7.7201562558351267</v>
      </c>
      <c r="BR180" s="1109">
        <v>9.8710486396164345</v>
      </c>
      <c r="BS180" s="1109">
        <v>8.7011481866801041</v>
      </c>
      <c r="BT180" s="1109">
        <v>7.6430805299889535</v>
      </c>
    </row>
    <row r="181" spans="4:84" ht="14.45" hidden="1" outlineLevel="1" collapsed="1">
      <c r="D181" s="1611"/>
      <c r="E181" s="1619"/>
      <c r="F181" s="1107"/>
    </row>
    <row r="182" spans="4:84" ht="14.45" collapsed="1">
      <c r="D182" s="1613" t="s">
        <v>1110</v>
      </c>
      <c r="E182" s="1612" t="s">
        <v>1095</v>
      </c>
      <c r="F182" s="1106" t="s">
        <v>1190</v>
      </c>
      <c r="G182" s="1108">
        <v>35.7491303991265</v>
      </c>
      <c r="I182" s="1108">
        <v>46.887522979627597</v>
      </c>
      <c r="K182" s="1108">
        <v>52.865667228196202</v>
      </c>
      <c r="M182" s="1108">
        <v>53.973568281938299</v>
      </c>
      <c r="O182" s="1108">
        <v>102.973564350054</v>
      </c>
      <c r="Q182" s="1108">
        <v>70.684666231784803</v>
      </c>
      <c r="S182" s="1108">
        <v>132.16416807049001</v>
      </c>
      <c r="T182" s="1108">
        <v>115.331290136489</v>
      </c>
      <c r="U182" s="1108">
        <v>147.074754826244</v>
      </c>
      <c r="V182" s="1108">
        <v>107.51972767571699</v>
      </c>
      <c r="W182" s="1108">
        <v>144.243382321387</v>
      </c>
      <c r="X182" s="1108">
        <v>188.68421658986199</v>
      </c>
      <c r="Y182" s="1108">
        <v>234.45872007076201</v>
      </c>
      <c r="Z182" s="1108">
        <v>198.68937667794901</v>
      </c>
      <c r="AA182" s="1108">
        <v>314.39094158459</v>
      </c>
      <c r="AB182" s="1108">
        <v>324.68654147465401</v>
      </c>
      <c r="AC182" s="1108">
        <v>522.04788437948616</v>
      </c>
      <c r="AD182" s="1108">
        <v>507.59685294667099</v>
      </c>
      <c r="AE182" s="1108">
        <v>611.11414166706095</v>
      </c>
      <c r="AF182" s="1108">
        <v>760.32764238295044</v>
      </c>
      <c r="AG182" s="1108">
        <v>1018.714451317544</v>
      </c>
      <c r="AH182" s="1108">
        <v>1083.7417549067543</v>
      </c>
      <c r="AI182" s="1108">
        <v>1266.9040528635271</v>
      </c>
      <c r="AJ182" s="1108">
        <v>1647.0351908285713</v>
      </c>
      <c r="AK182" s="1108">
        <v>1778.5350179698075</v>
      </c>
      <c r="AL182" s="1108">
        <v>1960.8605743077251</v>
      </c>
      <c r="AM182" s="1108">
        <v>2228.5197558181276</v>
      </c>
      <c r="AN182" s="1108">
        <v>2736.100344102199</v>
      </c>
      <c r="AO182" s="1108">
        <v>3030.1873856605957</v>
      </c>
      <c r="AP182" s="1108">
        <v>3423.0461894580744</v>
      </c>
      <c r="AQ182" s="1108">
        <v>3768.1561380145768</v>
      </c>
      <c r="AR182" s="1108">
        <v>4242.8778465162313</v>
      </c>
      <c r="AS182" s="1108">
        <v>4692.9680131200284</v>
      </c>
      <c r="AT182" s="1108">
        <v>5371.25385655025</v>
      </c>
      <c r="AU182" s="1108">
        <v>5882.1854091760224</v>
      </c>
      <c r="AV182" s="1108">
        <v>6704.675445024789</v>
      </c>
      <c r="AW182" s="1108">
        <v>7332.5646785834115</v>
      </c>
      <c r="AX182" s="1108">
        <v>8107.4661548806052</v>
      </c>
      <c r="AY182" s="1108">
        <v>8895.3587191167207</v>
      </c>
      <c r="AZ182" s="1108">
        <v>9719.4648900184748</v>
      </c>
      <c r="BA182" s="1108">
        <v>10175.241565877624</v>
      </c>
      <c r="BB182" s="1108">
        <v>10968.8112158441</v>
      </c>
      <c r="BC182" s="1108">
        <v>11571.7442140454</v>
      </c>
      <c r="BD182" s="1108">
        <v>12475.174090542367</v>
      </c>
      <c r="BE182" s="1108">
        <v>13106.486537579711</v>
      </c>
      <c r="BF182" s="1108">
        <v>14119.144598755722</v>
      </c>
      <c r="BG182" s="1108">
        <v>14907.794074572912</v>
      </c>
      <c r="BH182" s="1108">
        <v>16100.120481610689</v>
      </c>
      <c r="BI182" s="1108">
        <v>16867.073095850345</v>
      </c>
      <c r="BJ182" s="1108">
        <v>18090.892467488444</v>
      </c>
      <c r="BK182" s="1108">
        <v>19042.794503085461</v>
      </c>
      <c r="BL182" s="1108">
        <v>20557.663260576814</v>
      </c>
      <c r="BM182" s="1108">
        <v>21647.954498786799</v>
      </c>
      <c r="BN182" s="1108">
        <v>23253.596792185519</v>
      </c>
      <c r="BO182" s="1108">
        <v>23892.652998925761</v>
      </c>
      <c r="BP182" s="1108">
        <v>25875.31263579342</v>
      </c>
      <c r="BQ182" s="1108">
        <v>27921.255265236501</v>
      </c>
      <c r="BR182" s="1108">
        <v>29926.369936142866</v>
      </c>
      <c r="BS182" s="1108">
        <v>30446.643774184133</v>
      </c>
      <c r="BT182" s="1108">
        <v>32954.470928602699</v>
      </c>
    </row>
    <row r="183" spans="4:84" ht="14.45" hidden="1" outlineLevel="1">
      <c r="D183" s="1611"/>
      <c r="E183" s="1619"/>
      <c r="F183" s="1106" t="s">
        <v>1191</v>
      </c>
      <c r="O183" s="1109">
        <v>188.04494878725799</v>
      </c>
      <c r="Q183" s="1109">
        <v>50.753679742256693</v>
      </c>
      <c r="S183" s="1109">
        <v>149.99999999999906</v>
      </c>
      <c r="T183" s="1109">
        <v>113.68105501945003</v>
      </c>
      <c r="U183" s="1109">
        <v>42.827681798281724</v>
      </c>
      <c r="V183" s="1109">
        <v>52.111813505838633</v>
      </c>
      <c r="W183" s="1109">
        <v>9.1395530477326687</v>
      </c>
      <c r="X183" s="1109">
        <v>63.601930028323928</v>
      </c>
      <c r="Y183" s="1109">
        <v>59.414659808717374</v>
      </c>
      <c r="Z183" s="1109">
        <v>84.793415099787694</v>
      </c>
      <c r="AA183" s="1109">
        <v>117.95865884793189</v>
      </c>
      <c r="AB183" s="1109">
        <v>72.079333047987134</v>
      </c>
      <c r="AC183" s="1109">
        <v>122.66089494215733</v>
      </c>
      <c r="AD183" s="1109">
        <v>155.47256800217502</v>
      </c>
      <c r="AE183" s="1109">
        <v>94.380327431486961</v>
      </c>
      <c r="AF183" s="1109">
        <v>134.17282371166709</v>
      </c>
      <c r="AG183" s="1109">
        <v>95.13812464318346</v>
      </c>
      <c r="AH183" s="1109">
        <v>113.50442750294476</v>
      </c>
      <c r="AI183" s="1109">
        <v>107.31054421479004</v>
      </c>
      <c r="AJ183" s="1109">
        <v>116.62176922393377</v>
      </c>
      <c r="AK183" s="1109">
        <v>74.586216546703284</v>
      </c>
      <c r="AL183" s="1109">
        <v>80.934301500308862</v>
      </c>
      <c r="AM183" s="1109">
        <v>75.902804224290151</v>
      </c>
      <c r="AN183" s="1109">
        <v>66.122761634847237</v>
      </c>
      <c r="AO183" s="1109">
        <v>70.375469419744434</v>
      </c>
      <c r="AP183" s="1109">
        <v>74.568566185108239</v>
      </c>
      <c r="AQ183" s="1109">
        <v>69.087849823939408</v>
      </c>
      <c r="AR183" s="1109">
        <v>55.07025740711471</v>
      </c>
      <c r="AS183" s="1109">
        <v>54.873854842377625</v>
      </c>
      <c r="AT183" s="1109">
        <v>56.914442846025679</v>
      </c>
      <c r="AU183" s="1109">
        <v>56.102486036454891</v>
      </c>
      <c r="AV183" s="1109">
        <v>58.021882494918067</v>
      </c>
      <c r="AW183" s="1109">
        <v>56.245784290110656</v>
      </c>
      <c r="AX183" s="1109">
        <v>50.941779543589085</v>
      </c>
      <c r="AY183" s="1109">
        <v>51.225405191074792</v>
      </c>
      <c r="AZ183" s="1109">
        <v>44.965479234804917</v>
      </c>
      <c r="BA183" s="1109">
        <v>38.76783924725494</v>
      </c>
      <c r="BB183" s="1109">
        <v>35.292716692267611</v>
      </c>
      <c r="BC183" s="1109">
        <v>30.087437499029107</v>
      </c>
      <c r="BD183" s="1109">
        <v>28.352478574760859</v>
      </c>
      <c r="BE183" s="1109">
        <v>28.807620465070144</v>
      </c>
      <c r="BF183" s="1109">
        <v>28.720827817339632</v>
      </c>
      <c r="BG183" s="1109">
        <v>28.829274125142902</v>
      </c>
      <c r="BH183" s="1109">
        <v>29.057281002727276</v>
      </c>
      <c r="BI183" s="1109">
        <v>28.692560340164793</v>
      </c>
      <c r="BJ183" s="1109">
        <v>28.130230135065975</v>
      </c>
      <c r="BK183" s="1109">
        <v>27.737171628667074</v>
      </c>
      <c r="BL183" s="1109">
        <v>27.68639392517256</v>
      </c>
      <c r="BM183" s="1109">
        <v>28.34446365275225</v>
      </c>
      <c r="BN183" s="1109">
        <v>28.537587816494341</v>
      </c>
      <c r="BO183" s="1109">
        <v>25.468207909582226</v>
      </c>
      <c r="BP183" s="1109">
        <v>25.866993285244629</v>
      </c>
      <c r="BQ183" s="1109">
        <v>28.978722986512523</v>
      </c>
      <c r="BR183" s="1109">
        <v>28.695660304042786</v>
      </c>
      <c r="BS183" s="1109">
        <v>27.430987992639601</v>
      </c>
      <c r="BT183" s="1109">
        <v>27.358735302840948</v>
      </c>
    </row>
    <row r="184" spans="4:84" ht="14.45" hidden="1" outlineLevel="1" collapsed="1">
      <c r="D184" s="1611"/>
      <c r="E184" s="1619"/>
      <c r="F184" s="1106"/>
    </row>
    <row r="185" spans="4:84" ht="14.45" collapsed="1">
      <c r="D185" s="1610" t="s">
        <v>1096</v>
      </c>
      <c r="E185" s="1612" t="s">
        <v>1095</v>
      </c>
      <c r="F185" s="1107" t="s">
        <v>1190</v>
      </c>
      <c r="G185" s="1108">
        <v>29.528734533042165</v>
      </c>
      <c r="I185" s="1108">
        <v>42.720362351209197</v>
      </c>
      <c r="K185" s="1108">
        <v>51.640824278505399</v>
      </c>
      <c r="M185" s="1108">
        <v>65.365233433468632</v>
      </c>
      <c r="O185" s="1108">
        <v>76.002648068956759</v>
      </c>
      <c r="Q185" s="1108">
        <v>86.906654256452171</v>
      </c>
      <c r="S185" s="1108">
        <v>120.09332854663077</v>
      </c>
      <c r="T185" s="1108">
        <v>143.06793547872522</v>
      </c>
      <c r="U185" s="1108">
        <v>166.96081660332311</v>
      </c>
      <c r="V185" s="1108">
        <v>191.62924314105771</v>
      </c>
      <c r="W185" s="1108">
        <v>245.4033851155221</v>
      </c>
      <c r="X185" s="1108">
        <v>319.6959359988029</v>
      </c>
      <c r="Y185" s="1108">
        <v>378.24738541403508</v>
      </c>
      <c r="Z185" s="1108">
        <v>442.45710829132207</v>
      </c>
      <c r="AA185" s="1108">
        <v>519.21108254435933</v>
      </c>
      <c r="AB185" s="1108">
        <v>658.70801574620089</v>
      </c>
      <c r="AC185" s="1108">
        <v>811.41105774531002</v>
      </c>
      <c r="AD185" s="1108">
        <v>842.61233252092336</v>
      </c>
      <c r="AE185" s="1108">
        <v>989.48344752810476</v>
      </c>
      <c r="AF185" s="1108">
        <v>1295.745337170302</v>
      </c>
      <c r="AG185" s="1108">
        <v>1542.8557865160546</v>
      </c>
      <c r="AH185" s="1108">
        <v>1678.1076319210672</v>
      </c>
      <c r="AI185" s="1108">
        <v>1908.3643867994663</v>
      </c>
      <c r="AJ185" s="1108">
        <v>2473.4224949490526</v>
      </c>
      <c r="AK185" s="1108">
        <v>2714.5637181541724</v>
      </c>
      <c r="AL185" s="1108">
        <v>2980.0382221601849</v>
      </c>
      <c r="AM185" s="1108">
        <v>3303.4116490372553</v>
      </c>
      <c r="AN185" s="1108">
        <v>4023.4569447866184</v>
      </c>
      <c r="AO185" s="1108">
        <v>4318.4699362640222</v>
      </c>
      <c r="AP185" s="1108">
        <v>4827.9539634351177</v>
      </c>
      <c r="AQ185" s="1108">
        <v>5246.5172272705677</v>
      </c>
      <c r="AR185" s="1108">
        <v>5907.4284904647411</v>
      </c>
      <c r="AS185" s="1108">
        <v>6387.7208123885985</v>
      </c>
      <c r="AT185" s="1108">
        <v>7239.6495255537848</v>
      </c>
      <c r="AU185" s="1108">
        <v>7858.0017297963759</v>
      </c>
      <c r="AV185" s="1108">
        <v>8927.7595417011344</v>
      </c>
      <c r="AW185" s="1108">
        <v>9578.9385462084992</v>
      </c>
      <c r="AX185" s="1108">
        <v>10560.788326958758</v>
      </c>
      <c r="AY185" s="1108">
        <v>11429.030011195948</v>
      </c>
      <c r="AZ185" s="1108">
        <v>12451.041900270982</v>
      </c>
      <c r="BA185" s="1108">
        <v>12933.9797018963</v>
      </c>
      <c r="BB185" s="1108">
        <v>13844.071671288053</v>
      </c>
      <c r="BC185" s="1108">
        <v>14517.063107027399</v>
      </c>
      <c r="BD185" s="1108">
        <v>15690.918573782228</v>
      </c>
      <c r="BE185" s="1108">
        <v>16338.960093015945</v>
      </c>
      <c r="BF185" s="1108">
        <v>17384.020398888399</v>
      </c>
      <c r="BG185" s="1108">
        <v>18190.0733932722</v>
      </c>
      <c r="BH185" s="1108">
        <v>19619.240201783221</v>
      </c>
      <c r="BI185" s="1108">
        <v>20519.500124862534</v>
      </c>
      <c r="BJ185" s="1108">
        <v>21856.062463305349</v>
      </c>
      <c r="BK185" s="1108">
        <v>22734.727540832188</v>
      </c>
      <c r="BL185" s="1108">
        <v>24391.400669562761</v>
      </c>
      <c r="BM185" s="1108">
        <v>25165.227551249685</v>
      </c>
      <c r="BN185" s="1108">
        <v>26721.561680498329</v>
      </c>
      <c r="BO185" s="1108">
        <v>27621.509490516284</v>
      </c>
      <c r="BP185" s="1108">
        <v>29856.824445452457</v>
      </c>
      <c r="BQ185" s="1108">
        <v>30616.06343304722</v>
      </c>
      <c r="BR185" s="1108">
        <v>32510.84951107276</v>
      </c>
      <c r="BS185" s="1108">
        <v>33436.578365609021</v>
      </c>
      <c r="BT185" s="1108">
        <v>36210.979011687778</v>
      </c>
      <c r="BU185" s="1108">
        <v>31738.48345438845</v>
      </c>
      <c r="BV185" s="1108">
        <v>33432.139065256852</v>
      </c>
      <c r="BW185" s="1108">
        <v>34914.1306271145</v>
      </c>
      <c r="BX185" s="1108">
        <v>38387.992541875348</v>
      </c>
      <c r="BY185" s="1108">
        <v>34743.6760374074</v>
      </c>
      <c r="BZ185" s="1108">
        <v>36599.075200231797</v>
      </c>
      <c r="CA185" s="1108">
        <v>38219.237226741447</v>
      </c>
      <c r="CB185" s="1108">
        <v>42022.718446757797</v>
      </c>
      <c r="CC185" s="1108">
        <v>37135.2677566231</v>
      </c>
      <c r="CD185" s="1108">
        <v>39124.4208842917</v>
      </c>
      <c r="CE185" s="1108">
        <v>40846.672398099749</v>
      </c>
      <c r="CF185" s="1108">
        <v>44915.003303996251</v>
      </c>
    </row>
    <row r="186" spans="4:84" ht="14.45" hidden="1" outlineLevel="1">
      <c r="D186" s="1611"/>
      <c r="E186" s="1619"/>
      <c r="F186" s="1107" t="s">
        <v>1191</v>
      </c>
      <c r="O186" s="1109">
        <v>157.3853884050163</v>
      </c>
      <c r="Q186" s="1109">
        <v>103.43145393286272</v>
      </c>
      <c r="S186" s="1109">
        <v>132.55501867854102</v>
      </c>
      <c r="T186" s="1109">
        <v>118.87466465540206</v>
      </c>
      <c r="U186" s="1109">
        <v>119.67763077391795</v>
      </c>
      <c r="V186" s="1109">
        <v>120.50008112794271</v>
      </c>
      <c r="W186" s="1109">
        <v>104.34389494020475</v>
      </c>
      <c r="X186" s="1109">
        <v>123.45743295243328</v>
      </c>
      <c r="Y186" s="1109">
        <v>126.54859571794081</v>
      </c>
      <c r="Z186" s="1109">
        <v>130.89226938376558</v>
      </c>
      <c r="AA186" s="1109">
        <v>111.57453973177427</v>
      </c>
      <c r="AB186" s="1109">
        <v>106.04203606412671</v>
      </c>
      <c r="AC186" s="1109">
        <v>114.51861639628459</v>
      </c>
      <c r="AD186" s="1109">
        <v>90.439325469290822</v>
      </c>
      <c r="AE186" s="1109">
        <v>90.574408134588921</v>
      </c>
      <c r="AF186" s="1109">
        <v>96.71012135816342</v>
      </c>
      <c r="AG186" s="1109">
        <v>90.144781955921331</v>
      </c>
      <c r="AH186" s="1109">
        <v>99.155360912000091</v>
      </c>
      <c r="AI186" s="1109">
        <v>92.864710528193257</v>
      </c>
      <c r="AJ186" s="1109">
        <v>90.888010475160712</v>
      </c>
      <c r="AK186" s="1109">
        <v>75.944099369388809</v>
      </c>
      <c r="AL186" s="1109">
        <v>77.583258992076168</v>
      </c>
      <c r="AM186" s="1109">
        <v>73.10172375294816</v>
      </c>
      <c r="AN186" s="1109">
        <v>62.66759734751637</v>
      </c>
      <c r="AO186" s="1109">
        <v>59.085230064168883</v>
      </c>
      <c r="AP186" s="1109">
        <v>62.009799992947954</v>
      </c>
      <c r="AQ186" s="1109">
        <v>58.821175943955097</v>
      </c>
      <c r="AR186" s="1109">
        <v>46.824697555649827</v>
      </c>
      <c r="AS186" s="1109">
        <v>47.916296898311131</v>
      </c>
      <c r="AT186" s="1109">
        <v>49.952745622344992</v>
      </c>
      <c r="AU186" s="1109">
        <v>49.775582341590805</v>
      </c>
      <c r="AV186" s="1109">
        <v>51.127678584879192</v>
      </c>
      <c r="AW186" s="1109">
        <v>49.958628868543016</v>
      </c>
      <c r="AX186" s="1109">
        <v>45.874303578955761</v>
      </c>
      <c r="AY186" s="1109">
        <v>45.44448326931213</v>
      </c>
      <c r="AZ186" s="1109">
        <v>39.464350961882047</v>
      </c>
      <c r="BA186" s="1109">
        <v>35.025187180220307</v>
      </c>
      <c r="BB186" s="1109">
        <v>31.089377446833062</v>
      </c>
      <c r="BC186" s="1109">
        <v>27.019205416438624</v>
      </c>
      <c r="BD186" s="1109">
        <v>26.020928203933952</v>
      </c>
      <c r="BE186" s="1109">
        <v>26.325852286751523</v>
      </c>
      <c r="BF186" s="1109">
        <v>25.570141585889296</v>
      </c>
      <c r="BG186" s="1109">
        <v>25.301331675459721</v>
      </c>
      <c r="BH186" s="1109">
        <v>25.035638350483698</v>
      </c>
      <c r="BI186" s="1109">
        <v>25.58632867726724</v>
      </c>
      <c r="BJ186" s="1109">
        <v>25.72501620340315</v>
      </c>
      <c r="BK186" s="1109">
        <v>24.984254045070969</v>
      </c>
      <c r="BL186" s="1109">
        <v>24.323880123277107</v>
      </c>
      <c r="BM186" s="1109">
        <v>22.640548737140712</v>
      </c>
      <c r="BN186" s="1109">
        <v>22.261554318678307</v>
      </c>
      <c r="BO186" s="1109">
        <v>21.494790033913112</v>
      </c>
      <c r="BP186" s="1109">
        <v>22.407174765940447</v>
      </c>
      <c r="BQ186" s="1109">
        <v>21.6601891268289</v>
      </c>
      <c r="BR186" s="1109">
        <v>21.665230123131284</v>
      </c>
      <c r="BS186" s="1109">
        <v>21.052683152922231</v>
      </c>
      <c r="BT186" s="1109">
        <v>21.28208436179867</v>
      </c>
      <c r="BU186" s="1109">
        <v>3.6661147629112913</v>
      </c>
      <c r="BV186" s="1109">
        <v>2.8337910821749297</v>
      </c>
      <c r="BW186" s="1109">
        <v>4.4189696844854396</v>
      </c>
      <c r="BX186" s="1109">
        <v>6.0120261578260514</v>
      </c>
      <c r="BY186" s="1109">
        <v>9.4686079986705387</v>
      </c>
      <c r="BZ186" s="1109">
        <v>9.4727296054653873</v>
      </c>
      <c r="CA186" s="1109">
        <v>9.4663866470734419</v>
      </c>
      <c r="CB186" s="1109">
        <v>9.4683927556709993</v>
      </c>
      <c r="CC186" s="1109">
        <v>6.8835310248712585</v>
      </c>
      <c r="CD186" s="1109">
        <v>6.9000259439449136</v>
      </c>
      <c r="CE186" s="1109">
        <v>6.8746405266296717</v>
      </c>
      <c r="CF186" s="1109">
        <v>6.882669575274952</v>
      </c>
    </row>
    <row r="187" spans="4:84" ht="14.45" hidden="1" outlineLevel="1" collapsed="1">
      <c r="D187" s="1611"/>
      <c r="E187" s="1619"/>
      <c r="F187" s="1107"/>
    </row>
    <row r="188" spans="4:84" ht="14.45" collapsed="1">
      <c r="D188" s="1105" t="s">
        <v>401</v>
      </c>
      <c r="F188" s="1106" t="s">
        <v>1188</v>
      </c>
    </row>
    <row r="189" spans="4:84" ht="14.45">
      <c r="D189" s="1610" t="s">
        <v>1111</v>
      </c>
      <c r="E189" s="1612" t="s">
        <v>1112</v>
      </c>
      <c r="F189" s="1107" t="s">
        <v>1190</v>
      </c>
      <c r="AC189" s="1108">
        <v>33.1788004</v>
      </c>
      <c r="AD189" s="1108">
        <v>37.077861200000001</v>
      </c>
      <c r="AE189" s="1108">
        <v>42.5</v>
      </c>
      <c r="AF189" s="1108">
        <v>53.615384599999999</v>
      </c>
      <c r="AG189" s="1108">
        <v>60.620192299999999</v>
      </c>
      <c r="AH189" s="1108">
        <v>66.653846150000007</v>
      </c>
      <c r="AI189" s="1108">
        <v>72.6875</v>
      </c>
      <c r="AJ189" s="1108">
        <v>84.801923099999996</v>
      </c>
      <c r="AK189" s="1108">
        <v>90.342307700000006</v>
      </c>
      <c r="AL189" s="1108">
        <v>95.882692300000002</v>
      </c>
      <c r="AM189" s="1108">
        <v>101.42307692307701</v>
      </c>
      <c r="AN189" s="1108">
        <v>112.030769230769</v>
      </c>
      <c r="AO189" s="1108">
        <v>116.55769230769251</v>
      </c>
      <c r="AP189" s="1108">
        <v>122.6048076923075</v>
      </c>
      <c r="AQ189" s="1108">
        <v>128.651923076923</v>
      </c>
      <c r="AR189" s="1108">
        <v>137.739423076923</v>
      </c>
      <c r="AS189" s="1108">
        <v>142.77307692307701</v>
      </c>
      <c r="AT189" s="1108">
        <v>148.34711538461551</v>
      </c>
      <c r="AU189" s="1108">
        <v>156.421153846154</v>
      </c>
      <c r="AV189" s="1108">
        <v>164.52884615384602</v>
      </c>
      <c r="AW189" s="1108">
        <v>170.50501923076951</v>
      </c>
      <c r="AX189" s="1108">
        <v>176.65673076923099</v>
      </c>
      <c r="AY189" s="1108">
        <v>183.71730769230749</v>
      </c>
      <c r="AZ189" s="1108">
        <v>192.29807692307699</v>
      </c>
      <c r="BA189" s="1108">
        <v>195.8115384615385</v>
      </c>
      <c r="BB189" s="1108">
        <v>186.65673076923099</v>
      </c>
      <c r="BC189" s="1108">
        <v>202.55469230769251</v>
      </c>
      <c r="BD189" s="1108">
        <v>211.621923076923</v>
      </c>
      <c r="BE189" s="1108">
        <v>215.21646153846149</v>
      </c>
      <c r="BF189" s="1108">
        <v>205.12926923076949</v>
      </c>
      <c r="BG189" s="1108">
        <v>222.0990676923075</v>
      </c>
      <c r="BH189" s="1108">
        <v>231.69167692307701</v>
      </c>
      <c r="BI189" s="1108">
        <v>235.37377846153851</v>
      </c>
      <c r="BJ189" s="1108">
        <v>224.279610769231</v>
      </c>
      <c r="BK189" s="1108">
        <v>242.4069931076925</v>
      </c>
      <c r="BL189" s="1108">
        <v>252.567011076923</v>
      </c>
      <c r="BM189" s="1108">
        <v>296.187361476923</v>
      </c>
      <c r="BN189" s="1108">
        <v>266.82395926153902</v>
      </c>
      <c r="BO189" s="1108">
        <v>300.57910511261599</v>
      </c>
      <c r="BP189" s="1108">
        <v>317.124743926154</v>
      </c>
    </row>
    <row r="190" spans="4:84" ht="14.45" hidden="1" outlineLevel="1">
      <c r="D190" s="1611"/>
      <c r="E190" s="1619"/>
      <c r="F190" s="1107" t="s">
        <v>1191</v>
      </c>
      <c r="AG190" s="1109">
        <v>82.707607174369087</v>
      </c>
      <c r="AH190" s="1109">
        <v>79.767235737966473</v>
      </c>
      <c r="AI190" s="1109">
        <v>71.029411764705884</v>
      </c>
      <c r="AJ190" s="1109">
        <v>58.167144995169906</v>
      </c>
      <c r="AK190" s="1109">
        <v>49.030057926754559</v>
      </c>
      <c r="AL190" s="1109">
        <v>43.851702247192812</v>
      </c>
      <c r="AM190" s="1109">
        <v>39.533037899332079</v>
      </c>
      <c r="AN190" s="1109">
        <v>32.108760197171755</v>
      </c>
      <c r="AO190" s="1109">
        <v>29.017838126015121</v>
      </c>
      <c r="AP190" s="1109">
        <v>27.869592260403707</v>
      </c>
      <c r="AQ190" s="1109">
        <v>26.846795601061629</v>
      </c>
      <c r="AR190" s="1109">
        <v>22.947850865147128</v>
      </c>
      <c r="AS190" s="1109">
        <v>22.491338063025772</v>
      </c>
      <c r="AT190" s="1109">
        <v>20.996164976590173</v>
      </c>
      <c r="AU190" s="1109">
        <v>21.584777051974065</v>
      </c>
      <c r="AV190" s="1109">
        <v>19.449350431765634</v>
      </c>
      <c r="AW190" s="1109">
        <v>19.423789768594713</v>
      </c>
      <c r="AX190" s="1109">
        <v>19.083360880471396</v>
      </c>
      <c r="AY190" s="1109">
        <v>17.450423536064864</v>
      </c>
      <c r="AZ190" s="1109">
        <v>16.878031675530497</v>
      </c>
      <c r="BA190" s="1109">
        <v>14.842096347039476</v>
      </c>
      <c r="BB190" s="1109">
        <v>5.6606957212760438</v>
      </c>
      <c r="BC190" s="1109">
        <v>10.253462154439012</v>
      </c>
      <c r="BD190" s="1109">
        <v>10.048902445122176</v>
      </c>
      <c r="BE190" s="1109">
        <v>9.9099998035787458</v>
      </c>
      <c r="BF190" s="1109">
        <v>9.8965295199435523</v>
      </c>
      <c r="BG190" s="1109">
        <v>9.6489373620266168</v>
      </c>
      <c r="BH190" s="1109">
        <v>9.4837782184120929</v>
      </c>
      <c r="BI190" s="1109">
        <v>9.3660665076377949</v>
      </c>
      <c r="BJ190" s="1109">
        <v>9.3357430708327911</v>
      </c>
      <c r="BK190" s="1109">
        <v>9.1436337965719314</v>
      </c>
      <c r="BL190" s="1109">
        <v>9.0099629089294897</v>
      </c>
      <c r="BM190" s="1109">
        <v>25.837025437955401</v>
      </c>
      <c r="BN190" s="1109">
        <v>18.969334014086265</v>
      </c>
      <c r="BO190" s="1109">
        <v>23.997703720981253</v>
      </c>
      <c r="BP190" s="1109">
        <v>25.560635402843246</v>
      </c>
    </row>
    <row r="191" spans="4:84" ht="14.45" hidden="1" outlineLevel="1" collapsed="1">
      <c r="D191" s="1611"/>
      <c r="E191" s="1619"/>
      <c r="F191" s="1107"/>
    </row>
    <row r="192" spans="4:84" ht="14.45" collapsed="1">
      <c r="D192" s="1610" t="s">
        <v>1113</v>
      </c>
      <c r="E192" s="1612" t="s">
        <v>1114</v>
      </c>
      <c r="F192" s="1106" t="s">
        <v>1190</v>
      </c>
      <c r="AC192" s="1108">
        <v>986.71726755218197</v>
      </c>
      <c r="AD192" s="1108">
        <v>986.71726755218197</v>
      </c>
      <c r="AE192" s="1108">
        <v>986.71726755218197</v>
      </c>
      <c r="AF192" s="1108">
        <v>986.71726755218197</v>
      </c>
      <c r="AG192" s="1108">
        <v>913.20596202036597</v>
      </c>
      <c r="AH192" s="1108">
        <v>907.15173722436703</v>
      </c>
      <c r="AI192" s="1108">
        <v>902.16366522263195</v>
      </c>
      <c r="AJ192" s="1108">
        <v>967.34707308244947</v>
      </c>
      <c r="AK192" s="1108">
        <v>974.23295071598147</v>
      </c>
      <c r="AL192" s="1108">
        <v>981.44153533049496</v>
      </c>
      <c r="AM192" s="1108">
        <v>986.46208205195296</v>
      </c>
      <c r="AN192" s="1108">
        <v>1036.1755351845411</v>
      </c>
      <c r="AO192" s="1108">
        <v>1031.6187234621909</v>
      </c>
      <c r="AP192" s="1108">
        <v>1038.4230114584959</v>
      </c>
      <c r="AQ192" s="1108">
        <v>1044.7989629941958</v>
      </c>
      <c r="AR192" s="1108">
        <v>1074.386301760281</v>
      </c>
      <c r="AS192" s="1108">
        <v>1071.305401836926</v>
      </c>
      <c r="AT192" s="1108">
        <v>1113.130496893961</v>
      </c>
      <c r="AU192" s="1108">
        <v>1130.721271138726</v>
      </c>
      <c r="AV192" s="1108">
        <v>1189.329329746786</v>
      </c>
      <c r="AW192" s="1108">
        <v>1185.9381390764461</v>
      </c>
      <c r="AX192" s="1108">
        <v>1231.874534836161</v>
      </c>
      <c r="AY192" s="1108">
        <v>1237.3859375303559</v>
      </c>
      <c r="AZ192" s="1108">
        <v>1252.4345413668509</v>
      </c>
      <c r="BA192" s="1108">
        <v>1234.572691284076</v>
      </c>
      <c r="BB192" s="1108">
        <v>1239.488664735841</v>
      </c>
      <c r="BC192" s="1108">
        <v>1226.5718469893061</v>
      </c>
      <c r="BD192" s="1108">
        <v>1210.8513451463509</v>
      </c>
      <c r="BE192" s="1108">
        <v>1222.8770473738259</v>
      </c>
      <c r="BF192" s="1108">
        <v>1210.383427164521</v>
      </c>
      <c r="BG192" s="1108">
        <v>1213.4015292184511</v>
      </c>
      <c r="BH192" s="1108">
        <v>1200.1732551860109</v>
      </c>
      <c r="BI192" s="1108">
        <v>1194.4945116386859</v>
      </c>
      <c r="BJ192" s="1108">
        <v>1190.883199532916</v>
      </c>
      <c r="BK192" s="1108">
        <v>1202.191176148971</v>
      </c>
      <c r="BL192" s="1108">
        <v>1197.3326290479611</v>
      </c>
      <c r="BM192" s="1108">
        <v>986.71726755218197</v>
      </c>
      <c r="BN192" s="1108">
        <v>986.71726755218197</v>
      </c>
      <c r="BO192" s="1108">
        <v>986.71726755218197</v>
      </c>
      <c r="BP192" s="1108">
        <v>986.71726755218197</v>
      </c>
    </row>
    <row r="193" spans="4:84" ht="14.45" hidden="1" outlineLevel="1">
      <c r="D193" s="1611"/>
      <c r="E193" s="1619"/>
      <c r="F193" s="1106" t="s">
        <v>1191</v>
      </c>
      <c r="AG193" s="1109">
        <v>-7.4500880798590448</v>
      </c>
      <c r="AH193" s="1109">
        <v>-8.0636604774535545</v>
      </c>
      <c r="AI193" s="1109">
        <v>-8.5691823899370902</v>
      </c>
      <c r="AJ193" s="1109">
        <v>-1.9630947087594286</v>
      </c>
      <c r="AK193" s="1109">
        <v>6.682719039700542</v>
      </c>
      <c r="AL193" s="1109">
        <v>8.1893463968259752</v>
      </c>
      <c r="AM193" s="1109">
        <v>9.3440270406499053</v>
      </c>
      <c r="AN193" s="1109">
        <v>7.1151775838603495</v>
      </c>
      <c r="AO193" s="1109">
        <v>5.8903543248086203</v>
      </c>
      <c r="AP193" s="1109">
        <v>5.8058961310224939</v>
      </c>
      <c r="AQ193" s="1109">
        <v>5.9137479284450043</v>
      </c>
      <c r="AR193" s="1109">
        <v>3.6876731092608339</v>
      </c>
      <c r="AS193" s="1109">
        <v>3.8470296701812003</v>
      </c>
      <c r="AT193" s="1109">
        <v>7.1943210629102081</v>
      </c>
      <c r="AU193" s="1109">
        <v>8.2238125407679572</v>
      </c>
      <c r="AV193" s="1109">
        <v>10.698482268266238</v>
      </c>
      <c r="AW193" s="1109">
        <v>10.700285562171514</v>
      </c>
      <c r="AX193" s="1109">
        <v>10.667575659236642</v>
      </c>
      <c r="AY193" s="1109">
        <v>9.4333297793372299</v>
      </c>
      <c r="AZ193" s="1109">
        <v>5.3059493314185993</v>
      </c>
      <c r="BA193" s="1109">
        <v>4.1009349986420238</v>
      </c>
      <c r="BB193" s="1109">
        <v>0.61809297005174435</v>
      </c>
      <c r="BC193" s="1109">
        <v>-0.87394645543113281</v>
      </c>
      <c r="BD193" s="1109">
        <v>-3.3201891873021925</v>
      </c>
      <c r="BE193" s="1109">
        <v>-0.94734348109429234</v>
      </c>
      <c r="BF193" s="1109">
        <v>-2.3481648843898784</v>
      </c>
      <c r="BG193" s="1109">
        <v>-1.073750209022192</v>
      </c>
      <c r="BH193" s="1109">
        <v>-0.88186630036318647</v>
      </c>
      <c r="BI193" s="1109">
        <v>-2.3209639755764928</v>
      </c>
      <c r="BJ193" s="1109">
        <v>-1.6110785387475728</v>
      </c>
      <c r="BK193" s="1109">
        <v>-0.92387827108646114</v>
      </c>
      <c r="BL193" s="1109">
        <v>-0.23668467246502647</v>
      </c>
      <c r="BM193" s="1109">
        <v>-17.39457503253502</v>
      </c>
      <c r="BN193" s="1109">
        <v>-17.144076938931651</v>
      </c>
      <c r="BO193" s="1109">
        <v>-17.923431220567227</v>
      </c>
      <c r="BP193" s="1109">
        <v>-17.590380182259491</v>
      </c>
    </row>
    <row r="194" spans="4:84" ht="14.45" hidden="1" outlineLevel="1" collapsed="1">
      <c r="D194" s="1611"/>
      <c r="E194" s="1619"/>
      <c r="F194" s="1106"/>
    </row>
    <row r="195" spans="4:84" ht="14.45" collapsed="1">
      <c r="D195" s="1610" t="s">
        <v>1115</v>
      </c>
      <c r="E195" s="1612" t="s">
        <v>1116</v>
      </c>
      <c r="F195" s="1107" t="s">
        <v>1190</v>
      </c>
      <c r="T195" s="1108">
        <v>1.79019457245264</v>
      </c>
      <c r="U195" s="1108">
        <v>2.1825396825396801</v>
      </c>
      <c r="V195" s="1108">
        <v>5.6771633384536599</v>
      </c>
      <c r="W195" s="1108">
        <v>10.4838709677419</v>
      </c>
      <c r="X195" s="1108">
        <v>10.7411674347158</v>
      </c>
      <c r="Y195" s="1108">
        <v>14.797619047619049</v>
      </c>
      <c r="Z195" s="1108">
        <v>17.7157450076805</v>
      </c>
      <c r="AA195" s="1108">
        <v>20.98387096774195</v>
      </c>
      <c r="AB195" s="1108">
        <v>27.926459293394799</v>
      </c>
      <c r="AC195" s="1108">
        <v>32.738095238095198</v>
      </c>
      <c r="AD195" s="1108">
        <v>36.585365853658502</v>
      </c>
      <c r="AE195" s="1108">
        <v>41.935483870967701</v>
      </c>
      <c r="AF195" s="1108">
        <v>52.903225806451601</v>
      </c>
      <c r="AG195" s="1108">
        <v>55</v>
      </c>
      <c r="AH195" s="1108">
        <v>60</v>
      </c>
      <c r="AI195" s="1108">
        <v>65</v>
      </c>
      <c r="AJ195" s="1108">
        <v>82</v>
      </c>
      <c r="AK195" s="1108">
        <v>88</v>
      </c>
      <c r="AL195" s="1108">
        <v>94</v>
      </c>
      <c r="AM195" s="1108">
        <v>100</v>
      </c>
      <c r="AN195" s="1108">
        <v>116</v>
      </c>
      <c r="AO195" s="1108">
        <v>120</v>
      </c>
      <c r="AP195" s="1108">
        <v>127</v>
      </c>
      <c r="AQ195" s="1108">
        <v>134</v>
      </c>
      <c r="AR195" s="1108">
        <v>147</v>
      </c>
      <c r="AS195" s="1108">
        <v>152</v>
      </c>
      <c r="AT195" s="1108">
        <v>163</v>
      </c>
      <c r="AU195" s="1108">
        <v>174</v>
      </c>
      <c r="AV195" s="1108">
        <v>190</v>
      </c>
      <c r="AW195" s="1108">
        <v>196</v>
      </c>
      <c r="AX195" s="1108">
        <v>209</v>
      </c>
      <c r="AY195" s="1108">
        <v>218</v>
      </c>
      <c r="AZ195" s="1108">
        <v>230</v>
      </c>
      <c r="BA195" s="1108">
        <v>232</v>
      </c>
      <c r="BB195" s="1108">
        <v>241</v>
      </c>
      <c r="BC195" s="1108">
        <v>245.83439691451355</v>
      </c>
      <c r="BD195" s="1108">
        <v>254.83196801055388</v>
      </c>
      <c r="BE195" s="1108">
        <v>257.67558302769112</v>
      </c>
      <c r="BF195" s="1108">
        <v>261.0124904292278</v>
      </c>
      <c r="BG195" s="1108">
        <v>270.76895205064022</v>
      </c>
      <c r="BH195" s="1108">
        <v>278.91766798357031</v>
      </c>
      <c r="BI195" s="1108">
        <v>280.85867154120569</v>
      </c>
      <c r="BJ195" s="1108">
        <v>283.53712044609131</v>
      </c>
      <c r="BK195" s="1108">
        <v>291.9229236209041</v>
      </c>
      <c r="BL195" s="1108">
        <v>298.52372868782686</v>
      </c>
      <c r="BM195" s="1108">
        <v>303.83041421989441</v>
      </c>
      <c r="BN195" s="1108">
        <v>302.26072843177059</v>
      </c>
      <c r="BO195" s="1108">
        <v>312.80320157746741</v>
      </c>
      <c r="BP195" s="1108">
        <v>320.27413501989281</v>
      </c>
      <c r="BQ195" s="1108">
        <v>318.57146089975765</v>
      </c>
      <c r="BR195" s="1108">
        <v>323.00909469870402</v>
      </c>
      <c r="BS195" s="1108">
        <v>326.54170093544036</v>
      </c>
      <c r="BT195" s="1108">
        <v>331.47066136190602</v>
      </c>
    </row>
    <row r="196" spans="4:84" ht="14.45" hidden="1" outlineLevel="1">
      <c r="D196" s="1611"/>
      <c r="E196" s="1619"/>
      <c r="F196" s="1107" t="s">
        <v>1191</v>
      </c>
      <c r="X196" s="1109">
        <v>499.99999999999778</v>
      </c>
      <c r="Y196" s="1109">
        <v>578.0000000000008</v>
      </c>
      <c r="Z196" s="1109">
        <v>212.05276211950417</v>
      </c>
      <c r="AA196" s="1109">
        <v>100.15384615384697</v>
      </c>
      <c r="AB196" s="1109">
        <v>159.99463711119131</v>
      </c>
      <c r="AC196" s="1109">
        <v>121.23893805309704</v>
      </c>
      <c r="AD196" s="1109">
        <v>106.51327865577909</v>
      </c>
      <c r="AE196" s="1109">
        <v>99.846272098385526</v>
      </c>
      <c r="AF196" s="1109">
        <v>89.437641380353355</v>
      </c>
      <c r="AG196" s="1109">
        <v>68.000000000000199</v>
      </c>
      <c r="AH196" s="1109">
        <v>64.000000000000156</v>
      </c>
      <c r="AI196" s="1109">
        <v>55.000000000000149</v>
      </c>
      <c r="AJ196" s="1109">
        <v>55.000000000000036</v>
      </c>
      <c r="AK196" s="1109">
        <v>60</v>
      </c>
      <c r="AL196" s="1109">
        <v>56.666666666666664</v>
      </c>
      <c r="AM196" s="1109">
        <v>53.846153846153847</v>
      </c>
      <c r="AN196" s="1109">
        <v>41.463414634146339</v>
      </c>
      <c r="AO196" s="1109">
        <v>36.363636363636367</v>
      </c>
      <c r="AP196" s="1109">
        <v>35.106382978723403</v>
      </c>
      <c r="AQ196" s="1109">
        <v>34</v>
      </c>
      <c r="AR196" s="1109">
        <v>26.72413793103448</v>
      </c>
      <c r="AS196" s="1109">
        <v>26.666666666666668</v>
      </c>
      <c r="AT196" s="1109">
        <v>28.346456692913385</v>
      </c>
      <c r="AU196" s="1109">
        <v>29.850746268656714</v>
      </c>
      <c r="AV196" s="1109">
        <v>29.251700680272108</v>
      </c>
      <c r="AW196" s="1109">
        <v>28.947368421052634</v>
      </c>
      <c r="AX196" s="1109">
        <v>28.220858895705518</v>
      </c>
      <c r="AY196" s="1109">
        <v>25.287356321839084</v>
      </c>
      <c r="AZ196" s="1109">
        <v>21.052631578947366</v>
      </c>
      <c r="BA196" s="1109">
        <v>18.367346938775512</v>
      </c>
      <c r="BB196" s="1109">
        <v>15.311004784688995</v>
      </c>
      <c r="BC196" s="1109">
        <v>12.768071979134653</v>
      </c>
      <c r="BD196" s="1109">
        <v>10.796507830675599</v>
      </c>
      <c r="BE196" s="1109">
        <v>11.067061649866861</v>
      </c>
      <c r="BF196" s="1109">
        <v>8.3039379374389188</v>
      </c>
      <c r="BG196" s="1109">
        <v>10.142826003635861</v>
      </c>
      <c r="BH196" s="1109">
        <v>9.4516006610359504</v>
      </c>
      <c r="BI196" s="1109">
        <v>8.9970063290875348</v>
      </c>
      <c r="BJ196" s="1109">
        <v>8.6297134592380544</v>
      </c>
      <c r="BK196" s="1109">
        <v>7.8125543604820633</v>
      </c>
      <c r="BL196" s="1109">
        <v>7.0293362360291383</v>
      </c>
      <c r="BM196" s="1109">
        <v>8.1791110641632638</v>
      </c>
      <c r="BN196" s="1109">
        <v>6.6035826124710848</v>
      </c>
      <c r="BO196" s="1109">
        <v>7.1526681418410201</v>
      </c>
      <c r="BP196" s="1109">
        <v>7.2859890996507177</v>
      </c>
      <c r="BQ196" s="1109">
        <v>4.8517350436136892</v>
      </c>
      <c r="BR196" s="1109">
        <v>6.864393655961484</v>
      </c>
      <c r="BS196" s="1109">
        <v>4.392058421617703</v>
      </c>
      <c r="BT196" s="1109">
        <v>3.4959196256412586</v>
      </c>
    </row>
    <row r="197" spans="4:84" ht="14.45" hidden="1" outlineLevel="1" collapsed="1">
      <c r="D197" s="1611"/>
      <c r="E197" s="1619"/>
      <c r="F197" s="1107"/>
    </row>
    <row r="198" spans="4:84" ht="14.45" collapsed="1">
      <c r="D198" s="1105" t="s">
        <v>401</v>
      </c>
      <c r="F198" s="1106" t="s">
        <v>1188</v>
      </c>
    </row>
    <row r="199" spans="4:84" ht="14.45">
      <c r="D199" s="1105" t="s">
        <v>1117</v>
      </c>
      <c r="F199" s="1106" t="s">
        <v>1188</v>
      </c>
    </row>
    <row r="200" spans="4:84" ht="14.45">
      <c r="D200" s="1613" t="s">
        <v>1118</v>
      </c>
      <c r="E200" s="1612" t="s">
        <v>1095</v>
      </c>
      <c r="F200" s="1107" t="s">
        <v>1190</v>
      </c>
      <c r="G200" s="1108">
        <v>316.38355998701934</v>
      </c>
      <c r="I200" s="1108">
        <v>344.49771997796501</v>
      </c>
      <c r="K200" s="1108">
        <v>376.23663886178667</v>
      </c>
      <c r="M200" s="1108">
        <v>471.67874337963434</v>
      </c>
      <c r="O200" s="1108">
        <v>464.54700875969036</v>
      </c>
      <c r="Q200" s="1108">
        <v>561.9682283191629</v>
      </c>
      <c r="S200" s="1108">
        <v>633.8944801791356</v>
      </c>
      <c r="T200" s="1108">
        <v>844.61286075260477</v>
      </c>
      <c r="U200" s="1108">
        <v>1018.1098099911391</v>
      </c>
      <c r="V200" s="1108">
        <v>1200.1563653613493</v>
      </c>
      <c r="W200" s="1108">
        <v>1320.3308314088943</v>
      </c>
      <c r="X200" s="1108">
        <v>1551.5591247971433</v>
      </c>
      <c r="Y200" s="1108">
        <v>1580.691691395883</v>
      </c>
      <c r="Z200" s="1108">
        <v>1738.0812309203793</v>
      </c>
      <c r="AA200" s="1108">
        <v>1912.2464152294103</v>
      </c>
      <c r="AB200" s="1108">
        <v>2190.2964708873433</v>
      </c>
      <c r="AC200" s="1108">
        <v>2389.0473801389198</v>
      </c>
      <c r="AD200" s="1108">
        <v>2569.460572374026</v>
      </c>
      <c r="AE200" s="1108">
        <v>2776.5462059806828</v>
      </c>
      <c r="AF200" s="1108">
        <v>3120.7961883158305</v>
      </c>
      <c r="AG200" s="1108">
        <v>3387.3262131202659</v>
      </c>
      <c r="AH200" s="1108">
        <v>3590.9443065514124</v>
      </c>
      <c r="AI200" s="1108">
        <v>3937.5120672679641</v>
      </c>
      <c r="AJ200" s="1108">
        <v>4323.5249441235901</v>
      </c>
      <c r="AK200" s="1108">
        <v>4634.9235902344681</v>
      </c>
      <c r="AL200" s="1108">
        <v>4824.5550505355468</v>
      </c>
      <c r="AM200" s="1108">
        <v>5123.4525150483005</v>
      </c>
      <c r="AN200" s="1108">
        <v>5667.7748165869298</v>
      </c>
      <c r="AO200" s="1108">
        <v>5840.5091200181569</v>
      </c>
      <c r="AP200" s="1108">
        <v>6176.7834905091859</v>
      </c>
      <c r="AQ200" s="1108">
        <v>6464.068673158702</v>
      </c>
      <c r="AR200" s="1108">
        <v>6818.9603551252221</v>
      </c>
      <c r="AS200" s="1108">
        <v>7121.391240318776</v>
      </c>
      <c r="AT200" s="1108">
        <v>7540.3602116133834</v>
      </c>
      <c r="AU200" s="1108">
        <v>7968.6319162768395</v>
      </c>
      <c r="AV200" s="1108">
        <v>8602.5896298711141</v>
      </c>
      <c r="AW200" s="1108">
        <v>8850.7500979921388</v>
      </c>
      <c r="AX200" s="1108">
        <v>9100.2593022134042</v>
      </c>
      <c r="AY200" s="1108">
        <v>9433.4671982439631</v>
      </c>
      <c r="AZ200" s="1108">
        <v>9959.3816321453269</v>
      </c>
      <c r="BA200" s="1108">
        <v>9946.6848424548734</v>
      </c>
      <c r="BB200" s="1108">
        <v>10267.282494701984</v>
      </c>
      <c r="BC200" s="1108">
        <v>10739.850513204932</v>
      </c>
      <c r="BD200" s="1108">
        <v>11272.207970582946</v>
      </c>
      <c r="BE200" s="1108">
        <v>11249.987909681025</v>
      </c>
      <c r="BF200" s="1108">
        <v>11578.57076211282</v>
      </c>
      <c r="BG200" s="1108">
        <v>12029.122851956492</v>
      </c>
      <c r="BH200" s="1108">
        <v>12596.929800831407</v>
      </c>
      <c r="BI200" s="1108">
        <v>12721.034405817823</v>
      </c>
      <c r="BJ200" s="1108">
        <v>13116.751017161494</v>
      </c>
      <c r="BK200" s="1108">
        <v>13601.946272769603</v>
      </c>
      <c r="BL200" s="1108">
        <v>14191.037077304785</v>
      </c>
      <c r="BM200" s="1108">
        <v>14778.861531277871</v>
      </c>
      <c r="BN200" s="1108">
        <v>15292.044790606369</v>
      </c>
      <c r="BO200" s="1108">
        <v>15835.080300706568</v>
      </c>
      <c r="BP200" s="1108">
        <v>16504.357603346602</v>
      </c>
      <c r="BQ200" s="1108">
        <v>16499.140429959483</v>
      </c>
      <c r="BR200" s="1108">
        <v>16909.925664571485</v>
      </c>
      <c r="BS200" s="1108">
        <v>17522.871861380103</v>
      </c>
      <c r="BT200" s="1108">
        <v>18332.83772294367</v>
      </c>
      <c r="BU200" s="1108">
        <v>20304.585122120388</v>
      </c>
      <c r="BV200" s="1108">
        <v>21313.341790050719</v>
      </c>
      <c r="BW200" s="1108">
        <v>22049.102423095232</v>
      </c>
      <c r="BX200" s="1108">
        <v>22596.205004515701</v>
      </c>
      <c r="BY200" s="1108">
        <v>22695.134815989259</v>
      </c>
      <c r="BZ200" s="1108">
        <v>23757.93998054757</v>
      </c>
      <c r="CA200" s="1108">
        <v>24531.4250968995</v>
      </c>
      <c r="CB200" s="1108">
        <v>25104.988394936299</v>
      </c>
      <c r="CC200" s="1108">
        <v>25201.272948414258</v>
      </c>
      <c r="CD200" s="1108">
        <v>26310.27392109139</v>
      </c>
      <c r="CE200" s="1108">
        <v>27115.562794523012</v>
      </c>
      <c r="CF200" s="1108">
        <v>27711.007871162172</v>
      </c>
    </row>
    <row r="201" spans="4:84" ht="14.45" hidden="1" outlineLevel="1">
      <c r="D201" s="1611"/>
      <c r="E201" s="1619"/>
      <c r="F201" s="1107" t="s">
        <v>1191</v>
      </c>
      <c r="O201" s="1109">
        <v>46.830324805356483</v>
      </c>
      <c r="Q201" s="1109">
        <v>63.126835311161969</v>
      </c>
      <c r="S201" s="1109">
        <v>68.482921306343442</v>
      </c>
      <c r="T201" s="1109">
        <v>79.065279622493293</v>
      </c>
      <c r="U201" s="1109">
        <v>119.16184816460762</v>
      </c>
      <c r="V201" s="1109">
        <v>113.56302810053798</v>
      </c>
      <c r="W201" s="1109">
        <v>108.28874090144703</v>
      </c>
      <c r="X201" s="1109">
        <v>83.700627458431512</v>
      </c>
      <c r="Y201" s="1109">
        <v>55.257485576103058</v>
      </c>
      <c r="Z201" s="1109">
        <v>44.821231723173732</v>
      </c>
      <c r="AA201" s="1109">
        <v>44.830853732991812</v>
      </c>
      <c r="AB201" s="1109">
        <v>41.167451235460383</v>
      </c>
      <c r="AC201" s="1109">
        <v>51.139364693515354</v>
      </c>
      <c r="AD201" s="1109">
        <v>47.833169512647004</v>
      </c>
      <c r="AE201" s="1109">
        <v>45.198138894018172</v>
      </c>
      <c r="AF201" s="1109">
        <v>42.48282046729129</v>
      </c>
      <c r="AG201" s="1109">
        <v>41.785643988496268</v>
      </c>
      <c r="AH201" s="1109">
        <v>39.754793093929329</v>
      </c>
      <c r="AI201" s="1109">
        <v>41.813309599766782</v>
      </c>
      <c r="AJ201" s="1109">
        <v>38.539163829754116</v>
      </c>
      <c r="AK201" s="1109">
        <v>36.831332402584472</v>
      </c>
      <c r="AL201" s="1109">
        <v>34.353380021335973</v>
      </c>
      <c r="AM201" s="1109">
        <v>30.119030177428741</v>
      </c>
      <c r="AN201" s="1109">
        <v>31.09152577667917</v>
      </c>
      <c r="AO201" s="1109">
        <v>26.010904091791115</v>
      </c>
      <c r="AP201" s="1109">
        <v>28.028044572183617</v>
      </c>
      <c r="AQ201" s="1109">
        <v>26.166264919462478</v>
      </c>
      <c r="AR201" s="1109">
        <v>20.311066967045161</v>
      </c>
      <c r="AS201" s="1109">
        <v>21.931001116160182</v>
      </c>
      <c r="AT201" s="1109">
        <v>22.075838066841332</v>
      </c>
      <c r="AU201" s="1109">
        <v>23.275792990344648</v>
      </c>
      <c r="AV201" s="1109">
        <v>26.156909291975751</v>
      </c>
      <c r="AW201" s="1109">
        <v>24.284002933055412</v>
      </c>
      <c r="AX201" s="1109">
        <v>20.687328546950877</v>
      </c>
      <c r="AY201" s="1109">
        <v>18.382519074259541</v>
      </c>
      <c r="AZ201" s="1109">
        <v>15.771901958021687</v>
      </c>
      <c r="BA201" s="1109">
        <v>12.382393947732814</v>
      </c>
      <c r="BB201" s="1109">
        <v>12.824065268170227</v>
      </c>
      <c r="BC201" s="1109">
        <v>13.848389860349034</v>
      </c>
      <c r="BD201" s="1109">
        <v>13.181805727780169</v>
      </c>
      <c r="BE201" s="1109">
        <v>13.102888931026921</v>
      </c>
      <c r="BF201" s="1109">
        <v>12.771522241522762</v>
      </c>
      <c r="BG201" s="1109">
        <v>12.004565027849923</v>
      </c>
      <c r="BH201" s="1109">
        <v>11.752106008916666</v>
      </c>
      <c r="BI201" s="1109">
        <v>13.075982907243027</v>
      </c>
      <c r="BJ201" s="1109">
        <v>13.284716107465336</v>
      </c>
      <c r="BK201" s="1109">
        <v>13.075129751104811</v>
      </c>
      <c r="BL201" s="1109">
        <v>12.654728586073139</v>
      </c>
      <c r="BM201" s="1109">
        <v>16.176570708109423</v>
      </c>
      <c r="BN201" s="1109">
        <v>16.58408984510568</v>
      </c>
      <c r="BO201" s="1109">
        <v>16.417753629916806</v>
      </c>
      <c r="BP201" s="1109">
        <v>16.301278852561289</v>
      </c>
      <c r="BQ201" s="1109">
        <v>11.640131379814521</v>
      </c>
      <c r="BR201" s="1109">
        <v>10.579885791067989</v>
      </c>
      <c r="BS201" s="1109">
        <v>10.658560162768643</v>
      </c>
      <c r="BT201" s="1109">
        <v>11.078771822214433</v>
      </c>
      <c r="BU201" s="1109">
        <v>23.064502713431658</v>
      </c>
      <c r="BV201" s="1109">
        <v>26.040422724654373</v>
      </c>
      <c r="BW201" s="1109">
        <v>25.830415228286913</v>
      </c>
      <c r="BX201" s="1109">
        <v>23.255359295721021</v>
      </c>
      <c r="BY201" s="1109">
        <v>11.773447620284237</v>
      </c>
      <c r="BZ201" s="1109">
        <v>11.469802410985654</v>
      </c>
      <c r="CA201" s="1109">
        <v>11.25815748038873</v>
      </c>
      <c r="CB201" s="1109">
        <v>11.10267582507432</v>
      </c>
      <c r="CC201" s="1109">
        <v>11.042622803277494</v>
      </c>
      <c r="CD201" s="1109">
        <v>10.743077651655025</v>
      </c>
      <c r="CE201" s="1109">
        <v>10.53398931132671</v>
      </c>
      <c r="CF201" s="1109">
        <v>10.380484687861911</v>
      </c>
    </row>
    <row r="202" spans="4:84" ht="14.45" hidden="1" outlineLevel="1" collapsed="1">
      <c r="D202" s="1611"/>
      <c r="E202" s="1619"/>
      <c r="F202" s="1107"/>
    </row>
    <row r="203" spans="4:84" ht="14.45" collapsed="1">
      <c r="D203" s="1613" t="s">
        <v>1096</v>
      </c>
      <c r="E203" s="1612" t="s">
        <v>1095</v>
      </c>
      <c r="F203" s="1106" t="s">
        <v>1190</v>
      </c>
      <c r="G203" s="1108">
        <v>29.528734533042165</v>
      </c>
      <c r="I203" s="1108">
        <v>42.720362351209197</v>
      </c>
      <c r="K203" s="1108">
        <v>51.640824278505399</v>
      </c>
      <c r="M203" s="1108">
        <v>65.365233433468632</v>
      </c>
      <c r="O203" s="1108">
        <v>76.002648068956759</v>
      </c>
      <c r="Q203" s="1108">
        <v>86.906654256452171</v>
      </c>
      <c r="S203" s="1108">
        <v>120.09332854663077</v>
      </c>
      <c r="T203" s="1108">
        <v>143.06793547872522</v>
      </c>
      <c r="U203" s="1108">
        <v>166.96081660332311</v>
      </c>
      <c r="V203" s="1108">
        <v>191.62924314105771</v>
      </c>
      <c r="W203" s="1108">
        <v>245.4033851155221</v>
      </c>
      <c r="X203" s="1108">
        <v>319.6959359988029</v>
      </c>
      <c r="Y203" s="1108">
        <v>378.24738541403508</v>
      </c>
      <c r="Z203" s="1108">
        <v>442.45710829132207</v>
      </c>
      <c r="AA203" s="1108">
        <v>519.21108254435933</v>
      </c>
      <c r="AB203" s="1108">
        <v>658.70801574620089</v>
      </c>
      <c r="AC203" s="1108">
        <v>811.41105774531002</v>
      </c>
      <c r="AD203" s="1108">
        <v>842.61233252092336</v>
      </c>
      <c r="AE203" s="1108">
        <v>989.48344752810476</v>
      </c>
      <c r="AF203" s="1108">
        <v>1295.745337170302</v>
      </c>
      <c r="AG203" s="1108">
        <v>1542.8557865160546</v>
      </c>
      <c r="AH203" s="1108">
        <v>1678.1076319210672</v>
      </c>
      <c r="AI203" s="1108">
        <v>1908.3643867994663</v>
      </c>
      <c r="AJ203" s="1108">
        <v>2473.4224949490526</v>
      </c>
      <c r="AK203" s="1108">
        <v>2714.5637181541724</v>
      </c>
      <c r="AL203" s="1108">
        <v>2980.0382221601849</v>
      </c>
      <c r="AM203" s="1108">
        <v>3303.4116490372553</v>
      </c>
      <c r="AN203" s="1108">
        <v>4023.4569447866184</v>
      </c>
      <c r="AO203" s="1108">
        <v>4318.4699362640222</v>
      </c>
      <c r="AP203" s="1108">
        <v>4827.9539634351177</v>
      </c>
      <c r="AQ203" s="1108">
        <v>5246.5172272705677</v>
      </c>
      <c r="AR203" s="1108">
        <v>5907.4284904647411</v>
      </c>
      <c r="AS203" s="1108">
        <v>6387.7208123885985</v>
      </c>
      <c r="AT203" s="1108">
        <v>7239.6495255537848</v>
      </c>
      <c r="AU203" s="1108">
        <v>7858.0017297963759</v>
      </c>
      <c r="AV203" s="1108">
        <v>8927.7595417011344</v>
      </c>
      <c r="AW203" s="1108">
        <v>9578.9385462084992</v>
      </c>
      <c r="AX203" s="1108">
        <v>10560.788326958758</v>
      </c>
      <c r="AY203" s="1108">
        <v>11429.030011195948</v>
      </c>
      <c r="AZ203" s="1108">
        <v>12451.041900270982</v>
      </c>
      <c r="BA203" s="1108">
        <v>12933.9797018963</v>
      </c>
      <c r="BB203" s="1108">
        <v>13844.071671288053</v>
      </c>
      <c r="BC203" s="1108">
        <v>14517.063107027399</v>
      </c>
      <c r="BD203" s="1108">
        <v>15690.918573782228</v>
      </c>
      <c r="BE203" s="1108">
        <v>16338.960093015945</v>
      </c>
      <c r="BF203" s="1108">
        <v>17384.020398888399</v>
      </c>
      <c r="BG203" s="1108">
        <v>18190.0733932722</v>
      </c>
      <c r="BH203" s="1108">
        <v>19619.240201783221</v>
      </c>
      <c r="BI203" s="1108">
        <v>20519.500124862534</v>
      </c>
      <c r="BJ203" s="1108">
        <v>21856.062463305349</v>
      </c>
      <c r="BK203" s="1108">
        <v>22734.727540832188</v>
      </c>
      <c r="BL203" s="1108">
        <v>24391.400669562761</v>
      </c>
      <c r="BM203" s="1108">
        <v>25165.227551249685</v>
      </c>
      <c r="BN203" s="1108">
        <v>26721.561680498329</v>
      </c>
      <c r="BO203" s="1108">
        <v>27621.509490516284</v>
      </c>
      <c r="BP203" s="1108">
        <v>29856.824445452457</v>
      </c>
      <c r="BQ203" s="1108">
        <v>30616.06343304722</v>
      </c>
      <c r="BR203" s="1108">
        <v>32510.84951107276</v>
      </c>
      <c r="BS203" s="1108">
        <v>33436.578365609021</v>
      </c>
      <c r="BT203" s="1108">
        <v>36210.979011687778</v>
      </c>
      <c r="BU203" s="1108">
        <v>31738.48345438845</v>
      </c>
      <c r="BV203" s="1108">
        <v>33432.139065256852</v>
      </c>
      <c r="BW203" s="1108">
        <v>34914.1306271145</v>
      </c>
      <c r="BX203" s="1108">
        <v>38387.992541875348</v>
      </c>
      <c r="BY203" s="1108">
        <v>34743.6760374074</v>
      </c>
      <c r="BZ203" s="1108">
        <v>36599.075200231797</v>
      </c>
      <c r="CA203" s="1108">
        <v>38219.237226741447</v>
      </c>
      <c r="CB203" s="1108">
        <v>42022.718446757797</v>
      </c>
      <c r="CC203" s="1108">
        <v>37135.2677566231</v>
      </c>
      <c r="CD203" s="1108">
        <v>39124.4208842917</v>
      </c>
      <c r="CE203" s="1108">
        <v>40846.672398099749</v>
      </c>
      <c r="CF203" s="1108">
        <v>44915.003303996251</v>
      </c>
    </row>
    <row r="204" spans="4:84" ht="14.45" hidden="1" outlineLevel="1">
      <c r="D204" s="1611"/>
      <c r="E204" s="1619"/>
      <c r="F204" s="1106" t="s">
        <v>1191</v>
      </c>
      <c r="O204" s="1109">
        <v>157.3853884050163</v>
      </c>
      <c r="Q204" s="1109">
        <v>103.43145393286272</v>
      </c>
      <c r="S204" s="1109">
        <v>132.55501867854102</v>
      </c>
      <c r="T204" s="1109">
        <v>118.87466465540206</v>
      </c>
      <c r="U204" s="1109">
        <v>119.67763077391795</v>
      </c>
      <c r="V204" s="1109">
        <v>120.50008112794271</v>
      </c>
      <c r="W204" s="1109">
        <v>104.34389494020475</v>
      </c>
      <c r="X204" s="1109">
        <v>123.45743295243328</v>
      </c>
      <c r="Y204" s="1109">
        <v>126.54859571794081</v>
      </c>
      <c r="Z204" s="1109">
        <v>130.89226938376558</v>
      </c>
      <c r="AA204" s="1109">
        <v>111.57453973177427</v>
      </c>
      <c r="AB204" s="1109">
        <v>106.04203606412671</v>
      </c>
      <c r="AC204" s="1109">
        <v>114.51861639628459</v>
      </c>
      <c r="AD204" s="1109">
        <v>90.439325469290822</v>
      </c>
      <c r="AE204" s="1109">
        <v>90.574408134588921</v>
      </c>
      <c r="AF204" s="1109">
        <v>96.71012135816342</v>
      </c>
      <c r="AG204" s="1109">
        <v>90.144781955921331</v>
      </c>
      <c r="AH204" s="1109">
        <v>99.155360912000091</v>
      </c>
      <c r="AI204" s="1109">
        <v>92.864710528193257</v>
      </c>
      <c r="AJ204" s="1109">
        <v>90.888010475160712</v>
      </c>
      <c r="AK204" s="1109">
        <v>75.944099369388809</v>
      </c>
      <c r="AL204" s="1109">
        <v>77.583258992076168</v>
      </c>
      <c r="AM204" s="1109">
        <v>73.10172375294816</v>
      </c>
      <c r="AN204" s="1109">
        <v>62.66759734751637</v>
      </c>
      <c r="AO204" s="1109">
        <v>59.085230064168883</v>
      </c>
      <c r="AP204" s="1109">
        <v>62.009799992947954</v>
      </c>
      <c r="AQ204" s="1109">
        <v>58.821175943955097</v>
      </c>
      <c r="AR204" s="1109">
        <v>46.824697555649827</v>
      </c>
      <c r="AS204" s="1109">
        <v>47.916296898311131</v>
      </c>
      <c r="AT204" s="1109">
        <v>49.952745622344992</v>
      </c>
      <c r="AU204" s="1109">
        <v>49.775582341590805</v>
      </c>
      <c r="AV204" s="1109">
        <v>51.127678584879192</v>
      </c>
      <c r="AW204" s="1109">
        <v>49.958628868543016</v>
      </c>
      <c r="AX204" s="1109">
        <v>45.874303578955761</v>
      </c>
      <c r="AY204" s="1109">
        <v>45.44448326931213</v>
      </c>
      <c r="AZ204" s="1109">
        <v>39.464350961882047</v>
      </c>
      <c r="BA204" s="1109">
        <v>35.025187180220307</v>
      </c>
      <c r="BB204" s="1109">
        <v>31.089377446833062</v>
      </c>
      <c r="BC204" s="1109">
        <v>27.019205416438624</v>
      </c>
      <c r="BD204" s="1109">
        <v>26.020928203933952</v>
      </c>
      <c r="BE204" s="1109">
        <v>26.325852286751523</v>
      </c>
      <c r="BF204" s="1109">
        <v>25.570141585889296</v>
      </c>
      <c r="BG204" s="1109">
        <v>25.301331675459721</v>
      </c>
      <c r="BH204" s="1109">
        <v>25.035638350483698</v>
      </c>
      <c r="BI204" s="1109">
        <v>25.58632867726724</v>
      </c>
      <c r="BJ204" s="1109">
        <v>25.72501620340315</v>
      </c>
      <c r="BK204" s="1109">
        <v>24.984254045070969</v>
      </c>
      <c r="BL204" s="1109">
        <v>24.323880123277107</v>
      </c>
      <c r="BM204" s="1109">
        <v>22.640548737140712</v>
      </c>
      <c r="BN204" s="1109">
        <v>22.261554318678307</v>
      </c>
      <c r="BO204" s="1109">
        <v>21.494790033913112</v>
      </c>
      <c r="BP204" s="1109">
        <v>22.407174765940447</v>
      </c>
      <c r="BQ204" s="1109">
        <v>21.6601891268289</v>
      </c>
      <c r="BR204" s="1109">
        <v>21.665230123131284</v>
      </c>
      <c r="BS204" s="1109">
        <v>21.052683152922231</v>
      </c>
      <c r="BT204" s="1109">
        <v>21.28208436179867</v>
      </c>
      <c r="BU204" s="1109">
        <v>3.6661147629112913</v>
      </c>
      <c r="BV204" s="1109">
        <v>2.8337910821749297</v>
      </c>
      <c r="BW204" s="1109">
        <v>4.4189696844854396</v>
      </c>
      <c r="BX204" s="1109">
        <v>6.0120261578260514</v>
      </c>
      <c r="BY204" s="1109">
        <v>9.4686079986705387</v>
      </c>
      <c r="BZ204" s="1109">
        <v>9.4727296054653873</v>
      </c>
      <c r="CA204" s="1109">
        <v>9.4663866470734419</v>
      </c>
      <c r="CB204" s="1109">
        <v>9.4683927556709993</v>
      </c>
      <c r="CC204" s="1109">
        <v>6.8835310248712585</v>
      </c>
      <c r="CD204" s="1109">
        <v>6.9000259439449136</v>
      </c>
      <c r="CE204" s="1109">
        <v>6.8746405266296717</v>
      </c>
      <c r="CF204" s="1109">
        <v>6.882669575274952</v>
      </c>
    </row>
    <row r="205" spans="4:84" ht="14.45" hidden="1" outlineLevel="1" collapsed="1">
      <c r="D205" s="1611"/>
      <c r="E205" s="1619"/>
      <c r="F205" s="1106"/>
    </row>
    <row r="206" spans="4:84" ht="14.45" collapsed="1">
      <c r="D206" s="1613" t="s">
        <v>1119</v>
      </c>
      <c r="E206" s="1612" t="s">
        <v>1095</v>
      </c>
      <c r="F206" s="1107" t="s">
        <v>1190</v>
      </c>
      <c r="AD206" s="1108">
        <v>94</v>
      </c>
      <c r="AE206" s="1108">
        <v>568.85546588407897</v>
      </c>
      <c r="AF206" s="1108">
        <v>642.16117216117198</v>
      </c>
      <c r="AG206" s="1108">
        <v>758</v>
      </c>
      <c r="AH206" s="1108">
        <v>824</v>
      </c>
      <c r="AI206" s="1108">
        <v>865</v>
      </c>
      <c r="AJ206" s="1108">
        <v>927</v>
      </c>
      <c r="AK206" s="1108">
        <v>1034.8788748277329</v>
      </c>
      <c r="AL206" s="1108">
        <v>1021.593279954681</v>
      </c>
      <c r="AM206" s="1108">
        <v>1048.7372444022999</v>
      </c>
      <c r="AN206" s="1108">
        <v>1159.945990978111</v>
      </c>
      <c r="AO206" s="1108">
        <v>1312.9685300408401</v>
      </c>
      <c r="AP206" s="1108">
        <v>1300.359817592552</v>
      </c>
      <c r="AQ206" s="1108">
        <v>1354.3384719973069</v>
      </c>
      <c r="AR206" s="1108">
        <v>1362.3319324057391</v>
      </c>
      <c r="AS206" s="1108">
        <v>1531.8124282236979</v>
      </c>
      <c r="AT206" s="1108">
        <v>1672.709256244591</v>
      </c>
      <c r="AU206" s="1108">
        <v>1631.3610315356621</v>
      </c>
      <c r="AV206" s="1108">
        <v>1789.8044835774911</v>
      </c>
      <c r="AW206" s="1108">
        <v>2061.1893283280292</v>
      </c>
      <c r="AX206" s="1108">
        <v>2189.7945550532081</v>
      </c>
      <c r="AY206" s="1108">
        <v>2203.741276259233</v>
      </c>
      <c r="AZ206" s="1108">
        <v>2272.3951995640241</v>
      </c>
      <c r="BA206" s="1108">
        <v>2522.421852426814</v>
      </c>
      <c r="BB206" s="1108">
        <v>2597.8300200471372</v>
      </c>
      <c r="BC206" s="1108">
        <v>2558.4503263660808</v>
      </c>
      <c r="BD206" s="1108">
        <v>2654.0293231052751</v>
      </c>
      <c r="BE206" s="1108">
        <v>2858.3992249511848</v>
      </c>
      <c r="BF206" s="1108">
        <v>2961.9399172520302</v>
      </c>
      <c r="BG206" s="1108">
        <v>2939.7424024357638</v>
      </c>
      <c r="BH206" s="1108">
        <v>3050.6250135642058</v>
      </c>
      <c r="BI206" s="1108">
        <v>3150.8184670702653</v>
      </c>
      <c r="BJ206" s="1108">
        <v>3278.5272958221544</v>
      </c>
      <c r="BK206" s="1108">
        <v>3179.3312290002591</v>
      </c>
      <c r="BL206" s="1108">
        <v>3374.8811597140857</v>
      </c>
      <c r="BM206" s="1108">
        <v>3637.6327389195499</v>
      </c>
      <c r="BN206" s="1108">
        <v>3733.3042126583618</v>
      </c>
      <c r="BO206" s="1108">
        <v>3704.83398956163</v>
      </c>
      <c r="BP206" s="1108">
        <v>3943.0489376688638</v>
      </c>
      <c r="BQ206" s="1108">
        <v>4619.3155054593535</v>
      </c>
      <c r="BR206" s="1108">
        <v>4710.5064310137468</v>
      </c>
      <c r="BS206" s="1108">
        <v>4818.9999444344903</v>
      </c>
      <c r="BT206" s="1108">
        <v>5059.2838730801332</v>
      </c>
      <c r="BU206" s="1108">
        <v>5231.9706350786601</v>
      </c>
      <c r="BV206" s="1108">
        <v>5441.2494604818003</v>
      </c>
      <c r="BW206" s="1108">
        <v>5604.4869442962599</v>
      </c>
      <c r="BX206" s="1108">
        <v>5828.6664220681096</v>
      </c>
      <c r="BY206" s="1108">
        <v>6003.5264147301496</v>
      </c>
      <c r="BZ206" s="1108">
        <v>6243.6674713193597</v>
      </c>
      <c r="CA206" s="1108">
        <v>6430.9774954589402</v>
      </c>
      <c r="CB206" s="1108">
        <v>6688.2165952773003</v>
      </c>
      <c r="CC206" s="1108">
        <v>6888.8630931356201</v>
      </c>
      <c r="CD206" s="1108">
        <v>7164.4176168610402</v>
      </c>
      <c r="CE206" s="1108">
        <v>7379.3501453668696</v>
      </c>
      <c r="CF206" s="1108">
        <v>7674.5241511815502</v>
      </c>
    </row>
    <row r="207" spans="4:84" ht="14.45" hidden="1" outlineLevel="1">
      <c r="D207" s="1611"/>
      <c r="E207" s="1619"/>
      <c r="F207" s="1107" t="s">
        <v>1191</v>
      </c>
      <c r="AH207" s="1109">
        <v>776.595744680851</v>
      </c>
      <c r="AI207" s="1109">
        <v>52.059714967434132</v>
      </c>
      <c r="AJ207" s="1109">
        <v>44.356283155553058</v>
      </c>
      <c r="AK207" s="1109">
        <v>36.527556045875059</v>
      </c>
      <c r="AL207" s="1109">
        <v>23.979766984791379</v>
      </c>
      <c r="AM207" s="1109">
        <v>21.241299930901722</v>
      </c>
      <c r="AN207" s="1109">
        <v>25.129017365492018</v>
      </c>
      <c r="AO207" s="1109">
        <v>26.871710494563743</v>
      </c>
      <c r="AP207" s="1109">
        <v>27.287428677118687</v>
      </c>
      <c r="AQ207" s="1109">
        <v>29.139923200608397</v>
      </c>
      <c r="AR207" s="1109">
        <v>17.44787628059893</v>
      </c>
      <c r="AS207" s="1109">
        <v>16.667870796267348</v>
      </c>
      <c r="AT207" s="1109">
        <v>28.634339020210252</v>
      </c>
      <c r="AU207" s="1109">
        <v>20.454455460444603</v>
      </c>
      <c r="AV207" s="1109">
        <v>31.378002746869416</v>
      </c>
      <c r="AW207" s="1109">
        <v>34.558859188667178</v>
      </c>
      <c r="AX207" s="1109">
        <v>30.913041036762618</v>
      </c>
      <c r="AY207" s="1109">
        <v>35.086055977735825</v>
      </c>
      <c r="AZ207" s="1109">
        <v>26.963320318760331</v>
      </c>
      <c r="BA207" s="1109">
        <v>22.37700912574207</v>
      </c>
      <c r="BB207" s="1109">
        <v>18.633504410372165</v>
      </c>
      <c r="BC207" s="1109">
        <v>16.095766500727933</v>
      </c>
      <c r="BD207" s="1109">
        <v>16.79435529587769</v>
      </c>
      <c r="BE207" s="1109">
        <v>13.31963454888119</v>
      </c>
      <c r="BF207" s="1109">
        <v>14.015924613816203</v>
      </c>
      <c r="BG207" s="1109">
        <v>14.903243269579313</v>
      </c>
      <c r="BH207" s="1109">
        <v>14.943154056598917</v>
      </c>
      <c r="BI207" s="1109">
        <v>10.230174972289758</v>
      </c>
      <c r="BJ207" s="1109">
        <v>10.688514534887709</v>
      </c>
      <c r="BK207" s="1109">
        <v>8.1499939030705786</v>
      </c>
      <c r="BL207" s="1109">
        <v>10.629170898032937</v>
      </c>
      <c r="BM207" s="1109">
        <v>15.450406836733455</v>
      </c>
      <c r="BN207" s="1109">
        <v>13.871378085390113</v>
      </c>
      <c r="BO207" s="1109">
        <v>16.528720121011588</v>
      </c>
      <c r="BP207" s="1109">
        <v>16.835193628059848</v>
      </c>
      <c r="BQ207" s="1109">
        <v>26.986857580113575</v>
      </c>
      <c r="BR207" s="1109">
        <v>26.175263592021924</v>
      </c>
      <c r="BS207" s="1109">
        <v>30.073303095685876</v>
      </c>
      <c r="BT207" s="1109">
        <v>28.308929284331658</v>
      </c>
      <c r="BU207" s="1109">
        <v>13.262898559218092</v>
      </c>
      <c r="BV207" s="1109">
        <v>15.513045999828737</v>
      </c>
      <c r="BW207" s="1109">
        <v>16.299792673144481</v>
      </c>
      <c r="BX207" s="1109">
        <v>15.207340965423432</v>
      </c>
      <c r="BY207" s="1109">
        <v>14.746943999999907</v>
      </c>
      <c r="BZ207" s="1109">
        <v>14.746944000000115</v>
      </c>
      <c r="CA207" s="1109">
        <v>14.746943999999992</v>
      </c>
      <c r="CB207" s="1109">
        <v>14.746944000000051</v>
      </c>
      <c r="CC207" s="1109">
        <v>14.746944000000129</v>
      </c>
      <c r="CD207" s="1109">
        <v>14.746943999999976</v>
      </c>
      <c r="CE207" s="1109">
        <v>14.746943999999951</v>
      </c>
      <c r="CF207" s="1109">
        <v>14.746943999999997</v>
      </c>
    </row>
    <row r="208" spans="4:84" ht="14.45" hidden="1" outlineLevel="1" collapsed="1">
      <c r="D208" s="1611"/>
      <c r="E208" s="1619"/>
      <c r="F208" s="1107"/>
    </row>
    <row r="209" spans="4:84" ht="14.45" collapsed="1">
      <c r="D209" s="1613" t="s">
        <v>1120</v>
      </c>
      <c r="E209" s="1612" t="s">
        <v>1095</v>
      </c>
      <c r="F209" s="1106" t="s">
        <v>1190</v>
      </c>
      <c r="Y209" s="1108">
        <v>1.5</v>
      </c>
      <c r="Z209" s="1108">
        <v>1.5</v>
      </c>
      <c r="AA209" s="1108">
        <v>1.5</v>
      </c>
      <c r="AB209" s="1108">
        <v>1.5</v>
      </c>
      <c r="AC209" s="1108">
        <v>35</v>
      </c>
      <c r="AD209" s="1108">
        <v>-38.1965</v>
      </c>
      <c r="AE209" s="1108">
        <v>-16.308500000000102</v>
      </c>
      <c r="AF209" s="1108">
        <v>74.753874999999496</v>
      </c>
      <c r="AG209" s="1108">
        <v>91.806874999999494</v>
      </c>
      <c r="AH209" s="1108">
        <v>-35.539650000000151</v>
      </c>
      <c r="AI209" s="1108">
        <v>39.657956250000552</v>
      </c>
      <c r="AJ209" s="1108">
        <v>79.387187499999996</v>
      </c>
      <c r="AK209" s="1108">
        <v>84.560687500000498</v>
      </c>
      <c r="AL209" s="1108">
        <v>26.232519375000251</v>
      </c>
      <c r="AM209" s="1108">
        <v>12.241309375000583</v>
      </c>
      <c r="AN209" s="1108">
        <v>135.05036000000101</v>
      </c>
      <c r="AO209" s="1108">
        <v>70.611175000000443</v>
      </c>
      <c r="AP209" s="1108">
        <v>35.792012000000341</v>
      </c>
      <c r="AQ209" s="1108">
        <v>69.661703850000293</v>
      </c>
      <c r="AR209" s="1108">
        <v>116.5139292000005</v>
      </c>
      <c r="AS209" s="1108">
        <v>92.908687750000794</v>
      </c>
      <c r="AT209" s="1108">
        <v>91.346022999999605</v>
      </c>
      <c r="AU209" s="1108">
        <v>84.549255775000347</v>
      </c>
      <c r="AV209" s="1108">
        <v>108.71763309200016</v>
      </c>
      <c r="AW209" s="1108">
        <v>39.760504812501047</v>
      </c>
      <c r="AX209" s="1108">
        <v>62.9739135299982</v>
      </c>
      <c r="AY209" s="1108">
        <v>86.423143652625754</v>
      </c>
      <c r="BA209" s="1108">
        <v>140.99662555787444</v>
      </c>
      <c r="BB209" s="1108">
        <v>156.38325</v>
      </c>
      <c r="BC209" s="1108">
        <v>156.22999999999999</v>
      </c>
      <c r="BD209" s="1108">
        <v>159.85749999999999</v>
      </c>
      <c r="BE209" s="1108">
        <v>206.52500000000001</v>
      </c>
      <c r="BF209" s="1108">
        <v>220.45139750000001</v>
      </c>
      <c r="BG209" s="1108">
        <v>219.00059999999999</v>
      </c>
      <c r="BH209" s="1108">
        <v>223.42615000000001</v>
      </c>
      <c r="BI209" s="1108">
        <v>239.07575</v>
      </c>
      <c r="BJ209" s="1108">
        <v>259.31424687499998</v>
      </c>
      <c r="BK209" s="1108">
        <v>252.88073199999999</v>
      </c>
      <c r="BL209" s="1108">
        <v>255.11138</v>
      </c>
      <c r="BM209" s="1108">
        <v>410.81876999999997</v>
      </c>
      <c r="BN209" s="1108">
        <v>454.6953376875</v>
      </c>
      <c r="BO209" s="1108">
        <v>435.88329823999999</v>
      </c>
      <c r="BP209" s="1108">
        <v>437.25617399999999</v>
      </c>
      <c r="BQ209" s="1108">
        <v>462.17111625000001</v>
      </c>
      <c r="BR209" s="1108">
        <v>500.16487145625001</v>
      </c>
      <c r="BS209" s="1108">
        <v>475.11279508159998</v>
      </c>
      <c r="BT209" s="1108">
        <v>476.60922965999998</v>
      </c>
    </row>
    <row r="210" spans="4:84" ht="14.45" hidden="1" outlineLevel="1">
      <c r="D210" s="1611"/>
      <c r="E210" s="1619"/>
      <c r="F210" s="1106" t="s">
        <v>1191</v>
      </c>
      <c r="AC210" s="1109">
        <v>2233.333333333333</v>
      </c>
      <c r="AD210" s="1109">
        <v>-2646.4333333333334</v>
      </c>
      <c r="AE210" s="1109">
        <v>-1187.2333333333402</v>
      </c>
      <c r="AF210" s="1109">
        <v>4883.5916666666326</v>
      </c>
      <c r="AG210" s="1109">
        <v>162.30535714285571</v>
      </c>
      <c r="AH210" s="1109">
        <v>6.9557420182473502</v>
      </c>
      <c r="AI210" s="1109">
        <v>343.17353680596193</v>
      </c>
      <c r="AJ210" s="1109">
        <v>6.1980900655658733</v>
      </c>
      <c r="AK210" s="1109">
        <v>-7.8928593310675659</v>
      </c>
      <c r="AL210" s="1109">
        <v>173.8119800701474</v>
      </c>
      <c r="AM210" s="1109">
        <v>-69.132778053835253</v>
      </c>
      <c r="AN210" s="1109">
        <v>70.116065643465461</v>
      </c>
      <c r="AO210" s="1109">
        <v>-16.4964511434465</v>
      </c>
      <c r="AP210" s="1109">
        <v>36.441382119440433</v>
      </c>
      <c r="AQ210" s="1109">
        <v>469.0706910182717</v>
      </c>
      <c r="AR210" s="1109">
        <v>-13.725569335765092</v>
      </c>
      <c r="AS210" s="1109">
        <v>31.577880909077365</v>
      </c>
      <c r="AT210" s="1109">
        <v>155.2134342154298</v>
      </c>
      <c r="AU210" s="1109">
        <v>21.371214171069962</v>
      </c>
      <c r="AV210" s="1109">
        <v>-6.6912996253157981</v>
      </c>
      <c r="AW210" s="1109">
        <v>-57.204750410974668</v>
      </c>
      <c r="AX210" s="1109">
        <v>-31.060038016106656</v>
      </c>
      <c r="AY210" s="1109">
        <v>2.2163268741384723</v>
      </c>
      <c r="BA210" s="1109">
        <v>254.61477720862308</v>
      </c>
      <c r="BB210" s="1109">
        <v>148.33020727782053</v>
      </c>
      <c r="BC210" s="1109">
        <v>80.773336165553062</v>
      </c>
      <c r="BE210" s="1109">
        <v>46.47513667994015</v>
      </c>
      <c r="BF210" s="1109">
        <v>40.968676312840415</v>
      </c>
      <c r="BG210" s="1109">
        <v>40.178326825833707</v>
      </c>
      <c r="BH210" s="1109">
        <v>39.765822685829583</v>
      </c>
      <c r="BI210" s="1109">
        <v>15.761166928943224</v>
      </c>
      <c r="BJ210" s="1109">
        <v>17.628760722644078</v>
      </c>
      <c r="BK210" s="1109">
        <v>15.470337524189434</v>
      </c>
      <c r="BL210" s="1109">
        <v>14.181522619442704</v>
      </c>
      <c r="BM210" s="1109">
        <v>71.836236004697241</v>
      </c>
      <c r="BN210" s="1109">
        <v>75.345297517217276</v>
      </c>
      <c r="BO210" s="1109">
        <v>72.367145093521785</v>
      </c>
      <c r="BP210" s="1109">
        <v>71.39814539045652</v>
      </c>
      <c r="BQ210" s="1109">
        <v>12.500000000000011</v>
      </c>
      <c r="BR210" s="1109">
        <v>10.000000000000002</v>
      </c>
      <c r="BS210" s="1109">
        <v>9</v>
      </c>
      <c r="BT210" s="1109">
        <v>9</v>
      </c>
    </row>
    <row r="211" spans="4:84" ht="14.45" hidden="1" outlineLevel="1" collapsed="1">
      <c r="D211" s="1611"/>
      <c r="E211" s="1619"/>
      <c r="F211" s="1106"/>
    </row>
    <row r="212" spans="4:84" ht="14.45" collapsed="1">
      <c r="D212" s="1610" t="s">
        <v>1121</v>
      </c>
      <c r="E212" s="1612" t="s">
        <v>1095</v>
      </c>
      <c r="F212" s="1107" t="s">
        <v>1190</v>
      </c>
      <c r="G212" s="1108">
        <v>245.59504381747567</v>
      </c>
      <c r="I212" s="1108">
        <v>284.46652914616197</v>
      </c>
      <c r="K212" s="1108">
        <v>327.85744574699436</v>
      </c>
      <c r="M212" s="1108">
        <v>403.87596985207432</v>
      </c>
      <c r="O212" s="1108">
        <v>500.97322970137026</v>
      </c>
      <c r="Q212" s="1108">
        <v>605.88387505979381</v>
      </c>
      <c r="S212" s="1108">
        <v>730.28306199462327</v>
      </c>
      <c r="T212" s="1108">
        <v>979.22553500110166</v>
      </c>
      <c r="U212" s="1108">
        <v>1196.70619740234</v>
      </c>
      <c r="V212" s="1108">
        <v>1314.4638786459625</v>
      </c>
      <c r="W212" s="1108">
        <v>1505.1988978257214</v>
      </c>
      <c r="X212" s="1108">
        <v>1807.3303613088674</v>
      </c>
      <c r="Y212" s="1108">
        <v>2019.827571741801</v>
      </c>
      <c r="Z212" s="1108">
        <v>2211.5173695207018</v>
      </c>
      <c r="AA212" s="1108">
        <v>2460.1292254874174</v>
      </c>
      <c r="AB212" s="1108">
        <v>2833.2077001340372</v>
      </c>
      <c r="AC212" s="1108">
        <v>3200</v>
      </c>
      <c r="AD212" s="1108">
        <v>3400</v>
      </c>
      <c r="AE212" s="1108">
        <v>3800</v>
      </c>
      <c r="AF212" s="1108">
        <v>4500</v>
      </c>
      <c r="AG212" s="1108">
        <v>5800</v>
      </c>
      <c r="AH212" s="1108">
        <v>6100</v>
      </c>
      <c r="AI212" s="1108">
        <v>6800</v>
      </c>
      <c r="AJ212" s="1108">
        <v>7900</v>
      </c>
      <c r="AK212" s="1108">
        <v>8500</v>
      </c>
      <c r="AL212" s="1108">
        <v>9000</v>
      </c>
      <c r="AM212" s="1108">
        <v>9600</v>
      </c>
      <c r="AN212" s="1108">
        <v>11000</v>
      </c>
      <c r="AO212" s="1108">
        <v>11600</v>
      </c>
      <c r="AP212" s="1108">
        <v>12500</v>
      </c>
      <c r="AQ212" s="1108">
        <v>13300</v>
      </c>
      <c r="AR212" s="1108">
        <v>14300</v>
      </c>
      <c r="AS212" s="1108">
        <v>15200</v>
      </c>
      <c r="AT212" s="1108">
        <v>16700</v>
      </c>
      <c r="AU212" s="1108">
        <v>17700</v>
      </c>
      <c r="AV212" s="1108">
        <v>19500</v>
      </c>
      <c r="AW212" s="1108">
        <v>20700</v>
      </c>
      <c r="AX212" s="1108">
        <v>22200</v>
      </c>
      <c r="AY212" s="1108">
        <v>23400</v>
      </c>
      <c r="AZ212" s="1108">
        <v>25100</v>
      </c>
      <c r="BA212" s="1108">
        <v>25700</v>
      </c>
      <c r="BB212" s="1108">
        <v>27100</v>
      </c>
      <c r="BC212" s="1108">
        <v>27966.810020514422</v>
      </c>
      <c r="BD212" s="1108">
        <v>29659.229897514979</v>
      </c>
      <c r="BE212" s="1108">
        <v>30529.720320235643</v>
      </c>
      <c r="BF212" s="1108">
        <v>32274.595875654191</v>
      </c>
      <c r="BG212" s="1108">
        <v>33398.09898697125</v>
      </c>
      <c r="BH212" s="1108">
        <v>35352.872990097501</v>
      </c>
      <c r="BI212" s="1108">
        <v>36317.417991041897</v>
      </c>
      <c r="BJ212" s="1108">
        <v>38411.652469060187</v>
      </c>
      <c r="BK212" s="1108">
        <v>39744.617696985835</v>
      </c>
      <c r="BL212" s="1108">
        <v>42049.765542181151</v>
      </c>
      <c r="BM212" s="1108">
        <v>43580.385966801441</v>
      </c>
      <c r="BN212" s="1108">
        <v>45821.478077824097</v>
      </c>
      <c r="BO212" s="1108">
        <v>47058.135758492041</v>
      </c>
      <c r="BP212" s="1108">
        <v>50105.43771688376</v>
      </c>
      <c r="BQ212" s="1108">
        <v>51907.74080174783</v>
      </c>
      <c r="BR212" s="1108">
        <v>54436.79439055737</v>
      </c>
      <c r="BS212" s="1108">
        <v>55671.778840958665</v>
      </c>
      <c r="BT212" s="1108">
        <v>59442.556476584898</v>
      </c>
      <c r="BU212" s="1108">
        <v>55282.370181987797</v>
      </c>
      <c r="BV212" s="1108">
        <v>58363.315070910103</v>
      </c>
      <c r="BW212" s="1108">
        <v>60220.558004718798</v>
      </c>
      <c r="BX212" s="1108">
        <v>64386.186649332602</v>
      </c>
      <c r="BY212" s="1108">
        <v>61419.057097987003</v>
      </c>
      <c r="BZ212" s="1108">
        <v>64771.203654282202</v>
      </c>
      <c r="CA212" s="1108">
        <v>66786.068093418493</v>
      </c>
      <c r="CB212" s="1108">
        <v>71350.651735237305</v>
      </c>
      <c r="CC212" s="1108">
        <v>67755.367536871607</v>
      </c>
      <c r="CD212" s="1108">
        <v>71373.551398585099</v>
      </c>
      <c r="CE212" s="1108">
        <v>73542.708336045296</v>
      </c>
      <c r="CF212" s="1108">
        <v>78503.148974419499</v>
      </c>
    </row>
    <row r="213" spans="4:84" ht="14.45" hidden="1" outlineLevel="1">
      <c r="D213" s="1611"/>
      <c r="E213" s="1619"/>
      <c r="F213" s="1107" t="s">
        <v>1191</v>
      </c>
      <c r="O213" s="1109">
        <v>103.98344441905336</v>
      </c>
      <c r="Q213" s="1109">
        <v>112.98951299415761</v>
      </c>
      <c r="S213" s="1109">
        <v>122.74408328007848</v>
      </c>
      <c r="T213" s="1109">
        <v>142.45699375473063</v>
      </c>
      <c r="U213" s="1109">
        <v>138.8762765059713</v>
      </c>
      <c r="V213" s="1109">
        <v>116.9498038739255</v>
      </c>
      <c r="W213" s="1109">
        <v>106.11170875503662</v>
      </c>
      <c r="X213" s="1109">
        <v>84.567323533575347</v>
      </c>
      <c r="Y213" s="1109">
        <v>68.782243806056144</v>
      </c>
      <c r="Z213" s="1109">
        <v>68.244818701203087</v>
      </c>
      <c r="AA213" s="1109">
        <v>63.442135723132999</v>
      </c>
      <c r="AB213" s="1109">
        <v>56.762026510871543</v>
      </c>
      <c r="AC213" s="1109">
        <v>58.42936519776665</v>
      </c>
      <c r="AD213" s="1109">
        <v>53.74059669885731</v>
      </c>
      <c r="AE213" s="1109">
        <v>54.463430645482383</v>
      </c>
      <c r="AF213" s="1109">
        <v>58.830572138678995</v>
      </c>
      <c r="AG213" s="1109">
        <v>81.25</v>
      </c>
      <c r="AH213" s="1109">
        <v>79.411764705882348</v>
      </c>
      <c r="AI213" s="1109">
        <v>78.94736842105263</v>
      </c>
      <c r="AJ213" s="1109">
        <v>75.555555555555557</v>
      </c>
      <c r="AK213" s="1109">
        <v>46.551724137931032</v>
      </c>
      <c r="AL213" s="1109">
        <v>47.540983606557376</v>
      </c>
      <c r="AM213" s="1109">
        <v>41.17647058823529</v>
      </c>
      <c r="AN213" s="1109">
        <v>39.24050632911392</v>
      </c>
      <c r="AO213" s="1109">
        <v>36.470588235294116</v>
      </c>
      <c r="AP213" s="1109">
        <v>38.888888888888893</v>
      </c>
      <c r="AQ213" s="1109">
        <v>38.541666666666671</v>
      </c>
      <c r="AR213" s="1109">
        <v>30</v>
      </c>
      <c r="AS213" s="1109">
        <v>31.03448275862069</v>
      </c>
      <c r="AT213" s="1109">
        <v>33.6</v>
      </c>
      <c r="AU213" s="1109">
        <v>33.082706766917291</v>
      </c>
      <c r="AV213" s="1109">
        <v>36.363636363636367</v>
      </c>
      <c r="AW213" s="1109">
        <v>36.184210526315788</v>
      </c>
      <c r="AX213" s="1109">
        <v>32.934131736526943</v>
      </c>
      <c r="AY213" s="1109">
        <v>32.20338983050847</v>
      </c>
      <c r="AZ213" s="1109">
        <v>28.717948717948715</v>
      </c>
      <c r="BA213" s="1109">
        <v>24.154589371980677</v>
      </c>
      <c r="BB213" s="1109">
        <v>22.072072072072071</v>
      </c>
      <c r="BC213" s="1109">
        <v>19.516282138950523</v>
      </c>
      <c r="BD213" s="1109">
        <v>18.164262539900314</v>
      </c>
      <c r="BE213" s="1109">
        <v>18.79268607095581</v>
      </c>
      <c r="BF213" s="1109">
        <v>19.094449725661221</v>
      </c>
      <c r="BG213" s="1109">
        <v>19.420480785877363</v>
      </c>
      <c r="BH213" s="1109">
        <v>19.196867593179043</v>
      </c>
      <c r="BI213" s="1109">
        <v>18.957584969981088</v>
      </c>
      <c r="BJ213" s="1109">
        <v>19.015130714728432</v>
      </c>
      <c r="BK213" s="1109">
        <v>19.002634588544666</v>
      </c>
      <c r="BL213" s="1109">
        <v>18.942993838038223</v>
      </c>
      <c r="BM213" s="1109">
        <v>19.998580233735332</v>
      </c>
      <c r="BN213" s="1109">
        <v>19.290567139053376</v>
      </c>
      <c r="BO213" s="1109">
        <v>18.401279180151356</v>
      </c>
      <c r="BP213" s="1109">
        <v>19.157472273232457</v>
      </c>
      <c r="BQ213" s="1109">
        <v>19.108033694997516</v>
      </c>
      <c r="BR213" s="1109">
        <v>18.801917079368003</v>
      </c>
      <c r="BS213" s="1109">
        <v>18.304259069404846</v>
      </c>
      <c r="BT213" s="1109">
        <v>18.634941006722027</v>
      </c>
      <c r="BU213" s="1109">
        <v>6.5012064253166972</v>
      </c>
      <c r="BV213" s="1109">
        <v>7.2129902657049705</v>
      </c>
      <c r="BW213" s="1109">
        <v>8.1707092147260791</v>
      </c>
      <c r="BX213" s="1109">
        <v>8.31665134505959</v>
      </c>
      <c r="BY213" s="1109">
        <v>11.100621944749165</v>
      </c>
      <c r="BZ213" s="1109">
        <v>10.979308792837864</v>
      </c>
      <c r="CA213" s="1109">
        <v>10.902439808321322</v>
      </c>
      <c r="CB213" s="1109">
        <v>10.816706887512019</v>
      </c>
      <c r="CC213" s="1109">
        <v>10.316521839102403</v>
      </c>
      <c r="CD213" s="1109">
        <v>10.193338045010064</v>
      </c>
      <c r="CE213" s="1109">
        <v>10.116840885401134</v>
      </c>
      <c r="CF213" s="1109">
        <v>10.024431543699347</v>
      </c>
    </row>
    <row r="214" spans="4:84" ht="14.45" hidden="1" outlineLevel="1" collapsed="1">
      <c r="D214" s="1611"/>
      <c r="E214" s="1619"/>
      <c r="F214" s="1107"/>
    </row>
    <row r="215" spans="4:84" ht="14.45" collapsed="1">
      <c r="D215" s="1610" t="s">
        <v>1122</v>
      </c>
      <c r="E215" s="1612" t="s">
        <v>1095</v>
      </c>
      <c r="F215" s="1106" t="s">
        <v>1190</v>
      </c>
      <c r="G215" s="1108">
        <v>309.31074164300952</v>
      </c>
      <c r="I215" s="1108">
        <v>338.93987093686599</v>
      </c>
      <c r="K215" s="1108">
        <v>377.841158515139</v>
      </c>
      <c r="M215" s="1108">
        <v>436.786660653799</v>
      </c>
      <c r="O215" s="1108">
        <v>424.018487926749</v>
      </c>
      <c r="Q215" s="1108">
        <v>473.13057986335167</v>
      </c>
      <c r="S215" s="1108">
        <v>525.31338596113301</v>
      </c>
      <c r="T215" s="1108">
        <v>632.29522885335371</v>
      </c>
      <c r="U215" s="1108">
        <v>709.18310547538601</v>
      </c>
      <c r="V215" s="1108">
        <v>798.98523306041477</v>
      </c>
      <c r="W215" s="1108">
        <v>815.1572897065987</v>
      </c>
      <c r="X215" s="1108">
        <v>997.83946507206304</v>
      </c>
      <c r="Y215" s="1108">
        <v>1147.91437578621</v>
      </c>
      <c r="Z215" s="1108">
        <v>1290.5712115228487</v>
      </c>
      <c r="AA215" s="1108">
        <v>1414.1236215686185</v>
      </c>
      <c r="AB215" s="1108">
        <v>1695.6700560735942</v>
      </c>
      <c r="AC215" s="1108">
        <v>1632</v>
      </c>
      <c r="AD215" s="1108">
        <v>1768</v>
      </c>
      <c r="AE215" s="1108">
        <v>1862</v>
      </c>
      <c r="AF215" s="1108">
        <v>2160</v>
      </c>
      <c r="AG215" s="1108">
        <v>2436</v>
      </c>
      <c r="AH215" s="1108">
        <v>2623</v>
      </c>
      <c r="AI215" s="1108">
        <v>2856</v>
      </c>
      <c r="AJ215" s="1108">
        <v>3239</v>
      </c>
      <c r="AK215" s="1108">
        <v>3230</v>
      </c>
      <c r="AL215" s="1108">
        <v>3420</v>
      </c>
      <c r="AM215" s="1108">
        <v>3552</v>
      </c>
      <c r="AN215" s="1108">
        <v>3850</v>
      </c>
      <c r="AO215" s="1108">
        <v>3944</v>
      </c>
      <c r="AP215" s="1108">
        <v>4125</v>
      </c>
      <c r="AQ215" s="1108">
        <v>4389</v>
      </c>
      <c r="AR215" s="1108">
        <v>4862</v>
      </c>
      <c r="AS215" s="1108">
        <v>4408</v>
      </c>
      <c r="AT215" s="1108">
        <v>4843</v>
      </c>
      <c r="AU215" s="1108">
        <v>5310</v>
      </c>
      <c r="AV215" s="1108">
        <v>5850</v>
      </c>
      <c r="AW215" s="1108">
        <v>6003</v>
      </c>
      <c r="AX215" s="1108">
        <v>6660</v>
      </c>
      <c r="AY215" s="1108">
        <v>7020</v>
      </c>
      <c r="AZ215" s="1108">
        <v>7781</v>
      </c>
      <c r="BA215" s="1108">
        <v>6939</v>
      </c>
      <c r="BB215" s="1108">
        <v>7588</v>
      </c>
      <c r="BC215" s="1108">
        <v>8079.5379747288089</v>
      </c>
      <c r="BD215" s="1108">
        <v>8528.5120309228205</v>
      </c>
      <c r="BE215" s="1108">
        <v>8525.1936515091329</v>
      </c>
      <c r="BF215" s="1108">
        <v>9125.0801792708735</v>
      </c>
      <c r="BG215" s="1108">
        <v>9495.1175415555535</v>
      </c>
      <c r="BH215" s="1108">
        <v>10031.332990872663</v>
      </c>
      <c r="BI215" s="1108">
        <v>9952.9539499627135</v>
      </c>
      <c r="BJ215" s="1108">
        <v>10727.601135115645</v>
      </c>
      <c r="BK215" s="1108">
        <v>11106.51062716538</v>
      </c>
      <c r="BL215" s="1108">
        <v>11718.40416953686</v>
      </c>
      <c r="BM215" s="1108">
        <v>10972.152086436199</v>
      </c>
      <c r="BN215" s="1108">
        <v>11805.558229778326</v>
      </c>
      <c r="BO215" s="1108">
        <v>12345.433269740324</v>
      </c>
      <c r="BP215" s="1108">
        <v>13122.245160858774</v>
      </c>
      <c r="BQ215" s="1108">
        <v>12468.102036134</v>
      </c>
      <c r="BR215" s="1108">
        <v>13275.42139476145</v>
      </c>
      <c r="BS215" s="1108">
        <v>13672.319553426451</v>
      </c>
      <c r="BT215" s="1108">
        <v>14598.37125184395</v>
      </c>
      <c r="BU215" s="1108">
        <v>13118.969409279</v>
      </c>
      <c r="BV215" s="1108">
        <v>13850.4931862181</v>
      </c>
      <c r="BW215" s="1108">
        <v>14272.573513257999</v>
      </c>
      <c r="BX215" s="1108">
        <v>15336.702350195899</v>
      </c>
      <c r="BY215" s="1108">
        <v>14446.053689234101</v>
      </c>
      <c r="BZ215" s="1108">
        <v>15240.211285567701</v>
      </c>
      <c r="CA215" s="1108">
        <v>15696.7793216841</v>
      </c>
      <c r="CB215" s="1108">
        <v>16858.827992818799</v>
      </c>
      <c r="CC215" s="1108">
        <v>15791.8841088729</v>
      </c>
      <c r="CD215" s="1108">
        <v>16646.7433893257</v>
      </c>
      <c r="CE215" s="1108">
        <v>17136.516155588299</v>
      </c>
      <c r="CF215" s="1108">
        <v>18394.504124896299</v>
      </c>
    </row>
    <row r="216" spans="4:84" ht="14.45" hidden="1" outlineLevel="1">
      <c r="D216" s="1611"/>
      <c r="E216" s="1619"/>
      <c r="F216" s="1106" t="s">
        <v>1191</v>
      </c>
      <c r="O216" s="1109">
        <v>37.084954009172186</v>
      </c>
      <c r="Q216" s="1109">
        <v>39.591302302549487</v>
      </c>
      <c r="S216" s="1109">
        <v>39.030217889850462</v>
      </c>
      <c r="T216" s="1109">
        <v>44.760654527981693</v>
      </c>
      <c r="U216" s="1109">
        <v>67.2528735581691</v>
      </c>
      <c r="V216" s="1109">
        <v>68.872033866670705</v>
      </c>
      <c r="W216" s="1109">
        <v>55.175426991101027</v>
      </c>
      <c r="X216" s="1109">
        <v>57.812271789811163</v>
      </c>
      <c r="Y216" s="1109">
        <v>61.864315001797699</v>
      </c>
      <c r="Z216" s="1109">
        <v>61.526290865160824</v>
      </c>
      <c r="AA216" s="1109">
        <v>73.478620558936186</v>
      </c>
      <c r="AB216" s="1109">
        <v>69.934154283137559</v>
      </c>
      <c r="AC216" s="1109">
        <v>42.170882639416227</v>
      </c>
      <c r="AD216" s="1109">
        <v>36.993602849221681</v>
      </c>
      <c r="AE216" s="1109">
        <v>31.671656678400854</v>
      </c>
      <c r="AF216" s="1109">
        <v>27.383272014697489</v>
      </c>
      <c r="AG216" s="1109">
        <v>49.264705882352942</v>
      </c>
      <c r="AH216" s="1109">
        <v>48.359728506787327</v>
      </c>
      <c r="AI216" s="1109">
        <v>53.383458646616546</v>
      </c>
      <c r="AJ216" s="1109">
        <v>49.953703703703702</v>
      </c>
      <c r="AK216" s="1109">
        <v>32.594417077175699</v>
      </c>
      <c r="AL216" s="1109">
        <v>30.385055280213496</v>
      </c>
      <c r="AM216" s="1109">
        <v>24.369747899159663</v>
      </c>
      <c r="AN216" s="1109">
        <v>18.863846866316763</v>
      </c>
      <c r="AO216" s="1109">
        <v>22.105263157894736</v>
      </c>
      <c r="AP216" s="1109">
        <v>20.614035087719298</v>
      </c>
      <c r="AQ216" s="1109">
        <v>23.564189189189189</v>
      </c>
      <c r="AR216" s="1109">
        <v>26.285714285714285</v>
      </c>
      <c r="AS216" s="1109">
        <v>11.76470588235294</v>
      </c>
      <c r="AT216" s="1109">
        <v>17.406060606060606</v>
      </c>
      <c r="AU216" s="1109">
        <v>20.984278879015722</v>
      </c>
      <c r="AV216" s="1109">
        <v>20.320855614973262</v>
      </c>
      <c r="AW216" s="1109">
        <v>36.184210526315788</v>
      </c>
      <c r="AX216" s="1109">
        <v>37.518067313648565</v>
      </c>
      <c r="AY216" s="1109">
        <v>32.20338983050847</v>
      </c>
      <c r="AZ216" s="1109">
        <v>33.008547008547005</v>
      </c>
      <c r="BA216" s="1109">
        <v>15.592203898050974</v>
      </c>
      <c r="BB216" s="1109">
        <v>13.933933933933934</v>
      </c>
      <c r="BC216" s="1109">
        <v>15.093133543145425</v>
      </c>
      <c r="BD216" s="1109">
        <v>9.6068889721478019</v>
      </c>
      <c r="BE216" s="1109">
        <v>22.859110124068785</v>
      </c>
      <c r="BF216" s="1109">
        <v>20.256723501197595</v>
      </c>
      <c r="BG216" s="1109">
        <v>17.520550943066258</v>
      </c>
      <c r="BH216" s="1109">
        <v>17.621139004094609</v>
      </c>
      <c r="BI216" s="1109">
        <v>16.747540957041345</v>
      </c>
      <c r="BJ216" s="1109">
        <v>17.56171917793295</v>
      </c>
      <c r="BK216" s="1109">
        <v>16.970754480474156</v>
      </c>
      <c r="BL216" s="1109">
        <v>16.818015912732971</v>
      </c>
      <c r="BM216" s="1109">
        <v>10.240157259818366</v>
      </c>
      <c r="BN216" s="1109">
        <v>10.048444951351748</v>
      </c>
      <c r="BO216" s="1109">
        <v>11.154922406904891</v>
      </c>
      <c r="BP216" s="1109">
        <v>11.979796660123203</v>
      </c>
      <c r="BQ216" s="1109">
        <v>13.634061375681233</v>
      </c>
      <c r="BR216" s="1109">
        <v>12.450602812457804</v>
      </c>
      <c r="BS216" s="1109">
        <v>10.747992838278378</v>
      </c>
      <c r="BT216" s="1109">
        <v>11.2490360673049</v>
      </c>
      <c r="BU216" s="1109">
        <v>5.2202602389578709</v>
      </c>
      <c r="BV216" s="1109">
        <v>4.3318533879728793</v>
      </c>
      <c r="BW216" s="1109">
        <v>4.390286209197896</v>
      </c>
      <c r="BX216" s="1109">
        <v>5.0576265366500355</v>
      </c>
      <c r="BY216" s="1109">
        <v>10.115766250788411</v>
      </c>
      <c r="BZ216" s="1109">
        <v>10.033708407816381</v>
      </c>
      <c r="CA216" s="1109">
        <v>9.9786195327922851</v>
      </c>
      <c r="CB216" s="1109">
        <v>9.9247257191729812</v>
      </c>
      <c r="CC216" s="1109">
        <v>9.3162496041516025</v>
      </c>
      <c r="CD216" s="1109">
        <v>9.2290853282983623</v>
      </c>
      <c r="CE216" s="1109">
        <v>9.1721798746020085</v>
      </c>
      <c r="CF216" s="1109">
        <v>9.1090325657966176</v>
      </c>
    </row>
    <row r="217" spans="4:84" ht="14.45" hidden="1" outlineLevel="1" collapsed="1">
      <c r="D217" s="1611"/>
      <c r="E217" s="1619"/>
      <c r="F217" s="1106"/>
    </row>
    <row r="218" spans="4:84" ht="14.45" collapsed="1">
      <c r="D218" s="1610" t="s">
        <v>1123</v>
      </c>
      <c r="E218" s="1612" t="s">
        <v>1095</v>
      </c>
      <c r="F218" s="1107" t="s">
        <v>1190</v>
      </c>
      <c r="G218" s="1108">
        <v>-55.540675916795998</v>
      </c>
      <c r="I218" s="1108">
        <v>-45.340077217622898</v>
      </c>
      <c r="K218" s="1108">
        <v>-38.489989894647358</v>
      </c>
      <c r="M218" s="1108">
        <v>-28.00520587568797</v>
      </c>
      <c r="O218" s="1108">
        <v>81.670891419672301</v>
      </c>
      <c r="Q218" s="1108">
        <v>119.82137057933376</v>
      </c>
      <c r="S218" s="1108">
        <v>169.24031536001007</v>
      </c>
      <c r="T218" s="1108">
        <v>289.12109040453731</v>
      </c>
      <c r="U218" s="1108">
        <v>461.44346018239423</v>
      </c>
      <c r="V218" s="1108">
        <v>510.3368387648465</v>
      </c>
      <c r="W218" s="1108">
        <v>671.01444698040871</v>
      </c>
      <c r="X218" s="1108">
        <v>794.81224484725828</v>
      </c>
      <c r="Y218" s="1108">
        <v>804.78138251220605</v>
      </c>
      <c r="Z218" s="1108">
        <v>936.77503064958285</v>
      </c>
      <c r="AA218" s="1108">
        <v>1031.6679000522472</v>
      </c>
      <c r="AB218" s="1108">
        <v>1116.4646155656071</v>
      </c>
      <c r="AC218" s="1108">
        <v>1568</v>
      </c>
      <c r="AD218" s="1108">
        <v>1632</v>
      </c>
      <c r="AE218" s="1108">
        <v>1938</v>
      </c>
      <c r="AF218" s="1108">
        <v>2340</v>
      </c>
      <c r="AG218" s="1108">
        <v>3364</v>
      </c>
      <c r="AH218" s="1108">
        <v>3477</v>
      </c>
      <c r="AI218" s="1108">
        <v>3944</v>
      </c>
      <c r="AJ218" s="1108">
        <v>4661</v>
      </c>
      <c r="AK218" s="1108">
        <v>5270</v>
      </c>
      <c r="AL218" s="1108">
        <v>5580</v>
      </c>
      <c r="AM218" s="1108">
        <v>6048</v>
      </c>
      <c r="AN218" s="1108">
        <v>7150</v>
      </c>
      <c r="AO218" s="1108">
        <v>7656</v>
      </c>
      <c r="AP218" s="1108">
        <v>8375</v>
      </c>
      <c r="AQ218" s="1108">
        <v>8911</v>
      </c>
      <c r="AR218" s="1108">
        <v>9438</v>
      </c>
      <c r="AS218" s="1108">
        <v>10792</v>
      </c>
      <c r="AT218" s="1108">
        <v>11857</v>
      </c>
      <c r="AU218" s="1108">
        <v>12390</v>
      </c>
      <c r="AV218" s="1108">
        <v>13650</v>
      </c>
      <c r="AW218" s="1108">
        <v>14697</v>
      </c>
      <c r="AX218" s="1108">
        <v>15540</v>
      </c>
      <c r="AY218" s="1108">
        <v>16380</v>
      </c>
      <c r="AZ218" s="1108">
        <v>17319</v>
      </c>
      <c r="BA218" s="1108">
        <v>18761</v>
      </c>
      <c r="BB218" s="1108">
        <v>19512</v>
      </c>
      <c r="BC218" s="1108">
        <v>20176.657334327272</v>
      </c>
      <c r="BD218" s="1108">
        <v>21488.115024910629</v>
      </c>
      <c r="BE218" s="1108">
        <v>22252.902852430816</v>
      </c>
      <c r="BF218" s="1108">
        <v>23515.607662181985</v>
      </c>
      <c r="BG218" s="1108">
        <v>24107.037493812357</v>
      </c>
      <c r="BH218" s="1108">
        <v>25469.313976102316</v>
      </c>
      <c r="BI218" s="1108">
        <v>26594.094098306985</v>
      </c>
      <c r="BJ218" s="1108">
        <v>28180.441500931684</v>
      </c>
      <c r="BK218" s="1108">
        <v>28948.60507830566</v>
      </c>
      <c r="BL218" s="1108">
        <v>30558.8652963922</v>
      </c>
      <c r="BM218" s="1108">
        <v>31386.921220403427</v>
      </c>
      <c r="BN218" s="1108">
        <v>32647.978092911875</v>
      </c>
      <c r="BO218" s="1108">
        <v>33261.235134292925</v>
      </c>
      <c r="BP218" s="1108">
        <v>35168.53960383415</v>
      </c>
      <c r="BQ218" s="1108">
        <v>35701.470122737897</v>
      </c>
      <c r="BR218" s="1108">
        <v>36956.703050263401</v>
      </c>
      <c r="BS218" s="1108">
        <v>37583.100934190254</v>
      </c>
      <c r="BT218" s="1108">
        <v>39629.17357450605</v>
      </c>
      <c r="BU218" s="1108">
        <v>42163.400772708803</v>
      </c>
      <c r="BV218" s="1108">
        <v>44512.821884691999</v>
      </c>
      <c r="BW218" s="1108">
        <v>45947.984491460797</v>
      </c>
      <c r="BX218" s="1108">
        <v>49049.484299136697</v>
      </c>
      <c r="BY218" s="1108">
        <v>46973.003408752898</v>
      </c>
      <c r="BZ218" s="1108">
        <v>49530.992368714498</v>
      </c>
      <c r="CA218" s="1108">
        <v>51089.288771734398</v>
      </c>
      <c r="CB218" s="1108">
        <v>54491.823742418397</v>
      </c>
      <c r="CC218" s="1108">
        <v>51963.483427998697</v>
      </c>
      <c r="CD218" s="1108">
        <v>54726.808009259497</v>
      </c>
      <c r="CE218" s="1108">
        <v>56406.192180457001</v>
      </c>
      <c r="CF218" s="1108">
        <v>60108.644849523203</v>
      </c>
    </row>
    <row r="219" spans="4:84" ht="14.45" hidden="1" outlineLevel="1">
      <c r="D219" s="1611"/>
      <c r="E219" s="1619"/>
      <c r="F219" s="1107" t="s">
        <v>1191</v>
      </c>
      <c r="O219" s="1109">
        <v>247.04698866470639</v>
      </c>
      <c r="Q219" s="1109">
        <v>364.2725331150545</v>
      </c>
      <c r="S219" s="1109">
        <v>539.69955778955818</v>
      </c>
      <c r="T219" s="1109">
        <v>1132.3833778902183</v>
      </c>
      <c r="U219" s="1109">
        <v>465.00357980817262</v>
      </c>
      <c r="V219" s="1109">
        <v>325.9147064479223</v>
      </c>
      <c r="W219" s="1109">
        <v>296.48617148521532</v>
      </c>
      <c r="X219" s="1109">
        <v>174.90635281402663</v>
      </c>
      <c r="Y219" s="1109">
        <v>74.405198460088911</v>
      </c>
      <c r="Z219" s="1109">
        <v>83.560142927724428</v>
      </c>
      <c r="AA219" s="1109">
        <v>53.747494512941287</v>
      </c>
      <c r="AB219" s="1109">
        <v>40.468975258447593</v>
      </c>
      <c r="AC219" s="1109">
        <v>94.835521058567522</v>
      </c>
      <c r="AD219" s="1109">
        <v>74.214720354825332</v>
      </c>
      <c r="AE219" s="1109">
        <v>87.851148601391301</v>
      </c>
      <c r="AF219" s="1109">
        <v>109.59016231916523</v>
      </c>
      <c r="AG219" s="1109">
        <v>114.54081632653062</v>
      </c>
      <c r="AH219" s="1109">
        <v>113.0514705882353</v>
      </c>
      <c r="AI219" s="1109">
        <v>103.50877192982458</v>
      </c>
      <c r="AJ219" s="1109">
        <v>99.188034188034194</v>
      </c>
      <c r="AK219" s="1109">
        <v>56.658739595719375</v>
      </c>
      <c r="AL219" s="1109">
        <v>60.483175150992231</v>
      </c>
      <c r="AM219" s="1109">
        <v>53.346855983772826</v>
      </c>
      <c r="AN219" s="1109">
        <v>53.40055782021026</v>
      </c>
      <c r="AO219" s="1109">
        <v>45.275142314990511</v>
      </c>
      <c r="AP219" s="1109">
        <v>50.089605734767026</v>
      </c>
      <c r="AQ219" s="1109">
        <v>47.337962962962962</v>
      </c>
      <c r="AR219" s="1109">
        <v>32</v>
      </c>
      <c r="AS219" s="1109">
        <v>40.96133751306165</v>
      </c>
      <c r="AT219" s="1109">
        <v>41.576119402985071</v>
      </c>
      <c r="AU219" s="1109">
        <v>39.041633935585232</v>
      </c>
      <c r="AV219" s="1109">
        <v>44.628099173553721</v>
      </c>
      <c r="AW219" s="1109">
        <v>36.184210526315788</v>
      </c>
      <c r="AX219" s="1109">
        <v>31.061820021927979</v>
      </c>
      <c r="AY219" s="1109">
        <v>32.20338983050847</v>
      </c>
      <c r="AZ219" s="1109">
        <v>26.879120879120876</v>
      </c>
      <c r="BA219" s="1109">
        <v>27.651901748656186</v>
      </c>
      <c r="BB219" s="1109">
        <v>25.559845559845563</v>
      </c>
      <c r="BC219" s="1109">
        <v>23.178616204684204</v>
      </c>
      <c r="BD219" s="1109">
        <v>24.072492781977182</v>
      </c>
      <c r="BE219" s="1109">
        <v>18.61256250962537</v>
      </c>
      <c r="BF219" s="1109">
        <v>20.51869445562723</v>
      </c>
      <c r="BG219" s="1109">
        <v>19.479837984848896</v>
      </c>
      <c r="BH219" s="1109">
        <v>18.52744620259331</v>
      </c>
      <c r="BI219" s="1109">
        <v>19.508426719267121</v>
      </c>
      <c r="BJ219" s="1109">
        <v>19.837181780557287</v>
      </c>
      <c r="BK219" s="1109">
        <v>20.08362738779498</v>
      </c>
      <c r="BL219" s="1109">
        <v>19.983071884328631</v>
      </c>
      <c r="BM219" s="1109">
        <v>18.022148467924534</v>
      </c>
      <c r="BN219" s="1109">
        <v>15.853323631684368</v>
      </c>
      <c r="BO219" s="1109">
        <v>14.897540120919983</v>
      </c>
      <c r="BP219" s="1109">
        <v>15.084572881657918</v>
      </c>
      <c r="BQ219" s="1109">
        <v>13.746327242602401</v>
      </c>
      <c r="BR219" s="1109">
        <v>13.197524652489836</v>
      </c>
      <c r="BS219" s="1109">
        <v>12.993702075246775</v>
      </c>
      <c r="BT219" s="1109">
        <v>12.683591701332952</v>
      </c>
      <c r="BU219" s="1109">
        <v>18.09990072609186</v>
      </c>
      <c r="BV219" s="1109">
        <v>20.445868302028483</v>
      </c>
      <c r="BW219" s="1109">
        <v>22.257034010891864</v>
      </c>
      <c r="BX219" s="1109">
        <v>23.771151086256442</v>
      </c>
      <c r="BY219" s="1109">
        <v>11.407055759025059</v>
      </c>
      <c r="BZ219" s="1109">
        <v>11.273539334400754</v>
      </c>
      <c r="CA219" s="1109">
        <v>11.189401095991681</v>
      </c>
      <c r="CB219" s="1109">
        <v>11.095609915265694</v>
      </c>
      <c r="CC219" s="1109">
        <v>10.624145055872408</v>
      </c>
      <c r="CD219" s="1109">
        <v>10.490029357511636</v>
      </c>
      <c r="CE219" s="1109">
        <v>10.40708049876832</v>
      </c>
      <c r="CF219" s="1109">
        <v>10.307640158375669</v>
      </c>
    </row>
    <row r="220" spans="4:84" ht="14.45" hidden="1" outlineLevel="1" collapsed="1">
      <c r="D220" s="1611"/>
      <c r="E220" s="1619"/>
      <c r="F220" s="1107"/>
    </row>
    <row r="221" spans="4:84" ht="14.45" collapsed="1">
      <c r="D221" s="1610" t="s">
        <v>1224</v>
      </c>
      <c r="E221" s="1612" t="s">
        <v>1104</v>
      </c>
      <c r="F221" s="1106" t="s">
        <v>1190</v>
      </c>
      <c r="G221" s="1109">
        <v>-21.920053841757991</v>
      </c>
      <c r="I221" s="1109">
        <v>-15.403405128453961</v>
      </c>
      <c r="K221" s="1109">
        <v>-10.682876749604789</v>
      </c>
      <c r="M221" s="1109">
        <v>-7.1887811546160298</v>
      </c>
      <c r="O221" s="1109">
        <v>16.987705601298799</v>
      </c>
      <c r="Q221" s="1109">
        <v>20.780099940475299</v>
      </c>
      <c r="S221" s="1109">
        <v>24.421405504728</v>
      </c>
      <c r="T221" s="1109">
        <v>30.854132510167666</v>
      </c>
      <c r="U221" s="1109">
        <v>41.552736129422236</v>
      </c>
      <c r="V221" s="1109">
        <v>39.775035692943703</v>
      </c>
      <c r="W221" s="1109">
        <v>46.400598424318098</v>
      </c>
      <c r="X221" s="1109">
        <v>45.95957256158033</v>
      </c>
      <c r="Y221" s="1109">
        <v>43.566700568580217</v>
      </c>
      <c r="Z221" s="1109">
        <v>46</v>
      </c>
      <c r="AA221" s="1109">
        <v>45</v>
      </c>
      <c r="AB221" s="1109">
        <v>42</v>
      </c>
      <c r="AC221" s="1109">
        <v>49</v>
      </c>
      <c r="AD221" s="1109">
        <v>48</v>
      </c>
      <c r="AE221" s="1109">
        <v>51</v>
      </c>
      <c r="AF221" s="1109">
        <v>52</v>
      </c>
      <c r="AG221" s="1109">
        <v>57.999999999999993</v>
      </c>
      <c r="AH221" s="1109">
        <v>56.999999999999993</v>
      </c>
      <c r="AI221" s="1109">
        <v>57.999999999999993</v>
      </c>
      <c r="AJ221" s="1109">
        <v>59</v>
      </c>
      <c r="AK221" s="1109">
        <v>62</v>
      </c>
      <c r="AL221" s="1109">
        <v>62</v>
      </c>
      <c r="AM221" s="1109">
        <v>63</v>
      </c>
      <c r="AN221" s="1109">
        <v>65</v>
      </c>
      <c r="AO221" s="1109">
        <v>66</v>
      </c>
      <c r="AP221" s="1109">
        <v>67</v>
      </c>
      <c r="AQ221" s="1109">
        <v>67</v>
      </c>
      <c r="AR221" s="1109">
        <v>66</v>
      </c>
      <c r="AS221" s="1109">
        <v>71</v>
      </c>
      <c r="AT221" s="1109">
        <v>71</v>
      </c>
      <c r="AU221" s="1109">
        <v>70</v>
      </c>
      <c r="AV221" s="1109">
        <v>70</v>
      </c>
      <c r="AW221" s="1109">
        <v>71</v>
      </c>
      <c r="AX221" s="1109">
        <v>70</v>
      </c>
      <c r="AY221" s="1109">
        <v>70</v>
      </c>
      <c r="AZ221" s="1109">
        <v>69</v>
      </c>
      <c r="BA221" s="1109">
        <v>73</v>
      </c>
      <c r="BB221" s="1109">
        <v>72</v>
      </c>
      <c r="BC221" s="1109">
        <v>71.447056025007583</v>
      </c>
      <c r="BD221" s="1109">
        <v>71.646026896417411</v>
      </c>
      <c r="BE221" s="1109">
        <v>72.556659235112647</v>
      </c>
      <c r="BF221" s="1109">
        <v>72.208892727105976</v>
      </c>
      <c r="BG221" s="1109">
        <v>71.845056684904719</v>
      </c>
      <c r="BH221" s="1109">
        <v>71.759957383007873</v>
      </c>
      <c r="BI221" s="1109">
        <v>73.08417374437991</v>
      </c>
      <c r="BJ221" s="1109">
        <v>72.695221860647223</v>
      </c>
      <c r="BK221" s="1109">
        <v>72.257021739687673</v>
      </c>
      <c r="BL221" s="1109">
        <v>72.245659414654796</v>
      </c>
      <c r="BM221" s="1109">
        <v>74.082533719997215</v>
      </c>
      <c r="BN221" s="1109">
        <v>73.402783095597414</v>
      </c>
      <c r="BO221" s="1109">
        <v>72.853496683224122</v>
      </c>
      <c r="BP221" s="1109">
        <v>72.728706386672258</v>
      </c>
      <c r="BQ221" s="1109">
        <v>74.067499736176202</v>
      </c>
      <c r="BR221" s="1109">
        <v>73.471306864738494</v>
      </c>
      <c r="BS221" s="1109">
        <v>73.174289739547447</v>
      </c>
      <c r="BT221" s="1109">
        <v>72.881353784377552</v>
      </c>
      <c r="BU221" s="1109">
        <v>76.269162544782802</v>
      </c>
      <c r="BV221" s="1109">
        <v>76.268494739563593</v>
      </c>
      <c r="BW221" s="1109">
        <v>76.299499728747705</v>
      </c>
      <c r="BX221" s="1109">
        <v>76.180135603115602</v>
      </c>
      <c r="BY221" s="1109">
        <v>76.479525457079006</v>
      </c>
      <c r="BZ221" s="1109">
        <v>76.470699283415101</v>
      </c>
      <c r="CA221" s="1109">
        <v>76.496925526851101</v>
      </c>
      <c r="CB221" s="1109">
        <v>76.371865452081195</v>
      </c>
      <c r="CC221" s="1109">
        <v>76.692792493112606</v>
      </c>
      <c r="CD221" s="1109">
        <v>76.676593691741601</v>
      </c>
      <c r="CE221" s="1109">
        <v>76.698551707825501</v>
      </c>
      <c r="CF221" s="1109">
        <v>76.568450609681705</v>
      </c>
    </row>
    <row r="222" spans="4:84" ht="14.45" hidden="1" outlineLevel="1">
      <c r="D222" s="1611"/>
      <c r="E222" s="1619"/>
      <c r="F222" s="1106" t="s">
        <v>1191</v>
      </c>
      <c r="O222" s="1111">
        <v>3890.7759443056789</v>
      </c>
      <c r="Q222" s="1111">
        <v>3618.3505068929262</v>
      </c>
      <c r="S222" s="1111">
        <v>3510.4282254332788</v>
      </c>
      <c r="T222" s="1111">
        <v>3804.2913664783696</v>
      </c>
      <c r="U222" s="1111">
        <v>2456.5030528123439</v>
      </c>
      <c r="V222" s="1111">
        <v>1899.4935752468405</v>
      </c>
      <c r="W222" s="1111">
        <v>2197.9192919590096</v>
      </c>
      <c r="X222" s="1111">
        <v>1510.5440051412663</v>
      </c>
      <c r="Y222" s="1111">
        <v>201.39644391579807</v>
      </c>
      <c r="Z222" s="1111">
        <v>622.49643070562968</v>
      </c>
      <c r="AA222" s="1111">
        <v>-140.05984243180976</v>
      </c>
      <c r="AB222" s="1111">
        <v>-395.95725615803303</v>
      </c>
      <c r="AC222" s="1111">
        <v>543.32994314197833</v>
      </c>
      <c r="AD222" s="1111">
        <v>200</v>
      </c>
      <c r="AE222" s="1111">
        <v>600</v>
      </c>
      <c r="AF222" s="1111">
        <v>1000</v>
      </c>
      <c r="AG222" s="1111">
        <v>899.99999999999932</v>
      </c>
      <c r="AH222" s="1111">
        <v>899.99999999999932</v>
      </c>
      <c r="AI222" s="1111">
        <v>699.99999999999932</v>
      </c>
      <c r="AJ222" s="1111">
        <v>700</v>
      </c>
      <c r="AK222" s="1111">
        <v>400.00000000000068</v>
      </c>
      <c r="AL222" s="1111">
        <v>500.00000000000068</v>
      </c>
      <c r="AM222" s="1111">
        <v>500.00000000000068</v>
      </c>
      <c r="AN222" s="1111">
        <v>600</v>
      </c>
      <c r="AO222" s="1111">
        <v>400</v>
      </c>
      <c r="AP222" s="1111">
        <v>500</v>
      </c>
      <c r="AQ222" s="1111">
        <v>400</v>
      </c>
      <c r="AR222" s="1111">
        <v>100</v>
      </c>
      <c r="AS222" s="1111">
        <v>500</v>
      </c>
      <c r="AT222" s="1111">
        <v>400</v>
      </c>
      <c r="AU222" s="1111">
        <v>300</v>
      </c>
      <c r="AV222" s="1111">
        <v>400</v>
      </c>
      <c r="AW222" s="1111">
        <v>0</v>
      </c>
      <c r="AX222" s="1111">
        <v>-100</v>
      </c>
      <c r="AY222" s="1111">
        <v>0</v>
      </c>
      <c r="AZ222" s="1111">
        <v>-100</v>
      </c>
      <c r="BA222" s="1111">
        <v>200</v>
      </c>
      <c r="BB222" s="1111">
        <v>200</v>
      </c>
      <c r="BC222" s="1111">
        <v>144.70560250075835</v>
      </c>
      <c r="BD222" s="1111">
        <v>264.60268964174105</v>
      </c>
      <c r="BE222" s="1111">
        <v>-44.334076488735263</v>
      </c>
      <c r="BF222" s="1111">
        <v>20.889272710597595</v>
      </c>
      <c r="BG222" s="1111">
        <v>39.800065989713573</v>
      </c>
      <c r="BH222" s="1111">
        <v>11.393048659046201</v>
      </c>
      <c r="BI222" s="1111">
        <v>52.751450926726307</v>
      </c>
      <c r="BJ222" s="1111">
        <v>48.632913354124696</v>
      </c>
      <c r="BK222" s="1111">
        <v>41.196505478295364</v>
      </c>
      <c r="BL222" s="1111">
        <v>48.570203164692316</v>
      </c>
      <c r="BM222" s="1111">
        <v>99.835997561730494</v>
      </c>
      <c r="BN222" s="1111">
        <v>70.756123495019096</v>
      </c>
      <c r="BO222" s="1111">
        <v>59.647494353644959</v>
      </c>
      <c r="BP222" s="1111">
        <v>48.304697201746194</v>
      </c>
      <c r="BQ222" s="1111">
        <v>-1.5033983821012953</v>
      </c>
      <c r="BR222" s="1111">
        <v>6.8523769141080493</v>
      </c>
      <c r="BS222" s="1111">
        <v>32.079305632332478</v>
      </c>
      <c r="BT222" s="1111">
        <v>15.264739770529445</v>
      </c>
      <c r="BU222" s="1111">
        <v>220.16628086065992</v>
      </c>
      <c r="BV222" s="1111">
        <v>279.71878748250987</v>
      </c>
      <c r="BW222" s="1111">
        <v>312.52099892002576</v>
      </c>
      <c r="BX222" s="1111">
        <v>329.87818187380498</v>
      </c>
      <c r="BY222" s="1111">
        <v>21.036291229620474</v>
      </c>
      <c r="BZ222" s="1111">
        <v>20.220454385150788</v>
      </c>
      <c r="CA222" s="1111">
        <v>19.742579810339578</v>
      </c>
      <c r="CB222" s="1111">
        <v>19.172984896559342</v>
      </c>
      <c r="CC222" s="1111">
        <v>21.326703603359931</v>
      </c>
      <c r="CD222" s="1111">
        <v>20.589440832650041</v>
      </c>
      <c r="CE222" s="1111">
        <v>20.162618097440088</v>
      </c>
      <c r="CF222" s="1111">
        <v>19.658515760050932</v>
      </c>
    </row>
    <row r="223" spans="4:84" ht="14.45" hidden="1" outlineLevel="1" collapsed="1">
      <c r="D223" s="1611"/>
      <c r="E223" s="1619"/>
      <c r="F223" s="1106"/>
    </row>
    <row r="224" spans="4:84" ht="14.45" collapsed="1">
      <c r="D224" s="1610" t="s">
        <v>1125</v>
      </c>
      <c r="E224" s="1612" t="s">
        <v>1095</v>
      </c>
      <c r="F224" s="1107" t="s">
        <v>1190</v>
      </c>
      <c r="T224" s="1108">
        <v>4400</v>
      </c>
      <c r="U224" s="1108">
        <v>4766.666666666667</v>
      </c>
      <c r="V224" s="1108">
        <v>5500</v>
      </c>
      <c r="W224" s="1108">
        <v>6300</v>
      </c>
      <c r="X224" s="1108">
        <v>8000</v>
      </c>
      <c r="Y224" s="1108">
        <v>8200</v>
      </c>
      <c r="Z224" s="1108">
        <v>9400</v>
      </c>
      <c r="AA224" s="1108">
        <v>10000</v>
      </c>
      <c r="AB224" s="1108">
        <v>12100</v>
      </c>
      <c r="AC224" s="1108">
        <v>13000</v>
      </c>
      <c r="AD224" s="1108">
        <v>14000</v>
      </c>
      <c r="AE224" s="1108">
        <v>15200</v>
      </c>
      <c r="AF224" s="1108">
        <v>18900</v>
      </c>
      <c r="AG224" s="1108">
        <v>20880</v>
      </c>
      <c r="AH224" s="1108">
        <v>22800</v>
      </c>
      <c r="AI224" s="1108">
        <v>25600</v>
      </c>
      <c r="AJ224" s="1108">
        <v>29600</v>
      </c>
      <c r="AK224" s="1108">
        <v>34000</v>
      </c>
      <c r="AL224" s="1108">
        <v>36000</v>
      </c>
      <c r="AM224" s="1108">
        <v>38400</v>
      </c>
      <c r="AN224" s="1108">
        <v>44000</v>
      </c>
      <c r="AO224" s="1108">
        <v>46400</v>
      </c>
      <c r="AP224" s="1108">
        <v>50000</v>
      </c>
      <c r="AQ224" s="1108">
        <v>53200</v>
      </c>
      <c r="AR224" s="1108">
        <v>57200</v>
      </c>
      <c r="AS224" s="1108">
        <v>60800</v>
      </c>
      <c r="AT224" s="1108">
        <v>66800</v>
      </c>
      <c r="AU224" s="1108">
        <v>70800</v>
      </c>
      <c r="AV224" s="1108">
        <v>78000</v>
      </c>
      <c r="AW224" s="1108">
        <v>82800</v>
      </c>
      <c r="AX224" s="1108">
        <v>88800</v>
      </c>
      <c r="AY224" s="1108">
        <v>93600</v>
      </c>
      <c r="AZ224" s="1108">
        <v>100400</v>
      </c>
      <c r="BA224" s="1108">
        <v>102800</v>
      </c>
      <c r="BB224" s="1108">
        <v>108400</v>
      </c>
      <c r="BC224" s="1108">
        <v>111596.1387328</v>
      </c>
      <c r="BD224" s="1108">
        <v>117079.87009919999</v>
      </c>
      <c r="BE224" s="1108">
        <v>120133.46735392101</v>
      </c>
      <c r="BF224" s="1108">
        <v>125729.790565174</v>
      </c>
      <c r="BG224" s="1108">
        <v>131413.44589999999</v>
      </c>
      <c r="BH224" s="1108">
        <v>137629.20045904</v>
      </c>
      <c r="BI224" s="1108">
        <v>139986.62881929101</v>
      </c>
      <c r="BJ224" s="1108">
        <v>146268.59579032901</v>
      </c>
      <c r="BK224" s="1108">
        <v>152727.6045355</v>
      </c>
      <c r="BL224" s="1108">
        <v>159522.395618348</v>
      </c>
    </row>
    <row r="225" spans="3:88" ht="14.45" hidden="1" outlineLevel="1">
      <c r="D225" s="1611"/>
      <c r="E225" s="1619"/>
      <c r="F225" s="1107" t="s">
        <v>1191</v>
      </c>
      <c r="X225" s="1109">
        <v>81.818181818181827</v>
      </c>
      <c r="Y225" s="1109">
        <v>72.027972027972027</v>
      </c>
      <c r="Z225" s="1109">
        <v>70.909090909090907</v>
      </c>
      <c r="AA225" s="1109">
        <v>58.730158730158735</v>
      </c>
      <c r="AB225" s="1109">
        <v>51.249999999999993</v>
      </c>
      <c r="AC225" s="1109">
        <v>58.536585365853654</v>
      </c>
      <c r="AD225" s="1109">
        <v>48.936170212765958</v>
      </c>
      <c r="AE225" s="1109">
        <v>52</v>
      </c>
      <c r="AF225" s="1109">
        <v>56.198347107438018</v>
      </c>
      <c r="AG225" s="1109">
        <v>60.615384615384613</v>
      </c>
      <c r="AH225" s="1109">
        <v>62.857142857142854</v>
      </c>
      <c r="AI225" s="1109">
        <v>68.421052631578945</v>
      </c>
      <c r="AJ225" s="1109">
        <v>56.613756613756614</v>
      </c>
      <c r="AK225" s="1109">
        <v>62.835249042145591</v>
      </c>
      <c r="AL225" s="1109">
        <v>57.894736842105267</v>
      </c>
      <c r="AM225" s="1109">
        <v>50</v>
      </c>
      <c r="AN225" s="1109">
        <v>48.648648648648653</v>
      </c>
      <c r="AO225" s="1109">
        <v>36.470588235294116</v>
      </c>
      <c r="AP225" s="1109">
        <v>38.888888888888893</v>
      </c>
      <c r="AQ225" s="1109">
        <v>38.541666666666671</v>
      </c>
      <c r="AR225" s="1109">
        <v>30</v>
      </c>
      <c r="AS225" s="1109">
        <v>31.03448275862069</v>
      </c>
      <c r="AT225" s="1109">
        <v>33.6</v>
      </c>
      <c r="AU225" s="1109">
        <v>33.082706766917291</v>
      </c>
      <c r="AV225" s="1109">
        <v>36.363636363636367</v>
      </c>
      <c r="AW225" s="1109">
        <v>36.184210526315788</v>
      </c>
      <c r="AX225" s="1109">
        <v>32.934131736526943</v>
      </c>
      <c r="AY225" s="1109">
        <v>32.20338983050847</v>
      </c>
      <c r="AZ225" s="1109">
        <v>28.717948717948715</v>
      </c>
      <c r="BA225" s="1109">
        <v>24.154589371980677</v>
      </c>
      <c r="BB225" s="1109">
        <v>22.072072072072071</v>
      </c>
      <c r="BC225" s="1109">
        <v>19.226643945299145</v>
      </c>
      <c r="BD225" s="1109">
        <v>16.613416433466131</v>
      </c>
      <c r="BE225" s="1109">
        <v>16.861349566071016</v>
      </c>
      <c r="BF225" s="1109">
        <v>15.986891665289669</v>
      </c>
      <c r="BG225" s="1109">
        <v>17.758058112252005</v>
      </c>
      <c r="BH225" s="1109">
        <v>17.551548650018891</v>
      </c>
      <c r="BI225" s="1109">
        <v>16.52592063032802</v>
      </c>
      <c r="BJ225" s="1109">
        <v>16.335671230207289</v>
      </c>
      <c r="BK225" s="1109">
        <v>16.21916120494943</v>
      </c>
      <c r="BL225" s="1109">
        <v>15.907376549661539</v>
      </c>
    </row>
    <row r="226" spans="3:88" ht="14.45" hidden="1" outlineLevel="1" collapsed="1">
      <c r="D226" s="1611"/>
      <c r="E226" s="1619"/>
      <c r="F226" s="1107"/>
    </row>
    <row r="227" spans="3:88" collapsed="1">
      <c r="D227" s="42"/>
    </row>
    <row r="228" spans="3:88" ht="35.1">
      <c r="C228" s="1099" t="s">
        <v>1062</v>
      </c>
      <c r="D228" s="42"/>
    </row>
    <row r="229" spans="3:88">
      <c r="D229" s="42"/>
    </row>
    <row r="230" spans="3:88" ht="14.45">
      <c r="C230" s="1100"/>
      <c r="D230" s="1101"/>
      <c r="E230" s="1100"/>
      <c r="F230" s="1100"/>
      <c r="G230" s="1100"/>
      <c r="H230" s="1100"/>
      <c r="I230" s="1100"/>
      <c r="J230" s="1102"/>
      <c r="K230" s="1103"/>
      <c r="L230" s="1102"/>
      <c r="M230" s="1102"/>
      <c r="N230" s="1102"/>
      <c r="O230" s="1102"/>
      <c r="P230" s="1102"/>
      <c r="Q230" s="1102"/>
      <c r="R230" s="1102"/>
      <c r="S230" s="1102"/>
      <c r="T230" s="1102"/>
      <c r="U230" s="1102"/>
      <c r="V230" s="1103"/>
      <c r="W230" s="1102"/>
      <c r="X230" s="1103"/>
      <c r="Y230" s="1102" t="s">
        <v>1140</v>
      </c>
      <c r="Z230" s="1103" t="s">
        <v>1141</v>
      </c>
      <c r="AA230" s="1102" t="s">
        <v>1142</v>
      </c>
      <c r="AB230" s="1103" t="s">
        <v>1143</v>
      </c>
      <c r="AC230" s="1102" t="s">
        <v>1144</v>
      </c>
      <c r="AD230" s="1103" t="s">
        <v>1145</v>
      </c>
      <c r="AE230" s="1102" t="s">
        <v>1146</v>
      </c>
      <c r="AF230" s="1103" t="s">
        <v>1147</v>
      </c>
      <c r="AG230" s="1102" t="s">
        <v>1148</v>
      </c>
      <c r="AH230" s="1103" t="s">
        <v>1149</v>
      </c>
      <c r="AI230" s="1102" t="s">
        <v>1150</v>
      </c>
      <c r="AJ230" s="1103" t="s">
        <v>1151</v>
      </c>
      <c r="AK230" s="1102" t="s">
        <v>1152</v>
      </c>
      <c r="AL230" s="1103" t="s">
        <v>1153</v>
      </c>
      <c r="AM230" s="1102" t="s">
        <v>1154</v>
      </c>
      <c r="AN230" s="1103" t="s">
        <v>1155</v>
      </c>
      <c r="AO230" s="1102" t="s">
        <v>1156</v>
      </c>
      <c r="AP230" s="1103" t="s">
        <v>1157</v>
      </c>
      <c r="AQ230" s="1102" t="s">
        <v>1158</v>
      </c>
      <c r="AR230" s="1103" t="s">
        <v>1159</v>
      </c>
      <c r="AS230" s="1102" t="s">
        <v>1160</v>
      </c>
      <c r="AT230" s="1103" t="s">
        <v>1161</v>
      </c>
      <c r="AU230" s="1102" t="s">
        <v>1162</v>
      </c>
      <c r="AV230" s="1103" t="s">
        <v>1163</v>
      </c>
      <c r="AW230" s="1102" t="s">
        <v>1063</v>
      </c>
      <c r="AX230" s="1103" t="s">
        <v>1064</v>
      </c>
      <c r="AY230" s="1102" t="s">
        <v>1065</v>
      </c>
      <c r="AZ230" s="1103" t="s">
        <v>1066</v>
      </c>
      <c r="BA230" s="1102" t="s">
        <v>1067</v>
      </c>
      <c r="BB230" s="1103" t="s">
        <v>1068</v>
      </c>
      <c r="BC230" s="1102" t="s">
        <v>1164</v>
      </c>
      <c r="BD230" s="1103" t="s">
        <v>1165</v>
      </c>
      <c r="BE230" s="1102" t="s">
        <v>1166</v>
      </c>
      <c r="BF230" s="1103" t="s">
        <v>1167</v>
      </c>
      <c r="BG230" s="1102" t="s">
        <v>1168</v>
      </c>
      <c r="BH230" s="1103" t="s">
        <v>1169</v>
      </c>
      <c r="BI230" s="1102" t="s">
        <v>1072</v>
      </c>
      <c r="BJ230" s="1103" t="s">
        <v>1073</v>
      </c>
      <c r="BK230" s="1102" t="s">
        <v>1074</v>
      </c>
      <c r="BL230" s="1103" t="s">
        <v>1075</v>
      </c>
      <c r="BM230" s="1102" t="s">
        <v>1076</v>
      </c>
      <c r="BN230" s="1103" t="s">
        <v>1077</v>
      </c>
      <c r="BO230" s="1102" t="s">
        <v>1078</v>
      </c>
      <c r="BP230" s="1103" t="s">
        <v>1079</v>
      </c>
      <c r="BQ230" s="1102" t="s">
        <v>1080</v>
      </c>
      <c r="BR230" s="1103" t="s">
        <v>1081</v>
      </c>
      <c r="BS230" s="1102" t="s">
        <v>1082</v>
      </c>
      <c r="BT230" s="1103" t="s">
        <v>1083</v>
      </c>
      <c r="BU230" s="1102" t="s">
        <v>1170</v>
      </c>
      <c r="BV230" s="1103" t="s">
        <v>1171</v>
      </c>
      <c r="BW230" s="1102" t="s">
        <v>1172</v>
      </c>
      <c r="BX230" s="1103" t="s">
        <v>1173</v>
      </c>
      <c r="BY230" s="1102" t="s">
        <v>1174</v>
      </c>
      <c r="BZ230" s="1103" t="s">
        <v>1175</v>
      </c>
      <c r="CA230" s="1102" t="s">
        <v>1176</v>
      </c>
      <c r="CB230" s="1103" t="s">
        <v>1177</v>
      </c>
      <c r="CC230" s="1102" t="s">
        <v>1178</v>
      </c>
      <c r="CD230" s="1103" t="s">
        <v>1179</v>
      </c>
      <c r="CE230" s="1102" t="s">
        <v>1180</v>
      </c>
      <c r="CF230" s="1103" t="s">
        <v>1181</v>
      </c>
      <c r="CG230" s="1102" t="s">
        <v>1182</v>
      </c>
      <c r="CH230" s="1103" t="s">
        <v>1183</v>
      </c>
      <c r="CI230" s="1102" t="s">
        <v>1184</v>
      </c>
      <c r="CJ230" s="1103" t="s">
        <v>1185</v>
      </c>
    </row>
    <row r="231" spans="3:88" ht="14.45">
      <c r="C231" s="1100"/>
      <c r="D231" s="1101"/>
      <c r="E231" s="1100" t="s">
        <v>1090</v>
      </c>
      <c r="F231" s="1100"/>
      <c r="G231" s="1100"/>
      <c r="H231" s="1100"/>
      <c r="I231" s="1100"/>
      <c r="J231" s="1102"/>
      <c r="K231" s="1103"/>
      <c r="L231" s="1102"/>
      <c r="M231" s="1102"/>
      <c r="N231" s="1102"/>
      <c r="O231" s="1102"/>
      <c r="P231" s="1102"/>
      <c r="Q231" s="1102"/>
      <c r="R231" s="1102"/>
      <c r="S231" s="1102"/>
      <c r="T231" s="1102"/>
      <c r="U231" s="1102"/>
      <c r="V231" s="1103"/>
      <c r="W231" s="1102"/>
      <c r="X231" s="1103"/>
      <c r="Y231" s="1102" t="s">
        <v>1091</v>
      </c>
      <c r="Z231" s="1103" t="s">
        <v>1091</v>
      </c>
      <c r="AA231" s="1102" t="s">
        <v>1091</v>
      </c>
      <c r="AB231" s="1103" t="s">
        <v>1091</v>
      </c>
      <c r="AC231" s="1102" t="s">
        <v>1091</v>
      </c>
      <c r="AD231" s="1103" t="s">
        <v>1091</v>
      </c>
      <c r="AE231" s="1102" t="s">
        <v>1091</v>
      </c>
      <c r="AF231" s="1103" t="s">
        <v>1091</v>
      </c>
      <c r="AG231" s="1102" t="s">
        <v>1091</v>
      </c>
      <c r="AH231" s="1103" t="s">
        <v>1091</v>
      </c>
      <c r="AI231" s="1102" t="s">
        <v>1091</v>
      </c>
      <c r="AJ231" s="1103" t="s">
        <v>1091</v>
      </c>
      <c r="AK231" s="1102" t="s">
        <v>1091</v>
      </c>
      <c r="AL231" s="1103" t="s">
        <v>1091</v>
      </c>
      <c r="AM231" s="1102" t="s">
        <v>1091</v>
      </c>
      <c r="AN231" s="1103" t="s">
        <v>1091</v>
      </c>
      <c r="AO231" s="1102" t="s">
        <v>1091</v>
      </c>
      <c r="AP231" s="1103" t="s">
        <v>1091</v>
      </c>
      <c r="AQ231" s="1102" t="s">
        <v>1091</v>
      </c>
      <c r="AR231" s="1103" t="s">
        <v>1091</v>
      </c>
      <c r="AS231" s="1102" t="s">
        <v>1091</v>
      </c>
      <c r="AT231" s="1103" t="s">
        <v>1091</v>
      </c>
      <c r="AU231" s="1102" t="s">
        <v>1091</v>
      </c>
      <c r="AV231" s="1103" t="s">
        <v>1091</v>
      </c>
      <c r="AW231" s="1102" t="s">
        <v>1091</v>
      </c>
      <c r="AX231" s="1103" t="s">
        <v>1091</v>
      </c>
      <c r="AY231" s="1102" t="s">
        <v>1091</v>
      </c>
      <c r="AZ231" s="1103" t="s">
        <v>1091</v>
      </c>
      <c r="BA231" s="1102" t="s">
        <v>1091</v>
      </c>
      <c r="BB231" s="1103" t="s">
        <v>1091</v>
      </c>
      <c r="BC231" s="1102" t="s">
        <v>1092</v>
      </c>
      <c r="BD231" s="1103" t="s">
        <v>1092</v>
      </c>
      <c r="BE231" s="1102" t="s">
        <v>1092</v>
      </c>
      <c r="BF231" s="1103" t="s">
        <v>1092</v>
      </c>
      <c r="BG231" s="1102" t="s">
        <v>1092</v>
      </c>
      <c r="BH231" s="1103" t="s">
        <v>1092</v>
      </c>
      <c r="BI231" s="1102" t="s">
        <v>1092</v>
      </c>
      <c r="BJ231" s="1103" t="s">
        <v>1092</v>
      </c>
      <c r="BK231" s="1102" t="s">
        <v>1092</v>
      </c>
      <c r="BL231" s="1103" t="s">
        <v>1092</v>
      </c>
      <c r="BM231" s="1102" t="s">
        <v>1092</v>
      </c>
      <c r="BN231" s="1103" t="s">
        <v>1092</v>
      </c>
      <c r="BO231" s="1102" t="s">
        <v>1092</v>
      </c>
      <c r="BP231" s="1103" t="s">
        <v>1092</v>
      </c>
      <c r="BQ231" s="1102" t="s">
        <v>1092</v>
      </c>
      <c r="BR231" s="1103" t="s">
        <v>1092</v>
      </c>
      <c r="BS231" s="1102" t="s">
        <v>1092</v>
      </c>
      <c r="BT231" s="1103" t="s">
        <v>1092</v>
      </c>
      <c r="BU231" s="1102" t="s">
        <v>1092</v>
      </c>
      <c r="BV231" s="1103" t="s">
        <v>1092</v>
      </c>
      <c r="BW231" s="1102" t="s">
        <v>1092</v>
      </c>
      <c r="BX231" s="1103" t="s">
        <v>1092</v>
      </c>
      <c r="BY231" s="1102" t="s">
        <v>1092</v>
      </c>
      <c r="BZ231" s="1103" t="s">
        <v>1092</v>
      </c>
      <c r="CA231" s="1102" t="s">
        <v>1092</v>
      </c>
      <c r="CB231" s="1103" t="s">
        <v>1092</v>
      </c>
      <c r="CC231" s="1102" t="s">
        <v>1092</v>
      </c>
      <c r="CD231" s="1103" t="s">
        <v>1092</v>
      </c>
      <c r="CE231" s="1102" t="s">
        <v>1092</v>
      </c>
      <c r="CF231" s="1103" t="s">
        <v>1092</v>
      </c>
      <c r="CG231" s="1102" t="s">
        <v>1092</v>
      </c>
      <c r="CH231" s="1103" t="s">
        <v>1092</v>
      </c>
      <c r="CI231" s="1102" t="s">
        <v>1092</v>
      </c>
      <c r="CJ231" s="1103" t="s">
        <v>1092</v>
      </c>
    </row>
    <row r="232" spans="3:88" ht="21">
      <c r="D232" s="1104" t="s">
        <v>1187</v>
      </c>
    </row>
    <row r="233" spans="3:88" ht="14.45">
      <c r="D233" s="1105" t="s">
        <v>1225</v>
      </c>
      <c r="F233" s="1106" t="s">
        <v>1188</v>
      </c>
      <c r="G233" s="1106"/>
      <c r="H233" s="1106"/>
      <c r="I233" s="1106"/>
    </row>
    <row r="234" spans="3:88" ht="14.45">
      <c r="D234" s="1615" t="s">
        <v>1226</v>
      </c>
      <c r="E234" s="1612" t="s">
        <v>1095</v>
      </c>
      <c r="F234" s="1107" t="s">
        <v>1190</v>
      </c>
      <c r="G234" s="1107"/>
      <c r="H234" s="1107"/>
      <c r="I234" s="1107"/>
      <c r="J234" s="1108"/>
      <c r="K234" s="1108"/>
      <c r="L234" s="1108"/>
      <c r="M234" s="1108"/>
      <c r="N234" s="1108"/>
      <c r="O234" s="1108"/>
      <c r="P234" s="1108"/>
      <c r="Q234" s="1108"/>
      <c r="R234" s="1108"/>
      <c r="S234" s="1108"/>
      <c r="T234" s="1108"/>
      <c r="U234" s="1108"/>
      <c r="V234" s="1108"/>
      <c r="W234" s="1108"/>
      <c r="X234" s="1108"/>
      <c r="Y234" s="1108">
        <v>484.092169814643</v>
      </c>
      <c r="Z234" s="1108">
        <v>421.66740784356131</v>
      </c>
      <c r="AA234" s="1108">
        <v>411.8935694642023</v>
      </c>
      <c r="AB234" s="1108">
        <v>499.74116385100939</v>
      </c>
      <c r="AC234" s="1108">
        <v>447.35822487664547</v>
      </c>
      <c r="AD234" s="1108">
        <v>504.58216491116559</v>
      </c>
      <c r="AE234" s="1108">
        <v>448.78071874738743</v>
      </c>
      <c r="AF234" s="1108">
        <v>518.00035083995203</v>
      </c>
      <c r="AG234" s="1108">
        <v>463.41020134709476</v>
      </c>
      <c r="AH234" s="1108">
        <v>520.32508626066124</v>
      </c>
      <c r="AI234" s="1108">
        <v>466.86075844752941</v>
      </c>
      <c r="AJ234" s="1108">
        <v>509.36650277270553</v>
      </c>
      <c r="AK234" s="1108">
        <v>503.56753806947324</v>
      </c>
      <c r="AL234" s="1108">
        <v>455.41536455769972</v>
      </c>
      <c r="AM234" s="1108">
        <v>464.54005274780877</v>
      </c>
      <c r="AN234" s="1108">
        <v>497.19084884826111</v>
      </c>
      <c r="AO234" s="1108">
        <v>491.81397491696725</v>
      </c>
      <c r="AP234" s="1108">
        <v>542.34620468413095</v>
      </c>
      <c r="AQ234" s="1108">
        <v>512.50913258026458</v>
      </c>
      <c r="AR234" s="1108">
        <v>431.17702940512447</v>
      </c>
      <c r="AS234" s="1108">
        <v>467.94573878141352</v>
      </c>
      <c r="AT234" s="1108">
        <v>461.63786666466893</v>
      </c>
      <c r="AU234" s="1108">
        <v>408.85832602489808</v>
      </c>
      <c r="AV234" s="1108">
        <v>470.52591012540398</v>
      </c>
      <c r="AW234" s="1108">
        <v>466.73807009709765</v>
      </c>
      <c r="AX234" s="1108">
        <v>502.78207676699139</v>
      </c>
      <c r="AY234" s="1108">
        <v>404.82463148810393</v>
      </c>
      <c r="AZ234" s="1108">
        <v>416.27655745477017</v>
      </c>
      <c r="BA234" s="1108">
        <v>404.14162292965142</v>
      </c>
      <c r="BB234" s="1108">
        <v>402.2049800199988</v>
      </c>
      <c r="BC234" s="1108">
        <v>338.99822758619797</v>
      </c>
      <c r="BD234" s="1108">
        <v>369.05106507555013</v>
      </c>
      <c r="BE234" s="1108">
        <v>389.51857919406353</v>
      </c>
      <c r="BF234" s="1108">
        <v>376.60991053899073</v>
      </c>
      <c r="BG234" s="1108">
        <v>326.36703337204858</v>
      </c>
      <c r="BH234" s="1108">
        <v>354.05046513013417</v>
      </c>
      <c r="BI234" s="1108">
        <v>404.59578491770316</v>
      </c>
      <c r="BJ234" s="1108">
        <v>357.06025504148215</v>
      </c>
      <c r="BK234" s="1108">
        <v>283.51066640680619</v>
      </c>
      <c r="BL234" s="1108">
        <v>289.72311073227615</v>
      </c>
      <c r="BM234" s="1108">
        <v>429.27392883517717</v>
      </c>
      <c r="BN234" s="1108">
        <v>424.56204300865784</v>
      </c>
      <c r="BO234" s="1108">
        <v>377.160669272218</v>
      </c>
      <c r="BP234" s="1108">
        <v>352.6762544234</v>
      </c>
      <c r="BQ234" s="1108">
        <v>282.68842025855724</v>
      </c>
      <c r="BR234" s="1108">
        <v>264.25757093480502</v>
      </c>
      <c r="BS234" s="1108">
        <v>159.15559498375254</v>
      </c>
      <c r="BT234" s="1108">
        <v>169.00375519321204</v>
      </c>
      <c r="BU234" s="1108">
        <v>85.937570392879095</v>
      </c>
      <c r="BV234" s="1108">
        <v>77.343813353591102</v>
      </c>
      <c r="BW234" s="1108">
        <v>69.609432018231999</v>
      </c>
      <c r="BX234" s="1108">
        <v>62.648488816408801</v>
      </c>
      <c r="BY234" s="1108">
        <v>56.383639934767899</v>
      </c>
      <c r="BZ234" s="1108">
        <v>50.745275941291197</v>
      </c>
      <c r="CA234" s="1108">
        <v>45.670748347161997</v>
      </c>
      <c r="CB234" s="1108">
        <v>41.103673512445802</v>
      </c>
      <c r="CC234" s="1108">
        <v>36.993306161201303</v>
      </c>
      <c r="CD234" s="1108">
        <v>33.293975545081103</v>
      </c>
      <c r="CE234" s="1108">
        <v>29.964577990573002</v>
      </c>
      <c r="CF234" s="1108">
        <v>26.968120191515698</v>
      </c>
    </row>
    <row r="235" spans="3:88" ht="14.45" outlineLevel="1">
      <c r="D235" s="1611"/>
      <c r="E235" s="1619"/>
      <c r="F235" s="1107" t="s">
        <v>1191</v>
      </c>
      <c r="G235" s="1107"/>
      <c r="H235" s="1107"/>
      <c r="I235" s="1107"/>
      <c r="W235" s="1109"/>
      <c r="X235" s="1109"/>
      <c r="Y235" s="1109">
        <v>-31.619127290562567</v>
      </c>
      <c r="Z235" s="1109">
        <v>-37.509256776667023</v>
      </c>
      <c r="AA235" s="1109">
        <v>-26.90604754923908</v>
      </c>
      <c r="AB235" s="1109">
        <v>-4.2657251472604187</v>
      </c>
      <c r="AC235" s="1109">
        <v>-7.5882129950713351</v>
      </c>
      <c r="AD235" s="1109">
        <v>19.663544187974253</v>
      </c>
      <c r="AE235" s="1109">
        <v>8.9555050182425795</v>
      </c>
      <c r="AF235" s="1109">
        <v>3.6537288319891852</v>
      </c>
      <c r="AG235" s="1109">
        <v>3.5881706377200202</v>
      </c>
      <c r="AH235" s="1109">
        <v>3.1199916374902532</v>
      </c>
      <c r="AI235" s="1109">
        <v>4.0287024252303034</v>
      </c>
      <c r="AJ235" s="1109">
        <v>-1.6667649072527613</v>
      </c>
      <c r="AK235" s="1109">
        <v>8.6656134469298394</v>
      </c>
      <c r="AL235" s="1109">
        <v>-12.474839944665755</v>
      </c>
      <c r="AM235" s="1109">
        <v>-0.4970873344415942</v>
      </c>
      <c r="AN235" s="1109">
        <v>-2.3903523019607666</v>
      </c>
      <c r="AO235" s="1109">
        <v>-2.3340589422355582</v>
      </c>
      <c r="AP235" s="1109">
        <v>19.088253689213722</v>
      </c>
      <c r="AQ235" s="1109">
        <v>10.326145086675107</v>
      </c>
      <c r="AR235" s="1109">
        <v>-13.277360111526018</v>
      </c>
      <c r="AS235" s="1109">
        <v>-4.853102464114281</v>
      </c>
      <c r="AT235" s="1109">
        <v>-14.881331762332058</v>
      </c>
      <c r="AU235" s="1109">
        <v>-20.224187232240908</v>
      </c>
      <c r="AV235" s="1109">
        <v>9.1259223095830002</v>
      </c>
      <c r="AW235" s="1109">
        <v>-0.25807878654067667</v>
      </c>
      <c r="AX235" s="1109">
        <v>8.9126592667948046</v>
      </c>
      <c r="AY235" s="1109">
        <v>-0.9865751239583429</v>
      </c>
      <c r="AZ235" s="1109">
        <v>-11.5295144227393</v>
      </c>
      <c r="BA235" s="1109">
        <v>-13.411472339169592</v>
      </c>
      <c r="BB235" s="1109">
        <v>-20.004113391178798</v>
      </c>
      <c r="BC235" s="1109">
        <v>-16.260473988436232</v>
      </c>
      <c r="BD235" s="1109">
        <v>-11.344739821038626</v>
      </c>
      <c r="BE235" s="1109">
        <v>-3.6182968805797335</v>
      </c>
      <c r="BF235" s="1109">
        <v>-6.3636878587966281</v>
      </c>
      <c r="BG235" s="1109">
        <v>-3.7260354734266627</v>
      </c>
      <c r="BH235" s="1109">
        <v>-4.0646407407996819</v>
      </c>
      <c r="BI235" s="1109">
        <v>3.8707282602116777</v>
      </c>
      <c r="BJ235" s="1109">
        <v>-5.1909561990893467</v>
      </c>
      <c r="BK235" s="1109">
        <v>-13.131340663438706</v>
      </c>
      <c r="BL235" s="1109">
        <v>-18.168978926270853</v>
      </c>
      <c r="BM235" s="1109">
        <v>6.0994565038520303</v>
      </c>
      <c r="BN235" s="1109">
        <v>18.904873061084196</v>
      </c>
      <c r="BO235" s="1109">
        <v>33.032267904529029</v>
      </c>
      <c r="BP235" s="1109">
        <v>21.728726966933895</v>
      </c>
      <c r="BQ235" s="1109">
        <v>-34.147312177652068</v>
      </c>
      <c r="BR235" s="1109">
        <v>-37.757608037180049</v>
      </c>
      <c r="BS235" s="1109">
        <v>-57.801645836808866</v>
      </c>
      <c r="BT235" s="1109">
        <v>-52.079633070414431</v>
      </c>
      <c r="BU235" s="1109">
        <v>-69.599897189181846</v>
      </c>
      <c r="BV235" s="1109">
        <v>-70.7316565879308</v>
      </c>
      <c r="BW235" s="1109">
        <v>-56.263283093919433</v>
      </c>
      <c r="BX235" s="1109">
        <v>-62.930711956792628</v>
      </c>
      <c r="BY235" s="1109">
        <v>-34.390000000000086</v>
      </c>
      <c r="BZ235" s="1109">
        <v>-34.389999999999901</v>
      </c>
      <c r="CA235" s="1109">
        <v>-34.390000000000029</v>
      </c>
      <c r="CB235" s="1109">
        <v>-34.390000000000022</v>
      </c>
      <c r="CC235" s="1109">
        <v>-34.389999999999851</v>
      </c>
      <c r="CD235" s="1109">
        <v>-34.3900000000001</v>
      </c>
      <c r="CE235" s="1109">
        <v>-34.389999999999965</v>
      </c>
      <c r="CF235" s="1109">
        <v>-34.389999999999979</v>
      </c>
    </row>
    <row r="236" spans="3:88" ht="14.45" outlineLevel="1">
      <c r="D236" s="1611"/>
      <c r="E236" s="1619"/>
      <c r="F236" s="1107"/>
      <c r="G236" s="1107"/>
      <c r="H236" s="1107"/>
      <c r="I236" s="1107"/>
    </row>
    <row r="237" spans="3:88" ht="14.45">
      <c r="D237" s="1615" t="s">
        <v>1227</v>
      </c>
      <c r="E237" s="1612" t="s">
        <v>1095</v>
      </c>
      <c r="F237" s="1106" t="s">
        <v>1190</v>
      </c>
      <c r="G237" s="1106"/>
      <c r="H237" s="1106"/>
      <c r="I237" s="1106"/>
      <c r="J237" s="1108"/>
      <c r="K237" s="1108"/>
      <c r="L237" s="1108"/>
      <c r="M237" s="1108"/>
      <c r="N237" s="1108"/>
      <c r="O237" s="1108"/>
      <c r="P237" s="1108"/>
      <c r="Q237" s="1108"/>
      <c r="R237" s="1108"/>
      <c r="S237" s="1108"/>
      <c r="T237" s="1108"/>
      <c r="U237" s="1108"/>
      <c r="V237" s="1108"/>
      <c r="W237" s="1108"/>
      <c r="X237" s="1108"/>
      <c r="Y237" s="1108">
        <v>269.63685978969028</v>
      </c>
      <c r="Z237" s="1108">
        <v>309.3497083980057</v>
      </c>
      <c r="AA237" s="1108">
        <v>332.75094743446834</v>
      </c>
      <c r="AB237" s="1108">
        <v>366.1144227556818</v>
      </c>
      <c r="AC237" s="1108">
        <v>418.61554229257246</v>
      </c>
      <c r="AD237" s="1108">
        <v>439.16748371829715</v>
      </c>
      <c r="AE237" s="1108">
        <v>438.27769809510875</v>
      </c>
      <c r="AF237" s="1108">
        <v>469.21697218206521</v>
      </c>
      <c r="AG237" s="1108">
        <v>497.86764806612319</v>
      </c>
      <c r="AH237" s="1108">
        <v>523.97183710960144</v>
      </c>
      <c r="AI237" s="1108">
        <v>528.15148597916664</v>
      </c>
      <c r="AJ237" s="1108">
        <v>558.21927502264498</v>
      </c>
      <c r="AK237" s="1108">
        <v>598.89778782311805</v>
      </c>
      <c r="AL237" s="1108">
        <v>599.10488403713771</v>
      </c>
      <c r="AM237" s="1108">
        <v>605.70713929800729</v>
      </c>
      <c r="AN237" s="1108">
        <v>627.27533491250006</v>
      </c>
      <c r="AO237" s="1108">
        <v>626.48235778264745</v>
      </c>
      <c r="AP237" s="1108">
        <v>698.06798405699271</v>
      </c>
      <c r="AQ237" s="1108">
        <v>698.77701204056677</v>
      </c>
      <c r="AR237" s="1108">
        <v>727.21899795131219</v>
      </c>
      <c r="AS237" s="1108">
        <v>825.70182992879779</v>
      </c>
      <c r="AT237" s="1108">
        <v>836.39708291614352</v>
      </c>
      <c r="AU237" s="1108">
        <v>875.89012174198024</v>
      </c>
      <c r="AV237" s="1108">
        <v>906.89820535038825</v>
      </c>
      <c r="AW237" s="1108">
        <v>986.68783585973154</v>
      </c>
      <c r="AX237" s="1108">
        <v>1035.5856850157811</v>
      </c>
      <c r="AY237" s="1108">
        <v>1028.7146947071192</v>
      </c>
      <c r="AZ237" s="1108">
        <v>1054.3021969186507</v>
      </c>
      <c r="BA237" s="1108">
        <v>1131.2421478422498</v>
      </c>
      <c r="BB237" s="1108">
        <v>1127.2103253297332</v>
      </c>
      <c r="BC237" s="1108">
        <v>1124.4780114240896</v>
      </c>
      <c r="BD237" s="1108">
        <v>1180.8470323805327</v>
      </c>
      <c r="BE237" s="1108">
        <v>1198.9100065350158</v>
      </c>
      <c r="BF237" s="1108">
        <v>1223.9160298833776</v>
      </c>
      <c r="BG237" s="1108">
        <v>1211.9478378764961</v>
      </c>
      <c r="BH237" s="1108">
        <v>1272.5427939751862</v>
      </c>
      <c r="BI237" s="1108">
        <v>1268.1338232743497</v>
      </c>
      <c r="BJ237" s="1108">
        <v>1287.3503949858998</v>
      </c>
      <c r="BK237" s="1108">
        <v>1289.1540589361778</v>
      </c>
      <c r="BL237" s="1108">
        <v>1362.0734326458371</v>
      </c>
      <c r="BM237" s="1108">
        <v>1275.8613101854344</v>
      </c>
      <c r="BN237" s="1108">
        <v>1302.5058417417854</v>
      </c>
      <c r="BO237" s="1108">
        <v>1273.0673036485377</v>
      </c>
      <c r="BP237" s="1108">
        <v>1293.0218686928461</v>
      </c>
      <c r="BQ237" s="1108">
        <v>1434.3982552120724</v>
      </c>
      <c r="BR237" s="1108">
        <v>1453.695090783775</v>
      </c>
      <c r="BS237" s="1108">
        <v>1465.1393187921376</v>
      </c>
      <c r="BT237" s="1108">
        <v>1492.9571747944699</v>
      </c>
      <c r="BU237" s="1108">
        <v>1544.1175729461099</v>
      </c>
      <c r="BV237" s="1108">
        <v>1547.42189660383</v>
      </c>
      <c r="BW237" s="1108">
        <v>1559.66783608848</v>
      </c>
      <c r="BX237" s="1108">
        <v>1563.7834858599399</v>
      </c>
      <c r="BY237" s="1108">
        <v>1575.7916875686501</v>
      </c>
      <c r="BZ237" s="1108">
        <v>1576.42868921784</v>
      </c>
      <c r="CA237" s="1108">
        <v>1584.94371630926</v>
      </c>
      <c r="CB237" s="1108">
        <v>1584.85678833968</v>
      </c>
      <c r="CC237" s="1108">
        <v>1595.15200777013</v>
      </c>
      <c r="CD237" s="1108">
        <v>1593.48504836598</v>
      </c>
      <c r="CE237" s="1108">
        <v>1598.7404387378499</v>
      </c>
      <c r="CF237" s="1108">
        <v>1595.09014131001</v>
      </c>
    </row>
    <row r="238" spans="3:88" ht="14.45" hidden="1" outlineLevel="1">
      <c r="D238" s="1611"/>
      <c r="E238" s="1619"/>
      <c r="F238" s="1106" t="s">
        <v>1191</v>
      </c>
      <c r="G238" s="1106"/>
      <c r="H238" s="1106"/>
      <c r="I238" s="1106"/>
      <c r="W238" s="1109"/>
      <c r="X238" s="1109"/>
      <c r="Y238" s="1109">
        <v>110.3488018220088</v>
      </c>
      <c r="Z238" s="1109">
        <v>96.275420815098414</v>
      </c>
      <c r="AA238" s="1109">
        <v>66.740583227108218</v>
      </c>
      <c r="AB238" s="1109">
        <v>61.560929340325913</v>
      </c>
      <c r="AC238" s="1109">
        <v>55.251601216199319</v>
      </c>
      <c r="AD238" s="1109">
        <v>41.964731757002149</v>
      </c>
      <c r="AE238" s="1109">
        <v>31.713433567735443</v>
      </c>
      <c r="AF238" s="1109">
        <v>28.161291393643502</v>
      </c>
      <c r="AG238" s="1109">
        <v>18.931954924444984</v>
      </c>
      <c r="AH238" s="1109">
        <v>19.310253271324118</v>
      </c>
      <c r="AI238" s="1109">
        <v>20.506128483077589</v>
      </c>
      <c r="AJ238" s="1109">
        <v>18.96826161821895</v>
      </c>
      <c r="AK238" s="1109">
        <v>20.292569752107443</v>
      </c>
      <c r="AL238" s="1109">
        <v>14.339138405223173</v>
      </c>
      <c r="AM238" s="1109">
        <v>14.684357684813918</v>
      </c>
      <c r="AN238" s="1109">
        <v>12.370776678582752</v>
      </c>
      <c r="AO238" s="1109">
        <v>4.6058894389632297</v>
      </c>
      <c r="AP238" s="1109">
        <v>16.518493281673933</v>
      </c>
      <c r="AQ238" s="1109">
        <v>15.365490466304244</v>
      </c>
      <c r="AR238" s="1109">
        <v>15.932981495718062</v>
      </c>
      <c r="AS238" s="1109">
        <v>31.799693905389713</v>
      </c>
      <c r="AT238" s="1109">
        <v>19.815992427444879</v>
      </c>
      <c r="AU238" s="1109">
        <v>25.346155733458982</v>
      </c>
      <c r="AV238" s="1109">
        <v>24.707716369520053</v>
      </c>
      <c r="AW238" s="1109">
        <v>19.496869220311154</v>
      </c>
      <c r="AX238" s="1109">
        <v>23.815076136463293</v>
      </c>
      <c r="AY238" s="1109">
        <v>17.447916030974262</v>
      </c>
      <c r="AZ238" s="1109">
        <v>16.253642437335245</v>
      </c>
      <c r="BA238" s="1109">
        <v>14.650460533605708</v>
      </c>
      <c r="BB238" s="1109">
        <v>8.8476155705605244</v>
      </c>
      <c r="BC238" s="1109">
        <v>9.3090258367734062</v>
      </c>
      <c r="BD238" s="1109">
        <v>12.002710022963763</v>
      </c>
      <c r="BE238" s="1109">
        <v>5.9817306862051431</v>
      </c>
      <c r="BF238" s="1109">
        <v>8.5792067709596171</v>
      </c>
      <c r="BG238" s="1109">
        <v>7.7787049247526703</v>
      </c>
      <c r="BH238" s="1109">
        <v>7.7652531682955672</v>
      </c>
      <c r="BI238" s="1109">
        <v>5.7738959856877372</v>
      </c>
      <c r="BJ238" s="1109">
        <v>5.1829017313031356</v>
      </c>
      <c r="BK238" s="1109">
        <v>6.3704244231301113</v>
      </c>
      <c r="BL238" s="1109">
        <v>7.0355699701833903</v>
      </c>
      <c r="BM238" s="1109">
        <v>0.60935894692345494</v>
      </c>
      <c r="BN238" s="1109">
        <v>1.17725887333507</v>
      </c>
      <c r="BO238" s="1109">
        <v>-1.2478535964053017</v>
      </c>
      <c r="BP238" s="1109">
        <v>-5.0695918661931394</v>
      </c>
      <c r="BQ238" s="1109">
        <v>12.425876054161105</v>
      </c>
      <c r="BR238" s="1109">
        <v>11.607567827857928</v>
      </c>
      <c r="BS238" s="1109">
        <v>15.087341776285706</v>
      </c>
      <c r="BT238" s="1109">
        <v>15.462639182100171</v>
      </c>
      <c r="BU238" s="1109">
        <v>7.64915303928725</v>
      </c>
      <c r="BV238" s="1109">
        <v>6.4474872629253515</v>
      </c>
      <c r="BW238" s="1109">
        <v>6.4518449599913721</v>
      </c>
      <c r="BX238" s="1109">
        <v>4.7440283124812614</v>
      </c>
      <c r="BY238" s="1109">
        <v>2.0512760930573002</v>
      </c>
      <c r="BZ238" s="1109">
        <v>1.8745238565947675</v>
      </c>
      <c r="CA238" s="1109">
        <v>1.6205937979826417</v>
      </c>
      <c r="CB238" s="1109">
        <v>1.3475844111598119</v>
      </c>
      <c r="CC238" s="1109">
        <v>1.2286091083112449</v>
      </c>
      <c r="CD238" s="1109">
        <v>1.0819619856450782</v>
      </c>
      <c r="CE238" s="1109">
        <v>0.87048658489383268</v>
      </c>
      <c r="CF238" s="1109">
        <v>0.64569575280367786</v>
      </c>
    </row>
    <row r="239" spans="3:88" ht="14.45" hidden="1" outlineLevel="1" collapsed="1">
      <c r="D239" s="1611"/>
      <c r="E239" s="1619"/>
      <c r="F239" s="1106"/>
      <c r="G239" s="1106"/>
      <c r="H239" s="1106"/>
      <c r="I239" s="1106"/>
    </row>
    <row r="240" spans="3:88" ht="14.45" collapsed="1">
      <c r="D240" s="1614" t="s">
        <v>1228</v>
      </c>
      <c r="E240" s="1612" t="s">
        <v>1095</v>
      </c>
      <c r="F240" s="1107" t="s">
        <v>1190</v>
      </c>
      <c r="G240" s="1107"/>
      <c r="H240" s="1107"/>
      <c r="I240" s="1107"/>
      <c r="J240" s="1108"/>
      <c r="K240" s="1108"/>
      <c r="L240" s="1108"/>
      <c r="M240" s="1108"/>
      <c r="N240" s="1108"/>
      <c r="O240" s="1108"/>
      <c r="P240" s="1108"/>
      <c r="Q240" s="1108"/>
      <c r="R240" s="1108"/>
      <c r="S240" s="1108"/>
      <c r="T240" s="1108"/>
      <c r="U240" s="1108"/>
      <c r="V240" s="1108"/>
      <c r="W240" s="1108"/>
      <c r="X240" s="1108"/>
      <c r="Y240" s="1108">
        <v>724.94324590972349</v>
      </c>
      <c r="Z240" s="1108">
        <v>693.39988738262105</v>
      </c>
      <c r="AA240" s="1108">
        <v>720.33691471789177</v>
      </c>
      <c r="AB240" s="1108">
        <v>829.79075088303796</v>
      </c>
      <c r="AC240" s="1108">
        <v>1002.2667767125405</v>
      </c>
      <c r="AD240" s="1108">
        <v>1093.8022226022076</v>
      </c>
      <c r="AE240" s="1108">
        <v>1023.6611561538501</v>
      </c>
      <c r="AF240" s="1108">
        <v>1133.0298601985164</v>
      </c>
      <c r="AG240" s="1108">
        <v>1063.7951449853524</v>
      </c>
      <c r="AH240" s="1108">
        <v>1159.8265231291025</v>
      </c>
      <c r="AI240" s="1108">
        <v>1105.2937697952827</v>
      </c>
      <c r="AJ240" s="1108">
        <v>1163.0554752205605</v>
      </c>
      <c r="AK240" s="1108">
        <v>1183.7150006977924</v>
      </c>
      <c r="AL240" s="1108">
        <v>1144.2211571910475</v>
      </c>
      <c r="AM240" s="1108">
        <v>1159.3433266562149</v>
      </c>
      <c r="AN240" s="1108">
        <v>1196.1277465292044</v>
      </c>
      <c r="AO240" s="1108">
        <v>1211.1148436137405</v>
      </c>
      <c r="AP240" s="1108">
        <v>1318.6755793559555</v>
      </c>
      <c r="AQ240" s="1108">
        <v>1328.0267360169219</v>
      </c>
      <c r="AR240" s="1108">
        <v>1216.3125696720085</v>
      </c>
      <c r="AS240" s="1108">
        <v>1327.9657973958531</v>
      </c>
      <c r="AT240" s="1108">
        <v>1378.690062229108</v>
      </c>
      <c r="AU240" s="1108">
        <v>1373.175799006747</v>
      </c>
      <c r="AV240" s="1108">
        <v>1431.0877225073475</v>
      </c>
      <c r="AW240" s="1108">
        <v>1450.3906538844835</v>
      </c>
      <c r="AX240" s="1108">
        <v>1567.1548808033531</v>
      </c>
      <c r="AY240" s="1108">
        <v>1500.8621785946084</v>
      </c>
      <c r="AZ240" s="1108">
        <v>1558.8134430698194</v>
      </c>
      <c r="BA240" s="1108">
        <v>1533.493076745734</v>
      </c>
      <c r="BB240" s="1108">
        <v>1480.3327063255406</v>
      </c>
      <c r="BC240" s="1108">
        <v>1441.9446340053012</v>
      </c>
      <c r="BD240" s="1108">
        <v>1505.3282016599155</v>
      </c>
      <c r="BE240" s="1108">
        <v>1548.5911242481661</v>
      </c>
      <c r="BF240" s="1108">
        <v>1544.2762170900867</v>
      </c>
      <c r="BG240" s="1108">
        <v>1511.3557125325678</v>
      </c>
      <c r="BH240" s="1108">
        <v>1576.2113377376133</v>
      </c>
      <c r="BI240" s="1108">
        <v>1645.0107207170427</v>
      </c>
      <c r="BJ240" s="1108">
        <v>1609.7127268877746</v>
      </c>
      <c r="BK240" s="1108">
        <v>1562.7213034826586</v>
      </c>
      <c r="BL240" s="1108">
        <v>1618.813245644872</v>
      </c>
      <c r="BM240" s="1108">
        <v>1705.13523902061</v>
      </c>
      <c r="BN240" s="1108">
        <v>1727.067884750445</v>
      </c>
      <c r="BO240" s="1108">
        <v>1650.2279729207567</v>
      </c>
      <c r="BP240" s="1108">
        <v>1645.6981231162467</v>
      </c>
      <c r="BQ240" s="1108">
        <v>1717.0866754706326</v>
      </c>
      <c r="BR240" s="1108">
        <v>1717.95266171858</v>
      </c>
      <c r="BS240" s="1108">
        <v>1624.2949137758926</v>
      </c>
      <c r="BT240" s="1108">
        <v>1661.9609299876849</v>
      </c>
      <c r="BU240" s="1108">
        <v>1630.0551433389901</v>
      </c>
      <c r="BV240" s="1108">
        <v>1624.7657099574301</v>
      </c>
      <c r="BW240" s="1108">
        <v>1629.2772681067099</v>
      </c>
      <c r="BX240" s="1108">
        <v>1626.4319746763499</v>
      </c>
      <c r="BY240" s="1108">
        <v>1632.17532750341</v>
      </c>
      <c r="BZ240" s="1108">
        <v>1627.1739651591299</v>
      </c>
      <c r="CA240" s="1108">
        <v>1630.6144646564301</v>
      </c>
      <c r="CB240" s="1108">
        <v>1625.96046185212</v>
      </c>
      <c r="CC240" s="1108">
        <v>1632.1453139313301</v>
      </c>
      <c r="CD240" s="1108">
        <v>1626.77902391106</v>
      </c>
      <c r="CE240" s="1108">
        <v>1628.7050167284201</v>
      </c>
      <c r="CF240" s="1108">
        <v>1622.0582615015201</v>
      </c>
    </row>
    <row r="241" spans="4:84" ht="14.45" hidden="1" outlineLevel="1">
      <c r="D241" s="1611"/>
      <c r="E241" s="1619"/>
      <c r="F241" s="1107" t="s">
        <v>1191</v>
      </c>
      <c r="G241" s="1107"/>
      <c r="H241" s="1107"/>
      <c r="I241" s="1107"/>
      <c r="W241" s="1109"/>
      <c r="X241" s="1109"/>
      <c r="Y241" s="1109">
        <v>-4.9452057391632831</v>
      </c>
      <c r="Z241" s="1109">
        <v>-8.762604238400213</v>
      </c>
      <c r="AA241" s="1109">
        <v>3.4285376924823403</v>
      </c>
      <c r="AB241" s="1109">
        <v>21.69364880254583</v>
      </c>
      <c r="AC241" s="1109">
        <v>38.254516111093182</v>
      </c>
      <c r="AD241" s="1109">
        <v>57.744793805921525</v>
      </c>
      <c r="AE241" s="1109">
        <v>42.108662660270625</v>
      </c>
      <c r="AF241" s="1109">
        <v>36.544045470834746</v>
      </c>
      <c r="AG241" s="1109">
        <v>6.1389212635209232</v>
      </c>
      <c r="AH241" s="1109">
        <v>6.0362192691307497</v>
      </c>
      <c r="AI241" s="1109">
        <v>7.9745737298606372</v>
      </c>
      <c r="AJ241" s="1109">
        <v>2.6500285717786274</v>
      </c>
      <c r="AK241" s="1109">
        <v>11.272833522293546</v>
      </c>
      <c r="AL241" s="1109">
        <v>-1.3454913840005311</v>
      </c>
      <c r="AM241" s="1109">
        <v>4.8900625641763069</v>
      </c>
      <c r="AN241" s="1109">
        <v>2.843567827439363</v>
      </c>
      <c r="AO241" s="1109">
        <v>2.3147330987438717</v>
      </c>
      <c r="AP241" s="1109">
        <v>15.246564972909326</v>
      </c>
      <c r="AQ241" s="1109">
        <v>14.549909891423161</v>
      </c>
      <c r="AR241" s="1109">
        <v>1.6875139968430879</v>
      </c>
      <c r="AS241" s="1109">
        <v>9.6482141555999057</v>
      </c>
      <c r="AT241" s="1109">
        <v>4.5511180924775827</v>
      </c>
      <c r="AU241" s="1109">
        <v>3.3997103947800191</v>
      </c>
      <c r="AV241" s="1109">
        <v>17.657891416287459</v>
      </c>
      <c r="AW241" s="1109">
        <v>9.2189766279151257</v>
      </c>
      <c r="AX241" s="1109">
        <v>13.66984674347543</v>
      </c>
      <c r="AY241" s="1109">
        <v>9.2986185512605353</v>
      </c>
      <c r="AZ241" s="1109">
        <v>8.9250797525318113</v>
      </c>
      <c r="BA241" s="1109">
        <v>5.7296579124171041</v>
      </c>
      <c r="BB241" s="1109">
        <v>-5.5401144801530924</v>
      </c>
      <c r="BC241" s="1109">
        <v>-3.9255799386241441</v>
      </c>
      <c r="BD241" s="1109">
        <v>-3.4311508954255459</v>
      </c>
      <c r="BE241" s="1109">
        <v>0.98455270071854983</v>
      </c>
      <c r="BF241" s="1109">
        <v>4.3195364455106651</v>
      </c>
      <c r="BG241" s="1109">
        <v>4.813713154468557</v>
      </c>
      <c r="BH241" s="1109">
        <v>4.708816057490683</v>
      </c>
      <c r="BI241" s="1109">
        <v>6.2262785159438261</v>
      </c>
      <c r="BJ241" s="1109">
        <v>4.2373578685936986</v>
      </c>
      <c r="BK241" s="1109">
        <v>3.3986433851510602</v>
      </c>
      <c r="BL241" s="1109">
        <v>2.7028043059509126</v>
      </c>
      <c r="BM241" s="1109">
        <v>3.654962095162499</v>
      </c>
      <c r="BN241" s="1109">
        <v>7.2904410769967276</v>
      </c>
      <c r="BO241" s="1109">
        <v>5.5996337442307782</v>
      </c>
      <c r="BP241" s="1109">
        <v>1.6607769638470438</v>
      </c>
      <c r="BQ241" s="1109">
        <v>0.700908419257537</v>
      </c>
      <c r="BR241" s="1109">
        <v>-0.52778603043633032</v>
      </c>
      <c r="BS241" s="1109">
        <v>-1.5714834295872975</v>
      </c>
      <c r="BT241" s="1109">
        <v>0.98820109490332475</v>
      </c>
      <c r="BU241" s="1109">
        <v>-5.068557887899761</v>
      </c>
      <c r="BV241" s="1109">
        <v>-5.4243026503378102</v>
      </c>
      <c r="BW241" s="1109">
        <v>0.30673951439244251</v>
      </c>
      <c r="BX241" s="1109">
        <v>-2.1377731973277077</v>
      </c>
      <c r="BY241" s="1109">
        <v>0.13006824788006613</v>
      </c>
      <c r="BZ241" s="1109">
        <v>0.1482216904837885</v>
      </c>
      <c r="CA241" s="1109">
        <v>8.2072988796684496E-2</v>
      </c>
      <c r="CB241" s="1109">
        <v>-2.8990626818173829E-2</v>
      </c>
      <c r="CC241" s="1109">
        <v>-1.8388693649634277E-3</v>
      </c>
      <c r="CD241" s="1109">
        <v>-2.4271605650432293E-2</v>
      </c>
      <c r="CE241" s="1109">
        <v>-0.11709990125791554</v>
      </c>
      <c r="CF241" s="1109">
        <v>-0.23999355717143331</v>
      </c>
    </row>
    <row r="242" spans="4:84" ht="14.45" hidden="1" outlineLevel="1" collapsed="1">
      <c r="D242" s="1611"/>
      <c r="E242" s="1619"/>
      <c r="F242" s="1107"/>
      <c r="G242" s="1107"/>
      <c r="H242" s="1107"/>
      <c r="I242" s="1107"/>
    </row>
    <row r="243" spans="4:84" ht="14.45" collapsed="1">
      <c r="D243" s="1615" t="s">
        <v>1229</v>
      </c>
      <c r="E243" s="1612" t="s">
        <v>1095</v>
      </c>
      <c r="F243" s="1106" t="s">
        <v>1190</v>
      </c>
      <c r="G243" s="1106"/>
      <c r="H243" s="1106"/>
      <c r="I243" s="1106"/>
      <c r="J243" s="1108"/>
      <c r="K243" s="1108"/>
      <c r="L243" s="1108"/>
      <c r="M243" s="1108"/>
      <c r="N243" s="1108"/>
      <c r="O243" s="1108"/>
      <c r="P243" s="1108"/>
      <c r="Q243" s="1108"/>
      <c r="R243" s="1108"/>
      <c r="S243" s="1108"/>
      <c r="T243" s="1108"/>
      <c r="U243" s="1108"/>
      <c r="V243" s="1108"/>
      <c r="W243" s="1108"/>
      <c r="X243" s="1108"/>
      <c r="Y243" s="1108">
        <v>3272.4791078971598</v>
      </c>
      <c r="Z243" s="1108">
        <v>3548.3867134988582</v>
      </c>
      <c r="AA243" s="1108">
        <v>3159.4856565317782</v>
      </c>
      <c r="AB243" s="1108">
        <v>3506.7537053178812</v>
      </c>
      <c r="AC243" s="1108">
        <v>2776.8024808704508</v>
      </c>
      <c r="AD243" s="1108">
        <v>3013.6218358324654</v>
      </c>
      <c r="AE243" s="1108">
        <v>2662.9364148358814</v>
      </c>
      <c r="AF243" s="1108">
        <v>2872.7485207371888</v>
      </c>
      <c r="AG243" s="1108">
        <v>2247.7271885893133</v>
      </c>
      <c r="AH243" s="1108">
        <v>2500.7421934721792</v>
      </c>
      <c r="AI243" s="1108">
        <v>2210.0779234506072</v>
      </c>
      <c r="AJ243" s="1108">
        <v>2214.0285121645111</v>
      </c>
      <c r="AK243" s="1108">
        <v>1936.4833786981578</v>
      </c>
      <c r="AL243" s="1108">
        <v>2012.9888827389095</v>
      </c>
      <c r="AM243" s="1108">
        <v>1870.993085200116</v>
      </c>
      <c r="AN243" s="1108">
        <v>1879.0492934853557</v>
      </c>
      <c r="AO243" s="1108">
        <v>1668.4989077163782</v>
      </c>
      <c r="AP243" s="1108">
        <v>1828.8764073290165</v>
      </c>
      <c r="AQ243" s="1108">
        <v>1514.9371679329827</v>
      </c>
      <c r="AR243" s="1108">
        <v>1262.8268913469205</v>
      </c>
      <c r="AS243" s="1108">
        <v>1206.322924948151</v>
      </c>
      <c r="AT243" s="1108">
        <v>1427.1163933239648</v>
      </c>
      <c r="AU243" s="1108">
        <v>1212.5233676782807</v>
      </c>
      <c r="AV243" s="1108">
        <v>1218.8035742716754</v>
      </c>
      <c r="AW243" s="1108">
        <v>1095.4064700894535</v>
      </c>
      <c r="AX243" s="1108">
        <v>1224.0907290723128</v>
      </c>
      <c r="AY243" s="1108">
        <v>946.68695143529442</v>
      </c>
      <c r="AZ243" s="1108">
        <v>906.97038114778979</v>
      </c>
      <c r="BA243" s="1108">
        <v>762.81037978164488</v>
      </c>
      <c r="BB243" s="1108">
        <v>829.55158414586833</v>
      </c>
      <c r="BC243" s="1108">
        <v>670.93678211555755</v>
      </c>
      <c r="BD243" s="1108">
        <v>609.28059969034609</v>
      </c>
      <c r="BE243" s="1108">
        <v>592.16503539194321</v>
      </c>
      <c r="BF243" s="1108">
        <v>639.17187985751661</v>
      </c>
      <c r="BG243" s="1108">
        <v>516.25707374334036</v>
      </c>
      <c r="BH243" s="1108">
        <v>488.62319031746705</v>
      </c>
      <c r="BI243" s="1108">
        <v>481.90614091334822</v>
      </c>
      <c r="BJ243" s="1108">
        <v>499.26694402057598</v>
      </c>
      <c r="BK243" s="1108">
        <v>411.46840110257938</v>
      </c>
      <c r="BL243" s="1108">
        <v>412.57947631479044</v>
      </c>
      <c r="BM243" s="1108">
        <v>372.66709443269667</v>
      </c>
      <c r="BN243" s="1108">
        <v>395.14888363169132</v>
      </c>
      <c r="BO243" s="1108">
        <v>337.22325769464317</v>
      </c>
      <c r="BP243" s="1108">
        <v>354.53794815111286</v>
      </c>
      <c r="BQ243" s="1108">
        <v>347.93189861703701</v>
      </c>
      <c r="BR243" s="1108">
        <v>382.98573945318549</v>
      </c>
      <c r="BS243" s="1108">
        <v>308.556657637277</v>
      </c>
      <c r="BT243" s="1108">
        <v>318.72608838874623</v>
      </c>
      <c r="BU243" s="1108">
        <v>169.04833169139999</v>
      </c>
      <c r="BV243" s="1108">
        <v>183.47551665350699</v>
      </c>
      <c r="BW243" s="1108">
        <v>136.73703813958701</v>
      </c>
      <c r="BX243" s="1108">
        <v>142.98920151614999</v>
      </c>
      <c r="BY243" s="1108">
        <v>126.78624876855</v>
      </c>
      <c r="BZ243" s="1108">
        <v>137.60663749013</v>
      </c>
      <c r="CA243" s="1108">
        <v>102.552778604691</v>
      </c>
      <c r="CB243" s="1108">
        <v>107.241901137112</v>
      </c>
      <c r="CC243" s="1108">
        <v>95.089686576412205</v>
      </c>
      <c r="CD243" s="1108">
        <v>103.20497811759699</v>
      </c>
      <c r="CE243" s="1108">
        <v>76.914583953517905</v>
      </c>
      <c r="CF243" s="1108">
        <v>80.431425852834394</v>
      </c>
    </row>
    <row r="244" spans="4:84" ht="14.45" hidden="1" outlineLevel="1">
      <c r="D244" s="1611"/>
      <c r="E244" s="1619"/>
      <c r="F244" s="1106" t="s">
        <v>1191</v>
      </c>
      <c r="G244" s="1106"/>
      <c r="H244" s="1106"/>
      <c r="I244" s="1106"/>
      <c r="W244" s="1109"/>
      <c r="X244" s="1109"/>
      <c r="Y244" s="1109">
        <v>-21.315207619484699</v>
      </c>
      <c r="Z244" s="1109">
        <v>-18.16547991302555</v>
      </c>
      <c r="AA244" s="1109">
        <v>-18.587700257457502</v>
      </c>
      <c r="AB244" s="1109">
        <v>-7.9374916778647249</v>
      </c>
      <c r="AC244" s="1109">
        <v>-15.146823270178873</v>
      </c>
      <c r="AD244" s="1109">
        <v>-15.070648180256885</v>
      </c>
      <c r="AE244" s="1109">
        <v>-15.716141665949751</v>
      </c>
      <c r="AF244" s="1109">
        <v>-18.079547007229042</v>
      </c>
      <c r="AG244" s="1109">
        <v>-19.053400302180911</v>
      </c>
      <c r="AH244" s="1109">
        <v>-17.018712708477945</v>
      </c>
      <c r="AI244" s="1109">
        <v>-17.005982150466938</v>
      </c>
      <c r="AJ244" s="1109">
        <v>-22.929957280202188</v>
      </c>
      <c r="AK244" s="1109">
        <v>-13.847045649988063</v>
      </c>
      <c r="AL244" s="1109">
        <v>-19.504342031196906</v>
      </c>
      <c r="AM244" s="1109">
        <v>-15.342664376334575</v>
      </c>
      <c r="AN244" s="1109">
        <v>-15.129851166716367</v>
      </c>
      <c r="AO244" s="1109">
        <v>-13.838717849565944</v>
      </c>
      <c r="AP244" s="1109">
        <v>-9.1462241539747708</v>
      </c>
      <c r="AQ244" s="1109">
        <v>-19.030317112532277</v>
      </c>
      <c r="AR244" s="1109">
        <v>-32.794371295892653</v>
      </c>
      <c r="AS244" s="1109">
        <v>-27.700107002215113</v>
      </c>
      <c r="AT244" s="1109">
        <v>-21.967586896251913</v>
      </c>
      <c r="AU244" s="1109">
        <v>-19.962134843342895</v>
      </c>
      <c r="AV244" s="1109">
        <v>-3.4860927793745535</v>
      </c>
      <c r="AW244" s="1109">
        <v>-9.1945906493872567</v>
      </c>
      <c r="AX244" s="1109">
        <v>-14.226286321242181</v>
      </c>
      <c r="AY244" s="1109">
        <v>-21.924230355412067</v>
      </c>
      <c r="AZ244" s="1109">
        <v>-25.585188598599974</v>
      </c>
      <c r="BA244" s="1109">
        <v>-30.36280133352216</v>
      </c>
      <c r="BB244" s="1109">
        <v>-32.231201132080237</v>
      </c>
      <c r="BC244" s="1109">
        <v>-29.127914872140735</v>
      </c>
      <c r="BD244" s="1109">
        <v>-32.822436944491081</v>
      </c>
      <c r="BE244" s="1109">
        <v>-22.370611217764111</v>
      </c>
      <c r="BF244" s="1109">
        <v>-22.949712582897721</v>
      </c>
      <c r="BG244" s="1109">
        <v>-23.054289538947383</v>
      </c>
      <c r="BH244" s="1109">
        <v>-19.803258044684274</v>
      </c>
      <c r="BI244" s="1109">
        <v>-18.619622552624477</v>
      </c>
      <c r="BJ244" s="1109">
        <v>-21.888468539656042</v>
      </c>
      <c r="BK244" s="1109">
        <v>-20.297769845737196</v>
      </c>
      <c r="BL244" s="1109">
        <v>-15.562854058005243</v>
      </c>
      <c r="BM244" s="1109">
        <v>-22.668116715344759</v>
      </c>
      <c r="BN244" s="1109">
        <v>-20.854186650216864</v>
      </c>
      <c r="BO244" s="1109">
        <v>-18.043947775573375</v>
      </c>
      <c r="BP244" s="1109">
        <v>-14.067963021842846</v>
      </c>
      <c r="BQ244" s="1109">
        <v>-6.6373436735308058</v>
      </c>
      <c r="BR244" s="1109">
        <v>-3.0781168016262961</v>
      </c>
      <c r="BS244" s="1109">
        <v>-8.5007778684481696</v>
      </c>
      <c r="BT244" s="1109">
        <v>-10.100994815681261</v>
      </c>
      <c r="BU244" s="1109">
        <v>-51.413385101126138</v>
      </c>
      <c r="BV244" s="1109">
        <v>-52.093381618995181</v>
      </c>
      <c r="BW244" s="1109">
        <v>-55.684949666414951</v>
      </c>
      <c r="BX244" s="1109">
        <v>-55.137277202816279</v>
      </c>
      <c r="BY244" s="1109">
        <v>-25</v>
      </c>
      <c r="BZ244" s="1109">
        <v>-25.000000000000135</v>
      </c>
      <c r="CA244" s="1109">
        <v>-24.99999999999946</v>
      </c>
      <c r="CB244" s="1109">
        <v>-25.000000000000348</v>
      </c>
      <c r="CC244" s="1109">
        <v>-25.000000000000227</v>
      </c>
      <c r="CD244" s="1109">
        <v>-25.000000000000366</v>
      </c>
      <c r="CE244" s="1109">
        <v>-25.000000000000338</v>
      </c>
      <c r="CF244" s="1109">
        <v>-24.999999999999627</v>
      </c>
    </row>
    <row r="245" spans="4:84" ht="14.45" hidden="1" outlineLevel="1" collapsed="1">
      <c r="D245" s="1611"/>
      <c r="E245" s="1619"/>
      <c r="F245" s="1106"/>
      <c r="G245" s="1106"/>
      <c r="H245" s="1106"/>
      <c r="I245" s="1106"/>
    </row>
    <row r="246" spans="4:84" ht="14.45" collapsed="1">
      <c r="D246" s="1615" t="s">
        <v>1230</v>
      </c>
      <c r="E246" s="1612" t="s">
        <v>1095</v>
      </c>
      <c r="F246" s="1107" t="s">
        <v>1190</v>
      </c>
      <c r="G246" s="1107"/>
      <c r="H246" s="1107"/>
      <c r="I246" s="1107"/>
      <c r="J246" s="1108"/>
      <c r="K246" s="1108"/>
      <c r="L246" s="1108"/>
      <c r="M246" s="1108"/>
      <c r="N246" s="1108"/>
      <c r="O246" s="1108"/>
      <c r="P246" s="1108"/>
      <c r="Q246" s="1108"/>
      <c r="R246" s="1108"/>
      <c r="S246" s="1108"/>
      <c r="T246" s="1108"/>
      <c r="U246" s="1108"/>
      <c r="V246" s="1108"/>
      <c r="W246" s="1108"/>
      <c r="X246" s="1108"/>
      <c r="Y246" s="1108">
        <v>1510.984652201395</v>
      </c>
      <c r="Z246" s="1108">
        <v>1654.367190673428</v>
      </c>
      <c r="AA246" s="1108">
        <v>1827.249752562567</v>
      </c>
      <c r="AB246" s="1108">
        <v>2090.7183541060381</v>
      </c>
      <c r="AC246" s="1108">
        <v>2285.3392454705831</v>
      </c>
      <c r="AD246" s="1108">
        <v>2451.8753157041378</v>
      </c>
      <c r="AE246" s="1108">
        <v>2646.3686969975201</v>
      </c>
      <c r="AF246" s="1108">
        <v>2975.2357035244127</v>
      </c>
      <c r="AG246" s="1108">
        <v>3235.8644983207532</v>
      </c>
      <c r="AH246" s="1108">
        <v>3423.5220813952956</v>
      </c>
      <c r="AI246" s="1108">
        <v>3750.6286204096837</v>
      </c>
      <c r="AJ246" s="1108">
        <v>4119.6407435457268</v>
      </c>
      <c r="AK246" s="1108">
        <v>4417.1601410598305</v>
      </c>
      <c r="AL246" s="1108">
        <v>4583.9193397147174</v>
      </c>
      <c r="AM246" s="1108">
        <v>4868.2323394841424</v>
      </c>
      <c r="AN246" s="1108">
        <v>5386.9782767150409</v>
      </c>
      <c r="AO246" s="1108">
        <v>5529.5967925401173</v>
      </c>
      <c r="AP246" s="1108">
        <v>5831.8263086453671</v>
      </c>
      <c r="AQ246" s="1108">
        <v>6085.2372416589815</v>
      </c>
      <c r="AR246" s="1108">
        <v>6424.2016361840151</v>
      </c>
      <c r="AS246" s="1108">
        <v>6694.9386227380055</v>
      </c>
      <c r="AT246" s="1108">
        <v>7063.9012301063131</v>
      </c>
      <c r="AU246" s="1108">
        <v>7421.6164754291458</v>
      </c>
      <c r="AV246" s="1108">
        <v>8016.4673329722364</v>
      </c>
      <c r="AW246" s="1108">
        <v>8227.5587112677749</v>
      </c>
      <c r="AX246" s="1108">
        <v>8416.6418664524954</v>
      </c>
      <c r="AY246" s="1108">
        <v>8701.4871182841489</v>
      </c>
      <c r="AZ246" s="1108">
        <v>9198.1866375030058</v>
      </c>
      <c r="BA246" s="1108">
        <v>9176.7888825484297</v>
      </c>
      <c r="BB246" s="1108">
        <v>9458.8827885756073</v>
      </c>
      <c r="BC246" s="1108">
        <v>9873.079271903709</v>
      </c>
      <c r="BD246" s="1108">
        <v>10368.148215894378</v>
      </c>
      <c r="BE246" s="1108">
        <v>10332.419042371066</v>
      </c>
      <c r="BF246" s="1108">
        <v>10588.582226367389</v>
      </c>
      <c r="BG246" s="1108">
        <v>10978.442778253388</v>
      </c>
      <c r="BH246" s="1108">
        <v>11506.725402682652</v>
      </c>
      <c r="BI246" s="1108">
        <v>11478.3105092715</v>
      </c>
      <c r="BJ246" s="1108">
        <v>11778.1090637904</v>
      </c>
      <c r="BK246" s="1108">
        <v>12192.455257180343</v>
      </c>
      <c r="BL246" s="1108">
        <v>12745.110497621465</v>
      </c>
      <c r="BM246" s="1108">
        <v>12963.868083725367</v>
      </c>
      <c r="BN246" s="1108">
        <v>13351.660093682651</v>
      </c>
      <c r="BO246" s="1108">
        <v>13777.991662594966</v>
      </c>
      <c r="BP246" s="1108">
        <v>14365.305970740499</v>
      </c>
      <c r="BQ246" s="1108">
        <v>14351.345197834526</v>
      </c>
      <c r="BR246" s="1108">
        <v>14607.593709848825</v>
      </c>
      <c r="BS246" s="1108">
        <v>15091.687953572075</v>
      </c>
      <c r="BT246" s="1108">
        <v>15817.484264434899</v>
      </c>
      <c r="BU246" s="1108">
        <v>17778.346163409002</v>
      </c>
      <c r="BV246" s="1108">
        <v>18736.5780521651</v>
      </c>
      <c r="BW246" s="1108">
        <v>19420.803410451899</v>
      </c>
      <c r="BX246" s="1108">
        <v>19915.340011619501</v>
      </c>
      <c r="BY246" s="1108">
        <v>19987.461173164102</v>
      </c>
      <c r="BZ246" s="1108">
        <v>20996.1128648659</v>
      </c>
      <c r="CA246" s="1108">
        <v>21714.361438904201</v>
      </c>
      <c r="CB246" s="1108">
        <v>22231.583463781099</v>
      </c>
      <c r="CC246" s="1108">
        <v>22299.133967947499</v>
      </c>
      <c r="CD246" s="1108">
        <v>23350.092161015298</v>
      </c>
      <c r="CE246" s="1108">
        <v>24096.1773992454</v>
      </c>
      <c r="CF246" s="1108">
        <v>24631.234767979</v>
      </c>
    </row>
    <row r="247" spans="4:84" ht="14.45" hidden="1" outlineLevel="1">
      <c r="D247" s="1611"/>
      <c r="E247" s="1619"/>
      <c r="F247" s="1107" t="s">
        <v>1191</v>
      </c>
      <c r="G247" s="1107"/>
      <c r="H247" s="1107"/>
      <c r="I247" s="1107"/>
      <c r="W247" s="1109"/>
      <c r="X247" s="1109"/>
      <c r="Y247" s="1109">
        <v>60.214628536551999</v>
      </c>
      <c r="Z247" s="1109">
        <v>46.362522159507996</v>
      </c>
      <c r="AA247" s="1109">
        <v>46.452405387085825</v>
      </c>
      <c r="AB247" s="1109">
        <v>42.939348011695863</v>
      </c>
      <c r="AC247" s="1109">
        <v>51.248342737367302</v>
      </c>
      <c r="AD247" s="1109">
        <v>48.206234355147934</v>
      </c>
      <c r="AE247" s="1109">
        <v>44.82796855143674</v>
      </c>
      <c r="AF247" s="1109">
        <v>42.30686298234474</v>
      </c>
      <c r="AG247" s="1109">
        <v>41.592304281916086</v>
      </c>
      <c r="AH247" s="1109">
        <v>39.628718453495949</v>
      </c>
      <c r="AI247" s="1109">
        <v>41.727364923301096</v>
      </c>
      <c r="AJ247" s="1109">
        <v>38.46434884690553</v>
      </c>
      <c r="AK247" s="1109">
        <v>36.50633836342989</v>
      </c>
      <c r="AL247" s="1109">
        <v>33.894837852089701</v>
      </c>
      <c r="AM247" s="1109">
        <v>29.797770778818993</v>
      </c>
      <c r="AN247" s="1109">
        <v>30.763302240732077</v>
      </c>
      <c r="AO247" s="1109">
        <v>25.184431081400067</v>
      </c>
      <c r="AP247" s="1109">
        <v>27.223580443898342</v>
      </c>
      <c r="AQ247" s="1109">
        <v>24.998907556326657</v>
      </c>
      <c r="AR247" s="1109">
        <v>19.254270319825181</v>
      </c>
      <c r="AS247" s="1109">
        <v>21.074625762406953</v>
      </c>
      <c r="AT247" s="1109">
        <v>21.126742400308824</v>
      </c>
      <c r="AU247" s="1109">
        <v>21.961004652726331</v>
      </c>
      <c r="AV247" s="1109">
        <v>24.785425286464534</v>
      </c>
      <c r="AW247" s="1109">
        <v>22.892220151571443</v>
      </c>
      <c r="AX247" s="1109">
        <v>19.150050266569529</v>
      </c>
      <c r="AY247" s="1109">
        <v>17.2451735695625</v>
      </c>
      <c r="AZ247" s="1109">
        <v>14.741147882812214</v>
      </c>
      <c r="BA247" s="1109">
        <v>11.537203253021685</v>
      </c>
      <c r="BB247" s="1109">
        <v>12.383096948408033</v>
      </c>
      <c r="BC247" s="1109">
        <v>13.464274987636676</v>
      </c>
      <c r="BD247" s="1109">
        <v>12.719480746576556</v>
      </c>
      <c r="BE247" s="1109">
        <v>12.592968789118677</v>
      </c>
      <c r="BF247" s="1109">
        <v>11.943265003307021</v>
      </c>
      <c r="BG247" s="1109">
        <v>11.195732110601645</v>
      </c>
      <c r="BH247" s="1109">
        <v>10.981490263061966</v>
      </c>
      <c r="BI247" s="1109">
        <v>11.090253523413779</v>
      </c>
      <c r="BJ247" s="1109">
        <v>11.234052038250075</v>
      </c>
      <c r="BK247" s="1109">
        <v>11.058148258801587</v>
      </c>
      <c r="BL247" s="1109">
        <v>10.762272076555316</v>
      </c>
      <c r="BM247" s="1109">
        <v>12.942301685025178</v>
      </c>
      <c r="BN247" s="1109">
        <v>13.359963143233578</v>
      </c>
      <c r="BO247" s="1109">
        <v>13.004242147871519</v>
      </c>
      <c r="BP247" s="1109">
        <v>12.712290516597724</v>
      </c>
      <c r="BQ247" s="1109">
        <v>10.702647582869</v>
      </c>
      <c r="BR247" s="1109">
        <v>9.4065727209489101</v>
      </c>
      <c r="BS247" s="1109">
        <v>9.5347444181112593</v>
      </c>
      <c r="BT247" s="1109">
        <v>10.108926998507526</v>
      </c>
      <c r="BU247" s="1109">
        <v>23.879301336097583</v>
      </c>
      <c r="BV247" s="1109">
        <v>28.266013036304567</v>
      </c>
      <c r="BW247" s="1109">
        <v>28.685429159401348</v>
      </c>
      <c r="BX247" s="1109">
        <v>25.907127066966634</v>
      </c>
      <c r="BY247" s="1109">
        <v>12.425874653638209</v>
      </c>
      <c r="BZ247" s="1109">
        <v>12.059484962568714</v>
      </c>
      <c r="CA247" s="1109">
        <v>11.809799934527703</v>
      </c>
      <c r="CB247" s="1109">
        <v>11.630448944432773</v>
      </c>
      <c r="CC247" s="1109">
        <v>11.565614936063684</v>
      </c>
      <c r="CD247" s="1109">
        <v>11.211500487256659</v>
      </c>
      <c r="CE247" s="1109">
        <v>10.968851039173801</v>
      </c>
      <c r="CF247" s="1109">
        <v>10.793883881943577</v>
      </c>
    </row>
    <row r="248" spans="4:84" ht="14.45" hidden="1" outlineLevel="1" collapsed="1">
      <c r="D248" s="1611"/>
      <c r="E248" s="1619"/>
      <c r="F248" s="1107"/>
      <c r="G248" s="1107"/>
      <c r="H248" s="1107"/>
      <c r="I248" s="1107"/>
    </row>
    <row r="249" spans="4:84" ht="14.45" collapsed="1">
      <c r="D249" s="1614" t="s">
        <v>1231</v>
      </c>
      <c r="E249" s="1612" t="s">
        <v>1095</v>
      </c>
      <c r="F249" s="1106" t="s">
        <v>1190</v>
      </c>
      <c r="G249" s="1106"/>
      <c r="H249" s="1106"/>
      <c r="I249" s="1106"/>
      <c r="J249" s="1108"/>
      <c r="K249" s="1108"/>
      <c r="L249" s="1108"/>
      <c r="M249" s="1108"/>
      <c r="N249" s="1108"/>
      <c r="O249" s="1108"/>
      <c r="P249" s="1108"/>
      <c r="Q249" s="1108"/>
      <c r="R249" s="1108"/>
      <c r="S249" s="1108"/>
      <c r="T249" s="1108"/>
      <c r="U249" s="1108"/>
      <c r="V249" s="1108"/>
      <c r="W249" s="1108"/>
      <c r="X249" s="1108"/>
      <c r="Y249" s="1108">
        <v>4792.1423834154621</v>
      </c>
      <c r="Z249" s="1108">
        <v>5192.367360143573</v>
      </c>
      <c r="AA249" s="1108">
        <v>4978.6724329119525</v>
      </c>
      <c r="AB249" s="1108">
        <v>5583.236905572513</v>
      </c>
      <c r="AC249" s="1108">
        <v>4975.2454550060793</v>
      </c>
      <c r="AD249" s="1108">
        <v>5360.3701639288975</v>
      </c>
      <c r="AE249" s="1108">
        <v>5228.3787261364359</v>
      </c>
      <c r="AF249" s="1108">
        <v>5792.7873919872036</v>
      </c>
      <c r="AG249" s="1108">
        <v>5446.657528132946</v>
      </c>
      <c r="AH249" s="1108">
        <v>5877.344931418017</v>
      </c>
      <c r="AI249" s="1108">
        <v>5928.6667876549773</v>
      </c>
      <c r="AJ249" s="1108">
        <v>6311.4371882920987</v>
      </c>
      <c r="AK249" s="1108">
        <v>6344.8084538830535</v>
      </c>
      <c r="AL249" s="1108">
        <v>6576.3188143284569</v>
      </c>
      <c r="AM249" s="1108">
        <v>6723.7485758742387</v>
      </c>
      <c r="AN249" s="1108">
        <v>7268.7605666240033</v>
      </c>
      <c r="AO249" s="1108">
        <v>7202.2040412696506</v>
      </c>
      <c r="AP249" s="1108">
        <v>7659.0105753942144</v>
      </c>
      <c r="AQ249" s="1108">
        <v>7598.7710454668568</v>
      </c>
      <c r="AR249" s="1108">
        <v>7715.2697534873732</v>
      </c>
      <c r="AS249" s="1108">
        <v>7927.2231450082954</v>
      </c>
      <c r="AT249" s="1108">
        <v>8511.6879294890114</v>
      </c>
      <c r="AU249" s="1108">
        <v>8637.9613361376869</v>
      </c>
      <c r="AV249" s="1108">
        <v>9284.3048512501882</v>
      </c>
      <c r="AW249" s="1108">
        <v>9365.174100172364</v>
      </c>
      <c r="AX249" s="1108">
        <v>9697.6440725144585</v>
      </c>
      <c r="AY249" s="1108">
        <v>9677.4979202565755</v>
      </c>
      <c r="AZ249" s="1108">
        <v>10080.381652227628</v>
      </c>
      <c r="BA249" s="1108">
        <v>10062.602910399026</v>
      </c>
      <c r="BB249" s="1108">
        <v>10430.912246960534</v>
      </c>
      <c r="BC249" s="1108">
        <v>10663.425300987328</v>
      </c>
      <c r="BD249" s="1108">
        <v>11103.748437932003</v>
      </c>
      <c r="BE249" s="1108">
        <v>11026.810314723236</v>
      </c>
      <c r="BF249" s="1108">
        <v>11383.124550606401</v>
      </c>
      <c r="BG249" s="1108">
        <v>11618.478040594891</v>
      </c>
      <c r="BH249" s="1108">
        <v>12119.811110973082</v>
      </c>
      <c r="BI249" s="1108">
        <v>12042.059545109756</v>
      </c>
      <c r="BJ249" s="1108">
        <v>12410.372842549003</v>
      </c>
      <c r="BK249" s="1108">
        <v>12716.491181175579</v>
      </c>
      <c r="BL249" s="1108">
        <v>13260.507514594456</v>
      </c>
      <c r="BM249" s="1108">
        <v>13336.535178158067</v>
      </c>
      <c r="BN249" s="1108">
        <v>13746.808977314367</v>
      </c>
      <c r="BO249" s="1108">
        <v>14115.2149202896</v>
      </c>
      <c r="BP249" s="1108">
        <v>14719.843918891616</v>
      </c>
      <c r="BQ249" s="1108">
        <v>14699.277096451549</v>
      </c>
      <c r="BR249" s="1108">
        <v>14990.579449302049</v>
      </c>
      <c r="BS249" s="1108">
        <v>15400.244611209349</v>
      </c>
      <c r="BT249" s="1108">
        <v>16136.210352823626</v>
      </c>
      <c r="BU249" s="1108">
        <v>17947.394495100401</v>
      </c>
      <c r="BV249" s="1108">
        <v>18920.053568818599</v>
      </c>
      <c r="BW249" s="1108">
        <v>19557.540448591499</v>
      </c>
      <c r="BX249" s="1108">
        <v>20058.329213135599</v>
      </c>
      <c r="BY249" s="1108">
        <v>20114.2474219326</v>
      </c>
      <c r="BZ249" s="1108">
        <v>21133.719502356002</v>
      </c>
      <c r="CA249" s="1108">
        <v>21816.9142175089</v>
      </c>
      <c r="CB249" s="1108">
        <v>22338.825364918201</v>
      </c>
      <c r="CC249" s="1108">
        <v>22394.223654524001</v>
      </c>
      <c r="CD249" s="1108">
        <v>23453.297139132901</v>
      </c>
      <c r="CE249" s="1108">
        <v>24173.091983198901</v>
      </c>
      <c r="CF249" s="1108">
        <v>24711.666193831799</v>
      </c>
    </row>
    <row r="250" spans="4:84" ht="14.45" hidden="1" outlineLevel="1">
      <c r="D250" s="1611"/>
      <c r="E250" s="1619"/>
      <c r="F250" s="1106" t="s">
        <v>1191</v>
      </c>
      <c r="G250" s="1106"/>
      <c r="H250" s="1106"/>
      <c r="I250" s="1106"/>
      <c r="W250" s="1109"/>
      <c r="X250" s="1109"/>
      <c r="Y250" s="1109">
        <v>1.6056244390319052</v>
      </c>
      <c r="Z250" s="1109">
        <v>4.9908867236057981</v>
      </c>
      <c r="AA250" s="1109">
        <v>6.7857948689751311</v>
      </c>
      <c r="AB250" s="1109">
        <v>16.334785083212996</v>
      </c>
      <c r="AC250" s="1109">
        <v>3.8209021548336333</v>
      </c>
      <c r="AD250" s="1109">
        <v>3.2355723725348859</v>
      </c>
      <c r="AE250" s="1109">
        <v>5.0155196307710073</v>
      </c>
      <c r="AF250" s="1109">
        <v>3.7532078605789159</v>
      </c>
      <c r="AG250" s="1109">
        <v>9.475152078226273</v>
      </c>
      <c r="AH250" s="1109">
        <v>9.6443855868006239</v>
      </c>
      <c r="AI250" s="1109">
        <v>13.393981159356954</v>
      </c>
      <c r="AJ250" s="1109">
        <v>8.9533718607092414</v>
      </c>
      <c r="AK250" s="1109">
        <v>16.489946744604371</v>
      </c>
      <c r="AL250" s="1109">
        <v>11.892680982087599</v>
      </c>
      <c r="AM250" s="1109">
        <v>13.410802406281764</v>
      </c>
      <c r="AN250" s="1109">
        <v>15.168072655587347</v>
      </c>
      <c r="AO250" s="1109">
        <v>13.513340766999308</v>
      </c>
      <c r="AP250" s="1109">
        <v>16.463492595687317</v>
      </c>
      <c r="AQ250" s="1109">
        <v>13.013908234646406</v>
      </c>
      <c r="AR250" s="1109">
        <v>6.1428517664154176</v>
      </c>
      <c r="AS250" s="1109">
        <v>10.066628209700566</v>
      </c>
      <c r="AT250" s="1109">
        <v>11.132996170995744</v>
      </c>
      <c r="AU250" s="1109">
        <v>13.675767890003373</v>
      </c>
      <c r="AV250" s="1109">
        <v>20.336749691138102</v>
      </c>
      <c r="AW250" s="1109">
        <v>18.139403027522114</v>
      </c>
      <c r="AX250" s="1109">
        <v>13.933266266925326</v>
      </c>
      <c r="AY250" s="1109">
        <v>12.034513048465428</v>
      </c>
      <c r="AZ250" s="1109">
        <v>8.5744362527071001</v>
      </c>
      <c r="BA250" s="1109">
        <v>7.4470458612598112</v>
      </c>
      <c r="BB250" s="1109">
        <v>7.5613021983797077</v>
      </c>
      <c r="BC250" s="1109">
        <v>10.187833558373043</v>
      </c>
      <c r="BD250" s="1109">
        <v>10.152063890142736</v>
      </c>
      <c r="BE250" s="1109">
        <v>9.5820873874270287</v>
      </c>
      <c r="BF250" s="1109">
        <v>9.1287538529847421</v>
      </c>
      <c r="BG250" s="1109">
        <v>8.9563410691228338</v>
      </c>
      <c r="BH250" s="1109">
        <v>9.1506276346288811</v>
      </c>
      <c r="BI250" s="1109">
        <v>9.2070979858149666</v>
      </c>
      <c r="BJ250" s="1109">
        <v>9.0243086366640739</v>
      </c>
      <c r="BK250" s="1109">
        <v>9.45057637277651</v>
      </c>
      <c r="BL250" s="1109">
        <v>9.4118331810353535</v>
      </c>
      <c r="BM250" s="1109">
        <v>10.749619931700082</v>
      </c>
      <c r="BN250" s="1109">
        <v>10.768702533927017</v>
      </c>
      <c r="BO250" s="1109">
        <v>10.999289970684471</v>
      </c>
      <c r="BP250" s="1109">
        <v>11.005132365341384</v>
      </c>
      <c r="BQ250" s="1109">
        <v>10.218110626853935</v>
      </c>
      <c r="BR250" s="1109">
        <v>9.047703172716016</v>
      </c>
      <c r="BS250" s="1109">
        <v>9.1038620253143456</v>
      </c>
      <c r="BT250" s="1109">
        <v>9.6221566053035961</v>
      </c>
      <c r="BU250" s="1109">
        <v>22.097123398217708</v>
      </c>
      <c r="BV250" s="1109">
        <v>26.212956829360611</v>
      </c>
      <c r="BW250" s="1109">
        <v>26.99499873109928</v>
      </c>
      <c r="BX250" s="1109">
        <v>24.3063196038818</v>
      </c>
      <c r="BY250" s="1109">
        <v>12.073356538876682</v>
      </c>
      <c r="BZ250" s="1109">
        <v>11.700103942547281</v>
      </c>
      <c r="CA250" s="1109">
        <v>11.552443288338528</v>
      </c>
      <c r="CB250" s="1109">
        <v>11.369322576923171</v>
      </c>
      <c r="CC250" s="1109">
        <v>11.335130690026777</v>
      </c>
      <c r="CD250" s="1109">
        <v>10.975718857810673</v>
      </c>
      <c r="CE250" s="1109">
        <v>10.799775542038294</v>
      </c>
      <c r="CF250" s="1109">
        <v>10.622048340285628</v>
      </c>
    </row>
    <row r="251" spans="4:84" ht="14.45" hidden="1" outlineLevel="1" collapsed="1">
      <c r="D251" s="1611"/>
      <c r="E251" s="1619"/>
      <c r="F251" s="1106"/>
      <c r="G251" s="1106"/>
      <c r="H251" s="1106"/>
      <c r="I251" s="1106"/>
    </row>
    <row r="252" spans="4:84" ht="14.45" collapsed="1">
      <c r="D252" s="1613" t="s">
        <v>1189</v>
      </c>
      <c r="E252" s="1612" t="s">
        <v>1095</v>
      </c>
      <c r="F252" s="1107" t="s">
        <v>1190</v>
      </c>
      <c r="G252" s="1107"/>
      <c r="H252" s="1107"/>
      <c r="I252" s="1107"/>
      <c r="J252" s="1108"/>
      <c r="K252" s="1108"/>
      <c r="L252" s="1108"/>
      <c r="M252" s="1108"/>
      <c r="N252" s="1108"/>
      <c r="O252" s="1108"/>
      <c r="P252" s="1108"/>
      <c r="Q252" s="1108"/>
      <c r="R252" s="1108"/>
      <c r="S252" s="1108"/>
      <c r="T252" s="1108"/>
      <c r="U252" s="1108"/>
      <c r="V252" s="1108"/>
      <c r="W252" s="1108"/>
      <c r="X252" s="1108"/>
      <c r="Y252" s="1108">
        <v>5517.0856293251854</v>
      </c>
      <c r="Z252" s="1108">
        <v>5885.7672475261943</v>
      </c>
      <c r="AA252" s="1108">
        <v>5699.0093476298443</v>
      </c>
      <c r="AB252" s="1108">
        <v>6399.2492795696362</v>
      </c>
      <c r="AC252" s="1108">
        <v>5982</v>
      </c>
      <c r="AD252" s="1108">
        <v>6439</v>
      </c>
      <c r="AE252" s="1108">
        <v>6234</v>
      </c>
      <c r="AF252" s="1108">
        <v>6918</v>
      </c>
      <c r="AG252" s="1108">
        <v>6575</v>
      </c>
      <c r="AH252" s="1108">
        <v>7075</v>
      </c>
      <c r="AI252" s="1108">
        <v>7088</v>
      </c>
      <c r="AJ252" s="1108">
        <v>7578</v>
      </c>
      <c r="AK252" s="1108">
        <v>7622</v>
      </c>
      <c r="AL252" s="1108">
        <v>7747</v>
      </c>
      <c r="AM252" s="1108">
        <v>7889</v>
      </c>
      <c r="AN252" s="1108">
        <v>8511</v>
      </c>
      <c r="AO252" s="1108">
        <v>8466</v>
      </c>
      <c r="AP252" s="1108">
        <v>8983</v>
      </c>
      <c r="AQ252" s="1108">
        <v>8920</v>
      </c>
      <c r="AR252" s="1108">
        <v>8947</v>
      </c>
      <c r="AS252" s="1108">
        <v>9278</v>
      </c>
      <c r="AT252" s="1108">
        <v>9881</v>
      </c>
      <c r="AU252" s="1108">
        <v>10016</v>
      </c>
      <c r="AV252" s="1108">
        <v>10697</v>
      </c>
      <c r="AW252" s="1108">
        <v>10808</v>
      </c>
      <c r="AX252" s="1108">
        <v>11251</v>
      </c>
      <c r="AY252" s="1108">
        <v>11164</v>
      </c>
      <c r="AZ252" s="1108">
        <v>11639</v>
      </c>
      <c r="BA252" s="1108">
        <v>11548</v>
      </c>
      <c r="BB252" s="1108">
        <v>11837</v>
      </c>
      <c r="BC252" s="1108">
        <v>12021.299155082599</v>
      </c>
      <c r="BD252" s="1108">
        <v>12534.017736709973</v>
      </c>
      <c r="BE252" s="1108">
        <v>12505.609119931787</v>
      </c>
      <c r="BF252" s="1108">
        <v>12841.152677984976</v>
      </c>
      <c r="BG252" s="1108">
        <v>13040.375296344815</v>
      </c>
      <c r="BH252" s="1108">
        <v>13629.662319443452</v>
      </c>
      <c r="BI252" s="1108">
        <v>13600.348502205723</v>
      </c>
      <c r="BJ252" s="1108">
        <v>13919.820113880553</v>
      </c>
      <c r="BK252" s="1108">
        <v>14166.650352923887</v>
      </c>
      <c r="BL252" s="1108">
        <v>14800.234474627689</v>
      </c>
      <c r="BM252" s="1108">
        <v>15023.001425064876</v>
      </c>
      <c r="BN252" s="1108">
        <v>15416.173185465592</v>
      </c>
      <c r="BO252" s="1108">
        <v>15684.598418711623</v>
      </c>
      <c r="BP252" s="1108">
        <v>16380.89605416461</v>
      </c>
      <c r="BQ252" s="1108">
        <v>16354.162531321695</v>
      </c>
      <c r="BR252" s="1108">
        <v>16632.18269877007</v>
      </c>
      <c r="BS252" s="1108">
        <v>16913.066120948293</v>
      </c>
      <c r="BT252" s="1108">
        <v>17807.911027390193</v>
      </c>
      <c r="BU252" s="1108">
        <v>18446.1597803925</v>
      </c>
      <c r="BV252" s="1108">
        <v>19075.812138222798</v>
      </c>
      <c r="BW252" s="1108">
        <v>19472.508272937499</v>
      </c>
      <c r="BX252" s="1108">
        <v>20465.412900982501</v>
      </c>
      <c r="BY252" s="1108">
        <v>20137.532526669049</v>
      </c>
      <c r="BZ252" s="1108">
        <v>20830.01897600685</v>
      </c>
      <c r="CA252" s="1108">
        <v>21254.589652701899</v>
      </c>
      <c r="CB252" s="1108">
        <v>22311.75579180105</v>
      </c>
      <c r="CC252" s="1108">
        <v>21880.612943170701</v>
      </c>
      <c r="CD252" s="1108">
        <v>22635.961065141099</v>
      </c>
      <c r="CE252" s="1108">
        <v>23083.632262897601</v>
      </c>
      <c r="CF252" s="1108">
        <v>24202.7535269662</v>
      </c>
    </row>
    <row r="253" spans="4:84" ht="14.45" hidden="1" outlineLevel="1">
      <c r="D253" s="1611"/>
      <c r="E253" s="1619"/>
      <c r="F253" s="1107" t="s">
        <v>1191</v>
      </c>
      <c r="G253" s="1107"/>
      <c r="H253" s="1107"/>
      <c r="I253" s="1107"/>
      <c r="W253" s="1109"/>
      <c r="X253" s="1109"/>
      <c r="Y253" s="1109">
        <v>0.399620576101408</v>
      </c>
      <c r="Z253" s="1109">
        <v>2.8985335667126457</v>
      </c>
      <c r="AA253" s="1109">
        <v>5.910943537517201</v>
      </c>
      <c r="AB253" s="1109">
        <v>15.897345952999709</v>
      </c>
      <c r="AC253" s="1109">
        <v>8.4268108546953968</v>
      </c>
      <c r="AD253" s="1109">
        <v>9.3995010201317601</v>
      </c>
      <c r="AE253" s="1109">
        <v>9.3874324419673467</v>
      </c>
      <c r="AF253" s="1109">
        <v>8.1064308916131331</v>
      </c>
      <c r="AG253" s="1109">
        <v>9.9130725509862927</v>
      </c>
      <c r="AH253" s="1109">
        <v>9.8773101413262925</v>
      </c>
      <c r="AI253" s="1109">
        <v>13.699069618222651</v>
      </c>
      <c r="AJ253" s="1109">
        <v>9.5403295750216834</v>
      </c>
      <c r="AK253" s="1109">
        <v>15.923954372623575</v>
      </c>
      <c r="AL253" s="1109">
        <v>9.4982332155477032</v>
      </c>
      <c r="AM253" s="1109">
        <v>11.30079006772009</v>
      </c>
      <c r="AN253" s="1109">
        <v>12.311955661124308</v>
      </c>
      <c r="AO253" s="1109">
        <v>11.073209131461558</v>
      </c>
      <c r="AP253" s="1109">
        <v>15.954563056667098</v>
      </c>
      <c r="AQ253" s="1109">
        <v>13.068830016478641</v>
      </c>
      <c r="AR253" s="1109">
        <v>5.1227822817530262</v>
      </c>
      <c r="AS253" s="1109">
        <v>9.5913064020789047</v>
      </c>
      <c r="AT253" s="1109">
        <v>9.996660358454859</v>
      </c>
      <c r="AU253" s="1109">
        <v>12.286995515695068</v>
      </c>
      <c r="AV253" s="1109">
        <v>19.559628925896948</v>
      </c>
      <c r="AW253" s="1109">
        <v>16.490622979090322</v>
      </c>
      <c r="AX253" s="1109">
        <v>13.864993421718449</v>
      </c>
      <c r="AY253" s="1109">
        <v>11.461661341853036</v>
      </c>
      <c r="AZ253" s="1109">
        <v>8.8062073478545386</v>
      </c>
      <c r="BA253" s="1109">
        <v>6.8467801628423395</v>
      </c>
      <c r="BB253" s="1109">
        <v>5.2084259176962053</v>
      </c>
      <c r="BC253" s="1109">
        <v>7.6791396908151119</v>
      </c>
      <c r="BD253" s="1109">
        <v>7.689816450811696</v>
      </c>
      <c r="BE253" s="1109">
        <v>8.2924239689278405</v>
      </c>
      <c r="BF253" s="1109">
        <v>8.4831686912644706</v>
      </c>
      <c r="BG253" s="1109">
        <v>8.4772546470682517</v>
      </c>
      <c r="BH253" s="1109">
        <v>8.7413677381716592</v>
      </c>
      <c r="BI253" s="1109">
        <v>8.7539868852058547</v>
      </c>
      <c r="BJ253" s="1109">
        <v>8.4000826323392079</v>
      </c>
      <c r="BK253" s="1109">
        <v>8.6368300833701017</v>
      </c>
      <c r="BL253" s="1109">
        <v>8.5884164093658537</v>
      </c>
      <c r="BM253" s="1109">
        <v>10.460415206481111</v>
      </c>
      <c r="BN253" s="1109">
        <v>10.749801788694866</v>
      </c>
      <c r="BO253" s="1109">
        <v>10.714939862085625</v>
      </c>
      <c r="BP253" s="1109">
        <v>10.679976606091468</v>
      </c>
      <c r="BQ253" s="1109">
        <v>8.8608199426505116</v>
      </c>
      <c r="BR253" s="1109">
        <v>7.8878817633609284</v>
      </c>
      <c r="BS253" s="1109">
        <v>7.8323184913113018</v>
      </c>
      <c r="BT253" s="1109">
        <v>8.7114585704411738</v>
      </c>
      <c r="BU253" s="1109">
        <v>12.791833547356429</v>
      </c>
      <c r="BV253" s="1109">
        <v>14.692175306813049</v>
      </c>
      <c r="BW253" s="1109">
        <v>15.132928196970244</v>
      </c>
      <c r="BX253" s="1109">
        <v>14.923153364281902</v>
      </c>
      <c r="BY253" s="1109">
        <v>9.1692404620413637</v>
      </c>
      <c r="BZ253" s="1109">
        <v>9.195974593758411</v>
      </c>
      <c r="CA253" s="1109">
        <v>9.1517813462228776</v>
      </c>
      <c r="CB253" s="1109">
        <v>9.0217720001628194</v>
      </c>
      <c r="CC253" s="1109">
        <v>8.6558788381506613</v>
      </c>
      <c r="CD253" s="1109">
        <v>8.6699013150896853</v>
      </c>
      <c r="CE253" s="1109">
        <v>8.6054007161845743</v>
      </c>
      <c r="CF253" s="1109">
        <v>8.4753425629552641</v>
      </c>
    </row>
    <row r="254" spans="4:84" ht="14.45" hidden="1" outlineLevel="1" collapsed="1">
      <c r="D254" s="1611"/>
      <c r="E254" s="1619"/>
      <c r="F254" s="1107"/>
      <c r="G254" s="1107"/>
      <c r="H254" s="1107"/>
      <c r="I254" s="1107"/>
    </row>
    <row r="255" spans="4:84" ht="14.45" collapsed="1">
      <c r="D255" s="1614" t="s">
        <v>1232</v>
      </c>
      <c r="E255" s="1612" t="s">
        <v>1095</v>
      </c>
      <c r="F255" s="1106" t="s">
        <v>1190</v>
      </c>
      <c r="G255" s="1106"/>
      <c r="H255" s="1106"/>
      <c r="I255" s="1106"/>
      <c r="J255" s="1108"/>
      <c r="K255" s="1108"/>
      <c r="L255" s="1108"/>
      <c r="M255" s="1108"/>
      <c r="N255" s="1108"/>
      <c r="O255" s="1108"/>
      <c r="P255" s="1108"/>
      <c r="Q255" s="1108"/>
      <c r="R255" s="1108"/>
      <c r="S255" s="1108"/>
      <c r="T255" s="1108"/>
      <c r="U255" s="1108"/>
      <c r="V255" s="1108"/>
      <c r="W255" s="1108"/>
      <c r="X255" s="1108"/>
      <c r="Y255" s="1108">
        <v>356.81731374120415</v>
      </c>
      <c r="Z255" s="1108">
        <v>462.85883557356345</v>
      </c>
      <c r="AA255" s="1108">
        <v>379.67776708374157</v>
      </c>
      <c r="AB255" s="1108">
        <v>454.36028762657259</v>
      </c>
      <c r="AC255" s="1108">
        <v>324.60081353653834</v>
      </c>
      <c r="AD255" s="1108">
        <v>369.81213345205219</v>
      </c>
      <c r="AE255" s="1108">
        <v>325.21623559718557</v>
      </c>
      <c r="AF255" s="1108">
        <v>380.94856981073542</v>
      </c>
      <c r="AG255" s="1108">
        <v>331.87139413037647</v>
      </c>
      <c r="AH255" s="1108">
        <v>361.31689510984944</v>
      </c>
      <c r="AI255" s="1108">
        <v>362.91096026358395</v>
      </c>
      <c r="AJ255" s="1108">
        <v>374.08284070865693</v>
      </c>
      <c r="AK255" s="1108">
        <v>373.20270822647774</v>
      </c>
      <c r="AL255" s="1108">
        <v>373.17586037800908</v>
      </c>
      <c r="AM255" s="1108">
        <v>370.06494160176288</v>
      </c>
      <c r="AN255" s="1108">
        <v>358.07919073190209</v>
      </c>
      <c r="AO255" s="1108">
        <v>319.75181461396249</v>
      </c>
      <c r="AP255" s="1108">
        <v>305.37612229777602</v>
      </c>
      <c r="AQ255" s="1108">
        <v>294.20458569892344</v>
      </c>
      <c r="AR255" s="1108">
        <v>283.90325002432422</v>
      </c>
      <c r="AS255" s="1108">
        <v>300.93841616747119</v>
      </c>
      <c r="AT255" s="1108">
        <v>273.36763788933786</v>
      </c>
      <c r="AU255" s="1108">
        <v>272.48094864673908</v>
      </c>
      <c r="AV255" s="1108">
        <v>298.71385570397331</v>
      </c>
      <c r="AW255" s="1108">
        <v>305.40912292430932</v>
      </c>
      <c r="AX255" s="1108">
        <v>263.14442190334643</v>
      </c>
      <c r="AY255" s="1108">
        <v>246.70514831605246</v>
      </c>
      <c r="AZ255" s="1108">
        <v>251.02814684015308</v>
      </c>
      <c r="BA255" s="1108">
        <v>256.07735520084947</v>
      </c>
      <c r="BB255" s="1108">
        <v>226.21317097093856</v>
      </c>
      <c r="BC255" s="1108">
        <v>210.69761211054799</v>
      </c>
      <c r="BD255" s="1108">
        <v>215.08249143208255</v>
      </c>
      <c r="BE255" s="1108">
        <v>219.59470610066793</v>
      </c>
      <c r="BF255" s="1108">
        <v>191.3687647974831</v>
      </c>
      <c r="BG255" s="1108">
        <v>196.40098866125382</v>
      </c>
      <c r="BH255" s="1108">
        <v>180.84075531677325</v>
      </c>
      <c r="BI255" s="1108">
        <v>196.24917523125075</v>
      </c>
      <c r="BJ255" s="1108">
        <v>174.57453201532778</v>
      </c>
      <c r="BK255" s="1108">
        <v>174.30761105754115</v>
      </c>
      <c r="BL255" s="1108">
        <v>182.63647535726167</v>
      </c>
      <c r="BM255" s="1108">
        <v>183.9552418959141</v>
      </c>
      <c r="BN255" s="1108">
        <v>140.51228254848385</v>
      </c>
      <c r="BO255" s="1108">
        <v>117.80665709636246</v>
      </c>
      <c r="BP255" s="1108">
        <v>125.85791180776458</v>
      </c>
      <c r="BQ255" s="1108">
        <v>210.22155662616299</v>
      </c>
      <c r="BR255" s="1108">
        <v>158.92943999792865</v>
      </c>
      <c r="BS255" s="1108">
        <v>125.95248913294201</v>
      </c>
      <c r="BT255" s="1108">
        <v>145.79941551799467</v>
      </c>
    </row>
    <row r="256" spans="4:84" ht="14.45" hidden="1" outlineLevel="1">
      <c r="D256" s="1611"/>
      <c r="E256" s="1619"/>
      <c r="F256" s="1106" t="s">
        <v>1191</v>
      </c>
      <c r="G256" s="1106"/>
      <c r="H256" s="1106"/>
      <c r="I256" s="1106"/>
      <c r="W256" s="1109"/>
      <c r="X256" s="1109"/>
      <c r="Y256" s="1109">
        <v>15.97196075218077</v>
      </c>
      <c r="Z256" s="1109">
        <v>11.672739814861135</v>
      </c>
      <c r="AA256" s="1109">
        <v>-2.0245543192298983</v>
      </c>
      <c r="AB256" s="1109">
        <v>4.4316929219437089</v>
      </c>
      <c r="AC256" s="1109">
        <v>-9.0288500484682466</v>
      </c>
      <c r="AD256" s="1109">
        <v>-20.102609039797205</v>
      </c>
      <c r="AE256" s="1109">
        <v>-14.344145538167366</v>
      </c>
      <c r="AF256" s="1109">
        <v>-16.157159816786724</v>
      </c>
      <c r="AG256" s="1109">
        <v>2.2398528563822371</v>
      </c>
      <c r="AH256" s="1109">
        <v>-2.2971767483405734</v>
      </c>
      <c r="AI256" s="1109">
        <v>11.59066508385739</v>
      </c>
      <c r="AJ256" s="1109">
        <v>-1.8022719196687238</v>
      </c>
      <c r="AK256" s="1109">
        <v>12.454015268295212</v>
      </c>
      <c r="AL256" s="1109">
        <v>3.2821507736454478</v>
      </c>
      <c r="AM256" s="1109">
        <v>1.9712772887826167</v>
      </c>
      <c r="AN256" s="1109">
        <v>-4.2781031993976972</v>
      </c>
      <c r="AO256" s="1109">
        <v>-14.322214827036737</v>
      </c>
      <c r="AP256" s="1109">
        <v>-18.168307567256683</v>
      </c>
      <c r="AQ256" s="1109">
        <v>-20.499200917139259</v>
      </c>
      <c r="AR256" s="1109">
        <v>-20.71495429711084</v>
      </c>
      <c r="AS256" s="1109">
        <v>-5.8837503296751539</v>
      </c>
      <c r="AT256" s="1109">
        <v>-10.481659197056112</v>
      </c>
      <c r="AU256" s="1109">
        <v>-7.3838539941778514</v>
      </c>
      <c r="AV256" s="1109">
        <v>5.2167791944545003</v>
      </c>
      <c r="AW256" s="1109">
        <v>1.4855885844598162</v>
      </c>
      <c r="AX256" s="1109">
        <v>-3.7397316174381614</v>
      </c>
      <c r="AY256" s="1109">
        <v>-9.4596706517283682</v>
      </c>
      <c r="AZ256" s="1109">
        <v>-15.963674919410822</v>
      </c>
      <c r="BA256" s="1109">
        <v>-16.152683080028989</v>
      </c>
      <c r="BB256" s="1109">
        <v>-14.034593880151791</v>
      </c>
      <c r="BC256" s="1109">
        <v>-14.595372837284867</v>
      </c>
      <c r="BD256" s="1109">
        <v>-14.319372492902005</v>
      </c>
      <c r="BE256" s="1109">
        <v>-14.246729888149249</v>
      </c>
      <c r="BF256" s="1109">
        <v>-15.403349868576797</v>
      </c>
      <c r="BG256" s="1109">
        <v>-6.7853751668495788</v>
      </c>
      <c r="BH256" s="1109">
        <v>-15.920280580403237</v>
      </c>
      <c r="BI256" s="1109">
        <v>-10.631190197597473</v>
      </c>
      <c r="BJ256" s="1109">
        <v>-8.7758484515108286</v>
      </c>
      <c r="BK256" s="1109">
        <v>-11.249117305523662</v>
      </c>
      <c r="BL256" s="1109">
        <v>0.99298415190918143</v>
      </c>
      <c r="BM256" s="1109">
        <v>-6.2644509567237963</v>
      </c>
      <c r="BN256" s="1109">
        <v>-19.511579996017538</v>
      </c>
      <c r="BO256" s="1109">
        <v>-32.414507673177283</v>
      </c>
      <c r="BP256" s="1109">
        <v>-31.088293528677958</v>
      </c>
      <c r="BQ256" s="1109">
        <v>14.27864433736058</v>
      </c>
      <c r="BR256" s="1109">
        <v>13.107151286286983</v>
      </c>
      <c r="BS256" s="1109">
        <v>6.9145770174231265</v>
      </c>
      <c r="BT256" s="1109">
        <v>15.844457788787054</v>
      </c>
    </row>
    <row r="257" spans="4:84" ht="14.45" hidden="1" outlineLevel="1" collapsed="1">
      <c r="D257" s="1611"/>
      <c r="E257" s="1619"/>
      <c r="F257" s="1106"/>
      <c r="G257" s="1106"/>
      <c r="H257" s="1106"/>
      <c r="I257" s="1106"/>
    </row>
    <row r="258" spans="4:84" ht="14.45" collapsed="1">
      <c r="D258" s="1614" t="s">
        <v>1233</v>
      </c>
      <c r="E258" s="1612" t="s">
        <v>1095</v>
      </c>
      <c r="F258" s="1107" t="s">
        <v>1190</v>
      </c>
      <c r="G258" s="1107"/>
      <c r="H258" s="1107"/>
      <c r="I258" s="1107"/>
      <c r="J258" s="1108"/>
      <c r="K258" s="1108"/>
      <c r="L258" s="1108"/>
      <c r="M258" s="1108"/>
      <c r="N258" s="1108"/>
      <c r="O258" s="1108"/>
      <c r="P258" s="1108"/>
      <c r="Q258" s="1108"/>
      <c r="R258" s="1108"/>
      <c r="S258" s="1108"/>
      <c r="T258" s="1108"/>
      <c r="U258" s="1108"/>
      <c r="V258" s="1108"/>
      <c r="W258" s="1108"/>
      <c r="X258" s="1108"/>
      <c r="Y258" s="1108">
        <v>56.763302745372471</v>
      </c>
      <c r="Z258" s="1108">
        <v>67.2871013428867</v>
      </c>
      <c r="AA258" s="1108">
        <v>80.096920692892937</v>
      </c>
      <c r="AB258" s="1108">
        <v>89.940054785618386</v>
      </c>
      <c r="AC258" s="1108">
        <v>109.13352137932478</v>
      </c>
      <c r="AD258" s="1108">
        <v>122.65845381794469</v>
      </c>
      <c r="AE258" s="1108">
        <v>144.7433453219347</v>
      </c>
      <c r="AF258" s="1108">
        <v>160.66715956228816</v>
      </c>
      <c r="AG258" s="1108">
        <v>171.51947746950304</v>
      </c>
      <c r="AH258" s="1108">
        <v>189.88110351048115</v>
      </c>
      <c r="AI258" s="1108">
        <v>214.33895635025624</v>
      </c>
      <c r="AJ258" s="1108">
        <v>236.62217116313488</v>
      </c>
      <c r="AK258" s="1108">
        <v>256.76456452323526</v>
      </c>
      <c r="AL258" s="1108">
        <v>284.01272793654084</v>
      </c>
      <c r="AM258" s="1108">
        <v>303.7568503487235</v>
      </c>
      <c r="AN258" s="1108">
        <v>338.82637010083135</v>
      </c>
      <c r="AO258" s="1108">
        <v>378.38476909514145</v>
      </c>
      <c r="AP258" s="1108">
        <v>421.18545873749781</v>
      </c>
      <c r="AQ258" s="1108">
        <v>466.22119740977001</v>
      </c>
      <c r="AR258" s="1108">
        <v>489.78872227970277</v>
      </c>
      <c r="AS258" s="1108">
        <v>528.08999186099118</v>
      </c>
      <c r="AT258" s="1108">
        <v>592.04567457152882</v>
      </c>
      <c r="AU258" s="1108">
        <v>681.83234727875333</v>
      </c>
      <c r="AV258" s="1108">
        <v>735.82760822527928</v>
      </c>
      <c r="AW258" s="1108">
        <v>781.64602482503847</v>
      </c>
      <c r="AX258" s="1108">
        <v>859.41948083762873</v>
      </c>
      <c r="AY258" s="1108">
        <v>921.03978540634876</v>
      </c>
      <c r="AZ258" s="1108">
        <v>964.47271716722037</v>
      </c>
      <c r="BA258" s="1108">
        <v>972.6181956033264</v>
      </c>
      <c r="BB258" s="1108">
        <v>1039.0621267580457</v>
      </c>
      <c r="BC258" s="1108">
        <v>1114.8752677411758</v>
      </c>
      <c r="BD258" s="1108">
        <v>1169.9924876253137</v>
      </c>
      <c r="BE258" s="1108">
        <v>1183.5519160910915</v>
      </c>
      <c r="BF258" s="1108">
        <v>1278.6935564718285</v>
      </c>
      <c r="BG258" s="1108">
        <v>1357.6028112342708</v>
      </c>
      <c r="BH258" s="1108">
        <v>1415.8603058513515</v>
      </c>
      <c r="BI258" s="1108">
        <v>1433.9121883226815</v>
      </c>
      <c r="BJ258" s="1108">
        <v>1544.5868692743393</v>
      </c>
      <c r="BK258" s="1108">
        <v>1644.4061848541367</v>
      </c>
      <c r="BL258" s="1108">
        <v>1686.9143429638741</v>
      </c>
      <c r="BM258" s="1108">
        <v>1814.9934475525049</v>
      </c>
      <c r="BN258" s="1108">
        <v>1940.3846969237184</v>
      </c>
      <c r="BO258" s="1108">
        <v>2057.0886381116015</v>
      </c>
      <c r="BP258" s="1108">
        <v>2139.0516326061033</v>
      </c>
      <c r="BQ258" s="1108">
        <v>2147.79523212496</v>
      </c>
      <c r="BR258" s="1108">
        <v>2302.3319547226602</v>
      </c>
      <c r="BS258" s="1108">
        <v>2431.1839078080275</v>
      </c>
      <c r="BT258" s="1108">
        <v>2515.35345850877</v>
      </c>
      <c r="BU258" s="1108">
        <v>2526.2389587113898</v>
      </c>
      <c r="BV258" s="1108">
        <v>2576.7637378856198</v>
      </c>
      <c r="BW258" s="1108">
        <v>2628.2990126433301</v>
      </c>
      <c r="BX258" s="1108">
        <v>2680.8649928962</v>
      </c>
      <c r="BY258" s="1108">
        <v>2707.6736428251602</v>
      </c>
      <c r="BZ258" s="1108">
        <v>2761.82711568167</v>
      </c>
      <c r="CA258" s="1108">
        <v>2817.0636579953002</v>
      </c>
      <c r="CB258" s="1108">
        <v>2873.4049311551998</v>
      </c>
      <c r="CC258" s="1108">
        <v>2902.1389804667601</v>
      </c>
      <c r="CD258" s="1108">
        <v>2960.1817600760901</v>
      </c>
      <c r="CE258" s="1108">
        <v>3019.3853952776099</v>
      </c>
      <c r="CF258" s="1108">
        <v>3079.77310318317</v>
      </c>
    </row>
    <row r="259" spans="4:84" ht="14.45" hidden="1" outlineLevel="1">
      <c r="D259" s="1611"/>
      <c r="E259" s="1619"/>
      <c r="F259" s="1107" t="s">
        <v>1191</v>
      </c>
      <c r="G259" s="1107"/>
      <c r="H259" s="1107"/>
      <c r="I259" s="1107"/>
      <c r="W259" s="1109"/>
      <c r="X259" s="1109"/>
      <c r="Y259" s="1109">
        <v>28.773314997680078</v>
      </c>
      <c r="Z259" s="1109">
        <v>31.806101536851049</v>
      </c>
      <c r="AA259" s="1109">
        <v>33.320685393863378</v>
      </c>
      <c r="AB259" s="1109">
        <v>33.916809611156957</v>
      </c>
      <c r="AC259" s="1109">
        <v>92.260696790095949</v>
      </c>
      <c r="AD259" s="1109">
        <v>82.291184149681911</v>
      </c>
      <c r="AE259" s="1109">
        <v>80.710249619843239</v>
      </c>
      <c r="AF259" s="1109">
        <v>78.638049471123068</v>
      </c>
      <c r="AG259" s="1109">
        <v>57.164797123459465</v>
      </c>
      <c r="AH259" s="1109">
        <v>54.804742437330411</v>
      </c>
      <c r="AI259" s="1109">
        <v>48.082079955751091</v>
      </c>
      <c r="AJ259" s="1109">
        <v>47.274758455787683</v>
      </c>
      <c r="AK259" s="1109">
        <v>49.699945633806628</v>
      </c>
      <c r="AL259" s="1109">
        <v>49.573982184521995</v>
      </c>
      <c r="AM259" s="1109">
        <v>41.717985158212407</v>
      </c>
      <c r="AN259" s="1109">
        <v>43.192993469421609</v>
      </c>
      <c r="AO259" s="1109">
        <v>47.366428774053233</v>
      </c>
      <c r="AP259" s="1109">
        <v>48.298092764211091</v>
      </c>
      <c r="AQ259" s="1109">
        <v>53.484998568602407</v>
      </c>
      <c r="AR259" s="1109">
        <v>44.554487342276964</v>
      </c>
      <c r="AS259" s="1109">
        <v>39.564283500060142</v>
      </c>
      <c r="AT259" s="1109">
        <v>40.566503968627984</v>
      </c>
      <c r="AU259" s="1109">
        <v>46.246535135441057</v>
      </c>
      <c r="AV259" s="1109">
        <v>50.233677247691197</v>
      </c>
      <c r="AW259" s="1109">
        <v>48.013792511104938</v>
      </c>
      <c r="AX259" s="1109">
        <v>45.161009994643038</v>
      </c>
      <c r="AY259" s="1109">
        <v>35.083028706732847</v>
      </c>
      <c r="AZ259" s="1109">
        <v>31.073189750708512</v>
      </c>
      <c r="BA259" s="1109">
        <v>24.432052964260212</v>
      </c>
      <c r="BB259" s="1109">
        <v>20.902789606925033</v>
      </c>
      <c r="BC259" s="1109">
        <v>21.04528874931388</v>
      </c>
      <c r="BD259" s="1109">
        <v>21.30902894399452</v>
      </c>
      <c r="BE259" s="1109">
        <v>21.687206906192046</v>
      </c>
      <c r="BF259" s="1109">
        <v>23.062281219069302</v>
      </c>
      <c r="BG259" s="1109">
        <v>21.771721959971359</v>
      </c>
      <c r="BH259" s="1109">
        <v>21.014478368580445</v>
      </c>
      <c r="BI259" s="1109">
        <v>21.153298712780856</v>
      </c>
      <c r="BJ259" s="1109">
        <v>20.79413878772985</v>
      </c>
      <c r="BK259" s="1109">
        <v>21.125720368766565</v>
      </c>
      <c r="BL259" s="1109">
        <v>19.144122904804426</v>
      </c>
      <c r="BM259" s="1109">
        <v>26.576331684270933</v>
      </c>
      <c r="BN259" s="1109">
        <v>25.6248344151293</v>
      </c>
      <c r="BO259" s="1109">
        <v>25.096138475912568</v>
      </c>
      <c r="BP259" s="1109">
        <v>26.80262287934746</v>
      </c>
      <c r="BQ259" s="1109">
        <v>18.336252674698848</v>
      </c>
      <c r="BR259" s="1109">
        <v>18.653376228578395</v>
      </c>
      <c r="BS259" s="1109">
        <v>18.185666031379366</v>
      </c>
      <c r="BT259" s="1109">
        <v>17.591993581015206</v>
      </c>
      <c r="BU259" s="1109">
        <v>17.620102741917801</v>
      </c>
      <c r="BV259" s="1109">
        <v>11.919731322845569</v>
      </c>
      <c r="BW259" s="1109">
        <v>8.1077825582114453</v>
      </c>
      <c r="BX259" s="1109">
        <v>6.5800507609596011</v>
      </c>
      <c r="BY259" s="1109">
        <v>7.1820080000000646</v>
      </c>
      <c r="BZ259" s="1109">
        <v>7.1820080000002315</v>
      </c>
      <c r="CA259" s="1109">
        <v>7.1820080000001951</v>
      </c>
      <c r="CB259" s="1109">
        <v>7.1820079999998274</v>
      </c>
      <c r="CC259" s="1109">
        <v>7.1820080000002031</v>
      </c>
      <c r="CD259" s="1109">
        <v>7.1820079999997581</v>
      </c>
      <c r="CE259" s="1109">
        <v>7.1820079999998061</v>
      </c>
      <c r="CF259" s="1109">
        <v>7.1820080000003186</v>
      </c>
    </row>
    <row r="260" spans="4:84" ht="14.45" hidden="1" outlineLevel="1" collapsed="1">
      <c r="D260" s="1611"/>
      <c r="E260" s="1619"/>
      <c r="F260" s="1107"/>
      <c r="G260" s="1107"/>
      <c r="H260" s="1107"/>
      <c r="I260" s="1107"/>
    </row>
    <row r="261" spans="4:84" ht="14.45" collapsed="1">
      <c r="D261" s="1613" t="s">
        <v>1193</v>
      </c>
      <c r="E261" s="1612" t="s">
        <v>1095</v>
      </c>
      <c r="F261" s="1106" t="s">
        <v>1190</v>
      </c>
      <c r="G261" s="1106"/>
      <c r="H261" s="1106"/>
      <c r="I261" s="1106"/>
      <c r="J261" s="1108"/>
      <c r="K261" s="1108"/>
      <c r="L261" s="1108"/>
      <c r="M261" s="1108"/>
      <c r="N261" s="1108"/>
      <c r="O261" s="1108"/>
      <c r="P261" s="1108"/>
      <c r="Q261" s="1108"/>
      <c r="R261" s="1108"/>
      <c r="S261" s="1108"/>
      <c r="T261" s="1108"/>
      <c r="U261" s="1108"/>
      <c r="V261" s="1108"/>
      <c r="W261" s="1108"/>
      <c r="X261" s="1108"/>
      <c r="Y261" s="1108">
        <v>431.19416016688939</v>
      </c>
      <c r="Z261" s="1108">
        <v>538.47555496456926</v>
      </c>
      <c r="AA261" s="1108">
        <v>467.18399073389139</v>
      </c>
      <c r="AB261" s="1108">
        <v>567.03769532584533</v>
      </c>
      <c r="AC261" s="1108">
        <v>454</v>
      </c>
      <c r="AD261" s="1108">
        <v>512</v>
      </c>
      <c r="AE261" s="1108">
        <v>497</v>
      </c>
      <c r="AF261" s="1108">
        <v>562.999999999995</v>
      </c>
      <c r="AG261" s="1108">
        <v>515</v>
      </c>
      <c r="AH261" s="1108">
        <v>566</v>
      </c>
      <c r="AI261" s="1108">
        <v>583</v>
      </c>
      <c r="AJ261" s="1108">
        <v>626</v>
      </c>
      <c r="AK261" s="1108">
        <v>619</v>
      </c>
      <c r="AL261" s="1108">
        <v>660</v>
      </c>
      <c r="AM261" s="1108">
        <v>657</v>
      </c>
      <c r="AN261" s="1108">
        <v>701</v>
      </c>
      <c r="AO261" s="1108">
        <v>702</v>
      </c>
      <c r="AP261" s="1108">
        <v>741</v>
      </c>
      <c r="AQ261" s="1108">
        <v>773</v>
      </c>
      <c r="AR261" s="1108">
        <v>789</v>
      </c>
      <c r="AS261" s="1108">
        <v>835</v>
      </c>
      <c r="AT261" s="1108">
        <v>895</v>
      </c>
      <c r="AU261" s="1108">
        <v>974</v>
      </c>
      <c r="AV261" s="1108">
        <v>1050</v>
      </c>
      <c r="AW261" s="1108">
        <v>1095</v>
      </c>
      <c r="AX261" s="1108">
        <v>1154</v>
      </c>
      <c r="AY261" s="1108">
        <v>1188</v>
      </c>
      <c r="AZ261" s="1108">
        <v>1249</v>
      </c>
      <c r="BA261" s="1108">
        <v>1254</v>
      </c>
      <c r="BB261" s="1108">
        <v>1289</v>
      </c>
      <c r="BC261" s="1108">
        <v>1355.3209033535845</v>
      </c>
      <c r="BD261" s="1108">
        <v>1432.2554485870598</v>
      </c>
      <c r="BE261" s="1108">
        <v>1443.9412740130263</v>
      </c>
      <c r="BF261" s="1108">
        <v>1490.8789072147842</v>
      </c>
      <c r="BG261" s="1108">
        <v>1566.3794873065551</v>
      </c>
      <c r="BH261" s="1108">
        <v>1653.439382085443</v>
      </c>
      <c r="BI261" s="1108">
        <v>1665.3025671739993</v>
      </c>
      <c r="BJ261" s="1108">
        <v>1720.0835771414593</v>
      </c>
      <c r="BK261" s="1108">
        <v>1810.9074362495046</v>
      </c>
      <c r="BL261" s="1108">
        <v>1907.2947535394674</v>
      </c>
      <c r="BM261" s="1108">
        <v>1958.9464650165157</v>
      </c>
      <c r="BN261" s="1108">
        <v>2027.2661137335886</v>
      </c>
      <c r="BO261" s="1108">
        <v>2148.4743713217626</v>
      </c>
      <c r="BP261" s="1108">
        <v>2285.3090563187357</v>
      </c>
      <c r="BQ261" s="1108">
        <v>2296.9301678191</v>
      </c>
      <c r="BR261" s="1108">
        <v>2375.3090044153059</v>
      </c>
      <c r="BS261" s="1108">
        <v>2520.6472345822799</v>
      </c>
      <c r="BT261" s="1108">
        <v>2699.1645968877419</v>
      </c>
      <c r="BU261" s="1108">
        <v>2587.1714226312001</v>
      </c>
      <c r="BV261" s="1108">
        <v>2568.1057875677202</v>
      </c>
      <c r="BW261" s="1108">
        <v>2780.9226422733</v>
      </c>
      <c r="BX261" s="1108">
        <v>3099.267959808255</v>
      </c>
      <c r="BY261" s="1108">
        <v>2887.298821712975</v>
      </c>
      <c r="BZ261" s="1108">
        <v>2864.3500458451449</v>
      </c>
      <c r="CA261" s="1108">
        <v>3107.3479203609299</v>
      </c>
      <c r="CB261" s="1108">
        <v>3468.1686189182251</v>
      </c>
      <c r="CC261" s="1108">
        <v>3227.1684317982449</v>
      </c>
      <c r="CD261" s="1108">
        <v>3199.6926462727151</v>
      </c>
      <c r="CE261" s="1108">
        <v>3477.2942030664999</v>
      </c>
      <c r="CF261" s="1108">
        <v>3886.6450048030101</v>
      </c>
    </row>
    <row r="262" spans="4:84" ht="14.45" hidden="1" outlineLevel="1">
      <c r="D262" s="1611"/>
      <c r="E262" s="1619"/>
      <c r="F262" s="1106" t="s">
        <v>1191</v>
      </c>
      <c r="G262" s="1106"/>
      <c r="H262" s="1106"/>
      <c r="I262" s="1106"/>
      <c r="W262" s="1109"/>
      <c r="X262" s="1109"/>
      <c r="Y262" s="1109">
        <v>12.307810337141714</v>
      </c>
      <c r="Z262" s="1109">
        <v>17.680686041732443</v>
      </c>
      <c r="AA262" s="1109">
        <v>6.441466274865693</v>
      </c>
      <c r="AB262" s="1109">
        <v>19.394620791583982</v>
      </c>
      <c r="AC262" s="1109">
        <v>5.2889955244950073</v>
      </c>
      <c r="AD262" s="1109">
        <v>-4.9167607926624077</v>
      </c>
      <c r="AE262" s="1109">
        <v>6.3820699890146386</v>
      </c>
      <c r="AF262" s="1109">
        <v>-0.712068237990791</v>
      </c>
      <c r="AG262" s="1109">
        <v>13.43612334801762</v>
      </c>
      <c r="AH262" s="1109">
        <v>10.546875</v>
      </c>
      <c r="AI262" s="1109">
        <v>17.303822937625753</v>
      </c>
      <c r="AJ262" s="1109">
        <v>11.190053285969016</v>
      </c>
      <c r="AK262" s="1109">
        <v>20.194174757281552</v>
      </c>
      <c r="AL262" s="1109">
        <v>16.607773851590103</v>
      </c>
      <c r="AM262" s="1109">
        <v>12.69296740994854</v>
      </c>
      <c r="AN262" s="1109">
        <v>11.980830670926517</v>
      </c>
      <c r="AO262" s="1109">
        <v>13.408723747980615</v>
      </c>
      <c r="AP262" s="1109">
        <v>12.272727272727273</v>
      </c>
      <c r="AQ262" s="1109">
        <v>17.656012176560122</v>
      </c>
      <c r="AR262" s="1109">
        <v>12.553495007132668</v>
      </c>
      <c r="AS262" s="1109">
        <v>18.945868945868945</v>
      </c>
      <c r="AT262" s="1109">
        <v>20.78272604588394</v>
      </c>
      <c r="AU262" s="1109">
        <v>26.002587322121606</v>
      </c>
      <c r="AV262" s="1109">
        <v>33.079847908745244</v>
      </c>
      <c r="AW262" s="1109">
        <v>31.137724550898206</v>
      </c>
      <c r="AX262" s="1109">
        <v>28.938547486033517</v>
      </c>
      <c r="AY262" s="1109">
        <v>21.971252566735114</v>
      </c>
      <c r="AZ262" s="1109">
        <v>18.952380952380953</v>
      </c>
      <c r="BA262" s="1109">
        <v>14.520547945205479</v>
      </c>
      <c r="BB262" s="1109">
        <v>11.69844020797227</v>
      </c>
      <c r="BC262" s="1109">
        <v>14.084251124039101</v>
      </c>
      <c r="BD262" s="1109">
        <v>14.672173625865481</v>
      </c>
      <c r="BE262" s="1109">
        <v>15.146832058455045</v>
      </c>
      <c r="BF262" s="1109">
        <v>15.661668519378141</v>
      </c>
      <c r="BG262" s="1109">
        <v>15.572591216643275</v>
      </c>
      <c r="BH262" s="1109">
        <v>15.443050589654533</v>
      </c>
      <c r="BI262" s="1109">
        <v>15.3303529128828</v>
      </c>
      <c r="BJ262" s="1109">
        <v>15.373795203452733</v>
      </c>
      <c r="BK262" s="1109">
        <v>15.611028548606948</v>
      </c>
      <c r="BL262" s="1109">
        <v>15.353170742421945</v>
      </c>
      <c r="BM262" s="1109">
        <v>17.633065824237999</v>
      </c>
      <c r="BN262" s="1109">
        <v>17.858582029056063</v>
      </c>
      <c r="BO262" s="1109">
        <v>18.640761438993199</v>
      </c>
      <c r="BP262" s="1109">
        <v>19.819396140935595</v>
      </c>
      <c r="BQ262" s="1109">
        <v>17.253340447960365</v>
      </c>
      <c r="BR262" s="1109">
        <v>17.168090973549173</v>
      </c>
      <c r="BS262" s="1109">
        <v>17.322657799802045</v>
      </c>
      <c r="BT262" s="1109">
        <v>18.109390474987258</v>
      </c>
      <c r="BU262" s="1109">
        <v>12.636050450226779</v>
      </c>
      <c r="BV262" s="1109">
        <v>8.1167032497261182</v>
      </c>
      <c r="BW262" s="1109">
        <v>10.325737140847984</v>
      </c>
      <c r="BX262" s="1109">
        <v>14.823229505227292</v>
      </c>
      <c r="BY262" s="1109">
        <v>11.60059965321277</v>
      </c>
      <c r="BZ262" s="1109">
        <v>11.535516165710632</v>
      </c>
      <c r="CA262" s="1109">
        <v>11.738020796608335</v>
      </c>
      <c r="CB262" s="1109">
        <v>11.902832020139142</v>
      </c>
      <c r="CC262" s="1109">
        <v>11.771196231210741</v>
      </c>
      <c r="CD262" s="1109">
        <v>11.7074587623813</v>
      </c>
      <c r="CE262" s="1109">
        <v>11.90553141093384</v>
      </c>
      <c r="CF262" s="1109">
        <v>12.066206458419378</v>
      </c>
    </row>
    <row r="263" spans="4:84" ht="14.45" hidden="1" outlineLevel="1" collapsed="1">
      <c r="D263" s="1611"/>
      <c r="E263" s="1619"/>
      <c r="F263" s="1106"/>
      <c r="G263" s="1106"/>
      <c r="H263" s="1106"/>
      <c r="I263" s="1106"/>
    </row>
    <row r="264" spans="4:84" ht="14.45" collapsed="1">
      <c r="D264" s="1614" t="s">
        <v>1119</v>
      </c>
      <c r="E264" s="1612" t="s">
        <v>1095</v>
      </c>
      <c r="F264" s="1107" t="s">
        <v>1190</v>
      </c>
      <c r="G264" s="1107"/>
      <c r="H264" s="1107"/>
      <c r="I264" s="1107"/>
      <c r="AD264" s="1108">
        <v>94</v>
      </c>
      <c r="AE264" s="1108">
        <v>568.85546588407897</v>
      </c>
      <c r="AF264" s="1108">
        <v>642.16117216117198</v>
      </c>
      <c r="AG264" s="1108">
        <v>758</v>
      </c>
      <c r="AH264" s="1108">
        <v>824</v>
      </c>
      <c r="AI264" s="1108">
        <v>865</v>
      </c>
      <c r="AJ264" s="1108">
        <v>927</v>
      </c>
      <c r="AK264" s="1108">
        <v>1034.8788748277329</v>
      </c>
      <c r="AL264" s="1108">
        <v>1021.593279954681</v>
      </c>
      <c r="AM264" s="1108">
        <v>1048.7372444022999</v>
      </c>
      <c r="AN264" s="1108">
        <v>1159.945990978111</v>
      </c>
      <c r="AO264" s="1108">
        <v>1312.9685300408401</v>
      </c>
      <c r="AP264" s="1108">
        <v>1300.359817592552</v>
      </c>
      <c r="AQ264" s="1108">
        <v>1354.3384719973069</v>
      </c>
      <c r="AR264" s="1108">
        <v>1362.3319324057391</v>
      </c>
      <c r="AS264" s="1108">
        <v>1531.8124282236979</v>
      </c>
      <c r="AT264" s="1108">
        <v>1672.709256244591</v>
      </c>
      <c r="AU264" s="1108">
        <v>1631.3610315356621</v>
      </c>
      <c r="AV264" s="1108">
        <v>1789.8044835774911</v>
      </c>
      <c r="AW264" s="1108">
        <v>2061.1893283280292</v>
      </c>
      <c r="AX264" s="1108">
        <v>2189.7945550532081</v>
      </c>
      <c r="AY264" s="1108">
        <v>2203.741276259233</v>
      </c>
      <c r="AZ264" s="1108">
        <v>2272.3951995640241</v>
      </c>
      <c r="BA264" s="1108">
        <v>2522.421852426814</v>
      </c>
      <c r="BB264" s="1108">
        <v>2597.8300200471372</v>
      </c>
      <c r="BC264" s="1108">
        <v>2558.4503263660808</v>
      </c>
      <c r="BD264" s="1108">
        <v>2654.0293231052751</v>
      </c>
      <c r="BE264" s="1108">
        <v>2858.3992249511848</v>
      </c>
      <c r="BF264" s="1108">
        <v>2961.9399172520302</v>
      </c>
      <c r="BG264" s="1108">
        <v>2939.7424024357638</v>
      </c>
      <c r="BH264" s="1108">
        <v>3050.6250135642058</v>
      </c>
      <c r="BI264" s="1108">
        <v>3150.8184670702653</v>
      </c>
      <c r="BJ264" s="1108">
        <v>3278.5272958221544</v>
      </c>
      <c r="BK264" s="1108">
        <v>3179.3312290002591</v>
      </c>
      <c r="BL264" s="1108">
        <v>3374.8811597140857</v>
      </c>
      <c r="BM264" s="1108">
        <v>3637.6327389195499</v>
      </c>
      <c r="BN264" s="1108">
        <v>3733.3042126583618</v>
      </c>
      <c r="BO264" s="1108">
        <v>3704.83398956163</v>
      </c>
      <c r="BP264" s="1108">
        <v>3943.0489376688638</v>
      </c>
      <c r="BQ264" s="1108">
        <v>4619.3155054593535</v>
      </c>
      <c r="BR264" s="1108">
        <v>4710.5064310137468</v>
      </c>
      <c r="BS264" s="1108">
        <v>4818.9999444344903</v>
      </c>
      <c r="BT264" s="1108">
        <v>5059.2838730801332</v>
      </c>
      <c r="BU264" s="1108">
        <v>5231.9706350786601</v>
      </c>
      <c r="BV264" s="1108">
        <v>5441.2494604818003</v>
      </c>
      <c r="BW264" s="1108">
        <v>5604.4869442962599</v>
      </c>
      <c r="BX264" s="1108">
        <v>5828.6664220681096</v>
      </c>
      <c r="BY264" s="1108">
        <v>6003.5264147301496</v>
      </c>
      <c r="BZ264" s="1108">
        <v>6243.6674713193597</v>
      </c>
      <c r="CA264" s="1108">
        <v>6430.9774954589402</v>
      </c>
      <c r="CB264" s="1108">
        <v>6688.2165952773003</v>
      </c>
      <c r="CC264" s="1108">
        <v>6888.8630931356201</v>
      </c>
      <c r="CD264" s="1108">
        <v>7164.4176168610402</v>
      </c>
      <c r="CE264" s="1108">
        <v>7379.3501453668696</v>
      </c>
      <c r="CF264" s="1108">
        <v>7674.5241511815502</v>
      </c>
    </row>
    <row r="265" spans="4:84" ht="14.45" hidden="1" outlineLevel="1">
      <c r="D265" s="1611"/>
      <c r="E265" s="1619"/>
      <c r="F265" s="1107" t="s">
        <v>1191</v>
      </c>
      <c r="G265" s="1107"/>
      <c r="H265" s="1107"/>
      <c r="I265" s="1107"/>
      <c r="AH265" s="1109">
        <v>776.595744680851</v>
      </c>
      <c r="AI265" s="1109">
        <v>52.059714967434132</v>
      </c>
      <c r="AJ265" s="1109">
        <v>44.356283155553058</v>
      </c>
      <c r="AK265" s="1109">
        <v>36.527556045875059</v>
      </c>
      <c r="AL265" s="1109">
        <v>23.979766984791379</v>
      </c>
      <c r="AM265" s="1109">
        <v>21.241299930901722</v>
      </c>
      <c r="AN265" s="1109">
        <v>25.129017365492018</v>
      </c>
      <c r="AO265" s="1109">
        <v>26.871710494563743</v>
      </c>
      <c r="AP265" s="1109">
        <v>27.287428677118687</v>
      </c>
      <c r="AQ265" s="1109">
        <v>29.139923200608397</v>
      </c>
      <c r="AR265" s="1109">
        <v>17.44787628059893</v>
      </c>
      <c r="AS265" s="1109">
        <v>16.667870796267348</v>
      </c>
      <c r="AT265" s="1109">
        <v>28.634339020210252</v>
      </c>
      <c r="AU265" s="1109">
        <v>20.454455460444603</v>
      </c>
      <c r="AV265" s="1109">
        <v>31.378002746869416</v>
      </c>
      <c r="AW265" s="1109">
        <v>34.558859188667178</v>
      </c>
      <c r="AX265" s="1109">
        <v>30.913041036762618</v>
      </c>
      <c r="AY265" s="1109">
        <v>35.086055977735825</v>
      </c>
      <c r="AZ265" s="1109">
        <v>26.963320318760331</v>
      </c>
      <c r="BA265" s="1109">
        <v>22.37700912574207</v>
      </c>
      <c r="BB265" s="1109">
        <v>18.633504410372165</v>
      </c>
      <c r="BC265" s="1109">
        <v>16.095766500727933</v>
      </c>
      <c r="BD265" s="1109">
        <v>16.79435529587769</v>
      </c>
      <c r="BE265" s="1109">
        <v>13.31963454888119</v>
      </c>
      <c r="BF265" s="1109">
        <v>14.015924613816203</v>
      </c>
      <c r="BG265" s="1109">
        <v>14.903243269579313</v>
      </c>
      <c r="BH265" s="1109">
        <v>14.943154056598917</v>
      </c>
      <c r="BI265" s="1109">
        <v>10.230174972289758</v>
      </c>
      <c r="BJ265" s="1109">
        <v>10.688514534887709</v>
      </c>
      <c r="BK265" s="1109">
        <v>8.1499939030705786</v>
      </c>
      <c r="BL265" s="1109">
        <v>10.629170898032937</v>
      </c>
      <c r="BM265" s="1109">
        <v>15.450406836733455</v>
      </c>
      <c r="BN265" s="1109">
        <v>13.871378085390113</v>
      </c>
      <c r="BO265" s="1109">
        <v>16.528720121011588</v>
      </c>
      <c r="BP265" s="1109">
        <v>16.835193628059848</v>
      </c>
      <c r="BQ265" s="1109">
        <v>26.986857580113575</v>
      </c>
      <c r="BR265" s="1109">
        <v>26.175263592021924</v>
      </c>
      <c r="BS265" s="1109">
        <v>30.073303095685876</v>
      </c>
      <c r="BT265" s="1109">
        <v>28.308929284331658</v>
      </c>
      <c r="BU265" s="1109">
        <v>13.262898559218092</v>
      </c>
      <c r="BV265" s="1109">
        <v>15.513045999828737</v>
      </c>
      <c r="BW265" s="1109">
        <v>16.299792673144481</v>
      </c>
      <c r="BX265" s="1109">
        <v>15.207340965423432</v>
      </c>
      <c r="BY265" s="1109">
        <v>14.746943999999907</v>
      </c>
      <c r="BZ265" s="1109">
        <v>14.746944000000115</v>
      </c>
      <c r="CA265" s="1109">
        <v>14.746943999999992</v>
      </c>
      <c r="CB265" s="1109">
        <v>14.746944000000051</v>
      </c>
      <c r="CC265" s="1109">
        <v>14.746944000000129</v>
      </c>
      <c r="CD265" s="1109">
        <v>14.746943999999976</v>
      </c>
      <c r="CE265" s="1109">
        <v>14.746943999999951</v>
      </c>
      <c r="CF265" s="1109">
        <v>14.746943999999997</v>
      </c>
    </row>
    <row r="266" spans="4:84" ht="14.45" hidden="1" outlineLevel="1" collapsed="1">
      <c r="D266" s="1611"/>
      <c r="E266" s="1619"/>
      <c r="F266" s="1107"/>
      <c r="G266" s="1107"/>
      <c r="H266" s="1107"/>
      <c r="I266" s="1107"/>
    </row>
    <row r="267" spans="4:84" ht="14.45" collapsed="1">
      <c r="D267" s="1614" t="s">
        <v>1234</v>
      </c>
      <c r="E267" s="1612" t="s">
        <v>1095</v>
      </c>
      <c r="F267" s="1106" t="s">
        <v>1190</v>
      </c>
      <c r="G267" s="1106"/>
      <c r="H267" s="1106"/>
      <c r="I267" s="1106"/>
      <c r="AD267" s="1108">
        <v>101.2</v>
      </c>
      <c r="AE267" s="1108">
        <v>349.82226705796052</v>
      </c>
      <c r="AF267" s="1108">
        <v>372.16941391941401</v>
      </c>
      <c r="AG267" s="1108">
        <v>390</v>
      </c>
      <c r="AH267" s="1108">
        <v>488.69799999999998</v>
      </c>
      <c r="AI267" s="1108">
        <v>470</v>
      </c>
      <c r="AJ267" s="1108">
        <v>537</v>
      </c>
      <c r="AK267" s="1108">
        <v>525.29200000000003</v>
      </c>
      <c r="AL267" s="1108">
        <v>634.20899999999995</v>
      </c>
      <c r="AM267" s="1108">
        <v>622.55200000000002</v>
      </c>
      <c r="AN267" s="1108">
        <v>644.77499999999998</v>
      </c>
      <c r="AO267" s="1108">
        <v>659.81560000000002</v>
      </c>
      <c r="AP267" s="1108">
        <v>777.09673499999997</v>
      </c>
      <c r="AQ267" s="1108">
        <v>676.62707999999998</v>
      </c>
      <c r="AR267" s="1108">
        <v>620.04</v>
      </c>
      <c r="AS267" s="1108">
        <v>754.50401999999997</v>
      </c>
      <c r="AT267" s="1108">
        <v>909.36539464999998</v>
      </c>
      <c r="AU267" s="1108">
        <v>955.40916340000001</v>
      </c>
      <c r="AV267" s="1108">
        <v>1136.6189999999999</v>
      </c>
      <c r="AW267" s="1108">
        <v>1152.8187929999999</v>
      </c>
      <c r="AX267" s="1108">
        <v>1375.7444130449999</v>
      </c>
      <c r="AY267" s="1108">
        <v>1246.28714713</v>
      </c>
      <c r="AZ267" s="1108">
        <v>1384.8534578061181</v>
      </c>
      <c r="BA267" s="1108">
        <v>1221.39159166524</v>
      </c>
      <c r="BB267" s="1108">
        <v>1392.215218974274</v>
      </c>
      <c r="BC267" s="1108">
        <v>1163.1275642158837</v>
      </c>
      <c r="BD267" s="1108">
        <v>1284.7132555696412</v>
      </c>
      <c r="BE267" s="1108">
        <v>1275.2783873552314</v>
      </c>
      <c r="BF267" s="1108">
        <v>1509.3510416505319</v>
      </c>
      <c r="BG267" s="1108">
        <v>1308.0445555884646</v>
      </c>
      <c r="BH267" s="1108">
        <v>1462.0805097957921</v>
      </c>
      <c r="BI267" s="1108">
        <v>1482.4143101300931</v>
      </c>
      <c r="BJ267" s="1108">
        <v>1757.90307449955</v>
      </c>
      <c r="BK267" s="1108">
        <v>1508.404554341844</v>
      </c>
      <c r="BL267" s="1108">
        <v>1690.20833710342</v>
      </c>
      <c r="BM267" s="1108">
        <v>1923.8608093166749</v>
      </c>
      <c r="BN267" s="1108">
        <v>2242.5322329298351</v>
      </c>
      <c r="BO267" s="1108">
        <v>1890.4476905914401</v>
      </c>
      <c r="BP267" s="1108">
        <v>2180.4879953345949</v>
      </c>
      <c r="BQ267" s="1108">
        <v>2210.0736742273648</v>
      </c>
      <c r="BR267" s="1108">
        <v>2587.0138931565548</v>
      </c>
      <c r="BS267" s="1108">
        <v>2174.814182403305</v>
      </c>
      <c r="BT267" s="1108">
        <v>2508.5332355998248</v>
      </c>
    </row>
    <row r="268" spans="4:84" ht="14.45" hidden="1" outlineLevel="1">
      <c r="D268" s="1611"/>
      <c r="E268" s="1619"/>
      <c r="F268" s="1106" t="s">
        <v>1191</v>
      </c>
      <c r="G268" s="1106"/>
      <c r="H268" s="1106"/>
      <c r="I268" s="1106"/>
      <c r="AH268" s="1109">
        <v>382.90316205533594</v>
      </c>
      <c r="AI268" s="1109">
        <v>34.353940345977968</v>
      </c>
      <c r="AJ268" s="1109">
        <v>44.289127455346673</v>
      </c>
      <c r="AK268" s="1109">
        <v>34.690256410256417</v>
      </c>
      <c r="AL268" s="1109">
        <v>29.775239513973862</v>
      </c>
      <c r="AM268" s="1109">
        <v>32.457872340425538</v>
      </c>
      <c r="AN268" s="1109">
        <v>20.069832402234631</v>
      </c>
      <c r="AO268" s="1109">
        <v>25.609299208820996</v>
      </c>
      <c r="AP268" s="1109">
        <v>22.530070528800447</v>
      </c>
      <c r="AQ268" s="1109">
        <v>8.6860342589855879</v>
      </c>
      <c r="AR268" s="1109">
        <v>-3.8362219378853113</v>
      </c>
      <c r="AS268" s="1109">
        <v>14.3507398127598</v>
      </c>
      <c r="AT268" s="1109">
        <v>17.020874453937839</v>
      </c>
      <c r="AU268" s="1109">
        <v>41.201733072817603</v>
      </c>
      <c r="AV268" s="1109">
        <v>83.313818463324935</v>
      </c>
      <c r="AW268" s="1109">
        <v>52.791603814118837</v>
      </c>
      <c r="AX268" s="1109">
        <v>51.286206967937417</v>
      </c>
      <c r="AY268" s="1109">
        <v>30.445383493586871</v>
      </c>
      <c r="AZ268" s="1109">
        <v>21.839724464056836</v>
      </c>
      <c r="BA268" s="1109">
        <v>5.9482721032671479</v>
      </c>
      <c r="BB268" s="1109">
        <v>1.1972286256877092</v>
      </c>
      <c r="BC268" s="1109">
        <v>-6.6725860974831939</v>
      </c>
      <c r="BD268" s="1109">
        <v>-7.2311046105281607</v>
      </c>
      <c r="BE268" s="1109">
        <v>4.4119180169336554</v>
      </c>
      <c r="BF268" s="1109">
        <v>8.4136289475817332</v>
      </c>
      <c r="BG268" s="1109">
        <v>12.459251747702837</v>
      </c>
      <c r="BH268" s="1109">
        <v>13.805979930323542</v>
      </c>
      <c r="BI268" s="1109">
        <v>16.242408310897183</v>
      </c>
      <c r="BJ268" s="1109">
        <v>16.467476815546977</v>
      </c>
      <c r="BK268" s="1109">
        <v>15.317520943561528</v>
      </c>
      <c r="BL268" s="1109">
        <v>15.602959329475668</v>
      </c>
      <c r="BM268" s="1109">
        <v>29.778888140107174</v>
      </c>
      <c r="BN268" s="1109">
        <v>27.568593824107857</v>
      </c>
      <c r="BO268" s="1109">
        <v>25.327630783791378</v>
      </c>
      <c r="BP268" s="1109">
        <v>29.007054779494663</v>
      </c>
      <c r="BQ268" s="1109">
        <v>14.877004798093898</v>
      </c>
      <c r="BR268" s="1109">
        <v>15.361280215654224</v>
      </c>
      <c r="BS268" s="1109">
        <v>15.042283011962047</v>
      </c>
      <c r="BT268" s="1109">
        <v>15.04457905602418</v>
      </c>
    </row>
    <row r="269" spans="4:84" ht="14.45" hidden="1" outlineLevel="1" collapsed="1">
      <c r="D269" s="1611"/>
      <c r="E269" s="1619"/>
      <c r="F269" s="1106"/>
      <c r="G269" s="1106"/>
      <c r="H269" s="1106"/>
      <c r="I269" s="1106"/>
    </row>
    <row r="270" spans="4:84" ht="14.45" collapsed="1">
      <c r="D270" s="1613" t="s">
        <v>1192</v>
      </c>
      <c r="E270" s="1612" t="s">
        <v>1095</v>
      </c>
      <c r="F270" s="1107" t="s">
        <v>1190</v>
      </c>
      <c r="G270" s="1107"/>
      <c r="H270" s="1107"/>
      <c r="I270" s="1107"/>
      <c r="AD270" s="1108">
        <v>228</v>
      </c>
      <c r="AE270" s="1108">
        <v>976</v>
      </c>
      <c r="AF270" s="1108">
        <v>1067</v>
      </c>
      <c r="AG270" s="1108">
        <v>1148</v>
      </c>
      <c r="AH270" s="1108">
        <v>1312</v>
      </c>
      <c r="AI270" s="1108">
        <v>1335</v>
      </c>
      <c r="AJ270" s="1108">
        <v>1464</v>
      </c>
      <c r="AK270" s="1108">
        <v>1530</v>
      </c>
      <c r="AL270" s="1108">
        <v>1693</v>
      </c>
      <c r="AM270" s="1108">
        <v>1696</v>
      </c>
      <c r="AN270" s="1108">
        <v>1835</v>
      </c>
      <c r="AO270" s="1108">
        <v>1909</v>
      </c>
      <c r="AP270" s="1108">
        <v>2102</v>
      </c>
      <c r="AQ270" s="1108">
        <v>2050</v>
      </c>
      <c r="AR270" s="1108">
        <v>2016</v>
      </c>
      <c r="AS270" s="1108">
        <v>2206</v>
      </c>
      <c r="AT270" s="1108">
        <v>2577</v>
      </c>
      <c r="AU270" s="1108">
        <v>2562</v>
      </c>
      <c r="AV270" s="1108">
        <v>2944</v>
      </c>
      <c r="AW270" s="1108">
        <v>3136</v>
      </c>
      <c r="AX270" s="1108">
        <v>3531</v>
      </c>
      <c r="AY270" s="1108">
        <v>3437</v>
      </c>
      <c r="AZ270" s="1108">
        <v>3712</v>
      </c>
      <c r="BA270" s="1108">
        <v>3663</v>
      </c>
      <c r="BB270" s="1108">
        <v>3876</v>
      </c>
      <c r="BC270" s="1108">
        <v>3645.1661519646223</v>
      </c>
      <c r="BD270" s="1108">
        <v>3969.9132442627288</v>
      </c>
      <c r="BE270" s="1108">
        <v>4056.897397224257</v>
      </c>
      <c r="BF270" s="1108">
        <v>4345.6173275419287</v>
      </c>
      <c r="BG270" s="1108">
        <v>4120.8924354186356</v>
      </c>
      <c r="BH270" s="1108">
        <v>4487.6897619405527</v>
      </c>
      <c r="BI270" s="1108">
        <v>4649.0533036982233</v>
      </c>
      <c r="BJ270" s="1108">
        <v>4988.4564355406192</v>
      </c>
      <c r="BK270" s="1108">
        <v>4754.9956670471338</v>
      </c>
      <c r="BL270" s="1108">
        <v>5184.8698885043077</v>
      </c>
      <c r="BM270" s="1108">
        <v>5632.4571396531983</v>
      </c>
      <c r="BN270" s="1108">
        <v>6037.5378809199601</v>
      </c>
      <c r="BO270" s="1108">
        <v>5707.2821062054645</v>
      </c>
      <c r="BP270" s="1108">
        <v>6316.1345342800014</v>
      </c>
      <c r="BQ270" s="1108">
        <v>7152.1580908219021</v>
      </c>
      <c r="BR270" s="1108">
        <v>7606.4589398992057</v>
      </c>
      <c r="BS270" s="1108">
        <v>7230.2373607555437</v>
      </c>
      <c r="BT270" s="1108">
        <v>8037.8110525899956</v>
      </c>
      <c r="BU270" s="1108">
        <v>7758.3311166611247</v>
      </c>
      <c r="BV270" s="1108">
        <v>8125.7688622200003</v>
      </c>
      <c r="BW270" s="1108">
        <v>7849.7697914753398</v>
      </c>
      <c r="BX270" s="1108">
        <v>8700.720785816975</v>
      </c>
      <c r="BY270" s="1108">
        <v>8891.9963635304393</v>
      </c>
      <c r="BZ270" s="1108">
        <v>9285.6943649993991</v>
      </c>
      <c r="CA270" s="1108">
        <v>9047.1465499584501</v>
      </c>
      <c r="CB270" s="1108">
        <v>9996.2172733098341</v>
      </c>
      <c r="CC270" s="1108">
        <v>10097.15606128828</v>
      </c>
      <c r="CD270" s="1108">
        <v>10551.198422373351</v>
      </c>
      <c r="CE270" s="1108">
        <v>10274.483609562894</v>
      </c>
      <c r="CF270" s="1108">
        <v>11376.86049277975</v>
      </c>
    </row>
    <row r="271" spans="4:84" ht="14.45" hidden="1" outlineLevel="1">
      <c r="D271" s="1611"/>
      <c r="E271" s="1619"/>
      <c r="F271" s="1107" t="s">
        <v>1191</v>
      </c>
      <c r="G271" s="1107"/>
      <c r="H271" s="1107"/>
      <c r="I271" s="1107"/>
      <c r="AH271" s="1109">
        <v>475.43859649122805</v>
      </c>
      <c r="AI271" s="1109">
        <v>36.782786885245898</v>
      </c>
      <c r="AJ271" s="1109">
        <v>37.207122774133083</v>
      </c>
      <c r="AK271" s="1109">
        <v>33.275261324041807</v>
      </c>
      <c r="AL271" s="1109">
        <v>29.039634146341463</v>
      </c>
      <c r="AM271" s="1109">
        <v>27.04119850187266</v>
      </c>
      <c r="AN271" s="1109">
        <v>25.341530054644807</v>
      </c>
      <c r="AO271" s="1109">
        <v>24.77124183006536</v>
      </c>
      <c r="AP271" s="1109">
        <v>24.158298877731838</v>
      </c>
      <c r="AQ271" s="1109">
        <v>20.872641509433961</v>
      </c>
      <c r="AR271" s="1109">
        <v>9.8637602179836517</v>
      </c>
      <c r="AS271" s="1109">
        <v>15.557883708748035</v>
      </c>
      <c r="AT271" s="1109">
        <v>22.597526165556616</v>
      </c>
      <c r="AU271" s="1109">
        <v>24.975609756097562</v>
      </c>
      <c r="AV271" s="1109">
        <v>46.031746031746032</v>
      </c>
      <c r="AW271" s="1109">
        <v>42.157751586582052</v>
      </c>
      <c r="AX271" s="1109">
        <v>37.019790454016302</v>
      </c>
      <c r="AY271" s="1109">
        <v>34.15300546448087</v>
      </c>
      <c r="AZ271" s="1109">
        <v>26.086956521739129</v>
      </c>
      <c r="BA271" s="1109">
        <v>16.804846938775512</v>
      </c>
      <c r="BB271" s="1109">
        <v>9.770603228547154</v>
      </c>
      <c r="BC271" s="1109">
        <v>6.0566235660349799</v>
      </c>
      <c r="BD271" s="1109">
        <v>6.9480938648364434</v>
      </c>
      <c r="BE271" s="1109">
        <v>10.753409697631914</v>
      </c>
      <c r="BF271" s="1109">
        <v>12.116030122340781</v>
      </c>
      <c r="BG271" s="1109">
        <v>13.050880635375506</v>
      </c>
      <c r="BH271" s="1109">
        <v>13.042514680292028</v>
      </c>
      <c r="BI271" s="1109">
        <v>14.596275145610567</v>
      </c>
      <c r="BJ271" s="1109">
        <v>14.792814450652708</v>
      </c>
      <c r="BK271" s="1109">
        <v>15.387522037179322</v>
      </c>
      <c r="BL271" s="1109">
        <v>15.535390446916336</v>
      </c>
      <c r="BM271" s="1109">
        <v>21.152776096860368</v>
      </c>
      <c r="BN271" s="1109">
        <v>21.030181558870279</v>
      </c>
      <c r="BO271" s="1109">
        <v>20.027072700777104</v>
      </c>
      <c r="BP271" s="1109">
        <v>21.818573466691802</v>
      </c>
      <c r="BQ271" s="1109">
        <v>26.981136535772642</v>
      </c>
      <c r="BR271" s="1109">
        <v>25.986107084104681</v>
      </c>
      <c r="BS271" s="1109">
        <v>26.684422220765764</v>
      </c>
      <c r="BT271" s="1109">
        <v>27.258388955552139</v>
      </c>
      <c r="BU271" s="1109">
        <v>8.4753862839959027</v>
      </c>
      <c r="BV271" s="1109">
        <v>6.8272231063627622</v>
      </c>
      <c r="BW271" s="1109">
        <v>8.5686319799472859</v>
      </c>
      <c r="BX271" s="1109">
        <v>8.2473913468440188</v>
      </c>
      <c r="BY271" s="1109">
        <v>14.612230772604596</v>
      </c>
      <c r="BZ271" s="1109">
        <v>14.274655388887119</v>
      </c>
      <c r="CA271" s="1109">
        <v>15.253654441986725</v>
      </c>
      <c r="CB271" s="1109">
        <v>14.88953064215835</v>
      </c>
      <c r="CC271" s="1109">
        <v>13.553308486502234</v>
      </c>
      <c r="CD271" s="1109">
        <v>13.628534470658657</v>
      </c>
      <c r="CE271" s="1109">
        <v>13.566012806657596</v>
      </c>
      <c r="CF271" s="1109">
        <v>13.811656766967936</v>
      </c>
    </row>
    <row r="272" spans="4:84" ht="14.45" hidden="1" outlineLevel="1" collapsed="1">
      <c r="D272" s="1611"/>
      <c r="E272" s="1619"/>
      <c r="F272" s="1107"/>
      <c r="G272" s="1107"/>
      <c r="H272" s="1107"/>
      <c r="I272" s="1107"/>
    </row>
    <row r="273" spans="4:84" ht="14.45" collapsed="1">
      <c r="D273" s="1613" t="s">
        <v>1235</v>
      </c>
      <c r="E273" s="1612" t="s">
        <v>1095</v>
      </c>
      <c r="F273" s="1106" t="s">
        <v>1190</v>
      </c>
      <c r="G273" s="1106"/>
      <c r="H273" s="1106"/>
      <c r="I273" s="1106"/>
      <c r="J273" s="1108"/>
      <c r="K273" s="1108"/>
      <c r="L273" s="1108"/>
      <c r="M273" s="1108"/>
      <c r="N273" s="1108"/>
      <c r="O273" s="1108"/>
      <c r="P273" s="1108"/>
      <c r="Q273" s="1108"/>
      <c r="R273" s="1108"/>
      <c r="S273" s="1108"/>
      <c r="T273" s="1108"/>
      <c r="U273" s="1108"/>
      <c r="V273" s="1108"/>
      <c r="W273" s="1108"/>
      <c r="X273" s="1108"/>
      <c r="Y273" s="1108">
        <v>39.398400000000002</v>
      </c>
      <c r="Z273" s="1108">
        <v>71.587475999999995</v>
      </c>
      <c r="AA273" s="1108">
        <v>33.792000000000002</v>
      </c>
      <c r="AC273" s="1108">
        <v>107.8496</v>
      </c>
      <c r="AD273" s="1108">
        <v>110.779369</v>
      </c>
      <c r="AE273" s="1108">
        <v>129.13650000000001</v>
      </c>
      <c r="AF273" s="1108">
        <v>206.68600000000001</v>
      </c>
      <c r="AG273" s="1108">
        <v>90.290620000000004</v>
      </c>
      <c r="AH273" s="1108">
        <v>86.773626299999506</v>
      </c>
      <c r="AI273" s="1108">
        <v>118.2814997</v>
      </c>
      <c r="AJ273" s="1108">
        <v>194.3929148</v>
      </c>
      <c r="AK273" s="1108">
        <v>170.56306430400099</v>
      </c>
      <c r="AL273" s="1108">
        <v>155.80251579649897</v>
      </c>
      <c r="AM273" s="1108">
        <v>220.814486090841</v>
      </c>
      <c r="AN273" s="1108">
        <v>179.24810880283999</v>
      </c>
      <c r="AO273" s="1108">
        <v>156.332971890343</v>
      </c>
      <c r="AP273" s="1108">
        <v>135.787928307573</v>
      </c>
      <c r="AQ273" s="1108">
        <v>213.59032143428101</v>
      </c>
      <c r="AR273" s="1108">
        <v>163.957276261641</v>
      </c>
      <c r="AS273" s="1108">
        <v>156.18857003978397</v>
      </c>
      <c r="AT273" s="1108">
        <v>147.73406414792001</v>
      </c>
      <c r="AU273" s="1108">
        <v>231.44351380107</v>
      </c>
      <c r="AV273" s="1108">
        <v>198.916996838145</v>
      </c>
      <c r="AW273" s="1108">
        <v>176.661329457645</v>
      </c>
      <c r="AX273" s="1108">
        <v>171.89917124218101</v>
      </c>
      <c r="AY273" s="1108">
        <v>251.019727100338</v>
      </c>
      <c r="BA273" s="1108">
        <v>193.97419951076699</v>
      </c>
      <c r="BB273" s="1108">
        <v>145.769064026059</v>
      </c>
      <c r="BC273" s="1108">
        <v>238.46874074532101</v>
      </c>
      <c r="BD273" s="1108">
        <v>206.23774198739301</v>
      </c>
      <c r="BE273" s="1108">
        <v>180.396005545013</v>
      </c>
      <c r="BF273" s="1108">
        <v>138.48061082475601</v>
      </c>
      <c r="BG273" s="1108">
        <v>226.545303708055</v>
      </c>
      <c r="BH273" s="1108">
        <v>195.92585488802399</v>
      </c>
      <c r="BI273" s="1108">
        <v>171.376205267763</v>
      </c>
      <c r="BJ273" s="1108">
        <v>131.556580283518</v>
      </c>
      <c r="BK273" s="1108">
        <v>215.21803852265199</v>
      </c>
      <c r="BL273" s="1108">
        <v>186.12956214362299</v>
      </c>
      <c r="BM273" s="1108">
        <v>162.807395004374</v>
      </c>
      <c r="BN273" s="1108">
        <v>124.978751269342</v>
      </c>
      <c r="BO273" s="1108">
        <v>204.45713659652</v>
      </c>
      <c r="BP273" s="1108">
        <v>176.823084036441</v>
      </c>
      <c r="BQ273" s="1108">
        <v>154.66702525415599</v>
      </c>
      <c r="BR273" s="1108">
        <v>118.729813705875</v>
      </c>
      <c r="BS273" s="1108">
        <v>194.23427976669399</v>
      </c>
      <c r="BT273" s="1108">
        <v>167.981929834619</v>
      </c>
    </row>
    <row r="274" spans="4:84" ht="14.45" hidden="1" outlineLevel="1">
      <c r="D274" s="1611"/>
      <c r="E274" s="1619"/>
      <c r="F274" s="1106" t="s">
        <v>1191</v>
      </c>
      <c r="G274" s="1106"/>
      <c r="H274" s="1106"/>
      <c r="I274" s="1106"/>
      <c r="W274" s="1109"/>
      <c r="X274" s="1109"/>
      <c r="Y274" s="1109">
        <v>-19.999999999999989</v>
      </c>
      <c r="Z274" s="1109">
        <v>-20.000000000000011</v>
      </c>
      <c r="AA274" s="1109">
        <v>-20</v>
      </c>
      <c r="AC274" s="1109">
        <v>173.74106562703054</v>
      </c>
      <c r="AD274" s="1109">
        <v>54.746856838478294</v>
      </c>
      <c r="AE274" s="1109">
        <v>282.15110085227275</v>
      </c>
      <c r="AG274" s="1109">
        <v>-16.280987597543238</v>
      </c>
      <c r="AH274" s="1109">
        <v>-21.669867698921898</v>
      </c>
      <c r="AI274" s="1109">
        <v>-8.4058343690591073</v>
      </c>
      <c r="AJ274" s="1109">
        <v>-5.9477106335213836</v>
      </c>
      <c r="AK274" s="1109">
        <v>88.904522201753593</v>
      </c>
      <c r="AL274" s="1109">
        <v>79.550541379760048</v>
      </c>
      <c r="AM274" s="1109">
        <v>86.685565072219831</v>
      </c>
      <c r="AN274" s="1109">
        <v>-7.7908220125932317</v>
      </c>
      <c r="AO274" s="1109">
        <v>-8.3430093565246661</v>
      </c>
      <c r="AP274" s="1109">
        <v>-12.846125999061508</v>
      </c>
      <c r="AQ274" s="1109">
        <v>-3.2715990623858069</v>
      </c>
      <c r="AR274" s="1109">
        <v>-8.5305405135503047</v>
      </c>
      <c r="AS274" s="1109">
        <v>-9.2368135021653072E-2</v>
      </c>
      <c r="AT274" s="1109">
        <v>8.7976420210844086</v>
      </c>
      <c r="AU274" s="1109">
        <v>8.3586148692988349</v>
      </c>
      <c r="AV274" s="1109">
        <v>21.32245751674705</v>
      </c>
      <c r="AW274" s="1109">
        <v>13.107719350171562</v>
      </c>
      <c r="AX274" s="1109">
        <v>16.357166665411356</v>
      </c>
      <c r="AY274" s="1109">
        <v>8.4583114807417434</v>
      </c>
      <c r="BA274" s="1109">
        <v>9.8000338309877844</v>
      </c>
      <c r="BB274" s="1109">
        <v>-15.200833737184505</v>
      </c>
      <c r="BC274" s="1109">
        <v>-5.0000000000000346</v>
      </c>
      <c r="BE274" s="1109">
        <v>-7.000000000000159</v>
      </c>
      <c r="BF274" s="1109">
        <v>-5.0000000000000249</v>
      </c>
      <c r="BG274" s="1109">
        <v>-4.999999999999984</v>
      </c>
      <c r="BH274" s="1109">
        <v>-4.9999999999996927</v>
      </c>
      <c r="BI274" s="1109">
        <v>-4.9999999999996394</v>
      </c>
      <c r="BJ274" s="1109">
        <v>-5.0000000000001519</v>
      </c>
      <c r="BK274" s="1109">
        <v>-5.0000000000001137</v>
      </c>
      <c r="BL274" s="1109">
        <v>-4.9999999999998979</v>
      </c>
      <c r="BM274" s="1109">
        <v>-5.0000000000004947</v>
      </c>
      <c r="BN274" s="1109">
        <v>-5.000000000000079</v>
      </c>
      <c r="BO274" s="1109">
        <v>-4.9999999999997176</v>
      </c>
      <c r="BP274" s="1109">
        <v>-5.0000000000004503</v>
      </c>
      <c r="BQ274" s="1109">
        <v>-4.9999999999995781</v>
      </c>
      <c r="BR274" s="1109">
        <v>-4.9999999999999165</v>
      </c>
      <c r="BS274" s="1109">
        <v>-5.0000000000000071</v>
      </c>
      <c r="BT274" s="1109">
        <v>-4.999999999999976</v>
      </c>
    </row>
    <row r="275" spans="4:84" ht="14.45" hidden="1" outlineLevel="1" collapsed="1">
      <c r="D275" s="1611"/>
      <c r="E275" s="1619"/>
      <c r="F275" s="1106"/>
      <c r="G275" s="1106"/>
      <c r="H275" s="1106"/>
      <c r="I275" s="1106"/>
    </row>
    <row r="276" spans="4:84" ht="14.45" collapsed="1">
      <c r="D276" s="1613" t="s">
        <v>1194</v>
      </c>
      <c r="E276" s="1612" t="s">
        <v>1095</v>
      </c>
      <c r="F276" s="1107" t="s">
        <v>1190</v>
      </c>
      <c r="G276" s="1107"/>
      <c r="H276" s="1107"/>
      <c r="I276" s="1107"/>
      <c r="J276" s="1108"/>
      <c r="K276" s="1108"/>
      <c r="L276" s="1108"/>
      <c r="M276" s="1108"/>
      <c r="N276" s="1108"/>
      <c r="O276" s="1108"/>
      <c r="P276" s="1108"/>
      <c r="Q276" s="1108"/>
      <c r="R276" s="1108"/>
      <c r="S276" s="1108"/>
      <c r="T276" s="1108"/>
      <c r="U276" s="1108"/>
      <c r="V276" s="1108"/>
      <c r="W276" s="1108"/>
      <c r="X276" s="1108"/>
      <c r="Y276" s="1108">
        <v>-78.398872304827805</v>
      </c>
      <c r="Z276" s="1108">
        <v>211.53151046981901</v>
      </c>
      <c r="AA276" s="1108">
        <v>-168.89482044744801</v>
      </c>
      <c r="AB276" s="1108">
        <v>247.71407100593001</v>
      </c>
      <c r="AC276" s="1108">
        <v>17.689380289380995</v>
      </c>
      <c r="AD276" s="1108">
        <v>50.467888435374853</v>
      </c>
      <c r="AE276" s="1108">
        <v>-3.8720518750406501</v>
      </c>
      <c r="AF276" s="1108">
        <v>41.317402321394816</v>
      </c>
      <c r="AG276" s="1108">
        <v>414.83721202335732</v>
      </c>
      <c r="AH276" s="1108">
        <v>376.8463107334905</v>
      </c>
      <c r="AI276" s="1108">
        <v>336.46907047176711</v>
      </c>
      <c r="AJ276" s="1108">
        <v>482.19778147439467</v>
      </c>
      <c r="AK276" s="1108">
        <v>305.73591036383709</v>
      </c>
      <c r="AL276" s="1108">
        <v>249.28800451628899</v>
      </c>
      <c r="AM276" s="1108">
        <v>267.41081757709867</v>
      </c>
      <c r="AN276" s="1108">
        <v>509.52951844625744</v>
      </c>
      <c r="AO276" s="1108">
        <v>464.27319915057859</v>
      </c>
      <c r="AP276" s="1108">
        <v>225.01292561493756</v>
      </c>
      <c r="AQ276" s="1108">
        <v>167.8043283082576</v>
      </c>
      <c r="AR276" s="1108">
        <v>313.29506305062665</v>
      </c>
      <c r="AS276" s="1108">
        <v>189.71299653856659</v>
      </c>
      <c r="AT276" s="1108">
        <v>156.35797030662465</v>
      </c>
      <c r="AU276" s="1108">
        <v>128.48252695218534</v>
      </c>
      <c r="AV276" s="1108">
        <v>395.75377553895373</v>
      </c>
      <c r="AW276" s="1108">
        <v>0.11675294170674</v>
      </c>
      <c r="AX276" s="1108">
        <v>147.68119143740273</v>
      </c>
      <c r="AY276" s="1108">
        <v>147.45541129981399</v>
      </c>
      <c r="AZ276" s="1108">
        <v>-7.1801787687600003</v>
      </c>
      <c r="BA276" s="1108">
        <v>188.27513203150639</v>
      </c>
      <c r="BB276" s="1108">
        <v>83.212348342502764</v>
      </c>
      <c r="BC276" s="1108">
        <v>494.80307653449501</v>
      </c>
      <c r="BD276" s="1108">
        <v>914.02886781508096</v>
      </c>
      <c r="BE276" s="1108">
        <v>472.61832048900999</v>
      </c>
      <c r="BF276" s="1108">
        <v>233.378003140668</v>
      </c>
      <c r="BG276" s="1108">
        <v>491.72515621869098</v>
      </c>
      <c r="BH276" s="1108">
        <v>904.58602180696698</v>
      </c>
      <c r="BI276" s="1108">
        <v>528.95153456493995</v>
      </c>
      <c r="BJ276" s="1108">
        <v>511.91759928551102</v>
      </c>
      <c r="BK276" s="1108">
        <v>481.74790237512298</v>
      </c>
      <c r="BL276" s="1108">
        <v>454.66711257420297</v>
      </c>
      <c r="BN276" s="1108">
        <v>5.2000000000000001E-11</v>
      </c>
      <c r="BO276" s="1108">
        <v>-6.3999999999999999E-11</v>
      </c>
    </row>
    <row r="277" spans="4:84" ht="14.45" hidden="1" outlineLevel="1">
      <c r="D277" s="1611"/>
      <c r="E277" s="1619"/>
      <c r="F277" s="1107" t="s">
        <v>1191</v>
      </c>
      <c r="G277" s="1107"/>
      <c r="H277" s="1107"/>
      <c r="I277" s="1107"/>
      <c r="W277" s="1109"/>
      <c r="X277" s="1109"/>
      <c r="Y277" s="1109">
        <v>-140.66835748775921</v>
      </c>
      <c r="Z277" s="1109">
        <v>-16.908564150051397</v>
      </c>
      <c r="AA277" s="1109">
        <v>-164.99408680063513</v>
      </c>
      <c r="AB277" s="1109">
        <v>-45.329208412077087</v>
      </c>
      <c r="AC277" s="1109">
        <v>122.56330961063031</v>
      </c>
      <c r="AD277" s="1109">
        <v>-76.141668764486255</v>
      </c>
      <c r="AE277" s="1109">
        <v>97.707418223494031</v>
      </c>
      <c r="AF277" s="1109">
        <v>-83.320526704998628</v>
      </c>
      <c r="AG277" s="1109">
        <v>2245.1200959955941</v>
      </c>
      <c r="AH277" s="1109">
        <v>646.70512759028907</v>
      </c>
      <c r="AI277" s="1109">
        <v>8789.6839538916247</v>
      </c>
      <c r="AJ277" s="1109">
        <v>1067.0573520656812</v>
      </c>
      <c r="AK277" s="1109">
        <v>-26.299786638566385</v>
      </c>
      <c r="AL277" s="1109">
        <v>-33.848893457102733</v>
      </c>
      <c r="AM277" s="1109">
        <v>-20.52439851242228</v>
      </c>
      <c r="AN277" s="1109">
        <v>5.6681590048572463</v>
      </c>
      <c r="AO277" s="1109">
        <v>51.854323752180839</v>
      </c>
      <c r="AP277" s="1109">
        <v>-9.7377645380306515</v>
      </c>
      <c r="AQ277" s="1109">
        <v>-37.248489111747688</v>
      </c>
      <c r="AR277" s="1109">
        <v>-38.512872815302572</v>
      </c>
      <c r="AS277" s="1109">
        <v>-59.137637734493339</v>
      </c>
      <c r="AT277" s="1109">
        <v>-30.511560667319827</v>
      </c>
      <c r="AU277" s="1109">
        <v>-23.433126995292913</v>
      </c>
      <c r="AV277" s="1109">
        <v>26.319825050994254</v>
      </c>
      <c r="AW277" s="1109">
        <v>-99.938458121564167</v>
      </c>
      <c r="AX277" s="1109">
        <v>-5.5493038520558864</v>
      </c>
      <c r="AY277" s="1109">
        <v>14.766898501840171</v>
      </c>
      <c r="AZ277" s="1109">
        <v>-101.81430455312315</v>
      </c>
      <c r="BA277" s="1109">
        <v>161159.43319219811</v>
      </c>
      <c r="BB277" s="1109">
        <v>-43.654064859184331</v>
      </c>
      <c r="BC277" s="1109">
        <v>235.56115179010675</v>
      </c>
      <c r="BD277" s="1109">
        <v>12829.890121843466</v>
      </c>
      <c r="BE277" s="1109">
        <v>151.02535602520305</v>
      </c>
      <c r="BF277" s="1109">
        <v>180.46078231091624</v>
      </c>
      <c r="BG277" s="1109">
        <v>-0.62204955097716452</v>
      </c>
      <c r="BH277" s="1109">
        <v>-1.0331015070329679</v>
      </c>
      <c r="BI277" s="1109">
        <v>11.919388570811847</v>
      </c>
      <c r="BJ277" s="1109">
        <v>119.35126378511087</v>
      </c>
      <c r="BK277" s="1109">
        <v>-2.0290305910504811</v>
      </c>
      <c r="BL277" s="1109">
        <v>-49.737548269209704</v>
      </c>
      <c r="BN277" s="1109">
        <v>-99.999999999989839</v>
      </c>
      <c r="BO277" s="1109">
        <v>-100.00000000001327</v>
      </c>
    </row>
    <row r="278" spans="4:84" ht="14.45" hidden="1" outlineLevel="1" collapsed="1">
      <c r="D278" s="1611"/>
      <c r="E278" s="1619"/>
      <c r="F278" s="1107"/>
      <c r="G278" s="1107"/>
      <c r="H278" s="1107"/>
      <c r="I278" s="1107"/>
    </row>
    <row r="279" spans="4:84" ht="14.45" collapsed="1">
      <c r="D279" s="1610" t="s">
        <v>1195</v>
      </c>
      <c r="E279" s="1612" t="s">
        <v>1095</v>
      </c>
      <c r="F279" s="1106" t="s">
        <v>1190</v>
      </c>
      <c r="G279" s="1106"/>
      <c r="H279" s="1106"/>
      <c r="I279" s="1106"/>
      <c r="J279" s="1108"/>
      <c r="K279" s="1108"/>
      <c r="L279" s="1108"/>
      <c r="M279" s="1108"/>
      <c r="N279" s="1108"/>
      <c r="O279" s="1108"/>
      <c r="P279" s="1108"/>
      <c r="Q279" s="1108"/>
      <c r="R279" s="1108"/>
      <c r="S279" s="1108"/>
      <c r="T279" s="1108"/>
      <c r="U279" s="1108"/>
      <c r="V279" s="1108"/>
      <c r="W279" s="1108"/>
      <c r="X279" s="1108"/>
      <c r="Y279" s="1108">
        <v>5998</v>
      </c>
      <c r="Z279" s="1108">
        <v>6480</v>
      </c>
      <c r="AA279" s="1108">
        <v>6207</v>
      </c>
      <c r="AB279" s="1108">
        <v>7107</v>
      </c>
      <c r="AC279" s="1108">
        <v>6436</v>
      </c>
      <c r="AD279" s="1108">
        <v>7179</v>
      </c>
      <c r="AE279" s="1108">
        <v>7707</v>
      </c>
      <c r="AF279" s="1108">
        <v>8547.9999999999909</v>
      </c>
      <c r="AG279" s="1108">
        <v>8238</v>
      </c>
      <c r="AH279" s="1108">
        <v>8953</v>
      </c>
      <c r="AI279" s="1108">
        <v>9006</v>
      </c>
      <c r="AJ279" s="1108">
        <v>9668</v>
      </c>
      <c r="AK279" s="1108">
        <v>9771</v>
      </c>
      <c r="AL279" s="1108">
        <v>10100</v>
      </c>
      <c r="AM279" s="1108">
        <v>10242</v>
      </c>
      <c r="AN279" s="1108">
        <v>11047</v>
      </c>
      <c r="AO279" s="1108">
        <v>11077</v>
      </c>
      <c r="AP279" s="1108">
        <v>11826</v>
      </c>
      <c r="AQ279" s="1108">
        <v>11743</v>
      </c>
      <c r="AR279" s="1108">
        <v>11752</v>
      </c>
      <c r="AS279" s="1108">
        <v>12319</v>
      </c>
      <c r="AT279" s="1108">
        <v>13353</v>
      </c>
      <c r="AU279" s="1108">
        <v>13552</v>
      </c>
      <c r="AV279" s="1108">
        <v>14691</v>
      </c>
      <c r="AW279" s="1108">
        <v>15039</v>
      </c>
      <c r="AX279" s="1108">
        <v>15936</v>
      </c>
      <c r="AY279" s="1108">
        <v>15789</v>
      </c>
      <c r="AZ279" s="1108">
        <v>16600</v>
      </c>
      <c r="BA279" s="1108">
        <v>16465</v>
      </c>
      <c r="BB279" s="1108">
        <v>17002</v>
      </c>
      <c r="BC279" s="1108">
        <v>17058.668286173848</v>
      </c>
      <c r="BD279" s="1108">
        <v>17955.397590109682</v>
      </c>
      <c r="BE279" s="1108">
        <v>18072.84483668577</v>
      </c>
      <c r="BF279" s="1108">
        <v>18718.790777922561</v>
      </c>
      <c r="BG279" s="1108">
        <v>18836.18589485835</v>
      </c>
      <c r="BH279" s="1108">
        <v>19767.281822606044</v>
      </c>
      <c r="BI279" s="1108">
        <v>19830.047037687658</v>
      </c>
      <c r="BJ279" s="1108">
        <v>20544.255789753184</v>
      </c>
      <c r="BK279" s="1108">
        <v>20711.564873614167</v>
      </c>
      <c r="BL279" s="1108">
        <v>21744.143220318576</v>
      </c>
      <c r="BM279" s="1108">
        <v>22633.520371878058</v>
      </c>
      <c r="BN279" s="1108">
        <v>23494.68843030047</v>
      </c>
      <c r="BO279" s="1108">
        <v>23565.420201466899</v>
      </c>
      <c r="BP279" s="1108">
        <v>25003.457228197116</v>
      </c>
      <c r="BQ279" s="1108">
        <v>25828.384195013561</v>
      </c>
      <c r="BR279" s="1108">
        <v>26631.896605825721</v>
      </c>
      <c r="BS279" s="1108">
        <v>26696.997572239441</v>
      </c>
      <c r="BT279" s="1108">
        <v>28572.68306283484</v>
      </c>
      <c r="BU279" s="1108">
        <v>28791.662319684849</v>
      </c>
      <c r="BV279" s="1108">
        <v>29769.686788010549</v>
      </c>
      <c r="BW279" s="1108">
        <v>30103.200706686199</v>
      </c>
      <c r="BX279" s="1108">
        <v>32265.401646607748</v>
      </c>
      <c r="BY279" s="1108">
        <v>31916.827711912501</v>
      </c>
      <c r="BZ279" s="1108">
        <v>32980.063386851398</v>
      </c>
      <c r="CA279" s="1108">
        <v>33409.084123021254</v>
      </c>
      <c r="CB279" s="1108">
        <v>35776.141684029149</v>
      </c>
      <c r="CC279" s="1108">
        <v>35204.937436257249</v>
      </c>
      <c r="CD279" s="1108">
        <v>36386.852133787201</v>
      </c>
      <c r="CE279" s="1108">
        <v>36835.410075527048</v>
      </c>
      <c r="CF279" s="1108">
        <v>39466.259024548999</v>
      </c>
    </row>
    <row r="280" spans="4:84" ht="14.45" hidden="1" outlineLevel="1">
      <c r="D280" s="1611"/>
      <c r="E280" s="1619"/>
      <c r="F280" s="1106" t="s">
        <v>1191</v>
      </c>
      <c r="G280" s="1106"/>
      <c r="H280" s="1106"/>
      <c r="I280" s="1106"/>
      <c r="W280" s="1109"/>
      <c r="X280" s="1109"/>
      <c r="Y280" s="1109">
        <v>-7.5808936825885977</v>
      </c>
      <c r="Z280" s="1109">
        <v>-5.0131926121372032</v>
      </c>
      <c r="AA280" s="1109">
        <v>-3.8717670744927983</v>
      </c>
      <c r="AB280" s="1109">
        <v>6.6796757730411285</v>
      </c>
      <c r="AC280" s="1109">
        <v>7.3024341447149048</v>
      </c>
      <c r="AD280" s="1109">
        <v>10.787037037037036</v>
      </c>
      <c r="AE280" s="1109">
        <v>24.166263895601737</v>
      </c>
      <c r="AF280" s="1109">
        <v>20.27578443787802</v>
      </c>
      <c r="AG280" s="1109">
        <v>27.998756991920448</v>
      </c>
      <c r="AH280" s="1109">
        <v>24.710962529600224</v>
      </c>
      <c r="AI280" s="1109">
        <v>16.854807318022576</v>
      </c>
      <c r="AJ280" s="1109">
        <v>13.102480112307093</v>
      </c>
      <c r="AK280" s="1109">
        <v>18.608885651857246</v>
      </c>
      <c r="AL280" s="1109">
        <v>12.811348151457613</v>
      </c>
      <c r="AM280" s="1109">
        <v>13.724183877415056</v>
      </c>
      <c r="AN280" s="1109">
        <v>14.263549855192387</v>
      </c>
      <c r="AO280" s="1109">
        <v>13.366083307747415</v>
      </c>
      <c r="AP280" s="1109">
        <v>17.089108910891092</v>
      </c>
      <c r="AQ280" s="1109">
        <v>14.655340753759031</v>
      </c>
      <c r="AR280" s="1109">
        <v>6.3818231193989314</v>
      </c>
      <c r="AS280" s="1109">
        <v>11.212422135957389</v>
      </c>
      <c r="AT280" s="1109">
        <v>12.91222729578894</v>
      </c>
      <c r="AU280" s="1109">
        <v>15.404922081239889</v>
      </c>
      <c r="AV280" s="1109">
        <v>25.008509189925121</v>
      </c>
      <c r="AW280" s="1109">
        <v>22.079714262521307</v>
      </c>
      <c r="AX280" s="1109">
        <v>19.343967647719616</v>
      </c>
      <c r="AY280" s="1109">
        <v>16.506788665879572</v>
      </c>
      <c r="AZ280" s="1109">
        <v>12.994350282485875</v>
      </c>
      <c r="BA280" s="1109">
        <v>9.4820134317441322</v>
      </c>
      <c r="BB280" s="1109">
        <v>6.6892570281124497</v>
      </c>
      <c r="BC280" s="1109">
        <v>8.0414737233127376</v>
      </c>
      <c r="BD280" s="1109">
        <v>8.1650457235523017</v>
      </c>
      <c r="BE280" s="1109">
        <v>9.7652282823308241</v>
      </c>
      <c r="BF280" s="1109">
        <v>10.097581331152576</v>
      </c>
      <c r="BG280" s="1109">
        <v>10.420025636615438</v>
      </c>
      <c r="BH280" s="1109">
        <v>10.09102819028857</v>
      </c>
      <c r="BI280" s="1109">
        <v>9.7228865564926021</v>
      </c>
      <c r="BJ280" s="1109">
        <v>9.7520455967894328</v>
      </c>
      <c r="BK280" s="1109">
        <v>9.9562564800750462</v>
      </c>
      <c r="BL280" s="1109">
        <v>10.000673918918759</v>
      </c>
      <c r="BM280" s="1109">
        <v>14.137502189794638</v>
      </c>
      <c r="BN280" s="1109">
        <v>14.361350787011068</v>
      </c>
      <c r="BO280" s="1109">
        <v>13.779042507253751</v>
      </c>
      <c r="BP280" s="1109">
        <v>14.989388061208638</v>
      </c>
      <c r="BQ280" s="1109">
        <v>14.11562925538129</v>
      </c>
      <c r="BR280" s="1109">
        <v>13.352840089078507</v>
      </c>
      <c r="BS280" s="1109">
        <v>13.288867094241791</v>
      </c>
      <c r="BT280" s="1109">
        <v>14.27492927103139</v>
      </c>
      <c r="BU280" s="1109">
        <v>11.472952013945106</v>
      </c>
      <c r="BV280" s="1109">
        <v>11.782075563850144</v>
      </c>
      <c r="BW280" s="1109">
        <v>12.758749837804451</v>
      </c>
      <c r="BX280" s="1109">
        <v>12.923947588863694</v>
      </c>
      <c r="BY280" s="1109">
        <v>10.854411105297586</v>
      </c>
      <c r="BZ280" s="1109">
        <v>10.784045602165342</v>
      </c>
      <c r="CA280" s="1109">
        <v>10.981833621435436</v>
      </c>
      <c r="CB280" s="1109">
        <v>10.880819262296416</v>
      </c>
      <c r="CC280" s="1109">
        <v>10.302119477611829</v>
      </c>
      <c r="CD280" s="1109">
        <v>10.32984293260647</v>
      </c>
      <c r="CE280" s="1109">
        <v>10.255671600841074</v>
      </c>
      <c r="CF280" s="1109">
        <v>10.314464240192668</v>
      </c>
    </row>
    <row r="281" spans="4:84" ht="14.45" hidden="1" outlineLevel="1" collapsed="1">
      <c r="D281" s="1611"/>
      <c r="E281" s="1619"/>
      <c r="F281" s="1106"/>
      <c r="G281" s="1106"/>
      <c r="H281" s="1106"/>
      <c r="I281" s="1106"/>
    </row>
    <row r="282" spans="4:84" ht="14.45" collapsed="1">
      <c r="D282" s="1610" t="s">
        <v>1236</v>
      </c>
      <c r="E282" s="1612" t="s">
        <v>1095</v>
      </c>
      <c r="F282" s="1107" t="s">
        <v>1190</v>
      </c>
      <c r="G282" s="1107"/>
      <c r="H282" s="1107"/>
      <c r="I282" s="1107"/>
      <c r="J282" s="1108"/>
      <c r="K282" s="1108"/>
      <c r="L282" s="1108"/>
      <c r="M282" s="1108"/>
      <c r="N282" s="1108"/>
      <c r="O282" s="1108"/>
      <c r="P282" s="1108"/>
      <c r="Q282" s="1108"/>
      <c r="R282" s="1108"/>
      <c r="S282" s="1108"/>
      <c r="T282" s="1108"/>
      <c r="U282" s="1108"/>
      <c r="V282" s="1108"/>
      <c r="W282" s="1108"/>
      <c r="X282" s="1108"/>
      <c r="Y282" s="1108">
        <v>897.51207756861118</v>
      </c>
      <c r="Z282" s="1108">
        <v>1144.4789081711547</v>
      </c>
      <c r="AA282" s="1108">
        <v>1085.5066079829826</v>
      </c>
      <c r="AB282" s="1108">
        <v>1342.9640880155011</v>
      </c>
      <c r="AC282" s="1108">
        <v>1299.3337755972545</v>
      </c>
      <c r="AD282" s="1108">
        <v>1551.6732290215355</v>
      </c>
      <c r="AE282" s="1108">
        <v>1825.4243220493208</v>
      </c>
      <c r="AF282" s="1108">
        <v>1938.8726360156063</v>
      </c>
      <c r="AG282" s="1108">
        <v>1948.5175430714964</v>
      </c>
      <c r="AH282" s="1108">
        <v>2021.25134314305</v>
      </c>
      <c r="AI282" s="1108">
        <v>2100.2557646018199</v>
      </c>
      <c r="AJ282" s="1108">
        <v>2224.8811328474317</v>
      </c>
      <c r="AK282" s="1108">
        <v>2376.7591995913281</v>
      </c>
      <c r="AL282" s="1108">
        <v>2385.4666149624882</v>
      </c>
      <c r="AM282" s="1108">
        <v>2332.5108374146166</v>
      </c>
      <c r="AN282" s="1108">
        <v>2440.1398808407926</v>
      </c>
      <c r="AO282" s="1108">
        <v>2520.0685732205047</v>
      </c>
      <c r="AP282" s="1108">
        <v>2537.1764013807528</v>
      </c>
      <c r="AQ282" s="1108">
        <v>2571.1262710170026</v>
      </c>
      <c r="AR282" s="1108">
        <v>3014.4884327501554</v>
      </c>
      <c r="AS282" s="1108">
        <v>2679.2416711792889</v>
      </c>
      <c r="AT282" s="1108">
        <v>2863.3287244222938</v>
      </c>
      <c r="AU282" s="1108">
        <v>2971.7606171142002</v>
      </c>
      <c r="AV282" s="1108">
        <v>3206.7124105167136</v>
      </c>
      <c r="AW282" s="1108">
        <v>3254.3917070879957</v>
      </c>
      <c r="AX282" s="1108">
        <v>3393.8216409217762</v>
      </c>
      <c r="AY282" s="1108">
        <v>3481.6585797298508</v>
      </c>
      <c r="AZ282" s="1108">
        <v>3712.3534923995371</v>
      </c>
      <c r="BA282" s="1108">
        <v>3351.2623898923316</v>
      </c>
      <c r="BB282" s="1108">
        <v>3420.6111063482881</v>
      </c>
      <c r="BC282" s="1108">
        <v>3449.3817837979632</v>
      </c>
      <c r="BD282" s="1108">
        <v>3749.8196761650479</v>
      </c>
      <c r="BE282" s="1108">
        <v>3551.1222962220631</v>
      </c>
      <c r="BF282" s="1108">
        <v>3680.5191700150372</v>
      </c>
      <c r="BG282" s="1108">
        <v>3763.6369805589929</v>
      </c>
      <c r="BH282" s="1108">
        <v>4102.5004818267098</v>
      </c>
      <c r="BI282" s="1108">
        <v>3843.7354839209202</v>
      </c>
      <c r="BJ282" s="1108">
        <v>3951.9554687493123</v>
      </c>
      <c r="BK282" s="1108">
        <v>4101.9216595708076</v>
      </c>
      <c r="BL282" s="1108">
        <v>4505.3906321827335</v>
      </c>
      <c r="BM282" s="1108">
        <v>4133.8507495142167</v>
      </c>
      <c r="BN282" s="1108">
        <v>4283.9783455757815</v>
      </c>
      <c r="BO282" s="1108">
        <v>4448.132664511917</v>
      </c>
      <c r="BP282" s="1108">
        <v>4938.5020455823869</v>
      </c>
      <c r="BQ282" s="1108">
        <v>5034.683744242895</v>
      </c>
      <c r="BR282" s="1108">
        <v>5128.9137876013428</v>
      </c>
      <c r="BS282" s="1108">
        <v>5394.7246876108129</v>
      </c>
      <c r="BT282" s="1108">
        <v>11042.442645297022</v>
      </c>
      <c r="BU282" s="1108">
        <v>5328.5422612183302</v>
      </c>
      <c r="BV282" s="1108">
        <v>5545.9350684922401</v>
      </c>
      <c r="BW282" s="1108">
        <v>5645.4065022162704</v>
      </c>
      <c r="BX282" s="1108">
        <v>5796.0359650466698</v>
      </c>
      <c r="BY282" s="1108">
        <v>5822.3391731125002</v>
      </c>
      <c r="BZ282" s="1108">
        <v>6040.7099743287199</v>
      </c>
      <c r="CA282" s="1108">
        <v>6167.0726353011796</v>
      </c>
      <c r="CB282" s="1108">
        <v>6310.44461036968</v>
      </c>
      <c r="CC282" s="1108">
        <v>6326.5748808744802</v>
      </c>
      <c r="CD282" s="1108">
        <v>6553.0136971034799</v>
      </c>
      <c r="CE282" s="1108">
        <v>6682.9352643307902</v>
      </c>
      <c r="CF282" s="1108">
        <v>6830.7916420106503</v>
      </c>
    </row>
    <row r="283" spans="4:84" ht="14.45" hidden="1" outlineLevel="1">
      <c r="D283" s="1611"/>
      <c r="E283" s="1619"/>
      <c r="F283" s="1107" t="s">
        <v>1191</v>
      </c>
      <c r="G283" s="1107"/>
      <c r="H283" s="1107"/>
      <c r="I283" s="1107"/>
      <c r="W283" s="1109"/>
      <c r="X283" s="1109"/>
      <c r="Y283" s="1109">
        <v>26.394939349005192</v>
      </c>
      <c r="Z283" s="1109">
        <v>24.693177429816309</v>
      </c>
      <c r="AA283" s="1109">
        <v>26.707708910413331</v>
      </c>
      <c r="AB283" s="1109">
        <v>39.673603134960523</v>
      </c>
      <c r="AC283" s="1109">
        <v>44.770617362296797</v>
      </c>
      <c r="AD283" s="1109">
        <v>35.579014863722207</v>
      </c>
      <c r="AE283" s="1109">
        <v>68.163354200229591</v>
      </c>
      <c r="AF283" s="1109">
        <v>44.372634630958721</v>
      </c>
      <c r="AG283" s="1109">
        <v>49.962817843000863</v>
      </c>
      <c r="AH283" s="1109">
        <v>30.262693545188263</v>
      </c>
      <c r="AI283" s="1109">
        <v>15.055756583979244</v>
      </c>
      <c r="AJ283" s="1109">
        <v>14.751278218025417</v>
      </c>
      <c r="AK283" s="1109">
        <v>21.977818883004961</v>
      </c>
      <c r="AL283" s="1109">
        <v>18.019296464787139</v>
      </c>
      <c r="AM283" s="1109">
        <v>11.058418537745526</v>
      </c>
      <c r="AN283" s="1109">
        <v>9.675067346985406</v>
      </c>
      <c r="AO283" s="1109">
        <v>6.0296126613843759</v>
      </c>
      <c r="AP283" s="1109">
        <v>6.3597530758421588</v>
      </c>
      <c r="AQ283" s="1109">
        <v>10.22998177649928</v>
      </c>
      <c r="AR283" s="1109">
        <v>23.537525713954608</v>
      </c>
      <c r="AS283" s="1109">
        <v>6.3162209016943525</v>
      </c>
      <c r="AT283" s="1109">
        <v>12.854932864110122</v>
      </c>
      <c r="AU283" s="1109">
        <v>15.582056416806306</v>
      </c>
      <c r="AV283" s="1109">
        <v>6.3766699410151606</v>
      </c>
      <c r="AW283" s="1109">
        <v>21.466896476552265</v>
      </c>
      <c r="AX283" s="1109">
        <v>18.527139827667352</v>
      </c>
      <c r="AY283" s="1109">
        <v>17.158110235366109</v>
      </c>
      <c r="AZ283" s="1109">
        <v>15.768207969773847</v>
      </c>
      <c r="BA283" s="1109">
        <v>2.9766141117356488</v>
      </c>
      <c r="BB283" s="1109">
        <v>0.78935985036726308</v>
      </c>
      <c r="BC283" s="1109">
        <v>-0.92705229972296754</v>
      </c>
      <c r="BD283" s="1109">
        <v>1.0092299626696899</v>
      </c>
      <c r="BE283" s="1109">
        <v>5.9637200277878746</v>
      </c>
      <c r="BF283" s="1109">
        <v>7.5982932752684889</v>
      </c>
      <c r="BG283" s="1109">
        <v>9.1104788178888416</v>
      </c>
      <c r="BH283" s="1109">
        <v>9.4052737496526682</v>
      </c>
      <c r="BI283" s="1109">
        <v>8.2400200074821353</v>
      </c>
      <c r="BJ283" s="1109">
        <v>7.3749459300647029</v>
      </c>
      <c r="BK283" s="1109">
        <v>8.9882387902770322</v>
      </c>
      <c r="BL283" s="1109">
        <v>9.8205997084156316</v>
      </c>
      <c r="BM283" s="1109">
        <v>7.5477427311765872</v>
      </c>
      <c r="BN283" s="1109">
        <v>8.4014832518228122</v>
      </c>
      <c r="BO283" s="1109">
        <v>8.4402149449469057</v>
      </c>
      <c r="BP283" s="1109">
        <v>9.6131822689439765</v>
      </c>
      <c r="BQ283" s="1109">
        <v>21.791618742755492</v>
      </c>
      <c r="BR283" s="1109">
        <v>19.723149228757343</v>
      </c>
      <c r="BS283" s="1109">
        <v>21.280660773699363</v>
      </c>
      <c r="BT283" s="1109">
        <v>123.59902949062787</v>
      </c>
      <c r="BU283" s="1109">
        <v>5.8366827372515511</v>
      </c>
      <c r="BV283" s="1109">
        <v>8.1307913948369777</v>
      </c>
      <c r="BW283" s="1109">
        <v>4.6467953254622545</v>
      </c>
      <c r="BX283" s="1109">
        <v>-47.511287572635005</v>
      </c>
      <c r="BY283" s="1109">
        <v>9.2670169004396197</v>
      </c>
      <c r="BZ283" s="1109">
        <v>8.9213973789093259</v>
      </c>
      <c r="CA283" s="1109">
        <v>9.2405415425818109</v>
      </c>
      <c r="CB283" s="1109">
        <v>8.8751803547317731</v>
      </c>
      <c r="CC283" s="1109">
        <v>8.660363004795995</v>
      </c>
      <c r="CD283" s="1109">
        <v>8.4808528294174614</v>
      </c>
      <c r="CE283" s="1109">
        <v>8.364789253117296</v>
      </c>
      <c r="CF283" s="1109">
        <v>8.2458061795821251</v>
      </c>
    </row>
    <row r="284" spans="4:84" ht="14.45" hidden="1" outlineLevel="1" collapsed="1">
      <c r="D284" s="1611"/>
      <c r="E284" s="1619"/>
      <c r="F284" s="1107"/>
      <c r="G284" s="1107"/>
      <c r="H284" s="1107"/>
      <c r="I284" s="1107"/>
    </row>
    <row r="285" spans="4:84" ht="14.45" collapsed="1">
      <c r="D285" s="1610" t="s">
        <v>1237</v>
      </c>
      <c r="E285" s="1612" t="s">
        <v>1095</v>
      </c>
      <c r="F285" s="1106" t="s">
        <v>1190</v>
      </c>
      <c r="G285" s="1106"/>
      <c r="H285" s="1106"/>
      <c r="I285" s="1106"/>
      <c r="J285" s="1108"/>
      <c r="K285" s="1108"/>
      <c r="L285" s="1108"/>
      <c r="M285" s="1108"/>
      <c r="N285" s="1108"/>
      <c r="O285" s="1108"/>
      <c r="P285" s="1108"/>
      <c r="Q285" s="1108"/>
      <c r="R285" s="1108"/>
      <c r="S285" s="1108"/>
      <c r="T285" s="1108"/>
      <c r="U285" s="1108"/>
      <c r="V285" s="1108"/>
      <c r="W285" s="1108"/>
      <c r="X285" s="1108"/>
      <c r="Y285" s="1108">
        <v>5110.2877814694921</v>
      </c>
      <c r="Z285" s="1108">
        <v>5312.0175906655322</v>
      </c>
      <c r="AA285" s="1108">
        <v>5140.2594831778451</v>
      </c>
      <c r="AB285" s="1108">
        <v>5736.5121263171732</v>
      </c>
      <c r="AC285" s="1108">
        <v>5053.1028182280052</v>
      </c>
      <c r="AD285" s="1108">
        <v>5626.7985602681092</v>
      </c>
      <c r="AE285" s="1108">
        <v>5882.9764099393187</v>
      </c>
      <c r="AF285" s="1108">
        <v>6608.6758518496572</v>
      </c>
      <c r="AG285" s="1108">
        <v>6289.4685779504734</v>
      </c>
      <c r="AH285" s="1108">
        <v>6931.7359110158923</v>
      </c>
      <c r="AI285" s="1108">
        <v>6909.3872250898921</v>
      </c>
      <c r="AJ285" s="1108">
        <v>7443.1620240430702</v>
      </c>
      <c r="AK285" s="1108">
        <v>7394.1272690421874</v>
      </c>
      <c r="AL285" s="1108">
        <v>7715.4680690680789</v>
      </c>
      <c r="AM285" s="1108">
        <v>7914.2132840257718</v>
      </c>
      <c r="AN285" s="1108">
        <v>8607.2174633387167</v>
      </c>
      <c r="AO285" s="1108">
        <v>8557.767908924885</v>
      </c>
      <c r="AP285" s="1108">
        <v>9290.186833659387</v>
      </c>
      <c r="AQ285" s="1108">
        <v>9175.619587857067</v>
      </c>
      <c r="AR285" s="1108">
        <v>8739.0368383353161</v>
      </c>
      <c r="AS285" s="1108">
        <v>9640.7039661185991</v>
      </c>
      <c r="AT285" s="1108">
        <v>10490.087656077136</v>
      </c>
      <c r="AU285" s="1108">
        <v>10582.113715690992</v>
      </c>
      <c r="AV285" s="1108">
        <v>11483.769222972391</v>
      </c>
      <c r="AW285" s="1108">
        <v>11785.627684895009</v>
      </c>
      <c r="AX285" s="1108">
        <v>12540.352311118064</v>
      </c>
      <c r="AY285" s="1108">
        <v>12309.4641074433</v>
      </c>
      <c r="AZ285" s="1108">
        <v>12887.096965745019</v>
      </c>
      <c r="BA285" s="1108">
        <v>13114.8504201378</v>
      </c>
      <c r="BB285" s="1108">
        <v>13583.705874207892</v>
      </c>
      <c r="BC285" s="1108">
        <v>13628.19000980495</v>
      </c>
      <c r="BD285" s="1108">
        <v>14251.77234683371</v>
      </c>
      <c r="BE285" s="1108">
        <v>14526.930769295181</v>
      </c>
      <c r="BF285" s="1108">
        <v>15113.857637755291</v>
      </c>
      <c r="BG285" s="1108">
        <v>15100.41499870911</v>
      </c>
      <c r="BH285" s="1108">
        <v>15794.871179318159</v>
      </c>
      <c r="BI285" s="1108">
        <v>16301.295314981444</v>
      </c>
      <c r="BJ285" s="1108">
        <v>17000.234692729933</v>
      </c>
      <c r="BK285" s="1108">
        <v>17064.265230953999</v>
      </c>
      <c r="BL285" s="1108">
        <v>17797.009960525764</v>
      </c>
      <c r="BM285" s="1108">
        <v>18337.255916196518</v>
      </c>
      <c r="BN285" s="1108">
        <v>19113.247608796351</v>
      </c>
      <c r="BO285" s="1108">
        <v>19001.861808871283</v>
      </c>
      <c r="BP285" s="1108">
        <v>19756.065127463418</v>
      </c>
      <c r="BQ285" s="1108">
        <v>20595.391276901573</v>
      </c>
      <c r="BR285" s="1108">
        <v>21354.438580038874</v>
      </c>
      <c r="BS285" s="1108">
        <v>21122.809926942125</v>
      </c>
      <c r="BT285" s="1108">
        <v>22765.789719173499</v>
      </c>
      <c r="BU285" s="1108">
        <v>22392.726458248198</v>
      </c>
      <c r="BV285" s="1108">
        <v>23375.5407800512</v>
      </c>
      <c r="BW285" s="1108">
        <v>23748.4056951415</v>
      </c>
      <c r="BX285" s="1108">
        <v>24524.379848594199</v>
      </c>
      <c r="BY285" s="1108">
        <v>24680.320044138301</v>
      </c>
      <c r="BZ285" s="1108">
        <v>25663.4345539803</v>
      </c>
      <c r="CA285" s="1108">
        <v>26196.560355656002</v>
      </c>
      <c r="CB285" s="1108">
        <v>26938.186196801998</v>
      </c>
      <c r="CC285" s="1108">
        <v>27048.250394104401</v>
      </c>
      <c r="CD285" s="1108">
        <v>28075.383344001199</v>
      </c>
      <c r="CE285" s="1108">
        <v>28637.725367037401</v>
      </c>
      <c r="CF285" s="1108">
        <v>29414.036074140298</v>
      </c>
    </row>
    <row r="286" spans="4:84" ht="14.45" hidden="1" outlineLevel="1">
      <c r="D286" s="1611"/>
      <c r="E286" s="1619"/>
      <c r="F286" s="1106" t="s">
        <v>1191</v>
      </c>
      <c r="G286" s="1106"/>
      <c r="H286" s="1106"/>
      <c r="I286" s="1106"/>
      <c r="W286" s="1109"/>
      <c r="X286" s="1109"/>
      <c r="Y286" s="1109">
        <v>-11.123942851810067</v>
      </c>
      <c r="Z286" s="1109">
        <v>-8.8737503772705626</v>
      </c>
      <c r="AA286" s="1109">
        <v>-7.8417757394052563</v>
      </c>
      <c r="AB286" s="1109">
        <v>1.1870755736848551</v>
      </c>
      <c r="AC286" s="1109">
        <v>-1.1190164954867385</v>
      </c>
      <c r="AD286" s="1109">
        <v>5.9258269429627157</v>
      </c>
      <c r="AE286" s="1109">
        <v>14.449016225583735</v>
      </c>
      <c r="AF286" s="1109">
        <v>15.203728438597603</v>
      </c>
      <c r="AG286" s="1109">
        <v>24.467457010028351</v>
      </c>
      <c r="AH286" s="1109">
        <v>23.191470900739063</v>
      </c>
      <c r="AI286" s="1109">
        <v>17.44713464117325</v>
      </c>
      <c r="AJ286" s="1109">
        <v>12.627131227201202</v>
      </c>
      <c r="AK286" s="1109">
        <v>17.563625247519486</v>
      </c>
      <c r="AL286" s="1109">
        <v>11.306434176274403</v>
      </c>
      <c r="AM286" s="1109">
        <v>14.542911349462063</v>
      </c>
      <c r="AN286" s="1109">
        <v>15.639259706230876</v>
      </c>
      <c r="AO286" s="1109">
        <v>15.737362876544484</v>
      </c>
      <c r="AP286" s="1109">
        <v>20.409892834687245</v>
      </c>
      <c r="AQ286" s="1109">
        <v>15.938492665813625</v>
      </c>
      <c r="AR286" s="1109">
        <v>1.5314981358152771</v>
      </c>
      <c r="AS286" s="1109">
        <v>12.654421909062544</v>
      </c>
      <c r="AT286" s="1109">
        <v>12.915787851223548</v>
      </c>
      <c r="AU286" s="1109">
        <v>15.32860113005629</v>
      </c>
      <c r="AV286" s="1109">
        <v>31.407721873843407</v>
      </c>
      <c r="AW286" s="1109">
        <v>22.248621328012504</v>
      </c>
      <c r="AX286" s="1109">
        <v>19.544780961417089</v>
      </c>
      <c r="AY286" s="1109">
        <v>16.323302112989207</v>
      </c>
      <c r="AZ286" s="1109">
        <v>12.22009703891802</v>
      </c>
      <c r="BA286" s="1109">
        <v>11.278336383783635</v>
      </c>
      <c r="BB286" s="1109">
        <v>8.319970102951638</v>
      </c>
      <c r="BC286" s="1109">
        <v>10.71310571159829</v>
      </c>
      <c r="BD286" s="1109">
        <v>10.589470884840182</v>
      </c>
      <c r="BE286" s="1109">
        <v>10.767033583464567</v>
      </c>
      <c r="BF286" s="1109">
        <v>11.26461201175432</v>
      </c>
      <c r="BG286" s="1109">
        <v>10.80279177091713</v>
      </c>
      <c r="BH286" s="1109">
        <v>10.82741707439129</v>
      </c>
      <c r="BI286" s="1109">
        <v>12.214311294417714</v>
      </c>
      <c r="BJ286" s="1109">
        <v>12.481109060220094</v>
      </c>
      <c r="BK286" s="1109">
        <v>13.005273248535046</v>
      </c>
      <c r="BL286" s="1109">
        <v>12.675879141257004</v>
      </c>
      <c r="BM286" s="1109">
        <v>12.489563325338676</v>
      </c>
      <c r="BN286" s="1109">
        <v>12.429316149206091</v>
      </c>
      <c r="BO286" s="1109">
        <v>11.354702658996118</v>
      </c>
      <c r="BP286" s="1109">
        <v>11.007776987723727</v>
      </c>
      <c r="BQ286" s="1109">
        <v>12.314467175595995</v>
      </c>
      <c r="BR286" s="1109">
        <v>11.725851185075816</v>
      </c>
      <c r="BS286" s="1109">
        <v>11.161791088706099</v>
      </c>
      <c r="BT286" s="1109">
        <v>15.234433437487432</v>
      </c>
      <c r="BU286" s="1109">
        <v>8.7268804810831497</v>
      </c>
      <c r="BV286" s="1109">
        <v>9.4645532002024062</v>
      </c>
      <c r="BW286" s="1109">
        <v>12.430144366590309</v>
      </c>
      <c r="BX286" s="1109">
        <v>7.7247051436111764</v>
      </c>
      <c r="BY286" s="1109">
        <v>10.215788551498536</v>
      </c>
      <c r="BZ286" s="1109">
        <v>9.7875544162024237</v>
      </c>
      <c r="CA286" s="1109">
        <v>10.30871163286279</v>
      </c>
      <c r="CB286" s="1109">
        <v>9.8424766012836216</v>
      </c>
      <c r="CC286" s="1109">
        <v>9.5944069839098187</v>
      </c>
      <c r="CD286" s="1109">
        <v>9.3983865836336964</v>
      </c>
      <c r="CE286" s="1109">
        <v>9.318647098088725</v>
      </c>
      <c r="CF286" s="1109">
        <v>9.1908559071145763</v>
      </c>
    </row>
    <row r="287" spans="4:84" ht="14.45" hidden="1" outlineLevel="1" collapsed="1">
      <c r="D287" s="1611"/>
      <c r="E287" s="1619"/>
      <c r="F287" s="1106"/>
      <c r="G287" s="1106"/>
      <c r="H287" s="1106"/>
      <c r="I287" s="1106"/>
    </row>
    <row r="288" spans="4:84" ht="14.45" collapsed="1">
      <c r="D288" s="1610" t="s">
        <v>1238</v>
      </c>
      <c r="E288" s="1612" t="s">
        <v>1095</v>
      </c>
      <c r="F288" s="1107" t="s">
        <v>1190</v>
      </c>
      <c r="G288" s="1107"/>
      <c r="H288" s="1107"/>
      <c r="I288" s="1107"/>
      <c r="J288" s="1108"/>
      <c r="K288" s="1108"/>
      <c r="L288" s="1108"/>
      <c r="M288" s="1108"/>
      <c r="N288" s="1108"/>
      <c r="O288" s="1108"/>
      <c r="P288" s="1108"/>
      <c r="Q288" s="1108"/>
      <c r="R288" s="1108"/>
      <c r="S288" s="1108"/>
      <c r="T288" s="1108"/>
      <c r="U288" s="1108"/>
      <c r="V288" s="1108"/>
      <c r="W288" s="1108"/>
      <c r="X288" s="1108"/>
      <c r="Y288" s="1108">
        <v>2844</v>
      </c>
      <c r="Z288" s="1108">
        <v>3086</v>
      </c>
      <c r="AA288" s="1108">
        <v>2672</v>
      </c>
      <c r="AB288" s="1108">
        <v>3154</v>
      </c>
      <c r="AC288" s="1108">
        <v>2905</v>
      </c>
      <c r="AD288" s="1108">
        <v>3053</v>
      </c>
      <c r="AE288" s="1108">
        <v>2540</v>
      </c>
      <c r="AF288" s="1108">
        <v>2891</v>
      </c>
      <c r="AG288" s="1108">
        <v>3006</v>
      </c>
      <c r="AH288" s="1108">
        <v>3337</v>
      </c>
      <c r="AI288" s="1108">
        <v>3115</v>
      </c>
      <c r="AJ288" s="1108">
        <v>3466</v>
      </c>
      <c r="AK288" s="1108">
        <v>3881</v>
      </c>
      <c r="AL288" s="1108">
        <v>4015</v>
      </c>
      <c r="AM288" s="1108">
        <v>3979</v>
      </c>
      <c r="AN288" s="1108">
        <v>4344</v>
      </c>
      <c r="AO288" s="1108">
        <v>4782</v>
      </c>
      <c r="AP288" s="1108">
        <v>5182</v>
      </c>
      <c r="AQ288" s="1108">
        <v>4788</v>
      </c>
      <c r="AR288" s="1108">
        <v>3972</v>
      </c>
      <c r="AS288" s="1108">
        <v>5706</v>
      </c>
      <c r="AT288" s="1108">
        <v>6181</v>
      </c>
      <c r="AU288" s="1108">
        <v>6029</v>
      </c>
      <c r="AV288" s="1108">
        <v>6435</v>
      </c>
      <c r="AW288" s="1108">
        <v>7581</v>
      </c>
      <c r="AX288" s="1108">
        <v>7688</v>
      </c>
      <c r="AY288" s="1108">
        <v>7184</v>
      </c>
      <c r="AZ288" s="1108">
        <v>7234</v>
      </c>
      <c r="BA288" s="1108">
        <v>8323</v>
      </c>
      <c r="BB288" s="1108">
        <v>8175</v>
      </c>
      <c r="BC288" s="1108">
        <v>9218.1191410673291</v>
      </c>
      <c r="BD288" s="1108">
        <v>9553.4047248404058</v>
      </c>
      <c r="BE288" s="1108">
        <v>10647.274830403087</v>
      </c>
      <c r="BF288" s="1108">
        <v>10820.320328562977</v>
      </c>
      <c r="BG288" s="1108">
        <v>10595.74133659554</v>
      </c>
      <c r="BH288" s="1108">
        <v>10972.879813527479</v>
      </c>
      <c r="BI288" s="1108">
        <v>10362.491580991904</v>
      </c>
      <c r="BJ288" s="1108">
        <v>10421.76938172757</v>
      </c>
      <c r="BK288" s="1108">
        <v>10405.654065523742</v>
      </c>
      <c r="BL288" s="1108">
        <v>10603.785462926922</v>
      </c>
      <c r="BM288" s="1108">
        <v>12144.363621599619</v>
      </c>
      <c r="BN288" s="1108">
        <v>12353.294588868361</v>
      </c>
      <c r="BO288" s="1108">
        <v>12164.76601156578</v>
      </c>
      <c r="BP288" s="1108">
        <v>12479.156192213581</v>
      </c>
      <c r="BQ288" s="1108">
        <v>14140.688156021</v>
      </c>
      <c r="BR288" s="1108">
        <v>14223.904314936766</v>
      </c>
      <c r="BS288" s="1108">
        <v>13842.090020473066</v>
      </c>
      <c r="BT288" s="1108">
        <v>7808.1213034935163</v>
      </c>
      <c r="BU288" s="1108">
        <v>16979.0819753377</v>
      </c>
      <c r="BV288" s="1108">
        <v>17201.030014423901</v>
      </c>
      <c r="BW288" s="1108">
        <v>17150.990649782299</v>
      </c>
      <c r="BX288" s="1108">
        <v>17585.360355360201</v>
      </c>
      <c r="BY288" s="1108">
        <v>19120.4383400476</v>
      </c>
      <c r="BZ288" s="1108">
        <v>19316.742350492699</v>
      </c>
      <c r="CA288" s="1108">
        <v>19417.2828646087</v>
      </c>
      <c r="CB288" s="1108">
        <v>19805.327273453098</v>
      </c>
      <c r="CC288" s="1108">
        <v>21337.906073331302</v>
      </c>
      <c r="CD288" s="1108">
        <v>21551.474798368599</v>
      </c>
      <c r="CE288" s="1108">
        <v>21671.290156988201</v>
      </c>
      <c r="CF288" s="1108">
        <v>22081.665849320001</v>
      </c>
    </row>
    <row r="289" spans="4:84" ht="14.45" hidden="1" outlineLevel="1">
      <c r="D289" s="1611"/>
      <c r="E289" s="1619"/>
      <c r="F289" s="1107" t="s">
        <v>1191</v>
      </c>
      <c r="G289" s="1107"/>
      <c r="H289" s="1107"/>
      <c r="I289" s="1107"/>
      <c r="W289" s="1109"/>
      <c r="X289" s="1109"/>
      <c r="Y289" s="1109">
        <v>-16.377536018817995</v>
      </c>
      <c r="Z289" s="1109">
        <v>-13.967103429049347</v>
      </c>
      <c r="AA289" s="1109">
        <v>-16.604244694132333</v>
      </c>
      <c r="AB289" s="1109">
        <v>-0.41048310704136409</v>
      </c>
      <c r="AC289" s="1109">
        <v>2.1448663853727146</v>
      </c>
      <c r="AD289" s="1109">
        <v>-1.069345430978613</v>
      </c>
      <c r="AE289" s="1109">
        <v>-4.9401197604790417</v>
      </c>
      <c r="AF289" s="1109">
        <v>-8.33861762840837</v>
      </c>
      <c r="AG289" s="1109">
        <v>3.4767641996557659</v>
      </c>
      <c r="AH289" s="1109">
        <v>9.3023255813953494</v>
      </c>
      <c r="AI289" s="1109">
        <v>22.637795275590548</v>
      </c>
      <c r="AJ289" s="1109">
        <v>19.889311656866138</v>
      </c>
      <c r="AK289" s="1109">
        <v>29.108449767132399</v>
      </c>
      <c r="AL289" s="1109">
        <v>20.317650584357207</v>
      </c>
      <c r="AM289" s="1109">
        <v>27.736757624398074</v>
      </c>
      <c r="AN289" s="1109">
        <v>25.331794575879979</v>
      </c>
      <c r="AO289" s="1109">
        <v>23.215666065447049</v>
      </c>
      <c r="AP289" s="1109">
        <v>29.066002490660026</v>
      </c>
      <c r="AQ289" s="1109">
        <v>20.331741643629051</v>
      </c>
      <c r="AR289" s="1109">
        <v>-8.5635359116022105</v>
      </c>
      <c r="AS289" s="1109">
        <v>19.322459222082809</v>
      </c>
      <c r="AT289" s="1109">
        <v>19.27827093786183</v>
      </c>
      <c r="AU289" s="1109">
        <v>25.918964076858813</v>
      </c>
      <c r="AV289" s="1109">
        <v>62.009063444108762</v>
      </c>
      <c r="AW289" s="1109">
        <v>32.86014721345952</v>
      </c>
      <c r="AX289" s="1109">
        <v>24.381168095777383</v>
      </c>
      <c r="AY289" s="1109">
        <v>19.157405871620501</v>
      </c>
      <c r="AZ289" s="1109">
        <v>12.416472416472416</v>
      </c>
      <c r="BA289" s="1109">
        <v>9.7876269621421965</v>
      </c>
      <c r="BB289" s="1109">
        <v>6.3345473465140483</v>
      </c>
      <c r="BC289" s="1109">
        <v>28.314576017084203</v>
      </c>
      <c r="BD289" s="1109">
        <v>32.062548034841107</v>
      </c>
      <c r="BE289" s="1109">
        <v>27.925926113217425</v>
      </c>
      <c r="BF289" s="1109">
        <v>32.358658453369749</v>
      </c>
      <c r="BG289" s="1109">
        <v>14.9447210916467</v>
      </c>
      <c r="BH289" s="1109">
        <v>14.858316271226396</v>
      </c>
      <c r="BI289" s="1109">
        <v>-2.6747055368383053</v>
      </c>
      <c r="BJ289" s="1109">
        <v>-3.6833562661109993</v>
      </c>
      <c r="BK289" s="1109">
        <v>-1.7939968996343352</v>
      </c>
      <c r="BL289" s="1109">
        <v>-3.3636962845937091</v>
      </c>
      <c r="BM289" s="1109">
        <v>17.195401575777723</v>
      </c>
      <c r="BN289" s="1109">
        <v>18.533563125349161</v>
      </c>
      <c r="BO289" s="1109">
        <v>16.905347179187601</v>
      </c>
      <c r="BP289" s="1109">
        <v>17.685860731937204</v>
      </c>
      <c r="BQ289" s="1109">
        <v>16.438280313599758</v>
      </c>
      <c r="BR289" s="1109">
        <v>15.142597892500879</v>
      </c>
      <c r="BS289" s="1109">
        <v>13.788378726829208</v>
      </c>
      <c r="BT289" s="1109">
        <v>-37.430694966656283</v>
      </c>
      <c r="BU289" s="1109">
        <v>20.072529625145101</v>
      </c>
      <c r="BV289" s="1109">
        <v>20.930439586554332</v>
      </c>
      <c r="BW289" s="1109">
        <v>23.904631630160058</v>
      </c>
      <c r="BX289" s="1109">
        <v>125.21884166287404</v>
      </c>
      <c r="BY289" s="1109">
        <v>12.611732294008846</v>
      </c>
      <c r="BZ289" s="1109">
        <v>12.299916541594721</v>
      </c>
      <c r="CA289" s="1109">
        <v>13.213768586919306</v>
      </c>
      <c r="CB289" s="1109">
        <v>12.623948973648577</v>
      </c>
      <c r="CC289" s="1109">
        <v>11.597368710105531</v>
      </c>
      <c r="CD289" s="1109">
        <v>11.568888828808655</v>
      </c>
      <c r="CE289" s="1109">
        <v>11.608252854408446</v>
      </c>
      <c r="CF289" s="1109">
        <v>11.493567081408894</v>
      </c>
    </row>
    <row r="290" spans="4:84" ht="14.45" hidden="1" outlineLevel="1" collapsed="1">
      <c r="D290" s="1611"/>
      <c r="E290" s="1619"/>
      <c r="F290" s="1107"/>
      <c r="G290" s="1107"/>
      <c r="H290" s="1107"/>
      <c r="I290" s="1107"/>
    </row>
    <row r="291" spans="4:84" ht="14.45" collapsed="1">
      <c r="D291" s="1105" t="s">
        <v>401</v>
      </c>
      <c r="F291" s="1106" t="s">
        <v>1188</v>
      </c>
      <c r="G291" s="1106"/>
      <c r="H291" s="1106"/>
      <c r="I291" s="1106"/>
    </row>
    <row r="292" spans="4:84" ht="14.45">
      <c r="D292" s="1105" t="s">
        <v>1239</v>
      </c>
      <c r="F292" s="1106" t="s">
        <v>1188</v>
      </c>
      <c r="G292" s="1106"/>
      <c r="H292" s="1106"/>
      <c r="I292" s="1106"/>
    </row>
    <row r="293" spans="4:84" ht="14.45">
      <c r="D293" s="1105" t="s">
        <v>1240</v>
      </c>
      <c r="F293" s="1106" t="s">
        <v>1188</v>
      </c>
      <c r="G293" s="1106"/>
      <c r="H293" s="1106"/>
      <c r="I293" s="1106"/>
    </row>
    <row r="294" spans="4:84" ht="14.45">
      <c r="D294" s="1614" t="s">
        <v>1241</v>
      </c>
      <c r="E294" s="1612" t="s">
        <v>1116</v>
      </c>
      <c r="F294" s="1107" t="s">
        <v>1190</v>
      </c>
      <c r="G294" s="1107"/>
      <c r="H294" s="1107"/>
      <c r="I294" s="1107"/>
      <c r="J294" s="1108"/>
      <c r="K294" s="1108"/>
      <c r="L294" s="1108"/>
      <c r="M294" s="1108"/>
      <c r="N294" s="1108"/>
      <c r="O294" s="1108"/>
      <c r="P294" s="1108"/>
      <c r="Q294" s="1108"/>
      <c r="R294" s="1108"/>
      <c r="S294" s="1108"/>
      <c r="T294" s="1108"/>
      <c r="U294" s="1108"/>
      <c r="V294" s="1108"/>
      <c r="W294" s="1108"/>
      <c r="X294" s="1108"/>
      <c r="Y294" s="1108">
        <v>3</v>
      </c>
      <c r="Z294" s="1108">
        <v>2.4</v>
      </c>
      <c r="AA294" s="1108">
        <v>1.6</v>
      </c>
      <c r="AB294" s="1108">
        <v>0.90000000000000202</v>
      </c>
      <c r="AC294" s="1108">
        <v>0.89999999999999913</v>
      </c>
      <c r="AD294" s="1108">
        <v>0.89999999999999913</v>
      </c>
      <c r="AE294" s="1108">
        <v>1.3</v>
      </c>
      <c r="AF294" s="1108">
        <v>0.80000000000000104</v>
      </c>
      <c r="AG294" s="1108">
        <v>1</v>
      </c>
      <c r="AH294" s="1108">
        <v>1.2</v>
      </c>
      <c r="AI294" s="1108">
        <v>1.4</v>
      </c>
      <c r="AJ294" s="1108">
        <v>0.79999999999999705</v>
      </c>
      <c r="AK294" s="1108">
        <v>1.1000000000000001</v>
      </c>
      <c r="AL294" s="1108">
        <v>0.79999999999999705</v>
      </c>
      <c r="AM294" s="1108">
        <v>0.90000000000000602</v>
      </c>
      <c r="AN294" s="1108">
        <v>0.59999999999999398</v>
      </c>
      <c r="AO294" s="1108">
        <v>0.80000000000000415</v>
      </c>
      <c r="AP294" s="1108">
        <v>1.6</v>
      </c>
      <c r="AQ294" s="1108">
        <v>2.4</v>
      </c>
      <c r="AR294" s="1108">
        <v>3.1</v>
      </c>
      <c r="AS294" s="1108">
        <v>2.5999999999999899</v>
      </c>
      <c r="AT294" s="1108">
        <v>2.2000000000000002</v>
      </c>
      <c r="AU294" s="1108">
        <v>2.7</v>
      </c>
      <c r="AV294" s="1108">
        <v>1.7</v>
      </c>
      <c r="AW294" s="1108">
        <v>2.2000000000000002</v>
      </c>
      <c r="AX294" s="1108">
        <v>2.2999999999999998</v>
      </c>
      <c r="AY294" s="1108">
        <v>2</v>
      </c>
      <c r="AZ294" s="1108">
        <v>1.3</v>
      </c>
      <c r="BA294" s="1108">
        <v>1.5999999999999901</v>
      </c>
      <c r="BB294" s="1108">
        <v>1.9000000000000099</v>
      </c>
      <c r="BC294" s="1108">
        <v>1.2912983374130058</v>
      </c>
      <c r="BD294" s="1108">
        <v>1.1125008537534624</v>
      </c>
      <c r="BE294" s="1108">
        <v>1.0205568812337988</v>
      </c>
      <c r="BF294" s="1108">
        <v>1.4526970923842493</v>
      </c>
      <c r="BG294" s="1108">
        <v>1.3754726948688651</v>
      </c>
      <c r="BH294" s="1108">
        <v>0.95812546201972115</v>
      </c>
      <c r="BI294" s="1108">
        <v>0.92000536218561901</v>
      </c>
      <c r="BJ294" s="1108">
        <v>1.444224129444317</v>
      </c>
      <c r="BK294" s="1108">
        <v>1.3087955613757121</v>
      </c>
      <c r="BL294" s="1108">
        <v>1.0553575415073777</v>
      </c>
      <c r="BM294" s="1108">
        <v>1.127717091501891</v>
      </c>
      <c r="BN294" s="1108">
        <v>1.598631395993338</v>
      </c>
      <c r="BO294" s="1108">
        <v>1.0430420621418945</v>
      </c>
      <c r="BP294" s="1108">
        <v>1.1296572774837339</v>
      </c>
      <c r="BQ294" s="1108">
        <v>0.92074023835634866</v>
      </c>
      <c r="BR294" s="1108">
        <v>1.7590011727961199</v>
      </c>
      <c r="BS294" s="1108">
        <v>0.83044354926469999</v>
      </c>
      <c r="BT294" s="1108">
        <v>0.97811120341813229</v>
      </c>
    </row>
    <row r="295" spans="4:84" ht="14.45" hidden="1" outlineLevel="1">
      <c r="D295" s="1611"/>
      <c r="E295" s="1619"/>
      <c r="F295" s="1107" t="s">
        <v>1191</v>
      </c>
      <c r="G295" s="1107"/>
      <c r="H295" s="1107"/>
      <c r="I295" s="1107"/>
      <c r="W295" s="1109"/>
      <c r="X295" s="1109"/>
      <c r="Y295" s="1109">
        <v>100</v>
      </c>
      <c r="Z295" s="1109">
        <v>14.285714285714276</v>
      </c>
      <c r="AA295" s="1109">
        <v>-50</v>
      </c>
      <c r="AB295" s="1109">
        <v>-67.857142857142776</v>
      </c>
      <c r="AC295" s="1109">
        <v>-70.000000000000028</v>
      </c>
      <c r="AD295" s="1109">
        <v>-62.500000000000043</v>
      </c>
      <c r="AE295" s="1109">
        <v>-18.750000000000004</v>
      </c>
      <c r="AF295" s="1109">
        <v>-11.111111111111196</v>
      </c>
      <c r="AG295" s="1109">
        <v>11.111111111111217</v>
      </c>
      <c r="AH295" s="1109">
        <v>33.333333333333456</v>
      </c>
      <c r="AI295" s="1109">
        <v>7.6923076923076819</v>
      </c>
      <c r="AJ295" s="1109">
        <v>-4.9960036108131984E-13</v>
      </c>
      <c r="AK295" s="1109">
        <v>10.000000000000009</v>
      </c>
      <c r="AL295" s="1109">
        <v>-33.333333333333577</v>
      </c>
      <c r="AM295" s="1109">
        <v>-35.714285714285282</v>
      </c>
      <c r="AN295" s="1109">
        <v>-25.000000000000476</v>
      </c>
      <c r="AO295" s="1109">
        <v>-27.2727272727269</v>
      </c>
      <c r="AP295" s="1109">
        <v>100.00000000000075</v>
      </c>
      <c r="AQ295" s="1109">
        <v>166.66666666666487</v>
      </c>
      <c r="AR295" s="1109">
        <v>416.66666666667186</v>
      </c>
      <c r="AS295" s="1109">
        <v>224.99999999999702</v>
      </c>
      <c r="AT295" s="1109">
        <v>37.500000000000007</v>
      </c>
      <c r="AU295" s="1109">
        <v>12.500000000000011</v>
      </c>
      <c r="AV295" s="1109">
        <v>-45.161290322580648</v>
      </c>
      <c r="AW295" s="1109">
        <v>-15.384615384615049</v>
      </c>
      <c r="AX295" s="1109">
        <v>4.545454545454529</v>
      </c>
      <c r="AY295" s="1109">
        <v>-25.925925925925931</v>
      </c>
      <c r="AZ295" s="1109">
        <v>-23.529411764705877</v>
      </c>
      <c r="BA295" s="1109">
        <v>-27.272727272727732</v>
      </c>
      <c r="BB295" s="1109">
        <v>-17.391304347825649</v>
      </c>
      <c r="BC295" s="1109">
        <v>-35.435083129349707</v>
      </c>
      <c r="BD295" s="1109">
        <v>-14.423011249733664</v>
      </c>
      <c r="BE295" s="1109">
        <v>-36.215194922887179</v>
      </c>
      <c r="BF295" s="1109">
        <v>-23.542258295566228</v>
      </c>
      <c r="BG295" s="1109">
        <v>6.5185832752247403</v>
      </c>
      <c r="BH295" s="1109">
        <v>-13.876429057370581</v>
      </c>
      <c r="BI295" s="1109">
        <v>-9.8526129113566316</v>
      </c>
      <c r="BJ295" s="1109">
        <v>-0.58325737583916837</v>
      </c>
      <c r="BK295" s="1109">
        <v>-4.8475795805971948</v>
      </c>
      <c r="BL295" s="1109">
        <v>10.148157349110845</v>
      </c>
      <c r="BM295" s="1109">
        <v>22.577230291660452</v>
      </c>
      <c r="BN295" s="1109">
        <v>10.691364546611691</v>
      </c>
      <c r="BO295" s="1109">
        <v>-20.305195637619409</v>
      </c>
      <c r="BP295" s="1109">
        <v>7.0402430507326583</v>
      </c>
      <c r="BQ295" s="1109">
        <v>-18.353614989544148</v>
      </c>
      <c r="BR295" s="1109">
        <v>10.031691933782724</v>
      </c>
      <c r="BS295" s="1109">
        <v>-20.382544539059332</v>
      </c>
      <c r="BT295" s="1109">
        <v>-13.415225757954163</v>
      </c>
    </row>
    <row r="296" spans="4:84" ht="14.45" hidden="1" outlineLevel="1" collapsed="1">
      <c r="D296" s="1611"/>
      <c r="E296" s="1619"/>
      <c r="F296" s="1107"/>
      <c r="G296" s="1107"/>
      <c r="H296" s="1107"/>
      <c r="I296" s="1107"/>
    </row>
    <row r="297" spans="4:84" ht="14.45" collapsed="1">
      <c r="D297" s="1613" t="s">
        <v>1242</v>
      </c>
      <c r="E297" s="1612" t="s">
        <v>1116</v>
      </c>
      <c r="F297" s="1106" t="s">
        <v>1190</v>
      </c>
      <c r="G297" s="1106"/>
      <c r="H297" s="1106"/>
      <c r="I297" s="1106"/>
      <c r="J297" s="1108"/>
      <c r="K297" s="1108"/>
      <c r="L297" s="1108"/>
      <c r="M297" s="1108"/>
      <c r="N297" s="1108"/>
      <c r="O297" s="1108"/>
      <c r="P297" s="1108"/>
      <c r="Q297" s="1108"/>
      <c r="R297" s="1108"/>
      <c r="S297" s="1108"/>
      <c r="T297" s="1108"/>
      <c r="U297" s="1108"/>
      <c r="V297" s="1108"/>
      <c r="W297" s="1108"/>
      <c r="X297" s="1108"/>
      <c r="Y297" s="1108">
        <v>18.2</v>
      </c>
      <c r="Z297" s="1108">
        <v>20.6</v>
      </c>
      <c r="AA297" s="1108">
        <v>22.2</v>
      </c>
      <c r="AB297" s="1108">
        <v>23.1</v>
      </c>
      <c r="AC297" s="1108">
        <v>24</v>
      </c>
      <c r="AD297" s="1108">
        <v>24.9</v>
      </c>
      <c r="AE297" s="1108">
        <v>26.2</v>
      </c>
      <c r="AF297" s="1108">
        <v>27</v>
      </c>
      <c r="AG297" s="1108">
        <v>28</v>
      </c>
      <c r="AH297" s="1108">
        <v>29.2</v>
      </c>
      <c r="AI297" s="1108">
        <v>30.6</v>
      </c>
      <c r="AJ297" s="1108">
        <v>31.4</v>
      </c>
      <c r="AK297" s="1108">
        <v>32.5</v>
      </c>
      <c r="AL297" s="1108">
        <v>33.299999999999997</v>
      </c>
      <c r="AM297" s="1108">
        <v>34.200000000000003</v>
      </c>
      <c r="AN297" s="1108">
        <v>34.799999999999997</v>
      </c>
      <c r="AO297" s="1108">
        <v>35.6</v>
      </c>
      <c r="AP297" s="1108">
        <v>37.200000000000003</v>
      </c>
      <c r="AQ297" s="1108">
        <v>39.6</v>
      </c>
      <c r="AR297" s="1108">
        <v>42.7</v>
      </c>
      <c r="AS297" s="1108">
        <v>45.3</v>
      </c>
      <c r="AT297" s="1108">
        <v>47.5</v>
      </c>
      <c r="AU297" s="1108">
        <v>50.2</v>
      </c>
      <c r="AV297" s="1108">
        <v>51.9</v>
      </c>
      <c r="AW297" s="1108">
        <v>54.1</v>
      </c>
      <c r="AX297" s="1108">
        <v>56.4</v>
      </c>
      <c r="AY297" s="1108">
        <v>58.4</v>
      </c>
      <c r="AZ297" s="1108">
        <v>59.7</v>
      </c>
      <c r="BA297" s="1108">
        <v>61.3</v>
      </c>
      <c r="BB297" s="1108">
        <v>63.2</v>
      </c>
      <c r="BC297" s="1108">
        <v>64.266298337413005</v>
      </c>
      <c r="BD297" s="1108">
        <v>65.378799191166465</v>
      </c>
      <c r="BE297" s="1108">
        <v>66.399356072400266</v>
      </c>
      <c r="BF297" s="1108">
        <v>67.852053164784522</v>
      </c>
      <c r="BG297" s="1108">
        <v>69.227525859653383</v>
      </c>
      <c r="BH297" s="1108">
        <v>70.185651321673106</v>
      </c>
      <c r="BI297" s="1108">
        <v>71.572379948193344</v>
      </c>
      <c r="BJ297" s="1108">
        <v>73.016604077637666</v>
      </c>
      <c r="BK297" s="1108">
        <v>74.325399639013369</v>
      </c>
      <c r="BL297" s="1108">
        <v>75.38075718052076</v>
      </c>
      <c r="BM297" s="1108">
        <v>77.806586062824479</v>
      </c>
      <c r="BN297" s="1108">
        <v>79.405217458817816</v>
      </c>
      <c r="BO297" s="1108">
        <v>80.448259520959695</v>
      </c>
      <c r="BP297" s="1108">
        <v>81.577916798443439</v>
      </c>
      <c r="BQ297" s="1108">
        <v>82.08601935567107</v>
      </c>
      <c r="BR297" s="1108">
        <v>83.845020528467202</v>
      </c>
      <c r="BS297" s="1108">
        <v>84.675464077732002</v>
      </c>
      <c r="BT297" s="1108">
        <v>85.65357528115004</v>
      </c>
    </row>
    <row r="298" spans="4:84" ht="14.45" hidden="1" outlineLevel="1">
      <c r="D298" s="1611"/>
      <c r="E298" s="1619"/>
      <c r="F298" s="1106" t="s">
        <v>1191</v>
      </c>
      <c r="G298" s="1106"/>
      <c r="H298" s="1106"/>
      <c r="I298" s="1106"/>
      <c r="W298" s="1109"/>
      <c r="X298" s="1109"/>
      <c r="Y298" s="1109">
        <v>156.33802816901411</v>
      </c>
      <c r="Z298" s="1109">
        <v>123.9130434782609</v>
      </c>
      <c r="AA298" s="1109">
        <v>79.032258064516114</v>
      </c>
      <c r="AB298" s="1109">
        <v>51.973684210526329</v>
      </c>
      <c r="AC298" s="1109">
        <v>31.868131868131872</v>
      </c>
      <c r="AD298" s="1109">
        <v>20.873786407766975</v>
      </c>
      <c r="AE298" s="1109">
        <v>18.018018018018019</v>
      </c>
      <c r="AF298" s="1109">
        <v>16.883116883116873</v>
      </c>
      <c r="AG298" s="1109">
        <v>16.666666666666664</v>
      </c>
      <c r="AH298" s="1109">
        <v>17.269076305220889</v>
      </c>
      <c r="AI298" s="1109">
        <v>16.793893129771</v>
      </c>
      <c r="AJ298" s="1109">
        <v>16.296296296296291</v>
      </c>
      <c r="AK298" s="1109">
        <v>16.071428571428573</v>
      </c>
      <c r="AL298" s="1109">
        <v>14.041095890410951</v>
      </c>
      <c r="AM298" s="1109">
        <v>11.764705882352946</v>
      </c>
      <c r="AN298" s="1109">
        <v>10.828025477707003</v>
      </c>
      <c r="AO298" s="1109">
        <v>9.5384615384615437</v>
      </c>
      <c r="AP298" s="1109">
        <v>11.711711711711729</v>
      </c>
      <c r="AQ298" s="1109">
        <v>15.78947368421052</v>
      </c>
      <c r="AR298" s="1109">
        <v>22.701149425287376</v>
      </c>
      <c r="AS298" s="1109">
        <v>27.247191011235945</v>
      </c>
      <c r="AT298" s="1109">
        <v>27.688172043010745</v>
      </c>
      <c r="AU298" s="1109">
        <v>26.767676767676768</v>
      </c>
      <c r="AV298" s="1109">
        <v>21.54566744730678</v>
      </c>
      <c r="AW298" s="1109">
        <v>19.426048565121423</v>
      </c>
      <c r="AX298" s="1109">
        <v>18.736842105263154</v>
      </c>
      <c r="AY298" s="1109">
        <v>16.334661354581666</v>
      </c>
      <c r="AZ298" s="1109">
        <v>15.028901734104055</v>
      </c>
      <c r="BA298" s="1109">
        <v>13.308687615526793</v>
      </c>
      <c r="BB298" s="1109">
        <v>12.05673758865249</v>
      </c>
      <c r="BC298" s="1109">
        <v>10.045031399679806</v>
      </c>
      <c r="BD298" s="1109">
        <v>9.5122264508650947</v>
      </c>
      <c r="BE298" s="1109">
        <v>8.3186885357263769</v>
      </c>
      <c r="BF298" s="1109">
        <v>7.3608436151653773</v>
      </c>
      <c r="BG298" s="1109">
        <v>7.7197966128261823</v>
      </c>
      <c r="BH298" s="1109">
        <v>7.3523102136695568</v>
      </c>
      <c r="BI298" s="1109">
        <v>7.7907741607501979</v>
      </c>
      <c r="BJ298" s="1109">
        <v>7.611488041947073</v>
      </c>
      <c r="BK298" s="1109">
        <v>7.3639404500675463</v>
      </c>
      <c r="BL298" s="1109">
        <v>7.4019486334002602</v>
      </c>
      <c r="BM298" s="1109">
        <v>8.7103518412321588</v>
      </c>
      <c r="BN298" s="1109">
        <v>8.7495350706631267</v>
      </c>
      <c r="BO298" s="1109">
        <v>8.2379104743251723</v>
      </c>
      <c r="BP298" s="1109">
        <v>8.2211427023501642</v>
      </c>
      <c r="BQ298" s="1109">
        <v>5.5000913282471826</v>
      </c>
      <c r="BR298" s="1109">
        <v>5.5913241116076735</v>
      </c>
      <c r="BS298" s="1109">
        <v>5.2545630967578196</v>
      </c>
      <c r="BT298" s="1109">
        <v>4.9960315765067032</v>
      </c>
    </row>
    <row r="299" spans="4:84" ht="14.45" hidden="1" outlineLevel="1" collapsed="1">
      <c r="D299" s="1611"/>
      <c r="E299" s="1619"/>
      <c r="F299" s="1106"/>
      <c r="G299" s="1106"/>
      <c r="H299" s="1106"/>
      <c r="I299" s="1106"/>
    </row>
    <row r="300" spans="4:84" ht="14.45" collapsed="1">
      <c r="D300" s="1613" t="s">
        <v>1243</v>
      </c>
      <c r="E300" s="1612" t="s">
        <v>1116</v>
      </c>
      <c r="F300" s="1107" t="s">
        <v>1190</v>
      </c>
      <c r="G300" s="1107"/>
      <c r="H300" s="1107"/>
      <c r="I300" s="1107"/>
      <c r="J300" s="1108"/>
      <c r="K300" s="1108"/>
      <c r="L300" s="1108"/>
      <c r="M300" s="1108"/>
      <c r="N300" s="1108"/>
      <c r="O300" s="1108"/>
      <c r="P300" s="1108"/>
      <c r="Q300" s="1108"/>
      <c r="R300" s="1108"/>
      <c r="S300" s="1108"/>
      <c r="T300" s="1108"/>
      <c r="U300" s="1108"/>
      <c r="V300" s="1108"/>
      <c r="W300" s="1108"/>
      <c r="X300" s="1108"/>
      <c r="Y300" s="1108">
        <v>16.7</v>
      </c>
      <c r="Z300" s="1108">
        <v>19.399999999999999</v>
      </c>
      <c r="AA300" s="1108">
        <v>21.4</v>
      </c>
      <c r="AB300" s="1108">
        <v>22.65</v>
      </c>
      <c r="AC300" s="1108">
        <v>23.55</v>
      </c>
      <c r="AD300" s="1108">
        <v>24.45</v>
      </c>
      <c r="AE300" s="1108">
        <v>25.55</v>
      </c>
      <c r="AF300" s="1108">
        <v>26.6</v>
      </c>
      <c r="AG300" s="1108">
        <v>27.5</v>
      </c>
      <c r="AH300" s="1108">
        <v>28.6</v>
      </c>
      <c r="AI300" s="1108">
        <v>29.9</v>
      </c>
      <c r="AJ300" s="1108">
        <v>31</v>
      </c>
      <c r="AK300" s="1108">
        <v>31.95</v>
      </c>
      <c r="AL300" s="1108">
        <v>32.9</v>
      </c>
      <c r="AM300" s="1108">
        <v>33.75</v>
      </c>
      <c r="AN300" s="1108">
        <v>34.5</v>
      </c>
      <c r="AO300" s="1108">
        <v>35.200000000000003</v>
      </c>
      <c r="AP300" s="1108">
        <v>36.4</v>
      </c>
      <c r="AQ300" s="1108">
        <v>38.4</v>
      </c>
      <c r="AR300" s="1108">
        <v>41.15</v>
      </c>
      <c r="AS300" s="1108">
        <v>44</v>
      </c>
      <c r="AT300" s="1108">
        <v>46.4</v>
      </c>
      <c r="AU300" s="1108">
        <v>48.85</v>
      </c>
      <c r="AV300" s="1108">
        <v>51.05</v>
      </c>
      <c r="AW300" s="1108">
        <v>53</v>
      </c>
      <c r="AX300" s="1108">
        <v>55.25</v>
      </c>
      <c r="AY300" s="1108">
        <v>57.4</v>
      </c>
      <c r="AZ300" s="1108">
        <v>59.05</v>
      </c>
      <c r="BA300" s="1108">
        <v>60.5</v>
      </c>
      <c r="BB300" s="1108">
        <v>62.25</v>
      </c>
      <c r="BC300" s="1108">
        <v>63.620649168706507</v>
      </c>
      <c r="BD300" s="1108">
        <v>64.822548764289735</v>
      </c>
      <c r="BE300" s="1108">
        <v>65.889077631783366</v>
      </c>
      <c r="BF300" s="1108">
        <v>67.125704618592394</v>
      </c>
      <c r="BG300" s="1108">
        <v>68.539789512218945</v>
      </c>
      <c r="BH300" s="1108">
        <v>69.706588590663245</v>
      </c>
      <c r="BI300" s="1108">
        <v>71.112377267100541</v>
      </c>
      <c r="BJ300" s="1108">
        <v>72.294492012915498</v>
      </c>
      <c r="BK300" s="1108">
        <v>73.671001858325511</v>
      </c>
      <c r="BL300" s="1108">
        <v>74.853078409767065</v>
      </c>
      <c r="BM300" s="1108">
        <v>77.242727517073547</v>
      </c>
      <c r="BN300" s="1108">
        <v>78.605901760821155</v>
      </c>
      <c r="BO300" s="1108">
        <v>79.926738489888763</v>
      </c>
      <c r="BP300" s="1108">
        <v>81.013088159701567</v>
      </c>
      <c r="BQ300" s="1108">
        <v>81.625649236492904</v>
      </c>
      <c r="BR300" s="1108">
        <v>82.965519942069136</v>
      </c>
      <c r="BS300" s="1108">
        <v>84.260242303099602</v>
      </c>
      <c r="BT300" s="1108">
        <v>85.164519679441014</v>
      </c>
    </row>
    <row r="301" spans="4:84" ht="14.45" hidden="1" outlineLevel="1">
      <c r="D301" s="1611"/>
      <c r="E301" s="1619"/>
      <c r="F301" s="1107" t="s">
        <v>1191</v>
      </c>
      <c r="G301" s="1107"/>
      <c r="H301" s="1107"/>
      <c r="I301" s="1107"/>
      <c r="W301" s="1109"/>
      <c r="X301" s="1109"/>
      <c r="Y301" s="1109">
        <v>162.80886153131434</v>
      </c>
      <c r="Z301" s="1109">
        <v>138.0368098159509</v>
      </c>
      <c r="AA301" s="1109">
        <v>98.148148148148124</v>
      </c>
      <c r="AB301" s="1109">
        <v>64.130434782608674</v>
      </c>
      <c r="AC301" s="1109">
        <v>41.017964071856298</v>
      </c>
      <c r="AD301" s="1109">
        <v>26.030927835051553</v>
      </c>
      <c r="AE301" s="1109">
        <v>19.392523364485992</v>
      </c>
      <c r="AF301" s="1109">
        <v>17.439293598234009</v>
      </c>
      <c r="AG301" s="1109">
        <v>16.772823779193203</v>
      </c>
      <c r="AH301" s="1109">
        <v>16.973415132924345</v>
      </c>
      <c r="AI301" s="1109">
        <v>17.025440313111538</v>
      </c>
      <c r="AJ301" s="1109">
        <v>16.541353383458642</v>
      </c>
      <c r="AK301" s="1109">
        <v>16.18181818181818</v>
      </c>
      <c r="AL301" s="1109">
        <v>15.034965034965026</v>
      </c>
      <c r="AM301" s="1109">
        <v>12.876254180602013</v>
      </c>
      <c r="AN301" s="1109">
        <v>11.29032258064516</v>
      </c>
      <c r="AO301" s="1109">
        <v>10.172143974960887</v>
      </c>
      <c r="AP301" s="1109">
        <v>10.638297872340425</v>
      </c>
      <c r="AQ301" s="1109">
        <v>13.777777777777775</v>
      </c>
      <c r="AR301" s="1109">
        <v>19.275362318840575</v>
      </c>
      <c r="AS301" s="1109">
        <v>24.999999999999989</v>
      </c>
      <c r="AT301" s="1109">
        <v>27.472527472527474</v>
      </c>
      <c r="AU301" s="1109">
        <v>27.213541666666675</v>
      </c>
      <c r="AV301" s="1109">
        <v>24.058323207776425</v>
      </c>
      <c r="AW301" s="1109">
        <v>20.454545454545457</v>
      </c>
      <c r="AX301" s="1109">
        <v>19.073275862068968</v>
      </c>
      <c r="AY301" s="1109">
        <v>17.502558853633566</v>
      </c>
      <c r="AZ301" s="1109">
        <v>15.670910871694419</v>
      </c>
      <c r="BA301" s="1109">
        <v>14.150943396226415</v>
      </c>
      <c r="BB301" s="1109">
        <v>12.669683257918551</v>
      </c>
      <c r="BC301" s="1109">
        <v>10.837367889732592</v>
      </c>
      <c r="BD301" s="1109">
        <v>9.7756964678911729</v>
      </c>
      <c r="BE301" s="1109">
        <v>8.9075663335262227</v>
      </c>
      <c r="BF301" s="1109">
        <v>7.83245721862232</v>
      </c>
      <c r="BG301" s="1109">
        <v>7.731987032178929</v>
      </c>
      <c r="BH301" s="1109">
        <v>7.5344766897905302</v>
      </c>
      <c r="BI301" s="1109">
        <v>7.9274135001664927</v>
      </c>
      <c r="BJ301" s="1109">
        <v>7.7001610987804208</v>
      </c>
      <c r="BK301" s="1109">
        <v>7.4864722851122805</v>
      </c>
      <c r="BL301" s="1109">
        <v>7.3830751484991772</v>
      </c>
      <c r="BM301" s="1109">
        <v>8.6206515455772195</v>
      </c>
      <c r="BN301" s="1109">
        <v>8.7301391463932223</v>
      </c>
      <c r="BO301" s="1109">
        <v>8.4914504672998348</v>
      </c>
      <c r="BP301" s="1109">
        <v>8.2294674859100052</v>
      </c>
      <c r="BQ301" s="1109">
        <v>5.6742192570175192</v>
      </c>
      <c r="BR301" s="1109">
        <v>5.5461715769297451</v>
      </c>
      <c r="BS301" s="1109">
        <v>5.4218449233469661</v>
      </c>
      <c r="BT301" s="1109">
        <v>5.1243960871553318</v>
      </c>
    </row>
    <row r="302" spans="4:84" ht="14.45" hidden="1" outlineLevel="1" collapsed="1">
      <c r="D302" s="1611"/>
      <c r="E302" s="1619"/>
      <c r="F302" s="1107"/>
      <c r="G302" s="1107"/>
      <c r="H302" s="1107"/>
      <c r="I302" s="1107"/>
    </row>
    <row r="303" spans="4:84" ht="14.45" collapsed="1">
      <c r="D303" s="1613" t="s">
        <v>1244</v>
      </c>
      <c r="E303" s="1612" t="s">
        <v>1245</v>
      </c>
      <c r="F303" s="1106" t="s">
        <v>1190</v>
      </c>
      <c r="G303" s="1106"/>
      <c r="H303" s="1106"/>
      <c r="I303" s="1106"/>
      <c r="J303" s="1108"/>
      <c r="K303" s="1108"/>
      <c r="L303" s="1108"/>
      <c r="M303" s="1108"/>
      <c r="N303" s="1108"/>
      <c r="O303" s="1108"/>
      <c r="P303" s="1108"/>
      <c r="Q303" s="1108"/>
      <c r="R303" s="1108"/>
      <c r="S303" s="1108"/>
      <c r="T303" s="1108"/>
      <c r="U303" s="1108"/>
      <c r="V303" s="1108"/>
      <c r="W303" s="1108"/>
      <c r="X303" s="1108"/>
      <c r="Y303" s="1108">
        <v>15.783908905814796</v>
      </c>
      <c r="Z303" s="1108">
        <v>15.961936792219403</v>
      </c>
      <c r="AA303" s="1108">
        <v>15.786249963045105</v>
      </c>
      <c r="AB303" s="1108">
        <v>16.639236073399555</v>
      </c>
      <c r="AC303" s="1108">
        <v>17.310734826770894</v>
      </c>
      <c r="AD303" s="1108">
        <v>18.136141744703352</v>
      </c>
      <c r="AE303" s="1108">
        <v>17.354958881015182</v>
      </c>
      <c r="AF303" s="1108">
        <v>17.92572275253351</v>
      </c>
      <c r="AG303" s="1108">
        <v>18.402822834556748</v>
      </c>
      <c r="AH303" s="1108">
        <v>18.606086730660643</v>
      </c>
      <c r="AI303" s="1108">
        <v>17.844527854753942</v>
      </c>
      <c r="AJ303" s="1108">
        <v>18.255008515327589</v>
      </c>
      <c r="AK303" s="1108">
        <v>18.952806336375744</v>
      </c>
      <c r="AL303" s="1108">
        <v>18.725805103928714</v>
      </c>
      <c r="AM303" s="1108">
        <v>18.6839902852542</v>
      </c>
      <c r="AN303" s="1108">
        <v>18.651228683229817</v>
      </c>
      <c r="AO303" s="1108">
        <v>19.011135509881424</v>
      </c>
      <c r="AP303" s="1108">
        <v>19.57260128025391</v>
      </c>
      <c r="AQ303" s="1108">
        <v>18.48776120819398</v>
      </c>
      <c r="AR303" s="1108">
        <v>17.926143934724493</v>
      </c>
      <c r="AS303" s="1108">
        <v>18.52752058742475</v>
      </c>
      <c r="AT303" s="1108">
        <v>18.368768617427332</v>
      </c>
      <c r="AU303" s="1108">
        <v>18.180014596025075</v>
      </c>
      <c r="AV303" s="1108">
        <v>18.103788400181472</v>
      </c>
      <c r="AW303" s="1108">
        <v>18.937794089629936</v>
      </c>
      <c r="AX303" s="1108">
        <v>18.68153296623505</v>
      </c>
      <c r="AY303" s="1108">
        <v>18.26982644348157</v>
      </c>
      <c r="AZ303" s="1108">
        <v>18.347012230082008</v>
      </c>
      <c r="BA303" s="1108">
        <v>18.859356612894466</v>
      </c>
      <c r="BB303" s="1108">
        <v>18.38566754009868</v>
      </c>
      <c r="BC303" s="1108">
        <v>18.005442374347339</v>
      </c>
      <c r="BD303" s="1108">
        <v>18.867534267798828</v>
      </c>
      <c r="BE303" s="1108">
        <v>18.802318928264093</v>
      </c>
      <c r="BF303" s="1108">
        <v>18.732592566466149</v>
      </c>
      <c r="BG303" s="1108">
        <v>18.009124773123226</v>
      </c>
      <c r="BH303" s="1108">
        <v>18.897378445718676</v>
      </c>
      <c r="BI303" s="1108">
        <v>18.281177905031761</v>
      </c>
      <c r="BJ303" s="1108">
        <v>18.145231634937378</v>
      </c>
      <c r="BK303" s="1108">
        <v>17.336145998889215</v>
      </c>
      <c r="BL303" s="1108">
        <v>18.277355906347882</v>
      </c>
      <c r="BM303" s="1108">
        <v>16.174486811878733</v>
      </c>
      <c r="BN303" s="1108">
        <v>16.273255170280333</v>
      </c>
      <c r="BO303" s="1108">
        <v>15.542246326722109</v>
      </c>
      <c r="BP303" s="1108">
        <v>15.622455177337859</v>
      </c>
      <c r="BQ303" s="1108">
        <v>17.280467018011194</v>
      </c>
      <c r="BR303" s="1108">
        <v>17.280731440061846</v>
      </c>
      <c r="BS303" s="1108">
        <v>17.115748392120722</v>
      </c>
      <c r="BT303" s="1108">
        <v>17.35582434498075</v>
      </c>
    </row>
    <row r="304" spans="4:84" ht="14.45" hidden="1" outlineLevel="1">
      <c r="D304" s="1611"/>
      <c r="E304" s="1619"/>
      <c r="F304" s="1106" t="s">
        <v>1191</v>
      </c>
      <c r="G304" s="1106"/>
      <c r="H304" s="1106"/>
      <c r="I304" s="1106"/>
      <c r="W304" s="1109"/>
      <c r="X304" s="1109"/>
      <c r="Y304" s="1109">
        <v>-28.385167461320236</v>
      </c>
      <c r="Z304" s="1109">
        <v>-16.400388574077837</v>
      </c>
      <c r="AA304" s="1109">
        <v>-10.294999308606997</v>
      </c>
      <c r="AB304" s="1109">
        <v>4.0661533514603487</v>
      </c>
      <c r="AC304" s="1109">
        <v>9.6733067205780365</v>
      </c>
      <c r="AD304" s="1109">
        <v>13.621185077889535</v>
      </c>
      <c r="AE304" s="1109">
        <v>9.9371853457429999</v>
      </c>
      <c r="AF304" s="1109">
        <v>7.7316450915111803</v>
      </c>
      <c r="AG304" s="1109">
        <v>6.3087328106773946</v>
      </c>
      <c r="AH304" s="1109">
        <v>2.5912070636222171</v>
      </c>
      <c r="AI304" s="1109">
        <v>2.8209169327062198</v>
      </c>
      <c r="AJ304" s="1109">
        <v>1.8369455298394586</v>
      </c>
      <c r="AK304" s="1109">
        <v>2.9885822776397073</v>
      </c>
      <c r="AL304" s="1109">
        <v>0.6434366076064213</v>
      </c>
      <c r="AM304" s="1109">
        <v>4.7043129262544117</v>
      </c>
      <c r="AN304" s="1109">
        <v>2.170473750091912</v>
      </c>
      <c r="AO304" s="1109">
        <v>0.30776008824471368</v>
      </c>
      <c r="AP304" s="1109">
        <v>4.5220815426917795</v>
      </c>
      <c r="AQ304" s="1109">
        <v>-1.0502525106485863</v>
      </c>
      <c r="AR304" s="1109">
        <v>-3.8875977600193248</v>
      </c>
      <c r="AS304" s="1109">
        <v>-2.5438507984191965</v>
      </c>
      <c r="AT304" s="1109">
        <v>-6.1506012695465326</v>
      </c>
      <c r="AU304" s="1109">
        <v>-1.6645964251880803</v>
      </c>
      <c r="AV304" s="1109">
        <v>0.99097980080850478</v>
      </c>
      <c r="AW304" s="1109">
        <v>2.2144004658866896</v>
      </c>
      <c r="AX304" s="1109">
        <v>1.7026963283264605</v>
      </c>
      <c r="AY304" s="1109">
        <v>0.49401416584193492</v>
      </c>
      <c r="AZ304" s="1109">
        <v>1.343496866645316</v>
      </c>
      <c r="BA304" s="1109">
        <v>-0.41418486421510459</v>
      </c>
      <c r="BB304" s="1109">
        <v>-1.5837320559887464</v>
      </c>
      <c r="BC304" s="1109">
        <v>-1.4471077213136812</v>
      </c>
      <c r="BD304" s="1109">
        <v>2.8370942973666562</v>
      </c>
      <c r="BE304" s="1109">
        <v>-0.30243706506602364</v>
      </c>
      <c r="BF304" s="1109">
        <v>1.8869319028576688</v>
      </c>
      <c r="BG304" s="1109">
        <v>2.0451587355236958E-2</v>
      </c>
      <c r="BH304" s="1109">
        <v>0.15817741468626018</v>
      </c>
      <c r="BI304" s="1109">
        <v>-2.7716848396233731</v>
      </c>
      <c r="BJ304" s="1109">
        <v>-3.135502624341628</v>
      </c>
      <c r="BK304" s="1109">
        <v>-3.736876626222073</v>
      </c>
      <c r="BL304" s="1109">
        <v>-3.2809976322999659</v>
      </c>
      <c r="BM304" s="1109">
        <v>-11.523825784623959</v>
      </c>
      <c r="BN304" s="1109">
        <v>-10.316630298908311</v>
      </c>
      <c r="BO304" s="1109">
        <v>-10.347742066097315</v>
      </c>
      <c r="BP304" s="1109">
        <v>-14.525628009946196</v>
      </c>
      <c r="BQ304" s="1109">
        <v>6.8378070908575364</v>
      </c>
      <c r="BR304" s="1109">
        <v>6.1909941142043667</v>
      </c>
      <c r="BS304" s="1109">
        <v>10.124032474593182</v>
      </c>
      <c r="BT304" s="1109">
        <v>11.095369760812881</v>
      </c>
    </row>
    <row r="305" spans="4:84" ht="14.45" hidden="1" outlineLevel="1" collapsed="1">
      <c r="D305" s="1611"/>
      <c r="E305" s="1619"/>
      <c r="F305" s="1106"/>
      <c r="G305" s="1106"/>
      <c r="H305" s="1106"/>
      <c r="I305" s="1106"/>
    </row>
    <row r="306" spans="4:84" ht="14.45" collapsed="1">
      <c r="D306" s="1610" t="s">
        <v>1227</v>
      </c>
      <c r="E306" s="1612" t="s">
        <v>1095</v>
      </c>
      <c r="F306" s="1107" t="s">
        <v>1190</v>
      </c>
      <c r="G306" s="1107"/>
      <c r="H306" s="1107"/>
      <c r="I306" s="1107"/>
      <c r="J306" s="1108"/>
      <c r="K306" s="1108"/>
      <c r="L306" s="1108"/>
      <c r="M306" s="1108"/>
      <c r="N306" s="1108"/>
      <c r="O306" s="1108"/>
      <c r="P306" s="1108"/>
      <c r="Q306" s="1108"/>
      <c r="R306" s="1108"/>
      <c r="S306" s="1108"/>
      <c r="T306" s="1108"/>
      <c r="U306" s="1108"/>
      <c r="V306" s="1108"/>
      <c r="W306" s="1108"/>
      <c r="X306" s="1108"/>
      <c r="Y306" s="1108">
        <v>269.63685978969028</v>
      </c>
      <c r="Z306" s="1108">
        <v>309.3497083980057</v>
      </c>
      <c r="AA306" s="1108">
        <v>332.75094743446834</v>
      </c>
      <c r="AB306" s="1108">
        <v>366.1144227556818</v>
      </c>
      <c r="AC306" s="1108">
        <v>418.61554229257246</v>
      </c>
      <c r="AD306" s="1108">
        <v>439.16748371829715</v>
      </c>
      <c r="AE306" s="1108">
        <v>438.27769809510875</v>
      </c>
      <c r="AF306" s="1108">
        <v>469.21697218206521</v>
      </c>
      <c r="AG306" s="1108">
        <v>497.86764806612319</v>
      </c>
      <c r="AH306" s="1108">
        <v>523.97183710960144</v>
      </c>
      <c r="AI306" s="1108">
        <v>528.15148597916664</v>
      </c>
      <c r="AJ306" s="1108">
        <v>558.21927502264498</v>
      </c>
      <c r="AK306" s="1108">
        <v>598.89778782311805</v>
      </c>
      <c r="AL306" s="1108">
        <v>599.10488403713771</v>
      </c>
      <c r="AM306" s="1108">
        <v>605.70713929800729</v>
      </c>
      <c r="AN306" s="1108">
        <v>627.27533491250006</v>
      </c>
      <c r="AO306" s="1108">
        <v>626.48235778264745</v>
      </c>
      <c r="AP306" s="1108">
        <v>698.06798405699271</v>
      </c>
      <c r="AQ306" s="1108">
        <v>698.77701204056677</v>
      </c>
      <c r="AR306" s="1108">
        <v>727.21899795131219</v>
      </c>
      <c r="AS306" s="1108">
        <v>825.70182992879779</v>
      </c>
      <c r="AT306" s="1108">
        <v>836.39708291614352</v>
      </c>
      <c r="AU306" s="1108">
        <v>875.89012174198024</v>
      </c>
      <c r="AV306" s="1108">
        <v>906.89820535038825</v>
      </c>
      <c r="AW306" s="1108">
        <v>986.68783585973154</v>
      </c>
      <c r="AX306" s="1108">
        <v>1035.5856850157811</v>
      </c>
      <c r="AY306" s="1108">
        <v>1028.7146947071192</v>
      </c>
      <c r="AZ306" s="1108">
        <v>1054.3021969186507</v>
      </c>
      <c r="BA306" s="1108">
        <v>1131.2421478422498</v>
      </c>
      <c r="BB306" s="1108">
        <v>1127.2103253297332</v>
      </c>
      <c r="BC306" s="1108">
        <v>1124.4780114240896</v>
      </c>
      <c r="BD306" s="1108">
        <v>1180.8470323805327</v>
      </c>
      <c r="BE306" s="1108">
        <v>1198.9100065350158</v>
      </c>
      <c r="BF306" s="1108">
        <v>1223.9160298833776</v>
      </c>
      <c r="BG306" s="1108">
        <v>1211.9478378764961</v>
      </c>
      <c r="BH306" s="1108">
        <v>1272.5427939751862</v>
      </c>
      <c r="BI306" s="1108">
        <v>1268.1338232743497</v>
      </c>
      <c r="BJ306" s="1108">
        <v>1287.3503949858998</v>
      </c>
      <c r="BK306" s="1108">
        <v>1289.1540589361778</v>
      </c>
      <c r="BL306" s="1108">
        <v>1362.0734326458371</v>
      </c>
      <c r="BM306" s="1108">
        <v>1275.8613101854344</v>
      </c>
      <c r="BN306" s="1108">
        <v>1302.5058417417854</v>
      </c>
      <c r="BO306" s="1108">
        <v>1273.0673036485377</v>
      </c>
      <c r="BP306" s="1108">
        <v>1293.0218686928461</v>
      </c>
      <c r="BQ306" s="1108">
        <v>1434.3982552120724</v>
      </c>
      <c r="BR306" s="1108">
        <v>1453.695090783775</v>
      </c>
      <c r="BS306" s="1108">
        <v>1465.1393187921376</v>
      </c>
      <c r="BT306" s="1108">
        <v>1492.9571747944699</v>
      </c>
      <c r="BU306" s="1108">
        <v>1544.1175729461099</v>
      </c>
      <c r="BV306" s="1108">
        <v>1547.42189660383</v>
      </c>
      <c r="BW306" s="1108">
        <v>1559.66783608848</v>
      </c>
      <c r="BX306" s="1108">
        <v>1563.7834858599399</v>
      </c>
      <c r="BY306" s="1108">
        <v>1575.7916875686501</v>
      </c>
      <c r="BZ306" s="1108">
        <v>1576.42868921784</v>
      </c>
      <c r="CA306" s="1108">
        <v>1584.94371630926</v>
      </c>
      <c r="CB306" s="1108">
        <v>1584.85678833968</v>
      </c>
      <c r="CC306" s="1108">
        <v>1595.15200777013</v>
      </c>
      <c r="CD306" s="1108">
        <v>1593.48504836598</v>
      </c>
      <c r="CE306" s="1108">
        <v>1598.7404387378499</v>
      </c>
      <c r="CF306" s="1108">
        <v>1595.09014131001</v>
      </c>
    </row>
    <row r="307" spans="4:84" ht="14.45" hidden="1" outlineLevel="1">
      <c r="D307" s="1611"/>
      <c r="E307" s="1619"/>
      <c r="F307" s="1107" t="s">
        <v>1191</v>
      </c>
      <c r="G307" s="1107"/>
      <c r="H307" s="1107"/>
      <c r="I307" s="1107"/>
      <c r="W307" s="1109"/>
      <c r="X307" s="1109"/>
      <c r="Y307" s="1109">
        <v>110.3488018220088</v>
      </c>
      <c r="Z307" s="1109">
        <v>96.275420815098414</v>
      </c>
      <c r="AA307" s="1109">
        <v>66.740583227108218</v>
      </c>
      <c r="AB307" s="1109">
        <v>61.560929340325913</v>
      </c>
      <c r="AC307" s="1109">
        <v>55.251601216199319</v>
      </c>
      <c r="AD307" s="1109">
        <v>41.964731757002149</v>
      </c>
      <c r="AE307" s="1109">
        <v>31.713433567735443</v>
      </c>
      <c r="AF307" s="1109">
        <v>28.161291393643502</v>
      </c>
      <c r="AG307" s="1109">
        <v>18.931954924444984</v>
      </c>
      <c r="AH307" s="1109">
        <v>19.310253271324118</v>
      </c>
      <c r="AI307" s="1109">
        <v>20.506128483077589</v>
      </c>
      <c r="AJ307" s="1109">
        <v>18.96826161821895</v>
      </c>
      <c r="AK307" s="1109">
        <v>20.292569752107443</v>
      </c>
      <c r="AL307" s="1109">
        <v>14.339138405223173</v>
      </c>
      <c r="AM307" s="1109">
        <v>14.684357684813918</v>
      </c>
      <c r="AN307" s="1109">
        <v>12.370776678582752</v>
      </c>
      <c r="AO307" s="1109">
        <v>4.6058894389632297</v>
      </c>
      <c r="AP307" s="1109">
        <v>16.518493281673933</v>
      </c>
      <c r="AQ307" s="1109">
        <v>15.365490466304244</v>
      </c>
      <c r="AR307" s="1109">
        <v>15.932981495718062</v>
      </c>
      <c r="AS307" s="1109">
        <v>31.799693905389713</v>
      </c>
      <c r="AT307" s="1109">
        <v>19.815992427444879</v>
      </c>
      <c r="AU307" s="1109">
        <v>25.346155733458982</v>
      </c>
      <c r="AV307" s="1109">
        <v>24.707716369520053</v>
      </c>
      <c r="AW307" s="1109">
        <v>19.496869220311154</v>
      </c>
      <c r="AX307" s="1109">
        <v>23.815076136463293</v>
      </c>
      <c r="AY307" s="1109">
        <v>17.447916030974262</v>
      </c>
      <c r="AZ307" s="1109">
        <v>16.253642437335245</v>
      </c>
      <c r="BA307" s="1109">
        <v>14.650460533605708</v>
      </c>
      <c r="BB307" s="1109">
        <v>8.8476155705605244</v>
      </c>
      <c r="BC307" s="1109">
        <v>9.3090258367734062</v>
      </c>
      <c r="BD307" s="1109">
        <v>12.002710022963763</v>
      </c>
      <c r="BE307" s="1109">
        <v>5.9817306862051431</v>
      </c>
      <c r="BF307" s="1109">
        <v>8.5792067709596171</v>
      </c>
      <c r="BG307" s="1109">
        <v>7.7787049247526703</v>
      </c>
      <c r="BH307" s="1109">
        <v>7.7652531682955672</v>
      </c>
      <c r="BI307" s="1109">
        <v>5.7738959856877372</v>
      </c>
      <c r="BJ307" s="1109">
        <v>5.1829017313031356</v>
      </c>
      <c r="BK307" s="1109">
        <v>6.3704244231301113</v>
      </c>
      <c r="BL307" s="1109">
        <v>7.0355699701833903</v>
      </c>
      <c r="BM307" s="1109">
        <v>0.60935894692345494</v>
      </c>
      <c r="BN307" s="1109">
        <v>1.17725887333507</v>
      </c>
      <c r="BO307" s="1109">
        <v>-1.2478535964053017</v>
      </c>
      <c r="BP307" s="1109">
        <v>-5.0695918661931394</v>
      </c>
      <c r="BQ307" s="1109">
        <v>12.425876054161105</v>
      </c>
      <c r="BR307" s="1109">
        <v>11.607567827857928</v>
      </c>
      <c r="BS307" s="1109">
        <v>15.087341776285706</v>
      </c>
      <c r="BT307" s="1109">
        <v>15.462639182100171</v>
      </c>
      <c r="BU307" s="1109">
        <v>7.64915303928725</v>
      </c>
      <c r="BV307" s="1109">
        <v>6.4474872629253515</v>
      </c>
      <c r="BW307" s="1109">
        <v>6.4518449599913721</v>
      </c>
      <c r="BX307" s="1109">
        <v>4.7440283124812614</v>
      </c>
      <c r="BY307" s="1109">
        <v>2.0512760930573002</v>
      </c>
      <c r="BZ307" s="1109">
        <v>1.8745238565947675</v>
      </c>
      <c r="CA307" s="1109">
        <v>1.6205937979826417</v>
      </c>
      <c r="CB307" s="1109">
        <v>1.3475844111598119</v>
      </c>
      <c r="CC307" s="1109">
        <v>1.2286091083112449</v>
      </c>
      <c r="CD307" s="1109">
        <v>1.0819619856450782</v>
      </c>
      <c r="CE307" s="1109">
        <v>0.87048658489383268</v>
      </c>
      <c r="CF307" s="1109">
        <v>0.64569575280367786</v>
      </c>
    </row>
    <row r="308" spans="4:84" ht="14.45" hidden="1" outlineLevel="1" collapsed="1">
      <c r="D308" s="1611"/>
      <c r="E308" s="1619"/>
      <c r="F308" s="1107"/>
      <c r="G308" s="1107"/>
      <c r="H308" s="1107"/>
      <c r="I308" s="1107"/>
    </row>
    <row r="309" spans="4:84" ht="14.45" collapsed="1">
      <c r="D309" s="1105" t="s">
        <v>401</v>
      </c>
      <c r="F309" s="1106" t="s">
        <v>1188</v>
      </c>
      <c r="G309" s="1106"/>
      <c r="H309" s="1106"/>
      <c r="I309" s="1106"/>
    </row>
    <row r="310" spans="4:84" ht="14.45">
      <c r="D310" s="1105" t="s">
        <v>1246</v>
      </c>
      <c r="F310" s="1106" t="s">
        <v>1188</v>
      </c>
      <c r="G310" s="1106"/>
      <c r="H310" s="1106"/>
      <c r="I310" s="1106"/>
    </row>
    <row r="311" spans="4:84" ht="14.45">
      <c r="D311" s="1614" t="s">
        <v>1247</v>
      </c>
      <c r="E311" s="1612" t="s">
        <v>1116</v>
      </c>
      <c r="F311" s="1107" t="s">
        <v>1190</v>
      </c>
      <c r="G311" s="1107"/>
      <c r="H311" s="1107"/>
      <c r="I311" s="1107"/>
      <c r="J311" s="1108"/>
      <c r="K311" s="1108"/>
      <c r="L311" s="1108"/>
      <c r="M311" s="1108"/>
      <c r="N311" s="1108"/>
      <c r="O311" s="1108"/>
      <c r="P311" s="1108"/>
      <c r="Q311" s="1108"/>
      <c r="R311" s="1108"/>
      <c r="S311" s="1108"/>
      <c r="T311" s="1108"/>
      <c r="U311" s="1108"/>
      <c r="V311" s="1108"/>
      <c r="W311" s="1108"/>
      <c r="X311" s="1108"/>
      <c r="Y311" s="1108">
        <v>4.8742762937272346</v>
      </c>
      <c r="Z311" s="1108">
        <v>9.4195689195276877</v>
      </c>
      <c r="AA311" s="1108">
        <v>7.1136878923145233</v>
      </c>
      <c r="AB311" s="1108">
        <v>8.5341364959807606</v>
      </c>
      <c r="AC311" s="1108">
        <v>5.0773338216109947</v>
      </c>
      <c r="AD311" s="1108">
        <v>8.7643871683246388</v>
      </c>
      <c r="AE311" s="1108">
        <v>7.8031857586156121</v>
      </c>
      <c r="AF311" s="1108">
        <v>9.088940315654737</v>
      </c>
      <c r="AG311" s="1108">
        <v>8.4765603276716721</v>
      </c>
      <c r="AH311" s="1108">
        <v>8.3783324276349287</v>
      </c>
      <c r="AI311" s="1108">
        <v>8.5214970345917838</v>
      </c>
      <c r="AJ311" s="1108">
        <v>12.984781649201491</v>
      </c>
      <c r="AK311" s="1108">
        <v>10.377641869961842</v>
      </c>
      <c r="AL311" s="1108">
        <v>8.295432166001115</v>
      </c>
      <c r="AM311" s="1108">
        <v>11.031065190226524</v>
      </c>
      <c r="AN311" s="1108">
        <v>10.346206480912471</v>
      </c>
      <c r="AO311" s="1108">
        <v>9.0753471891162913</v>
      </c>
      <c r="AP311" s="1108">
        <v>8.8455784986847608</v>
      </c>
      <c r="AQ311" s="1108">
        <v>10.503128750584981</v>
      </c>
      <c r="AR311" s="1108">
        <v>2.8526772829562703</v>
      </c>
      <c r="AS311" s="1108">
        <v>10.462068369135327</v>
      </c>
      <c r="AT311" s="1108">
        <v>9.7985478479602843</v>
      </c>
      <c r="AU311" s="1108">
        <v>13.272262132603585</v>
      </c>
      <c r="AV311" s="1108">
        <v>7.6300069891631681</v>
      </c>
      <c r="AW311" s="1108">
        <v>12.240619991888284</v>
      </c>
      <c r="AX311" s="1108">
        <v>9.2985544549419199</v>
      </c>
      <c r="AY311" s="1108">
        <v>11.467508737195455</v>
      </c>
      <c r="AZ311" s="1108">
        <v>4.2296039487576689</v>
      </c>
      <c r="BA311" s="1108">
        <v>15.709992994603628</v>
      </c>
      <c r="BB311" s="1108">
        <v>4.7349299758395862</v>
      </c>
      <c r="BC311" s="1108">
        <v>6.6219812104006106</v>
      </c>
      <c r="BD311" s="1108">
        <v>3.3914933451421558</v>
      </c>
      <c r="BE311" s="1108">
        <v>14.214690340137029</v>
      </c>
      <c r="BF311" s="1108">
        <v>6.9023579583749326</v>
      </c>
      <c r="BG311" s="1108">
        <v>5.1091316844264592</v>
      </c>
      <c r="BH311" s="1108">
        <v>3.5513183823589611</v>
      </c>
      <c r="BI311" s="1108">
        <v>14.209127757862445</v>
      </c>
      <c r="BJ311" s="1108">
        <v>6.8445008216021055</v>
      </c>
      <c r="BK311" s="1108">
        <v>3.0096395276846502</v>
      </c>
      <c r="BL311" s="1108">
        <v>3.895429143562759</v>
      </c>
      <c r="BM311" s="1108">
        <v>9.3745659352057782</v>
      </c>
      <c r="BN311" s="1108">
        <v>3.8464385250414539</v>
      </c>
      <c r="BO311" s="1108">
        <v>11.327753504351994</v>
      </c>
      <c r="BP311" s="1108">
        <v>5.9863144411511549</v>
      </c>
      <c r="BQ311" s="1108">
        <v>8.8478129505695247</v>
      </c>
      <c r="BR311" s="1108">
        <v>1.3945405255458501</v>
      </c>
      <c r="BS311" s="1108">
        <v>10.02184472369513</v>
      </c>
      <c r="BT311" s="1108">
        <v>3.407794957815335</v>
      </c>
    </row>
    <row r="312" spans="4:84" ht="14.45" hidden="1" outlineLevel="1">
      <c r="D312" s="1611"/>
      <c r="E312" s="1619"/>
      <c r="F312" s="1107" t="s">
        <v>1191</v>
      </c>
      <c r="G312" s="1107"/>
      <c r="H312" s="1107"/>
      <c r="I312" s="1107"/>
      <c r="W312" s="1109"/>
      <c r="X312" s="1109"/>
      <c r="Y312" s="1109">
        <v>-18.43999246862009</v>
      </c>
      <c r="Z312" s="1109">
        <v>31.961705903600794</v>
      </c>
      <c r="AA312" s="1109">
        <v>35.577788136062878</v>
      </c>
      <c r="AB312" s="1109">
        <v>-13.059912704029781</v>
      </c>
      <c r="AC312" s="1109">
        <v>4.1659010619705183</v>
      </c>
      <c r="AD312" s="1109">
        <v>-6.955538589932635</v>
      </c>
      <c r="AE312" s="1109">
        <v>9.692551553266874</v>
      </c>
      <c r="AF312" s="1109">
        <v>6.5009953840703973</v>
      </c>
      <c r="AG312" s="1109">
        <v>66.949045020288452</v>
      </c>
      <c r="AH312" s="1109">
        <v>-4.4048115775276351</v>
      </c>
      <c r="AI312" s="1109">
        <v>9.2053591724773902</v>
      </c>
      <c r="AJ312" s="1109">
        <v>42.863537422911442</v>
      </c>
      <c r="AK312" s="1109">
        <v>22.427511499966588</v>
      </c>
      <c r="AL312" s="1109">
        <v>-0.98946016226781708</v>
      </c>
      <c r="AM312" s="1109">
        <v>29.449850718101665</v>
      </c>
      <c r="AN312" s="1109">
        <v>-20.320520125583172</v>
      </c>
      <c r="AO312" s="1109">
        <v>-12.549042423742254</v>
      </c>
      <c r="AP312" s="1109">
        <v>6.6319188883060765</v>
      </c>
      <c r="AQ312" s="1109">
        <v>-4.7859062614306049</v>
      </c>
      <c r="AR312" s="1109">
        <v>-72.42779478430937</v>
      </c>
      <c r="AS312" s="1109">
        <v>15.280089578083317</v>
      </c>
      <c r="AT312" s="1109">
        <v>10.773397685829361</v>
      </c>
      <c r="AU312" s="1109">
        <v>26.364842779484864</v>
      </c>
      <c r="AV312" s="1109">
        <v>167.46828443405565</v>
      </c>
      <c r="AW312" s="1109">
        <v>16.999999999999535</v>
      </c>
      <c r="AX312" s="1109">
        <v>-5.1027295143784555</v>
      </c>
      <c r="AY312" s="1109">
        <v>-13.597933625607917</v>
      </c>
      <c r="AZ312" s="1109">
        <v>-44.566185132399774</v>
      </c>
      <c r="BA312" s="1109">
        <v>28.343115013900082</v>
      </c>
      <c r="BB312" s="1109">
        <v>-49.078859528288248</v>
      </c>
      <c r="BC312" s="1109">
        <v>-42.254404490472517</v>
      </c>
      <c r="BD312" s="1109">
        <v>-19.815344740769056</v>
      </c>
      <c r="BE312" s="1109">
        <v>-9.5181624522699302</v>
      </c>
      <c r="BF312" s="1109">
        <v>45.775291157310591</v>
      </c>
      <c r="BG312" s="1109">
        <v>-22.845874639421222</v>
      </c>
      <c r="BH312" s="1109">
        <v>4.7125269299358203</v>
      </c>
      <c r="BI312" s="1109">
        <v>-3.9132630690355809E-2</v>
      </c>
      <c r="BJ312" s="1109">
        <v>-0.83822278012438511</v>
      </c>
      <c r="BK312" s="1109">
        <v>-41.092934894229366</v>
      </c>
      <c r="BL312" s="1109">
        <v>9.6896623775878563</v>
      </c>
      <c r="BM312" s="1109">
        <v>-34.024339178606667</v>
      </c>
      <c r="BN312" s="1109">
        <v>-43.80249743119893</v>
      </c>
      <c r="BO312" s="1109">
        <v>276.38240062146457</v>
      </c>
      <c r="BP312" s="1109">
        <v>53.675351816977788</v>
      </c>
      <c r="BQ312" s="1109">
        <v>-5.6189586619478069</v>
      </c>
      <c r="BR312" s="1109">
        <v>-63.744629831804708</v>
      </c>
      <c r="BS312" s="1109">
        <v>-11.528400403090947</v>
      </c>
      <c r="BT312" s="1109">
        <v>-43.073572373855725</v>
      </c>
    </row>
    <row r="313" spans="4:84" ht="14.45" hidden="1" outlineLevel="1" collapsed="1">
      <c r="D313" s="1611"/>
      <c r="E313" s="1619"/>
      <c r="F313" s="1107"/>
      <c r="G313" s="1107"/>
      <c r="H313" s="1107"/>
      <c r="I313" s="1107"/>
    </row>
    <row r="314" spans="4:84" ht="14.45" collapsed="1">
      <c r="D314" s="1613" t="s">
        <v>1248</v>
      </c>
      <c r="E314" s="1612" t="s">
        <v>1116</v>
      </c>
      <c r="F314" s="1106" t="s">
        <v>1190</v>
      </c>
      <c r="G314" s="1106"/>
      <c r="H314" s="1106"/>
      <c r="I314" s="1106"/>
      <c r="J314" s="1108"/>
      <c r="K314" s="1108"/>
      <c r="L314" s="1108"/>
      <c r="M314" s="1108"/>
      <c r="N314" s="1108"/>
      <c r="O314" s="1108"/>
      <c r="P314" s="1108"/>
      <c r="Q314" s="1108"/>
      <c r="R314" s="1108"/>
      <c r="S314" s="1108"/>
      <c r="T314" s="1108"/>
      <c r="U314" s="1108"/>
      <c r="V314" s="1108"/>
      <c r="W314" s="1108"/>
      <c r="X314" s="1108"/>
      <c r="Y314" s="1108">
        <v>71.394093359376072</v>
      </c>
      <c r="Z314" s="1108">
        <v>80.813662278903763</v>
      </c>
      <c r="AA314" s="1108">
        <v>85.686431399816001</v>
      </c>
      <c r="AB314" s="1108">
        <v>96.461486667198997</v>
      </c>
      <c r="AC314" s="1108">
        <v>103.94351442015186</v>
      </c>
      <c r="AD314" s="1108">
        <v>115.07869174732416</v>
      </c>
      <c r="AE314" s="1108">
        <v>120.46563280163754</v>
      </c>
      <c r="AF314" s="1108">
        <v>132.11003042902149</v>
      </c>
      <c r="AG314" s="1108">
        <v>140.47014678946039</v>
      </c>
      <c r="AH314" s="1108">
        <v>149.36541245985882</v>
      </c>
      <c r="AI314" s="1108">
        <v>155.41459927082701</v>
      </c>
      <c r="AJ314" s="1108">
        <v>171.1173190120314</v>
      </c>
      <c r="AK314" s="1108">
        <v>181.28903606898942</v>
      </c>
      <c r="AL314" s="1108">
        <v>190.2457504515906</v>
      </c>
      <c r="AM314" s="1108">
        <v>198.86410196439982</v>
      </c>
      <c r="AN314" s="1108">
        <v>211.90899928984359</v>
      </c>
      <c r="AO314" s="1108">
        <v>220.67081750787139</v>
      </c>
      <c r="AP314" s="1108">
        <v>230.19735804642471</v>
      </c>
      <c r="AQ314" s="1108">
        <v>241.59229742915289</v>
      </c>
      <c r="AR314" s="1108">
        <v>243.6953491833201</v>
      </c>
      <c r="AS314" s="1108">
        <v>253.7994011458689</v>
      </c>
      <c r="AT314" s="1108">
        <v>264.7559243215498</v>
      </c>
      <c r="AU314" s="1108">
        <v>283.43943256787838</v>
      </c>
      <c r="AV314" s="1108">
        <v>285.12355854448441</v>
      </c>
      <c r="AW314" s="1108">
        <v>296.94529934066651</v>
      </c>
      <c r="AX314" s="1108">
        <v>307.11687221299758</v>
      </c>
      <c r="AY314" s="1108">
        <v>317.3309023089127</v>
      </c>
      <c r="AZ314" s="1108">
        <v>322.60208145391289</v>
      </c>
      <c r="BA314" s="1108">
        <v>338.01012078579657</v>
      </c>
      <c r="BB314" s="1108">
        <v>343.6574241786405</v>
      </c>
      <c r="BC314" s="1108">
        <v>353.05674842009688</v>
      </c>
      <c r="BD314" s="1108">
        <v>357.84490471911033</v>
      </c>
      <c r="BE314" s="1108">
        <v>371.60568259764932</v>
      </c>
      <c r="BF314" s="1108">
        <v>379.82113151778901</v>
      </c>
      <c r="BG314" s="1108">
        <v>381.80929086959446</v>
      </c>
      <c r="BH314" s="1108">
        <v>386.8974101864892</v>
      </c>
      <c r="BI314" s="1108">
        <v>404.47024517424813</v>
      </c>
      <c r="BJ314" s="1108">
        <v>412.85232877032962</v>
      </c>
      <c r="BK314" s="1108">
        <v>411.63196701740026</v>
      </c>
      <c r="BL314" s="1108">
        <v>417.44065954535762</v>
      </c>
      <c r="BM314" s="1108">
        <v>445.4827818569035</v>
      </c>
      <c r="BN314" s="1108">
        <v>449.32922038194476</v>
      </c>
      <c r="BO314" s="1108">
        <v>460.65697388629673</v>
      </c>
      <c r="BP314" s="1108">
        <v>466.64328832744798</v>
      </c>
      <c r="BQ314" s="1108">
        <v>477.817344821284</v>
      </c>
      <c r="BR314" s="1108">
        <v>479.21188534683</v>
      </c>
      <c r="BS314" s="1108">
        <v>489.23373007052498</v>
      </c>
      <c r="BT314" s="1108">
        <v>492.64152502834048</v>
      </c>
    </row>
    <row r="315" spans="4:84" ht="14.45" hidden="1" outlineLevel="1">
      <c r="D315" s="1611"/>
      <c r="E315" s="1619"/>
      <c r="F315" s="1106" t="s">
        <v>1191</v>
      </c>
      <c r="G315" s="1106"/>
      <c r="H315" s="1106"/>
      <c r="I315" s="1106"/>
      <c r="W315" s="1109"/>
      <c r="X315" s="1109"/>
      <c r="Y315" s="1109">
        <v>67.436308043852833</v>
      </c>
      <c r="Z315" s="1109">
        <v>62.349256296915101</v>
      </c>
      <c r="AA315" s="1109">
        <v>55.723852416484135</v>
      </c>
      <c r="AB315" s="1109">
        <v>48.766845900171376</v>
      </c>
      <c r="AC315" s="1109">
        <v>45.591196034848345</v>
      </c>
      <c r="AD315" s="1109">
        <v>42.400045366295949</v>
      </c>
      <c r="AE315" s="1109">
        <v>40.588925030079174</v>
      </c>
      <c r="AF315" s="1109">
        <v>36.956245433800177</v>
      </c>
      <c r="AG315" s="1109">
        <v>35.14084796254204</v>
      </c>
      <c r="AH315" s="1109">
        <v>29.794152324756425</v>
      </c>
      <c r="AI315" s="1109">
        <v>29.011565918337496</v>
      </c>
      <c r="AJ315" s="1109">
        <v>29.526364089339364</v>
      </c>
      <c r="AK315" s="1109">
        <v>29.058764593383135</v>
      </c>
      <c r="AL315" s="1109">
        <v>27.369346971621127</v>
      </c>
      <c r="AM315" s="1109">
        <v>27.957156468844524</v>
      </c>
      <c r="AN315" s="1109">
        <v>23.838428812073715</v>
      </c>
      <c r="AO315" s="1109">
        <v>21.723200858045967</v>
      </c>
      <c r="AP315" s="1109">
        <v>21.000000000000046</v>
      </c>
      <c r="AQ315" s="1109">
        <v>21.486127985231931</v>
      </c>
      <c r="AR315" s="1109">
        <v>14.999999999999988</v>
      </c>
      <c r="AS315" s="1109">
        <v>15.012670915045575</v>
      </c>
      <c r="AT315" s="1109">
        <v>15.012581624918361</v>
      </c>
      <c r="AU315" s="1109">
        <v>17.321386312408073</v>
      </c>
      <c r="AV315" s="1109">
        <v>16.999999999999954</v>
      </c>
      <c r="AW315" s="1109">
        <v>16.999999999999961</v>
      </c>
      <c r="AX315" s="1109">
        <v>15.999999999999929</v>
      </c>
      <c r="AY315" s="1109">
        <v>11.95721760871009</v>
      </c>
      <c r="AZ315" s="1109">
        <v>13.144660196004518</v>
      </c>
      <c r="BA315" s="1109">
        <v>13.829086210931733</v>
      </c>
      <c r="BB315" s="1109">
        <v>11.897930485662348</v>
      </c>
      <c r="BC315" s="1109">
        <v>11.25823102989386</v>
      </c>
      <c r="BD315" s="1109">
        <v>10.924549248524379</v>
      </c>
      <c r="BE315" s="1109">
        <v>9.9392177174312764</v>
      </c>
      <c r="BF315" s="1109">
        <v>10.523185240528907</v>
      </c>
      <c r="BG315" s="1109">
        <v>8.1438869468330815</v>
      </c>
      <c r="BH315" s="1109">
        <v>8.1187422495741757</v>
      </c>
      <c r="BI315" s="1109">
        <v>8.8439343410640046</v>
      </c>
      <c r="BJ315" s="1109">
        <v>8.6965138354851081</v>
      </c>
      <c r="BK315" s="1109">
        <v>7.8108827786465831</v>
      </c>
      <c r="BL315" s="1109">
        <v>7.8944052233759363</v>
      </c>
      <c r="BM315" s="1109">
        <v>10.139815517204962</v>
      </c>
      <c r="BN315" s="1109">
        <v>8.8353362860421925</v>
      </c>
      <c r="BO315" s="1109">
        <v>11.909912445362659</v>
      </c>
      <c r="BP315" s="1109">
        <v>11.786736068230118</v>
      </c>
      <c r="BQ315" s="1109">
        <v>7.2583193517829141</v>
      </c>
      <c r="BR315" s="1109">
        <v>6.6505056002109058</v>
      </c>
      <c r="BS315" s="1109">
        <v>6.2034784675335919</v>
      </c>
      <c r="BT315" s="1109">
        <v>5.5713298254167318</v>
      </c>
    </row>
    <row r="316" spans="4:84" ht="14.45" hidden="1" outlineLevel="1" collapsed="1">
      <c r="D316" s="1611"/>
      <c r="E316" s="1619"/>
      <c r="F316" s="1106"/>
      <c r="G316" s="1106"/>
      <c r="H316" s="1106"/>
      <c r="I316" s="1106"/>
    </row>
    <row r="317" spans="4:84" ht="14.45" collapsed="1">
      <c r="D317" s="1613" t="s">
        <v>1249</v>
      </c>
      <c r="E317" s="1612" t="s">
        <v>1116</v>
      </c>
      <c r="F317" s="1107" t="s">
        <v>1190</v>
      </c>
      <c r="G317" s="1107"/>
      <c r="H317" s="1107"/>
      <c r="I317" s="1107"/>
      <c r="K317" s="1108"/>
      <c r="L317" s="1108"/>
      <c r="M317" s="1108"/>
      <c r="N317" s="1108"/>
      <c r="O317" s="1108"/>
      <c r="P317" s="1108"/>
      <c r="Q317" s="1108"/>
      <c r="R317" s="1108"/>
      <c r="S317" s="1108"/>
      <c r="T317" s="1108"/>
      <c r="U317" s="1108"/>
      <c r="V317" s="1108"/>
      <c r="W317" s="1108"/>
      <c r="X317" s="1108"/>
      <c r="Y317" s="1108">
        <v>67.277853215816947</v>
      </c>
      <c r="Z317" s="1108">
        <v>76.10387781913991</v>
      </c>
      <c r="AA317" s="1108">
        <v>84.370506225061021</v>
      </c>
      <c r="AB317" s="1108">
        <v>92.194418419208631</v>
      </c>
      <c r="AC317" s="1108">
        <v>99.000153578004543</v>
      </c>
      <c r="AD317" s="1108">
        <v>110.4582788047456</v>
      </c>
      <c r="AE317" s="1108">
        <v>118.79544391456275</v>
      </c>
      <c r="AF317" s="1108">
        <v>127.3111132554114</v>
      </c>
      <c r="AG317" s="1108">
        <v>136.29008860924091</v>
      </c>
      <c r="AH317" s="1108">
        <v>144.9177796246596</v>
      </c>
      <c r="AI317" s="1108">
        <v>153.95244293924799</v>
      </c>
      <c r="AJ317" s="1108">
        <v>164.28668910497055</v>
      </c>
      <c r="AK317" s="1108">
        <v>176.20317754051044</v>
      </c>
      <c r="AL317" s="1108">
        <v>185.76739326028999</v>
      </c>
      <c r="AM317" s="1108">
        <v>195.49813130621519</v>
      </c>
      <c r="AN317" s="1108">
        <v>206.32975572534176</v>
      </c>
      <c r="AO317" s="1108">
        <v>216.28990839885751</v>
      </c>
      <c r="AP317" s="1108">
        <v>225.43408777714805</v>
      </c>
      <c r="AQ317" s="1108">
        <v>235.0744426092464</v>
      </c>
      <c r="AR317" s="1108">
        <v>241.8234381776941</v>
      </c>
      <c r="AS317" s="1108">
        <v>248.7473751645945</v>
      </c>
      <c r="AT317" s="1108">
        <v>259.27766273370935</v>
      </c>
      <c r="AU317" s="1108">
        <v>275.37542576564061</v>
      </c>
      <c r="AV317" s="1108">
        <v>280.60048739618134</v>
      </c>
      <c r="AW317" s="1108">
        <v>291.03442894257546</v>
      </c>
      <c r="AX317" s="1108">
        <v>302.03108577683207</v>
      </c>
      <c r="AY317" s="1108">
        <v>312.22388726095517</v>
      </c>
      <c r="AZ317" s="1108">
        <v>319.96649188141276</v>
      </c>
      <c r="BA317" s="1108">
        <v>330.3061011198547</v>
      </c>
      <c r="BB317" s="1108">
        <v>340.83377248221848</v>
      </c>
      <c r="BC317" s="1108">
        <v>351.02459034080766</v>
      </c>
      <c r="BD317" s="1108">
        <v>355.45082656960363</v>
      </c>
      <c r="BE317" s="1108">
        <v>364.72529365837983</v>
      </c>
      <c r="BF317" s="1108">
        <v>375.71340705771917</v>
      </c>
      <c r="BG317" s="1108">
        <v>380.81521119369171</v>
      </c>
      <c r="BH317" s="1108">
        <v>384.35335052804186</v>
      </c>
      <c r="BI317" s="1108">
        <v>397.5580913665986</v>
      </c>
      <c r="BJ317" s="1108">
        <v>408.66128697228885</v>
      </c>
      <c r="BK317" s="1108">
        <v>412.24214789386491</v>
      </c>
      <c r="BL317" s="1108">
        <v>414.53631328137891</v>
      </c>
      <c r="BM317" s="1108">
        <v>440.79549888930052</v>
      </c>
      <c r="BN317" s="1108">
        <v>447.4060011194241</v>
      </c>
      <c r="BO317" s="1108">
        <v>454.99309713412077</v>
      </c>
      <c r="BP317" s="1108">
        <v>463.65013110687238</v>
      </c>
      <c r="BQ317" s="1108">
        <v>473.39343834599924</v>
      </c>
      <c r="BR317" s="1108">
        <v>478.51461508405703</v>
      </c>
      <c r="BS317" s="1108">
        <v>484.22280770867752</v>
      </c>
      <c r="BT317" s="1108">
        <v>490.93762754943276</v>
      </c>
    </row>
    <row r="318" spans="4:84" ht="14.45" hidden="1" outlineLevel="1">
      <c r="D318" s="1611"/>
      <c r="E318" s="1619"/>
      <c r="F318" s="1107" t="s">
        <v>1191</v>
      </c>
      <c r="G318" s="1107"/>
      <c r="H318" s="1107"/>
      <c r="I318" s="1107"/>
      <c r="X318" s="1109"/>
      <c r="Y318" s="1109">
        <v>69.673337794693182</v>
      </c>
      <c r="Z318" s="1109">
        <v>64.696325673894279</v>
      </c>
      <c r="AA318" s="1109">
        <v>61.008938489925626</v>
      </c>
      <c r="AB318" s="1109">
        <v>53.830015200022629</v>
      </c>
      <c r="AC318" s="1109">
        <v>47.151178056213183</v>
      </c>
      <c r="AD318" s="1109">
        <v>45.141459239762497</v>
      </c>
      <c r="AE318" s="1109">
        <v>40.802099252162968</v>
      </c>
      <c r="AF318" s="1109">
        <v>38.089827386867306</v>
      </c>
      <c r="AG318" s="1109">
        <v>37.666542609809945</v>
      </c>
      <c r="AH318" s="1109">
        <v>31.196847527225387</v>
      </c>
      <c r="AI318" s="1109">
        <v>29.59456850043005</v>
      </c>
      <c r="AJ318" s="1109">
        <v>29.043478533864359</v>
      </c>
      <c r="AK318" s="1109">
        <v>29.285393632478197</v>
      </c>
      <c r="AL318" s="1109">
        <v>28.188131050194006</v>
      </c>
      <c r="AM318" s="1109">
        <v>26.986053338147915</v>
      </c>
      <c r="AN318" s="1109">
        <v>25.59128000534961</v>
      </c>
      <c r="AO318" s="1109">
        <v>22.750288285312465</v>
      </c>
      <c r="AP318" s="1109">
        <v>21.35288320554654</v>
      </c>
      <c r="AQ318" s="1109">
        <v>20.243830996543664</v>
      </c>
      <c r="AR318" s="1109">
        <v>17.202406084171482</v>
      </c>
      <c r="AS318" s="1109">
        <v>15.006463780955784</v>
      </c>
      <c r="AT318" s="1109">
        <v>15.012625326661876</v>
      </c>
      <c r="AU318" s="1109">
        <v>17.143923732868192</v>
      </c>
      <c r="AV318" s="1109">
        <v>16.035273301338766</v>
      </c>
      <c r="AW318" s="1109">
        <v>16.999999999999957</v>
      </c>
      <c r="AX318" s="1109">
        <v>16.48943553114043</v>
      </c>
      <c r="AY318" s="1109">
        <v>13.381172772720317</v>
      </c>
      <c r="AZ318" s="1109">
        <v>14.029200323394434</v>
      </c>
      <c r="BA318" s="1109">
        <v>13.493823503963515</v>
      </c>
      <c r="BB318" s="1109">
        <v>12.84724935037228</v>
      </c>
      <c r="BC318" s="1109">
        <v>12.427205176464625</v>
      </c>
      <c r="BD318" s="1109">
        <v>11.090015857454915</v>
      </c>
      <c r="BE318" s="1109">
        <v>10.420392606080199</v>
      </c>
      <c r="BF318" s="1109">
        <v>10.233620430710218</v>
      </c>
      <c r="BG318" s="1109">
        <v>8.4867618032003147</v>
      </c>
      <c r="BH318" s="1109">
        <v>8.1312299193032231</v>
      </c>
      <c r="BI318" s="1109">
        <v>9.0020621764093054</v>
      </c>
      <c r="BJ318" s="1109">
        <v>8.7694182043144515</v>
      </c>
      <c r="BK318" s="1109">
        <v>8.2525423818190689</v>
      </c>
      <c r="BL318" s="1109">
        <v>7.8529204212400758</v>
      </c>
      <c r="BM318" s="1109">
        <v>10.875745824735732</v>
      </c>
      <c r="BN318" s="1109">
        <v>9.4808868327580349</v>
      </c>
      <c r="BO318" s="1109">
        <v>10.370348946285436</v>
      </c>
      <c r="BP318" s="1109">
        <v>11.847892754369145</v>
      </c>
      <c r="BQ318" s="1109">
        <v>7.3952523423759438</v>
      </c>
      <c r="BR318" s="1109">
        <v>6.9531061020187872</v>
      </c>
      <c r="BS318" s="1109">
        <v>6.4242096767328647</v>
      </c>
      <c r="BT318" s="1109">
        <v>5.8853636852030897</v>
      </c>
    </row>
    <row r="319" spans="4:84" ht="14.45" hidden="1" outlineLevel="1" collapsed="1">
      <c r="D319" s="1611"/>
      <c r="E319" s="1619"/>
      <c r="F319" s="1107"/>
      <c r="G319" s="1107"/>
      <c r="H319" s="1107"/>
      <c r="I319" s="1107"/>
    </row>
    <row r="320" spans="4:84" ht="14.45" collapsed="1">
      <c r="D320" s="1613" t="s">
        <v>1250</v>
      </c>
      <c r="E320" s="1612" t="s">
        <v>1245</v>
      </c>
      <c r="F320" s="1106" t="s">
        <v>1190</v>
      </c>
      <c r="G320" s="1106"/>
      <c r="H320" s="1106"/>
      <c r="I320" s="1106"/>
      <c r="K320" s="1108"/>
      <c r="L320" s="1108"/>
      <c r="M320" s="1108"/>
      <c r="N320" s="1108"/>
      <c r="O320" s="1108"/>
      <c r="P320" s="1108"/>
      <c r="Q320" s="1108"/>
      <c r="R320" s="1108"/>
      <c r="S320" s="1108"/>
      <c r="T320" s="1108"/>
      <c r="U320" s="1108"/>
      <c r="V320" s="1108"/>
      <c r="W320" s="1108"/>
      <c r="X320" s="1108"/>
      <c r="Y320" s="1108">
        <v>21.467160411882585</v>
      </c>
      <c r="Z320" s="1108">
        <v>21.59152705631459</v>
      </c>
      <c r="AA320" s="1108">
        <v>21.47960395869864</v>
      </c>
      <c r="AB320" s="1108">
        <v>22.073633520693864</v>
      </c>
      <c r="AC320" s="1108">
        <v>22.524738796874242</v>
      </c>
      <c r="AD320" s="1108">
        <v>22.162324024734435</v>
      </c>
      <c r="AE320" s="1108">
        <v>22.358499453020471</v>
      </c>
      <c r="AF320" s="1108">
        <v>23.287153199316833</v>
      </c>
      <c r="AG320" s="1108">
        <v>24.370386083572445</v>
      </c>
      <c r="AH320" s="1108">
        <v>24.334280987455209</v>
      </c>
      <c r="AI320" s="1108">
        <v>24.892103931247696</v>
      </c>
      <c r="AJ320" s="1108">
        <v>25.707553646987371</v>
      </c>
      <c r="AK320" s="1108">
        <v>25.629057626928471</v>
      </c>
      <c r="AL320" s="1108">
        <v>25.401017544782846</v>
      </c>
      <c r="AM320" s="1108">
        <v>25.45737311321917</v>
      </c>
      <c r="AN320" s="1108">
        <v>26.824431787095037</v>
      </c>
      <c r="AO320" s="1108">
        <v>26.089353167529573</v>
      </c>
      <c r="AP320" s="1108">
        <v>26.572083988078184</v>
      </c>
      <c r="AQ320" s="1108">
        <v>26.359602534714131</v>
      </c>
      <c r="AR320" s="1108">
        <v>27.354576623956017</v>
      </c>
      <c r="AS320" s="1108">
        <v>27.462180702982938</v>
      </c>
      <c r="AT320" s="1108">
        <v>28.02063490759101</v>
      </c>
      <c r="AU320" s="1108">
        <v>27.524403445114842</v>
      </c>
      <c r="AV320" s="1108">
        <v>29.396506153710174</v>
      </c>
      <c r="AW320" s="1108">
        <v>28.800374487273153</v>
      </c>
      <c r="AX320" s="1108">
        <v>28.600439505146227</v>
      </c>
      <c r="AY320" s="1108">
        <v>28.411159427605142</v>
      </c>
      <c r="AZ320" s="1108">
        <v>29.735825005583777</v>
      </c>
      <c r="BA320" s="1108">
        <v>28.508274370056252</v>
      </c>
      <c r="BB320" s="1108">
        <v>28.39785170951351</v>
      </c>
      <c r="BC320" s="1108">
        <v>28.51049450455325</v>
      </c>
      <c r="BD320" s="1108">
        <v>30.229822213399505</v>
      </c>
      <c r="BE320" s="1108">
        <v>28.811070336925003</v>
      </c>
      <c r="BF320" s="1108">
        <v>28.596511907404373</v>
      </c>
      <c r="BG320" s="1108">
        <v>29.276762334238803</v>
      </c>
      <c r="BH320" s="1108">
        <v>31.148664503865763</v>
      </c>
      <c r="BI320" s="1108">
        <v>29.444324309244397</v>
      </c>
      <c r="BJ320" s="1108">
        <v>29.049005439827621</v>
      </c>
      <c r="BK320" s="1108">
        <v>29.937804874762787</v>
      </c>
      <c r="BL320" s="1108">
        <v>32.124592673628811</v>
      </c>
      <c r="BM320" s="1108">
        <v>28.898077837558322</v>
      </c>
      <c r="BN320" s="1108">
        <v>29.26773581988839</v>
      </c>
      <c r="BO320" s="1108">
        <v>29.438561786635958</v>
      </c>
      <c r="BP320" s="1108">
        <v>30.041948721175668</v>
      </c>
      <c r="BQ320" s="1108">
        <v>28.437454358984692</v>
      </c>
      <c r="BR320" s="1108">
        <v>28.153728202177341</v>
      </c>
      <c r="BS320" s="1108">
        <v>28.325885771012775</v>
      </c>
      <c r="BT320" s="1108">
        <v>29.390906326731454</v>
      </c>
    </row>
    <row r="321" spans="4:84" ht="14.45" hidden="1" outlineLevel="1">
      <c r="D321" s="1611"/>
      <c r="E321" s="1619"/>
      <c r="F321" s="1106" t="s">
        <v>1191</v>
      </c>
      <c r="G321" s="1106"/>
      <c r="H321" s="1106"/>
      <c r="I321" s="1106"/>
      <c r="X321" s="1109"/>
      <c r="Y321" s="1109">
        <v>-6.9999229334260145</v>
      </c>
      <c r="Z321" s="1109">
        <v>-3.0832873330513615</v>
      </c>
      <c r="AA321" s="1109">
        <v>1.7859688108407459</v>
      </c>
      <c r="AB321" s="1109">
        <v>4.312760989841192</v>
      </c>
      <c r="AC321" s="1109">
        <v>4.9264940714108736</v>
      </c>
      <c r="AD321" s="1109">
        <v>2.6436155577653402</v>
      </c>
      <c r="AE321" s="1109">
        <v>4.0917676881370211</v>
      </c>
      <c r="AF321" s="1109">
        <v>5.4975981978014792</v>
      </c>
      <c r="AG321" s="1109">
        <v>8.1938676552126015</v>
      </c>
      <c r="AH321" s="1109">
        <v>9.8002220358151266</v>
      </c>
      <c r="AI321" s="1109">
        <v>11.331728605270753</v>
      </c>
      <c r="AJ321" s="1109">
        <v>10.393715483185572</v>
      </c>
      <c r="AK321" s="1109">
        <v>5.1647583220048778</v>
      </c>
      <c r="AL321" s="1109">
        <v>4.3836781447438709</v>
      </c>
      <c r="AM321" s="1109">
        <v>2.2708774779856045</v>
      </c>
      <c r="AN321" s="1109">
        <v>4.3445524044974659</v>
      </c>
      <c r="AO321" s="1109">
        <v>1.795990891672385</v>
      </c>
      <c r="AP321" s="1109">
        <v>4.6103131153337005</v>
      </c>
      <c r="AQ321" s="1109">
        <v>3.5440790276450951</v>
      </c>
      <c r="AR321" s="1109">
        <v>1.9763506681846206</v>
      </c>
      <c r="AS321" s="1109">
        <v>5.262022123116358</v>
      </c>
      <c r="AT321" s="1109">
        <v>5.4514012531449625</v>
      </c>
      <c r="AU321" s="1109">
        <v>4.4188864717012821</v>
      </c>
      <c r="AV321" s="1109">
        <v>7.4646723940370485</v>
      </c>
      <c r="AW321" s="1109">
        <v>4.8728606033273278</v>
      </c>
      <c r="AX321" s="1109">
        <v>2.0692057816225407</v>
      </c>
      <c r="AY321" s="1109">
        <v>3.2217082715654106</v>
      </c>
      <c r="AZ321" s="1109">
        <v>1.1542829277035609</v>
      </c>
      <c r="BA321" s="1109">
        <v>-1.0142233301375276</v>
      </c>
      <c r="BB321" s="1109">
        <v>-0.70833805052633458</v>
      </c>
      <c r="BC321" s="1109">
        <v>0.34963401335741096</v>
      </c>
      <c r="BD321" s="1109">
        <v>1.6612863699694391</v>
      </c>
      <c r="BE321" s="1109">
        <v>1.0621336210612338</v>
      </c>
      <c r="BF321" s="1109">
        <v>0.69956065664048217</v>
      </c>
      <c r="BG321" s="1109">
        <v>2.6876693757913488</v>
      </c>
      <c r="BH321" s="1109">
        <v>3.0395226408542286</v>
      </c>
      <c r="BI321" s="1109">
        <v>2.1979536508499655</v>
      </c>
      <c r="BJ321" s="1109">
        <v>1.5823382022549577</v>
      </c>
      <c r="BK321" s="1109">
        <v>2.2579086204177097</v>
      </c>
      <c r="BL321" s="1109">
        <v>3.1331300564810038</v>
      </c>
      <c r="BM321" s="1109">
        <v>-1.8551842655617485</v>
      </c>
      <c r="BN321" s="1109">
        <v>0.75297028847975378</v>
      </c>
      <c r="BO321" s="1109">
        <v>-1.6676008485434559</v>
      </c>
      <c r="BP321" s="1109">
        <v>-6.4830205743364733</v>
      </c>
      <c r="BQ321" s="1109">
        <v>-1.5939588825349702</v>
      </c>
      <c r="BR321" s="1109">
        <v>-3.8062651124315687</v>
      </c>
      <c r="BS321" s="1109">
        <v>-3.7796548068061457</v>
      </c>
      <c r="BT321" s="1109">
        <v>-2.1671110635553221</v>
      </c>
    </row>
    <row r="322" spans="4:84" ht="14.45" hidden="1" outlineLevel="1" collapsed="1">
      <c r="D322" s="1611"/>
      <c r="E322" s="1619"/>
      <c r="F322" s="1106"/>
      <c r="G322" s="1106"/>
      <c r="H322" s="1106"/>
      <c r="I322" s="1106"/>
    </row>
    <row r="323" spans="4:84" ht="14.45" collapsed="1">
      <c r="D323" s="1610" t="s">
        <v>1230</v>
      </c>
      <c r="E323" s="1612" t="s">
        <v>1095</v>
      </c>
      <c r="F323" s="1107" t="s">
        <v>1190</v>
      </c>
      <c r="G323" s="1107"/>
      <c r="H323" s="1107"/>
      <c r="I323" s="1107"/>
      <c r="J323" s="1108"/>
      <c r="K323" s="1108"/>
      <c r="L323" s="1108"/>
      <c r="M323" s="1108"/>
      <c r="N323" s="1108"/>
      <c r="O323" s="1108"/>
      <c r="P323" s="1108"/>
      <c r="Q323" s="1108"/>
      <c r="R323" s="1108"/>
      <c r="S323" s="1108"/>
      <c r="T323" s="1108"/>
      <c r="U323" s="1108"/>
      <c r="V323" s="1108"/>
      <c r="W323" s="1108"/>
      <c r="X323" s="1108"/>
      <c r="Y323" s="1108">
        <v>1510.984652201395</v>
      </c>
      <c r="Z323" s="1108">
        <v>1654.367190673428</v>
      </c>
      <c r="AA323" s="1108">
        <v>1827.249752562567</v>
      </c>
      <c r="AB323" s="1108">
        <v>2090.7183541060381</v>
      </c>
      <c r="AC323" s="1108">
        <v>2285.3392454705831</v>
      </c>
      <c r="AD323" s="1108">
        <v>2451.8753157041378</v>
      </c>
      <c r="AE323" s="1108">
        <v>2646.3686969975201</v>
      </c>
      <c r="AF323" s="1108">
        <v>2975.2357035244127</v>
      </c>
      <c r="AG323" s="1108">
        <v>3235.8644983207532</v>
      </c>
      <c r="AH323" s="1108">
        <v>3423.5220813952956</v>
      </c>
      <c r="AI323" s="1108">
        <v>3750.6286204096837</v>
      </c>
      <c r="AJ323" s="1108">
        <v>4119.6407435457268</v>
      </c>
      <c r="AK323" s="1108">
        <v>4417.1601410598305</v>
      </c>
      <c r="AL323" s="1108">
        <v>4583.9193397147174</v>
      </c>
      <c r="AM323" s="1108">
        <v>4868.2323394841424</v>
      </c>
      <c r="AN323" s="1108">
        <v>5386.9782767150409</v>
      </c>
      <c r="AO323" s="1108">
        <v>5529.5967925401173</v>
      </c>
      <c r="AP323" s="1108">
        <v>5831.8263086453671</v>
      </c>
      <c r="AQ323" s="1108">
        <v>6085.2372416589815</v>
      </c>
      <c r="AR323" s="1108">
        <v>6424.2016361840151</v>
      </c>
      <c r="AS323" s="1108">
        <v>6694.9386227380055</v>
      </c>
      <c r="AT323" s="1108">
        <v>7063.9012301063131</v>
      </c>
      <c r="AU323" s="1108">
        <v>7421.6164754291458</v>
      </c>
      <c r="AV323" s="1108">
        <v>8016.4673329722364</v>
      </c>
      <c r="AW323" s="1108">
        <v>8227.5587112677749</v>
      </c>
      <c r="AX323" s="1108">
        <v>8416.6418664524954</v>
      </c>
      <c r="AY323" s="1108">
        <v>8701.4871182841489</v>
      </c>
      <c r="AZ323" s="1108">
        <v>9198.1866375030058</v>
      </c>
      <c r="BA323" s="1108">
        <v>9176.7888825484297</v>
      </c>
      <c r="BB323" s="1108">
        <v>9458.8827885756073</v>
      </c>
      <c r="BC323" s="1108">
        <v>9873.079271903709</v>
      </c>
      <c r="BD323" s="1108">
        <v>10368.148215894378</v>
      </c>
      <c r="BE323" s="1108">
        <v>10332.419042371066</v>
      </c>
      <c r="BF323" s="1108">
        <v>10588.582226367389</v>
      </c>
      <c r="BG323" s="1108">
        <v>10978.442778253388</v>
      </c>
      <c r="BH323" s="1108">
        <v>11506.725402682652</v>
      </c>
      <c r="BI323" s="1108">
        <v>11478.3105092715</v>
      </c>
      <c r="BJ323" s="1108">
        <v>11778.1090637904</v>
      </c>
      <c r="BK323" s="1108">
        <v>12192.455257180343</v>
      </c>
      <c r="BL323" s="1108">
        <v>12745.110497621465</v>
      </c>
      <c r="BM323" s="1108">
        <v>12963.868083725367</v>
      </c>
      <c r="BN323" s="1108">
        <v>13351.660093682651</v>
      </c>
      <c r="BO323" s="1108">
        <v>13777.991662594966</v>
      </c>
      <c r="BP323" s="1108">
        <v>14365.305970740499</v>
      </c>
      <c r="BQ323" s="1108">
        <v>14351.345197834526</v>
      </c>
      <c r="BR323" s="1108">
        <v>14607.593709848825</v>
      </c>
      <c r="BS323" s="1108">
        <v>15091.687953572075</v>
      </c>
      <c r="BT323" s="1108">
        <v>15817.484264434899</v>
      </c>
      <c r="BU323" s="1108">
        <v>17778.346163409002</v>
      </c>
      <c r="BV323" s="1108">
        <v>18736.5780521651</v>
      </c>
      <c r="BW323" s="1108">
        <v>19420.803410451899</v>
      </c>
      <c r="BX323" s="1108">
        <v>19915.340011619501</v>
      </c>
      <c r="BY323" s="1108">
        <v>19987.461173164102</v>
      </c>
      <c r="BZ323" s="1108">
        <v>20996.1128648659</v>
      </c>
      <c r="CA323" s="1108">
        <v>21714.361438904201</v>
      </c>
      <c r="CB323" s="1108">
        <v>22231.583463781099</v>
      </c>
      <c r="CC323" s="1108">
        <v>22299.133967947499</v>
      </c>
      <c r="CD323" s="1108">
        <v>23350.092161015298</v>
      </c>
      <c r="CE323" s="1108">
        <v>24096.1773992454</v>
      </c>
      <c r="CF323" s="1108">
        <v>24631.234767979</v>
      </c>
    </row>
    <row r="324" spans="4:84" ht="14.45" hidden="1" outlineLevel="1">
      <c r="D324" s="1611"/>
      <c r="E324" s="1619"/>
      <c r="F324" s="1107" t="s">
        <v>1191</v>
      </c>
      <c r="G324" s="1107"/>
      <c r="H324" s="1107"/>
      <c r="I324" s="1107"/>
      <c r="W324" s="1109"/>
      <c r="X324" s="1109"/>
      <c r="Y324" s="1109">
        <v>60.214628536551999</v>
      </c>
      <c r="Z324" s="1109">
        <v>46.362522159507996</v>
      </c>
      <c r="AA324" s="1109">
        <v>46.452405387085825</v>
      </c>
      <c r="AB324" s="1109">
        <v>42.939348011695863</v>
      </c>
      <c r="AC324" s="1109">
        <v>51.248342737367302</v>
      </c>
      <c r="AD324" s="1109">
        <v>48.206234355147934</v>
      </c>
      <c r="AE324" s="1109">
        <v>44.82796855143674</v>
      </c>
      <c r="AF324" s="1109">
        <v>42.30686298234474</v>
      </c>
      <c r="AG324" s="1109">
        <v>41.592304281916086</v>
      </c>
      <c r="AH324" s="1109">
        <v>39.628718453495949</v>
      </c>
      <c r="AI324" s="1109">
        <v>41.727364923301096</v>
      </c>
      <c r="AJ324" s="1109">
        <v>38.46434884690553</v>
      </c>
      <c r="AK324" s="1109">
        <v>36.50633836342989</v>
      </c>
      <c r="AL324" s="1109">
        <v>33.894837852089701</v>
      </c>
      <c r="AM324" s="1109">
        <v>29.797770778818993</v>
      </c>
      <c r="AN324" s="1109">
        <v>30.763302240732077</v>
      </c>
      <c r="AO324" s="1109">
        <v>25.184431081400067</v>
      </c>
      <c r="AP324" s="1109">
        <v>27.223580443898342</v>
      </c>
      <c r="AQ324" s="1109">
        <v>24.998907556326657</v>
      </c>
      <c r="AR324" s="1109">
        <v>19.254270319825181</v>
      </c>
      <c r="AS324" s="1109">
        <v>21.074625762406953</v>
      </c>
      <c r="AT324" s="1109">
        <v>21.126742400308824</v>
      </c>
      <c r="AU324" s="1109">
        <v>21.961004652726331</v>
      </c>
      <c r="AV324" s="1109">
        <v>24.785425286464534</v>
      </c>
      <c r="AW324" s="1109">
        <v>22.892220151571443</v>
      </c>
      <c r="AX324" s="1109">
        <v>19.150050266569529</v>
      </c>
      <c r="AY324" s="1109">
        <v>17.2451735695625</v>
      </c>
      <c r="AZ324" s="1109">
        <v>14.741147882812214</v>
      </c>
      <c r="BA324" s="1109">
        <v>11.537203253021685</v>
      </c>
      <c r="BB324" s="1109">
        <v>12.383096948408033</v>
      </c>
      <c r="BC324" s="1109">
        <v>13.464274987636676</v>
      </c>
      <c r="BD324" s="1109">
        <v>12.719480746576556</v>
      </c>
      <c r="BE324" s="1109">
        <v>12.592968789118677</v>
      </c>
      <c r="BF324" s="1109">
        <v>11.943265003307021</v>
      </c>
      <c r="BG324" s="1109">
        <v>11.195732110601645</v>
      </c>
      <c r="BH324" s="1109">
        <v>10.981490263061966</v>
      </c>
      <c r="BI324" s="1109">
        <v>11.090253523413779</v>
      </c>
      <c r="BJ324" s="1109">
        <v>11.234052038250075</v>
      </c>
      <c r="BK324" s="1109">
        <v>11.058148258801587</v>
      </c>
      <c r="BL324" s="1109">
        <v>10.762272076555316</v>
      </c>
      <c r="BM324" s="1109">
        <v>12.942301685025178</v>
      </c>
      <c r="BN324" s="1109">
        <v>13.359963143233578</v>
      </c>
      <c r="BO324" s="1109">
        <v>13.004242147871519</v>
      </c>
      <c r="BP324" s="1109">
        <v>12.712290516597724</v>
      </c>
      <c r="BQ324" s="1109">
        <v>10.702647582869</v>
      </c>
      <c r="BR324" s="1109">
        <v>9.4065727209489101</v>
      </c>
      <c r="BS324" s="1109">
        <v>9.5347444181112593</v>
      </c>
      <c r="BT324" s="1109">
        <v>10.108926998507526</v>
      </c>
      <c r="BU324" s="1109">
        <v>23.879301336097583</v>
      </c>
      <c r="BV324" s="1109">
        <v>28.266013036304567</v>
      </c>
      <c r="BW324" s="1109">
        <v>28.685429159401348</v>
      </c>
      <c r="BX324" s="1109">
        <v>25.907127066966634</v>
      </c>
      <c r="BY324" s="1109">
        <v>12.425874653638209</v>
      </c>
      <c r="BZ324" s="1109">
        <v>12.059484962568714</v>
      </c>
      <c r="CA324" s="1109">
        <v>11.809799934527703</v>
      </c>
      <c r="CB324" s="1109">
        <v>11.630448944432773</v>
      </c>
      <c r="CC324" s="1109">
        <v>11.565614936063684</v>
      </c>
      <c r="CD324" s="1109">
        <v>11.211500487256659</v>
      </c>
      <c r="CE324" s="1109">
        <v>10.968851039173801</v>
      </c>
      <c r="CF324" s="1109">
        <v>10.793883881943577</v>
      </c>
    </row>
    <row r="325" spans="4:84" ht="14.45" hidden="1" outlineLevel="1" collapsed="1">
      <c r="D325" s="1611"/>
      <c r="E325" s="1619"/>
      <c r="F325" s="1107"/>
      <c r="G325" s="1107"/>
      <c r="H325" s="1107"/>
      <c r="I325" s="1107"/>
    </row>
    <row r="326" spans="4:84" ht="14.45" collapsed="1">
      <c r="D326" s="1105" t="s">
        <v>401</v>
      </c>
      <c r="F326" s="1106" t="s">
        <v>1188</v>
      </c>
      <c r="G326" s="1106"/>
      <c r="H326" s="1106"/>
      <c r="I326" s="1106"/>
    </row>
    <row r="327" spans="4:84" ht="14.45">
      <c r="D327" s="1105" t="s">
        <v>1251</v>
      </c>
      <c r="F327" s="1106" t="s">
        <v>1188</v>
      </c>
      <c r="G327" s="1106"/>
      <c r="H327" s="1106"/>
      <c r="I327" s="1106"/>
    </row>
    <row r="328" spans="4:84" ht="14.45">
      <c r="D328" s="1613" t="s">
        <v>1228</v>
      </c>
      <c r="E328" s="1612" t="s">
        <v>1095</v>
      </c>
      <c r="F328" s="1107" t="s">
        <v>1190</v>
      </c>
      <c r="G328" s="1107"/>
      <c r="H328" s="1107"/>
      <c r="I328" s="1107"/>
      <c r="J328" s="1108"/>
      <c r="K328" s="1108"/>
      <c r="L328" s="1108"/>
      <c r="M328" s="1108"/>
      <c r="N328" s="1108"/>
      <c r="O328" s="1108"/>
      <c r="P328" s="1108"/>
      <c r="Q328" s="1108"/>
      <c r="R328" s="1108"/>
      <c r="S328" s="1108"/>
      <c r="T328" s="1108"/>
      <c r="U328" s="1108"/>
      <c r="V328" s="1108"/>
      <c r="W328" s="1108"/>
      <c r="X328" s="1108"/>
      <c r="Y328" s="1108">
        <v>724.94324590972349</v>
      </c>
      <c r="Z328" s="1108">
        <v>693.39988738262105</v>
      </c>
      <c r="AA328" s="1108">
        <v>720.33691471789177</v>
      </c>
      <c r="AB328" s="1108">
        <v>829.79075088303796</v>
      </c>
      <c r="AC328" s="1108">
        <v>1002.2667767125405</v>
      </c>
      <c r="AD328" s="1108">
        <v>1093.8022226022076</v>
      </c>
      <c r="AE328" s="1108">
        <v>1023.6611561538501</v>
      </c>
      <c r="AF328" s="1108">
        <v>1133.0298601985164</v>
      </c>
      <c r="AG328" s="1108">
        <v>1063.7951449853524</v>
      </c>
      <c r="AH328" s="1108">
        <v>1159.8265231291025</v>
      </c>
      <c r="AI328" s="1108">
        <v>1105.2937697952827</v>
      </c>
      <c r="AJ328" s="1108">
        <v>1163.0554752205605</v>
      </c>
      <c r="AK328" s="1108">
        <v>1183.7150006977924</v>
      </c>
      <c r="AL328" s="1108">
        <v>1144.2211571910475</v>
      </c>
      <c r="AM328" s="1108">
        <v>1159.3433266562149</v>
      </c>
      <c r="AN328" s="1108">
        <v>1196.1277465292044</v>
      </c>
      <c r="AO328" s="1108">
        <v>1211.1148436137405</v>
      </c>
      <c r="AP328" s="1108">
        <v>1318.6755793559555</v>
      </c>
      <c r="AQ328" s="1108">
        <v>1328.0267360169219</v>
      </c>
      <c r="AR328" s="1108">
        <v>1216.3125696720085</v>
      </c>
      <c r="AS328" s="1108">
        <v>1327.9657973958531</v>
      </c>
      <c r="AT328" s="1108">
        <v>1378.690062229108</v>
      </c>
      <c r="AU328" s="1108">
        <v>1373.175799006747</v>
      </c>
      <c r="AV328" s="1108">
        <v>1431.0877225073475</v>
      </c>
      <c r="AW328" s="1108">
        <v>1450.3906538844835</v>
      </c>
      <c r="AX328" s="1108">
        <v>1567.1548808033531</v>
      </c>
      <c r="AY328" s="1108">
        <v>1500.8621785946084</v>
      </c>
      <c r="AZ328" s="1108">
        <v>1558.8134430698194</v>
      </c>
      <c r="BA328" s="1108">
        <v>1533.493076745734</v>
      </c>
      <c r="BB328" s="1108">
        <v>1480.3327063255406</v>
      </c>
      <c r="BC328" s="1108">
        <v>1441.9446340053012</v>
      </c>
      <c r="BD328" s="1108">
        <v>1505.3282016599155</v>
      </c>
      <c r="BE328" s="1108">
        <v>1548.5911242481661</v>
      </c>
      <c r="BF328" s="1108">
        <v>1544.2762170900867</v>
      </c>
      <c r="BG328" s="1108">
        <v>1511.3557125325678</v>
      </c>
      <c r="BH328" s="1108">
        <v>1576.2113377376133</v>
      </c>
      <c r="BI328" s="1108">
        <v>1645.0107207170427</v>
      </c>
      <c r="BJ328" s="1108">
        <v>1609.7127268877746</v>
      </c>
      <c r="BK328" s="1108">
        <v>1562.7213034826586</v>
      </c>
      <c r="BL328" s="1108">
        <v>1618.813245644872</v>
      </c>
      <c r="BM328" s="1108">
        <v>1705.13523902061</v>
      </c>
      <c r="BN328" s="1108">
        <v>1727.067884750445</v>
      </c>
      <c r="BO328" s="1108">
        <v>1650.2279729207567</v>
      </c>
      <c r="BP328" s="1108">
        <v>1645.6981231162467</v>
      </c>
      <c r="BQ328" s="1108">
        <v>1717.0866754706326</v>
      </c>
      <c r="BR328" s="1108">
        <v>1717.95266171858</v>
      </c>
      <c r="BS328" s="1108">
        <v>1624.2949137758926</v>
      </c>
      <c r="BT328" s="1108">
        <v>1661.9609299876849</v>
      </c>
      <c r="BU328" s="1108">
        <v>1630.0551433389901</v>
      </c>
      <c r="BV328" s="1108">
        <v>1624.7657099574301</v>
      </c>
      <c r="BW328" s="1108">
        <v>1629.2772681067099</v>
      </c>
      <c r="BX328" s="1108">
        <v>1626.4319746763499</v>
      </c>
      <c r="BY328" s="1108">
        <v>1632.17532750341</v>
      </c>
      <c r="BZ328" s="1108">
        <v>1627.1739651591299</v>
      </c>
      <c r="CA328" s="1108">
        <v>1630.6144646564301</v>
      </c>
      <c r="CB328" s="1108">
        <v>1625.96046185212</v>
      </c>
      <c r="CC328" s="1108">
        <v>1632.1453139313301</v>
      </c>
      <c r="CD328" s="1108">
        <v>1626.77902391106</v>
      </c>
      <c r="CE328" s="1108">
        <v>1628.7050167284201</v>
      </c>
      <c r="CF328" s="1108">
        <v>1622.0582615015201</v>
      </c>
    </row>
    <row r="329" spans="4:84" ht="14.45" hidden="1" outlineLevel="1">
      <c r="D329" s="1611"/>
      <c r="E329" s="1619"/>
      <c r="F329" s="1107" t="s">
        <v>1191</v>
      </c>
      <c r="G329" s="1107"/>
      <c r="H329" s="1107"/>
      <c r="I329" s="1107"/>
      <c r="W329" s="1109"/>
      <c r="X329" s="1109"/>
      <c r="Y329" s="1109">
        <v>-4.9452057391632831</v>
      </c>
      <c r="Z329" s="1109">
        <v>-8.762604238400213</v>
      </c>
      <c r="AA329" s="1109">
        <v>3.4285376924823403</v>
      </c>
      <c r="AB329" s="1109">
        <v>21.69364880254583</v>
      </c>
      <c r="AC329" s="1109">
        <v>38.254516111093182</v>
      </c>
      <c r="AD329" s="1109">
        <v>57.744793805921525</v>
      </c>
      <c r="AE329" s="1109">
        <v>42.108662660270625</v>
      </c>
      <c r="AF329" s="1109">
        <v>36.544045470834746</v>
      </c>
      <c r="AG329" s="1109">
        <v>6.1389212635209232</v>
      </c>
      <c r="AH329" s="1109">
        <v>6.0362192691307497</v>
      </c>
      <c r="AI329" s="1109">
        <v>7.9745737298606372</v>
      </c>
      <c r="AJ329" s="1109">
        <v>2.6500285717786274</v>
      </c>
      <c r="AK329" s="1109">
        <v>11.272833522293546</v>
      </c>
      <c r="AL329" s="1109">
        <v>-1.3454913840005311</v>
      </c>
      <c r="AM329" s="1109">
        <v>4.8900625641763069</v>
      </c>
      <c r="AN329" s="1109">
        <v>2.843567827439363</v>
      </c>
      <c r="AO329" s="1109">
        <v>2.3147330987438717</v>
      </c>
      <c r="AP329" s="1109">
        <v>15.246564972909326</v>
      </c>
      <c r="AQ329" s="1109">
        <v>14.549909891423161</v>
      </c>
      <c r="AR329" s="1109">
        <v>1.6875139968430879</v>
      </c>
      <c r="AS329" s="1109">
        <v>9.6482141555999057</v>
      </c>
      <c r="AT329" s="1109">
        <v>4.5511180924775827</v>
      </c>
      <c r="AU329" s="1109">
        <v>3.3997103947800191</v>
      </c>
      <c r="AV329" s="1109">
        <v>17.657891416287459</v>
      </c>
      <c r="AW329" s="1109">
        <v>9.2189766279151257</v>
      </c>
      <c r="AX329" s="1109">
        <v>13.66984674347543</v>
      </c>
      <c r="AY329" s="1109">
        <v>9.2986185512605353</v>
      </c>
      <c r="AZ329" s="1109">
        <v>8.9250797525318113</v>
      </c>
      <c r="BA329" s="1109">
        <v>5.7296579124171041</v>
      </c>
      <c r="BB329" s="1109">
        <v>-5.5401144801530924</v>
      </c>
      <c r="BC329" s="1109">
        <v>-3.9255799386241441</v>
      </c>
      <c r="BD329" s="1109">
        <v>-3.4311508954255459</v>
      </c>
      <c r="BE329" s="1109">
        <v>0.98455270071854983</v>
      </c>
      <c r="BF329" s="1109">
        <v>4.3195364455106651</v>
      </c>
      <c r="BG329" s="1109">
        <v>4.813713154468557</v>
      </c>
      <c r="BH329" s="1109">
        <v>4.708816057490683</v>
      </c>
      <c r="BI329" s="1109">
        <v>6.2262785159438261</v>
      </c>
      <c r="BJ329" s="1109">
        <v>4.2373578685936986</v>
      </c>
      <c r="BK329" s="1109">
        <v>3.3986433851510602</v>
      </c>
      <c r="BL329" s="1109">
        <v>2.7028043059509126</v>
      </c>
      <c r="BM329" s="1109">
        <v>3.654962095162499</v>
      </c>
      <c r="BN329" s="1109">
        <v>7.2904410769967276</v>
      </c>
      <c r="BO329" s="1109">
        <v>5.5996337442307782</v>
      </c>
      <c r="BP329" s="1109">
        <v>1.6607769638470438</v>
      </c>
      <c r="BQ329" s="1109">
        <v>0.700908419257537</v>
      </c>
      <c r="BR329" s="1109">
        <v>-0.52778603043633032</v>
      </c>
      <c r="BS329" s="1109">
        <v>-1.5714834295872975</v>
      </c>
      <c r="BT329" s="1109">
        <v>0.98820109490332475</v>
      </c>
      <c r="BU329" s="1109">
        <v>-5.068557887899761</v>
      </c>
      <c r="BV329" s="1109">
        <v>-5.4243026503378102</v>
      </c>
      <c r="BW329" s="1109">
        <v>0.30673951439244251</v>
      </c>
      <c r="BX329" s="1109">
        <v>-2.1377731973277077</v>
      </c>
      <c r="BY329" s="1109">
        <v>0.13006824788006613</v>
      </c>
      <c r="BZ329" s="1109">
        <v>0.1482216904837885</v>
      </c>
      <c r="CA329" s="1109">
        <v>8.2072988796684496E-2</v>
      </c>
      <c r="CB329" s="1109">
        <v>-2.8990626818173829E-2</v>
      </c>
      <c r="CC329" s="1109">
        <v>-1.8388693649634277E-3</v>
      </c>
      <c r="CD329" s="1109">
        <v>-2.4271605650432293E-2</v>
      </c>
      <c r="CE329" s="1109">
        <v>-0.11709990125791554</v>
      </c>
      <c r="CF329" s="1109">
        <v>-0.23999355717143331</v>
      </c>
    </row>
    <row r="330" spans="4:84" ht="14.45" hidden="1" outlineLevel="1" collapsed="1">
      <c r="D330" s="1611"/>
      <c r="E330" s="1619"/>
      <c r="F330" s="1107"/>
      <c r="G330" s="1107"/>
      <c r="H330" s="1107"/>
      <c r="I330" s="1107"/>
    </row>
    <row r="331" spans="4:84" ht="14.45" collapsed="1">
      <c r="D331" s="1613" t="s">
        <v>1252</v>
      </c>
      <c r="E331" s="1612" t="s">
        <v>1095</v>
      </c>
      <c r="F331" s="1106" t="s">
        <v>1190</v>
      </c>
      <c r="G331" s="1106"/>
      <c r="H331" s="1106"/>
      <c r="I331" s="1106"/>
      <c r="J331" s="1108"/>
      <c r="K331" s="1108"/>
      <c r="L331" s="1108"/>
      <c r="M331" s="1108"/>
      <c r="N331" s="1108"/>
      <c r="O331" s="1108"/>
      <c r="P331" s="1108"/>
      <c r="Q331" s="1108"/>
      <c r="R331" s="1108"/>
      <c r="S331" s="1108"/>
      <c r="T331" s="1108"/>
      <c r="U331" s="1108"/>
      <c r="V331" s="1108"/>
      <c r="W331" s="1108"/>
      <c r="X331" s="1108"/>
      <c r="Y331" s="1108">
        <v>3154.9497205593743</v>
      </c>
      <c r="Z331" s="1108">
        <v>3529.5514718806603</v>
      </c>
      <c r="AA331" s="1108">
        <v>3081.1789265311368</v>
      </c>
      <c r="AB331" s="1108">
        <v>3485.8257721236455</v>
      </c>
      <c r="AC331" s="1108">
        <v>3039.9270979282469</v>
      </c>
      <c r="AD331" s="1108">
        <v>3318.4341705601937</v>
      </c>
      <c r="AE331" s="1108">
        <v>2909.4636366441127</v>
      </c>
      <c r="AF331" s="1108">
        <v>3165.4576444186591</v>
      </c>
      <c r="AG331" s="1108">
        <v>2491.5199762031953</v>
      </c>
      <c r="AH331" s="1108">
        <v>2774.8744208267208</v>
      </c>
      <c r="AI331" s="1108">
        <v>2478.7112573907025</v>
      </c>
      <c r="AJ331" s="1108">
        <v>2490.8258915928031</v>
      </c>
      <c r="AK331" s="1108">
        <v>2183.2998567368431</v>
      </c>
      <c r="AL331" s="1108">
        <v>2282.6253813278045</v>
      </c>
      <c r="AM331" s="1108">
        <v>2100.5621447844378</v>
      </c>
      <c r="AN331" s="1108">
        <v>2130.727609340734</v>
      </c>
      <c r="AO331" s="1108">
        <v>1877.2408765555294</v>
      </c>
      <c r="AP331" s="1108">
        <v>2045.2546185735371</v>
      </c>
      <c r="AQ331" s="1108">
        <v>1721.2643338142527</v>
      </c>
      <c r="AR331" s="1108">
        <v>1466.0605884791551</v>
      </c>
      <c r="AS331" s="1108">
        <v>1404.18103827806</v>
      </c>
      <c r="AT331" s="1108">
        <v>1630.2646348210515</v>
      </c>
      <c r="AU331" s="1108">
        <v>1407.1460861384141</v>
      </c>
      <c r="AV331" s="1108">
        <v>1436.3918330606884</v>
      </c>
      <c r="AW331" s="1108">
        <v>1293.7712448305222</v>
      </c>
      <c r="AX331" s="1108">
        <v>1419.1138537747527</v>
      </c>
      <c r="AY331" s="1108">
        <v>1120.6233684680792</v>
      </c>
      <c r="AZ331" s="1108">
        <v>1098.7784656196357</v>
      </c>
      <c r="BA331" s="1108">
        <v>946.35133123395474</v>
      </c>
      <c r="BB331" s="1108">
        <v>994.09909750429313</v>
      </c>
      <c r="BC331" s="1108">
        <v>826.12636323163088</v>
      </c>
      <c r="BD331" s="1108">
        <v>786.56730910153033</v>
      </c>
      <c r="BE331" s="1108">
        <v>753.81275559640869</v>
      </c>
      <c r="BF331" s="1108">
        <v>776.48071595403792</v>
      </c>
      <c r="BG331" s="1108">
        <v>642.72524016497812</v>
      </c>
      <c r="BH331" s="1108">
        <v>637.80510141151012</v>
      </c>
      <c r="BI331" s="1108">
        <v>638.63688397400017</v>
      </c>
      <c r="BJ331" s="1108">
        <v>625.02620482425368</v>
      </c>
      <c r="BK331" s="1108">
        <v>516.03202314718408</v>
      </c>
      <c r="BL331" s="1108">
        <v>536.07884519309755</v>
      </c>
      <c r="BM331" s="1108">
        <v>451.04808539946208</v>
      </c>
      <c r="BN331" s="1108">
        <v>435.25662606382588</v>
      </c>
      <c r="BO331" s="1108">
        <v>354.9232207917654</v>
      </c>
      <c r="BP331" s="1108">
        <v>386.66814258353247</v>
      </c>
      <c r="BQ331" s="1108">
        <v>377.34768218595298</v>
      </c>
      <c r="BR331" s="1108">
        <v>368.95713304965551</v>
      </c>
      <c r="BS331" s="1108">
        <v>263.95804041710073</v>
      </c>
      <c r="BT331" s="1108">
        <v>301.15700854965201</v>
      </c>
      <c r="BU331" s="1108">
        <v>-402.78364228879298</v>
      </c>
      <c r="BV331" s="1108">
        <v>-416.14133550467301</v>
      </c>
      <c r="BW331" s="1108">
        <v>-475.71490220674599</v>
      </c>
      <c r="BX331" s="1108">
        <v>-404.77501668513599</v>
      </c>
      <c r="BY331" s="1108">
        <v>-509.21599024154102</v>
      </c>
      <c r="BZ331" s="1108">
        <v>-528.44477932044799</v>
      </c>
      <c r="CA331" s="1108">
        <v>-577.71298275578795</v>
      </c>
      <c r="CB331" s="1108">
        <v>-505.076208841484</v>
      </c>
      <c r="CC331" s="1108">
        <v>-611.07760584636878</v>
      </c>
      <c r="CD331" s="1108">
        <v>-635.45454115514303</v>
      </c>
      <c r="CE331" s="1108">
        <v>-677.46504089118707</v>
      </c>
      <c r="CF331" s="1108">
        <v>-602.58964688312665</v>
      </c>
    </row>
    <row r="332" spans="4:84" ht="14.45" hidden="1" outlineLevel="1">
      <c r="D332" s="1611"/>
      <c r="E332" s="1619"/>
      <c r="F332" s="1106" t="s">
        <v>1191</v>
      </c>
      <c r="G332" s="1106"/>
      <c r="H332" s="1106"/>
      <c r="I332" s="1106"/>
      <c r="W332" s="1109"/>
      <c r="X332" s="1109"/>
      <c r="Y332" s="1109">
        <v>-28.97332990264233</v>
      </c>
      <c r="Z332" s="1109">
        <v>-25.718517543585541</v>
      </c>
      <c r="AA332" s="1109">
        <v>-26.705335993010948</v>
      </c>
      <c r="AB332" s="1109">
        <v>-15.754013386580864</v>
      </c>
      <c r="AC332" s="1109">
        <v>-3.6457830653077368</v>
      </c>
      <c r="AD332" s="1109">
        <v>-5.9814201040104509</v>
      </c>
      <c r="AE332" s="1109">
        <v>-5.5730385667782398</v>
      </c>
      <c r="AF332" s="1109">
        <v>-9.1905949593634091</v>
      </c>
      <c r="AG332" s="1109">
        <v>-18.040140571094575</v>
      </c>
      <c r="AH332" s="1109">
        <v>-16.38000700920076</v>
      </c>
      <c r="AI332" s="1109">
        <v>-14.805216117093547</v>
      </c>
      <c r="AJ332" s="1109">
        <v>-21.312297576161473</v>
      </c>
      <c r="AK332" s="1109">
        <v>-12.370766536499778</v>
      </c>
      <c r="AL332" s="1109">
        <v>-17.739506905406557</v>
      </c>
      <c r="AM332" s="1109">
        <v>-15.255875870121955</v>
      </c>
      <c r="AN332" s="1109">
        <v>-14.4569832627602</v>
      </c>
      <c r="AO332" s="1109">
        <v>-14.018183495818528</v>
      </c>
      <c r="AP332" s="1109">
        <v>-10.399024066585499</v>
      </c>
      <c r="AQ332" s="1109">
        <v>-18.056966889170951</v>
      </c>
      <c r="AR332" s="1109">
        <v>-31.194368437701563</v>
      </c>
      <c r="AS332" s="1109">
        <v>-25.199740970134165</v>
      </c>
      <c r="AT332" s="1109">
        <v>-20.290382428859662</v>
      </c>
      <c r="AU332" s="1109">
        <v>-18.2492741820639</v>
      </c>
      <c r="AV332" s="1109">
        <v>-2.023705954011358</v>
      </c>
      <c r="AW332" s="1109">
        <v>-7.862931519352574</v>
      </c>
      <c r="AX332" s="1109">
        <v>-12.951932866376389</v>
      </c>
      <c r="AY332" s="1109">
        <v>-20.361973820119136</v>
      </c>
      <c r="AZ332" s="1109">
        <v>-23.504266709847577</v>
      </c>
      <c r="BA332" s="1109">
        <v>-26.853272167297071</v>
      </c>
      <c r="BB332" s="1109">
        <v>-29.949306402720776</v>
      </c>
      <c r="BC332" s="1109">
        <v>-26.279748711561606</v>
      </c>
      <c r="BD332" s="1109">
        <v>-28.414386183118328</v>
      </c>
      <c r="BE332" s="1109">
        <v>-20.345358989086382</v>
      </c>
      <c r="BF332" s="1109">
        <v>-21.891014899479416</v>
      </c>
      <c r="BG332" s="1109">
        <v>-22.200129572094337</v>
      </c>
      <c r="BH332" s="1109">
        <v>-18.912838859263847</v>
      </c>
      <c r="BI332" s="1109">
        <v>-15.279108872505425</v>
      </c>
      <c r="BJ332" s="1109">
        <v>-19.505250808926625</v>
      </c>
      <c r="BK332" s="1109">
        <v>-19.71187828025452</v>
      </c>
      <c r="BL332" s="1109">
        <v>-15.949426555743251</v>
      </c>
      <c r="BM332" s="1109">
        <v>-29.373311075809255</v>
      </c>
      <c r="BN332" s="1109">
        <v>-30.361859598156794</v>
      </c>
      <c r="BO332" s="1109">
        <v>-31.220698547513742</v>
      </c>
      <c r="BP332" s="1109">
        <v>-27.871031276331525</v>
      </c>
      <c r="BQ332" s="1109">
        <v>-16.339810676335709</v>
      </c>
      <c r="BR332" s="1109">
        <v>-15.23227655687618</v>
      </c>
      <c r="BS332" s="1109">
        <v>-25.629537614287074</v>
      </c>
      <c r="BT332" s="1109">
        <v>-22.11486404401867</v>
      </c>
      <c r="BU332" s="1109">
        <v>-206.74072249642319</v>
      </c>
      <c r="BV332" s="1109">
        <v>-212.78853238722104</v>
      </c>
      <c r="BW332" s="1109">
        <v>-280.22368307289736</v>
      </c>
      <c r="BX332" s="1109">
        <v>-234.40664012253939</v>
      </c>
      <c r="BY332" s="1109">
        <v>-26.424198199299472</v>
      </c>
      <c r="BZ332" s="1109">
        <v>-26.98685139739354</v>
      </c>
      <c r="CA332" s="1109">
        <v>-21.441010167201686</v>
      </c>
      <c r="CB332" s="1109">
        <v>-24.7794918218408</v>
      </c>
      <c r="CC332" s="1109">
        <v>-20.003616845675019</v>
      </c>
      <c r="CD332" s="1109">
        <v>-20.249942098454245</v>
      </c>
      <c r="CE332" s="1109">
        <v>-17.266715672472007</v>
      </c>
      <c r="CF332" s="1109">
        <v>-19.306678147702421</v>
      </c>
    </row>
    <row r="333" spans="4:84" ht="14.45" hidden="1" outlineLevel="1" collapsed="1">
      <c r="D333" s="1611"/>
      <c r="E333" s="1619"/>
      <c r="F333" s="1106"/>
      <c r="G333" s="1106"/>
      <c r="H333" s="1106"/>
      <c r="I333" s="1106"/>
    </row>
    <row r="334" spans="4:84" ht="14.45" collapsed="1">
      <c r="D334" s="1613" t="s">
        <v>1118</v>
      </c>
      <c r="E334" s="1612" t="s">
        <v>1095</v>
      </c>
      <c r="F334" s="1107" t="s">
        <v>1190</v>
      </c>
      <c r="G334" s="1107"/>
      <c r="H334" s="1107"/>
      <c r="I334" s="1107"/>
      <c r="J334" s="1108"/>
      <c r="K334" s="1108"/>
      <c r="L334" s="1108"/>
      <c r="M334" s="1108"/>
      <c r="N334" s="1108"/>
      <c r="O334" s="1108"/>
      <c r="P334" s="1108"/>
      <c r="Q334" s="1108"/>
      <c r="R334" s="1108"/>
      <c r="S334" s="1108"/>
      <c r="T334" s="1108"/>
      <c r="U334" s="1108"/>
      <c r="V334" s="1108"/>
      <c r="W334" s="1108"/>
      <c r="X334" s="1108"/>
      <c r="Y334" s="1108">
        <v>1580.691691395883</v>
      </c>
      <c r="Z334" s="1108">
        <v>1738.0812309203793</v>
      </c>
      <c r="AA334" s="1108">
        <v>1912.2464152294103</v>
      </c>
      <c r="AB334" s="1108">
        <v>2190.2964708873433</v>
      </c>
      <c r="AC334" s="1108">
        <v>2389.0473801389198</v>
      </c>
      <c r="AD334" s="1108">
        <v>2569.460572374026</v>
      </c>
      <c r="AE334" s="1108">
        <v>2776.5462059806828</v>
      </c>
      <c r="AF334" s="1108">
        <v>3120.7961883158305</v>
      </c>
      <c r="AG334" s="1108">
        <v>3387.3262131202659</v>
      </c>
      <c r="AH334" s="1108">
        <v>3590.9443065514124</v>
      </c>
      <c r="AI334" s="1108">
        <v>3937.5120672679641</v>
      </c>
      <c r="AJ334" s="1108">
        <v>4323.5249441235901</v>
      </c>
      <c r="AK334" s="1108">
        <v>4634.9235902344681</v>
      </c>
      <c r="AL334" s="1108">
        <v>4824.5550505355468</v>
      </c>
      <c r="AM334" s="1108">
        <v>5123.4525150483005</v>
      </c>
      <c r="AN334" s="1108">
        <v>5667.7748165869298</v>
      </c>
      <c r="AO334" s="1108">
        <v>5840.5091200181569</v>
      </c>
      <c r="AP334" s="1108">
        <v>6176.7834905091859</v>
      </c>
      <c r="AQ334" s="1108">
        <v>6464.068673158702</v>
      </c>
      <c r="AR334" s="1108">
        <v>6818.9603551252221</v>
      </c>
      <c r="AS334" s="1108">
        <v>7121.391240318776</v>
      </c>
      <c r="AT334" s="1108">
        <v>7540.3602116133834</v>
      </c>
      <c r="AU334" s="1108">
        <v>7968.6319162768395</v>
      </c>
      <c r="AV334" s="1108">
        <v>8602.5896298711141</v>
      </c>
      <c r="AW334" s="1108">
        <v>8850.7500979921388</v>
      </c>
      <c r="AX334" s="1108">
        <v>9100.2593022134042</v>
      </c>
      <c r="AY334" s="1108">
        <v>9433.4671982439631</v>
      </c>
      <c r="AZ334" s="1108">
        <v>9959.3816321453269</v>
      </c>
      <c r="BA334" s="1108">
        <v>9946.6848424548734</v>
      </c>
      <c r="BB334" s="1108">
        <v>10267.282494701984</v>
      </c>
      <c r="BC334" s="1108">
        <v>10739.850513204932</v>
      </c>
      <c r="BD334" s="1108">
        <v>11272.207970582946</v>
      </c>
      <c r="BE334" s="1108">
        <v>11249.987909681025</v>
      </c>
      <c r="BF334" s="1108">
        <v>11578.57076211282</v>
      </c>
      <c r="BG334" s="1108">
        <v>12029.122851956492</v>
      </c>
      <c r="BH334" s="1108">
        <v>12596.929800831407</v>
      </c>
      <c r="BI334" s="1108">
        <v>12721.034405817823</v>
      </c>
      <c r="BJ334" s="1108">
        <v>13116.751017161494</v>
      </c>
      <c r="BK334" s="1108">
        <v>13601.946272769603</v>
      </c>
      <c r="BL334" s="1108">
        <v>14191.037077304785</v>
      </c>
      <c r="BM334" s="1108">
        <v>14778.861531277871</v>
      </c>
      <c r="BN334" s="1108">
        <v>15292.044790606369</v>
      </c>
      <c r="BO334" s="1108">
        <v>15835.080300706568</v>
      </c>
      <c r="BP334" s="1108">
        <v>16504.357603346602</v>
      </c>
      <c r="BQ334" s="1108">
        <v>16499.140429959483</v>
      </c>
      <c r="BR334" s="1108">
        <v>16909.925664571485</v>
      </c>
      <c r="BS334" s="1108">
        <v>17522.871861380103</v>
      </c>
      <c r="BT334" s="1108">
        <v>18332.83772294367</v>
      </c>
      <c r="BU334" s="1108">
        <v>20304.585122120388</v>
      </c>
      <c r="BV334" s="1108">
        <v>21313.341790050719</v>
      </c>
      <c r="BW334" s="1108">
        <v>22049.102423095232</v>
      </c>
      <c r="BX334" s="1108">
        <v>22596.205004515701</v>
      </c>
      <c r="BY334" s="1108">
        <v>22695.134815989259</v>
      </c>
      <c r="BZ334" s="1108">
        <v>23757.93998054757</v>
      </c>
      <c r="CA334" s="1108">
        <v>24531.4250968995</v>
      </c>
      <c r="CB334" s="1108">
        <v>25104.988394936299</v>
      </c>
      <c r="CC334" s="1108">
        <v>25201.272948414258</v>
      </c>
      <c r="CD334" s="1108">
        <v>26310.27392109139</v>
      </c>
      <c r="CE334" s="1108">
        <v>27115.562794523012</v>
      </c>
      <c r="CF334" s="1108">
        <v>27711.007871162172</v>
      </c>
    </row>
    <row r="335" spans="4:84" ht="14.45" hidden="1" outlineLevel="1">
      <c r="D335" s="1611"/>
      <c r="E335" s="1619"/>
      <c r="F335" s="1107" t="s">
        <v>1191</v>
      </c>
      <c r="G335" s="1107"/>
      <c r="H335" s="1107"/>
      <c r="I335" s="1107"/>
      <c r="W335" s="1109"/>
      <c r="X335" s="1109"/>
      <c r="Y335" s="1109">
        <v>55.257485576103058</v>
      </c>
      <c r="Z335" s="1109">
        <v>44.821231723173732</v>
      </c>
      <c r="AA335" s="1109">
        <v>44.830853732991812</v>
      </c>
      <c r="AB335" s="1109">
        <v>41.167451235460383</v>
      </c>
      <c r="AC335" s="1109">
        <v>51.139364693515354</v>
      </c>
      <c r="AD335" s="1109">
        <v>47.833169512647004</v>
      </c>
      <c r="AE335" s="1109">
        <v>45.198138894018172</v>
      </c>
      <c r="AF335" s="1109">
        <v>42.48282046729129</v>
      </c>
      <c r="AG335" s="1109">
        <v>41.785643988496268</v>
      </c>
      <c r="AH335" s="1109">
        <v>39.754793093929329</v>
      </c>
      <c r="AI335" s="1109">
        <v>41.813309599766782</v>
      </c>
      <c r="AJ335" s="1109">
        <v>38.539163829754116</v>
      </c>
      <c r="AK335" s="1109">
        <v>36.831332402584472</v>
      </c>
      <c r="AL335" s="1109">
        <v>34.353380021335973</v>
      </c>
      <c r="AM335" s="1109">
        <v>30.119030177428741</v>
      </c>
      <c r="AN335" s="1109">
        <v>31.09152577667917</v>
      </c>
      <c r="AO335" s="1109">
        <v>26.010904091791115</v>
      </c>
      <c r="AP335" s="1109">
        <v>28.028044572183617</v>
      </c>
      <c r="AQ335" s="1109">
        <v>26.166264919462478</v>
      </c>
      <c r="AR335" s="1109">
        <v>20.311066967045161</v>
      </c>
      <c r="AS335" s="1109">
        <v>21.931001116160182</v>
      </c>
      <c r="AT335" s="1109">
        <v>22.075838066841332</v>
      </c>
      <c r="AU335" s="1109">
        <v>23.275792990344648</v>
      </c>
      <c r="AV335" s="1109">
        <v>26.156909291975751</v>
      </c>
      <c r="AW335" s="1109">
        <v>24.284002933055412</v>
      </c>
      <c r="AX335" s="1109">
        <v>20.687328546950877</v>
      </c>
      <c r="AY335" s="1109">
        <v>18.382519074259541</v>
      </c>
      <c r="AZ335" s="1109">
        <v>15.771901958021687</v>
      </c>
      <c r="BA335" s="1109">
        <v>12.382393947732814</v>
      </c>
      <c r="BB335" s="1109">
        <v>12.824065268170227</v>
      </c>
      <c r="BC335" s="1109">
        <v>13.848389860349034</v>
      </c>
      <c r="BD335" s="1109">
        <v>13.181805727780169</v>
      </c>
      <c r="BE335" s="1109">
        <v>13.102888931026921</v>
      </c>
      <c r="BF335" s="1109">
        <v>12.771522241522762</v>
      </c>
      <c r="BG335" s="1109">
        <v>12.004565027849923</v>
      </c>
      <c r="BH335" s="1109">
        <v>11.752106008916666</v>
      </c>
      <c r="BI335" s="1109">
        <v>13.075982907243027</v>
      </c>
      <c r="BJ335" s="1109">
        <v>13.284716107465336</v>
      </c>
      <c r="BK335" s="1109">
        <v>13.075129751104811</v>
      </c>
      <c r="BL335" s="1109">
        <v>12.654728586073139</v>
      </c>
      <c r="BM335" s="1109">
        <v>16.176570708109423</v>
      </c>
      <c r="BN335" s="1109">
        <v>16.58408984510568</v>
      </c>
      <c r="BO335" s="1109">
        <v>16.417753629916806</v>
      </c>
      <c r="BP335" s="1109">
        <v>16.301278852561289</v>
      </c>
      <c r="BQ335" s="1109">
        <v>11.640131379814521</v>
      </c>
      <c r="BR335" s="1109">
        <v>10.579885791067989</v>
      </c>
      <c r="BS335" s="1109">
        <v>10.658560162768643</v>
      </c>
      <c r="BT335" s="1109">
        <v>11.078771822214433</v>
      </c>
      <c r="BU335" s="1109">
        <v>23.064502713431658</v>
      </c>
      <c r="BV335" s="1109">
        <v>26.040422724654373</v>
      </c>
      <c r="BW335" s="1109">
        <v>25.830415228286913</v>
      </c>
      <c r="BX335" s="1109">
        <v>23.255359295721021</v>
      </c>
      <c r="BY335" s="1109">
        <v>11.773447620284237</v>
      </c>
      <c r="BZ335" s="1109">
        <v>11.469802410985654</v>
      </c>
      <c r="CA335" s="1109">
        <v>11.25815748038873</v>
      </c>
      <c r="CB335" s="1109">
        <v>11.10267582507432</v>
      </c>
      <c r="CC335" s="1109">
        <v>11.042622803277494</v>
      </c>
      <c r="CD335" s="1109">
        <v>10.743077651655025</v>
      </c>
      <c r="CE335" s="1109">
        <v>10.53398931132671</v>
      </c>
      <c r="CF335" s="1109">
        <v>10.380484687861911</v>
      </c>
    </row>
    <row r="336" spans="4:84" ht="14.45" hidden="1" outlineLevel="1" collapsed="1">
      <c r="D336" s="1611"/>
      <c r="E336" s="1619"/>
      <c r="F336" s="1107"/>
      <c r="G336" s="1107"/>
      <c r="H336" s="1107"/>
      <c r="I336" s="1107"/>
    </row>
    <row r="337" spans="3:84" ht="14.45" collapsed="1">
      <c r="D337" s="1613" t="s">
        <v>1192</v>
      </c>
      <c r="E337" s="1612" t="s">
        <v>1095</v>
      </c>
      <c r="F337" s="1106" t="s">
        <v>1190</v>
      </c>
      <c r="G337" s="1106"/>
      <c r="H337" s="1106"/>
      <c r="I337" s="1106"/>
      <c r="AD337" s="1108">
        <v>228</v>
      </c>
      <c r="AE337" s="1108">
        <v>976</v>
      </c>
      <c r="AF337" s="1108">
        <v>1067</v>
      </c>
      <c r="AG337" s="1108">
        <v>1148</v>
      </c>
      <c r="AH337" s="1108">
        <v>1312</v>
      </c>
      <c r="AI337" s="1108">
        <v>1335</v>
      </c>
      <c r="AJ337" s="1108">
        <v>1464</v>
      </c>
      <c r="AK337" s="1108">
        <v>1530</v>
      </c>
      <c r="AL337" s="1108">
        <v>1693</v>
      </c>
      <c r="AM337" s="1108">
        <v>1696</v>
      </c>
      <c r="AN337" s="1108">
        <v>1835</v>
      </c>
      <c r="AO337" s="1108">
        <v>1909</v>
      </c>
      <c r="AP337" s="1108">
        <v>2102</v>
      </c>
      <c r="AQ337" s="1108">
        <v>2050</v>
      </c>
      <c r="AR337" s="1108">
        <v>2016</v>
      </c>
      <c r="AS337" s="1108">
        <v>2206</v>
      </c>
      <c r="AT337" s="1108">
        <v>2577</v>
      </c>
      <c r="AU337" s="1108">
        <v>2562</v>
      </c>
      <c r="AV337" s="1108">
        <v>2944</v>
      </c>
      <c r="AW337" s="1108">
        <v>3136</v>
      </c>
      <c r="AX337" s="1108">
        <v>3531</v>
      </c>
      <c r="AY337" s="1108">
        <v>3437</v>
      </c>
      <c r="AZ337" s="1108">
        <v>3712</v>
      </c>
      <c r="BA337" s="1108">
        <v>3663</v>
      </c>
      <c r="BB337" s="1108">
        <v>3876</v>
      </c>
      <c r="BC337" s="1108">
        <v>3645.1661519646223</v>
      </c>
      <c r="BD337" s="1108">
        <v>3969.9132442627288</v>
      </c>
      <c r="BE337" s="1108">
        <v>4056.897397224257</v>
      </c>
      <c r="BF337" s="1108">
        <v>4345.6173275419287</v>
      </c>
      <c r="BG337" s="1108">
        <v>4120.8924354186356</v>
      </c>
      <c r="BH337" s="1108">
        <v>4487.6897619405527</v>
      </c>
      <c r="BI337" s="1108">
        <v>4649.0533036982233</v>
      </c>
      <c r="BJ337" s="1108">
        <v>4988.4564355406192</v>
      </c>
      <c r="BK337" s="1108">
        <v>4754.9956670471338</v>
      </c>
      <c r="BL337" s="1108">
        <v>5184.8698885043077</v>
      </c>
      <c r="BM337" s="1108">
        <v>5632.4571396531983</v>
      </c>
      <c r="BN337" s="1108">
        <v>6037.5378809199601</v>
      </c>
      <c r="BO337" s="1108">
        <v>5707.2821062054645</v>
      </c>
      <c r="BP337" s="1108">
        <v>6316.1345342800014</v>
      </c>
      <c r="BQ337" s="1108">
        <v>7152.1580908219021</v>
      </c>
      <c r="BR337" s="1108">
        <v>7606.4589398992057</v>
      </c>
      <c r="BS337" s="1108">
        <v>7230.2373607555437</v>
      </c>
      <c r="BT337" s="1108">
        <v>8037.8110525899956</v>
      </c>
      <c r="BU337" s="1108">
        <v>7758.3311166611247</v>
      </c>
      <c r="BV337" s="1108">
        <v>8125.7688622200003</v>
      </c>
      <c r="BW337" s="1108">
        <v>7849.7697914753398</v>
      </c>
      <c r="BX337" s="1108">
        <v>8700.720785816975</v>
      </c>
      <c r="BY337" s="1108">
        <v>8891.9963635304393</v>
      </c>
      <c r="BZ337" s="1108">
        <v>9285.6943649993991</v>
      </c>
      <c r="CA337" s="1108">
        <v>9047.1465499584501</v>
      </c>
      <c r="CB337" s="1108">
        <v>9996.2172733098341</v>
      </c>
      <c r="CC337" s="1108">
        <v>10097.15606128828</v>
      </c>
      <c r="CD337" s="1108">
        <v>10551.198422373351</v>
      </c>
      <c r="CE337" s="1108">
        <v>10274.483609562894</v>
      </c>
      <c r="CF337" s="1108">
        <v>11376.86049277975</v>
      </c>
    </row>
    <row r="338" spans="3:84" ht="14.45" hidden="1" outlineLevel="1">
      <c r="D338" s="1611"/>
      <c r="E338" s="1619"/>
      <c r="F338" s="1106" t="s">
        <v>1191</v>
      </c>
      <c r="G338" s="1106"/>
      <c r="H338" s="1106"/>
      <c r="I338" s="1106"/>
      <c r="AH338" s="1109">
        <v>475.43859649122805</v>
      </c>
      <c r="AI338" s="1109">
        <v>36.782786885245898</v>
      </c>
      <c r="AJ338" s="1109">
        <v>37.207122774133083</v>
      </c>
      <c r="AK338" s="1109">
        <v>33.275261324041807</v>
      </c>
      <c r="AL338" s="1109">
        <v>29.039634146341463</v>
      </c>
      <c r="AM338" s="1109">
        <v>27.04119850187266</v>
      </c>
      <c r="AN338" s="1109">
        <v>25.341530054644807</v>
      </c>
      <c r="AO338" s="1109">
        <v>24.77124183006536</v>
      </c>
      <c r="AP338" s="1109">
        <v>24.158298877731838</v>
      </c>
      <c r="AQ338" s="1109">
        <v>20.872641509433961</v>
      </c>
      <c r="AR338" s="1109">
        <v>9.8637602179836517</v>
      </c>
      <c r="AS338" s="1109">
        <v>15.557883708748035</v>
      </c>
      <c r="AT338" s="1109">
        <v>22.597526165556616</v>
      </c>
      <c r="AU338" s="1109">
        <v>24.975609756097562</v>
      </c>
      <c r="AV338" s="1109">
        <v>46.031746031746032</v>
      </c>
      <c r="AW338" s="1109">
        <v>42.157751586582052</v>
      </c>
      <c r="AX338" s="1109">
        <v>37.019790454016302</v>
      </c>
      <c r="AY338" s="1109">
        <v>34.15300546448087</v>
      </c>
      <c r="AZ338" s="1109">
        <v>26.086956521739129</v>
      </c>
      <c r="BA338" s="1109">
        <v>16.804846938775512</v>
      </c>
      <c r="BB338" s="1109">
        <v>9.770603228547154</v>
      </c>
      <c r="BC338" s="1109">
        <v>6.0566235660349799</v>
      </c>
      <c r="BD338" s="1109">
        <v>6.9480938648364434</v>
      </c>
      <c r="BE338" s="1109">
        <v>10.753409697631914</v>
      </c>
      <c r="BF338" s="1109">
        <v>12.116030122340781</v>
      </c>
      <c r="BG338" s="1109">
        <v>13.050880635375506</v>
      </c>
      <c r="BH338" s="1109">
        <v>13.042514680292028</v>
      </c>
      <c r="BI338" s="1109">
        <v>14.596275145610567</v>
      </c>
      <c r="BJ338" s="1109">
        <v>14.792814450652708</v>
      </c>
      <c r="BK338" s="1109">
        <v>15.387522037179322</v>
      </c>
      <c r="BL338" s="1109">
        <v>15.535390446916336</v>
      </c>
      <c r="BM338" s="1109">
        <v>21.152776096860368</v>
      </c>
      <c r="BN338" s="1109">
        <v>21.030181558870279</v>
      </c>
      <c r="BO338" s="1109">
        <v>20.027072700777104</v>
      </c>
      <c r="BP338" s="1109">
        <v>21.818573466691802</v>
      </c>
      <c r="BQ338" s="1109">
        <v>26.981136535772642</v>
      </c>
      <c r="BR338" s="1109">
        <v>25.986107084104681</v>
      </c>
      <c r="BS338" s="1109">
        <v>26.684422220765764</v>
      </c>
      <c r="BT338" s="1109">
        <v>27.258388955552139</v>
      </c>
      <c r="BU338" s="1109">
        <v>8.4753862839959027</v>
      </c>
      <c r="BV338" s="1109">
        <v>6.8272231063627622</v>
      </c>
      <c r="BW338" s="1109">
        <v>8.5686319799472859</v>
      </c>
      <c r="BX338" s="1109">
        <v>8.2473913468440188</v>
      </c>
      <c r="BY338" s="1109">
        <v>14.612230772604596</v>
      </c>
      <c r="BZ338" s="1109">
        <v>14.274655388887119</v>
      </c>
      <c r="CA338" s="1109">
        <v>15.253654441986725</v>
      </c>
      <c r="CB338" s="1109">
        <v>14.88953064215835</v>
      </c>
      <c r="CC338" s="1109">
        <v>13.553308486502234</v>
      </c>
      <c r="CD338" s="1109">
        <v>13.628534470658657</v>
      </c>
      <c r="CE338" s="1109">
        <v>13.566012806657596</v>
      </c>
      <c r="CF338" s="1109">
        <v>13.811656766967936</v>
      </c>
    </row>
    <row r="339" spans="3:84" ht="14.45" hidden="1" outlineLevel="1" collapsed="1">
      <c r="D339" s="1611"/>
      <c r="E339" s="1619"/>
      <c r="F339" s="1106"/>
      <c r="G339" s="1106"/>
      <c r="H339" s="1106"/>
      <c r="I339" s="1106"/>
    </row>
    <row r="340" spans="3:84" ht="14.45" collapsed="1">
      <c r="D340" s="1613" t="s">
        <v>1235</v>
      </c>
      <c r="E340" s="1612" t="s">
        <v>1095</v>
      </c>
      <c r="F340" s="1107" t="s">
        <v>1190</v>
      </c>
      <c r="G340" s="1107"/>
      <c r="H340" s="1107"/>
      <c r="I340" s="1107"/>
      <c r="J340" s="1108"/>
      <c r="K340" s="1108"/>
      <c r="L340" s="1108"/>
      <c r="M340" s="1108"/>
      <c r="N340" s="1108"/>
      <c r="O340" s="1108"/>
      <c r="P340" s="1108"/>
      <c r="Q340" s="1108"/>
      <c r="R340" s="1108"/>
      <c r="S340" s="1108"/>
      <c r="T340" s="1108"/>
      <c r="U340" s="1108"/>
      <c r="V340" s="1108"/>
      <c r="W340" s="1108"/>
      <c r="X340" s="1108"/>
      <c r="Y340" s="1108">
        <v>39.398400000000002</v>
      </c>
      <c r="Z340" s="1108">
        <v>71.587475999999995</v>
      </c>
      <c r="AA340" s="1108">
        <v>33.792000000000002</v>
      </c>
      <c r="AC340" s="1108">
        <v>107.8496</v>
      </c>
      <c r="AD340" s="1108">
        <v>110.779369</v>
      </c>
      <c r="AE340" s="1108">
        <v>129.13650000000001</v>
      </c>
      <c r="AF340" s="1108">
        <v>206.68600000000001</v>
      </c>
      <c r="AG340" s="1108">
        <v>90.290620000000004</v>
      </c>
      <c r="AH340" s="1108">
        <v>86.773626299999506</v>
      </c>
      <c r="AI340" s="1108">
        <v>118.2814997</v>
      </c>
      <c r="AJ340" s="1108">
        <v>194.3929148</v>
      </c>
      <c r="AK340" s="1108">
        <v>170.56306430400099</v>
      </c>
      <c r="AL340" s="1108">
        <v>155.80251579649897</v>
      </c>
      <c r="AM340" s="1108">
        <v>220.814486090841</v>
      </c>
      <c r="AN340" s="1108">
        <v>179.24810880283999</v>
      </c>
      <c r="AO340" s="1108">
        <v>156.332971890343</v>
      </c>
      <c r="AP340" s="1108">
        <v>135.787928307573</v>
      </c>
      <c r="AQ340" s="1108">
        <v>213.59032143428101</v>
      </c>
      <c r="AR340" s="1108">
        <v>163.957276261641</v>
      </c>
      <c r="AS340" s="1108">
        <v>156.18857003978397</v>
      </c>
      <c r="AT340" s="1108">
        <v>147.73406414792001</v>
      </c>
      <c r="AU340" s="1108">
        <v>231.44351380107</v>
      </c>
      <c r="AV340" s="1108">
        <v>198.916996838145</v>
      </c>
      <c r="AW340" s="1108">
        <v>176.661329457645</v>
      </c>
      <c r="AX340" s="1108">
        <v>171.89917124218101</v>
      </c>
      <c r="AY340" s="1108">
        <v>251.019727100338</v>
      </c>
      <c r="BA340" s="1108">
        <v>193.97419951076699</v>
      </c>
      <c r="BB340" s="1108">
        <v>145.769064026059</v>
      </c>
      <c r="BC340" s="1108">
        <v>238.46874074532101</v>
      </c>
      <c r="BD340" s="1108">
        <v>206.23774198739301</v>
      </c>
      <c r="BE340" s="1108">
        <v>180.396005545013</v>
      </c>
      <c r="BF340" s="1108">
        <v>138.48061082475601</v>
      </c>
      <c r="BG340" s="1108">
        <v>226.545303708055</v>
      </c>
      <c r="BH340" s="1108">
        <v>195.92585488802399</v>
      </c>
      <c r="BI340" s="1108">
        <v>171.376205267763</v>
      </c>
      <c r="BJ340" s="1108">
        <v>131.556580283518</v>
      </c>
      <c r="BK340" s="1108">
        <v>215.21803852265199</v>
      </c>
      <c r="BL340" s="1108">
        <v>186.12956214362299</v>
      </c>
      <c r="BM340" s="1108">
        <v>162.807395004374</v>
      </c>
      <c r="BN340" s="1108">
        <v>124.978751269342</v>
      </c>
      <c r="BO340" s="1108">
        <v>204.45713659652</v>
      </c>
      <c r="BP340" s="1108">
        <v>176.823084036441</v>
      </c>
      <c r="BQ340" s="1108">
        <v>154.66702525415599</v>
      </c>
      <c r="BR340" s="1108">
        <v>118.729813705875</v>
      </c>
      <c r="BS340" s="1108">
        <v>194.23427976669399</v>
      </c>
      <c r="BT340" s="1108">
        <v>167.981929834619</v>
      </c>
    </row>
    <row r="341" spans="3:84" ht="14.45" hidden="1" outlineLevel="1">
      <c r="D341" s="1611"/>
      <c r="E341" s="1619"/>
      <c r="F341" s="1107" t="s">
        <v>1191</v>
      </c>
      <c r="G341" s="1107"/>
      <c r="H341" s="1107"/>
      <c r="I341" s="1107"/>
      <c r="W341" s="1109"/>
      <c r="X341" s="1109"/>
      <c r="Y341" s="1109">
        <v>-19.999999999999989</v>
      </c>
      <c r="Z341" s="1109">
        <v>-20.000000000000011</v>
      </c>
      <c r="AA341" s="1109">
        <v>-20</v>
      </c>
      <c r="AC341" s="1109">
        <v>173.74106562703054</v>
      </c>
      <c r="AD341" s="1109">
        <v>54.746856838478294</v>
      </c>
      <c r="AE341" s="1109">
        <v>282.15110085227275</v>
      </c>
      <c r="AG341" s="1109">
        <v>-16.280987597543238</v>
      </c>
      <c r="AH341" s="1109">
        <v>-21.669867698921898</v>
      </c>
      <c r="AI341" s="1109">
        <v>-8.4058343690591073</v>
      </c>
      <c r="AJ341" s="1109">
        <v>-5.9477106335213836</v>
      </c>
      <c r="AK341" s="1109">
        <v>88.904522201753593</v>
      </c>
      <c r="AL341" s="1109">
        <v>79.550541379760048</v>
      </c>
      <c r="AM341" s="1109">
        <v>86.685565072219831</v>
      </c>
      <c r="AN341" s="1109">
        <v>-7.7908220125932317</v>
      </c>
      <c r="AO341" s="1109">
        <v>-8.3430093565246661</v>
      </c>
      <c r="AP341" s="1109">
        <v>-12.846125999061508</v>
      </c>
      <c r="AQ341" s="1109">
        <v>-3.2715990623858069</v>
      </c>
      <c r="AR341" s="1109">
        <v>-8.5305405135503047</v>
      </c>
      <c r="AS341" s="1109">
        <v>-9.2368135021653072E-2</v>
      </c>
      <c r="AT341" s="1109">
        <v>8.7976420210844086</v>
      </c>
      <c r="AU341" s="1109">
        <v>8.3586148692988349</v>
      </c>
      <c r="AV341" s="1109">
        <v>21.32245751674705</v>
      </c>
      <c r="AW341" s="1109">
        <v>13.107719350171562</v>
      </c>
      <c r="AX341" s="1109">
        <v>16.357166665411356</v>
      </c>
      <c r="AY341" s="1109">
        <v>8.4583114807417434</v>
      </c>
      <c r="BA341" s="1109">
        <v>9.8000338309877844</v>
      </c>
      <c r="BB341" s="1109">
        <v>-15.200833737184505</v>
      </c>
      <c r="BC341" s="1109">
        <v>-5.0000000000000346</v>
      </c>
      <c r="BE341" s="1109">
        <v>-7.000000000000159</v>
      </c>
      <c r="BF341" s="1109">
        <v>-5.0000000000000249</v>
      </c>
      <c r="BG341" s="1109">
        <v>-4.999999999999984</v>
      </c>
      <c r="BH341" s="1109">
        <v>-4.9999999999996927</v>
      </c>
      <c r="BI341" s="1109">
        <v>-4.9999999999996394</v>
      </c>
      <c r="BJ341" s="1109">
        <v>-5.0000000000001519</v>
      </c>
      <c r="BK341" s="1109">
        <v>-5.0000000000001137</v>
      </c>
      <c r="BL341" s="1109">
        <v>-4.9999999999998979</v>
      </c>
      <c r="BM341" s="1109">
        <v>-5.0000000000004947</v>
      </c>
      <c r="BN341" s="1109">
        <v>-5.000000000000079</v>
      </c>
      <c r="BO341" s="1109">
        <v>-4.9999999999997176</v>
      </c>
      <c r="BP341" s="1109">
        <v>-5.0000000000004503</v>
      </c>
      <c r="BQ341" s="1109">
        <v>-4.9999999999995781</v>
      </c>
      <c r="BR341" s="1109">
        <v>-4.9999999999999165</v>
      </c>
      <c r="BS341" s="1109">
        <v>-5.0000000000000071</v>
      </c>
      <c r="BT341" s="1109">
        <v>-4.999999999999976</v>
      </c>
    </row>
    <row r="342" spans="3:84" ht="14.45" hidden="1" outlineLevel="1" collapsed="1">
      <c r="D342" s="1611"/>
      <c r="E342" s="1619"/>
      <c r="F342" s="1107"/>
      <c r="G342" s="1107"/>
      <c r="H342" s="1107"/>
      <c r="I342" s="1107"/>
    </row>
    <row r="343" spans="3:84" ht="14.45" collapsed="1">
      <c r="D343" s="1613" t="s">
        <v>1194</v>
      </c>
      <c r="E343" s="1612" t="s">
        <v>1095</v>
      </c>
      <c r="F343" s="1106" t="s">
        <v>1190</v>
      </c>
      <c r="G343" s="1106"/>
      <c r="H343" s="1106"/>
      <c r="I343" s="1106"/>
      <c r="J343" s="1108"/>
      <c r="K343" s="1108"/>
      <c r="L343" s="1108"/>
      <c r="M343" s="1108"/>
      <c r="N343" s="1108"/>
      <c r="O343" s="1108"/>
      <c r="P343" s="1108"/>
      <c r="Q343" s="1108"/>
      <c r="R343" s="1108"/>
      <c r="S343" s="1108"/>
      <c r="T343" s="1108"/>
      <c r="U343" s="1108"/>
      <c r="V343" s="1108"/>
      <c r="W343" s="1108"/>
      <c r="X343" s="1108"/>
      <c r="Y343" s="1108">
        <v>-78.398872304827805</v>
      </c>
      <c r="Z343" s="1108">
        <v>211.53151046981901</v>
      </c>
      <c r="AA343" s="1108">
        <v>-168.89482044744801</v>
      </c>
      <c r="AB343" s="1108">
        <v>247.71407100593001</v>
      </c>
      <c r="AC343" s="1108">
        <v>17.689380289380995</v>
      </c>
      <c r="AD343" s="1108">
        <v>50.467888435374853</v>
      </c>
      <c r="AE343" s="1108">
        <v>-3.8720518750406501</v>
      </c>
      <c r="AF343" s="1108">
        <v>41.317402321394816</v>
      </c>
      <c r="AG343" s="1108">
        <v>414.83721202335732</v>
      </c>
      <c r="AH343" s="1108">
        <v>376.8463107334905</v>
      </c>
      <c r="AI343" s="1108">
        <v>336.46907047176711</v>
      </c>
      <c r="AJ343" s="1108">
        <v>482.19778147439467</v>
      </c>
      <c r="AK343" s="1108">
        <v>305.73591036383709</v>
      </c>
      <c r="AL343" s="1108">
        <v>249.28800451628899</v>
      </c>
      <c r="AM343" s="1108">
        <v>267.41081757709867</v>
      </c>
      <c r="AN343" s="1108">
        <v>509.52951844625744</v>
      </c>
      <c r="AO343" s="1108">
        <v>464.27319915057859</v>
      </c>
      <c r="AP343" s="1108">
        <v>225.01292561493756</v>
      </c>
      <c r="AQ343" s="1108">
        <v>167.8043283082576</v>
      </c>
      <c r="AR343" s="1108">
        <v>313.29506305062665</v>
      </c>
      <c r="AS343" s="1108">
        <v>189.71299653856659</v>
      </c>
      <c r="AT343" s="1108">
        <v>156.35797030662465</v>
      </c>
      <c r="AU343" s="1108">
        <v>128.48252695218534</v>
      </c>
      <c r="AV343" s="1108">
        <v>395.75377553895373</v>
      </c>
      <c r="AW343" s="1108">
        <v>0.11675294170674</v>
      </c>
      <c r="AX343" s="1108">
        <v>147.68119143740273</v>
      </c>
      <c r="AY343" s="1108">
        <v>147.45541129981399</v>
      </c>
      <c r="AZ343" s="1108">
        <v>-7.1801787687600003</v>
      </c>
      <c r="BA343" s="1108">
        <v>188.27513203150639</v>
      </c>
      <c r="BB343" s="1108">
        <v>83.212348342502764</v>
      </c>
      <c r="BC343" s="1108">
        <v>494.80307653449501</v>
      </c>
      <c r="BD343" s="1108">
        <v>914.02886781508096</v>
      </c>
      <c r="BE343" s="1108">
        <v>472.61832048900999</v>
      </c>
      <c r="BF343" s="1108">
        <v>233.378003140668</v>
      </c>
      <c r="BG343" s="1108">
        <v>491.72515621869098</v>
      </c>
      <c r="BH343" s="1108">
        <v>904.58602180696698</v>
      </c>
      <c r="BI343" s="1108">
        <v>528.95153456493995</v>
      </c>
      <c r="BJ343" s="1108">
        <v>511.91759928551102</v>
      </c>
      <c r="BK343" s="1108">
        <v>481.74790237512298</v>
      </c>
      <c r="BL343" s="1108">
        <v>454.66711257420297</v>
      </c>
      <c r="BN343" s="1108">
        <v>5.2000000000000001E-11</v>
      </c>
      <c r="BO343" s="1108">
        <v>-6.3999999999999999E-11</v>
      </c>
    </row>
    <row r="344" spans="3:84" ht="14.45" hidden="1" outlineLevel="1">
      <c r="D344" s="1611"/>
      <c r="E344" s="1619"/>
      <c r="F344" s="1106" t="s">
        <v>1191</v>
      </c>
      <c r="G344" s="1106"/>
      <c r="H344" s="1106"/>
      <c r="I344" s="1106"/>
      <c r="W344" s="1109"/>
      <c r="X344" s="1109"/>
      <c r="Y344" s="1109">
        <v>-140.66835748775921</v>
      </c>
      <c r="Z344" s="1109">
        <v>-16.908564150051397</v>
      </c>
      <c r="AA344" s="1109">
        <v>-164.99408680063513</v>
      </c>
      <c r="AB344" s="1109">
        <v>-45.329208412077087</v>
      </c>
      <c r="AC344" s="1109">
        <v>122.56330961063031</v>
      </c>
      <c r="AD344" s="1109">
        <v>-76.141668764486255</v>
      </c>
      <c r="AE344" s="1109">
        <v>97.707418223494031</v>
      </c>
      <c r="AF344" s="1109">
        <v>-83.320526704998628</v>
      </c>
      <c r="AG344" s="1109">
        <v>2245.1200959955941</v>
      </c>
      <c r="AH344" s="1109">
        <v>646.70512759028907</v>
      </c>
      <c r="AI344" s="1109">
        <v>8789.6839538916247</v>
      </c>
      <c r="AJ344" s="1109">
        <v>1067.0573520656812</v>
      </c>
      <c r="AK344" s="1109">
        <v>-26.299786638566385</v>
      </c>
      <c r="AL344" s="1109">
        <v>-33.848893457102733</v>
      </c>
      <c r="AM344" s="1109">
        <v>-20.52439851242228</v>
      </c>
      <c r="AN344" s="1109">
        <v>5.6681590048572463</v>
      </c>
      <c r="AO344" s="1109">
        <v>51.854323752180839</v>
      </c>
      <c r="AP344" s="1109">
        <v>-9.7377645380306515</v>
      </c>
      <c r="AQ344" s="1109">
        <v>-37.248489111747688</v>
      </c>
      <c r="AR344" s="1109">
        <v>-38.512872815302572</v>
      </c>
      <c r="AS344" s="1109">
        <v>-59.137637734493339</v>
      </c>
      <c r="AT344" s="1109">
        <v>-30.511560667319827</v>
      </c>
      <c r="AU344" s="1109">
        <v>-23.433126995292913</v>
      </c>
      <c r="AV344" s="1109">
        <v>26.319825050994254</v>
      </c>
      <c r="AW344" s="1109">
        <v>-99.938458121564167</v>
      </c>
      <c r="AX344" s="1109">
        <v>-5.5493038520558864</v>
      </c>
      <c r="AY344" s="1109">
        <v>14.766898501840171</v>
      </c>
      <c r="AZ344" s="1109">
        <v>-101.81430455312315</v>
      </c>
      <c r="BA344" s="1109">
        <v>161159.43319219811</v>
      </c>
      <c r="BB344" s="1109">
        <v>-43.654064859184331</v>
      </c>
      <c r="BC344" s="1109">
        <v>235.56115179010675</v>
      </c>
      <c r="BD344" s="1109">
        <v>12829.890121843466</v>
      </c>
      <c r="BE344" s="1109">
        <v>151.02535602520305</v>
      </c>
      <c r="BF344" s="1109">
        <v>180.46078231091624</v>
      </c>
      <c r="BG344" s="1109">
        <v>-0.62204955097716452</v>
      </c>
      <c r="BH344" s="1109">
        <v>-1.0331015070329679</v>
      </c>
      <c r="BI344" s="1109">
        <v>11.919388570811847</v>
      </c>
      <c r="BJ344" s="1109">
        <v>119.35126378511087</v>
      </c>
      <c r="BK344" s="1109">
        <v>-2.0290305910504811</v>
      </c>
      <c r="BL344" s="1109">
        <v>-49.737548269209704</v>
      </c>
      <c r="BN344" s="1109">
        <v>-99.999999999989839</v>
      </c>
      <c r="BO344" s="1109">
        <v>-100.00000000001327</v>
      </c>
    </row>
    <row r="345" spans="3:84" ht="14.45" hidden="1" outlineLevel="1" collapsed="1">
      <c r="D345" s="1611"/>
      <c r="E345" s="1619"/>
      <c r="F345" s="1106"/>
      <c r="G345" s="1106"/>
      <c r="H345" s="1106"/>
      <c r="I345" s="1106"/>
    </row>
    <row r="346" spans="3:84" ht="14.45" collapsed="1">
      <c r="D346" s="1610" t="s">
        <v>1195</v>
      </c>
      <c r="E346" s="1612" t="s">
        <v>1095</v>
      </c>
      <c r="F346" s="1107" t="s">
        <v>1190</v>
      </c>
      <c r="G346" s="1107"/>
      <c r="H346" s="1107"/>
      <c r="I346" s="1107"/>
      <c r="J346" s="1108"/>
      <c r="K346" s="1108"/>
      <c r="L346" s="1108"/>
      <c r="M346" s="1108"/>
      <c r="N346" s="1108"/>
      <c r="O346" s="1108"/>
      <c r="P346" s="1108"/>
      <c r="Q346" s="1108"/>
      <c r="R346" s="1108"/>
      <c r="S346" s="1108"/>
      <c r="T346" s="1108"/>
      <c r="U346" s="1108"/>
      <c r="V346" s="1108"/>
      <c r="W346" s="1108"/>
      <c r="X346" s="1108"/>
      <c r="Y346" s="1108">
        <v>5998</v>
      </c>
      <c r="Z346" s="1108">
        <v>6480</v>
      </c>
      <c r="AA346" s="1108">
        <v>6207</v>
      </c>
      <c r="AB346" s="1108">
        <v>7107</v>
      </c>
      <c r="AC346" s="1108">
        <v>6436</v>
      </c>
      <c r="AD346" s="1108">
        <v>7179</v>
      </c>
      <c r="AE346" s="1108">
        <v>7707</v>
      </c>
      <c r="AF346" s="1108">
        <v>8547.9999999999909</v>
      </c>
      <c r="AG346" s="1108">
        <v>8238</v>
      </c>
      <c r="AH346" s="1108">
        <v>8953</v>
      </c>
      <c r="AI346" s="1108">
        <v>9006</v>
      </c>
      <c r="AJ346" s="1108">
        <v>9668</v>
      </c>
      <c r="AK346" s="1108">
        <v>9771</v>
      </c>
      <c r="AL346" s="1108">
        <v>10100</v>
      </c>
      <c r="AM346" s="1108">
        <v>10242</v>
      </c>
      <c r="AN346" s="1108">
        <v>11047</v>
      </c>
      <c r="AO346" s="1108">
        <v>11077</v>
      </c>
      <c r="AP346" s="1108">
        <v>11826</v>
      </c>
      <c r="AQ346" s="1108">
        <v>11743</v>
      </c>
      <c r="AR346" s="1108">
        <v>11752</v>
      </c>
      <c r="AS346" s="1108">
        <v>12319</v>
      </c>
      <c r="AT346" s="1108">
        <v>13353</v>
      </c>
      <c r="AU346" s="1108">
        <v>13552</v>
      </c>
      <c r="AV346" s="1108">
        <v>14691</v>
      </c>
      <c r="AW346" s="1108">
        <v>15039</v>
      </c>
      <c r="AX346" s="1108">
        <v>15936</v>
      </c>
      <c r="AY346" s="1108">
        <v>15789</v>
      </c>
      <c r="AZ346" s="1108">
        <v>16600</v>
      </c>
      <c r="BA346" s="1108">
        <v>16465</v>
      </c>
      <c r="BB346" s="1108">
        <v>17002</v>
      </c>
      <c r="BC346" s="1108">
        <v>17058.668286173848</v>
      </c>
      <c r="BD346" s="1108">
        <v>17955.397590109682</v>
      </c>
      <c r="BE346" s="1108">
        <v>18072.84483668577</v>
      </c>
      <c r="BF346" s="1108">
        <v>18718.790777922561</v>
      </c>
      <c r="BG346" s="1108">
        <v>18836.18589485835</v>
      </c>
      <c r="BH346" s="1108">
        <v>19767.281822606044</v>
      </c>
      <c r="BI346" s="1108">
        <v>19830.047037687658</v>
      </c>
      <c r="BJ346" s="1108">
        <v>20544.255789753184</v>
      </c>
      <c r="BK346" s="1108">
        <v>20711.564873614167</v>
      </c>
      <c r="BL346" s="1108">
        <v>21744.143220318576</v>
      </c>
      <c r="BM346" s="1108">
        <v>22633.520371878058</v>
      </c>
      <c r="BN346" s="1108">
        <v>23494.68843030047</v>
      </c>
      <c r="BO346" s="1108">
        <v>23565.420201466899</v>
      </c>
      <c r="BP346" s="1108">
        <v>25003.457228197116</v>
      </c>
      <c r="BQ346" s="1108">
        <v>25828.384195013561</v>
      </c>
      <c r="BR346" s="1108">
        <v>26631.896605825721</v>
      </c>
      <c r="BS346" s="1108">
        <v>26696.997572239441</v>
      </c>
      <c r="BT346" s="1108">
        <v>28572.68306283484</v>
      </c>
      <c r="BU346" s="1108">
        <v>28791.662319684849</v>
      </c>
      <c r="BV346" s="1108">
        <v>29769.686788010549</v>
      </c>
      <c r="BW346" s="1108">
        <v>30103.200706686199</v>
      </c>
      <c r="BX346" s="1108">
        <v>32265.401646607748</v>
      </c>
      <c r="BY346" s="1108">
        <v>31916.827711912501</v>
      </c>
      <c r="BZ346" s="1108">
        <v>32980.063386851398</v>
      </c>
      <c r="CA346" s="1108">
        <v>33409.084123021254</v>
      </c>
      <c r="CB346" s="1108">
        <v>35776.141684029149</v>
      </c>
      <c r="CC346" s="1108">
        <v>35204.937436257249</v>
      </c>
      <c r="CD346" s="1108">
        <v>36386.852133787201</v>
      </c>
      <c r="CE346" s="1108">
        <v>36835.410075527048</v>
      </c>
      <c r="CF346" s="1108">
        <v>39466.259024548999</v>
      </c>
    </row>
    <row r="347" spans="3:84" ht="14.45" hidden="1" outlineLevel="1">
      <c r="D347" s="1611"/>
      <c r="E347" s="1619"/>
      <c r="F347" s="1107" t="s">
        <v>1191</v>
      </c>
      <c r="K347" s="1109">
        <v>10.374204337238416</v>
      </c>
      <c r="L347" s="1109">
        <v>44.23886254866764</v>
      </c>
      <c r="M347" s="1109"/>
      <c r="N347" s="1109"/>
      <c r="O347" s="1109"/>
      <c r="P347" s="1109"/>
      <c r="Q347" s="1109"/>
      <c r="R347" s="1109"/>
      <c r="S347" s="1109"/>
      <c r="T347" s="1109"/>
      <c r="U347" s="1109"/>
      <c r="V347" s="1109"/>
      <c r="W347" s="1109"/>
      <c r="X347" s="1109"/>
      <c r="Y347" s="1109">
        <v>6.6796757730411285</v>
      </c>
      <c r="Z347" s="1109">
        <v>7.3024341447149048</v>
      </c>
      <c r="AA347" s="1109">
        <v>10.787037037037036</v>
      </c>
      <c r="AB347" s="1109">
        <v>24.166263895601737</v>
      </c>
      <c r="AC347" s="1109">
        <v>20.27578443787802</v>
      </c>
      <c r="AD347" s="1109">
        <v>27.998756991920448</v>
      </c>
      <c r="AE347" s="1109">
        <v>24.710962529600224</v>
      </c>
      <c r="AF347" s="1109">
        <v>16.854807318022576</v>
      </c>
      <c r="AG347" s="1109">
        <v>13.102480112307093</v>
      </c>
      <c r="AH347" s="1109">
        <v>18.608885651857246</v>
      </c>
      <c r="AI347" s="1109">
        <v>12.811348151457613</v>
      </c>
      <c r="AJ347" s="1109">
        <v>13.724183877415056</v>
      </c>
      <c r="AK347" s="1109">
        <v>14.263549855192387</v>
      </c>
      <c r="AL347" s="1109">
        <v>13.366083307747415</v>
      </c>
      <c r="AM347" s="1109">
        <v>17.089108910891092</v>
      </c>
      <c r="AN347" s="1109">
        <v>14.655340753759031</v>
      </c>
      <c r="AO347" s="1109">
        <v>6.3818231193989314</v>
      </c>
      <c r="AP347" s="1109">
        <v>11.212422135957389</v>
      </c>
      <c r="AQ347" s="1109">
        <v>12.91222729578894</v>
      </c>
      <c r="AR347" s="1109">
        <v>15.404922081239889</v>
      </c>
      <c r="AS347" s="1109">
        <v>25.008509189925121</v>
      </c>
      <c r="AT347" s="1109">
        <v>22.079714262521307</v>
      </c>
      <c r="AU347" s="1109">
        <v>19.343967647719616</v>
      </c>
      <c r="AV347" s="1109">
        <v>16.506788665879572</v>
      </c>
      <c r="AW347" s="1109">
        <v>12.994350282485875</v>
      </c>
      <c r="AX347" s="1109">
        <v>9.4820134317441322</v>
      </c>
      <c r="AY347" s="1109">
        <v>6.6892570281124497</v>
      </c>
      <c r="AZ347" s="1109">
        <v>8.0414737233127376</v>
      </c>
      <c r="BA347" s="1109">
        <v>8.1650457235523017</v>
      </c>
      <c r="BB347" s="1109">
        <v>9.7652282823308241</v>
      </c>
      <c r="BC347" s="1109">
        <v>10.097581331152576</v>
      </c>
      <c r="BD347" s="1109">
        <v>10.420025636615438</v>
      </c>
      <c r="BE347" s="1109">
        <v>10.09102819028857</v>
      </c>
      <c r="BF347" s="1109">
        <v>9.7228865564926021</v>
      </c>
      <c r="BG347" s="1109">
        <v>9.7520455967894328</v>
      </c>
      <c r="BH347" s="1109">
        <v>9.9562564800750462</v>
      </c>
      <c r="BI347" s="1109">
        <v>10.000673918918759</v>
      </c>
      <c r="BJ347" s="1109">
        <v>14.137502189794638</v>
      </c>
      <c r="BK347" s="1109">
        <v>14.361350787011068</v>
      </c>
      <c r="BL347" s="1109">
        <v>13.779042507253751</v>
      </c>
      <c r="BM347" s="1109">
        <v>14.989388061208638</v>
      </c>
      <c r="BN347" s="1109">
        <v>14.11562925538129</v>
      </c>
      <c r="BO347" s="1109">
        <v>13.352840089078507</v>
      </c>
      <c r="BP347" s="1109">
        <v>13.288867094241791</v>
      </c>
      <c r="BQ347" s="1109">
        <v>14.27492927103139</v>
      </c>
      <c r="BR347" s="1109">
        <v>11.472952013945106</v>
      </c>
      <c r="BS347" s="1109">
        <v>11.782075563850144</v>
      </c>
      <c r="BT347" s="1109">
        <v>12.758749837804451</v>
      </c>
      <c r="BU347" s="1109">
        <v>12.923947588863694</v>
      </c>
      <c r="BV347" s="1109">
        <v>10.854411105297586</v>
      </c>
      <c r="BW347" s="1109">
        <v>10.784045602165342</v>
      </c>
      <c r="BX347" s="1109">
        <v>10.981833621435436</v>
      </c>
      <c r="BY347" s="1109">
        <v>10.880819262296416</v>
      </c>
      <c r="BZ347" s="1109">
        <v>10.302119477611829</v>
      </c>
      <c r="CA347" s="1109">
        <v>10.32984293260647</v>
      </c>
      <c r="CB347" s="1109">
        <v>10.255671600841074</v>
      </c>
      <c r="CC347" s="1109">
        <v>10.314464240192668</v>
      </c>
    </row>
    <row r="348" spans="3:84" ht="14.45" hidden="1" outlineLevel="1" collapsed="1">
      <c r="D348" s="1611"/>
      <c r="E348" s="1619"/>
      <c r="F348" s="1107"/>
    </row>
    <row r="349" spans="3:84" collapsed="1">
      <c r="D349" s="42"/>
    </row>
    <row r="350" spans="3:84">
      <c r="D350" s="42"/>
    </row>
    <row r="351" spans="3:84" ht="12.95">
      <c r="C351" s="1110" t="s">
        <v>1127</v>
      </c>
    </row>
    <row r="352" spans="3:84" ht="12.95">
      <c r="C352" s="1110"/>
    </row>
    <row r="356" spans="3:117" ht="35.1">
      <c r="C356" s="1099" t="s">
        <v>1062</v>
      </c>
      <c r="D356" s="42"/>
    </row>
    <row r="357" spans="3:117">
      <c r="D357" s="42"/>
    </row>
    <row r="358" spans="3:117" ht="14.45">
      <c r="C358" s="1100"/>
      <c r="D358" s="1101"/>
      <c r="E358" s="1100"/>
      <c r="F358" s="1100"/>
      <c r="G358" s="1102" t="s">
        <v>1128</v>
      </c>
      <c r="H358" s="1102" t="s">
        <v>1128</v>
      </c>
      <c r="I358" s="1103" t="s">
        <v>1129</v>
      </c>
      <c r="J358" s="1103" t="s">
        <v>1129</v>
      </c>
      <c r="K358" s="1102" t="s">
        <v>1130</v>
      </c>
      <c r="L358" s="1102" t="s">
        <v>1130</v>
      </c>
      <c r="M358" s="1103" t="s">
        <v>1131</v>
      </c>
      <c r="N358" s="1103" t="s">
        <v>1131</v>
      </c>
      <c r="O358" s="1102" t="s">
        <v>1132</v>
      </c>
      <c r="P358" s="1102" t="s">
        <v>1132</v>
      </c>
      <c r="Q358" s="1103" t="s">
        <v>1133</v>
      </c>
      <c r="R358" s="1103" t="s">
        <v>1133</v>
      </c>
      <c r="S358" s="1102" t="s">
        <v>1134</v>
      </c>
      <c r="T358" s="1103" t="s">
        <v>1135</v>
      </c>
      <c r="U358" s="1102" t="s">
        <v>1136</v>
      </c>
      <c r="V358" s="1103" t="s">
        <v>1137</v>
      </c>
      <c r="W358" s="1102" t="s">
        <v>1138</v>
      </c>
      <c r="X358" s="1103" t="s">
        <v>1139</v>
      </c>
      <c r="Y358" s="1102" t="s">
        <v>1140</v>
      </c>
      <c r="Z358" s="1103" t="s">
        <v>1141</v>
      </c>
      <c r="AA358" s="1102" t="s">
        <v>1142</v>
      </c>
      <c r="AB358" s="1103" t="s">
        <v>1143</v>
      </c>
      <c r="AC358" s="1102" t="s">
        <v>1144</v>
      </c>
      <c r="AD358" s="1103" t="s">
        <v>1145</v>
      </c>
      <c r="AE358" s="1102" t="s">
        <v>1146</v>
      </c>
      <c r="AF358" s="1103" t="s">
        <v>1147</v>
      </c>
      <c r="AG358" s="1102" t="s">
        <v>1148</v>
      </c>
      <c r="AH358" s="1103" t="s">
        <v>1149</v>
      </c>
      <c r="AI358" s="1102" t="s">
        <v>1150</v>
      </c>
      <c r="AJ358" s="1103" t="s">
        <v>1151</v>
      </c>
      <c r="AK358" s="1102" t="s">
        <v>1152</v>
      </c>
      <c r="AL358" s="1103" t="s">
        <v>1153</v>
      </c>
      <c r="AM358" s="1102" t="s">
        <v>1154</v>
      </c>
      <c r="AN358" s="1103" t="s">
        <v>1155</v>
      </c>
      <c r="AO358" s="1102" t="s">
        <v>1156</v>
      </c>
      <c r="AP358" s="1103" t="s">
        <v>1157</v>
      </c>
      <c r="AQ358" s="1102" t="s">
        <v>1158</v>
      </c>
      <c r="AR358" s="1103" t="s">
        <v>1159</v>
      </c>
      <c r="AS358" s="1102" t="s">
        <v>1160</v>
      </c>
      <c r="AT358" s="1103" t="s">
        <v>1161</v>
      </c>
      <c r="AU358" s="1102" t="s">
        <v>1162</v>
      </c>
      <c r="AV358" s="1103" t="s">
        <v>1163</v>
      </c>
      <c r="AW358" s="1102" t="s">
        <v>1063</v>
      </c>
      <c r="AX358" s="1103" t="s">
        <v>1064</v>
      </c>
      <c r="AY358" s="1102" t="s">
        <v>1065</v>
      </c>
      <c r="AZ358" s="1103" t="s">
        <v>1066</v>
      </c>
      <c r="BA358" s="1102" t="s">
        <v>1067</v>
      </c>
      <c r="BB358" s="1103" t="s">
        <v>1068</v>
      </c>
      <c r="BC358" s="1102" t="s">
        <v>1069</v>
      </c>
      <c r="BD358" s="1103" t="s">
        <v>1165</v>
      </c>
      <c r="BE358" s="1102" t="s">
        <v>1166</v>
      </c>
      <c r="BF358" s="1103" t="s">
        <v>1167</v>
      </c>
      <c r="BG358" s="1102" t="s">
        <v>1168</v>
      </c>
      <c r="BH358" s="1103" t="s">
        <v>1169</v>
      </c>
      <c r="BI358" s="1102" t="s">
        <v>1072</v>
      </c>
      <c r="BJ358" s="1103" t="s">
        <v>1073</v>
      </c>
      <c r="BK358" s="1102" t="s">
        <v>1074</v>
      </c>
      <c r="BL358" s="1103" t="s">
        <v>1075</v>
      </c>
      <c r="BM358" s="1102" t="s">
        <v>1076</v>
      </c>
      <c r="BN358" s="1103" t="s">
        <v>1077</v>
      </c>
      <c r="BO358" s="1102" t="s">
        <v>1078</v>
      </c>
      <c r="BP358" s="1103" t="s">
        <v>1079</v>
      </c>
      <c r="BQ358" s="1102" t="s">
        <v>1080</v>
      </c>
      <c r="BR358" s="1103" t="s">
        <v>1081</v>
      </c>
      <c r="BS358" s="1102" t="s">
        <v>1082</v>
      </c>
      <c r="BT358" s="1103" t="s">
        <v>1083</v>
      </c>
      <c r="BU358" s="1102" t="s">
        <v>1170</v>
      </c>
      <c r="BV358" s="1103" t="s">
        <v>1171</v>
      </c>
      <c r="BW358" s="1102" t="s">
        <v>1172</v>
      </c>
      <c r="BX358" s="1103" t="s">
        <v>1173</v>
      </c>
      <c r="BY358" s="1102" t="s">
        <v>1174</v>
      </c>
      <c r="BZ358" s="1103" t="s">
        <v>1175</v>
      </c>
      <c r="CA358" s="1102" t="s">
        <v>1176</v>
      </c>
      <c r="CB358" s="1103" t="s">
        <v>1177</v>
      </c>
      <c r="CC358" s="1102" t="s">
        <v>1178</v>
      </c>
      <c r="CD358" s="1103" t="s">
        <v>1179</v>
      </c>
      <c r="CE358" s="1102" t="s">
        <v>1180</v>
      </c>
      <c r="CF358" s="1103" t="s">
        <v>1181</v>
      </c>
      <c r="CG358" s="1102" t="s">
        <v>1182</v>
      </c>
      <c r="CH358" s="1103" t="s">
        <v>1183</v>
      </c>
      <c r="CI358" s="1102" t="s">
        <v>1184</v>
      </c>
      <c r="CJ358" s="1103" t="s">
        <v>1185</v>
      </c>
      <c r="CK358" s="1102"/>
      <c r="CL358" s="1102"/>
      <c r="CM358" s="1103"/>
      <c r="CN358" s="1103"/>
      <c r="CO358" s="1102"/>
      <c r="CP358" s="1102"/>
      <c r="CQ358" s="1103"/>
      <c r="CR358" s="1103"/>
      <c r="CS358" s="1102"/>
      <c r="CT358" s="1102"/>
      <c r="CU358" s="1103"/>
      <c r="CV358" s="1103"/>
      <c r="CW358" s="1102"/>
      <c r="CX358" s="1102"/>
      <c r="CY358" s="1103"/>
      <c r="CZ358" s="1103"/>
      <c r="DA358" s="1102"/>
      <c r="DB358" s="1102"/>
      <c r="DC358" s="1103"/>
      <c r="DD358" s="1103"/>
      <c r="DE358" s="1102"/>
      <c r="DF358" s="1103"/>
      <c r="DG358" s="1102"/>
      <c r="DH358" s="1103"/>
      <c r="DI358" s="1102"/>
      <c r="DJ358" s="1103"/>
      <c r="DK358" s="1102"/>
      <c r="DL358" s="1103"/>
      <c r="DM358" s="1102"/>
    </row>
    <row r="359" spans="3:117" ht="14.45">
      <c r="C359" s="1100"/>
      <c r="D359" s="1101"/>
      <c r="E359" s="1100" t="s">
        <v>1090</v>
      </c>
      <c r="F359" s="1100"/>
      <c r="G359" s="1102" t="s">
        <v>1091</v>
      </c>
      <c r="H359" s="1102" t="s">
        <v>1186</v>
      </c>
      <c r="I359" s="1103" t="s">
        <v>1091</v>
      </c>
      <c r="J359" s="1103" t="s">
        <v>1186</v>
      </c>
      <c r="K359" s="1102" t="s">
        <v>1091</v>
      </c>
      <c r="L359" s="1102" t="s">
        <v>1186</v>
      </c>
      <c r="M359" s="1103" t="s">
        <v>1091</v>
      </c>
      <c r="N359" s="1103" t="s">
        <v>1186</v>
      </c>
      <c r="O359" s="1102" t="s">
        <v>1091</v>
      </c>
      <c r="P359" s="1102" t="s">
        <v>1186</v>
      </c>
      <c r="Q359" s="1103" t="s">
        <v>1091</v>
      </c>
      <c r="R359" s="1103" t="s">
        <v>1186</v>
      </c>
      <c r="S359" s="1102" t="s">
        <v>1091</v>
      </c>
      <c r="T359" s="1103" t="s">
        <v>1091</v>
      </c>
      <c r="U359" s="1102" t="s">
        <v>1091</v>
      </c>
      <c r="V359" s="1103" t="s">
        <v>1091</v>
      </c>
      <c r="W359" s="1102" t="s">
        <v>1091</v>
      </c>
      <c r="X359" s="1103" t="s">
        <v>1091</v>
      </c>
      <c r="Y359" s="1102" t="s">
        <v>1091</v>
      </c>
      <c r="Z359" s="1103" t="s">
        <v>1091</v>
      </c>
      <c r="AA359" s="1102" t="s">
        <v>1091</v>
      </c>
      <c r="AB359" s="1103" t="s">
        <v>1091</v>
      </c>
      <c r="AC359" s="1102" t="s">
        <v>1091</v>
      </c>
      <c r="AD359" s="1103" t="s">
        <v>1091</v>
      </c>
      <c r="AE359" s="1102" t="s">
        <v>1091</v>
      </c>
      <c r="AF359" s="1103" t="s">
        <v>1091</v>
      </c>
      <c r="AG359" s="1102" t="s">
        <v>1091</v>
      </c>
      <c r="AH359" s="1103" t="s">
        <v>1091</v>
      </c>
      <c r="AI359" s="1102" t="s">
        <v>1091</v>
      </c>
      <c r="AJ359" s="1103" t="s">
        <v>1091</v>
      </c>
      <c r="AK359" s="1102" t="s">
        <v>1091</v>
      </c>
      <c r="AL359" s="1103" t="s">
        <v>1091</v>
      </c>
      <c r="AM359" s="1102" t="s">
        <v>1091</v>
      </c>
      <c r="AN359" s="1103" t="s">
        <v>1091</v>
      </c>
      <c r="AO359" s="1102" t="s">
        <v>1091</v>
      </c>
      <c r="AP359" s="1103" t="s">
        <v>1091</v>
      </c>
      <c r="AQ359" s="1102" t="s">
        <v>1091</v>
      </c>
      <c r="AR359" s="1103" t="s">
        <v>1091</v>
      </c>
      <c r="AS359" s="1102" t="s">
        <v>1091</v>
      </c>
      <c r="AT359" s="1103" t="s">
        <v>1091</v>
      </c>
      <c r="AU359" s="1102" t="s">
        <v>1091</v>
      </c>
      <c r="AV359" s="1103" t="s">
        <v>1091</v>
      </c>
      <c r="AW359" s="1102" t="s">
        <v>1091</v>
      </c>
      <c r="AX359" s="1103" t="s">
        <v>1091</v>
      </c>
      <c r="AY359" s="1102" t="s">
        <v>1091</v>
      </c>
      <c r="AZ359" s="1103" t="s">
        <v>1091</v>
      </c>
      <c r="BA359" s="1102" t="s">
        <v>1091</v>
      </c>
      <c r="BB359" s="1103" t="s">
        <v>1091</v>
      </c>
      <c r="BC359" s="1102" t="s">
        <v>1091</v>
      </c>
      <c r="BD359" s="1103" t="s">
        <v>1092</v>
      </c>
      <c r="BE359" s="1102" t="s">
        <v>1092</v>
      </c>
      <c r="BF359" s="1103" t="s">
        <v>1092</v>
      </c>
      <c r="BG359" s="1102" t="s">
        <v>1092</v>
      </c>
      <c r="BH359" s="1103" t="s">
        <v>1092</v>
      </c>
      <c r="BI359" s="1102" t="s">
        <v>1092</v>
      </c>
      <c r="BJ359" s="1103" t="s">
        <v>1092</v>
      </c>
      <c r="BK359" s="1102" t="s">
        <v>1092</v>
      </c>
      <c r="BL359" s="1103" t="s">
        <v>1092</v>
      </c>
      <c r="BM359" s="1102" t="s">
        <v>1092</v>
      </c>
      <c r="BN359" s="1103" t="s">
        <v>1092</v>
      </c>
      <c r="BO359" s="1102" t="s">
        <v>1092</v>
      </c>
      <c r="BP359" s="1103" t="s">
        <v>1092</v>
      </c>
      <c r="BQ359" s="1102" t="s">
        <v>1092</v>
      </c>
      <c r="BR359" s="1103" t="s">
        <v>1092</v>
      </c>
      <c r="BS359" s="1102" t="s">
        <v>1092</v>
      </c>
      <c r="BT359" s="1103" t="s">
        <v>1092</v>
      </c>
      <c r="BU359" s="1102" t="s">
        <v>1092</v>
      </c>
      <c r="BV359" s="1103" t="s">
        <v>1092</v>
      </c>
      <c r="BW359" s="1102" t="s">
        <v>1092</v>
      </c>
      <c r="BX359" s="1103" t="s">
        <v>1092</v>
      </c>
      <c r="BY359" s="1102" t="s">
        <v>1092</v>
      </c>
      <c r="BZ359" s="1103" t="s">
        <v>1092</v>
      </c>
      <c r="CA359" s="1102" t="s">
        <v>1092</v>
      </c>
      <c r="CB359" s="1103" t="s">
        <v>1092</v>
      </c>
      <c r="CC359" s="1102" t="s">
        <v>1092</v>
      </c>
      <c r="CD359" s="1103" t="s">
        <v>1092</v>
      </c>
      <c r="CE359" s="1102" t="s">
        <v>1092</v>
      </c>
      <c r="CF359" s="1103" t="s">
        <v>1092</v>
      </c>
      <c r="CG359" s="1102" t="s">
        <v>1092</v>
      </c>
      <c r="CH359" s="1103" t="s">
        <v>1092</v>
      </c>
      <c r="CI359" s="1102" t="s">
        <v>1092</v>
      </c>
      <c r="CJ359" s="1103" t="s">
        <v>1092</v>
      </c>
      <c r="CK359" s="1102"/>
      <c r="CL359" s="1102"/>
      <c r="CM359" s="1103"/>
      <c r="CN359" s="1103"/>
      <c r="CO359" s="1102"/>
      <c r="CP359" s="1102"/>
      <c r="CQ359" s="1103"/>
      <c r="CR359" s="1103"/>
      <c r="CS359" s="1102"/>
      <c r="CT359" s="1102"/>
      <c r="CU359" s="1103"/>
      <c r="CV359" s="1103"/>
      <c r="CW359" s="1102"/>
      <c r="CX359" s="1102"/>
      <c r="CY359" s="1103"/>
      <c r="CZ359" s="1103"/>
      <c r="DA359" s="1102"/>
      <c r="DB359" s="1102"/>
      <c r="DC359" s="1103"/>
      <c r="DD359" s="1103"/>
      <c r="DE359" s="1102"/>
      <c r="DF359" s="1103"/>
      <c r="DG359" s="1102"/>
      <c r="DH359" s="1103"/>
      <c r="DI359" s="1102"/>
      <c r="DJ359" s="1103"/>
      <c r="DK359" s="1102"/>
      <c r="DL359" s="1103"/>
      <c r="DM359" s="1102"/>
    </row>
    <row r="360" spans="3:117" ht="21">
      <c r="D360" s="1104" t="s">
        <v>1196</v>
      </c>
    </row>
    <row r="361" spans="3:117" ht="14.45">
      <c r="D361" s="1105" t="s">
        <v>1196</v>
      </c>
      <c r="F361" s="1106" t="s">
        <v>1188</v>
      </c>
    </row>
    <row r="362" spans="3:117" ht="14.45">
      <c r="D362" s="1615" t="s">
        <v>1253</v>
      </c>
      <c r="E362" s="1612" t="s">
        <v>1116</v>
      </c>
      <c r="F362" s="1107" t="s">
        <v>1190</v>
      </c>
      <c r="G362" s="1108">
        <v>80.094180962392201</v>
      </c>
      <c r="I362" s="1108">
        <v>80.168040028206804</v>
      </c>
      <c r="K362" s="1108">
        <v>69.967423999999596</v>
      </c>
      <c r="M362" s="1108">
        <v>68.465703999999903</v>
      </c>
      <c r="O362" s="1108">
        <v>72.187144999999845</v>
      </c>
      <c r="Q362" s="1108">
        <v>74.719455000000096</v>
      </c>
      <c r="S362" s="1108">
        <v>69.011937499999604</v>
      </c>
      <c r="T362" s="1108">
        <v>69.146354500000143</v>
      </c>
      <c r="U362" s="1108">
        <v>71.301333499999856</v>
      </c>
      <c r="V362" s="1108">
        <v>73.481974500000049</v>
      </c>
      <c r="W362" s="1108">
        <v>64.362427500000194</v>
      </c>
      <c r="X362" s="1108">
        <v>61.993958999999556</v>
      </c>
      <c r="Y362" s="1108">
        <v>64.506381250000004</v>
      </c>
      <c r="Z362" s="1108">
        <v>68.963055500000152</v>
      </c>
      <c r="AA362" s="1108">
        <v>60.39154299999975</v>
      </c>
      <c r="AB362" s="1108">
        <v>61.241878000000199</v>
      </c>
      <c r="AC362" s="1108">
        <v>62.037725752500052</v>
      </c>
      <c r="AD362" s="1108">
        <v>67.588575000000105</v>
      </c>
      <c r="AE362" s="1108">
        <v>51.457425982084231</v>
      </c>
      <c r="AF362" s="1108">
        <v>52.190066466354402</v>
      </c>
      <c r="AG362" s="1108">
        <v>52.797431851786634</v>
      </c>
      <c r="AH362" s="1108">
        <v>57.083487426448563</v>
      </c>
      <c r="AI362" s="1108">
        <v>50.451580655092002</v>
      </c>
      <c r="AJ362" s="1108">
        <v>52.975304682429567</v>
      </c>
      <c r="AK362" s="1108">
        <v>52.442260221410635</v>
      </c>
      <c r="AL362" s="1108">
        <v>54.841626454926036</v>
      </c>
      <c r="AM362" s="1108">
        <v>48.854971752067001</v>
      </c>
      <c r="AN362" s="1108">
        <v>54.305075079796033</v>
      </c>
      <c r="AO362" s="1108">
        <v>54.126894242696139</v>
      </c>
      <c r="AP362" s="1108">
        <v>57.492731759115564</v>
      </c>
      <c r="AQ362" s="1108">
        <v>47.082025314306904</v>
      </c>
      <c r="AR362" s="1108">
        <v>58.993181060103602</v>
      </c>
      <c r="AS362" s="1108">
        <v>57.294661356319267</v>
      </c>
      <c r="AT362" s="1108">
        <v>62.265893323315701</v>
      </c>
      <c r="AU362" s="1108">
        <v>55.374121927007266</v>
      </c>
      <c r="AV362" s="1108">
        <v>58.387860323931932</v>
      </c>
      <c r="AW362" s="1108">
        <v>59.454972003555035</v>
      </c>
      <c r="AX362" s="1108">
        <v>66.208519092703867</v>
      </c>
      <c r="AY362" s="1108">
        <v>57.466815069952368</v>
      </c>
      <c r="AZ362" s="1108">
        <v>56.474350386627535</v>
      </c>
      <c r="BA362" s="1108">
        <v>52.420467599555401</v>
      </c>
      <c r="BB362" s="1108">
        <v>47.852538978592101</v>
      </c>
      <c r="BC362" s="1108">
        <v>44.570686005401036</v>
      </c>
      <c r="BD362" s="1108">
        <v>45.059591041179097</v>
      </c>
      <c r="BE362" s="1108">
        <v>46.878759367253565</v>
      </c>
      <c r="BF362" s="1108">
        <v>49.141249212296202</v>
      </c>
      <c r="BG362" s="1108">
        <v>46.040458133508068</v>
      </c>
      <c r="BH362" s="1108">
        <v>46.563368413289233</v>
      </c>
      <c r="BI362" s="1108">
        <v>47.911908570810567</v>
      </c>
      <c r="BJ362" s="1108">
        <v>50.242159271432669</v>
      </c>
      <c r="BK362" s="1108">
        <v>39.806284710176953</v>
      </c>
      <c r="BL362" s="1108">
        <v>41.016963282943152</v>
      </c>
      <c r="BM362" s="1108">
        <v>53.204265353258997</v>
      </c>
      <c r="BN362" s="1108">
        <v>57.236338359871098</v>
      </c>
      <c r="BO362" s="1108">
        <v>49.955510620725398</v>
      </c>
      <c r="BP362" s="1108">
        <v>49.619283263638202</v>
      </c>
      <c r="BQ362" s="1108">
        <v>54.603655247791899</v>
      </c>
      <c r="BR362" s="1108">
        <v>58.720498422832897</v>
      </c>
      <c r="BS362" s="1108">
        <v>51.250876046130102</v>
      </c>
      <c r="BT362" s="1108">
        <v>50.911153891270502</v>
      </c>
      <c r="CK362" s="1108"/>
      <c r="CM362" s="1108"/>
      <c r="CO362" s="1108"/>
      <c r="CQ362" s="1108"/>
      <c r="CS362" s="1108"/>
      <c r="CU362" s="1108"/>
      <c r="CW362" s="1108"/>
      <c r="CY362" s="1108"/>
      <c r="DA362" s="1108"/>
      <c r="DC362" s="1108"/>
      <c r="DE362" s="1108"/>
      <c r="DF362" s="1108"/>
      <c r="DG362" s="1108"/>
      <c r="DH362" s="1108"/>
      <c r="DI362" s="1108"/>
    </row>
    <row r="363" spans="3:117" ht="14.45" outlineLevel="1">
      <c r="D363" s="1611"/>
      <c r="E363" s="1619"/>
      <c r="F363" s="1107" t="s">
        <v>1191</v>
      </c>
      <c r="O363" s="1109">
        <v>-9.872172818778262</v>
      </c>
      <c r="Q363" s="1109">
        <v>-6.7964553284446572</v>
      </c>
      <c r="S363" s="1109">
        <v>-1.3656162330629718</v>
      </c>
      <c r="T363" s="1109">
        <v>0.9941481066202742</v>
      </c>
      <c r="U363" s="1109">
        <v>-1.2271042164086006</v>
      </c>
      <c r="V363" s="1109">
        <v>-1.6561690660083708</v>
      </c>
      <c r="W363" s="1109">
        <v>-6.7372546959711661</v>
      </c>
      <c r="X363" s="1109">
        <v>-10.343850448400099</v>
      </c>
      <c r="Y363" s="1109">
        <v>-9.5299090724577624</v>
      </c>
      <c r="Z363" s="1109">
        <v>-6.1496972975323274</v>
      </c>
      <c r="AA363" s="1109">
        <v>-6.1695691946989299</v>
      </c>
      <c r="AB363" s="1109">
        <v>-1.2131520750261535</v>
      </c>
      <c r="AC363" s="1109">
        <v>-3.826994244077135</v>
      </c>
      <c r="AD363" s="1109">
        <v>-1.9930678680558807</v>
      </c>
      <c r="AE363" s="1109">
        <v>-14.793655823490973</v>
      </c>
      <c r="AF363" s="1109">
        <v>-14.780427755082506</v>
      </c>
      <c r="AG363" s="1109">
        <v>-14.894636753090589</v>
      </c>
      <c r="AH363" s="1109">
        <v>-15.542697228860833</v>
      </c>
      <c r="AI363" s="1109">
        <v>-1.9547136449118767</v>
      </c>
      <c r="AJ363" s="1109">
        <v>1.5045740870657589</v>
      </c>
      <c r="AK363" s="1109">
        <v>-0.6727062622535116</v>
      </c>
      <c r="AL363" s="1109">
        <v>-3.9273370857222769</v>
      </c>
      <c r="AM363" s="1109">
        <v>-3.1646360377489122</v>
      </c>
      <c r="AN363" s="1109">
        <v>2.5101703620923477</v>
      </c>
      <c r="AO363" s="1109">
        <v>3.2123596774299927</v>
      </c>
      <c r="AP363" s="1109">
        <v>4.8341113777295677</v>
      </c>
      <c r="AQ363" s="1109">
        <v>-3.6289990029215118</v>
      </c>
      <c r="AR363" s="1109">
        <v>8.6329058074569502</v>
      </c>
      <c r="AS363" s="1109">
        <v>5.8524826852606369</v>
      </c>
      <c r="AT363" s="1109">
        <v>8.3021999792927659</v>
      </c>
      <c r="AU363" s="1109">
        <v>17.612021907181269</v>
      </c>
      <c r="AV363" s="1109">
        <v>-1.0260859395850439</v>
      </c>
      <c r="AW363" s="1109">
        <v>3.7705269497984362</v>
      </c>
      <c r="AX363" s="1109">
        <v>6.3319187422817143</v>
      </c>
      <c r="AY363" s="1109">
        <v>3.7791897552861164</v>
      </c>
      <c r="AZ363" s="1109">
        <v>-3.2772393553871857</v>
      </c>
      <c r="BA363" s="1109">
        <v>-11.831650351427319</v>
      </c>
      <c r="BB363" s="1109">
        <v>-27.724498849475975</v>
      </c>
      <c r="BC363" s="1109">
        <v>-22.441001904931255</v>
      </c>
      <c r="BD363" s="1109">
        <v>-20.212289769253051</v>
      </c>
      <c r="BE363" s="1109">
        <v>-10.571649750695542</v>
      </c>
      <c r="BF363" s="1109">
        <v>2.693086430127845</v>
      </c>
      <c r="BG363" s="1109">
        <v>3.297620610840331</v>
      </c>
      <c r="BH363" s="1109">
        <v>3.3373080788413341</v>
      </c>
      <c r="BI363" s="1109">
        <v>2.2038748838534592</v>
      </c>
      <c r="BJ363" s="1109">
        <v>2.2402972589898993</v>
      </c>
      <c r="BK363" s="1109">
        <v>-13.540641592343119</v>
      </c>
      <c r="BL363" s="1109">
        <v>-11.911520406163595</v>
      </c>
      <c r="BM363" s="1109">
        <v>11.046015365108412</v>
      </c>
      <c r="BN363" s="1109">
        <v>13.920936500066528</v>
      </c>
      <c r="BO363" s="1109">
        <v>25.496541524644407</v>
      </c>
      <c r="BP363" s="1109">
        <v>20.97259107495243</v>
      </c>
      <c r="BQ363" s="1109">
        <v>2.630221252452992</v>
      </c>
      <c r="BR363" s="1109">
        <v>2.5930381039230772</v>
      </c>
      <c r="BS363" s="1109">
        <v>2.5930381039229862</v>
      </c>
      <c r="BT363" s="1109">
        <v>2.6035656758045165</v>
      </c>
      <c r="CM363" s="1109"/>
      <c r="CO363" s="1109"/>
      <c r="CQ363" s="1109"/>
      <c r="CS363" s="1109"/>
      <c r="CU363" s="1109"/>
      <c r="CW363" s="1109"/>
      <c r="CY363" s="1109"/>
      <c r="DA363" s="1109"/>
      <c r="DC363" s="1109"/>
      <c r="DE363" s="1109"/>
      <c r="DF363" s="1109"/>
      <c r="DG363" s="1109"/>
      <c r="DH363" s="1109"/>
      <c r="DI363" s="1109"/>
    </row>
    <row r="364" spans="3:117" ht="14.45" outlineLevel="1">
      <c r="D364" s="1611"/>
      <c r="E364" s="1619"/>
      <c r="F364" s="1107"/>
    </row>
    <row r="365" spans="3:117" ht="14.45">
      <c r="D365" s="1615" t="s">
        <v>1254</v>
      </c>
      <c r="E365" s="1612" t="s">
        <v>1245</v>
      </c>
      <c r="F365" s="1106" t="s">
        <v>1190</v>
      </c>
      <c r="G365" s="1108">
        <v>42.271663746758698</v>
      </c>
      <c r="I365" s="1108">
        <v>45.3214689052515</v>
      </c>
      <c r="K365" s="1108">
        <v>42.877096632856102</v>
      </c>
      <c r="M365" s="1108">
        <v>43.955494846804498</v>
      </c>
      <c r="O365" s="1108">
        <v>42.541706884866649</v>
      </c>
      <c r="Q365" s="1108">
        <v>45.808229270339801</v>
      </c>
      <c r="S365" s="1108">
        <v>44.177816452760752</v>
      </c>
      <c r="T365" s="1108">
        <v>42.838233831354849</v>
      </c>
      <c r="U365" s="1108">
        <v>42.195496257450898</v>
      </c>
      <c r="V365" s="1108">
        <v>40.461213376076898</v>
      </c>
      <c r="W365" s="1108">
        <v>37.074644191021953</v>
      </c>
      <c r="X365" s="1108">
        <v>37.916028149862953</v>
      </c>
      <c r="Y365" s="1108">
        <v>45.165805121935101</v>
      </c>
      <c r="Z365" s="1108">
        <v>44.761548696028946</v>
      </c>
      <c r="AA365" s="1108">
        <v>41.0057862589465</v>
      </c>
      <c r="AB365" s="1108">
        <v>45.357933336667749</v>
      </c>
      <c r="AC365" s="1108">
        <v>47.524272858527297</v>
      </c>
      <c r="AD365" s="1108">
        <v>46.730781985147402</v>
      </c>
      <c r="AE365" s="1108">
        <v>58.067804374284535</v>
      </c>
      <c r="AF365" s="1108">
        <v>65.908962855993025</v>
      </c>
      <c r="AG365" s="1108">
        <v>62.876943846225657</v>
      </c>
      <c r="AH365" s="1108">
        <v>64.362205392861128</v>
      </c>
      <c r="AI365" s="1108">
        <v>62.395676416362633</v>
      </c>
      <c r="AJ365" s="1108">
        <v>69.799121047557563</v>
      </c>
      <c r="AK365" s="1108">
        <v>64.628015600273173</v>
      </c>
      <c r="AL365" s="1108">
        <v>62.316371929462264</v>
      </c>
      <c r="AM365" s="1108">
        <v>69.419892846228038</v>
      </c>
      <c r="AN365" s="1108">
        <v>72.574087926010634</v>
      </c>
      <c r="AO365" s="1108">
        <v>67.848022367284869</v>
      </c>
      <c r="AP365" s="1108">
        <v>70.48076415121966</v>
      </c>
      <c r="AQ365" s="1108">
        <v>71.556864848426869</v>
      </c>
      <c r="AR365" s="1108">
        <v>69.886614509480495</v>
      </c>
      <c r="AS365" s="1108">
        <v>60.638787456452597</v>
      </c>
      <c r="AT365" s="1108">
        <v>64.383653581141729</v>
      </c>
      <c r="AU365" s="1108">
        <v>65.705705247440406</v>
      </c>
      <c r="AV365" s="1108">
        <v>69.591293801351696</v>
      </c>
      <c r="AW365" s="1108">
        <v>64.957093692346135</v>
      </c>
      <c r="AX365" s="1108">
        <v>75.53359283630823</v>
      </c>
      <c r="AY365" s="1108">
        <v>70.424125216077698</v>
      </c>
      <c r="AZ365" s="1108">
        <v>68.614898261658226</v>
      </c>
      <c r="BA365" s="1108">
        <v>63.134150860918197</v>
      </c>
      <c r="BB365" s="1108">
        <v>67.777543519735701</v>
      </c>
      <c r="BC365" s="1108">
        <v>67.544281279868002</v>
      </c>
      <c r="BD365" s="1108">
        <v>67.30887500128533</v>
      </c>
      <c r="BE365" s="1108">
        <v>65.321586667871998</v>
      </c>
      <c r="BF365" s="1108">
        <v>67.922204509115033</v>
      </c>
      <c r="BG365" s="1108">
        <v>67.344281279868</v>
      </c>
      <c r="BH365" s="1108">
        <v>67.175541667952004</v>
      </c>
      <c r="BI365" s="1108">
        <v>65.308023494680839</v>
      </c>
      <c r="BJ365" s="1108">
        <v>67.921151111267037</v>
      </c>
      <c r="BK365" s="1108">
        <v>79.978692340383489</v>
      </c>
      <c r="BL365" s="1108">
        <v>79.622983951939503</v>
      </c>
      <c r="BM365" s="1108">
        <v>52.888895070795598</v>
      </c>
      <c r="BN365" s="1108">
        <v>48.859669502781102</v>
      </c>
      <c r="BO365" s="1108">
        <v>53.697808198392998</v>
      </c>
      <c r="BP365" s="1108">
        <v>53.697808198392998</v>
      </c>
      <c r="BQ365" s="1108">
        <v>52.888895070795598</v>
      </c>
      <c r="BR365" s="1108">
        <v>48.859669502781102</v>
      </c>
      <c r="BS365" s="1108">
        <v>53.697808198392998</v>
      </c>
      <c r="BT365" s="1108">
        <v>53.697808198392998</v>
      </c>
      <c r="CK365" s="1108"/>
      <c r="CM365" s="1108"/>
      <c r="CO365" s="1108"/>
      <c r="CQ365" s="1108"/>
      <c r="CS365" s="1108"/>
      <c r="CU365" s="1108"/>
      <c r="CW365" s="1108"/>
      <c r="CY365" s="1108"/>
      <c r="DA365" s="1108"/>
      <c r="DC365" s="1108"/>
      <c r="DE365" s="1108"/>
      <c r="DF365" s="1108"/>
      <c r="DG365" s="1108"/>
      <c r="DH365" s="1108"/>
      <c r="DI365" s="1108"/>
    </row>
    <row r="366" spans="3:117" ht="14.45" hidden="1" outlineLevel="1">
      <c r="D366" s="1611"/>
      <c r="E366" s="1619"/>
      <c r="F366" s="1106" t="s">
        <v>1191</v>
      </c>
      <c r="O366" s="1109">
        <v>0.63882779661980416</v>
      </c>
      <c r="Q366" s="1109">
        <v>1.0740171862167935</v>
      </c>
      <c r="S366" s="1109">
        <v>3.0336005048157273</v>
      </c>
      <c r="T366" s="1109">
        <v>-2.5418005629184104</v>
      </c>
      <c r="U366" s="1109">
        <v>-0.81381461339274097</v>
      </c>
      <c r="V366" s="1109">
        <v>-11.672609876944145</v>
      </c>
      <c r="W366" s="1109">
        <v>-16.078595168537145</v>
      </c>
      <c r="X366" s="1109">
        <v>-11.490216195349202</v>
      </c>
      <c r="Y366" s="1109">
        <v>7.0393978692920438</v>
      </c>
      <c r="Z366" s="1109">
        <v>10.628290555652649</v>
      </c>
      <c r="AA366" s="1109">
        <v>10.603317047818136</v>
      </c>
      <c r="AB366" s="1109">
        <v>19.627333214836465</v>
      </c>
      <c r="AC366" s="1109">
        <v>5.2217993905455469</v>
      </c>
      <c r="AD366" s="1109">
        <v>4.3993859606854002</v>
      </c>
      <c r="AE366" s="1109">
        <v>41.608806151389189</v>
      </c>
      <c r="AF366" s="1109">
        <v>45.308566787613415</v>
      </c>
      <c r="AG366" s="1109">
        <v>32.304904555617256</v>
      </c>
      <c r="AH366" s="1109">
        <v>37.729784648837203</v>
      </c>
      <c r="AI366" s="1109">
        <v>7.453135328110851</v>
      </c>
      <c r="AJ366" s="1109">
        <v>5.9023204477732278</v>
      </c>
      <c r="AK366" s="1109">
        <v>2.7849186791425584</v>
      </c>
      <c r="AL366" s="1109">
        <v>-3.178625485113943</v>
      </c>
      <c r="AM366" s="1109">
        <v>11.257537113618621</v>
      </c>
      <c r="AN366" s="1109">
        <v>3.9756473101750811</v>
      </c>
      <c r="AO366" s="1109">
        <v>4.9823698547818109</v>
      </c>
      <c r="AP366" s="1109">
        <v>13.101520465599172</v>
      </c>
      <c r="AQ366" s="1109">
        <v>3.0783280045280921</v>
      </c>
      <c r="AR366" s="1109">
        <v>-3.703075702818369</v>
      </c>
      <c r="AS366" s="1109">
        <v>-10.625563810550268</v>
      </c>
      <c r="AT366" s="1109">
        <v>-8.6507441335288373</v>
      </c>
      <c r="AU366" s="1109">
        <v>-8.1769367808113191</v>
      </c>
      <c r="AV366" s="1109">
        <v>-0.42257120365837253</v>
      </c>
      <c r="AW366" s="1109">
        <v>7.1213598045553006</v>
      </c>
      <c r="AX366" s="1109">
        <v>17.317966028619988</v>
      </c>
      <c r="AY366" s="1109">
        <v>7.1811419584771903</v>
      </c>
      <c r="AZ366" s="1109">
        <v>-1.4030426600209371</v>
      </c>
      <c r="BA366" s="1109">
        <v>-2.8063799160440794</v>
      </c>
      <c r="BB366" s="1109">
        <v>-10.268344223186846</v>
      </c>
      <c r="BC366" s="1109">
        <v>-4.0892860612377655</v>
      </c>
      <c r="BD366" s="1109">
        <v>-1.9034106199392233</v>
      </c>
      <c r="BE366" s="1109">
        <v>3.4647425792937754</v>
      </c>
      <c r="BF366" s="1109">
        <v>0.21343498431336533</v>
      </c>
      <c r="BG366" s="1109">
        <v>-0.29610204773859083</v>
      </c>
      <c r="BH366" s="1109">
        <v>-0.1980917573362794</v>
      </c>
      <c r="BI366" s="1109">
        <v>-2.0763692192782724E-2</v>
      </c>
      <c r="BJ366" s="1109">
        <v>-1.5508887787286083E-3</v>
      </c>
      <c r="BK366" s="1109">
        <v>18.760926422259462</v>
      </c>
      <c r="BL366" s="1109">
        <v>18.529723728191243</v>
      </c>
      <c r="BM366" s="1109">
        <v>-19.016236840939989</v>
      </c>
      <c r="BN366" s="1109">
        <v>-28.064132154150045</v>
      </c>
      <c r="BO366" s="1109">
        <v>-32.859857260657577</v>
      </c>
      <c r="BP366" s="1109">
        <v>-32.559914822075697</v>
      </c>
      <c r="BQ366" s="1109">
        <v>0</v>
      </c>
      <c r="BR366" s="1109">
        <v>0</v>
      </c>
      <c r="BS366" s="1109">
        <v>0</v>
      </c>
      <c r="BT366" s="1109">
        <v>0</v>
      </c>
      <c r="CM366" s="1109"/>
      <c r="CO366" s="1109"/>
      <c r="CQ366" s="1109"/>
      <c r="CS366" s="1109"/>
      <c r="CU366" s="1109"/>
      <c r="CW366" s="1109"/>
      <c r="CY366" s="1109"/>
      <c r="DA366" s="1109"/>
      <c r="DC366" s="1109"/>
      <c r="DE366" s="1109"/>
      <c r="DF366" s="1109"/>
      <c r="DG366" s="1109"/>
      <c r="DH366" s="1109"/>
      <c r="DI366" s="1109"/>
    </row>
    <row r="367" spans="3:117" ht="14.45" hidden="1" outlineLevel="1" collapsed="1">
      <c r="D367" s="1611"/>
      <c r="E367" s="1619"/>
      <c r="F367" s="1106"/>
    </row>
    <row r="368" spans="3:117" ht="14.45" collapsed="1">
      <c r="D368" s="1614" t="s">
        <v>1255</v>
      </c>
      <c r="E368" s="1612" t="s">
        <v>1095</v>
      </c>
      <c r="F368" s="1107" t="s">
        <v>1190</v>
      </c>
      <c r="G368" s="1108">
        <v>3401.3571428571449</v>
      </c>
      <c r="I368" s="1108">
        <v>3525.2478823536248</v>
      </c>
      <c r="K368" s="1108">
        <v>3000.55</v>
      </c>
      <c r="M368" s="1108">
        <v>2998.0219496774198</v>
      </c>
      <c r="O368" s="1108">
        <v>3198.2101164581263</v>
      </c>
      <c r="Q368" s="1108">
        <v>3372.5556971682527</v>
      </c>
      <c r="S368" s="1108">
        <v>3148.9977277056287</v>
      </c>
      <c r="T368" s="1108">
        <v>3067.9527127291376</v>
      </c>
      <c r="U368" s="1108">
        <v>3221.6420534649051</v>
      </c>
      <c r="V368" s="1108">
        <v>3026.7982391983614</v>
      </c>
      <c r="W368" s="1108">
        <v>2546.4105976364335</v>
      </c>
      <c r="X368" s="1108">
        <v>2444.52576115805</v>
      </c>
      <c r="Y368" s="1108">
        <v>2949.1493441489656</v>
      </c>
      <c r="Z368" s="1108">
        <v>2843.752925470169</v>
      </c>
      <c r="AA368" s="1108">
        <v>2500.6215883842374</v>
      </c>
      <c r="AB368" s="1108">
        <v>2799.4614057900826</v>
      </c>
      <c r="AC368" s="1108">
        <v>2953.6382092162962</v>
      </c>
      <c r="AD368" s="1108">
        <v>3000.034792655219</v>
      </c>
      <c r="AE368" s="1108">
        <v>2697.6075625008507</v>
      </c>
      <c r="AF368" s="1108">
        <v>2926.6226667480278</v>
      </c>
      <c r="AG368" s="1108">
        <v>3040.0897073895676</v>
      </c>
      <c r="AH368" s="1108">
        <v>3107.0426026212572</v>
      </c>
      <c r="AI368" s="1108">
        <v>2807.911982493049</v>
      </c>
      <c r="AJ368" s="1108">
        <v>3139.0530156384125</v>
      </c>
      <c r="AK368" s="1108">
        <v>3123.6863031714224</v>
      </c>
      <c r="AL368" s="1108">
        <v>2934.7166117146635</v>
      </c>
      <c r="AM368" s="1108">
        <v>3052.7439155119309</v>
      </c>
      <c r="AN368" s="1108">
        <v>3421.76402669565</v>
      </c>
      <c r="AO368" s="1108">
        <v>3404.5301962417748</v>
      </c>
      <c r="AP368" s="1108">
        <v>3474.577559257305</v>
      </c>
      <c r="AQ368" s="1108">
        <v>3042.1452840786915</v>
      </c>
      <c r="AR368" s="1108">
        <v>3571.5507221957587</v>
      </c>
      <c r="AS368" s="1108">
        <v>3231.1202365691388</v>
      </c>
      <c r="AT368" s="1108">
        <v>3518.1940963162615</v>
      </c>
      <c r="AU368" s="1108">
        <v>3349.6987940232352</v>
      </c>
      <c r="AV368" s="1108">
        <v>3570.6177758439785</v>
      </c>
      <c r="AW368" s="1108">
        <v>3547.5985839382311</v>
      </c>
      <c r="AX368" s="1108">
        <v>4375.135652027886</v>
      </c>
      <c r="AY368" s="1108">
        <v>3708.4217617506588</v>
      </c>
      <c r="AZ368" s="1108">
        <v>3493.314057676941</v>
      </c>
      <c r="BA368" s="1108">
        <v>3022.7261479439685</v>
      </c>
      <c r="BB368" s="1108">
        <v>2666.4643406363534</v>
      </c>
      <c r="BC368" s="1108">
        <v>2707.9176889737641</v>
      </c>
      <c r="BD368" s="1108">
        <v>2728.9315151591827</v>
      </c>
      <c r="BE368" s="1108">
        <v>2775.6765068529876</v>
      </c>
      <c r="BF368" s="1108">
        <v>2744.3840192425291</v>
      </c>
      <c r="BG368" s="1108">
        <v>2740.0801486500027</v>
      </c>
      <c r="BH368" s="1108">
        <v>2774.6374180706075</v>
      </c>
      <c r="BI368" s="1108">
        <v>2779.6515879566264</v>
      </c>
      <c r="BJ368" s="1108">
        <v>2746.8800605011556</v>
      </c>
      <c r="BK368" s="1108">
        <v>2729.1269732433839</v>
      </c>
      <c r="BL368" s="1108">
        <v>2815.4548133879639</v>
      </c>
      <c r="BM368" s="1108">
        <v>2801.4653978797273</v>
      </c>
      <c r="BN368" s="1108">
        <v>2778.9996844820375</v>
      </c>
      <c r="BO368" s="1108">
        <v>2812.6176630292725</v>
      </c>
      <c r="BP368" s="1108">
        <v>2770.6822093035848</v>
      </c>
      <c r="BQ368" s="1108">
        <v>2922.41243602955</v>
      </c>
      <c r="BR368" s="1108">
        <v>2938.2260152749732</v>
      </c>
      <c r="BS368" s="1108">
        <v>2881.8185260934001</v>
      </c>
      <c r="BT368" s="1108">
        <v>2785.2677322974369</v>
      </c>
      <c r="CK368" s="1108"/>
      <c r="CM368" s="1108"/>
      <c r="CO368" s="1108"/>
      <c r="CQ368" s="1108"/>
      <c r="CS368" s="1108"/>
      <c r="CU368" s="1108"/>
      <c r="CW368" s="1108"/>
      <c r="CY368" s="1108"/>
      <c r="DA368" s="1108"/>
      <c r="DC368" s="1108"/>
      <c r="DE368" s="1108"/>
      <c r="DF368" s="1108"/>
      <c r="DG368" s="1108"/>
      <c r="DH368" s="1108"/>
      <c r="DI368" s="1108"/>
    </row>
    <row r="369" spans="4:114" ht="14.45" hidden="1" outlineLevel="1">
      <c r="D369" s="1611"/>
      <c r="E369" s="1619"/>
      <c r="F369" s="1107" t="s">
        <v>1191</v>
      </c>
      <c r="O369" s="1109">
        <v>-5.9725285486596924</v>
      </c>
      <c r="Q369" s="1109">
        <v>-4.3313886081516495</v>
      </c>
      <c r="S369" s="1109">
        <v>4.9473505759153653</v>
      </c>
      <c r="T369" s="1109">
        <v>2.3325634109931115</v>
      </c>
      <c r="U369" s="1109">
        <v>0.73265783527470574</v>
      </c>
      <c r="V369" s="1109">
        <v>-10.252090373487516</v>
      </c>
      <c r="W369" s="1109">
        <v>-19.135838834289739</v>
      </c>
      <c r="X369" s="1109">
        <v>-20.320618012932474</v>
      </c>
      <c r="Y369" s="1109">
        <v>-8.4581932068732186</v>
      </c>
      <c r="Z369" s="1109">
        <v>-6.0474897651807638</v>
      </c>
      <c r="AA369" s="1109">
        <v>-1.7981785535568098</v>
      </c>
      <c r="AB369" s="1109">
        <v>14.519611544772113</v>
      </c>
      <c r="AC369" s="1109">
        <v>0.15220880815128596</v>
      </c>
      <c r="AD369" s="1109">
        <v>5.4956204452681598</v>
      </c>
      <c r="AE369" s="1109">
        <v>7.8774803445528399</v>
      </c>
      <c r="AF369" s="1109">
        <v>4.5423473492057971</v>
      </c>
      <c r="AG369" s="1109">
        <v>2.9269494789008026</v>
      </c>
      <c r="AH369" s="1109">
        <v>3.5668856317272755</v>
      </c>
      <c r="AI369" s="1109">
        <v>4.0889720775374458</v>
      </c>
      <c r="AJ369" s="1109">
        <v>7.258549293149251</v>
      </c>
      <c r="AK369" s="1109">
        <v>2.7498068750621401</v>
      </c>
      <c r="AL369" s="1109">
        <v>-5.5463028012944147</v>
      </c>
      <c r="AM369" s="1109">
        <v>8.7193592443558021</v>
      </c>
      <c r="AN369" s="1109">
        <v>9.0062515557654734</v>
      </c>
      <c r="AO369" s="1109">
        <v>8.9907841509314377</v>
      </c>
      <c r="AP369" s="1109">
        <v>18.395675595648655</v>
      </c>
      <c r="AQ369" s="1109">
        <v>-0.34718377061975475</v>
      </c>
      <c r="AR369" s="1109">
        <v>4.3774700514563412</v>
      </c>
      <c r="AS369" s="1109">
        <v>-5.0935062894745773</v>
      </c>
      <c r="AT369" s="1109">
        <v>1.2553047475584225</v>
      </c>
      <c r="AU369" s="1109">
        <v>10.109757464712466</v>
      </c>
      <c r="AV369" s="1109">
        <v>-2.6121604433118808E-2</v>
      </c>
      <c r="AW369" s="1109">
        <v>9.7946942297985977</v>
      </c>
      <c r="AX369" s="1109">
        <v>24.357426914248091</v>
      </c>
      <c r="AY369" s="1109">
        <v>10.709111170457533</v>
      </c>
      <c r="AZ369" s="1109">
        <v>-2.1649956119642448</v>
      </c>
      <c r="BA369" s="1109">
        <v>-14.795147296839753</v>
      </c>
      <c r="BB369" s="1109">
        <v>-39.054133340975596</v>
      </c>
      <c r="BC369" s="1109">
        <v>-26.979241765224142</v>
      </c>
      <c r="BD369" s="1109">
        <v>-21.881300389752926</v>
      </c>
      <c r="BE369" s="1109">
        <v>-8.1730738743574864</v>
      </c>
      <c r="BF369" s="1109">
        <v>2.9222096623868636</v>
      </c>
      <c r="BG369" s="1109">
        <v>1.187719250374532</v>
      </c>
      <c r="BH369" s="1109">
        <v>1.6748644169899112</v>
      </c>
      <c r="BI369" s="1109">
        <v>0.14321125296209902</v>
      </c>
      <c r="BJ369" s="1109">
        <v>9.0950874262685943E-2</v>
      </c>
      <c r="BK369" s="1109">
        <v>-0.39973923434375741</v>
      </c>
      <c r="BL369" s="1109">
        <v>1.47108934131435</v>
      </c>
      <c r="BM369" s="1109">
        <v>0.7847677751274108</v>
      </c>
      <c r="BN369" s="1109">
        <v>1.1693129395326356</v>
      </c>
      <c r="BO369" s="1109">
        <v>3.0592453412552514</v>
      </c>
      <c r="BP369" s="1109">
        <v>-1.5902441009345185</v>
      </c>
      <c r="BQ369" s="1109">
        <v>4.3172776019779047</v>
      </c>
      <c r="BR369" s="1109">
        <v>5.7296275232436011</v>
      </c>
      <c r="BS369" s="1109">
        <v>2.4603721996681274</v>
      </c>
      <c r="BT369" s="1109">
        <v>0.52642352648296331</v>
      </c>
      <c r="CM369" s="1109"/>
      <c r="CO369" s="1109"/>
      <c r="CQ369" s="1109"/>
      <c r="CS369" s="1109"/>
      <c r="CU369" s="1109"/>
      <c r="CW369" s="1109"/>
      <c r="CY369" s="1109"/>
      <c r="DA369" s="1109"/>
      <c r="DC369" s="1109"/>
      <c r="DE369" s="1109"/>
      <c r="DF369" s="1109"/>
      <c r="DG369" s="1109"/>
      <c r="DH369" s="1109"/>
      <c r="DI369" s="1109"/>
    </row>
    <row r="370" spans="4:114" ht="14.45" hidden="1" outlineLevel="1" collapsed="1">
      <c r="D370" s="1611"/>
      <c r="E370" s="1619"/>
      <c r="F370" s="1107"/>
    </row>
    <row r="371" spans="4:114" ht="14.45" collapsed="1">
      <c r="D371" s="1615" t="s">
        <v>1256</v>
      </c>
      <c r="E371" s="1612" t="s">
        <v>1095</v>
      </c>
      <c r="F371" s="1106" t="s">
        <v>1190</v>
      </c>
      <c r="G371" s="1108">
        <v>943</v>
      </c>
      <c r="I371" s="1108">
        <v>950</v>
      </c>
      <c r="K371" s="1108">
        <v>975</v>
      </c>
      <c r="M371" s="1108">
        <v>1000</v>
      </c>
      <c r="O371" s="1108">
        <v>899.52666666666664</v>
      </c>
      <c r="Q371" s="1108">
        <v>998.78787878787864</v>
      </c>
      <c r="S371" s="1108">
        <v>1003.4772727272726</v>
      </c>
      <c r="T371" s="1108">
        <v>1096.4848484848501</v>
      </c>
      <c r="U371" s="1108">
        <v>988.846</v>
      </c>
      <c r="V371" s="1108">
        <v>1030.7948484848487</v>
      </c>
      <c r="W371" s="1108">
        <v>984.87439393939405</v>
      </c>
      <c r="X371" s="1108">
        <v>1010.5660606060607</v>
      </c>
      <c r="Y371" s="1108">
        <v>1188.3288373153036</v>
      </c>
      <c r="Z371" s="1108">
        <v>1406.1064919056175</v>
      </c>
      <c r="AA371" s="1108">
        <v>1190.7384929043278</v>
      </c>
      <c r="AB371" s="1108">
        <v>1300.4590000000001</v>
      </c>
      <c r="AC371" s="1108">
        <v>1220.3318590989948</v>
      </c>
      <c r="AD371" s="1108">
        <v>1265.75609341616</v>
      </c>
      <c r="AE371" s="1108">
        <v>1179.268257340151</v>
      </c>
      <c r="AF371" s="1108">
        <v>1374.8539658536583</v>
      </c>
      <c r="AG371" s="1108">
        <v>1214.8122315959242</v>
      </c>
      <c r="AH371" s="1108">
        <v>1226.0741542198484</v>
      </c>
      <c r="AI371" s="1108">
        <v>1388.7973327815832</v>
      </c>
      <c r="AJ371" s="1108">
        <v>1643.6327040000001</v>
      </c>
      <c r="AK371" s="1108">
        <v>1354.0318166938682</v>
      </c>
      <c r="AL371" s="1108">
        <v>1337.9424691916483</v>
      </c>
      <c r="AM371" s="1108">
        <v>1531.924487315435</v>
      </c>
      <c r="AN371" s="1108">
        <v>1788.3429196891782</v>
      </c>
      <c r="AO371" s="1108">
        <v>1611.1363738416701</v>
      </c>
      <c r="AP371" s="1108">
        <v>1651.0271279898559</v>
      </c>
      <c r="AQ371" s="1108">
        <v>1819.6201365745601</v>
      </c>
      <c r="AR371" s="1108">
        <v>2065.9407805579999</v>
      </c>
      <c r="AS371" s="1108">
        <v>1737.8869745145839</v>
      </c>
      <c r="AT371" s="1108">
        <v>1755.277108767342</v>
      </c>
      <c r="AU371" s="1108">
        <v>1919.827784241626</v>
      </c>
      <c r="AV371" s="1108">
        <v>2325.532699993626</v>
      </c>
      <c r="AW371" s="1108">
        <v>1925.203627696618</v>
      </c>
      <c r="AX371" s="1108">
        <v>1931.372414664716</v>
      </c>
      <c r="AY371" s="1108">
        <v>2192.985698145988</v>
      </c>
      <c r="AZ371" s="1108">
        <v>2468.7392579406078</v>
      </c>
      <c r="BA371" s="1108">
        <v>2097.9857533519239</v>
      </c>
      <c r="BB371" s="1108">
        <v>1886.7169556337001</v>
      </c>
      <c r="BC371" s="1108">
        <v>2279.1426036732819</v>
      </c>
      <c r="BD371" s="1108">
        <v>2395.0378802416622</v>
      </c>
      <c r="BE371" s="1108">
        <v>2122.5044692114539</v>
      </c>
      <c r="BF371" s="1108">
        <v>1924.53183846039</v>
      </c>
      <c r="BG371" s="1108">
        <v>2283.064144420528</v>
      </c>
      <c r="BH371" s="1108">
        <v>2548.8472580650341</v>
      </c>
      <c r="BI371" s="1108">
        <v>2268.9257877756322</v>
      </c>
      <c r="BJ371" s="1108">
        <v>2055.2545358924281</v>
      </c>
      <c r="BK371" s="1108">
        <v>2432.6798185693142</v>
      </c>
      <c r="BL371" s="1108">
        <v>2706.1052055900618</v>
      </c>
      <c r="BM371" s="1108">
        <v>2263.4568565651298</v>
      </c>
      <c r="BN371" s="1108">
        <v>2081.51850405289</v>
      </c>
      <c r="BO371" s="1108">
        <v>2555.6867518098902</v>
      </c>
      <c r="BP371" s="1108">
        <v>2962.46120244451</v>
      </c>
      <c r="CK371" s="1108"/>
      <c r="CM371" s="1108"/>
      <c r="CO371" s="1108"/>
      <c r="CQ371" s="1108"/>
      <c r="CS371" s="1108"/>
      <c r="CU371" s="1108"/>
      <c r="CW371" s="1108"/>
      <c r="CY371" s="1108"/>
      <c r="DA371" s="1108"/>
      <c r="DC371" s="1108"/>
      <c r="DE371" s="1108"/>
      <c r="DF371" s="1108"/>
      <c r="DG371" s="1108"/>
      <c r="DH371" s="1108"/>
    </row>
    <row r="372" spans="4:114" ht="14.45" hidden="1" outlineLevel="1">
      <c r="D372" s="1611"/>
      <c r="E372" s="1619"/>
      <c r="F372" s="1106" t="s">
        <v>1191</v>
      </c>
      <c r="O372" s="1109">
        <v>-4.6101095793566662</v>
      </c>
      <c r="Q372" s="1109">
        <v>5.1355661881977515</v>
      </c>
      <c r="S372" s="1109">
        <v>2.9207459207459112</v>
      </c>
      <c r="T372" s="1109">
        <v>9.6484848484850083</v>
      </c>
      <c r="U372" s="1109">
        <v>9.9295926005528869</v>
      </c>
      <c r="V372" s="1109">
        <v>3.2045813106796452</v>
      </c>
      <c r="W372" s="1109">
        <v>-1.8538415660694803</v>
      </c>
      <c r="X372" s="1109">
        <v>-7.8358390448818458</v>
      </c>
      <c r="Y372" s="1109">
        <v>20.173296682729529</v>
      </c>
      <c r="Z372" s="1109">
        <v>36.409926181958937</v>
      </c>
      <c r="AA372" s="1109">
        <v>20.902573996415828</v>
      </c>
      <c r="AB372" s="1109">
        <v>28.686193876339335</v>
      </c>
      <c r="AC372" s="1109">
        <v>2.6931116016668399</v>
      </c>
      <c r="AD372" s="1109">
        <v>-9.9814913946701527</v>
      </c>
      <c r="AE372" s="1109">
        <v>-0.96328754235531755</v>
      </c>
      <c r="AF372" s="1109">
        <v>5.7206698445439859</v>
      </c>
      <c r="AG372" s="1109">
        <v>-0.45230544969511977</v>
      </c>
      <c r="AH372" s="1109">
        <v>-3.1350383697710358</v>
      </c>
      <c r="AI372" s="1109">
        <v>17.767719442735345</v>
      </c>
      <c r="AJ372" s="1109">
        <v>19.549620892241805</v>
      </c>
      <c r="AK372" s="1109">
        <v>11.460173142564454</v>
      </c>
      <c r="AL372" s="1109">
        <v>9.1241067750083822</v>
      </c>
      <c r="AM372" s="1109">
        <v>10.305834491141082</v>
      </c>
      <c r="AN372" s="1109">
        <v>8.8042915754235374</v>
      </c>
      <c r="AO372" s="1109">
        <v>18.988073542878229</v>
      </c>
      <c r="AP372" s="1109">
        <v>23.40045749406292</v>
      </c>
      <c r="AQ372" s="1109">
        <v>18.780015049128611</v>
      </c>
      <c r="AR372" s="1109">
        <v>15.522630353079567</v>
      </c>
      <c r="AS372" s="1109">
        <v>7.86715530297933</v>
      </c>
      <c r="AT372" s="1109">
        <v>6.3142500211012074</v>
      </c>
      <c r="AU372" s="1109">
        <v>5.5070641203007931</v>
      </c>
      <c r="AV372" s="1109">
        <v>12.565312707826584</v>
      </c>
      <c r="AW372" s="1109">
        <v>10.77841401247364</v>
      </c>
      <c r="AX372" s="1109">
        <v>10.032336490791378</v>
      </c>
      <c r="AY372" s="1109">
        <v>14.228250895549225</v>
      </c>
      <c r="AZ372" s="1109">
        <v>6.1580109343280478</v>
      </c>
      <c r="BA372" s="1109">
        <v>8.9747454850803798</v>
      </c>
      <c r="BB372" s="1109">
        <v>-2.3121102223450785</v>
      </c>
      <c r="BC372" s="1109">
        <v>3.9287490839604389</v>
      </c>
      <c r="BD372" s="1109">
        <v>-2.985385251273009</v>
      </c>
      <c r="BE372" s="1109">
        <v>1.168678854008266</v>
      </c>
      <c r="BF372" s="1109">
        <v>2.0042689876600397</v>
      </c>
      <c r="BG372" s="1109">
        <v>0.17206210532530086</v>
      </c>
      <c r="BH372" s="1109">
        <v>6.4220018853251872</v>
      </c>
      <c r="BI372" s="1109">
        <v>6.8985163842117307</v>
      </c>
      <c r="BJ372" s="1109">
        <v>6.7924414041710639</v>
      </c>
      <c r="BK372" s="1109">
        <v>6.5532838625855003</v>
      </c>
      <c r="BL372" s="1109">
        <v>6.1697674125993176</v>
      </c>
      <c r="BM372" s="1109">
        <v>-0.24103614318139346</v>
      </c>
      <c r="BN372" s="1109">
        <v>1.2778936964641032</v>
      </c>
      <c r="BO372" s="1109">
        <v>5.0564374440742368</v>
      </c>
      <c r="BP372" s="1109">
        <v>9.4732457675661657</v>
      </c>
      <c r="CM372" s="1109"/>
      <c r="CO372" s="1109"/>
      <c r="CQ372" s="1109"/>
      <c r="CS372" s="1109"/>
      <c r="CU372" s="1109"/>
      <c r="CW372" s="1109"/>
      <c r="CY372" s="1109"/>
      <c r="DA372" s="1109"/>
      <c r="DC372" s="1109"/>
      <c r="DE372" s="1109"/>
      <c r="DF372" s="1109"/>
      <c r="DG372" s="1109"/>
      <c r="DH372" s="1109"/>
    </row>
    <row r="373" spans="4:114" ht="14.45" hidden="1" outlineLevel="1" collapsed="1">
      <c r="D373" s="1611"/>
      <c r="E373" s="1619"/>
      <c r="F373" s="1106"/>
    </row>
    <row r="374" spans="4:114" ht="14.45" collapsed="1">
      <c r="D374" s="1615" t="s">
        <v>1257</v>
      </c>
      <c r="E374" s="1612" t="s">
        <v>1095</v>
      </c>
      <c r="F374" s="1107" t="s">
        <v>1190</v>
      </c>
      <c r="G374" s="1108">
        <v>300</v>
      </c>
      <c r="I374" s="1108">
        <v>320</v>
      </c>
      <c r="K374" s="1108">
        <v>290</v>
      </c>
      <c r="M374" s="1108">
        <v>314</v>
      </c>
      <c r="O374" s="1108">
        <v>180</v>
      </c>
      <c r="Q374" s="1108">
        <v>189.5</v>
      </c>
      <c r="S374" s="1108">
        <v>175.25</v>
      </c>
      <c r="T374" s="1108">
        <v>186.65</v>
      </c>
      <c r="U374" s="1108">
        <v>153.25</v>
      </c>
      <c r="V374" s="1108">
        <v>161.80000000000001</v>
      </c>
      <c r="W374" s="1108">
        <v>148.97499999999999</v>
      </c>
      <c r="X374" s="1108">
        <v>159.23500000000001</v>
      </c>
      <c r="Y374" s="1108">
        <v>127.4375</v>
      </c>
      <c r="Z374" s="1108">
        <v>133.85</v>
      </c>
      <c r="AA374" s="1108">
        <v>124.23125</v>
      </c>
      <c r="AB374" s="1108">
        <v>131.92625000000001</v>
      </c>
      <c r="AC374" s="1108">
        <v>299.06666666666666</v>
      </c>
      <c r="AD374" s="1108">
        <v>278.69733333333335</v>
      </c>
      <c r="AE374" s="1108">
        <v>250.46133333333333</v>
      </c>
      <c r="AF374" s="1108">
        <v>280.94613333333331</v>
      </c>
      <c r="AG374" s="1108">
        <v>254.13233333333332</v>
      </c>
      <c r="AH374" s="1108">
        <v>255.77709333333334</v>
      </c>
      <c r="AI374" s="1108">
        <v>221.96793333333332</v>
      </c>
      <c r="AJ374" s="1108">
        <v>261.25905333333333</v>
      </c>
      <c r="AK374" s="1108">
        <v>260.13170933333333</v>
      </c>
      <c r="AL374" s="1108">
        <v>223.90281573333365</v>
      </c>
      <c r="AM374" s="1108">
        <v>210.82754679999999</v>
      </c>
      <c r="AN374" s="1108">
        <v>208.4087352</v>
      </c>
      <c r="AO374" s="1108">
        <v>207.22845609999999</v>
      </c>
      <c r="AP374" s="1108">
        <v>212.7189541000005</v>
      </c>
      <c r="AQ374" s="1108">
        <v>248.00972415800001</v>
      </c>
      <c r="AR374" s="1108">
        <v>-218.69796759200051</v>
      </c>
      <c r="AS374" s="1108">
        <v>95.976178408600006</v>
      </c>
      <c r="AT374" s="1108">
        <v>66.544273866000353</v>
      </c>
      <c r="AU374" s="1108">
        <v>130.18569657379999</v>
      </c>
      <c r="AV374" s="1108">
        <v>160.70250174907949</v>
      </c>
      <c r="AW374" s="1108">
        <v>70.094402802611754</v>
      </c>
      <c r="AX374" s="1108">
        <v>43.418168002500799</v>
      </c>
      <c r="AY374" s="1108">
        <v>118.09818233173149</v>
      </c>
      <c r="AZ374" s="1108">
        <v>155.449255670962</v>
      </c>
      <c r="BA374" s="1108">
        <v>68.737154786817456</v>
      </c>
      <c r="BB374" s="1108">
        <v>43.624165960225596</v>
      </c>
      <c r="BC374" s="1108">
        <v>99.153855070478002</v>
      </c>
      <c r="BD374" s="1108">
        <v>155.449255670962</v>
      </c>
      <c r="BE374" s="1108">
        <v>62.364081568794802</v>
      </c>
      <c r="BF374" s="1108">
        <v>41.299291066191749</v>
      </c>
      <c r="BG374" s="1108">
        <v>88.968276809906499</v>
      </c>
      <c r="BH374" s="1108">
        <v>136.8193673203175</v>
      </c>
      <c r="BI374" s="1108">
        <v>56.9469693334756</v>
      </c>
      <c r="BJ374" s="1108">
        <v>39.323147406262997</v>
      </c>
      <c r="BK374" s="1108">
        <v>80.310535288420454</v>
      </c>
      <c r="BL374" s="1108">
        <v>120.98396222226999</v>
      </c>
      <c r="BM374" s="1108">
        <v>52.5</v>
      </c>
      <c r="BN374" s="1108">
        <v>56.25</v>
      </c>
      <c r="BO374" s="1108">
        <v>62.5</v>
      </c>
      <c r="BP374" s="1108">
        <v>62.5</v>
      </c>
      <c r="CK374" s="1108"/>
      <c r="CM374" s="1108"/>
      <c r="CO374" s="1108"/>
      <c r="CQ374" s="1108"/>
      <c r="CS374" s="1108"/>
      <c r="CU374" s="1108"/>
      <c r="CW374" s="1108"/>
      <c r="CY374" s="1108"/>
      <c r="DA374" s="1108"/>
      <c r="DC374" s="1108"/>
      <c r="DE374" s="1108"/>
      <c r="DF374" s="1108"/>
      <c r="DG374" s="1108"/>
      <c r="DH374" s="1108"/>
    </row>
    <row r="375" spans="4:114" ht="14.45" hidden="1" outlineLevel="1">
      <c r="D375" s="1611"/>
      <c r="E375" s="1619"/>
      <c r="F375" s="1107" t="s">
        <v>1191</v>
      </c>
      <c r="O375" s="1109">
        <v>-40</v>
      </c>
      <c r="Q375" s="1109">
        <v>-40.78125</v>
      </c>
      <c r="S375" s="1109">
        <v>-39.568965517241381</v>
      </c>
      <c r="T375" s="1109">
        <v>-40.557324840764331</v>
      </c>
      <c r="U375" s="1109">
        <v>-14.861111111111111</v>
      </c>
      <c r="V375" s="1109">
        <v>-14.617414248021102</v>
      </c>
      <c r="W375" s="1109">
        <v>-14.992867332382314</v>
      </c>
      <c r="X375" s="1109">
        <v>-14.68791856415751</v>
      </c>
      <c r="Y375" s="1109">
        <v>-16.843393148450243</v>
      </c>
      <c r="Z375" s="1109">
        <v>-17.274412855377019</v>
      </c>
      <c r="AA375" s="1109">
        <v>-16.609330424567876</v>
      </c>
      <c r="AB375" s="1109">
        <v>-17.149967029861525</v>
      </c>
      <c r="AC375" s="1109">
        <v>134.67712931175413</v>
      </c>
      <c r="AD375" s="1109">
        <v>108.21616237081312</v>
      </c>
      <c r="AE375" s="1109">
        <v>101.60896178162363</v>
      </c>
      <c r="AF375" s="1109">
        <v>112.95696143362923</v>
      </c>
      <c r="AG375" s="1109">
        <v>-15.024855104770399</v>
      </c>
      <c r="AH375" s="1109">
        <v>-8.2240614669199097</v>
      </c>
      <c r="AI375" s="1109">
        <v>-11.376366811111232</v>
      </c>
      <c r="AJ375" s="1109">
        <v>-7.0074215887648146</v>
      </c>
      <c r="AK375" s="1109">
        <v>2.3607291214419832</v>
      </c>
      <c r="AL375" s="1109">
        <v>-12.461740488410568</v>
      </c>
      <c r="AM375" s="1109">
        <v>-5.018917086822448</v>
      </c>
      <c r="AN375" s="1109">
        <v>-20.229085828426026</v>
      </c>
      <c r="AO375" s="1109">
        <v>-20.337102834911601</v>
      </c>
      <c r="AP375" s="1109">
        <v>-4.9949624781195405</v>
      </c>
      <c r="AQ375" s="1109">
        <v>17.63629939368057</v>
      </c>
      <c r="AR375" s="1109">
        <v>-204.93704468871061</v>
      </c>
      <c r="AS375" s="1109">
        <v>-53.68581119849398</v>
      </c>
      <c r="AT375" s="1109">
        <v>-68.717280438151533</v>
      </c>
      <c r="AU375" s="1109">
        <v>-47.50782574522669</v>
      </c>
      <c r="AV375" s="1109">
        <v>173.48147928328422</v>
      </c>
      <c r="AW375" s="1109">
        <v>-26.966874525678236</v>
      </c>
      <c r="AX375" s="1109">
        <v>-34.752961479553299</v>
      </c>
      <c r="AY375" s="1109">
        <v>-9.2848251076617281</v>
      </c>
      <c r="AZ375" s="1109">
        <v>-3.268926134280032</v>
      </c>
      <c r="BA375" s="1109">
        <v>-1.9363144010461928</v>
      </c>
      <c r="BB375" s="1109">
        <v>0.47445105862811204</v>
      </c>
      <c r="BC375" s="1109">
        <v>-16.041167516058703</v>
      </c>
      <c r="BD375" s="1109">
        <v>0</v>
      </c>
      <c r="BE375" s="1109">
        <v>-9.2716569921874257</v>
      </c>
      <c r="BF375" s="1109">
        <v>-5.3293280063017265</v>
      </c>
      <c r="BG375" s="1109">
        <v>-10.272498485642997</v>
      </c>
      <c r="BH375" s="1109">
        <v>-11.984546513415426</v>
      </c>
      <c r="BI375" s="1109">
        <v>-8.6862695626223569</v>
      </c>
      <c r="BJ375" s="1109">
        <v>-4.7849336124475377</v>
      </c>
      <c r="BK375" s="1109">
        <v>-9.7312680788283146</v>
      </c>
      <c r="BL375" s="1109">
        <v>-11.573949951817944</v>
      </c>
      <c r="BM375" s="1109">
        <v>-7.808965754498022</v>
      </c>
      <c r="BN375" s="1109">
        <v>43.045518251270657</v>
      </c>
      <c r="BO375" s="1109">
        <v>-22.177084518808403</v>
      </c>
      <c r="BP375" s="1109">
        <v>-48.34026026922816</v>
      </c>
      <c r="CM375" s="1109"/>
      <c r="CO375" s="1109"/>
      <c r="CQ375" s="1109"/>
      <c r="CS375" s="1109"/>
      <c r="CU375" s="1109"/>
      <c r="CW375" s="1109"/>
      <c r="CY375" s="1109"/>
      <c r="DA375" s="1109"/>
      <c r="DC375" s="1109"/>
      <c r="DE375" s="1109"/>
      <c r="DF375" s="1109"/>
      <c r="DG375" s="1109"/>
      <c r="DH375" s="1109"/>
    </row>
    <row r="376" spans="4:114" ht="14.45" hidden="1" outlineLevel="1" collapsed="1">
      <c r="D376" s="1611"/>
      <c r="E376" s="1619"/>
      <c r="F376" s="1107"/>
    </row>
    <row r="377" spans="4:114" ht="14.45" collapsed="1">
      <c r="D377" s="1614" t="s">
        <v>1258</v>
      </c>
      <c r="E377" s="1612" t="s">
        <v>1095</v>
      </c>
      <c r="F377" s="1106" t="s">
        <v>1190</v>
      </c>
      <c r="G377" s="1108">
        <v>963.00890199440937</v>
      </c>
      <c r="I377" s="1108">
        <v>1109.4591018215276</v>
      </c>
      <c r="K377" s="1108">
        <v>997.12121212121201</v>
      </c>
      <c r="M377" s="1108">
        <v>1103.1134227651489</v>
      </c>
      <c r="O377" s="1108">
        <v>910.48267310789038</v>
      </c>
      <c r="Q377" s="1108">
        <v>1070.812216591828</v>
      </c>
      <c r="S377" s="1108">
        <v>1046.7224675324674</v>
      </c>
      <c r="T377" s="1108">
        <v>1163.8799641164185</v>
      </c>
      <c r="U377" s="1108">
        <v>984.55177514870684</v>
      </c>
      <c r="V377" s="1108">
        <v>1102.9200906796452</v>
      </c>
      <c r="W377" s="1108">
        <v>1018.3300467532468</v>
      </c>
      <c r="X377" s="1108">
        <v>1120.2643176977574</v>
      </c>
      <c r="Y377" s="1108">
        <v>1287.4543990511086</v>
      </c>
      <c r="Z377" s="1108">
        <v>1388.2221331696619</v>
      </c>
      <c r="AA377" s="1108">
        <v>1147.2981878950586</v>
      </c>
      <c r="AB377" s="1108">
        <v>1217.738700126999</v>
      </c>
      <c r="AC377" s="1108">
        <v>1275.5983895098859</v>
      </c>
      <c r="AD377" s="1108">
        <v>1376.0980947727712</v>
      </c>
      <c r="AE377" s="1108">
        <v>1239.3634882043443</v>
      </c>
      <c r="AF377" s="1108">
        <v>1550.7338067172072</v>
      </c>
      <c r="AG377" s="1108">
        <v>1276.4714826728484</v>
      </c>
      <c r="AH377" s="1108">
        <v>1333.27941882391</v>
      </c>
      <c r="AI377" s="1108">
        <v>1448.9929755372493</v>
      </c>
      <c r="AJ377" s="1108">
        <v>1848.8819538341627</v>
      </c>
      <c r="AK377" s="1108">
        <v>1407.555249826923</v>
      </c>
      <c r="AL377" s="1108">
        <v>1445.0208605028713</v>
      </c>
      <c r="AM377" s="1108">
        <v>1612.5164160391037</v>
      </c>
      <c r="AN377" s="1108">
        <v>1991.4235555670925</v>
      </c>
      <c r="AO377" s="1108">
        <v>1666.7567634628153</v>
      </c>
      <c r="AP377" s="1108">
        <v>1748.2597521727248</v>
      </c>
      <c r="AQ377" s="1108">
        <v>1884.2640302099881</v>
      </c>
      <c r="AR377" s="1108">
        <v>2081.651753589083</v>
      </c>
      <c r="AS377" s="1108">
        <v>1802.825614557936</v>
      </c>
      <c r="AT377" s="1108">
        <v>1834.5625315380166</v>
      </c>
      <c r="AU377" s="1108">
        <v>1985.2080201248486</v>
      </c>
      <c r="AV377" s="1108">
        <v>2579.9396921871466</v>
      </c>
      <c r="AW377" s="1108">
        <v>1989.6058382546569</v>
      </c>
      <c r="AX377" s="1108">
        <v>2058.9638370117373</v>
      </c>
      <c r="AY377" s="1108">
        <v>2251.5898063464415</v>
      </c>
      <c r="AZ377" s="1108">
        <v>2686.6602206605694</v>
      </c>
      <c r="BA377" s="1108">
        <v>2156.9194238417963</v>
      </c>
      <c r="BB377" s="1108">
        <v>1989.2814599707081</v>
      </c>
      <c r="BC377" s="1108">
        <v>2468.2019737388255</v>
      </c>
      <c r="BD377" s="1108">
        <v>2684.4305669680089</v>
      </c>
      <c r="BE377" s="1108">
        <v>2193.0221277962441</v>
      </c>
      <c r="BF377" s="1108">
        <v>2068.4883511549788</v>
      </c>
      <c r="BG377" s="1108">
        <v>2507.6258946184325</v>
      </c>
      <c r="BH377" s="1108">
        <v>2836.4764457394722</v>
      </c>
      <c r="BI377" s="1108">
        <v>2332.8471235466736</v>
      </c>
      <c r="BJ377" s="1108">
        <v>2200.6125409827368</v>
      </c>
      <c r="BK377" s="1108">
        <v>2686.3243875132803</v>
      </c>
      <c r="BL377" s="1108">
        <v>2951.533254737195</v>
      </c>
      <c r="BM377" s="1108">
        <v>2528.4894881159726</v>
      </c>
      <c r="BN377" s="1108">
        <v>2420.2132815915602</v>
      </c>
      <c r="BO377" s="1108">
        <v>3023.7614322844101</v>
      </c>
      <c r="BP377" s="1108">
        <v>3439.2819181986401</v>
      </c>
      <c r="BQ377" s="1108">
        <v>2702.9208696059668</v>
      </c>
      <c r="BR377" s="1108">
        <v>2612.2061949303902</v>
      </c>
      <c r="BS377" s="1108">
        <v>3253.8594387033331</v>
      </c>
      <c r="BT377" s="1108">
        <v>3686.7611312027266</v>
      </c>
      <c r="CK377" s="1108"/>
      <c r="CM377" s="1108"/>
      <c r="CO377" s="1108"/>
      <c r="CQ377" s="1108"/>
      <c r="CS377" s="1108"/>
      <c r="CU377" s="1108"/>
      <c r="CW377" s="1108"/>
      <c r="CY377" s="1108"/>
      <c r="DA377" s="1108"/>
      <c r="DC377" s="1108"/>
      <c r="DE377" s="1108"/>
      <c r="DF377" s="1108"/>
      <c r="DG377" s="1108"/>
      <c r="DH377" s="1108"/>
      <c r="DI377" s="1108"/>
    </row>
    <row r="378" spans="4:114" ht="14.45" hidden="1" outlineLevel="1">
      <c r="D378" s="1611"/>
      <c r="E378" s="1619"/>
      <c r="F378" s="1106" t="s">
        <v>1191</v>
      </c>
      <c r="O378" s="1109">
        <v>-5.4543866393899574</v>
      </c>
      <c r="Q378" s="1109">
        <v>-3.4833988171577053</v>
      </c>
      <c r="S378" s="1109">
        <v>4.9744459157314296</v>
      </c>
      <c r="T378" s="1109">
        <v>5.5086394651011918</v>
      </c>
      <c r="U378" s="1109">
        <v>8.1351467994426532</v>
      </c>
      <c r="V378" s="1109">
        <v>2.9984598223962999</v>
      </c>
      <c r="W378" s="1109">
        <v>-2.7125070551081714</v>
      </c>
      <c r="X378" s="1109">
        <v>-3.7474351104387913</v>
      </c>
      <c r="Y378" s="1109">
        <v>30.76553529718143</v>
      </c>
      <c r="Z378" s="1109">
        <v>25.867879722293107</v>
      </c>
      <c r="AA378" s="1109">
        <v>12.664670118789321</v>
      </c>
      <c r="AB378" s="1109">
        <v>8.7010164377599821</v>
      </c>
      <c r="AC378" s="1109">
        <v>-0.92088772619526338</v>
      </c>
      <c r="AD378" s="1109">
        <v>-0.87335002858717137</v>
      </c>
      <c r="AE378" s="1109">
        <v>8.0245311359026363</v>
      </c>
      <c r="AF378" s="1109">
        <v>27.345366173833508</v>
      </c>
      <c r="AG378" s="1109">
        <v>6.8445771815215842E-2</v>
      </c>
      <c r="AH378" s="1109">
        <v>-3.1116005546052086</v>
      </c>
      <c r="AI378" s="1109">
        <v>16.914286190294934</v>
      </c>
      <c r="AJ378" s="1109">
        <v>19.226262162176873</v>
      </c>
      <c r="AK378" s="1109">
        <v>10.269228019069704</v>
      </c>
      <c r="AL378" s="1109">
        <v>8.3809470169072906</v>
      </c>
      <c r="AM378" s="1109">
        <v>11.285316303291536</v>
      </c>
      <c r="AN378" s="1109">
        <v>7.7096107427156628</v>
      </c>
      <c r="AO378" s="1109">
        <v>18.415015230682023</v>
      </c>
      <c r="AP378" s="1109">
        <v>20.985087479244108</v>
      </c>
      <c r="AQ378" s="1109">
        <v>16.852393654285407</v>
      </c>
      <c r="AR378" s="1109">
        <v>4.5308391461853743</v>
      </c>
      <c r="AS378" s="1109">
        <v>8.1636897523323757</v>
      </c>
      <c r="AT378" s="1109">
        <v>4.9364963792156944</v>
      </c>
      <c r="AU378" s="1109">
        <v>5.3572104703188064</v>
      </c>
      <c r="AV378" s="1109">
        <v>23.93714211509873</v>
      </c>
      <c r="AW378" s="1109">
        <v>10.360415460511446</v>
      </c>
      <c r="AX378" s="1109">
        <v>12.231870084340622</v>
      </c>
      <c r="AY378" s="1109">
        <v>13.418331153268273</v>
      </c>
      <c r="AZ378" s="1109">
        <v>4.1365512843810039</v>
      </c>
      <c r="BA378" s="1109">
        <v>8.4093835256289751</v>
      </c>
      <c r="BB378" s="1109">
        <v>-3.3843419582425613</v>
      </c>
      <c r="BC378" s="1109">
        <v>9.6204098447164004</v>
      </c>
      <c r="BD378" s="1109">
        <v>-8.2989790648418021E-2</v>
      </c>
      <c r="BE378" s="1109">
        <v>1.6738086529975025</v>
      </c>
      <c r="BF378" s="1109">
        <v>3.9816834760746738</v>
      </c>
      <c r="BG378" s="1109">
        <v>1.5972728852447931</v>
      </c>
      <c r="BH378" s="1109">
        <v>5.6639899963289047</v>
      </c>
      <c r="BI378" s="1109">
        <v>6.3759044643538934</v>
      </c>
      <c r="BJ378" s="1109">
        <v>6.387475653608786</v>
      </c>
      <c r="BK378" s="1109">
        <v>7.126202248842187</v>
      </c>
      <c r="BL378" s="1109">
        <v>4.0563287303352649</v>
      </c>
      <c r="BM378" s="1109">
        <v>8.3864202928076992</v>
      </c>
      <c r="BN378" s="1109">
        <v>9.9790733952081965</v>
      </c>
      <c r="BO378" s="1109">
        <v>12.561291791103976</v>
      </c>
      <c r="BP378" s="1109">
        <v>16.525264036195804</v>
      </c>
      <c r="BQ378" s="1109">
        <v>6.898639773265046</v>
      </c>
      <c r="BR378" s="1109">
        <v>7.9328923115640979</v>
      </c>
      <c r="BS378" s="1109">
        <v>7.6096613959748511</v>
      </c>
      <c r="BT378" s="1109">
        <v>7.1956652257720783</v>
      </c>
      <c r="CM378" s="1109"/>
      <c r="CO378" s="1109"/>
      <c r="CQ378" s="1109"/>
      <c r="CS378" s="1109"/>
      <c r="CU378" s="1109"/>
      <c r="CW378" s="1109"/>
      <c r="CY378" s="1109"/>
      <c r="DA378" s="1109"/>
      <c r="DC378" s="1109"/>
      <c r="DE378" s="1109"/>
      <c r="DF378" s="1109"/>
      <c r="DG378" s="1109"/>
      <c r="DH378" s="1109"/>
      <c r="DI378" s="1109"/>
    </row>
    <row r="379" spans="4:114" ht="14.45" hidden="1" outlineLevel="1" collapsed="1">
      <c r="D379" s="1611"/>
      <c r="E379" s="1619"/>
      <c r="F379" s="1106"/>
    </row>
    <row r="380" spans="4:114" ht="14.45" collapsed="1">
      <c r="D380" s="1614" t="s">
        <v>1259</v>
      </c>
      <c r="E380" s="1612" t="s">
        <v>1095</v>
      </c>
      <c r="F380" s="1107" t="s">
        <v>1190</v>
      </c>
      <c r="G380" s="1108">
        <v>177.83654662880201</v>
      </c>
      <c r="I380" s="1108">
        <v>465.01834899528399</v>
      </c>
      <c r="K380" s="1108">
        <v>181.97790174038801</v>
      </c>
      <c r="M380" s="1108">
        <v>361.44048402685053</v>
      </c>
      <c r="O380" s="1108">
        <v>434.63676628263102</v>
      </c>
      <c r="Q380" s="1108">
        <v>857.91606770443366</v>
      </c>
      <c r="S380" s="1108">
        <v>430.8232221460803</v>
      </c>
      <c r="T380" s="1108">
        <v>660.53712058255587</v>
      </c>
      <c r="U380" s="1108">
        <v>393.29026783645702</v>
      </c>
      <c r="V380" s="1108">
        <v>591.59938478361801</v>
      </c>
      <c r="W380" s="1108">
        <v>450.39597592473586</v>
      </c>
      <c r="X380" s="1108">
        <v>378.77241719886314</v>
      </c>
      <c r="Y380" s="1108">
        <v>327.97937345196061</v>
      </c>
      <c r="Z380" s="1108">
        <v>557.31445723632316</v>
      </c>
      <c r="AA380" s="1108">
        <v>343.75048092263813</v>
      </c>
      <c r="AB380" s="1108">
        <v>359.65660884485663</v>
      </c>
      <c r="AC380" s="1108">
        <v>563.05384541797662</v>
      </c>
      <c r="AD380" s="1108">
        <v>614.06166787868392</v>
      </c>
      <c r="AE380" s="1108">
        <v>454.43438824435964</v>
      </c>
      <c r="AF380" s="1108">
        <v>547.01839867242404</v>
      </c>
      <c r="AG380" s="1108">
        <v>456.38715556731012</v>
      </c>
      <c r="AH380" s="1108">
        <v>584.40749089685812</v>
      </c>
      <c r="AI380" s="1108">
        <v>471.40924502047778</v>
      </c>
      <c r="AJ380" s="1108">
        <v>563.13024004321903</v>
      </c>
      <c r="AK380" s="1108">
        <v>481.01518237090835</v>
      </c>
      <c r="AL380" s="1108">
        <v>535.9001099566741</v>
      </c>
      <c r="AM380" s="1108">
        <v>342.32490036634692</v>
      </c>
      <c r="AN380" s="1108">
        <v>440.23138768135675</v>
      </c>
      <c r="AO380" s="1108">
        <v>386.70690508668298</v>
      </c>
      <c r="AP380" s="1108">
        <v>525.24732841434206</v>
      </c>
      <c r="AQ380" s="1108">
        <v>399.99814490147378</v>
      </c>
      <c r="AR380" s="1108">
        <v>444.13102094035162</v>
      </c>
      <c r="AS380" s="1108">
        <v>274.79919681983574</v>
      </c>
      <c r="AT380" s="1108">
        <v>356.40999981924699</v>
      </c>
      <c r="AU380" s="1108">
        <v>275.71560959068393</v>
      </c>
      <c r="AV380" s="1108">
        <v>470.411928246966</v>
      </c>
      <c r="AW380" s="1108">
        <v>245.73019461446665</v>
      </c>
      <c r="AX380" s="1108">
        <v>317.03592680073734</v>
      </c>
      <c r="AY380" s="1108">
        <v>208.68055237534736</v>
      </c>
      <c r="AZ380" s="1108">
        <v>356.8708694104252</v>
      </c>
      <c r="BA380" s="1108">
        <v>239.64427255705093</v>
      </c>
      <c r="BB380" s="1108">
        <v>262.13753835055081</v>
      </c>
      <c r="BC380" s="1108">
        <v>189.49622088299341</v>
      </c>
      <c r="BD380" s="1108">
        <v>257.0078660396145</v>
      </c>
      <c r="BE380" s="1108">
        <v>197.33490927331292</v>
      </c>
      <c r="BF380" s="1108">
        <v>248.96707988562267</v>
      </c>
      <c r="BG380" s="1108">
        <v>177.13454901904416</v>
      </c>
      <c r="BH380" s="1108">
        <v>251.15654037672911</v>
      </c>
      <c r="BI380" s="1108">
        <v>191.08485748049145</v>
      </c>
      <c r="BJ380" s="1108">
        <v>234.79453698021916</v>
      </c>
      <c r="BK380" s="1108">
        <v>158.12531912196491</v>
      </c>
      <c r="BL380" s="1108">
        <v>255.78419663509976</v>
      </c>
      <c r="BM380" s="1108">
        <v>129.16667000499686</v>
      </c>
      <c r="BN380" s="1108">
        <v>185.92803612221866</v>
      </c>
      <c r="BO380" s="1108">
        <v>98.610387850694906</v>
      </c>
      <c r="BP380" s="1108">
        <v>124.2044679560087</v>
      </c>
      <c r="BQ380" s="1108">
        <v>159.340529999034</v>
      </c>
      <c r="BR380" s="1108">
        <v>85.276660904950106</v>
      </c>
      <c r="BS380" s="1108">
        <v>10.400363696911599</v>
      </c>
      <c r="BT380" s="1108">
        <v>163.04370877484999</v>
      </c>
      <c r="CK380" s="1108"/>
      <c r="CM380" s="1108"/>
      <c r="CO380" s="1108"/>
      <c r="CQ380" s="1108"/>
      <c r="CS380" s="1108"/>
      <c r="CU380" s="1108"/>
      <c r="CW380" s="1108"/>
      <c r="CY380" s="1108"/>
      <c r="DA380" s="1108"/>
      <c r="DC380" s="1108"/>
      <c r="DE380" s="1108"/>
      <c r="DF380" s="1108"/>
      <c r="DG380" s="1108"/>
      <c r="DH380" s="1108"/>
      <c r="DI380" s="1108"/>
    </row>
    <row r="381" spans="4:114" ht="14.45" hidden="1" outlineLevel="1">
      <c r="D381" s="1611"/>
      <c r="E381" s="1619"/>
      <c r="F381" s="1107" t="s">
        <v>1191</v>
      </c>
      <c r="O381" s="1109">
        <v>144.40238776669892</v>
      </c>
      <c r="Q381" s="1109">
        <v>84.490799031488166</v>
      </c>
      <c r="S381" s="1109">
        <v>136.74480144336329</v>
      </c>
      <c r="T381" s="1109">
        <v>82.751282651969376</v>
      </c>
      <c r="U381" s="1109">
        <v>-9.5128856216658928</v>
      </c>
      <c r="V381" s="1109">
        <v>-31.042277088178533</v>
      </c>
      <c r="W381" s="1109">
        <v>4.5431055645415013</v>
      </c>
      <c r="X381" s="1109">
        <v>-42.656906720880791</v>
      </c>
      <c r="Y381" s="1109">
        <v>-16.606282871879966</v>
      </c>
      <c r="Z381" s="1109">
        <v>-5.7952946587046936</v>
      </c>
      <c r="AA381" s="1109">
        <v>-23.678163372382993</v>
      </c>
      <c r="AB381" s="1109">
        <v>-5.0467794079024291</v>
      </c>
      <c r="AC381" s="1109">
        <v>71.67355358109053</v>
      </c>
      <c r="AD381" s="1109">
        <v>10.18226064397567</v>
      </c>
      <c r="AE381" s="1109">
        <v>32.198909809418183</v>
      </c>
      <c r="AF381" s="1109">
        <v>52.09463283028083</v>
      </c>
      <c r="AG381" s="1109">
        <v>-18.944314246088435</v>
      </c>
      <c r="AH381" s="1109">
        <v>-4.8291854927646085</v>
      </c>
      <c r="AI381" s="1109">
        <v>3.7353812156905657</v>
      </c>
      <c r="AJ381" s="1109">
        <v>2.9453929538562726</v>
      </c>
      <c r="AK381" s="1109">
        <v>5.396301474125508</v>
      </c>
      <c r="AL381" s="1109">
        <v>-8.3002667994112134</v>
      </c>
      <c r="AM381" s="1109">
        <v>-27.382650216909411</v>
      </c>
      <c r="AN381" s="1109">
        <v>-21.824232410681773</v>
      </c>
      <c r="AO381" s="1109">
        <v>-19.606091603883044</v>
      </c>
      <c r="AP381" s="1109">
        <v>-1.9878296989327509</v>
      </c>
      <c r="AQ381" s="1109">
        <v>16.84751663504656</v>
      </c>
      <c r="AR381" s="1109">
        <v>0.88581445306154682</v>
      </c>
      <c r="AS381" s="1109">
        <v>-28.938637193913657</v>
      </c>
      <c r="AT381" s="1109">
        <v>-32.144347902690811</v>
      </c>
      <c r="AU381" s="1109">
        <v>-31.070777926083309</v>
      </c>
      <c r="AV381" s="1109">
        <v>5.9173770953828511</v>
      </c>
      <c r="AW381" s="1109">
        <v>-10.578270439570225</v>
      </c>
      <c r="AX381" s="1109">
        <v>-11.047409735551241</v>
      </c>
      <c r="AY381" s="1109">
        <v>-24.313116444460313</v>
      </c>
      <c r="AZ381" s="1109">
        <v>-24.136517808904667</v>
      </c>
      <c r="BA381" s="1109">
        <v>-2.4766683911043619</v>
      </c>
      <c r="BB381" s="1109">
        <v>-17.316141108730285</v>
      </c>
      <c r="BC381" s="1109">
        <v>-9.1931573277837959</v>
      </c>
      <c r="BD381" s="1109">
        <v>-27.982951798725164</v>
      </c>
      <c r="BE381" s="1109">
        <v>-17.655069671513065</v>
      </c>
      <c r="BF381" s="1109">
        <v>-5.024255033369383</v>
      </c>
      <c r="BG381" s="1109">
        <v>-6.5234397848926537</v>
      </c>
      <c r="BH381" s="1109">
        <v>-2.2767107299289742</v>
      </c>
      <c r="BI381" s="1109">
        <v>-3.1672306820102545</v>
      </c>
      <c r="BJ381" s="1109">
        <v>-5.6925369056481188</v>
      </c>
      <c r="BK381" s="1109">
        <v>-10.731520193181243</v>
      </c>
      <c r="BL381" s="1109">
        <v>1.8425386220996951</v>
      </c>
      <c r="BM381" s="1109">
        <v>-32.403502973445207</v>
      </c>
      <c r="BN381" s="1109">
        <v>-20.812452234405004</v>
      </c>
      <c r="BO381" s="1109">
        <v>-37.637825239969992</v>
      </c>
      <c r="BP381" s="1109">
        <v>-51.441695933545859</v>
      </c>
      <c r="BQ381" s="1109">
        <v>23.360407133566159</v>
      </c>
      <c r="BR381" s="1109">
        <v>-54.134587400851153</v>
      </c>
      <c r="BS381" s="1109">
        <v>-89.453074951232622</v>
      </c>
      <c r="BT381" s="1109">
        <v>31.270405532108192</v>
      </c>
      <c r="CM381" s="1109"/>
      <c r="CO381" s="1109"/>
      <c r="CQ381" s="1109"/>
      <c r="CS381" s="1109"/>
      <c r="CU381" s="1109"/>
      <c r="CW381" s="1109"/>
      <c r="CY381" s="1109"/>
      <c r="DA381" s="1109"/>
      <c r="DC381" s="1109"/>
      <c r="DE381" s="1109"/>
      <c r="DF381" s="1109"/>
      <c r="DG381" s="1109"/>
      <c r="DH381" s="1109"/>
      <c r="DI381" s="1109"/>
    </row>
    <row r="382" spans="4:114" ht="14.45" hidden="1" outlineLevel="1" collapsed="1">
      <c r="D382" s="1611"/>
      <c r="E382" s="1619"/>
      <c r="F382" s="1107"/>
    </row>
    <row r="383" spans="4:114" ht="14.45" collapsed="1">
      <c r="D383" s="1613" t="s">
        <v>1197</v>
      </c>
      <c r="E383" s="1612" t="s">
        <v>1095</v>
      </c>
      <c r="F383" s="1106" t="s">
        <v>1190</v>
      </c>
      <c r="G383" s="1108">
        <v>4488.3050264347603</v>
      </c>
      <c r="I383" s="1108">
        <v>4836.537891513045</v>
      </c>
      <c r="K383" s="1108">
        <v>4152.91535419091</v>
      </c>
      <c r="M383" s="1108">
        <v>4243.3439296156403</v>
      </c>
      <c r="O383" s="1108">
        <v>4280.2626195701187</v>
      </c>
      <c r="Q383" s="1108">
        <v>4910.84043539291</v>
      </c>
      <c r="S383" s="1108">
        <v>4432.5911865298467</v>
      </c>
      <c r="T383" s="1108">
        <v>4579.9716317975171</v>
      </c>
      <c r="U383" s="1108">
        <v>4439.6895596053228</v>
      </c>
      <c r="V383" s="1108">
        <v>4686.7014454965019</v>
      </c>
      <c r="W383" s="1108">
        <v>3960.2341461507099</v>
      </c>
      <c r="X383" s="1108">
        <v>3874.850757247521</v>
      </c>
      <c r="Y383" s="1108">
        <v>4359.7665636194042</v>
      </c>
      <c r="Z383" s="1108">
        <v>4613.6870067391365</v>
      </c>
      <c r="AA383" s="1108">
        <v>3845.0089430733838</v>
      </c>
      <c r="AB383" s="1108">
        <v>4200.7000985481445</v>
      </c>
      <c r="AC383" s="1108">
        <v>4643</v>
      </c>
      <c r="AD383" s="1108">
        <v>4805</v>
      </c>
      <c r="AE383" s="1108">
        <v>4253</v>
      </c>
      <c r="AF383" s="1108">
        <v>4892</v>
      </c>
      <c r="AG383" s="1108">
        <v>4643</v>
      </c>
      <c r="AH383" s="1108">
        <v>4839</v>
      </c>
      <c r="AI383" s="1108">
        <v>4612</v>
      </c>
      <c r="AJ383" s="1108">
        <v>5424</v>
      </c>
      <c r="AK383" s="1108">
        <v>4901</v>
      </c>
      <c r="AL383" s="1108">
        <v>4758</v>
      </c>
      <c r="AM383" s="1108">
        <v>4944</v>
      </c>
      <c r="AN383" s="1108">
        <v>5792</v>
      </c>
      <c r="AO383" s="1108">
        <v>5353</v>
      </c>
      <c r="AP383" s="1108">
        <v>5593</v>
      </c>
      <c r="AQ383" s="1108">
        <v>5220</v>
      </c>
      <c r="AR383" s="1108">
        <v>6128</v>
      </c>
      <c r="AS383" s="1108">
        <v>5151</v>
      </c>
      <c r="AT383" s="1108">
        <v>5514</v>
      </c>
      <c r="AU383" s="1108">
        <v>5463</v>
      </c>
      <c r="AV383" s="1108">
        <v>6360</v>
      </c>
      <c r="AW383" s="1108">
        <v>5676</v>
      </c>
      <c r="AX383" s="1108">
        <v>6594</v>
      </c>
      <c r="AY383" s="1108">
        <v>6069</v>
      </c>
      <c r="AZ383" s="1108">
        <v>6424</v>
      </c>
      <c r="BA383" s="1108">
        <v>5313</v>
      </c>
      <c r="BB383" s="1108">
        <v>4808</v>
      </c>
      <c r="BC383" s="1108">
        <v>5328</v>
      </c>
      <c r="BD383" s="1108">
        <v>5529.2430256816269</v>
      </c>
      <c r="BE383" s="1108">
        <v>5056.1721318711161</v>
      </c>
      <c r="BF383" s="1108">
        <v>4901.2184908701238</v>
      </c>
      <c r="BG383" s="1108">
        <v>5358.3127546344613</v>
      </c>
      <c r="BH383" s="1108">
        <v>5693.6715524888232</v>
      </c>
      <c r="BI383" s="1108">
        <v>5177.1520275292078</v>
      </c>
      <c r="BJ383" s="1108">
        <v>5031.0077236361167</v>
      </c>
      <c r="BK383" s="1108">
        <v>5494.3874028138971</v>
      </c>
      <c r="BL383" s="1108">
        <v>5864.5454550103495</v>
      </c>
      <c r="BM383" s="1108">
        <v>5323.2861074664297</v>
      </c>
      <c r="BN383" s="1108">
        <v>5218.6310670121065</v>
      </c>
      <c r="BO383" s="1108">
        <v>5896.4581856693931</v>
      </c>
      <c r="BP383" s="1108">
        <v>6243.5872704113199</v>
      </c>
      <c r="BQ383" s="1108">
        <v>5697.0476877829151</v>
      </c>
      <c r="BR383" s="1108">
        <v>5607.5400905780452</v>
      </c>
      <c r="BS383" s="1108">
        <v>6291.1146380359851</v>
      </c>
      <c r="BT383" s="1108">
        <v>6632.2987915614303</v>
      </c>
      <c r="CK383" s="1108"/>
      <c r="CM383" s="1108"/>
      <c r="CO383" s="1108"/>
      <c r="CQ383" s="1108"/>
      <c r="CS383" s="1108"/>
      <c r="CT383" s="1108"/>
      <c r="CU383" s="1108"/>
      <c r="CV383" s="1108"/>
      <c r="CW383" s="1108"/>
      <c r="CX383" s="1108"/>
      <c r="CY383" s="1108"/>
      <c r="CZ383" s="1108"/>
      <c r="DA383" s="1108"/>
      <c r="DB383" s="1108"/>
      <c r="DC383" s="1108"/>
      <c r="DD383" s="1108"/>
      <c r="DE383" s="1108"/>
      <c r="DF383" s="1108"/>
      <c r="DG383" s="1108"/>
      <c r="DH383" s="1108"/>
      <c r="DI383" s="1108"/>
      <c r="DJ383" s="1108"/>
    </row>
    <row r="384" spans="4:114" ht="14.45" hidden="1" outlineLevel="1">
      <c r="D384" s="1611"/>
      <c r="E384" s="1619"/>
      <c r="F384" s="1106" t="s">
        <v>1191</v>
      </c>
      <c r="O384" s="1109">
        <v>-4.6352109680455031</v>
      </c>
      <c r="Q384" s="1109">
        <v>1.5362754421969478</v>
      </c>
      <c r="S384" s="1109">
        <v>6.734445768481705</v>
      </c>
      <c r="T384" s="1109">
        <v>7.9330760778650449</v>
      </c>
      <c r="U384" s="1109">
        <v>3.7246999589762528</v>
      </c>
      <c r="V384" s="1109">
        <v>-4.5641676378042391</v>
      </c>
      <c r="W384" s="1109">
        <v>-10.656453990491556</v>
      </c>
      <c r="X384" s="1109">
        <v>-15.395747642944569</v>
      </c>
      <c r="Y384" s="1109">
        <v>-1.8001933448928686</v>
      </c>
      <c r="Z384" s="1109">
        <v>-1.5579067624955245</v>
      </c>
      <c r="AA384" s="1109">
        <v>-2.9095553147867115</v>
      </c>
      <c r="AB384" s="1109">
        <v>8.4093391388340564</v>
      </c>
      <c r="AC384" s="1109">
        <v>6.4965275605366397</v>
      </c>
      <c r="AD384" s="1109">
        <v>4.1466400512521941</v>
      </c>
      <c r="AE384" s="1109">
        <v>10.610926085402074</v>
      </c>
      <c r="AF384" s="1109">
        <v>16.456778280620036</v>
      </c>
      <c r="AG384" s="1109">
        <v>0</v>
      </c>
      <c r="AH384" s="1109">
        <v>0.70759625390218517</v>
      </c>
      <c r="AI384" s="1109">
        <v>8.4411003997178469</v>
      </c>
      <c r="AJ384" s="1109">
        <v>10.874897792313982</v>
      </c>
      <c r="AK384" s="1109">
        <v>5.5567520999353865</v>
      </c>
      <c r="AL384" s="1109">
        <v>-1.6738995660260385</v>
      </c>
      <c r="AM384" s="1109">
        <v>7.1986123156981785</v>
      </c>
      <c r="AN384" s="1109">
        <v>6.7846607669616521</v>
      </c>
      <c r="AO384" s="1109">
        <v>9.2226076310956948</v>
      </c>
      <c r="AP384" s="1109">
        <v>17.549390500210173</v>
      </c>
      <c r="AQ384" s="1109">
        <v>5.5825242718446608</v>
      </c>
      <c r="AR384" s="1109">
        <v>5.8011049723756907</v>
      </c>
      <c r="AS384" s="1109">
        <v>-3.7735849056603774</v>
      </c>
      <c r="AT384" s="1109">
        <v>-1.4124798855712499</v>
      </c>
      <c r="AU384" s="1109">
        <v>4.6551724137931041</v>
      </c>
      <c r="AV384" s="1109">
        <v>3.7859007832898173</v>
      </c>
      <c r="AW384" s="1109">
        <v>10.19219569015725</v>
      </c>
      <c r="AX384" s="1109">
        <v>19.586507072905331</v>
      </c>
      <c r="AY384" s="1109">
        <v>11.092806150466776</v>
      </c>
      <c r="AZ384" s="1109">
        <v>1.0062893081761006</v>
      </c>
      <c r="BA384" s="1109">
        <v>-6.395348837209303</v>
      </c>
      <c r="BB384" s="1109">
        <v>-27.085228996057019</v>
      </c>
      <c r="BC384" s="1109">
        <v>-12.209589718240236</v>
      </c>
      <c r="BD384" s="1109">
        <v>-13.92834642463221</v>
      </c>
      <c r="BE384" s="1109">
        <v>-4.8339519692995276</v>
      </c>
      <c r="BF384" s="1109">
        <v>1.9388205255849376</v>
      </c>
      <c r="BG384" s="1109">
        <v>0.56893308247862739</v>
      </c>
      <c r="BH384" s="1109">
        <v>2.9737981500085366</v>
      </c>
      <c r="BI384" s="1109">
        <v>2.3927171089668016</v>
      </c>
      <c r="BJ384" s="1109">
        <v>2.6481013447525603</v>
      </c>
      <c r="BK384" s="1109">
        <v>2.5395055199371002</v>
      </c>
      <c r="BL384" s="1109">
        <v>3.0011197686110611</v>
      </c>
      <c r="BM384" s="1109">
        <v>2.8226731446200999</v>
      </c>
      <c r="BN384" s="1109">
        <v>3.7293392036454027</v>
      </c>
      <c r="BO384" s="1109">
        <v>7.3178455281398493</v>
      </c>
      <c r="BP384" s="1109">
        <v>6.4632769633857574</v>
      </c>
      <c r="BQ384" s="1109">
        <v>7.021256659345215</v>
      </c>
      <c r="BR384" s="1109">
        <v>7.4523187895826108</v>
      </c>
      <c r="BS384" s="1109">
        <v>6.6931103374184078</v>
      </c>
      <c r="BT384" s="1109">
        <v>6.2257722093872907</v>
      </c>
      <c r="CM384" s="1109"/>
      <c r="CO384" s="1109"/>
      <c r="CQ384" s="1109"/>
      <c r="CS384" s="1109"/>
      <c r="CU384" s="1109"/>
      <c r="CV384" s="1109"/>
      <c r="CW384" s="1109"/>
      <c r="CX384" s="1109"/>
      <c r="CY384" s="1109"/>
      <c r="CZ384" s="1109"/>
      <c r="DA384" s="1109"/>
      <c r="DB384" s="1109"/>
      <c r="DC384" s="1109"/>
      <c r="DD384" s="1109"/>
      <c r="DE384" s="1109"/>
      <c r="DF384" s="1109"/>
      <c r="DG384" s="1109"/>
      <c r="DH384" s="1109"/>
      <c r="DI384" s="1109"/>
      <c r="DJ384" s="1109"/>
    </row>
    <row r="385" spans="4:114" ht="14.45" hidden="1" outlineLevel="1" collapsed="1">
      <c r="D385" s="1611"/>
      <c r="E385" s="1619"/>
      <c r="F385" s="1106"/>
    </row>
    <row r="386" spans="4:114" ht="14.45" collapsed="1">
      <c r="D386" s="1615" t="s">
        <v>1260</v>
      </c>
      <c r="E386" s="1612" t="s">
        <v>1116</v>
      </c>
      <c r="F386" s="1107" t="s">
        <v>1190</v>
      </c>
      <c r="I386" s="1108">
        <v>0.47499999999999998</v>
      </c>
      <c r="K386" s="1108">
        <v>0.47499999999999998</v>
      </c>
      <c r="M386" s="1108">
        <v>0.375</v>
      </c>
      <c r="O386" s="1108">
        <v>0.88833333333333331</v>
      </c>
      <c r="Q386" s="1108">
        <v>1.59</v>
      </c>
      <c r="S386" s="1108">
        <v>0.78666666666666663</v>
      </c>
      <c r="T386" s="1108">
        <v>0.68825757575757562</v>
      </c>
      <c r="U386" s="1108">
        <v>1.1381239975958017</v>
      </c>
      <c r="V386" s="1108">
        <v>1.2634986138131274</v>
      </c>
      <c r="W386" s="1108">
        <v>0.88103416808597246</v>
      </c>
      <c r="X386" s="1108">
        <v>1.10157501803353</v>
      </c>
      <c r="Y386" s="1108">
        <v>0.90713704530791051</v>
      </c>
      <c r="Z386" s="1108">
        <v>1.5350801395478224</v>
      </c>
      <c r="AA386" s="1108">
        <v>1.186456781634478</v>
      </c>
      <c r="AB386" s="1108">
        <v>1.0820343563768715</v>
      </c>
      <c r="AC386" s="1108">
        <v>1.0601339026080769</v>
      </c>
      <c r="AD386" s="1108">
        <v>1.3339173410906899</v>
      </c>
      <c r="AE386" s="1108">
        <v>0.97997895888329623</v>
      </c>
      <c r="AF386" s="1108">
        <v>1.0731125700520205</v>
      </c>
      <c r="AG386" s="1108">
        <v>1.1429266431685665</v>
      </c>
      <c r="AH386" s="1108">
        <v>1.4022879537875599</v>
      </c>
      <c r="AI386" s="1108">
        <v>1.1157739720341797</v>
      </c>
      <c r="AJ386" s="1108">
        <v>1.1955597716267652</v>
      </c>
      <c r="AK386" s="1108">
        <v>1.3066703007682117</v>
      </c>
      <c r="AL386" s="1108">
        <v>1.8601050433918067</v>
      </c>
      <c r="AM386" s="1108">
        <v>1.3256939273523134</v>
      </c>
      <c r="AN386" s="1108">
        <v>1.3761525238912933</v>
      </c>
      <c r="AO386" s="1108">
        <v>1.2437938581381194</v>
      </c>
      <c r="AP386" s="1108">
        <v>1.9703588686200084</v>
      </c>
      <c r="AQ386" s="1108">
        <v>1.335104357806985</v>
      </c>
      <c r="AR386" s="1108">
        <v>1.71134035699877</v>
      </c>
      <c r="AS386" s="1108">
        <v>1.6097367959846201</v>
      </c>
      <c r="AT386" s="1108">
        <v>2.0770644522748367</v>
      </c>
      <c r="AU386" s="1108">
        <v>1.5348197348588417</v>
      </c>
      <c r="AV386" s="1108">
        <v>1.4549419359695666</v>
      </c>
      <c r="AW386" s="1108">
        <v>1.44413315091275</v>
      </c>
      <c r="AX386" s="1108">
        <v>2.3153114330658151</v>
      </c>
      <c r="AY386" s="1108">
        <v>1.7592512039288033</v>
      </c>
      <c r="AZ386" s="1108">
        <v>1.8853517079338125</v>
      </c>
      <c r="BA386" s="1108">
        <v>1.227568513047576</v>
      </c>
      <c r="BB386" s="1108">
        <v>1.6352358745969999</v>
      </c>
      <c r="BC386" s="1108">
        <v>1.1904670063859832</v>
      </c>
      <c r="BD386" s="1108">
        <v>1.2816439366709658</v>
      </c>
      <c r="BE386" s="1108">
        <v>1.2551701232733921</v>
      </c>
      <c r="BF386" s="1108">
        <v>1.5799451455488984</v>
      </c>
      <c r="BG386" s="1108">
        <v>1.2482624369588715</v>
      </c>
      <c r="BH386" s="1108">
        <v>1.3288030785059415</v>
      </c>
      <c r="BI386" s="1108">
        <v>1.3627299213091346</v>
      </c>
      <c r="BJ386" s="1108">
        <v>1.7606801941158461</v>
      </c>
      <c r="BK386" s="1108">
        <v>1.2305010370435197</v>
      </c>
      <c r="BL386" s="1108">
        <v>1.2229837049691099</v>
      </c>
      <c r="BM386" s="1108">
        <v>1.4721175474315951</v>
      </c>
      <c r="BN386" s="1108">
        <v>1.9575312372930549</v>
      </c>
      <c r="BO386" s="1108">
        <v>1.4864164661930199</v>
      </c>
      <c r="BP386" s="1108">
        <v>1.4763590337695649</v>
      </c>
      <c r="BQ386" s="1108">
        <v>1.8583305183480701</v>
      </c>
      <c r="BR386" s="1108">
        <v>1.86994101372038</v>
      </c>
      <c r="BS386" s="1108">
        <v>1.48705550308154</v>
      </c>
      <c r="BT386" s="1108">
        <v>1.5102583294944201</v>
      </c>
      <c r="CK386" s="1108"/>
      <c r="CM386" s="1108"/>
      <c r="CO386" s="1108"/>
      <c r="CQ386" s="1108"/>
      <c r="CS386" s="1108"/>
      <c r="CU386" s="1108"/>
      <c r="CW386" s="1108"/>
      <c r="CY386" s="1108"/>
      <c r="DA386" s="1108"/>
      <c r="DC386" s="1108"/>
      <c r="DE386" s="1108"/>
      <c r="DF386" s="1108"/>
      <c r="DG386" s="1108"/>
      <c r="DH386" s="1108"/>
      <c r="DI386" s="1108"/>
    </row>
    <row r="387" spans="4:114" ht="14.45" hidden="1" outlineLevel="1">
      <c r="D387" s="1611"/>
      <c r="E387" s="1619"/>
      <c r="F387" s="1107" t="s">
        <v>1191</v>
      </c>
      <c r="Q387" s="1109">
        <v>234.73684210526324</v>
      </c>
      <c r="S387" s="1109">
        <v>65.614035087719301</v>
      </c>
      <c r="T387" s="1109">
        <v>83.535353535353494</v>
      </c>
      <c r="U387" s="1109">
        <v>28.119024119602447</v>
      </c>
      <c r="V387" s="1109">
        <v>-20.53467837653287</v>
      </c>
      <c r="W387" s="1109">
        <v>11.99586882448803</v>
      </c>
      <c r="X387" s="1109">
        <v>60.052726890947696</v>
      </c>
      <c r="Y387" s="1109">
        <v>-20.295411815921039</v>
      </c>
      <c r="Z387" s="1109">
        <v>21.49440630687246</v>
      </c>
      <c r="AA387" s="1109">
        <v>34.66637556316681</v>
      </c>
      <c r="AB387" s="1109">
        <v>-1.7738838786977358</v>
      </c>
      <c r="AC387" s="1109">
        <v>16.865903348510539</v>
      </c>
      <c r="AD387" s="1109">
        <v>-13.104384147422268</v>
      </c>
      <c r="AE387" s="1109">
        <v>-17.402894563654925</v>
      </c>
      <c r="AF387" s="1109">
        <v>-0.82453817406732288</v>
      </c>
      <c r="AG387" s="1109">
        <v>7.8096493619162555</v>
      </c>
      <c r="AH387" s="1109">
        <v>5.1255509311368641</v>
      </c>
      <c r="AI387" s="1109">
        <v>13.856931510613693</v>
      </c>
      <c r="AJ387" s="1109">
        <v>11.410471276914485</v>
      </c>
      <c r="AK387" s="1109">
        <v>14.326698793694595</v>
      </c>
      <c r="AL387" s="1109">
        <v>32.647865822970907</v>
      </c>
      <c r="AM387" s="1109">
        <v>18.813842281642966</v>
      </c>
      <c r="AN387" s="1109">
        <v>15.105288464064035</v>
      </c>
      <c r="AO387" s="1109">
        <v>-4.8119592672402716</v>
      </c>
      <c r="AP387" s="1109">
        <v>5.9272902688957547</v>
      </c>
      <c r="AQ387" s="1109">
        <v>0.70984940494267712</v>
      </c>
      <c r="AR387" s="1109">
        <v>24.35688103522704</v>
      </c>
      <c r="AS387" s="1109">
        <v>29.421510280995765</v>
      </c>
      <c r="AT387" s="1109">
        <v>5.4155405573179829</v>
      </c>
      <c r="AU387" s="1109">
        <v>14.958783999469905</v>
      </c>
      <c r="AV387" s="1109">
        <v>-14.982316053064814</v>
      </c>
      <c r="AW387" s="1109">
        <v>-10.287622515988778</v>
      </c>
      <c r="AX387" s="1109">
        <v>11.470370143307118</v>
      </c>
      <c r="AY387" s="1109">
        <v>14.622659845496624</v>
      </c>
      <c r="AZ387" s="1109">
        <v>29.582608166244302</v>
      </c>
      <c r="BA387" s="1109">
        <v>-14.996168305415361</v>
      </c>
      <c r="BB387" s="1109">
        <v>-29.372962477375857</v>
      </c>
      <c r="BC387" s="1109">
        <v>-32.331039266740142</v>
      </c>
      <c r="BD387" s="1109">
        <v>-32.020962917548147</v>
      </c>
      <c r="BE387" s="1109">
        <v>2.2484781853268623</v>
      </c>
      <c r="BF387" s="1109">
        <v>-3.3812081735136696</v>
      </c>
      <c r="BG387" s="1109">
        <v>4.854853621550042</v>
      </c>
      <c r="BH387" s="1109">
        <v>3.6795821745523387</v>
      </c>
      <c r="BI387" s="1109">
        <v>8.5693402066673219</v>
      </c>
      <c r="BJ387" s="1109">
        <v>11.439324275030916</v>
      </c>
      <c r="BK387" s="1109">
        <v>-1.4228898819244911</v>
      </c>
      <c r="BL387" s="1109">
        <v>-7.9635105643953725</v>
      </c>
      <c r="BM387" s="1109">
        <v>8.0270950547101059</v>
      </c>
      <c r="BN387" s="1109">
        <v>11.180397430213652</v>
      </c>
      <c r="BO387" s="1109">
        <v>20.797660582585042</v>
      </c>
      <c r="BP387" s="1109">
        <v>20.717800880826516</v>
      </c>
      <c r="BQ387" s="1109">
        <v>26.235199192503423</v>
      </c>
      <c r="BR387" s="1109">
        <v>-4.4745249477498916</v>
      </c>
      <c r="BS387" s="1109">
        <v>4.2991779427522157E-2</v>
      </c>
      <c r="BT387" s="1109">
        <v>2.2961417209132811</v>
      </c>
      <c r="CM387" s="1109"/>
      <c r="CO387" s="1109"/>
      <c r="CQ387" s="1109"/>
      <c r="CS387" s="1109"/>
      <c r="CU387" s="1109"/>
      <c r="CW387" s="1109"/>
      <c r="CY387" s="1109"/>
      <c r="DA387" s="1109"/>
      <c r="DC387" s="1109"/>
      <c r="DE387" s="1109"/>
      <c r="DF387" s="1109"/>
      <c r="DG387" s="1109"/>
      <c r="DH387" s="1109"/>
      <c r="DI387" s="1109"/>
    </row>
    <row r="388" spans="4:114" ht="14.45" hidden="1" outlineLevel="1" collapsed="1">
      <c r="D388" s="1611"/>
      <c r="E388" s="1619"/>
      <c r="F388" s="1107"/>
    </row>
    <row r="389" spans="4:114" ht="14.45" collapsed="1">
      <c r="D389" s="1615" t="s">
        <v>1261</v>
      </c>
      <c r="E389" s="1612" t="s">
        <v>1245</v>
      </c>
      <c r="F389" s="1106" t="s">
        <v>1190</v>
      </c>
      <c r="I389" s="1108">
        <v>495.14295113552748</v>
      </c>
      <c r="K389" s="1108">
        <v>555.70307040640591</v>
      </c>
      <c r="M389" s="1108">
        <v>508.11589931734596</v>
      </c>
      <c r="O389" s="1108">
        <v>546.16925978312099</v>
      </c>
      <c r="Q389" s="1108">
        <v>920.68679738562003</v>
      </c>
      <c r="S389" s="1108">
        <v>666.54761904761904</v>
      </c>
      <c r="T389" s="1108">
        <v>653.88888888888903</v>
      </c>
      <c r="U389" s="1108">
        <v>849.87413444319498</v>
      </c>
      <c r="V389" s="1108">
        <v>893.50715859624529</v>
      </c>
      <c r="W389" s="1108">
        <v>815.04504676087799</v>
      </c>
      <c r="X389" s="1108">
        <v>825.5398925328393</v>
      </c>
      <c r="Y389" s="1108">
        <v>747.45292633556573</v>
      </c>
      <c r="Z389" s="1108">
        <v>942.42313436264772</v>
      </c>
      <c r="AA389" s="1108">
        <v>983.65299853080569</v>
      </c>
      <c r="AB389" s="1108">
        <v>952.02191516616176</v>
      </c>
      <c r="AC389" s="1108">
        <v>941.67872480415417</v>
      </c>
      <c r="AD389" s="1108">
        <v>1028.2948550636543</v>
      </c>
      <c r="AE389" s="1108">
        <v>919.27242286843625</v>
      </c>
      <c r="AF389" s="1108">
        <v>962.84797673732555</v>
      </c>
      <c r="AG389" s="1108">
        <v>950.17220251922129</v>
      </c>
      <c r="AH389" s="1108">
        <v>1058.7930315028107</v>
      </c>
      <c r="AI389" s="1108">
        <v>1091.482501105254</v>
      </c>
      <c r="AJ389" s="1108">
        <v>1144.3998926164259</v>
      </c>
      <c r="AK389" s="1108">
        <v>990.04232468476619</v>
      </c>
      <c r="AL389" s="1108">
        <v>1125.7575786357224</v>
      </c>
      <c r="AM389" s="1108">
        <v>1134.8939871564244</v>
      </c>
      <c r="AN389" s="1108">
        <v>1128.5517437927049</v>
      </c>
      <c r="AO389" s="1108">
        <v>1006.190997533531</v>
      </c>
      <c r="AP389" s="1108">
        <v>950.93416022079816</v>
      </c>
      <c r="AQ389" s="1108">
        <v>1148.9001430846979</v>
      </c>
      <c r="AR389" s="1108">
        <v>1181.8221064172133</v>
      </c>
      <c r="AS389" s="1108">
        <v>1095.2923547517553</v>
      </c>
      <c r="AT389" s="1108">
        <v>1112.4754620117367</v>
      </c>
      <c r="AU389" s="1108">
        <v>1146.5628626331279</v>
      </c>
      <c r="AV389" s="1108">
        <v>1102.7853279130102</v>
      </c>
      <c r="AW389" s="1108">
        <v>1030.456032391578</v>
      </c>
      <c r="AX389" s="1108">
        <v>1097.5570545696223</v>
      </c>
      <c r="AY389" s="1108">
        <v>1132.8271275906945</v>
      </c>
      <c r="AZ389" s="1108">
        <v>1028.5568369285641</v>
      </c>
      <c r="BA389" s="1108">
        <v>1028.7167093621604</v>
      </c>
      <c r="BB389" s="1108">
        <v>1023.6364134239619</v>
      </c>
      <c r="BC389" s="1108">
        <v>1057.1658958007824</v>
      </c>
      <c r="BD389" s="1108">
        <v>1003.4527195125404</v>
      </c>
      <c r="BE389" s="1108">
        <v>957.9416351816468</v>
      </c>
      <c r="BF389" s="1108">
        <v>1004.1485918941278</v>
      </c>
      <c r="BG389" s="1108">
        <v>991.91319039952464</v>
      </c>
      <c r="BH389" s="1108">
        <v>1036.7569430865719</v>
      </c>
      <c r="BI389" s="1108">
        <v>915.19645228200932</v>
      </c>
      <c r="BJ389" s="1108">
        <v>866.13100623917433</v>
      </c>
      <c r="BK389" s="1108">
        <v>917.06575196981146</v>
      </c>
      <c r="BL389" s="1108">
        <v>1043.0858429924531</v>
      </c>
      <c r="BM389" s="1108">
        <v>988.03076404656895</v>
      </c>
      <c r="BN389" s="1108">
        <v>889.99794255498205</v>
      </c>
      <c r="BO389" s="1108">
        <v>773.19624205214802</v>
      </c>
      <c r="BP389" s="1108">
        <v>955.39859527511601</v>
      </c>
      <c r="BQ389" s="1108">
        <v>1008.3007863458701</v>
      </c>
      <c r="BR389" s="1108">
        <v>1008.3007863458701</v>
      </c>
      <c r="BS389" s="1108">
        <v>1008.3007863458701</v>
      </c>
      <c r="BT389" s="1108">
        <v>1008.3007863458701</v>
      </c>
      <c r="CK389" s="1108"/>
      <c r="CM389" s="1108"/>
      <c r="CO389" s="1108"/>
      <c r="CQ389" s="1108"/>
      <c r="CS389" s="1108"/>
      <c r="CU389" s="1108"/>
      <c r="CW389" s="1108"/>
      <c r="CY389" s="1108"/>
      <c r="DA389" s="1108"/>
      <c r="DC389" s="1108"/>
      <c r="DE389" s="1108"/>
      <c r="DF389" s="1108"/>
      <c r="DG389" s="1108"/>
      <c r="DH389" s="1108"/>
      <c r="DI389" s="1108"/>
    </row>
    <row r="390" spans="4:114" ht="14.45" hidden="1" outlineLevel="1">
      <c r="D390" s="1611"/>
      <c r="E390" s="1619"/>
      <c r="F390" s="1106" t="s">
        <v>1191</v>
      </c>
      <c r="Q390" s="1109">
        <v>85.943634110952999</v>
      </c>
      <c r="S390" s="1109">
        <v>19.946722367423391</v>
      </c>
      <c r="T390" s="1109">
        <v>28.688925059693894</v>
      </c>
      <c r="U390" s="1109">
        <v>55.606365466389029</v>
      </c>
      <c r="V390" s="1109">
        <v>-2.9521047620704421</v>
      </c>
      <c r="W390" s="1109">
        <v>22.278592477074035</v>
      </c>
      <c r="X390" s="1109">
        <v>26.250790701708617</v>
      </c>
      <c r="Y390" s="1109">
        <v>-12.05133842256909</v>
      </c>
      <c r="Z390" s="1109">
        <v>5.4746036778544038</v>
      </c>
      <c r="AA390" s="1109">
        <v>20.686948830620246</v>
      </c>
      <c r="AB390" s="1109">
        <v>15.32112787975187</v>
      </c>
      <c r="AC390" s="1109">
        <v>25.985020812051996</v>
      </c>
      <c r="AD390" s="1109">
        <v>9.1118010127245892</v>
      </c>
      <c r="AE390" s="1109">
        <v>-6.5450495000298812</v>
      </c>
      <c r="AF390" s="1109">
        <v>1.1371651638160303</v>
      </c>
      <c r="AG390" s="1109">
        <v>0.90195068565805692</v>
      </c>
      <c r="AH390" s="1109">
        <v>2.965897990150741</v>
      </c>
      <c r="AI390" s="1109">
        <v>18.733301897544681</v>
      </c>
      <c r="AJ390" s="1109">
        <v>18.855719725797325</v>
      </c>
      <c r="AK390" s="1109">
        <v>4.1960943563530906</v>
      </c>
      <c r="AL390" s="1109">
        <v>6.3246116229028111</v>
      </c>
      <c r="AM390" s="1109">
        <v>3.9772956513009778</v>
      </c>
      <c r="AN390" s="1109">
        <v>-1.3848436133183804</v>
      </c>
      <c r="AO390" s="1109">
        <v>1.6311093421088461</v>
      </c>
      <c r="AP390" s="1109">
        <v>-15.529401865256675</v>
      </c>
      <c r="AQ390" s="1109">
        <v>1.234137821398382</v>
      </c>
      <c r="AR390" s="1109">
        <v>4.7202410449948502</v>
      </c>
      <c r="AS390" s="1109">
        <v>8.8553125039518168</v>
      </c>
      <c r="AT390" s="1109">
        <v>16.987643156433681</v>
      </c>
      <c r="AU390" s="1109">
        <v>-0.2034363443714611</v>
      </c>
      <c r="AV390" s="1109">
        <v>-6.6877052032652609</v>
      </c>
      <c r="AW390" s="1109">
        <v>-5.9195448666189447</v>
      </c>
      <c r="AX390" s="1109">
        <v>-1.3410100223816861</v>
      </c>
      <c r="AY390" s="1109">
        <v>-1.1979923203590157</v>
      </c>
      <c r="AZ390" s="1109">
        <v>-6.7310009578130163</v>
      </c>
      <c r="BA390" s="1109">
        <v>-0.16879158108093528</v>
      </c>
      <c r="BB390" s="1109">
        <v>-6.7350158096925909</v>
      </c>
      <c r="BC390" s="1109">
        <v>-6.6789742183195235</v>
      </c>
      <c r="BD390" s="1109">
        <v>-2.4407127068435597</v>
      </c>
      <c r="BE390" s="1109">
        <v>-6.8799382314297732</v>
      </c>
      <c r="BF390" s="1109">
        <v>-1.9037835382046762</v>
      </c>
      <c r="BG390" s="1109">
        <v>-6.1724186961054164</v>
      </c>
      <c r="BH390" s="1109">
        <v>3.3189629094044557</v>
      </c>
      <c r="BI390" s="1109">
        <v>-4.4621907358199397</v>
      </c>
      <c r="BJ390" s="1109">
        <v>-13.744737259911957</v>
      </c>
      <c r="BK390" s="1109">
        <v>-7.5457650078799734</v>
      </c>
      <c r="BL390" s="1109">
        <v>0.61045165388901224</v>
      </c>
      <c r="BM390" s="1109">
        <v>7.9583254046658407</v>
      </c>
      <c r="BN390" s="1109">
        <v>2.7555804080309163</v>
      </c>
      <c r="BO390" s="1109">
        <v>-15.688025597798076</v>
      </c>
      <c r="BP390" s="1109">
        <v>-8.4065226564455937</v>
      </c>
      <c r="BQ390" s="1109">
        <v>2.0515578094232008</v>
      </c>
      <c r="BR390" s="1109">
        <v>13.292485087242719</v>
      </c>
      <c r="BS390" s="1109">
        <v>30.4068400112407</v>
      </c>
      <c r="BT390" s="1109">
        <v>5.5371853519964995</v>
      </c>
      <c r="CM390" s="1109"/>
      <c r="CO390" s="1109"/>
      <c r="CQ390" s="1109"/>
      <c r="CS390" s="1109"/>
      <c r="CU390" s="1109"/>
      <c r="CW390" s="1109"/>
      <c r="CY390" s="1109"/>
      <c r="DA390" s="1109"/>
      <c r="DC390" s="1109"/>
      <c r="DE390" s="1109"/>
      <c r="DF390" s="1109"/>
      <c r="DG390" s="1109"/>
      <c r="DH390" s="1109"/>
      <c r="DI390" s="1109"/>
    </row>
    <row r="391" spans="4:114" ht="14.45" hidden="1" outlineLevel="1" collapsed="1">
      <c r="D391" s="1611"/>
      <c r="E391" s="1619"/>
      <c r="F391" s="1106"/>
    </row>
    <row r="392" spans="4:114" ht="14.45" collapsed="1">
      <c r="D392" s="1614" t="s">
        <v>1198</v>
      </c>
      <c r="E392" s="1612" t="s">
        <v>1095</v>
      </c>
      <c r="F392" s="1107" t="s">
        <v>1190</v>
      </c>
      <c r="I392" s="1108">
        <v>303.66666666666669</v>
      </c>
      <c r="K392" s="1108">
        <v>348.23655913978502</v>
      </c>
      <c r="M392" s="1108">
        <v>201.09677419354833</v>
      </c>
      <c r="O392" s="1108">
        <v>400</v>
      </c>
      <c r="Q392" s="1108">
        <v>893</v>
      </c>
      <c r="S392" s="1108">
        <v>494</v>
      </c>
      <c r="T392" s="1108">
        <v>409</v>
      </c>
      <c r="U392" s="1108">
        <v>908</v>
      </c>
      <c r="V392" s="1108">
        <v>1104</v>
      </c>
      <c r="W392" s="1108">
        <v>713</v>
      </c>
      <c r="X392" s="1108">
        <v>888</v>
      </c>
      <c r="Y392" s="1108">
        <v>672</v>
      </c>
      <c r="Z392" s="1108">
        <v>1352</v>
      </c>
      <c r="AA392" s="1108">
        <v>1111</v>
      </c>
      <c r="AB392" s="1108">
        <v>965</v>
      </c>
      <c r="AC392" s="1108">
        <v>926</v>
      </c>
      <c r="AD392" s="1108">
        <v>1321</v>
      </c>
      <c r="AE392" s="1108">
        <v>831</v>
      </c>
      <c r="AF392" s="1108">
        <v>948</v>
      </c>
      <c r="AG392" s="1108">
        <v>1037</v>
      </c>
      <c r="AH392" s="1108">
        <v>1335</v>
      </c>
      <c r="AI392" s="1108">
        <v>1094</v>
      </c>
      <c r="AJ392" s="1108">
        <v>1185</v>
      </c>
      <c r="AK392" s="1108">
        <v>1180</v>
      </c>
      <c r="AL392" s="1108">
        <v>1860</v>
      </c>
      <c r="AM392" s="1108">
        <v>1329</v>
      </c>
      <c r="AN392" s="1108">
        <v>1350</v>
      </c>
      <c r="AO392" s="1108">
        <v>1136</v>
      </c>
      <c r="AP392" s="1108">
        <v>1976</v>
      </c>
      <c r="AQ392" s="1108">
        <v>1340</v>
      </c>
      <c r="AR392" s="1108">
        <v>1724</v>
      </c>
      <c r="AS392" s="1108">
        <v>1553</v>
      </c>
      <c r="AT392" s="1108">
        <v>2045</v>
      </c>
      <c r="AU392" s="1108">
        <v>1504</v>
      </c>
      <c r="AV392" s="1108">
        <v>1376</v>
      </c>
      <c r="AW392" s="1108">
        <v>1286</v>
      </c>
      <c r="AX392" s="1108">
        <v>2207</v>
      </c>
      <c r="AY392" s="1108">
        <v>1699</v>
      </c>
      <c r="AZ392" s="1108">
        <v>1512</v>
      </c>
      <c r="BA392" s="1108">
        <v>1293.8886575231156</v>
      </c>
      <c r="BB392" s="1108">
        <v>1477.5277226459229</v>
      </c>
      <c r="BC392" s="1108">
        <v>1282.5241135658428</v>
      </c>
      <c r="BD392" s="1108">
        <v>1161.9682990556173</v>
      </c>
      <c r="BE392" s="1108">
        <v>1141.6113570613963</v>
      </c>
      <c r="BF392" s="1108">
        <v>1373.0592133532928</v>
      </c>
      <c r="BG392" s="1108">
        <v>1276.0020598075921</v>
      </c>
      <c r="BH392" s="1108">
        <v>1217.9612646329335</v>
      </c>
      <c r="BI392" s="1108">
        <v>1207.8643119673411</v>
      </c>
      <c r="BJ392" s="1108">
        <v>1436.2835570948091</v>
      </c>
      <c r="BK392" s="1108">
        <v>1389.8855503429813</v>
      </c>
      <c r="BL392" s="1108">
        <v>1284.8257946677911</v>
      </c>
      <c r="BM392" s="1108">
        <v>1434.6081597408199</v>
      </c>
      <c r="BN392" s="1108">
        <v>1588.6565519574999</v>
      </c>
      <c r="BO392" s="1108">
        <v>1686.3129409253268</v>
      </c>
      <c r="BP392" s="1108">
        <v>1454.2064721576101</v>
      </c>
      <c r="BQ392" s="1108">
        <v>1478.5012055781967</v>
      </c>
      <c r="BR392" s="1108">
        <v>1629.3237982903599</v>
      </c>
      <c r="BS392" s="1108">
        <v>1708.2520517212299</v>
      </c>
      <c r="BT392" s="1108">
        <v>1510.9282249727432</v>
      </c>
      <c r="CK392" s="1108"/>
      <c r="CM392" s="1108"/>
      <c r="CO392" s="1108"/>
      <c r="CQ392" s="1108"/>
      <c r="CS392" s="1108"/>
      <c r="CU392" s="1108"/>
      <c r="CW392" s="1108"/>
      <c r="CY392" s="1108"/>
      <c r="DA392" s="1108"/>
      <c r="DC392" s="1108"/>
      <c r="DE392" s="1108"/>
      <c r="DF392" s="1108"/>
      <c r="DG392" s="1108"/>
      <c r="DH392" s="1108"/>
      <c r="DI392" s="1108"/>
    </row>
    <row r="393" spans="4:114" ht="14.45" hidden="1" outlineLevel="1">
      <c r="D393" s="1611"/>
      <c r="E393" s="1619"/>
      <c r="F393" s="1107" t="s">
        <v>1191</v>
      </c>
      <c r="Q393" s="1109">
        <v>194.07244785949501</v>
      </c>
      <c r="S393" s="1109">
        <v>41.857592787006702</v>
      </c>
      <c r="T393" s="1109">
        <v>103.3846647417389</v>
      </c>
      <c r="U393" s="1109">
        <v>127</v>
      </c>
      <c r="V393" s="1109">
        <v>23.628219484882418</v>
      </c>
      <c r="W393" s="1109">
        <v>44.331983805668017</v>
      </c>
      <c r="X393" s="1109">
        <v>117.11491442542787</v>
      </c>
      <c r="Y393" s="1109">
        <v>-25.991189427312776</v>
      </c>
      <c r="Z393" s="1109">
        <v>22.463768115942027</v>
      </c>
      <c r="AA393" s="1109">
        <v>55.820476858345025</v>
      </c>
      <c r="AB393" s="1109">
        <v>8.6711711711711708</v>
      </c>
      <c r="AC393" s="1109">
        <v>37.797619047619044</v>
      </c>
      <c r="AD393" s="1109">
        <v>-2.2928994082840237</v>
      </c>
      <c r="AE393" s="1109">
        <v>-25.202520252025202</v>
      </c>
      <c r="AF393" s="1109">
        <v>-1.7616580310880827</v>
      </c>
      <c r="AG393" s="1109">
        <v>11.987041036717063</v>
      </c>
      <c r="AH393" s="1109">
        <v>1.0598031794095382</v>
      </c>
      <c r="AI393" s="1109">
        <v>31.648616125150419</v>
      </c>
      <c r="AJ393" s="1109">
        <v>25</v>
      </c>
      <c r="AK393" s="1109">
        <v>13.789778206364515</v>
      </c>
      <c r="AL393" s="1109">
        <v>39.325842696629216</v>
      </c>
      <c r="AM393" s="1109">
        <v>21.480804387568554</v>
      </c>
      <c r="AN393" s="1109">
        <v>13.924050632911392</v>
      </c>
      <c r="AO393" s="1109">
        <v>-3.7288135593220342</v>
      </c>
      <c r="AP393" s="1109">
        <v>6.236559139784946</v>
      </c>
      <c r="AQ393" s="1109">
        <v>0.82768999247554553</v>
      </c>
      <c r="AR393" s="1109">
        <v>27.703703703703702</v>
      </c>
      <c r="AS393" s="1109">
        <v>36.70774647887324</v>
      </c>
      <c r="AT393" s="1109">
        <v>3.4919028340080973</v>
      </c>
      <c r="AU393" s="1109">
        <v>12.238805970149254</v>
      </c>
      <c r="AV393" s="1109">
        <v>-20.185614849187935</v>
      </c>
      <c r="AW393" s="1109">
        <v>-17.192530585962654</v>
      </c>
      <c r="AX393" s="1109">
        <v>7.9217603911980436</v>
      </c>
      <c r="AY393" s="1109">
        <v>12.965425531914892</v>
      </c>
      <c r="AZ393" s="1109">
        <v>9.8837209302325579</v>
      </c>
      <c r="BA393" s="1109">
        <v>0.61342593492345454</v>
      </c>
      <c r="BB393" s="1109">
        <v>-33.052663224017991</v>
      </c>
      <c r="BC393" s="1109">
        <v>-24.513000967284125</v>
      </c>
      <c r="BD393" s="1109">
        <v>-23.150244771453881</v>
      </c>
      <c r="BE393" s="1109">
        <v>-11.768964785055225</v>
      </c>
      <c r="BF393" s="1109">
        <v>-7.0704940212932428</v>
      </c>
      <c r="BG393" s="1109">
        <v>-0.50853264194130232</v>
      </c>
      <c r="BH393" s="1109">
        <v>4.8188031999516827</v>
      </c>
      <c r="BI393" s="1109">
        <v>5.803459688460479</v>
      </c>
      <c r="BJ393" s="1109">
        <v>4.6046334438199148</v>
      </c>
      <c r="BK393" s="1109">
        <v>8.925024035820261</v>
      </c>
      <c r="BL393" s="1109">
        <v>5.4898732805767079</v>
      </c>
      <c r="BM393" s="1109">
        <v>18.772294663145047</v>
      </c>
      <c r="BN393" s="1109">
        <v>10.608837935240155</v>
      </c>
      <c r="BO393" s="1109">
        <v>21.327467611214189</v>
      </c>
      <c r="BP393" s="1109">
        <v>13.183162899808886</v>
      </c>
      <c r="BQ393" s="1109">
        <v>3.0595842871343097</v>
      </c>
      <c r="BR393" s="1109">
        <v>2.5598513588573275</v>
      </c>
      <c r="BS393" s="1109">
        <v>1.301010640638538</v>
      </c>
      <c r="BT393" s="1109">
        <v>3.9005295259740502</v>
      </c>
      <c r="CM393" s="1109"/>
      <c r="CO393" s="1109"/>
      <c r="CQ393" s="1109"/>
      <c r="CS393" s="1109"/>
      <c r="CU393" s="1109"/>
      <c r="CW393" s="1109"/>
      <c r="CY393" s="1109"/>
      <c r="DA393" s="1109"/>
      <c r="DC393" s="1109"/>
      <c r="DE393" s="1109"/>
      <c r="DF393" s="1109"/>
      <c r="DG393" s="1109"/>
      <c r="DH393" s="1109"/>
      <c r="DI393" s="1109"/>
    </row>
    <row r="394" spans="4:114" ht="14.45" hidden="1" outlineLevel="1" collapsed="1">
      <c r="D394" s="1611"/>
      <c r="E394" s="1619"/>
      <c r="F394" s="1107"/>
    </row>
    <row r="395" spans="4:114" ht="14.45" collapsed="1">
      <c r="D395" s="1614" t="s">
        <v>1199</v>
      </c>
      <c r="E395" s="1612" t="s">
        <v>1095</v>
      </c>
      <c r="F395" s="1106" t="s">
        <v>1190</v>
      </c>
      <c r="G395" s="1108">
        <v>120</v>
      </c>
      <c r="I395" s="1108">
        <v>120</v>
      </c>
      <c r="K395" s="1108">
        <v>60</v>
      </c>
      <c r="M395" s="1108">
        <v>100</v>
      </c>
      <c r="O395" s="1108">
        <v>99.267516842018367</v>
      </c>
      <c r="Q395" s="1108">
        <v>394.58788297791619</v>
      </c>
      <c r="S395" s="1108">
        <v>209.50993877064269</v>
      </c>
      <c r="T395" s="1108">
        <v>191.90127904396391</v>
      </c>
      <c r="U395" s="1108">
        <v>200.48966020545916</v>
      </c>
      <c r="V395" s="1108">
        <v>441.60013284695475</v>
      </c>
      <c r="W395" s="1108">
        <v>153.92122036268702</v>
      </c>
      <c r="X395" s="1108">
        <v>111.91228070175437</v>
      </c>
      <c r="Y395" s="1108">
        <v>319.20135480436164</v>
      </c>
      <c r="Z395" s="1108">
        <v>510.5625344144616</v>
      </c>
      <c r="AA395" s="1108">
        <v>350.58</v>
      </c>
      <c r="AB395" s="1108">
        <v>209.68473684210525</v>
      </c>
      <c r="AC395" s="1108">
        <v>436</v>
      </c>
      <c r="AD395" s="1108">
        <v>376</v>
      </c>
      <c r="AE395" s="1108">
        <v>127</v>
      </c>
      <c r="AF395" s="1108">
        <v>97</v>
      </c>
      <c r="AG395" s="1108">
        <v>117</v>
      </c>
      <c r="AH395" s="1108">
        <v>143</v>
      </c>
      <c r="AI395" s="1108">
        <v>125</v>
      </c>
      <c r="AJ395" s="1108">
        <v>98</v>
      </c>
      <c r="AK395" s="1108">
        <v>81</v>
      </c>
      <c r="AL395" s="1108">
        <v>88</v>
      </c>
      <c r="AM395" s="1108">
        <v>94</v>
      </c>
      <c r="AN395" s="1108">
        <v>113</v>
      </c>
      <c r="AO395" s="1108">
        <v>66</v>
      </c>
      <c r="AP395" s="1108">
        <v>72</v>
      </c>
      <c r="AQ395" s="1108">
        <v>72</v>
      </c>
      <c r="AR395" s="1108">
        <v>71</v>
      </c>
      <c r="AS395" s="1108">
        <v>67</v>
      </c>
      <c r="AT395" s="1108">
        <v>75</v>
      </c>
      <c r="AU395" s="1108">
        <v>95</v>
      </c>
      <c r="AV395" s="1108">
        <v>76</v>
      </c>
      <c r="AW395" s="1108">
        <v>90.299235714285416</v>
      </c>
      <c r="AX395" s="1108">
        <v>150</v>
      </c>
      <c r="AY395" s="1108">
        <v>65</v>
      </c>
      <c r="AZ395" s="1108">
        <v>90.225636363636355</v>
      </c>
      <c r="BA395" s="1108">
        <v>140.25644568005774</v>
      </c>
      <c r="BB395" s="1108">
        <v>26.56273728355962</v>
      </c>
      <c r="BC395" s="1108">
        <v>122.8590110727699</v>
      </c>
      <c r="BD395" s="1108">
        <v>79.986433622828756</v>
      </c>
      <c r="BE395" s="1108">
        <v>106.37717274835983</v>
      </c>
      <c r="BF395" s="1108">
        <v>93.65349707049414</v>
      </c>
      <c r="BG395" s="1108">
        <v>111.53119262267703</v>
      </c>
      <c r="BH395" s="1108">
        <v>80.329545622828761</v>
      </c>
      <c r="BI395" s="1108">
        <v>102.14072722973098</v>
      </c>
      <c r="BJ395" s="1108">
        <v>90.360677384949085</v>
      </c>
      <c r="BK395" s="1108">
        <v>113.15833301162574</v>
      </c>
      <c r="BL395" s="1108">
        <v>76.664561274101374</v>
      </c>
      <c r="BM395" s="1108">
        <v>77.795798276163765</v>
      </c>
      <c r="BN395" s="1108">
        <v>50.026875882694348</v>
      </c>
      <c r="BO395" s="1108">
        <v>143.51224060650901</v>
      </c>
      <c r="BP395" s="1108">
        <v>48.826265339200049</v>
      </c>
      <c r="BQ395" s="1108">
        <v>80.083609470575297</v>
      </c>
      <c r="BR395" s="1108">
        <v>50.170514641521301</v>
      </c>
      <c r="BS395" s="1108">
        <v>144.62658801257399</v>
      </c>
      <c r="BT395" s="1108">
        <v>48.986777992592053</v>
      </c>
      <c r="CK395" s="1108"/>
      <c r="CM395" s="1108"/>
      <c r="CO395" s="1108"/>
      <c r="CQ395" s="1108"/>
      <c r="CS395" s="1108"/>
      <c r="CU395" s="1108"/>
      <c r="CW395" s="1108"/>
      <c r="CY395" s="1108"/>
      <c r="DA395" s="1108"/>
      <c r="DC395" s="1108"/>
      <c r="DE395" s="1108"/>
      <c r="DF395" s="1108"/>
      <c r="DG395" s="1108"/>
      <c r="DH395" s="1108"/>
      <c r="DI395" s="1108"/>
    </row>
    <row r="396" spans="4:114" ht="14.45" hidden="1" outlineLevel="1">
      <c r="D396" s="1611"/>
      <c r="E396" s="1619"/>
      <c r="F396" s="1106" t="s">
        <v>1191</v>
      </c>
      <c r="O396" s="1109">
        <v>-17.277069298318029</v>
      </c>
      <c r="Q396" s="1109">
        <v>228.82323581493017</v>
      </c>
      <c r="S396" s="1109">
        <v>249.18323128440448</v>
      </c>
      <c r="T396" s="1109">
        <v>91.90127904396391</v>
      </c>
      <c r="U396" s="1109">
        <v>101.96904947721535</v>
      </c>
      <c r="V396" s="1109">
        <v>11.914265971433714</v>
      </c>
      <c r="W396" s="1109">
        <v>-26.532735742341291</v>
      </c>
      <c r="X396" s="1109">
        <v>-41.682368528603888</v>
      </c>
      <c r="Y396" s="1109">
        <v>59.210881238088945</v>
      </c>
      <c r="Z396" s="1109">
        <v>15.616481164286045</v>
      </c>
      <c r="AA396" s="1109">
        <v>127.76586566421624</v>
      </c>
      <c r="AB396" s="1109">
        <v>87.365261012697943</v>
      </c>
      <c r="AC396" s="1109">
        <v>36.590898953804313</v>
      </c>
      <c r="AD396" s="1109">
        <v>-26.355740060085797</v>
      </c>
      <c r="AE396" s="1109">
        <v>-63.774316846368876</v>
      </c>
      <c r="AF396" s="1109">
        <v>-53.740075953624611</v>
      </c>
      <c r="AG396" s="1109">
        <v>-73.165137614678898</v>
      </c>
      <c r="AH396" s="1109">
        <v>-61.968085106382972</v>
      </c>
      <c r="AI396" s="1109">
        <v>-1.5748031496062991</v>
      </c>
      <c r="AJ396" s="1109">
        <v>1.0309278350515463</v>
      </c>
      <c r="AK396" s="1109">
        <v>-30.76923076923077</v>
      </c>
      <c r="AL396" s="1109">
        <v>-38.461538461538467</v>
      </c>
      <c r="AM396" s="1109">
        <v>-24.8</v>
      </c>
      <c r="AN396" s="1109">
        <v>15.306122448979592</v>
      </c>
      <c r="AO396" s="1109">
        <v>-18.518518518518519</v>
      </c>
      <c r="AP396" s="1109">
        <v>-18.181818181818183</v>
      </c>
      <c r="AQ396" s="1109">
        <v>-23.404255319148938</v>
      </c>
      <c r="AR396" s="1109">
        <v>-37.168141592920357</v>
      </c>
      <c r="AS396" s="1109">
        <v>1.5151515151515151</v>
      </c>
      <c r="AT396" s="1109">
        <v>4.1666666666666661</v>
      </c>
      <c r="AU396" s="1109">
        <v>31.944444444444443</v>
      </c>
      <c r="AV396" s="1109">
        <v>7.042253521126761</v>
      </c>
      <c r="AW396" s="1109">
        <v>34.774978678037932</v>
      </c>
      <c r="AX396" s="1109">
        <v>100</v>
      </c>
      <c r="AY396" s="1109">
        <v>-31.578947368421051</v>
      </c>
      <c r="AZ396" s="1109">
        <v>18.717942583732043</v>
      </c>
      <c r="BA396" s="1109">
        <v>55.324067330803608</v>
      </c>
      <c r="BB396" s="1109">
        <v>-82.291508477626934</v>
      </c>
      <c r="BC396" s="1109">
        <v>89.013863188876769</v>
      </c>
      <c r="BD396" s="1109">
        <v>-11.348440591253404</v>
      </c>
      <c r="BE396" s="1109">
        <v>-24.155234197921082</v>
      </c>
      <c r="BF396" s="1109">
        <v>252.57472176430684</v>
      </c>
      <c r="BG396" s="1109">
        <v>-9.2201771373394532</v>
      </c>
      <c r="BH396" s="1109">
        <v>0.42896274337961993</v>
      </c>
      <c r="BI396" s="1109">
        <v>-3.982476135787469</v>
      </c>
      <c r="BJ396" s="1109">
        <v>-3.5159602028171024</v>
      </c>
      <c r="BK396" s="1109">
        <v>1.4589105977316341</v>
      </c>
      <c r="BL396" s="1109">
        <v>-4.5624362995100016</v>
      </c>
      <c r="BM396" s="1109">
        <v>-23.834693186403051</v>
      </c>
      <c r="BN396" s="1109">
        <v>-44.636453233331927</v>
      </c>
      <c r="BO396" s="1109">
        <v>26.824279562128883</v>
      </c>
      <c r="BP396" s="1109">
        <v>-36.311817966804938</v>
      </c>
      <c r="BQ396" s="1109">
        <v>2.9407901777550181</v>
      </c>
      <c r="BR396" s="1109">
        <v>0.2871231838737327</v>
      </c>
      <c r="BS396" s="1109">
        <v>0.77648248076647897</v>
      </c>
      <c r="BT396" s="1109">
        <v>0.32874243458292329</v>
      </c>
      <c r="CM396" s="1109"/>
      <c r="CO396" s="1109"/>
      <c r="CQ396" s="1109"/>
      <c r="CS396" s="1109"/>
      <c r="CU396" s="1109"/>
      <c r="CW396" s="1109"/>
      <c r="CY396" s="1109"/>
      <c r="DA396" s="1109"/>
      <c r="DC396" s="1109"/>
      <c r="DE396" s="1109"/>
      <c r="DF396" s="1109"/>
      <c r="DG396" s="1109"/>
      <c r="DH396" s="1109"/>
      <c r="DI396" s="1109"/>
    </row>
    <row r="397" spans="4:114" ht="14.45" hidden="1" outlineLevel="1" collapsed="1">
      <c r="D397" s="1611"/>
      <c r="E397" s="1619"/>
      <c r="F397" s="1106"/>
    </row>
    <row r="398" spans="4:114" ht="14.45" collapsed="1">
      <c r="D398" s="1613" t="s">
        <v>1200</v>
      </c>
      <c r="E398" s="1612" t="s">
        <v>1095</v>
      </c>
      <c r="F398" s="1107" t="s">
        <v>1190</v>
      </c>
      <c r="G398" s="1108">
        <v>120</v>
      </c>
      <c r="I398" s="1108">
        <v>293.18963545432251</v>
      </c>
      <c r="K398" s="1108">
        <v>332.92453334004654</v>
      </c>
      <c r="M398" s="1108">
        <v>215.33644151221469</v>
      </c>
      <c r="O398" s="1108">
        <v>400</v>
      </c>
      <c r="Q398" s="1108">
        <v>893</v>
      </c>
      <c r="S398" s="1108">
        <v>494</v>
      </c>
      <c r="T398" s="1108">
        <v>409</v>
      </c>
      <c r="U398" s="1108">
        <v>908</v>
      </c>
      <c r="V398" s="1108">
        <v>1104</v>
      </c>
      <c r="W398" s="1108">
        <v>713</v>
      </c>
      <c r="X398" s="1108">
        <v>888</v>
      </c>
      <c r="Y398" s="1108">
        <v>672</v>
      </c>
      <c r="Z398" s="1108">
        <v>1352</v>
      </c>
      <c r="AA398" s="1108">
        <v>1111</v>
      </c>
      <c r="AB398" s="1108">
        <v>965</v>
      </c>
      <c r="AC398" s="1108">
        <v>1362</v>
      </c>
      <c r="AD398" s="1108">
        <v>1697</v>
      </c>
      <c r="AE398" s="1108">
        <v>958</v>
      </c>
      <c r="AF398" s="1108">
        <v>1045</v>
      </c>
      <c r="AG398" s="1108">
        <v>1154</v>
      </c>
      <c r="AH398" s="1108">
        <v>1478</v>
      </c>
      <c r="AI398" s="1108">
        <v>1219</v>
      </c>
      <c r="AJ398" s="1108">
        <v>1283</v>
      </c>
      <c r="AK398" s="1108">
        <v>1261</v>
      </c>
      <c r="AL398" s="1108">
        <v>1948</v>
      </c>
      <c r="AM398" s="1108">
        <v>1423</v>
      </c>
      <c r="AN398" s="1108">
        <v>1463</v>
      </c>
      <c r="AO398" s="1108">
        <v>1202</v>
      </c>
      <c r="AP398" s="1108">
        <v>2048</v>
      </c>
      <c r="AQ398" s="1108">
        <v>1412</v>
      </c>
      <c r="AR398" s="1108">
        <v>1795</v>
      </c>
      <c r="AS398" s="1108">
        <v>1620</v>
      </c>
      <c r="AT398" s="1108">
        <v>2120</v>
      </c>
      <c r="AU398" s="1108">
        <v>1599</v>
      </c>
      <c r="AV398" s="1108">
        <v>1452</v>
      </c>
      <c r="AW398" s="1108">
        <v>1361</v>
      </c>
      <c r="AX398" s="1108">
        <v>2357</v>
      </c>
      <c r="AY398" s="1108">
        <v>1835</v>
      </c>
      <c r="AZ398" s="1108">
        <v>1385</v>
      </c>
      <c r="BA398" s="1108">
        <v>1448</v>
      </c>
      <c r="BB398" s="1108">
        <v>1430</v>
      </c>
      <c r="BC398" s="1108">
        <v>1282</v>
      </c>
      <c r="BD398" s="1108">
        <v>1200.6257459175692</v>
      </c>
      <c r="BE398" s="1108">
        <v>1212.8409697354309</v>
      </c>
      <c r="BF398" s="1108">
        <v>1470.2858327825957</v>
      </c>
      <c r="BG398" s="1108">
        <v>1297.2187102103583</v>
      </c>
      <c r="BH398" s="1108">
        <v>1291.3190617345986</v>
      </c>
      <c r="BI398" s="1108">
        <v>1285.2148893714811</v>
      </c>
      <c r="BJ398" s="1108">
        <v>1522.7236648951864</v>
      </c>
      <c r="BK398" s="1108">
        <v>1367.3846072680424</v>
      </c>
      <c r="BL398" s="1108">
        <v>1322.462907623305</v>
      </c>
      <c r="BM398" s="1108">
        <v>1418.0903633534081</v>
      </c>
      <c r="BN398" s="1108">
        <v>1612.3150736132773</v>
      </c>
      <c r="BO398" s="1108">
        <v>1514.3447674333445</v>
      </c>
      <c r="BP398" s="1108">
        <v>1417.0730557454001</v>
      </c>
      <c r="BQ398" s="1108">
        <v>1558.5848150487734</v>
      </c>
      <c r="BR398" s="1108">
        <v>1637.9442480573641</v>
      </c>
      <c r="BS398" s="1108">
        <v>1771.5356239800594</v>
      </c>
      <c r="BT398" s="1108">
        <v>1468.2246894678046</v>
      </c>
      <c r="CK398" s="1108"/>
      <c r="CM398" s="1108"/>
      <c r="CO398" s="1108"/>
      <c r="CQ398" s="1108"/>
      <c r="CS398" s="1108"/>
      <c r="CT398" s="1108"/>
      <c r="CU398" s="1108"/>
      <c r="CV398" s="1108"/>
      <c r="CW398" s="1108"/>
      <c r="CX398" s="1108"/>
      <c r="CY398" s="1108"/>
      <c r="CZ398" s="1108"/>
      <c r="DA398" s="1108"/>
      <c r="DB398" s="1108"/>
      <c r="DC398" s="1108"/>
      <c r="DD398" s="1108"/>
      <c r="DE398" s="1108"/>
      <c r="DF398" s="1108"/>
      <c r="DG398" s="1108"/>
      <c r="DH398" s="1108"/>
      <c r="DI398" s="1108"/>
      <c r="DJ398" s="1108"/>
    </row>
    <row r="399" spans="4:114" ht="14.45" hidden="1" outlineLevel="1">
      <c r="D399" s="1611"/>
      <c r="E399" s="1619"/>
      <c r="F399" s="1107" t="s">
        <v>1191</v>
      </c>
      <c r="O399" s="1109">
        <v>233.33333333333334</v>
      </c>
      <c r="Q399" s="1109">
        <v>204.58102607079539</v>
      </c>
      <c r="S399" s="1109">
        <v>48.381975651951201</v>
      </c>
      <c r="T399" s="1109">
        <v>89.935338917913711</v>
      </c>
      <c r="U399" s="1109">
        <v>127</v>
      </c>
      <c r="V399" s="1109">
        <v>23.628219484882418</v>
      </c>
      <c r="W399" s="1109">
        <v>44.331983805668017</v>
      </c>
      <c r="X399" s="1109">
        <v>117.11491442542787</v>
      </c>
      <c r="Y399" s="1109">
        <v>-25.991189427312776</v>
      </c>
      <c r="Z399" s="1109">
        <v>22.463768115942027</v>
      </c>
      <c r="AA399" s="1109">
        <v>55.820476858345025</v>
      </c>
      <c r="AB399" s="1109">
        <v>8.6711711711711708</v>
      </c>
      <c r="AC399" s="1109">
        <v>102.67857142857142</v>
      </c>
      <c r="AD399" s="1109">
        <v>25.517751479289942</v>
      </c>
      <c r="AE399" s="1109">
        <v>-13.771377137713772</v>
      </c>
      <c r="AF399" s="1109">
        <v>8.2901554404145088</v>
      </c>
      <c r="AG399" s="1109">
        <v>-15.27165932452276</v>
      </c>
      <c r="AH399" s="1109">
        <v>-12.905126694166174</v>
      </c>
      <c r="AI399" s="1109">
        <v>27.244258872651354</v>
      </c>
      <c r="AJ399" s="1109">
        <v>22.775119617224881</v>
      </c>
      <c r="AK399" s="1109">
        <v>9.2720970537261689</v>
      </c>
      <c r="AL399" s="1109">
        <v>31.799729364005415</v>
      </c>
      <c r="AM399" s="1109">
        <v>16.735028712059062</v>
      </c>
      <c r="AN399" s="1109">
        <v>14.02961808261886</v>
      </c>
      <c r="AO399" s="1109">
        <v>-4.6788263283108646</v>
      </c>
      <c r="AP399" s="1109">
        <v>5.1334702258726894</v>
      </c>
      <c r="AQ399" s="1109">
        <v>-0.77301475755446236</v>
      </c>
      <c r="AR399" s="1109">
        <v>22.693096377306905</v>
      </c>
      <c r="AS399" s="1109">
        <v>34.775374376039935</v>
      </c>
      <c r="AT399" s="1109">
        <v>3.515625</v>
      </c>
      <c r="AU399" s="1109">
        <v>13.243626062322948</v>
      </c>
      <c r="AV399" s="1109">
        <v>-19.108635097493039</v>
      </c>
      <c r="AW399" s="1109">
        <v>-15.987654320987655</v>
      </c>
      <c r="AX399" s="1109">
        <v>11.179245283018869</v>
      </c>
      <c r="AY399" s="1109">
        <v>14.759224515322074</v>
      </c>
      <c r="AZ399" s="1109">
        <v>-4.6143250688705235</v>
      </c>
      <c r="BA399" s="1109">
        <v>6.3923585598824397</v>
      </c>
      <c r="BB399" s="1109">
        <v>-39.329656342808654</v>
      </c>
      <c r="BC399" s="1109">
        <v>-30.13623978201635</v>
      </c>
      <c r="BD399" s="1109">
        <v>-13.31222051136684</v>
      </c>
      <c r="BE399" s="1109">
        <v>-16.240264521033776</v>
      </c>
      <c r="BF399" s="1109">
        <v>2.8171911036780184</v>
      </c>
      <c r="BG399" s="1109">
        <v>1.1871068806831722</v>
      </c>
      <c r="BH399" s="1109">
        <v>7.5538373323585217</v>
      </c>
      <c r="BI399" s="1109">
        <v>5.9673049840852483</v>
      </c>
      <c r="BJ399" s="1109">
        <v>3.5665059775043404</v>
      </c>
      <c r="BK399" s="1109">
        <v>5.4089488923811411</v>
      </c>
      <c r="BL399" s="1109">
        <v>2.4117854999268453</v>
      </c>
      <c r="BM399" s="1109">
        <v>10.338774867983988</v>
      </c>
      <c r="BN399" s="1109">
        <v>5.8836288411041213</v>
      </c>
      <c r="BO399" s="1109">
        <v>10.747536529529922</v>
      </c>
      <c r="BP399" s="1109">
        <v>7.1540870883196206</v>
      </c>
      <c r="BQ399" s="1109">
        <v>9.9072989511848295</v>
      </c>
      <c r="BR399" s="1109">
        <v>1.5895884658977117</v>
      </c>
      <c r="BS399" s="1109">
        <v>16.983639530291804</v>
      </c>
      <c r="BT399" s="1109">
        <v>3.6096680770984011</v>
      </c>
      <c r="CM399" s="1109"/>
      <c r="CO399" s="1109"/>
      <c r="CQ399" s="1109"/>
      <c r="CS399" s="1109"/>
      <c r="CU399" s="1109"/>
      <c r="CV399" s="1109"/>
      <c r="CW399" s="1109"/>
      <c r="CX399" s="1109"/>
      <c r="CY399" s="1109"/>
      <c r="CZ399" s="1109"/>
      <c r="DA399" s="1109"/>
      <c r="DB399" s="1109"/>
      <c r="DC399" s="1109"/>
      <c r="DD399" s="1109"/>
      <c r="DE399" s="1109"/>
      <c r="DF399" s="1109"/>
      <c r="DG399" s="1109"/>
      <c r="DH399" s="1109"/>
      <c r="DI399" s="1109"/>
      <c r="DJ399" s="1109"/>
    </row>
    <row r="400" spans="4:114" ht="14.45" hidden="1" outlineLevel="1" collapsed="1">
      <c r="D400" s="1611"/>
      <c r="E400" s="1619"/>
      <c r="F400" s="1107"/>
    </row>
    <row r="401" spans="4:113" ht="14.45" collapsed="1">
      <c r="D401" s="1613" t="s">
        <v>1262</v>
      </c>
      <c r="E401" s="1612" t="s">
        <v>1095</v>
      </c>
      <c r="F401" s="1106" t="s">
        <v>1190</v>
      </c>
      <c r="O401" s="1108">
        <v>150</v>
      </c>
      <c r="Q401" s="1108">
        <v>800</v>
      </c>
      <c r="S401" s="1108">
        <v>392</v>
      </c>
      <c r="T401" s="1108">
        <v>1982.7222222222217</v>
      </c>
      <c r="U401" s="1108">
        <v>2609</v>
      </c>
      <c r="V401" s="1108">
        <v>2284</v>
      </c>
      <c r="W401" s="1108">
        <v>1397</v>
      </c>
      <c r="X401" s="1108">
        <v>1234</v>
      </c>
      <c r="Y401" s="1108">
        <v>1082.7220562717775</v>
      </c>
      <c r="Z401" s="1108">
        <v>1070.3543738977071</v>
      </c>
      <c r="AA401" s="1108">
        <v>742.6138196248196</v>
      </c>
      <c r="AB401" s="1108">
        <v>366.78358148893358</v>
      </c>
      <c r="AC401" s="1108">
        <v>305.15655002488802</v>
      </c>
      <c r="AD401" s="1108">
        <v>203.20254532627871</v>
      </c>
      <c r="AE401" s="1108">
        <v>5</v>
      </c>
      <c r="AF401" s="1108">
        <v>11.761267605633799</v>
      </c>
      <c r="CK401" s="1108"/>
      <c r="CM401" s="1108"/>
      <c r="CO401" s="1108"/>
      <c r="CQ401" s="1108"/>
      <c r="CS401" s="1108"/>
      <c r="CU401" s="1108"/>
    </row>
    <row r="402" spans="4:113" ht="14.45" hidden="1" outlineLevel="1">
      <c r="D402" s="1611"/>
      <c r="E402" s="1619"/>
      <c r="F402" s="1106" t="s">
        <v>1191</v>
      </c>
      <c r="U402" s="1109">
        <v>1639.3333333333335</v>
      </c>
      <c r="V402" s="1109">
        <v>185.5</v>
      </c>
      <c r="W402" s="1109">
        <v>256.37755102040819</v>
      </c>
      <c r="X402" s="1109">
        <v>-37.762335733699445</v>
      </c>
      <c r="Y402" s="1109">
        <v>-58.500496118368048</v>
      </c>
      <c r="Z402" s="1109">
        <v>-53.136848778559234</v>
      </c>
      <c r="AA402" s="1109">
        <v>-46.84224626880318</v>
      </c>
      <c r="AB402" s="1109">
        <v>-70.276857253733098</v>
      </c>
      <c r="AC402" s="1109">
        <v>-71.815799977728574</v>
      </c>
      <c r="AD402" s="1109">
        <v>-81.015395435222587</v>
      </c>
      <c r="AE402" s="1109">
        <v>-99.326702537999338</v>
      </c>
      <c r="AF402" s="1109">
        <v>-96.79340401282694</v>
      </c>
      <c r="CM402" s="1109"/>
      <c r="CO402" s="1109"/>
      <c r="CQ402" s="1109"/>
      <c r="CS402" s="1109"/>
      <c r="CU402" s="1109"/>
    </row>
    <row r="403" spans="4:113" ht="14.45" hidden="1" outlineLevel="1" collapsed="1">
      <c r="D403" s="1611"/>
      <c r="E403" s="1619"/>
      <c r="F403" s="1106"/>
    </row>
    <row r="404" spans="4:113" ht="14.45" collapsed="1">
      <c r="D404" s="1616" t="s">
        <v>1263</v>
      </c>
      <c r="E404" s="1612" t="s">
        <v>1116</v>
      </c>
      <c r="F404" s="1107" t="s">
        <v>1190</v>
      </c>
      <c r="O404" s="1108">
        <v>1.2</v>
      </c>
      <c r="Q404" s="1108">
        <v>7.4</v>
      </c>
      <c r="S404" s="1108">
        <v>2</v>
      </c>
      <c r="T404" s="1108">
        <v>1.1000000000000001</v>
      </c>
      <c r="U404" s="1108">
        <v>2.4</v>
      </c>
      <c r="V404" s="1108">
        <v>6.6</v>
      </c>
      <c r="W404" s="1108">
        <v>1.6</v>
      </c>
      <c r="X404" s="1108">
        <v>1.4</v>
      </c>
      <c r="Y404" s="1108">
        <v>1.872156661652765</v>
      </c>
      <c r="Z404" s="1108">
        <v>4.9187609286243497</v>
      </c>
      <c r="AA404" s="1108">
        <v>1.268907953152085</v>
      </c>
      <c r="AB404" s="1108">
        <v>0.89031728045325798</v>
      </c>
      <c r="AC404" s="1108">
        <v>1.72513045198934</v>
      </c>
      <c r="AD404" s="1108">
        <v>4.9174185311403287</v>
      </c>
      <c r="AE404" s="1108">
        <v>0.964043269943196</v>
      </c>
      <c r="AF404" s="1108">
        <v>0.66034492841961701</v>
      </c>
      <c r="AG404" s="1108">
        <v>1.247518770914775</v>
      </c>
      <c r="AH404" s="1108">
        <v>4.4856827096210248</v>
      </c>
      <c r="AI404" s="1108">
        <v>1.096733130846155</v>
      </c>
      <c r="AJ404" s="1108">
        <v>0.79390112813020297</v>
      </c>
      <c r="AK404" s="1108">
        <v>1.49940575421127</v>
      </c>
      <c r="AL404" s="1108">
        <v>3.7361525088448548</v>
      </c>
      <c r="AM404" s="1108">
        <v>0.74057502869977954</v>
      </c>
      <c r="AN404" s="1108">
        <v>0.51791764894643999</v>
      </c>
      <c r="AO404" s="1108">
        <v>1.11323740519176</v>
      </c>
      <c r="AP404" s="1108">
        <v>3.2330560099660648</v>
      </c>
      <c r="AQ404" s="1108">
        <v>0.55200795020157645</v>
      </c>
      <c r="AR404" s="1108">
        <v>0.63565666511371</v>
      </c>
      <c r="AS404" s="1108">
        <v>0.96069919187030495</v>
      </c>
      <c r="AT404" s="1108">
        <v>4.1920593836122348</v>
      </c>
      <c r="AU404" s="1108">
        <v>1.1046481889954245</v>
      </c>
      <c r="AV404" s="1108">
        <v>1.4266637966108695</v>
      </c>
      <c r="AW404" s="1108">
        <v>1.3970192251634299</v>
      </c>
      <c r="AX404" s="1108">
        <v>3.8191866966347252</v>
      </c>
      <c r="AY404" s="1108">
        <v>1.1797432590448016</v>
      </c>
      <c r="AZ404" s="1108">
        <v>0.6992697780960625</v>
      </c>
      <c r="BA404" s="1108">
        <v>0.94109861947287998</v>
      </c>
      <c r="BB404" s="1108">
        <v>3.1948803866410951</v>
      </c>
      <c r="BC404" s="1108">
        <v>0.60997339146918905</v>
      </c>
      <c r="BD404" s="1108">
        <v>0.38862979027814348</v>
      </c>
      <c r="BE404" s="1108">
        <v>0.86968674408873003</v>
      </c>
      <c r="BF404" s="1108">
        <v>2.7541106246949698</v>
      </c>
      <c r="BG404" s="1108">
        <v>0.41384257614725051</v>
      </c>
      <c r="BH404" s="1108">
        <v>0.29834659727443502</v>
      </c>
      <c r="BI404" s="1108">
        <v>0.82447986004495999</v>
      </c>
      <c r="BJ404" s="1108">
        <v>2.7254723650664952</v>
      </c>
      <c r="BK404" s="1108">
        <v>0.37760095318089798</v>
      </c>
      <c r="BL404" s="1108">
        <v>0.5812965373193395</v>
      </c>
      <c r="CM404" s="1108"/>
      <c r="CO404" s="1108"/>
      <c r="CQ404" s="1108"/>
      <c r="CS404" s="1108"/>
      <c r="CU404" s="1108"/>
      <c r="CW404" s="1108"/>
      <c r="CY404" s="1108"/>
      <c r="DA404" s="1108"/>
      <c r="DC404" s="1108"/>
      <c r="DE404" s="1108"/>
      <c r="DF404" s="1108"/>
      <c r="DG404" s="1108"/>
    </row>
    <row r="405" spans="4:113" ht="14.45" hidden="1" outlineLevel="1">
      <c r="D405" s="1611"/>
      <c r="E405" s="1619"/>
      <c r="F405" s="1107" t="s">
        <v>1191</v>
      </c>
      <c r="U405" s="1109">
        <v>100</v>
      </c>
      <c r="V405" s="1109">
        <v>-10.810810810810819</v>
      </c>
      <c r="W405" s="1109">
        <v>-19.999999999999996</v>
      </c>
      <c r="X405" s="1109">
        <v>27.272727272727256</v>
      </c>
      <c r="Y405" s="1109">
        <v>-21.993472431134791</v>
      </c>
      <c r="Z405" s="1109">
        <v>-25.473319263267424</v>
      </c>
      <c r="AA405" s="1109">
        <v>-20.693252927994692</v>
      </c>
      <c r="AB405" s="1109">
        <v>-36.405908539053002</v>
      </c>
      <c r="AC405" s="1109">
        <v>-7.8533069734467764</v>
      </c>
      <c r="AD405" s="1109">
        <v>-2.7291374870630658E-2</v>
      </c>
      <c r="AE405" s="1109">
        <v>-24.025752415813685</v>
      </c>
      <c r="AF405" s="1109">
        <v>-25.830381717016959</v>
      </c>
      <c r="AG405" s="1109">
        <v>-27.68553998474756</v>
      </c>
      <c r="AH405" s="1109">
        <v>-8.779724946844949</v>
      </c>
      <c r="AI405" s="1109">
        <v>13.763890588726108</v>
      </c>
      <c r="AJ405" s="1109">
        <v>20.22521775554813</v>
      </c>
      <c r="AK405" s="1109">
        <v>20.19103753539455</v>
      </c>
      <c r="AL405" s="1109">
        <v>-16.709389613504214</v>
      </c>
      <c r="AM405" s="1109">
        <v>-32.474454553186625</v>
      </c>
      <c r="AN405" s="1109">
        <v>-34.762953396194263</v>
      </c>
      <c r="AO405" s="1109">
        <v>-25.754759706297481</v>
      </c>
      <c r="AP405" s="1109">
        <v>-13.465630690604158</v>
      </c>
      <c r="AQ405" s="1109">
        <v>-25.462251789567965</v>
      </c>
      <c r="AR405" s="1109">
        <v>22.73315389170024</v>
      </c>
      <c r="AS405" s="1109">
        <v>-13.702217748888849</v>
      </c>
      <c r="AT405" s="1109">
        <v>29.662442305051069</v>
      </c>
      <c r="AU405" s="1109">
        <v>100.11454338511624</v>
      </c>
      <c r="AV405" s="1109">
        <v>124.43936717876774</v>
      </c>
      <c r="AW405" s="1109">
        <v>45.416925192129078</v>
      </c>
      <c r="AX405" s="1109">
        <v>-8.8947377137632735</v>
      </c>
      <c r="AY405" s="1109">
        <v>6.7980983264607646</v>
      </c>
      <c r="AZ405" s="1109">
        <v>-50.98566461438061</v>
      </c>
      <c r="BA405" s="1109">
        <v>-32.635242055256199</v>
      </c>
      <c r="BB405" s="1109">
        <v>-16.346577415127083</v>
      </c>
      <c r="BC405" s="1109">
        <v>-48.296090120229721</v>
      </c>
      <c r="BD405" s="1109">
        <v>-44.423482545422502</v>
      </c>
      <c r="BE405" s="1109">
        <v>-7.5881394262535995</v>
      </c>
      <c r="BF405" s="1109">
        <v>-13.796127197410483</v>
      </c>
      <c r="BG405" s="1109">
        <v>-32.153995250437987</v>
      </c>
      <c r="BH405" s="1109">
        <v>-23.231156041612895</v>
      </c>
      <c r="BI405" s="1109">
        <v>-5.1980652057814742</v>
      </c>
      <c r="BJ405" s="1109">
        <v>-1.0398369394347213</v>
      </c>
      <c r="BK405" s="1109">
        <v>-8.757345197236857</v>
      </c>
      <c r="BL405" s="1109">
        <v>94.839338752247315</v>
      </c>
      <c r="CO405" s="1109"/>
      <c r="CQ405" s="1109"/>
      <c r="CS405" s="1109"/>
      <c r="CU405" s="1109"/>
      <c r="CW405" s="1109"/>
      <c r="CY405" s="1109"/>
      <c r="DA405" s="1109"/>
      <c r="DC405" s="1109"/>
      <c r="DE405" s="1109"/>
      <c r="DF405" s="1109"/>
      <c r="DG405" s="1109"/>
    </row>
    <row r="406" spans="4:113" ht="14.45" hidden="1" outlineLevel="1" collapsed="1">
      <c r="D406" s="1611"/>
      <c r="E406" s="1619"/>
      <c r="F406" s="1107"/>
    </row>
    <row r="407" spans="4:113" ht="14.45" collapsed="1">
      <c r="D407" s="1616" t="s">
        <v>1264</v>
      </c>
      <c r="E407" s="1612" t="s">
        <v>1245</v>
      </c>
      <c r="F407" s="1106" t="s">
        <v>1190</v>
      </c>
      <c r="O407" s="1108">
        <v>225</v>
      </c>
      <c r="Q407" s="1108">
        <v>400</v>
      </c>
      <c r="S407" s="1108">
        <v>400</v>
      </c>
      <c r="T407" s="1108">
        <v>400</v>
      </c>
      <c r="U407" s="1108">
        <v>300</v>
      </c>
      <c r="V407" s="1108">
        <v>290</v>
      </c>
      <c r="W407" s="1108">
        <v>250</v>
      </c>
      <c r="X407" s="1108">
        <v>240</v>
      </c>
      <c r="Y407" s="1108">
        <v>225</v>
      </c>
      <c r="Z407" s="1108">
        <v>250</v>
      </c>
      <c r="AA407" s="1108">
        <v>225</v>
      </c>
      <c r="AB407" s="1108">
        <v>200</v>
      </c>
      <c r="AG407" s="1108">
        <v>350</v>
      </c>
      <c r="AH407" s="1108">
        <v>350</v>
      </c>
      <c r="AI407" s="1108">
        <v>350</v>
      </c>
      <c r="AJ407" s="1108">
        <v>350</v>
      </c>
      <c r="AK407" s="1108">
        <v>350</v>
      </c>
      <c r="AL407" s="1108">
        <v>350</v>
      </c>
      <c r="AM407" s="1108">
        <v>350</v>
      </c>
      <c r="AN407" s="1108">
        <v>350</v>
      </c>
      <c r="AO407" s="1108">
        <v>350</v>
      </c>
      <c r="AP407" s="1108">
        <v>350</v>
      </c>
      <c r="AQ407" s="1108">
        <v>350</v>
      </c>
      <c r="AR407" s="1108">
        <v>350</v>
      </c>
      <c r="AS407" s="1108">
        <v>350</v>
      </c>
      <c r="AT407" s="1108">
        <v>350</v>
      </c>
      <c r="AU407" s="1108">
        <v>350</v>
      </c>
      <c r="AV407" s="1108">
        <v>350</v>
      </c>
      <c r="AW407" s="1108">
        <v>350</v>
      </c>
      <c r="AX407" s="1108">
        <v>350</v>
      </c>
      <c r="AY407" s="1108">
        <v>350</v>
      </c>
      <c r="AZ407" s="1108">
        <v>350</v>
      </c>
      <c r="BA407" s="1108">
        <v>350</v>
      </c>
      <c r="BB407" s="1108">
        <v>350</v>
      </c>
      <c r="BC407" s="1108">
        <v>350</v>
      </c>
      <c r="BD407" s="1108">
        <v>350</v>
      </c>
      <c r="BE407" s="1108">
        <v>350</v>
      </c>
      <c r="BF407" s="1108">
        <v>350</v>
      </c>
      <c r="BG407" s="1108">
        <v>350</v>
      </c>
      <c r="BH407" s="1108">
        <v>350</v>
      </c>
      <c r="BI407" s="1108">
        <v>350</v>
      </c>
      <c r="BJ407" s="1108">
        <v>350</v>
      </c>
      <c r="BK407" s="1108">
        <v>350</v>
      </c>
      <c r="BL407" s="1108">
        <v>350</v>
      </c>
      <c r="CM407" s="1108"/>
      <c r="CO407" s="1108"/>
      <c r="CQ407" s="1108"/>
      <c r="CU407" s="1108"/>
      <c r="CW407" s="1108"/>
      <c r="CY407" s="1108"/>
      <c r="DA407" s="1108"/>
      <c r="DC407" s="1108"/>
      <c r="DE407" s="1108"/>
      <c r="DF407" s="1108"/>
      <c r="DG407" s="1108"/>
    </row>
    <row r="408" spans="4:113" ht="14.45" hidden="1" outlineLevel="1">
      <c r="D408" s="1611"/>
      <c r="E408" s="1619"/>
      <c r="F408" s="1106" t="s">
        <v>1191</v>
      </c>
      <c r="U408" s="1109">
        <v>33.333333333333329</v>
      </c>
      <c r="V408" s="1109">
        <v>-27.500000000000004</v>
      </c>
      <c r="W408" s="1109">
        <v>-37.5</v>
      </c>
      <c r="X408" s="1109">
        <v>-40</v>
      </c>
      <c r="Y408" s="1109">
        <v>-25</v>
      </c>
      <c r="Z408" s="1109">
        <v>-13.793103448275861</v>
      </c>
      <c r="AA408" s="1109">
        <v>-10</v>
      </c>
      <c r="AB408" s="1109">
        <v>-16.666666666666664</v>
      </c>
      <c r="AK408" s="1109">
        <v>0</v>
      </c>
      <c r="AL408" s="1109">
        <v>0</v>
      </c>
      <c r="AM408" s="1109">
        <v>0</v>
      </c>
      <c r="AN408" s="1109">
        <v>0</v>
      </c>
      <c r="AO408" s="1109">
        <v>0</v>
      </c>
      <c r="AP408" s="1109">
        <v>0</v>
      </c>
      <c r="AQ408" s="1109">
        <v>0</v>
      </c>
      <c r="AR408" s="1109">
        <v>0</v>
      </c>
      <c r="AS408" s="1109">
        <v>0</v>
      </c>
      <c r="AT408" s="1109">
        <v>0</v>
      </c>
      <c r="AU408" s="1109">
        <v>0</v>
      </c>
      <c r="AV408" s="1109">
        <v>0</v>
      </c>
      <c r="AW408" s="1109">
        <v>0</v>
      </c>
      <c r="AX408" s="1109">
        <v>0</v>
      </c>
      <c r="AY408" s="1109">
        <v>0</v>
      </c>
      <c r="AZ408" s="1109">
        <v>0</v>
      </c>
      <c r="BA408" s="1109">
        <v>0</v>
      </c>
      <c r="BB408" s="1109">
        <v>0</v>
      </c>
      <c r="BC408" s="1109">
        <v>0</v>
      </c>
      <c r="BD408" s="1109">
        <v>0</v>
      </c>
      <c r="BE408" s="1109">
        <v>0</v>
      </c>
      <c r="BF408" s="1109">
        <v>0</v>
      </c>
      <c r="BG408" s="1109">
        <v>0</v>
      </c>
      <c r="BH408" s="1109">
        <v>0</v>
      </c>
      <c r="BI408" s="1109">
        <v>0</v>
      </c>
      <c r="BJ408" s="1109">
        <v>0</v>
      </c>
      <c r="BK408" s="1109">
        <v>0</v>
      </c>
      <c r="BL408" s="1109">
        <v>0</v>
      </c>
      <c r="CO408" s="1109"/>
      <c r="CQ408" s="1109"/>
      <c r="CW408" s="1109"/>
      <c r="CY408" s="1109"/>
      <c r="DA408" s="1109"/>
      <c r="DC408" s="1109"/>
      <c r="DE408" s="1109"/>
      <c r="DF408" s="1109"/>
      <c r="DG408" s="1109"/>
    </row>
    <row r="409" spans="4:113" ht="14.45" hidden="1" outlineLevel="1" collapsed="1">
      <c r="D409" s="1611"/>
      <c r="E409" s="1619"/>
      <c r="F409" s="1106"/>
    </row>
    <row r="410" spans="4:113" ht="14.45" collapsed="1">
      <c r="D410" s="1615" t="s">
        <v>1265</v>
      </c>
      <c r="E410" s="1612" t="s">
        <v>1095</v>
      </c>
      <c r="F410" s="1107" t="s">
        <v>1190</v>
      </c>
      <c r="G410" s="1108">
        <v>518.14098524542203</v>
      </c>
      <c r="I410" s="1108">
        <v>1628.9505925878966</v>
      </c>
      <c r="K410" s="1108">
        <v>380.97059230588599</v>
      </c>
      <c r="M410" s="1108">
        <v>292.82644216666665</v>
      </c>
      <c r="O410" s="1108">
        <v>350.68258996378285</v>
      </c>
      <c r="Q410" s="1108">
        <v>2750.4861512057619</v>
      </c>
      <c r="S410" s="1108">
        <v>794.99073394961977</v>
      </c>
      <c r="T410" s="1108">
        <v>420.25911252597285</v>
      </c>
      <c r="U410" s="1108">
        <v>844.62860561971331</v>
      </c>
      <c r="V410" s="1108">
        <v>2202.9466601649615</v>
      </c>
      <c r="W410" s="1108">
        <v>542.19856911600971</v>
      </c>
      <c r="X410" s="1108">
        <v>446.47449382478931</v>
      </c>
      <c r="Y410" s="1108">
        <v>679.660880764833</v>
      </c>
      <c r="Z410" s="1108">
        <v>1887.3210860644015</v>
      </c>
      <c r="AA410" s="1108">
        <v>400.75629905656143</v>
      </c>
      <c r="AB410" s="1108">
        <v>283.87801321082299</v>
      </c>
      <c r="AC410" s="1108">
        <v>546.5139136962905</v>
      </c>
      <c r="AD410" s="1108">
        <v>1593.6069157536363</v>
      </c>
      <c r="AE410" s="1108">
        <v>355.67051326788612</v>
      </c>
      <c r="AF410" s="1108">
        <v>220.94501094985975</v>
      </c>
      <c r="AG410" s="1108">
        <v>286.44137130464679</v>
      </c>
      <c r="AH410" s="1108">
        <v>1787.6084385950001</v>
      </c>
      <c r="AI410" s="1108">
        <v>344.80925678590268</v>
      </c>
      <c r="AJ410" s="1108">
        <v>349.87935804861587</v>
      </c>
      <c r="AK410" s="1108">
        <v>548.16243070573375</v>
      </c>
      <c r="AL410" s="1108">
        <v>1443.0937778039636</v>
      </c>
      <c r="AM410" s="1108">
        <v>235.70504915554517</v>
      </c>
      <c r="AN410" s="1108">
        <v>184.68775558602135</v>
      </c>
      <c r="AO410" s="1108">
        <v>356.32690496406684</v>
      </c>
      <c r="AP410" s="1108">
        <v>858.80367904059085</v>
      </c>
      <c r="AQ410" s="1108">
        <v>183.81598599979591</v>
      </c>
      <c r="AR410" s="1108">
        <v>262.65238828843064</v>
      </c>
      <c r="AS410" s="1108">
        <v>255.47972465765574</v>
      </c>
      <c r="AT410" s="1108">
        <v>1567.4579913833218</v>
      </c>
      <c r="AU410" s="1108">
        <v>622.88567127720478</v>
      </c>
      <c r="AV410" s="1108">
        <v>728.82899089233592</v>
      </c>
      <c r="AW410" s="1108">
        <v>686.34418465864212</v>
      </c>
      <c r="AX410" s="1108">
        <v>1567.0371845207992</v>
      </c>
      <c r="AY410" s="1108">
        <v>685.40189892307706</v>
      </c>
      <c r="AZ410" s="1108">
        <v>641.59179892770089</v>
      </c>
      <c r="BA410" s="1108">
        <v>744.72591178990581</v>
      </c>
      <c r="BB410" s="1108">
        <v>1278.7149259615996</v>
      </c>
      <c r="BC410" s="1108">
        <v>429.70870144294031</v>
      </c>
      <c r="BD410" s="1108">
        <v>434.30839054597016</v>
      </c>
      <c r="BE410" s="1108">
        <v>475.91339770042759</v>
      </c>
      <c r="BF410" s="1108">
        <v>1026.0884923978228</v>
      </c>
      <c r="BG410" s="1108">
        <v>385.13314734781954</v>
      </c>
      <c r="BH410" s="1108">
        <v>358.19466407256772</v>
      </c>
      <c r="BI410" s="1108">
        <v>417.58003809901703</v>
      </c>
      <c r="BJ410" s="1108">
        <v>1050.7205968921321</v>
      </c>
      <c r="BK410" s="1108">
        <v>383.0910710209094</v>
      </c>
      <c r="BL410" s="1108">
        <v>412.59093559493641</v>
      </c>
      <c r="BM410" s="1108">
        <v>419.91808124040875</v>
      </c>
      <c r="BN410" s="1108">
        <v>874.98681363586297</v>
      </c>
      <c r="BO410" s="1108">
        <v>353.63124304779274</v>
      </c>
      <c r="BP410" s="1108">
        <v>307.6016221641575</v>
      </c>
      <c r="BQ410" s="1108">
        <v>361.69689536336631</v>
      </c>
      <c r="BR410" s="1108">
        <v>668.59002839158768</v>
      </c>
      <c r="BS410" s="1108">
        <v>336.78738052686964</v>
      </c>
      <c r="BT410" s="1108">
        <v>328.65748109629499</v>
      </c>
      <c r="CK410" s="1108"/>
      <c r="CM410" s="1108"/>
      <c r="CO410" s="1108"/>
      <c r="CQ410" s="1108"/>
      <c r="CS410" s="1108"/>
      <c r="CU410" s="1108"/>
      <c r="CW410" s="1108"/>
      <c r="CY410" s="1108"/>
      <c r="DA410" s="1108"/>
      <c r="DC410" s="1108"/>
      <c r="DE410" s="1108"/>
      <c r="DF410" s="1108"/>
      <c r="DG410" s="1108"/>
      <c r="DH410" s="1108"/>
      <c r="DI410" s="1108"/>
    </row>
    <row r="411" spans="4:113" ht="14.45" hidden="1" outlineLevel="1">
      <c r="D411" s="1611"/>
      <c r="E411" s="1619"/>
      <c r="F411" s="1107" t="s">
        <v>1191</v>
      </c>
      <c r="O411" s="1109">
        <v>-32.319079179254864</v>
      </c>
      <c r="Q411" s="1109">
        <v>68.850188809968358</v>
      </c>
      <c r="S411" s="1109">
        <v>108.67509199012189</v>
      </c>
      <c r="T411" s="1109">
        <v>43.518156835978608</v>
      </c>
      <c r="U411" s="1109">
        <v>140.85273400853555</v>
      </c>
      <c r="V411" s="1109">
        <v>-19.907007741186746</v>
      </c>
      <c r="W411" s="1109">
        <v>-31.798127203031029</v>
      </c>
      <c r="X411" s="1109">
        <v>6.2379090702515789</v>
      </c>
      <c r="Y411" s="1109">
        <v>-19.531392112139237</v>
      </c>
      <c r="Z411" s="1109">
        <v>-14.327426978051538</v>
      </c>
      <c r="AA411" s="1109">
        <v>-26.08680253252108</v>
      </c>
      <c r="AB411" s="1109">
        <v>-36.417865491275812</v>
      </c>
      <c r="AC411" s="1109">
        <v>-19.590206062574932</v>
      </c>
      <c r="AD411" s="1109">
        <v>-15.562490796054334</v>
      </c>
      <c r="AE411" s="1109">
        <v>-11.25017520493472</v>
      </c>
      <c r="AF411" s="1109">
        <v>-22.169030122887971</v>
      </c>
      <c r="AG411" s="1109">
        <v>-47.58754276403868</v>
      </c>
      <c r="AH411" s="1109">
        <v>12.173737508513389</v>
      </c>
      <c r="AI411" s="1109">
        <v>-3.0537410543794214</v>
      </c>
      <c r="AJ411" s="1109">
        <v>58.355853587486472</v>
      </c>
      <c r="AK411" s="1109">
        <v>91.3698528285328</v>
      </c>
      <c r="AL411" s="1109">
        <v>-19.272378299009006</v>
      </c>
      <c r="AM411" s="1109">
        <v>-31.641902148265693</v>
      </c>
      <c r="AN411" s="1109">
        <v>-47.213874915033166</v>
      </c>
      <c r="AO411" s="1109">
        <v>-34.996109728769184</v>
      </c>
      <c r="AP411" s="1109">
        <v>-40.488713051796232</v>
      </c>
      <c r="AQ411" s="1109">
        <v>-22.014404588128663</v>
      </c>
      <c r="AR411" s="1109">
        <v>42.214294312595072</v>
      </c>
      <c r="AS411" s="1109">
        <v>-28.301870810620056</v>
      </c>
      <c r="AT411" s="1109">
        <v>82.516450457501691</v>
      </c>
      <c r="AU411" s="1109">
        <v>238.86371084063188</v>
      </c>
      <c r="AV411" s="1109">
        <v>177.48805013414741</v>
      </c>
      <c r="AW411" s="1109">
        <v>168.64917972584601</v>
      </c>
      <c r="AX411" s="1109">
        <v>-2.6846452334661614E-2</v>
      </c>
      <c r="AY411" s="1109">
        <v>10.036549326569833</v>
      </c>
      <c r="AZ411" s="1109">
        <v>-11.96950080948713</v>
      </c>
      <c r="BA411" s="1109">
        <v>8.5061880666039631</v>
      </c>
      <c r="BB411" s="1109">
        <v>-18.399196994637283</v>
      </c>
      <c r="BC411" s="1109">
        <v>-37.305586383972553</v>
      </c>
      <c r="BD411" s="1109">
        <v>-32.307677362485876</v>
      </c>
      <c r="BE411" s="1109">
        <v>-36.095496320707149</v>
      </c>
      <c r="BF411" s="1109">
        <v>-19.756274712583068</v>
      </c>
      <c r="BG411" s="1109">
        <v>-10.37343529359268</v>
      </c>
      <c r="BH411" s="1109">
        <v>-17.525271933549266</v>
      </c>
      <c r="BI411" s="1109">
        <v>-12.257137513520803</v>
      </c>
      <c r="BJ411" s="1109">
        <v>2.4005828616932967</v>
      </c>
      <c r="BK411" s="1109">
        <v>-0.53022606362830627</v>
      </c>
      <c r="BL411" s="1109">
        <v>15.18623167187895</v>
      </c>
      <c r="BM411" s="1109">
        <v>0.55990299537194899</v>
      </c>
      <c r="BN411" s="1109">
        <v>-16.725072657380306</v>
      </c>
      <c r="BO411" s="1109">
        <v>-7.6900325279334742</v>
      </c>
      <c r="BP411" s="1109">
        <v>-25.446345126169419</v>
      </c>
      <c r="BQ411" s="1109">
        <v>-13.864891386686926</v>
      </c>
      <c r="BR411" s="1109">
        <v>-23.588559510585945</v>
      </c>
      <c r="BS411" s="1109">
        <v>-4.7631149260888899</v>
      </c>
      <c r="BT411" s="1109">
        <v>6.8451716164554615</v>
      </c>
      <c r="CM411" s="1109"/>
      <c r="CO411" s="1109"/>
      <c r="CQ411" s="1109"/>
      <c r="CS411" s="1109"/>
      <c r="CU411" s="1109"/>
      <c r="CW411" s="1109"/>
      <c r="CY411" s="1109"/>
      <c r="DA411" s="1109"/>
      <c r="DC411" s="1109"/>
      <c r="DE411" s="1109"/>
      <c r="DF411" s="1109"/>
      <c r="DG411" s="1109"/>
      <c r="DH411" s="1109"/>
      <c r="DI411" s="1109"/>
    </row>
    <row r="412" spans="4:113" ht="14.45" hidden="1" outlineLevel="1" collapsed="1">
      <c r="D412" s="1611"/>
      <c r="E412" s="1619"/>
      <c r="F412" s="1107"/>
    </row>
    <row r="413" spans="4:113" ht="14.45" collapsed="1">
      <c r="D413" s="1615" t="s">
        <v>1266</v>
      </c>
      <c r="E413" s="1612" t="s">
        <v>1104</v>
      </c>
      <c r="F413" s="1106" t="s">
        <v>1190</v>
      </c>
    </row>
    <row r="414" spans="4:113" ht="14.45" hidden="1" outlineLevel="1">
      <c r="D414" s="1611"/>
      <c r="E414" s="1619"/>
      <c r="F414" s="1106" t="s">
        <v>1191</v>
      </c>
    </row>
    <row r="415" spans="4:113" ht="14.45" hidden="1" outlineLevel="1" collapsed="1">
      <c r="D415" s="1611"/>
      <c r="E415" s="1619"/>
      <c r="F415" s="1106"/>
    </row>
    <row r="416" spans="4:113" ht="14.45" collapsed="1">
      <c r="D416" s="1614" t="s">
        <v>1267</v>
      </c>
      <c r="E416" s="1612" t="s">
        <v>1095</v>
      </c>
      <c r="F416" s="1107" t="s">
        <v>1190</v>
      </c>
      <c r="G416" s="1108">
        <v>518.14098524542203</v>
      </c>
      <c r="I416" s="1108">
        <v>1628.9505925878966</v>
      </c>
      <c r="K416" s="1108">
        <v>380.97059230588599</v>
      </c>
      <c r="M416" s="1108">
        <v>292.82644216666665</v>
      </c>
      <c r="O416" s="1108">
        <v>350.68258996378285</v>
      </c>
      <c r="Q416" s="1108">
        <v>2750.4861512057619</v>
      </c>
      <c r="S416" s="1108">
        <v>794.99073394961977</v>
      </c>
      <c r="T416" s="1108">
        <v>420.25911252597285</v>
      </c>
      <c r="U416" s="1108">
        <v>844.62860561971331</v>
      </c>
      <c r="V416" s="1108">
        <v>2202.9466601649615</v>
      </c>
      <c r="W416" s="1108">
        <v>542.19856911600971</v>
      </c>
      <c r="X416" s="1108">
        <v>446.47449382478931</v>
      </c>
      <c r="Y416" s="1108">
        <v>679.660880764833</v>
      </c>
      <c r="Z416" s="1108">
        <v>1887.3210860644015</v>
      </c>
      <c r="AA416" s="1108">
        <v>400.75629905656143</v>
      </c>
      <c r="AB416" s="1108">
        <v>283.87801321082299</v>
      </c>
      <c r="AC416" s="1108">
        <v>546.5139136962905</v>
      </c>
      <c r="AD416" s="1108">
        <v>1593.6069157536363</v>
      </c>
      <c r="AE416" s="1108">
        <v>355.67051326788612</v>
      </c>
      <c r="AF416" s="1108">
        <v>220.94501094985975</v>
      </c>
      <c r="AG416" s="1108">
        <v>286.44137130464679</v>
      </c>
      <c r="AH416" s="1108">
        <v>1787.6084385950001</v>
      </c>
      <c r="AI416" s="1108">
        <v>344.80925678590268</v>
      </c>
      <c r="AJ416" s="1108">
        <v>349.87935804861587</v>
      </c>
      <c r="AK416" s="1108">
        <v>548.16243070573375</v>
      </c>
      <c r="AL416" s="1108">
        <v>1443.0937778039636</v>
      </c>
      <c r="AM416" s="1108">
        <v>235.70504915554517</v>
      </c>
      <c r="AN416" s="1108">
        <v>184.68775558602135</v>
      </c>
      <c r="AO416" s="1108">
        <v>356.32690496406684</v>
      </c>
      <c r="AP416" s="1108">
        <v>858.80367904059085</v>
      </c>
      <c r="AQ416" s="1108">
        <v>183.81598599979591</v>
      </c>
      <c r="AR416" s="1108">
        <v>262.65238828843064</v>
      </c>
      <c r="AS416" s="1108">
        <v>255.47972465765574</v>
      </c>
      <c r="AT416" s="1108">
        <v>1567.4579913833218</v>
      </c>
      <c r="AU416" s="1108">
        <v>622.88567127720478</v>
      </c>
      <c r="AV416" s="1108">
        <v>728.82899089233592</v>
      </c>
      <c r="AW416" s="1108">
        <v>686.34418465864212</v>
      </c>
      <c r="AX416" s="1108">
        <v>1567.0371845207992</v>
      </c>
      <c r="AY416" s="1108">
        <v>685.40189892307706</v>
      </c>
      <c r="AZ416" s="1108">
        <v>641.59179892770089</v>
      </c>
      <c r="BA416" s="1108">
        <v>744.72591178990581</v>
      </c>
      <c r="BB416" s="1108">
        <v>1278.7149259615996</v>
      </c>
      <c r="BC416" s="1108">
        <v>429.70870144294031</v>
      </c>
      <c r="BD416" s="1108">
        <v>434.30839054597016</v>
      </c>
      <c r="BE416" s="1108">
        <v>475.91339770042759</v>
      </c>
      <c r="BF416" s="1108">
        <v>1026.0884923978228</v>
      </c>
      <c r="BG416" s="1108">
        <v>385.13314734781954</v>
      </c>
      <c r="BH416" s="1108">
        <v>358.19466407256772</v>
      </c>
      <c r="BI416" s="1108">
        <v>417.58003809901703</v>
      </c>
      <c r="BJ416" s="1108">
        <v>1050.7205968921321</v>
      </c>
      <c r="BK416" s="1108">
        <v>383.0910710209094</v>
      </c>
      <c r="BL416" s="1108">
        <v>412.59093559493641</v>
      </c>
      <c r="BM416" s="1108">
        <v>419.91808124040875</v>
      </c>
      <c r="BN416" s="1108">
        <v>874.98681363586297</v>
      </c>
      <c r="BO416" s="1108">
        <v>353.63124304779274</v>
      </c>
      <c r="BP416" s="1108">
        <v>307.6016221641575</v>
      </c>
      <c r="BQ416" s="1108">
        <v>361.69689536336631</v>
      </c>
      <c r="BR416" s="1108">
        <v>668.59002839158768</v>
      </c>
      <c r="BS416" s="1108">
        <v>336.78738052686964</v>
      </c>
      <c r="BT416" s="1108">
        <v>328.65748109629499</v>
      </c>
      <c r="CK416" s="1108"/>
      <c r="CM416" s="1108"/>
      <c r="CO416" s="1108"/>
      <c r="CQ416" s="1108"/>
      <c r="CS416" s="1108"/>
      <c r="CU416" s="1108"/>
      <c r="CW416" s="1108"/>
      <c r="CY416" s="1108"/>
      <c r="DA416" s="1108"/>
      <c r="DC416" s="1108"/>
      <c r="DE416" s="1108"/>
      <c r="DF416" s="1108"/>
      <c r="DG416" s="1108"/>
      <c r="DH416" s="1108"/>
      <c r="DI416" s="1108"/>
    </row>
    <row r="417" spans="4:114" ht="14.45" hidden="1" outlineLevel="1">
      <c r="D417" s="1611"/>
      <c r="E417" s="1619"/>
      <c r="F417" s="1107" t="s">
        <v>1191</v>
      </c>
      <c r="O417" s="1109">
        <v>-32.319079179254864</v>
      </c>
      <c r="Q417" s="1109">
        <v>68.850188809968358</v>
      </c>
      <c r="S417" s="1109">
        <v>108.67509199012189</v>
      </c>
      <c r="T417" s="1109">
        <v>43.518156835978608</v>
      </c>
      <c r="U417" s="1109">
        <v>140.85273400853555</v>
      </c>
      <c r="V417" s="1109">
        <v>-19.907007741186746</v>
      </c>
      <c r="W417" s="1109">
        <v>-31.798127203031029</v>
      </c>
      <c r="X417" s="1109">
        <v>6.2379090702515789</v>
      </c>
      <c r="Y417" s="1109">
        <v>-19.531392112139237</v>
      </c>
      <c r="Z417" s="1109">
        <v>-14.327426978051538</v>
      </c>
      <c r="AA417" s="1109">
        <v>-26.08680253252108</v>
      </c>
      <c r="AB417" s="1109">
        <v>-36.417865491275812</v>
      </c>
      <c r="AC417" s="1109">
        <v>-19.590206062574932</v>
      </c>
      <c r="AD417" s="1109">
        <v>-15.562490796054334</v>
      </c>
      <c r="AE417" s="1109">
        <v>-11.25017520493472</v>
      </c>
      <c r="AF417" s="1109">
        <v>-22.169030122887971</v>
      </c>
      <c r="AG417" s="1109">
        <v>-47.58754276403868</v>
      </c>
      <c r="AH417" s="1109">
        <v>12.173737508513389</v>
      </c>
      <c r="AI417" s="1109">
        <v>-3.0537410543794214</v>
      </c>
      <c r="AJ417" s="1109">
        <v>58.355853587486472</v>
      </c>
      <c r="AK417" s="1109">
        <v>91.3698528285328</v>
      </c>
      <c r="AL417" s="1109">
        <v>-19.272378299009006</v>
      </c>
      <c r="AM417" s="1109">
        <v>-31.641902148265693</v>
      </c>
      <c r="AN417" s="1109">
        <v>-47.213874915033166</v>
      </c>
      <c r="AO417" s="1109">
        <v>-34.996109728769184</v>
      </c>
      <c r="AP417" s="1109">
        <v>-40.488713051796232</v>
      </c>
      <c r="AQ417" s="1109">
        <v>-22.014404588128663</v>
      </c>
      <c r="AR417" s="1109">
        <v>42.214294312595072</v>
      </c>
      <c r="AS417" s="1109">
        <v>-28.301870810620056</v>
      </c>
      <c r="AT417" s="1109">
        <v>82.516450457501691</v>
      </c>
      <c r="AU417" s="1109">
        <v>238.86371084063188</v>
      </c>
      <c r="AV417" s="1109">
        <v>177.48805013414741</v>
      </c>
      <c r="AW417" s="1109">
        <v>168.64917972584601</v>
      </c>
      <c r="AX417" s="1109">
        <v>-2.6846452334661614E-2</v>
      </c>
      <c r="AY417" s="1109">
        <v>10.036549326569833</v>
      </c>
      <c r="AZ417" s="1109">
        <v>-11.96950080948713</v>
      </c>
      <c r="BA417" s="1109">
        <v>8.5061880666039631</v>
      </c>
      <c r="BB417" s="1109">
        <v>-18.399196994637283</v>
      </c>
      <c r="BC417" s="1109">
        <v>-37.305586383972553</v>
      </c>
      <c r="BD417" s="1109">
        <v>-32.307677362485876</v>
      </c>
      <c r="BE417" s="1109">
        <v>-36.095496320707149</v>
      </c>
      <c r="BF417" s="1109">
        <v>-19.756274712583068</v>
      </c>
      <c r="BG417" s="1109">
        <v>-10.37343529359268</v>
      </c>
      <c r="BH417" s="1109">
        <v>-17.525271933549266</v>
      </c>
      <c r="BI417" s="1109">
        <v>-12.257137513520803</v>
      </c>
      <c r="BJ417" s="1109">
        <v>2.4005828616932967</v>
      </c>
      <c r="BK417" s="1109">
        <v>-0.53022606362830627</v>
      </c>
      <c r="BL417" s="1109">
        <v>15.18623167187895</v>
      </c>
      <c r="BM417" s="1109">
        <v>0.55990299537194899</v>
      </c>
      <c r="BN417" s="1109">
        <v>-16.725072657380306</v>
      </c>
      <c r="BO417" s="1109">
        <v>-7.6900325279334742</v>
      </c>
      <c r="BP417" s="1109">
        <v>-25.446345126169419</v>
      </c>
      <c r="BQ417" s="1109">
        <v>-13.864891386686926</v>
      </c>
      <c r="BR417" s="1109">
        <v>-23.588559510585945</v>
      </c>
      <c r="BS417" s="1109">
        <v>-4.7631149260888899</v>
      </c>
      <c r="BT417" s="1109">
        <v>6.8451716164554615</v>
      </c>
      <c r="CM417" s="1109"/>
      <c r="CO417" s="1109"/>
      <c r="CQ417" s="1109"/>
      <c r="CS417" s="1109"/>
      <c r="CU417" s="1109"/>
      <c r="CW417" s="1109"/>
      <c r="CY417" s="1109"/>
      <c r="DA417" s="1109"/>
      <c r="DC417" s="1109"/>
      <c r="DE417" s="1109"/>
      <c r="DF417" s="1109"/>
      <c r="DG417" s="1109"/>
      <c r="DH417" s="1109"/>
      <c r="DI417" s="1109"/>
    </row>
    <row r="418" spans="4:114" ht="14.45" hidden="1" outlineLevel="1" collapsed="1">
      <c r="D418" s="1611"/>
      <c r="E418" s="1619"/>
      <c r="F418" s="1107"/>
    </row>
    <row r="419" spans="4:114" ht="14.45" collapsed="1">
      <c r="D419" s="1615" t="s">
        <v>1268</v>
      </c>
      <c r="E419" s="1612" t="s">
        <v>1116</v>
      </c>
      <c r="F419" s="1106" t="s">
        <v>1190</v>
      </c>
      <c r="G419" s="1108">
        <v>20.6875</v>
      </c>
      <c r="I419" s="1108">
        <v>21.75</v>
      </c>
      <c r="K419" s="1108">
        <v>22.75</v>
      </c>
      <c r="M419" s="1108">
        <v>23.75</v>
      </c>
      <c r="O419" s="1108">
        <v>24.921875</v>
      </c>
      <c r="Q419" s="1108">
        <v>29.200854700854698</v>
      </c>
      <c r="S419" s="1108">
        <v>29.6272045855379</v>
      </c>
      <c r="T419" s="1108">
        <v>29.635593423449333</v>
      </c>
      <c r="U419" s="1108">
        <v>29.76125</v>
      </c>
      <c r="V419" s="1108">
        <v>37.041025641025634</v>
      </c>
      <c r="W419" s="1108">
        <v>36.941812169312165</v>
      </c>
      <c r="X419" s="1108">
        <v>40.7640350877193</v>
      </c>
      <c r="Y419" s="1108">
        <v>39</v>
      </c>
      <c r="Z419" s="1108">
        <v>48</v>
      </c>
      <c r="AA419" s="1108">
        <v>46</v>
      </c>
      <c r="AB419" s="1108">
        <v>49</v>
      </c>
      <c r="AC419" s="1108">
        <v>47</v>
      </c>
      <c r="AD419" s="1108">
        <v>55</v>
      </c>
      <c r="AE419" s="1108">
        <v>52</v>
      </c>
      <c r="AF419" s="1108">
        <v>53</v>
      </c>
      <c r="AG419" s="1108">
        <v>53</v>
      </c>
      <c r="AH419" s="1108">
        <v>59</v>
      </c>
      <c r="AI419" s="1108">
        <v>59</v>
      </c>
      <c r="AJ419" s="1108">
        <v>57</v>
      </c>
      <c r="AK419" s="1108">
        <v>57</v>
      </c>
      <c r="AL419" s="1108">
        <v>64</v>
      </c>
      <c r="AM419" s="1108">
        <v>63</v>
      </c>
      <c r="AN419" s="1108">
        <v>65</v>
      </c>
      <c r="AO419" s="1108">
        <v>63.07</v>
      </c>
      <c r="AP419" s="1108">
        <v>70.103333333333339</v>
      </c>
      <c r="AQ419" s="1108">
        <v>81.859375</v>
      </c>
      <c r="AR419" s="1108">
        <v>77.739999999999995</v>
      </c>
      <c r="AS419" s="1108">
        <v>76.716666666666669</v>
      </c>
      <c r="AT419" s="1108">
        <v>90.070999999999998</v>
      </c>
      <c r="AU419" s="1108">
        <v>85.30083333333333</v>
      </c>
      <c r="AV419" s="1108">
        <v>84.041666666666671</v>
      </c>
      <c r="AW419" s="1108">
        <v>89.563333333333333</v>
      </c>
      <c r="AX419" s="1108">
        <v>95.85</v>
      </c>
      <c r="AY419" s="1108">
        <v>97.108333333333334</v>
      </c>
      <c r="AZ419" s="1108">
        <v>104.25</v>
      </c>
      <c r="BA419" s="1108">
        <v>80.864999999999995</v>
      </c>
      <c r="BB419" s="1108">
        <v>100.05</v>
      </c>
      <c r="BC419" s="1108">
        <v>104.14166666666667</v>
      </c>
      <c r="BD419" s="1108">
        <v>99.041666666666671</v>
      </c>
      <c r="BE419" s="1108">
        <v>104.92333333333333</v>
      </c>
      <c r="BF419" s="1108">
        <v>109.58333333333333</v>
      </c>
      <c r="BG419" s="1108">
        <v>110.50833333333334</v>
      </c>
      <c r="BH419" s="1108">
        <v>101.70833333333333</v>
      </c>
      <c r="BI419" s="1108">
        <v>120.75</v>
      </c>
      <c r="BJ419" s="1108">
        <v>124</v>
      </c>
      <c r="BK419" s="1108">
        <v>124.25</v>
      </c>
      <c r="BL419" s="1108">
        <v>124.5</v>
      </c>
      <c r="BM419" s="1108">
        <v>168</v>
      </c>
      <c r="BN419" s="1108">
        <v>173</v>
      </c>
      <c r="BO419" s="1108">
        <v>174</v>
      </c>
      <c r="BP419" s="1108">
        <v>175</v>
      </c>
      <c r="CK419" s="1108"/>
      <c r="CM419" s="1108"/>
      <c r="CO419" s="1108"/>
      <c r="CQ419" s="1108"/>
      <c r="CS419" s="1108"/>
      <c r="CU419" s="1108"/>
      <c r="CW419" s="1108"/>
      <c r="CY419" s="1108"/>
      <c r="DA419" s="1108"/>
      <c r="DC419" s="1108"/>
      <c r="DE419" s="1108"/>
      <c r="DF419" s="1108"/>
      <c r="DG419" s="1108"/>
      <c r="DH419" s="1108"/>
    </row>
    <row r="420" spans="4:114" ht="14.45" hidden="1" outlineLevel="1">
      <c r="D420" s="1611"/>
      <c r="E420" s="1619"/>
      <c r="F420" s="1106" t="s">
        <v>1191</v>
      </c>
      <c r="O420" s="1109">
        <v>20.468277945619334</v>
      </c>
      <c r="Q420" s="1109">
        <v>34.256803222320457</v>
      </c>
      <c r="S420" s="1109">
        <v>30.2294707056611</v>
      </c>
      <c r="T420" s="1109">
        <v>24.781445993470875</v>
      </c>
      <c r="U420" s="1109">
        <v>19.418181818181822</v>
      </c>
      <c r="V420" s="1109">
        <v>26.84911459095564</v>
      </c>
      <c r="W420" s="1109">
        <v>24.688821257692286</v>
      </c>
      <c r="X420" s="1109">
        <v>37.550932438776556</v>
      </c>
      <c r="Y420" s="1109">
        <v>31.042882943424754</v>
      </c>
      <c r="Z420" s="1109">
        <v>29.586044579814509</v>
      </c>
      <c r="AA420" s="1109">
        <v>24.520150200461845</v>
      </c>
      <c r="AB420" s="1109">
        <v>20.203998192421075</v>
      </c>
      <c r="AC420" s="1109">
        <v>20.512820512820511</v>
      </c>
      <c r="AD420" s="1109">
        <v>14.583333333333334</v>
      </c>
      <c r="AE420" s="1109">
        <v>13.043478260869565</v>
      </c>
      <c r="AF420" s="1109">
        <v>8.1632653061224492</v>
      </c>
      <c r="AG420" s="1109">
        <v>12.76595744680851</v>
      </c>
      <c r="AH420" s="1109">
        <v>7.2727272727272725</v>
      </c>
      <c r="AI420" s="1109">
        <v>13.461538461538462</v>
      </c>
      <c r="AJ420" s="1109">
        <v>7.5471698113207548</v>
      </c>
      <c r="AK420" s="1109">
        <v>7.5471698113207548</v>
      </c>
      <c r="AL420" s="1109">
        <v>8.4745762711864394</v>
      </c>
      <c r="AM420" s="1109">
        <v>6.7796610169491522</v>
      </c>
      <c r="AN420" s="1109">
        <v>14.035087719298245</v>
      </c>
      <c r="AO420" s="1109">
        <v>10.649122807017545</v>
      </c>
      <c r="AP420" s="1109">
        <v>9.5364583333333428</v>
      </c>
      <c r="AQ420" s="1109">
        <v>29.935515873015873</v>
      </c>
      <c r="AR420" s="1109">
        <v>19.599999999999991</v>
      </c>
      <c r="AS420" s="1109">
        <v>21.637334178954603</v>
      </c>
      <c r="AT420" s="1109">
        <v>28.483191479244912</v>
      </c>
      <c r="AU420" s="1109">
        <v>4.2041101991474159</v>
      </c>
      <c r="AV420" s="1109">
        <v>8.1060800960466644</v>
      </c>
      <c r="AW420" s="1109">
        <v>16.745600695198778</v>
      </c>
      <c r="AX420" s="1109">
        <v>6.4160495609019517</v>
      </c>
      <c r="AY420" s="1109">
        <v>13.842185988804337</v>
      </c>
      <c r="AZ420" s="1109">
        <v>24.045612295488343</v>
      </c>
      <c r="BA420" s="1109">
        <v>-9.7119356879675518</v>
      </c>
      <c r="BB420" s="1109">
        <v>4.3818466353677659</v>
      </c>
      <c r="BC420" s="1109">
        <v>7.242770102119624</v>
      </c>
      <c r="BD420" s="1109">
        <v>-4.9960031974420422</v>
      </c>
      <c r="BE420" s="1109">
        <v>29.751231476328865</v>
      </c>
      <c r="BF420" s="1109">
        <v>9.5285690488089276</v>
      </c>
      <c r="BG420" s="1109">
        <v>6.1134672321357195</v>
      </c>
      <c r="BH420" s="1109">
        <v>2.6924694993689426</v>
      </c>
      <c r="BI420" s="1109">
        <v>15.084029608920801</v>
      </c>
      <c r="BJ420" s="1109">
        <v>13.155893536121678</v>
      </c>
      <c r="BK420" s="1109">
        <v>12.434959656134522</v>
      </c>
      <c r="BL420" s="1109">
        <v>22.408848832445724</v>
      </c>
      <c r="BM420" s="1109">
        <v>39.130434782608695</v>
      </c>
      <c r="BN420" s="1109">
        <v>39.516129032258064</v>
      </c>
      <c r="BO420" s="1109">
        <v>40.040241448692157</v>
      </c>
      <c r="BP420" s="1109">
        <v>40.562248995983936</v>
      </c>
      <c r="CM420" s="1109"/>
      <c r="CO420" s="1109"/>
      <c r="CQ420" s="1109"/>
      <c r="CS420" s="1109"/>
      <c r="CU420" s="1109"/>
      <c r="CW420" s="1109"/>
      <c r="CY420" s="1109"/>
      <c r="DA420" s="1109"/>
      <c r="DC420" s="1109"/>
      <c r="DE420" s="1109"/>
      <c r="DF420" s="1109"/>
      <c r="DG420" s="1109"/>
      <c r="DH420" s="1109"/>
    </row>
    <row r="421" spans="4:114" ht="14.45" hidden="1" outlineLevel="1" collapsed="1">
      <c r="D421" s="1611"/>
      <c r="E421" s="1619"/>
      <c r="F421" s="1106"/>
    </row>
    <row r="422" spans="4:114" ht="14.45" collapsed="1">
      <c r="D422" s="1615" t="s">
        <v>1269</v>
      </c>
      <c r="E422" s="1612" t="s">
        <v>1245</v>
      </c>
      <c r="F422" s="1107" t="s">
        <v>1190</v>
      </c>
      <c r="G422" s="1108">
        <v>15</v>
      </c>
      <c r="I422" s="1108">
        <v>15</v>
      </c>
      <c r="K422" s="1108">
        <v>15</v>
      </c>
      <c r="M422" s="1108">
        <v>15</v>
      </c>
      <c r="O422" s="1108">
        <v>13.982257029711729</v>
      </c>
      <c r="Q422" s="1108">
        <v>13.650390625000094</v>
      </c>
      <c r="S422" s="1108">
        <v>13.856075808249775</v>
      </c>
      <c r="T422" s="1108">
        <v>14.014890400605312</v>
      </c>
      <c r="U422" s="1108">
        <v>13.815590363045064</v>
      </c>
      <c r="V422" s="1108">
        <v>13.586508789062206</v>
      </c>
      <c r="W422" s="1108">
        <v>13.548613154960613</v>
      </c>
      <c r="X422" s="1108">
        <v>13.606145124716342</v>
      </c>
      <c r="Y422" s="1108">
        <v>13.473365149554214</v>
      </c>
      <c r="Z422" s="1108">
        <v>13.370977614182694</v>
      </c>
      <c r="AA422" s="1108">
        <v>13.358710091840528</v>
      </c>
      <c r="AB422" s="1108">
        <v>12.90016861882598</v>
      </c>
      <c r="AC422" s="1108">
        <v>13.058083579609717</v>
      </c>
      <c r="AD422" s="1108">
        <v>12.77199861375928</v>
      </c>
      <c r="AE422" s="1108">
        <v>13.499519230769231</v>
      </c>
      <c r="AF422" s="1108">
        <v>13.367452830188679</v>
      </c>
      <c r="AG422" s="1108">
        <v>13.4</v>
      </c>
      <c r="AH422" s="1108">
        <v>13.224576271186441</v>
      </c>
      <c r="AI422" s="1108">
        <v>13.4</v>
      </c>
      <c r="AJ422" s="1108">
        <v>13.460526315789474</v>
      </c>
      <c r="AK422" s="1108">
        <v>13.4</v>
      </c>
      <c r="AL422" s="1108">
        <v>13.211328125</v>
      </c>
      <c r="AM422" s="1108">
        <v>13.427380952380952</v>
      </c>
      <c r="AN422" s="1108">
        <v>13.346923076923076</v>
      </c>
      <c r="AO422" s="1108">
        <v>13.373863636363636</v>
      </c>
      <c r="AP422" s="1108">
        <v>13.234589041095891</v>
      </c>
      <c r="AQ422" s="1108">
        <v>14.805624999999999</v>
      </c>
      <c r="AR422" s="1108">
        <v>15.36017441860465</v>
      </c>
      <c r="AS422" s="1108">
        <v>15.346762048192771</v>
      </c>
      <c r="AT422" s="1108">
        <v>15.0800625</v>
      </c>
      <c r="AU422" s="1108">
        <v>14.335194174757282</v>
      </c>
      <c r="AV422" s="1108">
        <v>16.869137168141592</v>
      </c>
      <c r="AW422" s="1108">
        <v>17.032072368421051</v>
      </c>
      <c r="AX422" s="1108">
        <v>16.931766528925621</v>
      </c>
      <c r="AY422" s="1108">
        <v>17.033247950819671</v>
      </c>
      <c r="AZ422" s="1108">
        <v>17.761178861788618</v>
      </c>
      <c r="BA422" s="1108">
        <v>16.62641633064516</v>
      </c>
      <c r="BB422" s="1108">
        <v>16.597800196850393</v>
      </c>
      <c r="BC422" s="1108">
        <v>16.152540145985402</v>
      </c>
      <c r="BD422" s="1108">
        <v>16.160760204081633</v>
      </c>
      <c r="BE422" s="1108">
        <v>16.34468185177365</v>
      </c>
      <c r="BF422" s="1108">
        <v>16.32243515107616</v>
      </c>
      <c r="BG422" s="1108">
        <v>16.344983562911185</v>
      </c>
      <c r="BH422" s="1108">
        <v>16.345056525735295</v>
      </c>
      <c r="BI422" s="1108">
        <v>17.343258229496307</v>
      </c>
      <c r="BJ422" s="1108">
        <v>17.315823972537878</v>
      </c>
      <c r="BK422" s="1108">
        <v>17.408470903928212</v>
      </c>
      <c r="BL422" s="1108">
        <v>17.408562716753991</v>
      </c>
      <c r="BM422" s="1108">
        <v>15.225960309709821</v>
      </c>
      <c r="BN422" s="1108">
        <v>15.050725808345376</v>
      </c>
      <c r="BO422" s="1108">
        <v>15.227527572737069</v>
      </c>
      <c r="BP422" s="1108">
        <v>15.227778334821428</v>
      </c>
      <c r="CK422" s="1108"/>
      <c r="CM422" s="1108"/>
      <c r="CO422" s="1108"/>
      <c r="CQ422" s="1108"/>
      <c r="CS422" s="1108"/>
      <c r="CU422" s="1108"/>
      <c r="CW422" s="1108"/>
      <c r="CY422" s="1108"/>
      <c r="DA422" s="1108"/>
      <c r="DC422" s="1108"/>
      <c r="DE422" s="1108"/>
      <c r="DF422" s="1108"/>
      <c r="DG422" s="1108"/>
      <c r="DH422" s="1108"/>
    </row>
    <row r="423" spans="4:114" ht="14.45" hidden="1" outlineLevel="1">
      <c r="D423" s="1611"/>
      <c r="E423" s="1619"/>
      <c r="F423" s="1107" t="s">
        <v>1191</v>
      </c>
      <c r="O423" s="1109">
        <v>-6.7849531352551411</v>
      </c>
      <c r="Q423" s="1109">
        <v>-8.9973958333327051</v>
      </c>
      <c r="S423" s="1109">
        <v>-7.6261612783348323</v>
      </c>
      <c r="T423" s="1109">
        <v>-6.5673973292979211</v>
      </c>
      <c r="U423" s="1109">
        <v>-1.1919868610089515</v>
      </c>
      <c r="V423" s="1109">
        <v>-0.46798540564027019</v>
      </c>
      <c r="W423" s="1109">
        <v>-2.2189735213927029</v>
      </c>
      <c r="X423" s="1109">
        <v>-2.9165071163975429</v>
      </c>
      <c r="Y423" s="1109">
        <v>-2.4770943875569689</v>
      </c>
      <c r="Z423" s="1109">
        <v>-1.5863617226893865</v>
      </c>
      <c r="AA423" s="1109">
        <v>-1.4016420791419113</v>
      </c>
      <c r="AB423" s="1109">
        <v>-5.1886592375669682</v>
      </c>
      <c r="AC423" s="1109">
        <v>-3.0822408903408762</v>
      </c>
      <c r="AD423" s="1109">
        <v>-4.4796948862443138</v>
      </c>
      <c r="AE423" s="1109">
        <v>1.0540623904602002</v>
      </c>
      <c r="AF423" s="1109">
        <v>3.6223108795707031</v>
      </c>
      <c r="AG423" s="1109">
        <v>2.6184272623602176</v>
      </c>
      <c r="AH423" s="1109">
        <v>3.5435147709740531</v>
      </c>
      <c r="AI423" s="1109">
        <v>-0.73720574094518698</v>
      </c>
      <c r="AJ423" s="1109">
        <v>0.69626941484768878</v>
      </c>
      <c r="AK423" s="1109">
        <v>0</v>
      </c>
      <c r="AL423" s="1109">
        <v>-0.10017822813201552</v>
      </c>
      <c r="AM423" s="1109">
        <v>0.20433546552949133</v>
      </c>
      <c r="AN423" s="1109">
        <v>-0.84397323107001532</v>
      </c>
      <c r="AO423" s="1109">
        <v>-0.19504748982361741</v>
      </c>
      <c r="AP423" s="1109">
        <v>0.17606796134201083</v>
      </c>
      <c r="AQ423" s="1109">
        <v>10.264429470697751</v>
      </c>
      <c r="AR423" s="1109">
        <v>15.084010974503178</v>
      </c>
      <c r="AS423" s="1109">
        <v>14.751895678559258</v>
      </c>
      <c r="AT423" s="1109">
        <v>13.944320093155646</v>
      </c>
      <c r="AU423" s="1109">
        <v>-3.1773790383230507</v>
      </c>
      <c r="AV423" s="1109">
        <v>9.8238646802685103</v>
      </c>
      <c r="AW423" s="1109">
        <v>10.981536788906832</v>
      </c>
      <c r="AX423" s="1109">
        <v>12.279153544129016</v>
      </c>
      <c r="AY423" s="1109">
        <v>18.821187513548779</v>
      </c>
      <c r="AZ423" s="1109">
        <v>5.288010197295109</v>
      </c>
      <c r="BA423" s="1109">
        <v>-2.3817186129857748</v>
      </c>
      <c r="BB423" s="1109">
        <v>-1.972424622703673</v>
      </c>
      <c r="BC423" s="1109">
        <v>-5.1705218369224069</v>
      </c>
      <c r="BD423" s="1109">
        <v>-9.0107682049761024</v>
      </c>
      <c r="BE423" s="1109">
        <v>-1.694499122773846</v>
      </c>
      <c r="BF423" s="1109">
        <v>-1.6590454307703173</v>
      </c>
      <c r="BG423" s="1109">
        <v>1.1914127139539352</v>
      </c>
      <c r="BH423" s="1109">
        <v>1.1403938881978772</v>
      </c>
      <c r="BI423" s="1109">
        <v>6.1094880082618168</v>
      </c>
      <c r="BJ423" s="1109">
        <v>6.0860331946010042</v>
      </c>
      <c r="BK423" s="1109">
        <v>6.5065060293496551</v>
      </c>
      <c r="BL423" s="1109">
        <v>6.5065923103062113</v>
      </c>
      <c r="BM423" s="1109">
        <v>-12.208190016945723</v>
      </c>
      <c r="BN423" s="1109">
        <v>-13.081087956223428</v>
      </c>
      <c r="BO423" s="1109">
        <v>-12.528057996748091</v>
      </c>
      <c r="BP423" s="1109">
        <v>-12.527078871558864</v>
      </c>
      <c r="CM423" s="1109"/>
      <c r="CO423" s="1109"/>
      <c r="CQ423" s="1109"/>
      <c r="CS423" s="1109"/>
      <c r="CU423" s="1109"/>
      <c r="CW423" s="1109"/>
      <c r="CY423" s="1109"/>
      <c r="DA423" s="1109"/>
      <c r="DC423" s="1109"/>
      <c r="DE423" s="1109"/>
      <c r="DF423" s="1109"/>
      <c r="DG423" s="1109"/>
      <c r="DH423" s="1109"/>
    </row>
    <row r="424" spans="4:114" ht="14.45" hidden="1" outlineLevel="1" collapsed="1">
      <c r="D424" s="1611"/>
      <c r="E424" s="1619"/>
      <c r="F424" s="1107"/>
    </row>
    <row r="425" spans="4:114" ht="14.45" collapsed="1">
      <c r="D425" s="1614" t="s">
        <v>1270</v>
      </c>
      <c r="E425" s="1612" t="s">
        <v>1095</v>
      </c>
      <c r="F425" s="1106" t="s">
        <v>1190</v>
      </c>
      <c r="G425" s="1108">
        <v>500.43097573201698</v>
      </c>
      <c r="I425" s="1108">
        <v>542.47699999999895</v>
      </c>
      <c r="K425" s="1108">
        <v>604.10555240209601</v>
      </c>
      <c r="M425" s="1108">
        <v>532.442297789696</v>
      </c>
      <c r="O425" s="1108">
        <v>456.76299476828552</v>
      </c>
      <c r="Q425" s="1108">
        <v>473.80135066280224</v>
      </c>
      <c r="S425" s="1108">
        <v>495.40326587951398</v>
      </c>
      <c r="T425" s="1108">
        <v>474.63593976292748</v>
      </c>
      <c r="U425" s="1108">
        <v>498.29648493024251</v>
      </c>
      <c r="V425" s="1108">
        <v>611.2520851788413</v>
      </c>
      <c r="W425" s="1108">
        <v>610.25602922999201</v>
      </c>
      <c r="X425" s="1108">
        <v>667.64741432565279</v>
      </c>
      <c r="Y425" s="1108">
        <v>617.49308111838377</v>
      </c>
      <c r="Z425" s="1108">
        <v>768.33821062176196</v>
      </c>
      <c r="AA425" s="1108">
        <v>747.60913066059072</v>
      </c>
      <c r="AB425" s="1108">
        <v>732.91081089867976</v>
      </c>
      <c r="AC425" s="1108">
        <v>695.3192444548007</v>
      </c>
      <c r="AD425" s="1108">
        <v>850.31746480077027</v>
      </c>
      <c r="AE425" s="1108">
        <v>832.12923051653752</v>
      </c>
      <c r="AF425" s="1108">
        <v>818.692019214075</v>
      </c>
      <c r="AG425" s="1108">
        <v>783.89733112471856</v>
      </c>
      <c r="AH425" s="1108">
        <v>861.35503506501323</v>
      </c>
      <c r="AI425" s="1108">
        <v>925.34906922974301</v>
      </c>
      <c r="AJ425" s="1108">
        <v>937.56968284304219</v>
      </c>
      <c r="AK425" s="1108">
        <v>997.01225298481597</v>
      </c>
      <c r="AL425" s="1108">
        <v>1142.993007440482</v>
      </c>
      <c r="AM425" s="1108">
        <v>1148.24838617248</v>
      </c>
      <c r="AN425" s="1108">
        <v>1044.7130847564099</v>
      </c>
      <c r="AO425" s="1108">
        <v>902.51943823105</v>
      </c>
      <c r="AP425" s="1108">
        <v>924.86991589027332</v>
      </c>
      <c r="AQ425" s="1108">
        <v>1155.4398397966925</v>
      </c>
      <c r="AR425" s="1108">
        <v>1265.33559489344</v>
      </c>
      <c r="AS425" s="1108">
        <v>1265.2618334279325</v>
      </c>
      <c r="AT425" s="1108">
        <v>1335.9986056569101</v>
      </c>
      <c r="AU425" s="1108">
        <v>1439.034718369425</v>
      </c>
      <c r="AV425" s="1108">
        <v>1476.1518155670699</v>
      </c>
      <c r="AW425" s="1108">
        <v>1568.023848186335</v>
      </c>
      <c r="AX425" s="1108">
        <v>1668.7377769844024</v>
      </c>
      <c r="AY425" s="1108">
        <v>1716.2020621499976</v>
      </c>
      <c r="AZ425" s="1108">
        <v>1898.5559160892367</v>
      </c>
      <c r="BA425" s="1108">
        <v>1695.4133037455049</v>
      </c>
      <c r="BB425" s="1108">
        <v>1774.0675195367726</v>
      </c>
      <c r="BC425" s="1108">
        <v>1720.0124674933149</v>
      </c>
      <c r="BD425" s="1108">
        <v>1702.6529694213825</v>
      </c>
      <c r="BE425" s="1108">
        <v>1791.1050764462875</v>
      </c>
      <c r="BF425" s="1108">
        <v>1862.7437510234724</v>
      </c>
      <c r="BG425" s="1108">
        <v>1771.3393614838051</v>
      </c>
      <c r="BH425" s="1108">
        <v>1735.5940363489724</v>
      </c>
      <c r="BI425" s="1108">
        <v>2073.6752043474335</v>
      </c>
      <c r="BJ425" s="1108">
        <v>2114.8236652184669</v>
      </c>
      <c r="BK425" s="1108">
        <v>2130.21517805134</v>
      </c>
      <c r="BL425" s="1108">
        <v>2137.0198631261565</v>
      </c>
      <c r="BM425" s="1108">
        <v>2557.9613320312501</v>
      </c>
      <c r="BN425" s="1108">
        <v>2603.7755648437501</v>
      </c>
      <c r="BO425" s="1108">
        <v>2649.5897976562501</v>
      </c>
      <c r="BP425" s="1108">
        <v>2664.8612085937498</v>
      </c>
      <c r="CK425" s="1108"/>
      <c r="CM425" s="1108"/>
      <c r="CO425" s="1108"/>
      <c r="CQ425" s="1108"/>
      <c r="CS425" s="1108"/>
      <c r="CU425" s="1108"/>
      <c r="CW425" s="1108"/>
      <c r="CY425" s="1108"/>
      <c r="DA425" s="1108"/>
      <c r="DC425" s="1108"/>
      <c r="DE425" s="1108"/>
      <c r="DF425" s="1108"/>
      <c r="DG425" s="1108"/>
      <c r="DH425" s="1108"/>
    </row>
    <row r="426" spans="4:114" ht="14.45" hidden="1" outlineLevel="1">
      <c r="D426" s="1611"/>
      <c r="E426" s="1619"/>
      <c r="F426" s="1106" t="s">
        <v>1191</v>
      </c>
      <c r="O426" s="1109">
        <v>-8.7260747398490075</v>
      </c>
      <c r="Q426" s="1109">
        <v>-12.659642590782068</v>
      </c>
      <c r="S426" s="1109">
        <v>-17.993922765707207</v>
      </c>
      <c r="T426" s="1109">
        <v>-10.856830546096258</v>
      </c>
      <c r="U426" s="1109">
        <v>9.0930067973275293</v>
      </c>
      <c r="V426" s="1109">
        <v>29.010203184047235</v>
      </c>
      <c r="W426" s="1109">
        <v>23.183691198840648</v>
      </c>
      <c r="X426" s="1109">
        <v>40.665162157575182</v>
      </c>
      <c r="Y426" s="1109">
        <v>23.920818186150321</v>
      </c>
      <c r="Z426" s="1109">
        <v>25.699073958489667</v>
      </c>
      <c r="AA426" s="1109">
        <v>22.507455043731056</v>
      </c>
      <c r="AB426" s="1109">
        <v>9.7751290835066413</v>
      </c>
      <c r="AC426" s="1109">
        <v>12.603568479740805</v>
      </c>
      <c r="AD426" s="1109">
        <v>10.669683356326672</v>
      </c>
      <c r="AE426" s="1109">
        <v>11.3053862492643</v>
      </c>
      <c r="AF426" s="1109">
        <v>11.704181059931717</v>
      </c>
      <c r="AG426" s="1109">
        <v>12.739196761247687</v>
      </c>
      <c r="AH426" s="1109">
        <v>1.2980528709743797</v>
      </c>
      <c r="AI426" s="1109">
        <v>11.202567497279242</v>
      </c>
      <c r="AJ426" s="1109">
        <v>14.520437580799545</v>
      </c>
      <c r="AK426" s="1109">
        <v>27.18658597221205</v>
      </c>
      <c r="AL426" s="1109">
        <v>32.697083189884793</v>
      </c>
      <c r="AM426" s="1109">
        <v>24.08813326286452</v>
      </c>
      <c r="AN426" s="1109">
        <v>11.427780129202887</v>
      </c>
      <c r="AO426" s="1109">
        <v>-9.4775981409332832</v>
      </c>
      <c r="AP426" s="1109">
        <v>-19.083501835120963</v>
      </c>
      <c r="AQ426" s="1109">
        <v>0.62629773408035616</v>
      </c>
      <c r="AR426" s="1109">
        <v>21.118000085973023</v>
      </c>
      <c r="AS426" s="1109">
        <v>40.192197511874355</v>
      </c>
      <c r="AT426" s="1109">
        <v>44.452596273594558</v>
      </c>
      <c r="AU426" s="1109">
        <v>24.544322326866713</v>
      </c>
      <c r="AV426" s="1109">
        <v>16.660893878622275</v>
      </c>
      <c r="AW426" s="1109">
        <v>23.9288032531685</v>
      </c>
      <c r="AX426" s="1109">
        <v>24.905652589651066</v>
      </c>
      <c r="AY426" s="1109">
        <v>19.260643280005905</v>
      </c>
      <c r="AZ426" s="1109">
        <v>28.615220742718694</v>
      </c>
      <c r="BA426" s="1109">
        <v>8.1242039594305719</v>
      </c>
      <c r="BB426" s="1109">
        <v>6.3119409175666217</v>
      </c>
      <c r="BC426" s="1109">
        <v>0.22202544952916722</v>
      </c>
      <c r="BD426" s="1109">
        <v>-10.318523937466493</v>
      </c>
      <c r="BE426" s="1109">
        <v>5.6441560585481128</v>
      </c>
      <c r="BF426" s="1109">
        <v>4.9984699291408115</v>
      </c>
      <c r="BG426" s="1109">
        <v>2.9841001132562792</v>
      </c>
      <c r="BH426" s="1109">
        <v>1.9346905986828502</v>
      </c>
      <c r="BI426" s="1109">
        <v>15.776300989654404</v>
      </c>
      <c r="BJ426" s="1109">
        <v>13.532720969080733</v>
      </c>
      <c r="BK426" s="1109">
        <v>20.26013898697051</v>
      </c>
      <c r="BL426" s="1109">
        <v>23.129016254378865</v>
      </c>
      <c r="BM426" s="1109">
        <v>23.354000986678962</v>
      </c>
      <c r="BN426" s="1109">
        <v>23.120220738345729</v>
      </c>
      <c r="BO426" s="1109">
        <v>24.381321894439751</v>
      </c>
      <c r="BP426" s="1109">
        <v>24.699880173104074</v>
      </c>
      <c r="CM426" s="1109"/>
      <c r="CO426" s="1109"/>
      <c r="CQ426" s="1109"/>
      <c r="CS426" s="1109"/>
      <c r="CU426" s="1109"/>
      <c r="CW426" s="1109"/>
      <c r="CY426" s="1109"/>
      <c r="DA426" s="1109"/>
      <c r="DC426" s="1109"/>
      <c r="DE426" s="1109"/>
      <c r="DF426" s="1109"/>
      <c r="DG426" s="1109"/>
      <c r="DH426" s="1109"/>
    </row>
    <row r="427" spans="4:114" ht="14.45" hidden="1" outlineLevel="1" collapsed="1">
      <c r="D427" s="1611"/>
      <c r="E427" s="1619"/>
      <c r="F427" s="1106"/>
    </row>
    <row r="428" spans="4:114" ht="14.45" collapsed="1">
      <c r="D428" s="1614" t="s">
        <v>1271</v>
      </c>
      <c r="E428" s="1612" t="s">
        <v>1095</v>
      </c>
      <c r="F428" s="1107" t="s">
        <v>1190</v>
      </c>
      <c r="G428" s="1108">
        <v>516.32146615483271</v>
      </c>
      <c r="I428" s="1108">
        <v>942.869448665709</v>
      </c>
      <c r="K428" s="1108">
        <v>773.01175791098763</v>
      </c>
      <c r="M428" s="1108">
        <v>571.46026327131267</v>
      </c>
      <c r="O428" s="1108">
        <v>692.46169576009083</v>
      </c>
      <c r="Q428" s="1108">
        <v>1324.9205251538283</v>
      </c>
      <c r="S428" s="1108">
        <v>795.71671626750776</v>
      </c>
      <c r="T428" s="1108">
        <v>738.82374781871442</v>
      </c>
      <c r="U428" s="1108">
        <v>894.88917185704804</v>
      </c>
      <c r="V428" s="1108">
        <v>1275.0354064143974</v>
      </c>
      <c r="W428" s="1108">
        <v>888.96367570470704</v>
      </c>
      <c r="X428" s="1108">
        <v>918.25547817403651</v>
      </c>
      <c r="Y428" s="1108">
        <v>978.54656178418475</v>
      </c>
      <c r="Z428" s="1108">
        <v>1429.1411724788131</v>
      </c>
      <c r="AA428" s="1108">
        <v>1078.2418862453867</v>
      </c>
      <c r="AB428" s="1108">
        <v>934.29257757361916</v>
      </c>
      <c r="AC428" s="1108">
        <v>1101.5043224586343</v>
      </c>
      <c r="AD428" s="1108">
        <v>1750.0390528427924</v>
      </c>
      <c r="AE428" s="1108">
        <v>1211.6925754413026</v>
      </c>
      <c r="AF428" s="1108">
        <v>1078.0184855932175</v>
      </c>
      <c r="AG428" s="1108">
        <v>1352.8498605941943</v>
      </c>
      <c r="AH428" s="1108">
        <v>1866.0035080575703</v>
      </c>
      <c r="AI428" s="1108">
        <v>1571.599856973422</v>
      </c>
      <c r="AJ428" s="1108">
        <v>1600.0383422380114</v>
      </c>
      <c r="AK428" s="1108">
        <v>1833.2518078496198</v>
      </c>
      <c r="AL428" s="1108">
        <v>2398.7078280154592</v>
      </c>
      <c r="AM428" s="1108">
        <v>1688.9853525089552</v>
      </c>
      <c r="AN428" s="1108">
        <v>1500.3071178712278</v>
      </c>
      <c r="AO428" s="1108">
        <v>1953.0362876315667</v>
      </c>
      <c r="AP428" s="1108">
        <v>2264.6719203853918</v>
      </c>
      <c r="AQ428" s="1108">
        <v>1892.4016106390341</v>
      </c>
      <c r="AR428" s="1108">
        <v>2634.9147753162665</v>
      </c>
      <c r="AS428" s="1108">
        <v>2406.8845935593699</v>
      </c>
      <c r="AT428" s="1108">
        <v>3084.1663505856454</v>
      </c>
      <c r="AU428" s="1108">
        <v>2590.2169553270292</v>
      </c>
      <c r="AV428" s="1108">
        <v>2711.7302458662098</v>
      </c>
      <c r="AW428" s="1108">
        <v>2418.0608731320303</v>
      </c>
      <c r="AX428" s="1108">
        <v>3394.1473517185896</v>
      </c>
      <c r="AY428" s="1108">
        <v>2709.0268392618023</v>
      </c>
      <c r="AZ428" s="1108">
        <v>2664.8885117289165</v>
      </c>
      <c r="BA428" s="1108">
        <v>2374.6839777549708</v>
      </c>
      <c r="BB428" s="1108">
        <v>2891.6263758083778</v>
      </c>
      <c r="BC428" s="1108">
        <v>2592.0550815042689</v>
      </c>
      <c r="BD428" s="1108">
        <v>2504.5505934451339</v>
      </c>
      <c r="BE428" s="1108">
        <v>2395.2349511112552</v>
      </c>
      <c r="BF428" s="1108">
        <v>3207.318492610676</v>
      </c>
      <c r="BG428" s="1108">
        <v>2741.506576111241</v>
      </c>
      <c r="BH428" s="1108">
        <v>2663.543009403299</v>
      </c>
      <c r="BI428" s="1108">
        <v>2676.8818048372978</v>
      </c>
      <c r="BJ428" s="1108">
        <v>3616.8729889791352</v>
      </c>
      <c r="BK428" s="1108">
        <v>3081.5062013566589</v>
      </c>
      <c r="BL428" s="1108">
        <v>2901.4020214363618</v>
      </c>
      <c r="BM428" s="1108">
        <v>3593.9779487786568</v>
      </c>
      <c r="BN428" s="1108">
        <v>4368.1652953274734</v>
      </c>
      <c r="BO428" s="1108">
        <v>3829.0838227469235</v>
      </c>
      <c r="BP428" s="1108">
        <v>3850.9802248613169</v>
      </c>
      <c r="BQ428" s="1108">
        <v>3721.0585112498566</v>
      </c>
      <c r="BR428" s="1108">
        <v>4428.9174329950238</v>
      </c>
      <c r="BS428" s="1108">
        <v>3968.1665081676101</v>
      </c>
      <c r="BT428" s="1108">
        <v>4384.5899576356469</v>
      </c>
      <c r="CK428" s="1108"/>
      <c r="CM428" s="1108"/>
      <c r="CO428" s="1108"/>
      <c r="CQ428" s="1108"/>
      <c r="CS428" s="1108"/>
      <c r="CU428" s="1108"/>
      <c r="CW428" s="1108"/>
      <c r="CY428" s="1108"/>
      <c r="DA428" s="1108"/>
      <c r="DC428" s="1108"/>
      <c r="DE428" s="1108"/>
      <c r="DF428" s="1108"/>
      <c r="DG428" s="1108"/>
      <c r="DH428" s="1108"/>
      <c r="DI428" s="1108"/>
    </row>
    <row r="429" spans="4:114" ht="14.45" hidden="1" outlineLevel="1">
      <c r="D429" s="1611"/>
      <c r="E429" s="1619"/>
      <c r="F429" s="1107" t="s">
        <v>1191</v>
      </c>
      <c r="O429" s="1109">
        <v>34.114450231367641</v>
      </c>
      <c r="Q429" s="1109">
        <v>40.52003986647086</v>
      </c>
      <c r="S429" s="1109">
        <v>2.9372073741644971</v>
      </c>
      <c r="T429" s="1109">
        <v>29.286985518351333</v>
      </c>
      <c r="U429" s="1109">
        <v>29.233021456119634</v>
      </c>
      <c r="V429" s="1109">
        <v>-3.7651404587938648</v>
      </c>
      <c r="W429" s="1109">
        <v>11.718612608089419</v>
      </c>
      <c r="X429" s="1109">
        <v>24.286134668122408</v>
      </c>
      <c r="Y429" s="1109">
        <v>9.3483520147565677</v>
      </c>
      <c r="Z429" s="1109">
        <v>12.086391114250366</v>
      </c>
      <c r="AA429" s="1109">
        <v>21.292007279221323</v>
      </c>
      <c r="AB429" s="1109">
        <v>1.7464746773384499</v>
      </c>
      <c r="AC429" s="1109">
        <v>12.565345940234113</v>
      </c>
      <c r="AD429" s="1109">
        <v>22.453896545950684</v>
      </c>
      <c r="AE429" s="1109">
        <v>12.376693105534308</v>
      </c>
      <c r="AF429" s="1109">
        <v>15.383393967750239</v>
      </c>
      <c r="AG429" s="1109">
        <v>22.81838872629562</v>
      </c>
      <c r="AH429" s="1109">
        <v>6.626392424009242</v>
      </c>
      <c r="AI429" s="1109">
        <v>29.702854406039421</v>
      </c>
      <c r="AJ429" s="1109">
        <v>48.424017177918252</v>
      </c>
      <c r="AK429" s="1109">
        <v>35.510366763420805</v>
      </c>
      <c r="AL429" s="1109">
        <v>28.547873444911755</v>
      </c>
      <c r="AM429" s="1109">
        <v>7.4691719405977501</v>
      </c>
      <c r="AN429" s="1109">
        <v>-6.2330521546931941</v>
      </c>
      <c r="AO429" s="1109">
        <v>6.5339894535520724</v>
      </c>
      <c r="AP429" s="1109">
        <v>-5.5878380044709459</v>
      </c>
      <c r="AQ429" s="1109">
        <v>12.043695809907879</v>
      </c>
      <c r="AR429" s="1109">
        <v>75.62502663154217</v>
      </c>
      <c r="AS429" s="1109">
        <v>23.238088754519861</v>
      </c>
      <c r="AT429" s="1109">
        <v>36.186010998926314</v>
      </c>
      <c r="AU429" s="1109">
        <v>36.874590507897203</v>
      </c>
      <c r="AV429" s="1109">
        <v>2.9152924136122453</v>
      </c>
      <c r="AW429" s="1109">
        <v>0.46434630071451011</v>
      </c>
      <c r="AX429" s="1109">
        <v>10.050722493424601</v>
      </c>
      <c r="AY429" s="1109">
        <v>4.5868699797686521</v>
      </c>
      <c r="AZ429" s="1109">
        <v>-1.7273744026972946</v>
      </c>
      <c r="BA429" s="1109">
        <v>-1.793871108003785</v>
      </c>
      <c r="BB429" s="1109">
        <v>-14.805514429294464</v>
      </c>
      <c r="BC429" s="1109">
        <v>-4.3178515643428499</v>
      </c>
      <c r="BD429" s="1109">
        <v>-6.0166839092176163</v>
      </c>
      <c r="BE429" s="1109">
        <v>0.86541929573775733</v>
      </c>
      <c r="BF429" s="1109">
        <v>10.917458750667395</v>
      </c>
      <c r="BG429" s="1109">
        <v>5.7657530379423765</v>
      </c>
      <c r="BH429" s="1109">
        <v>6.3481415138618988</v>
      </c>
      <c r="BI429" s="1109">
        <v>11.758631594590508</v>
      </c>
      <c r="BJ429" s="1109">
        <v>12.769374083429183</v>
      </c>
      <c r="BK429" s="1109">
        <v>12.401926306071424</v>
      </c>
      <c r="BL429" s="1109">
        <v>8.9301735017355384</v>
      </c>
      <c r="BM429" s="1109">
        <v>34.259866919940478</v>
      </c>
      <c r="BN429" s="1109">
        <v>20.771874175222031</v>
      </c>
      <c r="BO429" s="1109">
        <v>24.260136846751671</v>
      </c>
      <c r="BP429" s="1109">
        <v>32.728253320608736</v>
      </c>
      <c r="BQ429" s="1109">
        <v>3.5359305004747066</v>
      </c>
      <c r="BR429" s="1109">
        <v>1.3907930117144511</v>
      </c>
      <c r="BS429" s="1109">
        <v>3.6322705863595055</v>
      </c>
      <c r="BT429" s="1109">
        <v>13.856465149559332</v>
      </c>
      <c r="CM429" s="1109"/>
      <c r="CO429" s="1109"/>
      <c r="CQ429" s="1109"/>
      <c r="CS429" s="1109"/>
      <c r="CU429" s="1109"/>
      <c r="CW429" s="1109"/>
      <c r="CY429" s="1109"/>
      <c r="DA429" s="1109"/>
      <c r="DC429" s="1109"/>
      <c r="DE429" s="1109"/>
      <c r="DF429" s="1109"/>
      <c r="DG429" s="1109"/>
      <c r="DH429" s="1109"/>
      <c r="DI429" s="1109"/>
    </row>
    <row r="430" spans="4:114" ht="14.45" hidden="1" outlineLevel="1" collapsed="1">
      <c r="D430" s="1611"/>
      <c r="E430" s="1619"/>
      <c r="F430" s="1107"/>
    </row>
    <row r="431" spans="4:114" ht="14.45" collapsed="1">
      <c r="D431" s="1613" t="s">
        <v>1201</v>
      </c>
      <c r="E431" s="1612" t="s">
        <v>1095</v>
      </c>
      <c r="F431" s="1106" t="s">
        <v>1190</v>
      </c>
      <c r="G431" s="1108">
        <v>1368.0831018882666</v>
      </c>
      <c r="I431" s="1108">
        <v>2933.4713745869367</v>
      </c>
      <c r="K431" s="1108">
        <v>1556.7193851516033</v>
      </c>
      <c r="M431" s="1108">
        <v>1251.7523559466649</v>
      </c>
      <c r="O431" s="1108">
        <v>1441.7713711762949</v>
      </c>
      <c r="Q431" s="1108">
        <v>3823.8049064980114</v>
      </c>
      <c r="S431" s="1108">
        <v>1920.7080880508167</v>
      </c>
      <c r="T431" s="1108">
        <v>1531.7900568451166</v>
      </c>
      <c r="U431" s="1108">
        <v>1940.0969216548067</v>
      </c>
      <c r="V431" s="1108">
        <v>3458.9388547491012</v>
      </c>
      <c r="W431" s="1108">
        <v>1854.7759849785955</v>
      </c>
      <c r="X431" s="1108">
        <v>1782.418821495881</v>
      </c>
      <c r="Y431" s="1108">
        <v>1996.7825762357008</v>
      </c>
      <c r="Z431" s="1108">
        <v>3659.0242967934091</v>
      </c>
      <c r="AA431" s="1108">
        <v>1832.6923076923099</v>
      </c>
      <c r="AB431" s="1108">
        <v>1705.4579881569719</v>
      </c>
      <c r="AC431" s="1108">
        <v>1885</v>
      </c>
      <c r="AD431" s="1108">
        <v>3617</v>
      </c>
      <c r="AE431" s="1108">
        <v>1906</v>
      </c>
      <c r="AF431" s="1108">
        <v>1643</v>
      </c>
      <c r="AG431" s="1108">
        <v>1896</v>
      </c>
      <c r="AH431" s="1108">
        <v>3920</v>
      </c>
      <c r="AI431" s="1108">
        <v>2251</v>
      </c>
      <c r="AJ431" s="1108">
        <v>2286</v>
      </c>
      <c r="AK431" s="1108">
        <v>2738</v>
      </c>
      <c r="AL431" s="1108">
        <v>4232</v>
      </c>
      <c r="AM431" s="1108">
        <v>2363</v>
      </c>
      <c r="AN431" s="1108">
        <v>2053</v>
      </c>
      <c r="AO431" s="1108">
        <v>2542</v>
      </c>
      <c r="AP431" s="1108">
        <v>3327</v>
      </c>
      <c r="AQ431" s="1108">
        <v>2349</v>
      </c>
      <c r="AR431" s="1108">
        <v>3357</v>
      </c>
      <c r="AS431" s="1108">
        <v>3092</v>
      </c>
      <c r="AT431" s="1108">
        <v>5031</v>
      </c>
      <c r="AU431" s="1108">
        <v>3533</v>
      </c>
      <c r="AV431" s="1108">
        <v>3714</v>
      </c>
      <c r="AW431" s="1108">
        <v>3593</v>
      </c>
      <c r="AX431" s="1108">
        <v>5442</v>
      </c>
      <c r="AY431" s="1108">
        <v>3740</v>
      </c>
      <c r="AZ431" s="1108">
        <v>3455</v>
      </c>
      <c r="BA431" s="1108">
        <v>3610</v>
      </c>
      <c r="BB431" s="1108">
        <v>4758</v>
      </c>
      <c r="BC431" s="1108">
        <v>3607</v>
      </c>
      <c r="BD431" s="1108">
        <v>3704.3089528164564</v>
      </c>
      <c r="BE431" s="1108">
        <v>3719.6946945571299</v>
      </c>
      <c r="BF431" s="1108">
        <v>5053.6506646439102</v>
      </c>
      <c r="BG431" s="1108">
        <v>3934.0142106977919</v>
      </c>
      <c r="BH431" s="1108">
        <v>4005.1037951208646</v>
      </c>
      <c r="BI431" s="1108">
        <v>3914.133419225253</v>
      </c>
      <c r="BJ431" s="1108">
        <v>5350.6955537277763</v>
      </c>
      <c r="BK431" s="1108">
        <v>4036.246369173854</v>
      </c>
      <c r="BL431" s="1108">
        <v>4137.2628485819314</v>
      </c>
      <c r="BM431" s="1108">
        <v>4156.2602235895347</v>
      </c>
      <c r="BN431" s="1108">
        <v>5556.8347666673599</v>
      </c>
      <c r="BO431" s="1108">
        <v>4432.4544122788921</v>
      </c>
      <c r="BP431" s="1108">
        <v>4312.0749225456502</v>
      </c>
      <c r="BQ431" s="1108">
        <v>4082.7554066132234</v>
      </c>
      <c r="BR431" s="1108">
        <v>5097.50746138661</v>
      </c>
      <c r="BS431" s="1108">
        <v>4304.9538886944802</v>
      </c>
      <c r="BT431" s="1108">
        <v>4713.2474387319398</v>
      </c>
      <c r="CK431" s="1108"/>
      <c r="CM431" s="1108"/>
      <c r="CO431" s="1108"/>
      <c r="CQ431" s="1108"/>
      <c r="CS431" s="1108"/>
      <c r="CT431" s="1108"/>
      <c r="CU431" s="1108"/>
      <c r="CV431" s="1108"/>
      <c r="CW431" s="1108"/>
      <c r="CX431" s="1108"/>
      <c r="CY431" s="1108"/>
      <c r="CZ431" s="1108"/>
      <c r="DA431" s="1108"/>
      <c r="DB431" s="1108"/>
      <c r="DC431" s="1108"/>
      <c r="DD431" s="1108"/>
      <c r="DE431" s="1108"/>
      <c r="DF431" s="1108"/>
      <c r="DG431" s="1108"/>
      <c r="DH431" s="1108"/>
      <c r="DI431" s="1108"/>
      <c r="DJ431" s="1108"/>
    </row>
    <row r="432" spans="4:114" ht="14.45" hidden="1" outlineLevel="1">
      <c r="D432" s="1611"/>
      <c r="E432" s="1619"/>
      <c r="F432" s="1106" t="s">
        <v>1191</v>
      </c>
      <c r="O432" s="1109">
        <v>5.3862421943755985</v>
      </c>
      <c r="Q432" s="1109">
        <v>30.350851200531757</v>
      </c>
      <c r="S432" s="1109">
        <v>23.381780067174141</v>
      </c>
      <c r="T432" s="1109">
        <v>22.37165359170961</v>
      </c>
      <c r="U432" s="1109">
        <v>34.563423885435043</v>
      </c>
      <c r="V432" s="1109">
        <v>-9.5419630622072891</v>
      </c>
      <c r="W432" s="1109">
        <v>-3.4326977369648515</v>
      </c>
      <c r="X432" s="1109">
        <v>16.36182213944911</v>
      </c>
      <c r="Y432" s="1109">
        <v>2.921794986022868</v>
      </c>
      <c r="Z432" s="1109">
        <v>5.784590316466331</v>
      </c>
      <c r="AA432" s="1109">
        <v>-1.1906385172730409</v>
      </c>
      <c r="AB432" s="1109">
        <v>-4.3177749477712775</v>
      </c>
      <c r="AC432" s="1109">
        <v>-5.5981345974298007</v>
      </c>
      <c r="AD432" s="1109">
        <v>-1.1485110068888356</v>
      </c>
      <c r="AE432" s="1109">
        <v>3.9999999999998752</v>
      </c>
      <c r="AF432" s="1109">
        <v>-3.6622413797755287</v>
      </c>
      <c r="AG432" s="1109">
        <v>0.58355437665782495</v>
      </c>
      <c r="AH432" s="1109">
        <v>8.3771081006358852</v>
      </c>
      <c r="AI432" s="1109">
        <v>18.100734522560337</v>
      </c>
      <c r="AJ432" s="1109">
        <v>39.135727328058429</v>
      </c>
      <c r="AK432" s="1109">
        <v>44.40928270042194</v>
      </c>
      <c r="AL432" s="1109">
        <v>7.9591836734693873</v>
      </c>
      <c r="AM432" s="1109">
        <v>4.9755664149266989</v>
      </c>
      <c r="AN432" s="1109">
        <v>-10.192475940507437</v>
      </c>
      <c r="AO432" s="1109">
        <v>-7.1585098612125639</v>
      </c>
      <c r="AP432" s="1109">
        <v>-21.384688090737239</v>
      </c>
      <c r="AQ432" s="1109">
        <v>-0.59246720270842146</v>
      </c>
      <c r="AR432" s="1109">
        <v>63.51680467608378</v>
      </c>
      <c r="AS432" s="1109">
        <v>21.636506687647522</v>
      </c>
      <c r="AT432" s="1109">
        <v>51.217312894499543</v>
      </c>
      <c r="AU432" s="1109">
        <v>50.404427415921674</v>
      </c>
      <c r="AV432" s="1109">
        <v>10.63449508489723</v>
      </c>
      <c r="AW432" s="1109">
        <v>16.203104786545925</v>
      </c>
      <c r="AX432" s="1109">
        <v>8.1693500298151456</v>
      </c>
      <c r="AY432" s="1109">
        <v>5.8590433059722615</v>
      </c>
      <c r="AZ432" s="1109">
        <v>-6.9736133548734518</v>
      </c>
      <c r="BA432" s="1109">
        <v>0.47314222098524911</v>
      </c>
      <c r="BB432" s="1109">
        <v>-12.56890848952591</v>
      </c>
      <c r="BC432" s="1109">
        <v>-3.5561497326203209</v>
      </c>
      <c r="BD432" s="1109">
        <v>7.2158886488120535</v>
      </c>
      <c r="BE432" s="1109">
        <v>3.0386341982584457</v>
      </c>
      <c r="BF432" s="1109">
        <v>6.2137592400989954</v>
      </c>
      <c r="BG432" s="1109">
        <v>9.0660995480396984</v>
      </c>
      <c r="BH432" s="1109">
        <v>8.1201337722035341</v>
      </c>
      <c r="BI432" s="1109">
        <v>5.2272764469792898</v>
      </c>
      <c r="BJ432" s="1109">
        <v>5.8778279069037405</v>
      </c>
      <c r="BK432" s="1109">
        <v>2.5986728313807679</v>
      </c>
      <c r="BL432" s="1109">
        <v>3.2997660041187169</v>
      </c>
      <c r="BM432" s="1109">
        <v>6.1859619596770745</v>
      </c>
      <c r="BN432" s="1109">
        <v>3.8525685281415125</v>
      </c>
      <c r="BO432" s="1109">
        <v>9.8162502202791622</v>
      </c>
      <c r="BP432" s="1109">
        <v>4.2253074160767081</v>
      </c>
      <c r="BQ432" s="1109">
        <v>-1.7685325995500161</v>
      </c>
      <c r="BR432" s="1109">
        <v>-8.2659881851449324</v>
      </c>
      <c r="BS432" s="1109">
        <v>-2.8765219385270351</v>
      </c>
      <c r="BT432" s="1109">
        <v>9.3034681305921243</v>
      </c>
      <c r="CM432" s="1109"/>
      <c r="CO432" s="1109"/>
      <c r="CQ432" s="1109"/>
      <c r="CS432" s="1109"/>
      <c r="CU432" s="1109"/>
      <c r="CV432" s="1109"/>
      <c r="CW432" s="1109"/>
      <c r="CX432" s="1109"/>
      <c r="CY432" s="1109"/>
      <c r="CZ432" s="1109"/>
      <c r="DA432" s="1109"/>
      <c r="DB432" s="1109"/>
      <c r="DC432" s="1109"/>
      <c r="DD432" s="1109"/>
      <c r="DE432" s="1109"/>
      <c r="DF432" s="1109"/>
      <c r="DG432" s="1109"/>
      <c r="DH432" s="1109"/>
      <c r="DI432" s="1109"/>
      <c r="DJ432" s="1109"/>
    </row>
    <row r="433" spans="4:114" ht="14.45" hidden="1" outlineLevel="1" collapsed="1">
      <c r="D433" s="1611"/>
      <c r="E433" s="1619"/>
      <c r="F433" s="1106"/>
    </row>
    <row r="434" spans="4:114" ht="14.45" collapsed="1">
      <c r="D434" s="1613" t="s">
        <v>1202</v>
      </c>
      <c r="E434" s="1612" t="s">
        <v>1095</v>
      </c>
      <c r="F434" s="1107" t="s">
        <v>1190</v>
      </c>
      <c r="G434" s="1108">
        <v>567.19570458032001</v>
      </c>
      <c r="I434" s="1108">
        <v>719.59695547019464</v>
      </c>
      <c r="K434" s="1108">
        <v>687.21505376344101</v>
      </c>
      <c r="M434" s="1108">
        <v>583.06299325675104</v>
      </c>
      <c r="O434" s="1108">
        <v>839.17138290268326</v>
      </c>
      <c r="Q434" s="1108">
        <v>992.59367034754712</v>
      </c>
      <c r="S434" s="1108">
        <v>962.92709965437791</v>
      </c>
      <c r="T434" s="1108">
        <v>945.33755910837908</v>
      </c>
      <c r="U434" s="1108">
        <v>931.65070386093657</v>
      </c>
      <c r="V434" s="1108">
        <v>1217.8755722217056</v>
      </c>
      <c r="W434" s="1108">
        <v>1101.3534645658467</v>
      </c>
      <c r="X434" s="1108">
        <v>980.70672096936528</v>
      </c>
      <c r="Y434" s="1108">
        <v>1117.0403790024031</v>
      </c>
      <c r="Z434" s="1108">
        <v>1457.3917396744671</v>
      </c>
      <c r="AA434" s="1108">
        <v>1486.1200421481149</v>
      </c>
      <c r="AB434" s="1108">
        <v>1486.9825313039967</v>
      </c>
      <c r="AC434" s="1108">
        <v>1429</v>
      </c>
      <c r="AD434" s="1108">
        <v>1605</v>
      </c>
      <c r="AE434" s="1108">
        <v>1599</v>
      </c>
      <c r="AF434" s="1108">
        <v>1586</v>
      </c>
      <c r="AG434" s="1108">
        <v>1639</v>
      </c>
      <c r="AH434" s="1108">
        <v>1820</v>
      </c>
      <c r="AI434" s="1108">
        <v>1784</v>
      </c>
      <c r="AJ434" s="1108">
        <v>1769</v>
      </c>
      <c r="AK434" s="1108">
        <v>1788</v>
      </c>
      <c r="AL434" s="1108">
        <v>1976</v>
      </c>
      <c r="AM434" s="1108">
        <v>1911</v>
      </c>
      <c r="AN434" s="1108">
        <v>1953</v>
      </c>
      <c r="AO434" s="1108">
        <v>1991</v>
      </c>
      <c r="AP434" s="1108">
        <v>2163</v>
      </c>
      <c r="AQ434" s="1108">
        <v>1986</v>
      </c>
      <c r="AR434" s="1108">
        <v>1600</v>
      </c>
      <c r="AS434" s="1108">
        <v>1943</v>
      </c>
      <c r="AT434" s="1108">
        <v>2386</v>
      </c>
      <c r="AU434" s="1108">
        <v>2401</v>
      </c>
      <c r="AV434" s="1108">
        <v>2537</v>
      </c>
      <c r="AW434" s="1108">
        <v>2656</v>
      </c>
      <c r="AX434" s="1108">
        <v>3064</v>
      </c>
      <c r="AY434" s="1108">
        <v>2945</v>
      </c>
      <c r="AZ434" s="1108">
        <v>2926</v>
      </c>
      <c r="BA434" s="1108">
        <v>2928</v>
      </c>
      <c r="BB434" s="1108">
        <v>3223</v>
      </c>
      <c r="BC434" s="1108">
        <v>3045</v>
      </c>
      <c r="BD434" s="1108">
        <v>3148.9588822335577</v>
      </c>
      <c r="BE434" s="1108">
        <v>3178.8790612872999</v>
      </c>
      <c r="BF434" s="1108">
        <v>3538.0723196800441</v>
      </c>
      <c r="BG434" s="1108">
        <v>3332.5018678494848</v>
      </c>
      <c r="BH434" s="1108">
        <v>3454.9132468209127</v>
      </c>
      <c r="BI434" s="1108">
        <v>3460.3184630589476</v>
      </c>
      <c r="BJ434" s="1108">
        <v>3840.5179515702152</v>
      </c>
      <c r="BK434" s="1108">
        <v>3618.9950265615194</v>
      </c>
      <c r="BL434" s="1108">
        <v>3743.6679210114576</v>
      </c>
      <c r="BM434" s="1108">
        <v>3571.4368997116799</v>
      </c>
      <c r="BN434" s="1108">
        <v>3937.8211884744001</v>
      </c>
      <c r="BO434" s="1108">
        <v>3820.23589572229</v>
      </c>
      <c r="BP434" s="1108">
        <v>3970.9976120202973</v>
      </c>
      <c r="BQ434" s="1108">
        <v>3730.032535736605</v>
      </c>
      <c r="BR434" s="1108">
        <v>4142.9902090496753</v>
      </c>
      <c r="BS434" s="1108">
        <v>3930.140285574575</v>
      </c>
      <c r="BT434" s="1108">
        <v>3981.5151519301598</v>
      </c>
      <c r="CK434" s="1108"/>
      <c r="CM434" s="1108"/>
      <c r="CO434" s="1108"/>
      <c r="CQ434" s="1108"/>
      <c r="CS434" s="1108"/>
      <c r="CT434" s="1108"/>
      <c r="CU434" s="1108"/>
      <c r="CV434" s="1108"/>
      <c r="CW434" s="1108"/>
      <c r="CX434" s="1108"/>
      <c r="CY434" s="1108"/>
      <c r="CZ434" s="1108"/>
      <c r="DA434" s="1108"/>
      <c r="DB434" s="1108"/>
      <c r="DC434" s="1108"/>
      <c r="DD434" s="1108"/>
      <c r="DE434" s="1108"/>
      <c r="DF434" s="1108"/>
      <c r="DG434" s="1108"/>
      <c r="DH434" s="1108"/>
      <c r="DI434" s="1108"/>
      <c r="DJ434" s="1108"/>
    </row>
    <row r="435" spans="4:114" ht="14.45" hidden="1" outlineLevel="1">
      <c r="D435" s="1611"/>
      <c r="E435" s="1619"/>
      <c r="F435" s="1107" t="s">
        <v>1191</v>
      </c>
      <c r="O435" s="1109">
        <v>47.950941117158798</v>
      </c>
      <c r="Q435" s="1109">
        <v>37.937447178187774</v>
      </c>
      <c r="S435" s="1109">
        <v>40.120198820010842</v>
      </c>
      <c r="T435" s="1109">
        <v>62.133006217408983</v>
      </c>
      <c r="U435" s="1109">
        <v>11.020313948072026</v>
      </c>
      <c r="V435" s="1109">
        <v>22.696286366129883</v>
      </c>
      <c r="W435" s="1109">
        <v>14.375580971929649</v>
      </c>
      <c r="X435" s="1109">
        <v>3.7414319911657361</v>
      </c>
      <c r="Y435" s="1109">
        <v>19.899053837793147</v>
      </c>
      <c r="Z435" s="1109">
        <v>19.666719073429224</v>
      </c>
      <c r="AA435" s="1109">
        <v>34.935793999063058</v>
      </c>
      <c r="AB435" s="1109">
        <v>51.62356895384692</v>
      </c>
      <c r="AC435" s="1109">
        <v>27.927336098288503</v>
      </c>
      <c r="AD435" s="1109">
        <v>10.12824872731224</v>
      </c>
      <c r="AE435" s="1109">
        <v>7.5956150681288568</v>
      </c>
      <c r="AF435" s="1109">
        <v>6.6589530550282117</v>
      </c>
      <c r="AG435" s="1109">
        <v>14.695591322603219</v>
      </c>
      <c r="AH435" s="1109">
        <v>13.395638629283487</v>
      </c>
      <c r="AI435" s="1109">
        <v>11.569731081926204</v>
      </c>
      <c r="AJ435" s="1109">
        <v>11.538461538461538</v>
      </c>
      <c r="AK435" s="1109">
        <v>9.0909090909090917</v>
      </c>
      <c r="AL435" s="1109">
        <v>8.5714285714285712</v>
      </c>
      <c r="AM435" s="1109">
        <v>7.1188340807174884</v>
      </c>
      <c r="AN435" s="1109">
        <v>10.40135669869983</v>
      </c>
      <c r="AO435" s="1109">
        <v>11.353467561521253</v>
      </c>
      <c r="AP435" s="1109">
        <v>9.4635627530364381</v>
      </c>
      <c r="AQ435" s="1109">
        <v>3.9246467817896389</v>
      </c>
      <c r="AR435" s="1109">
        <v>-18.074756784434204</v>
      </c>
      <c r="AS435" s="1109">
        <v>-2.4108488196885989</v>
      </c>
      <c r="AT435" s="1109">
        <v>10.309754969949145</v>
      </c>
      <c r="AU435" s="1109">
        <v>20.896273917421954</v>
      </c>
      <c r="AV435" s="1109">
        <v>58.562499999999993</v>
      </c>
      <c r="AW435" s="1109">
        <v>36.695831188883169</v>
      </c>
      <c r="AX435" s="1109">
        <v>28.415758591785416</v>
      </c>
      <c r="AY435" s="1109">
        <v>22.657226155768427</v>
      </c>
      <c r="AZ435" s="1109">
        <v>15.333070555774537</v>
      </c>
      <c r="BA435" s="1109">
        <v>10.240963855421686</v>
      </c>
      <c r="BB435" s="1109">
        <v>5.1892950391644908</v>
      </c>
      <c r="BC435" s="1109">
        <v>3.3955857385398982</v>
      </c>
      <c r="BD435" s="1109">
        <v>7.6199207872029291</v>
      </c>
      <c r="BE435" s="1109">
        <v>8.5682739510689867</v>
      </c>
      <c r="BF435" s="1109">
        <v>9.7757468098058986</v>
      </c>
      <c r="BG435" s="1109">
        <v>9.4417690590963819</v>
      </c>
      <c r="BH435" s="1109">
        <v>9.7160482568874169</v>
      </c>
      <c r="BI435" s="1109">
        <v>8.8534164510705757</v>
      </c>
      <c r="BJ435" s="1109">
        <v>8.5483168393098872</v>
      </c>
      <c r="BK435" s="1109">
        <v>8.5969391788192162</v>
      </c>
      <c r="BL435" s="1109">
        <v>8.357798114214491</v>
      </c>
      <c r="BM435" s="1109">
        <v>3.2112199451868584</v>
      </c>
      <c r="BN435" s="1109">
        <v>2.5335967213589483</v>
      </c>
      <c r="BO435" s="1109">
        <v>5.5606837722563469</v>
      </c>
      <c r="BP435" s="1109">
        <v>6.0723786352134619</v>
      </c>
      <c r="BQ435" s="1109">
        <v>4.4406674534198967</v>
      </c>
      <c r="BR435" s="1109">
        <v>5.2102167862721638</v>
      </c>
      <c r="BS435" s="1109">
        <v>2.8769006116965312</v>
      </c>
      <c r="BT435" s="1109">
        <v>0.26485888276602609</v>
      </c>
      <c r="CM435" s="1109"/>
      <c r="CO435" s="1109"/>
      <c r="CQ435" s="1109"/>
      <c r="CS435" s="1109"/>
      <c r="CU435" s="1109"/>
      <c r="CV435" s="1109"/>
      <c r="CW435" s="1109"/>
      <c r="CX435" s="1109"/>
      <c r="CY435" s="1109"/>
      <c r="CZ435" s="1109"/>
      <c r="DA435" s="1109"/>
      <c r="DB435" s="1109"/>
      <c r="DC435" s="1109"/>
      <c r="DD435" s="1109"/>
      <c r="DE435" s="1109"/>
      <c r="DF435" s="1109"/>
      <c r="DG435" s="1109"/>
      <c r="DH435" s="1109"/>
      <c r="DI435" s="1109"/>
      <c r="DJ435" s="1109"/>
    </row>
    <row r="436" spans="4:114" ht="14.45" hidden="1" outlineLevel="1" collapsed="1">
      <c r="D436" s="1611"/>
      <c r="E436" s="1619"/>
      <c r="F436" s="1107"/>
    </row>
    <row r="437" spans="4:114" ht="14.45" collapsed="1">
      <c r="D437" s="1613" t="s">
        <v>1203</v>
      </c>
      <c r="E437" s="1612" t="s">
        <v>1095</v>
      </c>
      <c r="F437" s="1106" t="s">
        <v>1190</v>
      </c>
      <c r="G437" s="1108">
        <v>376.83577301218497</v>
      </c>
      <c r="I437" s="1108">
        <v>821.26114866514001</v>
      </c>
      <c r="K437" s="1108">
        <v>656.37818181818</v>
      </c>
      <c r="M437" s="1108">
        <v>554.14895127190505</v>
      </c>
      <c r="O437" s="1108">
        <v>923.80960078309613</v>
      </c>
      <c r="Q437" s="1108">
        <v>2066.8399029898042</v>
      </c>
      <c r="S437" s="1108">
        <v>979.19805886170434</v>
      </c>
      <c r="T437" s="1108">
        <v>1867.95762515772</v>
      </c>
      <c r="U437" s="1108">
        <v>1140.4455256996043</v>
      </c>
      <c r="V437" s="1108">
        <v>1356.3916578130766</v>
      </c>
      <c r="W437" s="1108">
        <v>761.75332651220333</v>
      </c>
      <c r="X437" s="1108">
        <v>754.28309273397997</v>
      </c>
      <c r="Y437" s="1108">
        <v>404.94956065000468</v>
      </c>
      <c r="Z437" s="1108">
        <v>785.55848816255866</v>
      </c>
      <c r="AA437" s="1108">
        <v>580.82106237067558</v>
      </c>
      <c r="AB437" s="1108">
        <v>542.70391907602857</v>
      </c>
      <c r="AC437" s="1108">
        <v>76</v>
      </c>
      <c r="AD437" s="1108">
        <v>165</v>
      </c>
      <c r="AE437" s="1108">
        <v>59</v>
      </c>
      <c r="AF437" s="1108">
        <v>69</v>
      </c>
      <c r="AG437" s="1108">
        <v>46</v>
      </c>
      <c r="AH437" s="1108">
        <v>113</v>
      </c>
      <c r="AI437" s="1108">
        <v>51</v>
      </c>
      <c r="AJ437" s="1108">
        <v>49</v>
      </c>
      <c r="AK437" s="1108">
        <v>58</v>
      </c>
      <c r="AL437" s="1108">
        <v>79</v>
      </c>
      <c r="AM437" s="1108">
        <v>39</v>
      </c>
      <c r="AN437" s="1108">
        <v>18</v>
      </c>
      <c r="AO437" s="1108">
        <v>45</v>
      </c>
      <c r="AP437" s="1108">
        <v>80</v>
      </c>
      <c r="AQ437" s="1108">
        <v>30</v>
      </c>
      <c r="AR437" s="1108">
        <v>30</v>
      </c>
      <c r="AS437" s="1108">
        <v>43</v>
      </c>
      <c r="AT437" s="1108">
        <v>71</v>
      </c>
      <c r="AU437" s="1108">
        <v>40</v>
      </c>
      <c r="AV437" s="1108">
        <v>23</v>
      </c>
      <c r="AW437" s="1108">
        <v>28</v>
      </c>
      <c r="AX437" s="1108">
        <v>73</v>
      </c>
      <c r="AY437" s="1108">
        <v>-6</v>
      </c>
      <c r="AZ437" s="1108">
        <v>-14</v>
      </c>
      <c r="BA437" s="1108">
        <v>33</v>
      </c>
      <c r="BB437" s="1108">
        <v>18</v>
      </c>
      <c r="BC437" s="1108">
        <v>-2</v>
      </c>
      <c r="BD437" s="1108">
        <v>36.317464606750718</v>
      </c>
      <c r="BE437" s="1108">
        <v>-22.447395833331349</v>
      </c>
      <c r="BF437" s="1108">
        <v>-2.2529947916662665</v>
      </c>
      <c r="BG437" s="1108">
        <v>20.406884765625751</v>
      </c>
      <c r="BH437" s="1108">
        <v>21.779230957031974</v>
      </c>
      <c r="BI437" s="1108">
        <v>-30.243500000000001</v>
      </c>
      <c r="BJ437" s="1108">
        <v>-5.4310000000040004</v>
      </c>
      <c r="BK437" s="1108">
        <v>13.897500000000001</v>
      </c>
      <c r="BL437" s="1108">
        <v>16.066749999999999</v>
      </c>
      <c r="BM437" s="1108">
        <v>35.600812500000004</v>
      </c>
      <c r="BN437" s="1108">
        <v>19.418624999999999</v>
      </c>
      <c r="BO437" s="1108">
        <v>-2.3152499999999998</v>
      </c>
      <c r="BP437" s="1108">
        <v>-3.0098250000000002</v>
      </c>
      <c r="BQ437" s="1108">
        <v>36.555853124999999</v>
      </c>
      <c r="BR437" s="1108">
        <v>19.939556249999999</v>
      </c>
      <c r="BS437" s="1108">
        <v>-2.4310125</v>
      </c>
      <c r="BT437" s="1108">
        <v>-3.1603162500000002</v>
      </c>
      <c r="CK437" s="1108"/>
      <c r="CM437" s="1108"/>
      <c r="CO437" s="1108"/>
      <c r="CQ437" s="1108"/>
      <c r="CS437" s="1108"/>
      <c r="CU437" s="1108"/>
      <c r="CV437" s="1108"/>
      <c r="CW437" s="1108"/>
      <c r="CX437" s="1108"/>
      <c r="CY437" s="1108"/>
      <c r="CZ437" s="1108"/>
      <c r="DA437" s="1108"/>
      <c r="DB437" s="1108"/>
      <c r="DC437" s="1108"/>
      <c r="DD437" s="1108"/>
      <c r="DE437" s="1108"/>
      <c r="DF437" s="1108"/>
      <c r="DG437" s="1108"/>
      <c r="DH437" s="1108"/>
      <c r="DI437" s="1108"/>
      <c r="DJ437" s="1108"/>
    </row>
    <row r="438" spans="4:114" ht="14.45" hidden="1" outlineLevel="1">
      <c r="D438" s="1611"/>
      <c r="E438" s="1619"/>
      <c r="F438" s="1106" t="s">
        <v>1191</v>
      </c>
      <c r="O438" s="1109">
        <v>145.14912514774036</v>
      </c>
      <c r="Q438" s="1109">
        <v>151.66658697409477</v>
      </c>
      <c r="S438" s="1109">
        <v>49.181993854412887</v>
      </c>
      <c r="T438" s="1109">
        <v>237.08583601400099</v>
      </c>
      <c r="U438" s="1109">
        <v>23.450278578277384</v>
      </c>
      <c r="V438" s="1109">
        <v>-34.373646654925857</v>
      </c>
      <c r="W438" s="1109">
        <v>-22.206409661624086</v>
      </c>
      <c r="X438" s="1109">
        <v>-59.619903440245722</v>
      </c>
      <c r="Y438" s="1109">
        <v>-64.491985673617407</v>
      </c>
      <c r="Z438" s="1109">
        <v>-42.084685965326393</v>
      </c>
      <c r="AA438" s="1109">
        <v>-23.752080607242245</v>
      </c>
      <c r="AB438" s="1109">
        <v>-28.050366725185366</v>
      </c>
      <c r="AC438" s="1109">
        <v>-81.232230533104271</v>
      </c>
      <c r="AD438" s="1109">
        <v>-78.995835130501973</v>
      </c>
      <c r="AE438" s="1109">
        <v>-89.841966171270386</v>
      </c>
      <c r="AF438" s="1109">
        <v>-87.285885070173293</v>
      </c>
      <c r="AG438" s="1109">
        <v>-39.473684210526315</v>
      </c>
      <c r="AH438" s="1109">
        <v>-31.515151515151512</v>
      </c>
      <c r="AI438" s="1109">
        <v>-13.559322033898304</v>
      </c>
      <c r="AJ438" s="1109">
        <v>-28.985507246376812</v>
      </c>
      <c r="AK438" s="1109">
        <v>26.086956521739129</v>
      </c>
      <c r="AL438" s="1109">
        <v>-30.088495575221241</v>
      </c>
      <c r="AM438" s="1109">
        <v>-23.52941176470588</v>
      </c>
      <c r="AN438" s="1109">
        <v>-63.265306122448983</v>
      </c>
      <c r="AO438" s="1109">
        <v>-22.413793103448278</v>
      </c>
      <c r="AP438" s="1109">
        <v>1.2658227848101267</v>
      </c>
      <c r="AQ438" s="1109">
        <v>-23.076923076923077</v>
      </c>
      <c r="AR438" s="1109">
        <v>66.666666666666657</v>
      </c>
      <c r="AS438" s="1109">
        <v>-4.4444444444444446</v>
      </c>
      <c r="AT438" s="1109">
        <v>-11.25</v>
      </c>
      <c r="AU438" s="1109">
        <v>33.333333333333329</v>
      </c>
      <c r="AV438" s="1109">
        <v>-23.333333333333332</v>
      </c>
      <c r="AW438" s="1109">
        <v>-34.883720930232556</v>
      </c>
      <c r="AX438" s="1109">
        <v>2.8169014084507045</v>
      </c>
      <c r="AY438" s="1109">
        <v>-114.99999999999999</v>
      </c>
      <c r="AZ438" s="1109">
        <v>-160.86956521739131</v>
      </c>
      <c r="BA438" s="1109">
        <v>17.857142857142858</v>
      </c>
      <c r="BB438" s="1109">
        <v>-75.342465753424662</v>
      </c>
      <c r="BC438" s="1109">
        <v>66.666666666666657</v>
      </c>
      <c r="BD438" s="1109">
        <v>359.41046147679083</v>
      </c>
      <c r="BE438" s="1109">
        <v>-168.02241161615561</v>
      </c>
      <c r="BF438" s="1109">
        <v>-112.51663773147926</v>
      </c>
      <c r="BG438" s="1109">
        <v>1120.3442382812875</v>
      </c>
      <c r="BH438" s="1109">
        <v>-40.030970793639504</v>
      </c>
      <c r="BI438" s="1109">
        <v>-34.73055059283309</v>
      </c>
      <c r="BJ438" s="1109">
        <v>-141.05692654475021</v>
      </c>
      <c r="BK438" s="1109">
        <v>-31.897983648099203</v>
      </c>
      <c r="BL438" s="1109">
        <v>-26.229029704042677</v>
      </c>
      <c r="BM438" s="1109">
        <v>217.71393026600757</v>
      </c>
      <c r="BN438" s="1109">
        <v>457.55155588263108</v>
      </c>
      <c r="BO438" s="1109">
        <v>-116.65947112790069</v>
      </c>
      <c r="BP438" s="1109">
        <v>-118.73325345822894</v>
      </c>
      <c r="BQ438" s="1109">
        <v>2.6826371589131428</v>
      </c>
      <c r="BR438" s="1109">
        <v>2.6826371589131583</v>
      </c>
      <c r="BS438" s="1109">
        <v>-5.0000000000000089</v>
      </c>
      <c r="BT438" s="1109">
        <v>-4.9999999999999982</v>
      </c>
      <c r="CM438" s="1109"/>
      <c r="CO438" s="1109"/>
      <c r="CQ438" s="1109"/>
      <c r="CS438" s="1109"/>
      <c r="CU438" s="1109"/>
      <c r="CW438" s="1109"/>
      <c r="CX438" s="1109"/>
      <c r="CY438" s="1109"/>
      <c r="CZ438" s="1109"/>
      <c r="DA438" s="1109"/>
      <c r="DB438" s="1109"/>
      <c r="DC438" s="1109"/>
      <c r="DD438" s="1109"/>
      <c r="DE438" s="1109"/>
      <c r="DF438" s="1109"/>
      <c r="DG438" s="1109"/>
      <c r="DH438" s="1109"/>
      <c r="DI438" s="1109"/>
      <c r="DJ438" s="1109"/>
    </row>
    <row r="439" spans="4:114" ht="14.45" hidden="1" outlineLevel="1" collapsed="1">
      <c r="D439" s="1611"/>
      <c r="E439" s="1619"/>
      <c r="F439" s="1106"/>
    </row>
    <row r="440" spans="4:114" ht="14.45" collapsed="1">
      <c r="D440" s="1610" t="s">
        <v>1204</v>
      </c>
      <c r="E440" s="1612" t="s">
        <v>1095</v>
      </c>
      <c r="F440" s="1107" t="s">
        <v>1190</v>
      </c>
      <c r="G440" s="1108">
        <v>6945.4799670223501</v>
      </c>
      <c r="I440" s="1108">
        <v>10033.065178241841</v>
      </c>
      <c r="K440" s="1108">
        <v>7410.5009967643264</v>
      </c>
      <c r="M440" s="1108">
        <v>6996.1428416501567</v>
      </c>
      <c r="O440" s="1108">
        <v>7594</v>
      </c>
      <c r="Q440" s="1108">
        <v>12070</v>
      </c>
      <c r="S440" s="1108">
        <v>8451</v>
      </c>
      <c r="T440" s="1108">
        <v>10292</v>
      </c>
      <c r="U440" s="1108">
        <v>11236</v>
      </c>
      <c r="V440" s="1108">
        <v>13282</v>
      </c>
      <c r="W440" s="1108">
        <v>9369</v>
      </c>
      <c r="X440" s="1108">
        <v>9243</v>
      </c>
      <c r="Y440" s="1108">
        <v>9329</v>
      </c>
      <c r="Z440" s="1108">
        <v>12513</v>
      </c>
      <c r="AA440" s="1108">
        <v>9387</v>
      </c>
      <c r="AB440" s="1108">
        <v>9181</v>
      </c>
      <c r="AC440" s="1108">
        <v>9395</v>
      </c>
      <c r="AD440" s="1108">
        <v>11889</v>
      </c>
      <c r="AE440" s="1108">
        <v>8775</v>
      </c>
      <c r="AF440" s="1108">
        <v>9235</v>
      </c>
      <c r="AG440" s="1108">
        <v>9378</v>
      </c>
      <c r="AH440" s="1108">
        <v>12170</v>
      </c>
      <c r="AI440" s="1108">
        <v>9917</v>
      </c>
      <c r="AJ440" s="1108">
        <v>10811</v>
      </c>
      <c r="AK440" s="1108">
        <v>10746</v>
      </c>
      <c r="AL440" s="1108">
        <v>12993</v>
      </c>
      <c r="AM440" s="1108">
        <v>10680</v>
      </c>
      <c r="AN440" s="1108">
        <v>11279</v>
      </c>
      <c r="AO440" s="1108">
        <v>11133</v>
      </c>
      <c r="AP440" s="1108">
        <v>13211</v>
      </c>
      <c r="AQ440" s="1108">
        <v>10997</v>
      </c>
      <c r="AR440" s="1108">
        <v>12910</v>
      </c>
      <c r="AS440" s="1108">
        <v>11849</v>
      </c>
      <c r="AT440" s="1108">
        <v>15122</v>
      </c>
      <c r="AU440" s="1108">
        <v>13036</v>
      </c>
      <c r="AV440" s="1108">
        <v>14086</v>
      </c>
      <c r="AW440" s="1108">
        <v>13314</v>
      </c>
      <c r="AX440" s="1108">
        <v>17530</v>
      </c>
      <c r="AY440" s="1108">
        <v>14520</v>
      </c>
      <c r="AZ440" s="1108">
        <v>14356</v>
      </c>
      <c r="BA440" s="1108">
        <v>13332</v>
      </c>
      <c r="BB440" s="1108">
        <v>14237</v>
      </c>
      <c r="BC440" s="1108">
        <v>13260</v>
      </c>
      <c r="BD440" s="1108">
        <v>13578.62853709211</v>
      </c>
      <c r="BE440" s="1108">
        <v>13114.634845718912</v>
      </c>
      <c r="BF440" s="1108">
        <v>14921.466686966271</v>
      </c>
      <c r="BG440" s="1108">
        <v>13944.103885933595</v>
      </c>
      <c r="BH440" s="1108">
        <v>14424.51360947043</v>
      </c>
      <c r="BI440" s="1108">
        <v>13767.257625117647</v>
      </c>
      <c r="BJ440" s="1108">
        <v>15791.819533796008</v>
      </c>
      <c r="BK440" s="1108">
        <v>14605.522296466492</v>
      </c>
      <c r="BL440" s="1108">
        <v>15096.103462363475</v>
      </c>
      <c r="BM440" s="1108">
        <v>14563.734315910775</v>
      </c>
      <c r="BN440" s="1108">
        <v>16389.2668346787</v>
      </c>
      <c r="BO440" s="1108">
        <v>15592.519372062499</v>
      </c>
      <c r="BP440" s="1108">
        <v>15944.721457734349</v>
      </c>
      <c r="BQ440" s="1108">
        <v>15072.973325749566</v>
      </c>
      <c r="BR440" s="1108">
        <v>16416.204155964966</v>
      </c>
      <c r="BS440" s="1108">
        <v>16070.3320997019</v>
      </c>
      <c r="BT440" s="1108">
        <v>16693.527690605068</v>
      </c>
      <c r="CK440" s="1108"/>
      <c r="CM440" s="1108"/>
      <c r="CN440" s="1108"/>
      <c r="CO440" s="1108"/>
      <c r="CP440" s="1108"/>
      <c r="CQ440" s="1108"/>
      <c r="CR440" s="1108"/>
      <c r="CS440" s="1108"/>
      <c r="CT440" s="1108"/>
      <c r="CU440" s="1108"/>
      <c r="CV440" s="1108"/>
      <c r="CW440" s="1108"/>
      <c r="CX440" s="1108"/>
      <c r="CY440" s="1108"/>
      <c r="CZ440" s="1108"/>
      <c r="DA440" s="1108"/>
      <c r="DB440" s="1108"/>
      <c r="DC440" s="1108"/>
      <c r="DD440" s="1108"/>
      <c r="DE440" s="1108"/>
      <c r="DF440" s="1108"/>
      <c r="DG440" s="1108"/>
      <c r="DH440" s="1108"/>
      <c r="DI440" s="1108"/>
      <c r="DJ440" s="1108"/>
    </row>
    <row r="441" spans="4:114" ht="14.45" hidden="1" outlineLevel="1">
      <c r="D441" s="1611"/>
      <c r="E441" s="1619"/>
      <c r="F441" s="1107" t="s">
        <v>1191</v>
      </c>
      <c r="O441" s="1109">
        <v>9.3372961416182996</v>
      </c>
      <c r="Q441" s="1109">
        <v>20.302218570009376</v>
      </c>
      <c r="S441" s="1109">
        <v>14.04087258999075</v>
      </c>
      <c r="T441" s="1109">
        <v>47.109632163720384</v>
      </c>
      <c r="U441" s="1109">
        <v>47.958914932841715</v>
      </c>
      <c r="V441" s="1109">
        <v>10.041425020712511</v>
      </c>
      <c r="W441" s="1109">
        <v>10.862619808306709</v>
      </c>
      <c r="X441" s="1109">
        <v>-10.192382432957638</v>
      </c>
      <c r="Y441" s="1109">
        <v>-16.972232111071555</v>
      </c>
      <c r="Z441" s="1109">
        <v>-5.7897906941725639</v>
      </c>
      <c r="AA441" s="1109">
        <v>0.19212295869356388</v>
      </c>
      <c r="AB441" s="1109">
        <v>-0.67077788596775945</v>
      </c>
      <c r="AC441" s="1109">
        <v>0.70747132597277307</v>
      </c>
      <c r="AD441" s="1109">
        <v>-4.9868137137377131</v>
      </c>
      <c r="AE441" s="1109">
        <v>-6.5196548418024927</v>
      </c>
      <c r="AF441" s="1109">
        <v>0.58817122317830306</v>
      </c>
      <c r="AG441" s="1109">
        <v>-0.18094731240021286</v>
      </c>
      <c r="AH441" s="1109">
        <v>2.3635293128101607</v>
      </c>
      <c r="AI441" s="1109">
        <v>13.014245014245015</v>
      </c>
      <c r="AJ441" s="1109">
        <v>17.065511640498105</v>
      </c>
      <c r="AK441" s="1109">
        <v>14.587332053742802</v>
      </c>
      <c r="AL441" s="1109">
        <v>6.7625308134757605</v>
      </c>
      <c r="AM441" s="1109">
        <v>7.6938590299485732</v>
      </c>
      <c r="AN441" s="1109">
        <v>4.3289242438257336</v>
      </c>
      <c r="AO441" s="1109">
        <v>3.6013400335008376</v>
      </c>
      <c r="AP441" s="1109">
        <v>1.6778265219733703</v>
      </c>
      <c r="AQ441" s="1109">
        <v>2.9681647940074907</v>
      </c>
      <c r="AR441" s="1109">
        <v>14.460501817537017</v>
      </c>
      <c r="AS441" s="1109">
        <v>6.4313302793496812</v>
      </c>
      <c r="AT441" s="1109">
        <v>14.465218378623874</v>
      </c>
      <c r="AU441" s="1109">
        <v>18.541420387378377</v>
      </c>
      <c r="AV441" s="1109">
        <v>9.1092176607281186</v>
      </c>
      <c r="AW441" s="1109">
        <v>12.363912566461305</v>
      </c>
      <c r="AX441" s="1109">
        <v>15.923819600581934</v>
      </c>
      <c r="AY441" s="1109">
        <v>11.383860079779073</v>
      </c>
      <c r="AZ441" s="1109">
        <v>1.916796819537129</v>
      </c>
      <c r="BA441" s="1109">
        <v>0.13519603424966201</v>
      </c>
      <c r="BB441" s="1109">
        <v>-18.784940102681119</v>
      </c>
      <c r="BC441" s="1109">
        <v>-8.677685950413224</v>
      </c>
      <c r="BD441" s="1109">
        <v>-5.4149586438275952</v>
      </c>
      <c r="BE441" s="1109">
        <v>-1.6304016972778848</v>
      </c>
      <c r="BF441" s="1109">
        <v>4.8076609325438691</v>
      </c>
      <c r="BG441" s="1109">
        <v>5.1591544942201732</v>
      </c>
      <c r="BH441" s="1109">
        <v>6.2295324602750179</v>
      </c>
      <c r="BI441" s="1109">
        <v>4.9762939424255039</v>
      </c>
      <c r="BJ441" s="1109">
        <v>5.8328907277592252</v>
      </c>
      <c r="BK441" s="1109">
        <v>4.7433554421529838</v>
      </c>
      <c r="BL441" s="1109">
        <v>4.655892538741214</v>
      </c>
      <c r="BM441" s="1109">
        <v>5.7852966253787361</v>
      </c>
      <c r="BN441" s="1109">
        <v>3.7832708232518568</v>
      </c>
      <c r="BO441" s="1109">
        <v>6.7576979142662461</v>
      </c>
      <c r="BP441" s="1109">
        <v>5.6214373297492823</v>
      </c>
      <c r="BQ441" s="1109">
        <v>3.496623865779064</v>
      </c>
      <c r="BR441" s="1109">
        <v>0.16435952601167478</v>
      </c>
      <c r="BS441" s="1109">
        <v>3.0643715504725266</v>
      </c>
      <c r="BT441" s="1109">
        <v>4.696264120107867</v>
      </c>
      <c r="CM441" s="1109"/>
      <c r="CO441" s="1109"/>
      <c r="CP441" s="1109"/>
      <c r="CQ441" s="1109"/>
      <c r="CR441" s="1109"/>
      <c r="CS441" s="1109"/>
      <c r="CT441" s="1109"/>
      <c r="CU441" s="1109"/>
      <c r="CV441" s="1109"/>
      <c r="CW441" s="1109"/>
      <c r="CX441" s="1109"/>
      <c r="CY441" s="1109"/>
      <c r="CZ441" s="1109"/>
      <c r="DA441" s="1109"/>
      <c r="DB441" s="1109"/>
      <c r="DC441" s="1109"/>
      <c r="DD441" s="1109"/>
      <c r="DE441" s="1109"/>
      <c r="DF441" s="1109"/>
      <c r="DG441" s="1109"/>
      <c r="DH441" s="1109"/>
      <c r="DI441" s="1109"/>
      <c r="DJ441" s="1109"/>
    </row>
    <row r="442" spans="4:114" ht="14.45" hidden="1" outlineLevel="1" collapsed="1">
      <c r="D442" s="1611"/>
      <c r="E442" s="1619"/>
      <c r="F442" s="1107"/>
    </row>
    <row r="443" spans="4:114" ht="14.45" collapsed="1">
      <c r="D443" s="1610" t="s">
        <v>1272</v>
      </c>
      <c r="E443" s="1612" t="s">
        <v>1095</v>
      </c>
      <c r="F443" s="1106" t="s">
        <v>1190</v>
      </c>
      <c r="G443" s="1108">
        <v>2172.4606108265498</v>
      </c>
      <c r="I443" s="1108">
        <v>3649.8774565957851</v>
      </c>
      <c r="K443" s="1108">
        <v>2554.9827833557852</v>
      </c>
      <c r="M443" s="1108">
        <v>2670.1287414157746</v>
      </c>
      <c r="O443" s="1108">
        <v>2865.7891152122174</v>
      </c>
      <c r="Q443" s="1108">
        <v>6180.7707992686901</v>
      </c>
      <c r="S443" s="1108">
        <v>3597.6919062172974</v>
      </c>
      <c r="T443" s="1108">
        <v>5197.2980502132978</v>
      </c>
      <c r="U443" s="1108">
        <v>5742.6348162131744</v>
      </c>
      <c r="V443" s="1108">
        <v>7189.819922990504</v>
      </c>
      <c r="W443" s="1108">
        <v>4528.2253342916783</v>
      </c>
      <c r="X443" s="1108">
        <v>4653.837820067949</v>
      </c>
      <c r="Y443" s="1108">
        <v>4406.0081043643368</v>
      </c>
      <c r="Z443" s="1108">
        <v>6694.7328178447988</v>
      </c>
      <c r="AA443" s="1108">
        <v>4526.5720092722349</v>
      </c>
      <c r="AB443" s="1108">
        <v>4614.0863111862609</v>
      </c>
      <c r="AC443" s="1108">
        <v>4451.5255926509062</v>
      </c>
      <c r="AD443" s="1108">
        <v>6062.8923077895997</v>
      </c>
      <c r="AE443" s="1108">
        <v>4101.4068258966436</v>
      </c>
      <c r="AF443" s="1108">
        <v>4081.5953923865118</v>
      </c>
      <c r="AG443" s="1108">
        <v>3992.4018133254781</v>
      </c>
      <c r="AH443" s="1108">
        <v>6299.6142886993539</v>
      </c>
      <c r="AI443" s="1108">
        <v>4573.0192994560002</v>
      </c>
      <c r="AJ443" s="1108">
        <v>4597.1283721985455</v>
      </c>
      <c r="AK443" s="1108">
        <v>4842.7714798561119</v>
      </c>
      <c r="AL443" s="1108">
        <v>6883.7925339236499</v>
      </c>
      <c r="AM443" s="1108">
        <v>4688.3677414031226</v>
      </c>
      <c r="AN443" s="1108">
        <v>4576.1651223497965</v>
      </c>
      <c r="AO443" s="1108">
        <v>4538.5798927799187</v>
      </c>
      <c r="AP443" s="1108">
        <v>5917.5627479659433</v>
      </c>
      <c r="AQ443" s="1108">
        <v>4617.519256831496</v>
      </c>
      <c r="AR443" s="1108">
        <v>5452.6126006391387</v>
      </c>
      <c r="AS443" s="1108">
        <v>4718.562227594427</v>
      </c>
      <c r="AT443" s="1108">
        <v>6991.7514260715398</v>
      </c>
      <c r="AU443" s="1108">
        <v>5704.2877633048765</v>
      </c>
      <c r="AV443" s="1108">
        <v>5941.2918819036049</v>
      </c>
      <c r="AW443" s="1108">
        <v>5474.1138316352572</v>
      </c>
      <c r="AX443" s="1108">
        <v>7976.713475215518</v>
      </c>
      <c r="AY443" s="1108">
        <v>6389.8692692166242</v>
      </c>
      <c r="AZ443" s="1108">
        <v>6202.7087823325128</v>
      </c>
      <c r="BA443" s="1108">
        <v>6170.4498352492428</v>
      </c>
      <c r="BB443" s="1108">
        <v>7311.765771224952</v>
      </c>
      <c r="BC443" s="1108">
        <v>5737.2293322646474</v>
      </c>
      <c r="BD443" s="1108">
        <v>5998.1239145767649</v>
      </c>
      <c r="BE443" s="1108">
        <v>5995.6776476449359</v>
      </c>
      <c r="BF443" s="1108">
        <v>7025.4634287294803</v>
      </c>
      <c r="BG443" s="1108">
        <v>6113.0134837790501</v>
      </c>
      <c r="BH443" s="1108">
        <v>6429.6326987452112</v>
      </c>
      <c r="BI443" s="1108">
        <v>6381.9409811922233</v>
      </c>
      <c r="BJ443" s="1108">
        <v>7405.7718217194615</v>
      </c>
      <c r="BK443" s="1108">
        <v>6502.135964966873</v>
      </c>
      <c r="BL443" s="1108">
        <v>6820.3505855751982</v>
      </c>
      <c r="BM443" s="1108">
        <v>6684.1046750418327</v>
      </c>
      <c r="BN443" s="1108">
        <v>8395.7099844011482</v>
      </c>
      <c r="BO443" s="1108">
        <v>7176.1798453977826</v>
      </c>
      <c r="BP443" s="1108">
        <v>7154.1996819863271</v>
      </c>
      <c r="BQ443" s="1108">
        <v>6922.8286196889003</v>
      </c>
      <c r="BR443" s="1108">
        <v>8270.6992966791859</v>
      </c>
      <c r="BS443" s="1108">
        <v>7350.5563011514369</v>
      </c>
      <c r="BT443" s="1108">
        <v>10371.863023564247</v>
      </c>
      <c r="CK443" s="1108"/>
      <c r="CM443" s="1108"/>
      <c r="CO443" s="1108"/>
      <c r="CQ443" s="1108"/>
      <c r="CS443" s="1108"/>
      <c r="CU443" s="1108"/>
      <c r="CW443" s="1108"/>
      <c r="CY443" s="1108"/>
      <c r="DA443" s="1108"/>
      <c r="DC443" s="1108"/>
      <c r="DE443" s="1108"/>
      <c r="DF443" s="1108"/>
      <c r="DG443" s="1108"/>
      <c r="DH443" s="1108"/>
      <c r="DI443" s="1108"/>
    </row>
    <row r="444" spans="4:114" ht="14.45" hidden="1" outlineLevel="1">
      <c r="D444" s="1611"/>
      <c r="E444" s="1619"/>
      <c r="F444" s="1106" t="s">
        <v>1191</v>
      </c>
      <c r="O444" s="1109">
        <v>31.914433841996289</v>
      </c>
      <c r="Q444" s="1109">
        <v>69.341871686657981</v>
      </c>
      <c r="S444" s="1109">
        <v>40.810808184468044</v>
      </c>
      <c r="T444" s="1109">
        <v>94.645972293364011</v>
      </c>
      <c r="U444" s="1109">
        <v>100.3858129591619</v>
      </c>
      <c r="V444" s="1109">
        <v>16.325619514012796</v>
      </c>
      <c r="W444" s="1109">
        <v>25.864733621750474</v>
      </c>
      <c r="X444" s="1109">
        <v>-10.456591576906872</v>
      </c>
      <c r="Y444" s="1109">
        <v>-23.275495563032162</v>
      </c>
      <c r="Z444" s="1109">
        <v>-6.885945829638815</v>
      </c>
      <c r="AA444" s="1109">
        <v>-3.6511544752929566E-2</v>
      </c>
      <c r="AB444" s="1109">
        <v>-0.85416618323643467</v>
      </c>
      <c r="AC444" s="1109">
        <v>1.0330777249701939</v>
      </c>
      <c r="AD444" s="1109">
        <v>-9.4378749271521212</v>
      </c>
      <c r="AE444" s="1109">
        <v>-9.3926525968145995</v>
      </c>
      <c r="AF444" s="1109">
        <v>-11.540549588524019</v>
      </c>
      <c r="AG444" s="1109">
        <v>-10.313852403396329</v>
      </c>
      <c r="AH444" s="1109">
        <v>3.9044398101152802</v>
      </c>
      <c r="AI444" s="1109">
        <v>11.49879769501416</v>
      </c>
      <c r="AJ444" s="1109">
        <v>12.630673309110174</v>
      </c>
      <c r="AK444" s="1109">
        <v>21.299701440179362</v>
      </c>
      <c r="AL444" s="1109">
        <v>9.2732383040058792</v>
      </c>
      <c r="AM444" s="1109">
        <v>2.522369454265021</v>
      </c>
      <c r="AN444" s="1109">
        <v>-0.45600749318913342</v>
      </c>
      <c r="AO444" s="1109">
        <v>-6.2813533188898543</v>
      </c>
      <c r="AP444" s="1109">
        <v>-14.03630021090963</v>
      </c>
      <c r="AQ444" s="1109">
        <v>-1.5111545953607994</v>
      </c>
      <c r="AR444" s="1109">
        <v>19.152444347097745</v>
      </c>
      <c r="AS444" s="1109">
        <v>3.9656090465836775</v>
      </c>
      <c r="AT444" s="1109">
        <v>18.152552391182155</v>
      </c>
      <c r="AU444" s="1109">
        <v>23.535765549121113</v>
      </c>
      <c r="AV444" s="1109">
        <v>8.9622960048029956</v>
      </c>
      <c r="AW444" s="1109">
        <v>16.012326797818208</v>
      </c>
      <c r="AX444" s="1109">
        <v>14.08748665564902</v>
      </c>
      <c r="AY444" s="1109">
        <v>12.018704777168258</v>
      </c>
      <c r="AZ444" s="1109">
        <v>4.4000009699094136</v>
      </c>
      <c r="BA444" s="1109">
        <v>12.720524728401061</v>
      </c>
      <c r="BB444" s="1109">
        <v>-8.3361111823387919</v>
      </c>
      <c r="BC444" s="1109">
        <v>-10.213666500128385</v>
      </c>
      <c r="BD444" s="1109">
        <v>-3.2983148965251634</v>
      </c>
      <c r="BE444" s="1109">
        <v>-2.8324059391246537</v>
      </c>
      <c r="BF444" s="1109">
        <v>-3.915638868277191</v>
      </c>
      <c r="BG444" s="1109">
        <v>6.5499238352054876</v>
      </c>
      <c r="BH444" s="1109">
        <v>7.1940625154439486</v>
      </c>
      <c r="BI444" s="1109">
        <v>6.4423632531180051</v>
      </c>
      <c r="BJ444" s="1109">
        <v>5.4132854985020984</v>
      </c>
      <c r="BK444" s="1109">
        <v>6.3654772269088511</v>
      </c>
      <c r="BL444" s="1109">
        <v>6.0768305926128319</v>
      </c>
      <c r="BM444" s="1109">
        <v>4.7346676307426714</v>
      </c>
      <c r="BN444" s="1109">
        <v>13.367116709948053</v>
      </c>
      <c r="BO444" s="1109">
        <v>10.366499317495336</v>
      </c>
      <c r="BP444" s="1109">
        <v>4.8948964165743609</v>
      </c>
      <c r="BQ444" s="1109">
        <v>3.5715171478156651</v>
      </c>
      <c r="BR444" s="1109">
        <v>-1.4889829204942351</v>
      </c>
      <c r="BS444" s="1109">
        <v>2.4299343036321073</v>
      </c>
      <c r="BT444" s="1109">
        <v>44.975867107535805</v>
      </c>
      <c r="CM444" s="1109"/>
      <c r="CO444" s="1109"/>
      <c r="CQ444" s="1109"/>
      <c r="CS444" s="1109"/>
      <c r="CU444" s="1109"/>
      <c r="CW444" s="1109"/>
      <c r="CY444" s="1109"/>
      <c r="DA444" s="1109"/>
      <c r="DC444" s="1109"/>
      <c r="DE444" s="1109"/>
      <c r="DF444" s="1109"/>
      <c r="DG444" s="1109"/>
      <c r="DH444" s="1109"/>
      <c r="DI444" s="1109"/>
    </row>
    <row r="445" spans="4:114" ht="14.45" hidden="1" outlineLevel="1" collapsed="1">
      <c r="D445" s="1611"/>
      <c r="E445" s="1619"/>
      <c r="F445" s="1106"/>
    </row>
    <row r="446" spans="4:114" ht="14.45" collapsed="1">
      <c r="D446" s="1610" t="s">
        <v>1273</v>
      </c>
      <c r="E446" s="1612" t="s">
        <v>1095</v>
      </c>
      <c r="F446" s="1107" t="s">
        <v>1190</v>
      </c>
      <c r="G446" s="1108">
        <v>4797.2817071451054</v>
      </c>
      <c r="I446" s="1108">
        <v>6302.0991121294746</v>
      </c>
      <c r="K446" s="1108">
        <v>4831.9219303807104</v>
      </c>
      <c r="M446" s="1108">
        <v>4238.2575210594596</v>
      </c>
      <c r="O446" s="1108">
        <v>4493.757318804307</v>
      </c>
      <c r="Q446" s="1108">
        <v>5785.3019754280822</v>
      </c>
      <c r="S446" s="1108">
        <v>4766.2474263411323</v>
      </c>
      <c r="T446" s="1108">
        <v>5044.4568075570123</v>
      </c>
      <c r="U446" s="1108">
        <v>5493.8802426598158</v>
      </c>
      <c r="V446" s="1108">
        <v>6058.4713874829258</v>
      </c>
      <c r="W446" s="1108">
        <v>4825.8822964909314</v>
      </c>
      <c r="X446" s="1108">
        <v>4573.5767356298802</v>
      </c>
      <c r="Y446" s="1108">
        <v>4912.8118928660342</v>
      </c>
      <c r="Z446" s="1108">
        <v>5822.6205932018929</v>
      </c>
      <c r="AA446" s="1108">
        <v>4851.767951093706</v>
      </c>
      <c r="AB446" s="1108">
        <v>4566.7706329019738</v>
      </c>
      <c r="AC446" s="1108">
        <v>4914.63926532603</v>
      </c>
      <c r="AD446" s="1108">
        <v>5782.114712471649</v>
      </c>
      <c r="AE446" s="1108">
        <v>4665.6613455615607</v>
      </c>
      <c r="AF446" s="1108">
        <v>5152.3700287082866</v>
      </c>
      <c r="AG446" s="1108">
        <v>5385.5593165446517</v>
      </c>
      <c r="AH446" s="1108">
        <v>5870.4520851134012</v>
      </c>
      <c r="AI446" s="1108">
        <v>5343.9807211559646</v>
      </c>
      <c r="AJ446" s="1108">
        <v>6213.8311915190834</v>
      </c>
      <c r="AK446" s="1108">
        <v>5903.2673772867456</v>
      </c>
      <c r="AL446" s="1108">
        <v>6109.2147489800136</v>
      </c>
      <c r="AM446" s="1108">
        <v>5991.639290572477</v>
      </c>
      <c r="AN446" s="1108">
        <v>6702.8011004587415</v>
      </c>
      <c r="AO446" s="1108">
        <v>6604.5140658977671</v>
      </c>
      <c r="AP446" s="1108">
        <v>7293.4429213013564</v>
      </c>
      <c r="AQ446" s="1108">
        <v>6379.4856046895584</v>
      </c>
      <c r="AR446" s="1108">
        <v>7457.3725539875823</v>
      </c>
      <c r="AS446" s="1108">
        <v>7130.5044542237547</v>
      </c>
      <c r="AT446" s="1108">
        <v>8129.6751311814032</v>
      </c>
      <c r="AU446" s="1108">
        <v>7329.1703254704307</v>
      </c>
      <c r="AV446" s="1108">
        <v>8164.4799165025352</v>
      </c>
      <c r="AW446" s="1108">
        <v>7847.0090642251471</v>
      </c>
      <c r="AX446" s="1108">
        <v>9525.2932430695637</v>
      </c>
      <c r="AY446" s="1108">
        <v>8142.7224242622997</v>
      </c>
      <c r="AZ446" s="1108">
        <v>8170.8317785484551</v>
      </c>
      <c r="BA446" s="1108">
        <v>7153.8647830240607</v>
      </c>
      <c r="BB446" s="1108">
        <v>6927.9566397281969</v>
      </c>
      <c r="BC446" s="1108">
        <v>7510.7572333868193</v>
      </c>
      <c r="BD446" s="1108">
        <v>7584.8046307572513</v>
      </c>
      <c r="BE446" s="1108">
        <v>7168.2754909463538</v>
      </c>
      <c r="BF446" s="1108">
        <v>7989.0028177951808</v>
      </c>
      <c r="BG446" s="1108">
        <v>7858.2666653092228</v>
      </c>
      <c r="BH446" s="1108">
        <v>7991.8806533141114</v>
      </c>
      <c r="BI446" s="1108">
        <v>7513.5413246539883</v>
      </c>
      <c r="BJ446" s="1108">
        <v>8483.9612641640651</v>
      </c>
      <c r="BK446" s="1108">
        <v>8416.5691731688185</v>
      </c>
      <c r="BL446" s="1108">
        <v>8525.7039388533558</v>
      </c>
      <c r="BM446" s="1108">
        <v>7879.629640868945</v>
      </c>
      <c r="BN446" s="1108">
        <v>7993.5568502775704</v>
      </c>
      <c r="BO446" s="1108">
        <v>8416.3395266647058</v>
      </c>
      <c r="BP446" s="1108">
        <v>8790.521775748015</v>
      </c>
      <c r="BQ446" s="1108">
        <v>8150.1447060606797</v>
      </c>
      <c r="BR446" s="1108">
        <v>8145.5048592858029</v>
      </c>
      <c r="BS446" s="1108">
        <v>8719.7757985504832</v>
      </c>
      <c r="BT446" s="1108">
        <v>9482.4970005612395</v>
      </c>
      <c r="CK446" s="1108"/>
      <c r="CM446" s="1108"/>
      <c r="CO446" s="1108"/>
      <c r="CQ446" s="1108"/>
      <c r="CS446" s="1108"/>
      <c r="CU446" s="1108"/>
      <c r="CW446" s="1108"/>
      <c r="CY446" s="1108"/>
      <c r="DA446" s="1108"/>
      <c r="DC446" s="1108"/>
      <c r="DE446" s="1108"/>
      <c r="DF446" s="1108"/>
      <c r="DG446" s="1108"/>
      <c r="DH446" s="1108"/>
      <c r="DI446" s="1108"/>
    </row>
    <row r="447" spans="4:114" ht="14.45" hidden="1" outlineLevel="1">
      <c r="D447" s="1611"/>
      <c r="E447" s="1619"/>
      <c r="F447" s="1107" t="s">
        <v>1191</v>
      </c>
      <c r="O447" s="1109">
        <v>-6.3270078112929449</v>
      </c>
      <c r="Q447" s="1109">
        <v>-8.2003968440725945</v>
      </c>
      <c r="S447" s="1109">
        <v>-1.3591797422605203</v>
      </c>
      <c r="T447" s="1109">
        <v>19.021951414977327</v>
      </c>
      <c r="U447" s="1109">
        <v>22.25582853952648</v>
      </c>
      <c r="V447" s="1109">
        <v>4.7217831189292507</v>
      </c>
      <c r="W447" s="1109">
        <v>1.2511912373709588</v>
      </c>
      <c r="X447" s="1109">
        <v>-9.3346040989332089</v>
      </c>
      <c r="Y447" s="1109">
        <v>-10.576647544695337</v>
      </c>
      <c r="Z447" s="1109">
        <v>-3.8929092702874071</v>
      </c>
      <c r="AA447" s="1109">
        <v>0.53639216649765709</v>
      </c>
      <c r="AB447" s="1109">
        <v>-0.14881356805242313</v>
      </c>
      <c r="AC447" s="1109">
        <v>3.7196060012990528E-2</v>
      </c>
      <c r="AD447" s="1109">
        <v>-0.69566409285770581</v>
      </c>
      <c r="AE447" s="1109">
        <v>-3.8358513310636049</v>
      </c>
      <c r="AF447" s="1109">
        <v>12.823052499884172</v>
      </c>
      <c r="AG447" s="1109">
        <v>9.5819860989813979</v>
      </c>
      <c r="AH447" s="1109">
        <v>1.5277692857115777</v>
      </c>
      <c r="AI447" s="1109">
        <v>14.538547171660637</v>
      </c>
      <c r="AJ447" s="1109">
        <v>20.601415598966753</v>
      </c>
      <c r="AK447" s="1109">
        <v>9.61289311495789</v>
      </c>
      <c r="AL447" s="1109">
        <v>4.0671938107131353</v>
      </c>
      <c r="AM447" s="1109">
        <v>12.119403179216865</v>
      </c>
      <c r="AN447" s="1109">
        <v>7.8690568486480013</v>
      </c>
      <c r="AO447" s="1109">
        <v>11.878958613819858</v>
      </c>
      <c r="AP447" s="1109">
        <v>19.384294397558374</v>
      </c>
      <c r="AQ447" s="1109">
        <v>6.4731252217959252</v>
      </c>
      <c r="AR447" s="1109">
        <v>11.257554001970872</v>
      </c>
      <c r="AS447" s="1109">
        <v>7.9641042940906885</v>
      </c>
      <c r="AT447" s="1109">
        <v>11.465534438306667</v>
      </c>
      <c r="AU447" s="1109">
        <v>14.886540696678733</v>
      </c>
      <c r="AV447" s="1109">
        <v>9.4819905723611839</v>
      </c>
      <c r="AW447" s="1109">
        <v>10.048442078694318</v>
      </c>
      <c r="AX447" s="1109">
        <v>17.166960418076993</v>
      </c>
      <c r="AY447" s="1109">
        <v>11.100193646265824</v>
      </c>
      <c r="AZ447" s="1109">
        <v>7.7798734406598902E-2</v>
      </c>
      <c r="BA447" s="1109">
        <v>-8.8332290115626488</v>
      </c>
      <c r="BB447" s="1109">
        <v>-27.267786272418892</v>
      </c>
      <c r="BC447" s="1109">
        <v>-7.7611044310249104</v>
      </c>
      <c r="BD447" s="1109">
        <v>-7.1721847135532553</v>
      </c>
      <c r="BE447" s="1109">
        <v>0.20143947865060796</v>
      </c>
      <c r="BF447" s="1109">
        <v>15.315427524220354</v>
      </c>
      <c r="BG447" s="1109">
        <v>4.6268228505330269</v>
      </c>
      <c r="BH447" s="1109">
        <v>5.3669941728771802</v>
      </c>
      <c r="BI447" s="1109">
        <v>4.8165815354573187</v>
      </c>
      <c r="BJ447" s="1109">
        <v>6.1954972060641209</v>
      </c>
      <c r="BK447" s="1109">
        <v>7.1046521025336871</v>
      </c>
      <c r="BL447" s="1109">
        <v>6.6795702876002778</v>
      </c>
      <c r="BM447" s="1109">
        <v>4.8723804181886976</v>
      </c>
      <c r="BN447" s="1109">
        <v>-5.7803707326899829</v>
      </c>
      <c r="BO447" s="1109">
        <v>-2.7285049215156395E-3</v>
      </c>
      <c r="BP447" s="1109">
        <v>3.1061111058270603</v>
      </c>
      <c r="BQ447" s="1109">
        <v>3.4330936544106785</v>
      </c>
      <c r="BR447" s="1109">
        <v>1.9008810702704417</v>
      </c>
      <c r="BS447" s="1109">
        <v>3.6053235604912146</v>
      </c>
      <c r="BT447" s="1109">
        <v>7.8718333503512872</v>
      </c>
      <c r="CM447" s="1109"/>
      <c r="CO447" s="1109"/>
      <c r="CQ447" s="1109"/>
      <c r="CS447" s="1109"/>
      <c r="CU447" s="1109"/>
      <c r="CW447" s="1109"/>
      <c r="CY447" s="1109"/>
      <c r="DA447" s="1109"/>
      <c r="DC447" s="1109"/>
      <c r="DE447" s="1109"/>
      <c r="DF447" s="1109"/>
      <c r="DG447" s="1109"/>
      <c r="DH447" s="1109"/>
      <c r="DI447" s="1109"/>
    </row>
    <row r="448" spans="4:114" ht="14.45" hidden="1" outlineLevel="1" collapsed="1">
      <c r="D448" s="1611"/>
      <c r="E448" s="1619"/>
      <c r="F448" s="1107"/>
    </row>
    <row r="449" spans="3:114" ht="14.45" collapsed="1">
      <c r="D449" s="1610" t="s">
        <v>1274</v>
      </c>
      <c r="E449" s="1612" t="s">
        <v>1095</v>
      </c>
      <c r="F449" s="1106" t="s">
        <v>1190</v>
      </c>
      <c r="G449" s="1108">
        <v>3264.3395152533399</v>
      </c>
      <c r="I449" s="1108">
        <v>4505.3911941745901</v>
      </c>
      <c r="K449" s="1108">
        <v>2574.9496368950299</v>
      </c>
      <c r="M449" s="1108">
        <v>1604.0267899445801</v>
      </c>
      <c r="O449" s="1108">
        <v>1488</v>
      </c>
      <c r="Q449" s="1108">
        <v>2067</v>
      </c>
      <c r="S449" s="1108">
        <v>1703</v>
      </c>
      <c r="T449" s="1108">
        <v>892</v>
      </c>
      <c r="U449" s="1108">
        <v>1508</v>
      </c>
      <c r="V449" s="1108">
        <v>1506</v>
      </c>
      <c r="W449" s="1108">
        <v>1049</v>
      </c>
      <c r="X449" s="1108">
        <v>605</v>
      </c>
      <c r="Y449" s="1108">
        <v>1393</v>
      </c>
      <c r="Z449" s="1108">
        <v>1915</v>
      </c>
      <c r="AA449" s="1108">
        <v>1600</v>
      </c>
      <c r="AB449" s="1108">
        <v>1275</v>
      </c>
      <c r="AC449" s="1108">
        <v>2033</v>
      </c>
      <c r="AD449" s="1108">
        <v>2561</v>
      </c>
      <c r="AE449" s="1108">
        <v>2035</v>
      </c>
      <c r="AF449" s="1108">
        <v>2186</v>
      </c>
      <c r="AG449" s="1108">
        <v>2565</v>
      </c>
      <c r="AH449" s="1108">
        <v>2510</v>
      </c>
      <c r="AI449" s="1108">
        <v>2523</v>
      </c>
      <c r="AJ449" s="1108">
        <v>3012</v>
      </c>
      <c r="AK449" s="1108">
        <v>3143</v>
      </c>
      <c r="AL449" s="1108">
        <v>2964</v>
      </c>
      <c r="AM449" s="1108">
        <v>3154</v>
      </c>
      <c r="AN449" s="1108">
        <v>3559</v>
      </c>
      <c r="AO449" s="1108">
        <v>4015</v>
      </c>
      <c r="AP449" s="1108">
        <v>4178</v>
      </c>
      <c r="AQ449" s="1108">
        <v>3627</v>
      </c>
      <c r="AR449" s="1108">
        <v>4091</v>
      </c>
      <c r="AS449" s="1108">
        <v>4748</v>
      </c>
      <c r="AT449" s="1108">
        <v>5224</v>
      </c>
      <c r="AU449" s="1108">
        <v>4594</v>
      </c>
      <c r="AV449" s="1108">
        <v>4873</v>
      </c>
      <c r="AW449" s="1108">
        <v>4976</v>
      </c>
      <c r="AX449" s="1108">
        <v>6362</v>
      </c>
      <c r="AY449" s="1108">
        <v>4788</v>
      </c>
      <c r="AZ449" s="1108">
        <v>4490</v>
      </c>
      <c r="BA449" s="1108">
        <v>4217</v>
      </c>
      <c r="BB449" s="1108">
        <v>3320</v>
      </c>
      <c r="BC449" s="1108">
        <v>4237</v>
      </c>
      <c r="BD449" s="1108">
        <v>4541.1809494339113</v>
      </c>
      <c r="BE449" s="1108">
        <v>3999.7323646721034</v>
      </c>
      <c r="BF449" s="1108">
        <v>4268.2303562946227</v>
      </c>
      <c r="BG449" s="1108">
        <v>4412.2926443681308</v>
      </c>
      <c r="BH449" s="1108">
        <v>4804.6382780905133</v>
      </c>
      <c r="BI449" s="1108">
        <v>4320.7333447600449</v>
      </c>
      <c r="BJ449" s="1108">
        <v>4454.2305197948936</v>
      </c>
      <c r="BK449" s="1108">
        <v>4771.2014931693284</v>
      </c>
      <c r="BL449" s="1108">
        <v>5394.7001774098471</v>
      </c>
      <c r="BM449" s="1108">
        <v>4538.4534403106063</v>
      </c>
      <c r="BN449" s="1108">
        <v>4497.4248944026103</v>
      </c>
      <c r="BO449" s="1108">
        <v>5135.1351180308802</v>
      </c>
      <c r="BP449" s="1108">
        <v>5295.9102060231598</v>
      </c>
      <c r="BQ449" s="1108">
        <v>4028.554831541685</v>
      </c>
      <c r="BR449" s="1108">
        <v>4005.6011799252451</v>
      </c>
      <c r="BS449" s="1108">
        <v>4882.6056355674345</v>
      </c>
      <c r="BT449" s="1108">
        <v>675.309319422675</v>
      </c>
      <c r="CK449" s="1108"/>
      <c r="CM449" s="1108"/>
      <c r="CO449" s="1108"/>
      <c r="CP449" s="1108"/>
      <c r="CQ449" s="1108"/>
      <c r="CR449" s="1108"/>
      <c r="CS449" s="1108"/>
      <c r="CT449" s="1108"/>
      <c r="CU449" s="1108"/>
      <c r="CV449" s="1108"/>
      <c r="CW449" s="1108"/>
      <c r="CX449" s="1108"/>
      <c r="CY449" s="1108"/>
      <c r="CZ449" s="1108"/>
      <c r="DA449" s="1108"/>
      <c r="DB449" s="1108"/>
      <c r="DC449" s="1108"/>
      <c r="DD449" s="1108"/>
      <c r="DE449" s="1108"/>
      <c r="DF449" s="1108"/>
      <c r="DG449" s="1108"/>
      <c r="DH449" s="1108"/>
      <c r="DI449" s="1108"/>
      <c r="DJ449" s="1108"/>
    </row>
    <row r="450" spans="3:114" ht="14.45" hidden="1" outlineLevel="1">
      <c r="D450" s="1611"/>
      <c r="E450" s="1619"/>
      <c r="F450" s="1106" t="s">
        <v>1191</v>
      </c>
      <c r="O450" s="1109">
        <v>-54.416506216740181</v>
      </c>
      <c r="Q450" s="1109">
        <v>-54.12163093245703</v>
      </c>
      <c r="S450" s="1109">
        <v>-33.862784126001749</v>
      </c>
      <c r="T450" s="1109">
        <v>-44.38995622817378</v>
      </c>
      <c r="U450" s="1109">
        <v>1.3440860215053763</v>
      </c>
      <c r="V450" s="1109">
        <v>-27.140783744557329</v>
      </c>
      <c r="W450" s="1109">
        <v>-38.402818555490306</v>
      </c>
      <c r="X450" s="1109">
        <v>-32.174887892376681</v>
      </c>
      <c r="Y450" s="1109">
        <v>-7.6259946949602124</v>
      </c>
      <c r="Z450" s="1109">
        <v>27.158034528552456</v>
      </c>
      <c r="AA450" s="1109">
        <v>52.526215443279312</v>
      </c>
      <c r="AB450" s="1109">
        <v>110.74380165289257</v>
      </c>
      <c r="AC450" s="1109">
        <v>45.944005743000716</v>
      </c>
      <c r="AD450" s="1109">
        <v>33.733681462140993</v>
      </c>
      <c r="AE450" s="1109">
        <v>27.187499999999996</v>
      </c>
      <c r="AF450" s="1109">
        <v>71.450980392156865</v>
      </c>
      <c r="AG450" s="1109">
        <v>26.168224299065418</v>
      </c>
      <c r="AH450" s="1109">
        <v>-1.9914096056228034</v>
      </c>
      <c r="AI450" s="1109">
        <v>23.980343980343978</v>
      </c>
      <c r="AJ450" s="1109">
        <v>37.785910338517844</v>
      </c>
      <c r="AK450" s="1109">
        <v>22.534113060428851</v>
      </c>
      <c r="AL450" s="1109">
        <v>18.087649402390436</v>
      </c>
      <c r="AM450" s="1109">
        <v>25.009908838684108</v>
      </c>
      <c r="AN450" s="1109">
        <v>18.160690571049138</v>
      </c>
      <c r="AO450" s="1109">
        <v>27.744193445752462</v>
      </c>
      <c r="AP450" s="1109">
        <v>40.958164642375166</v>
      </c>
      <c r="AQ450" s="1109">
        <v>14.996829422954978</v>
      </c>
      <c r="AR450" s="1109">
        <v>14.948019106490587</v>
      </c>
      <c r="AS450" s="1109">
        <v>18.25653798256538</v>
      </c>
      <c r="AT450" s="1109">
        <v>25.035902345619913</v>
      </c>
      <c r="AU450" s="1109">
        <v>26.661152467604083</v>
      </c>
      <c r="AV450" s="1109">
        <v>19.11513077487167</v>
      </c>
      <c r="AW450" s="1109">
        <v>4.8020219039595622</v>
      </c>
      <c r="AX450" s="1109">
        <v>21.784073506891271</v>
      </c>
      <c r="AY450" s="1109">
        <v>4.2228994340444057</v>
      </c>
      <c r="AZ450" s="1109">
        <v>-7.8596347219372049</v>
      </c>
      <c r="BA450" s="1109">
        <v>-15.2532154340836</v>
      </c>
      <c r="BB450" s="1109">
        <v>-47.81515246777743</v>
      </c>
      <c r="BC450" s="1109">
        <v>-11.507936507936508</v>
      </c>
      <c r="BD450" s="1109">
        <v>1.1398875152318784</v>
      </c>
      <c r="BE450" s="1109">
        <v>-5.1521848548232541</v>
      </c>
      <c r="BF450" s="1109">
        <v>28.561155310078995</v>
      </c>
      <c r="BG450" s="1109">
        <v>4.1371877358539253</v>
      </c>
      <c r="BH450" s="1109">
        <v>5.8015157640755026</v>
      </c>
      <c r="BI450" s="1109">
        <v>8.0255614831433135</v>
      </c>
      <c r="BJ450" s="1109">
        <v>4.3577817496650573</v>
      </c>
      <c r="BK450" s="1109">
        <v>8.1342938406252436</v>
      </c>
      <c r="BL450" s="1109">
        <v>12.281088922137123</v>
      </c>
      <c r="BM450" s="1109">
        <v>5.0389616340152239</v>
      </c>
      <c r="BN450" s="1109">
        <v>0.96973819418995355</v>
      </c>
      <c r="BO450" s="1109">
        <v>7.6277144317333052</v>
      </c>
      <c r="BP450" s="1109">
        <v>-1.8312411837152223</v>
      </c>
      <c r="BQ450" s="1109">
        <v>-11.235074138692156</v>
      </c>
      <c r="BR450" s="1109">
        <v>-10.935673769438095</v>
      </c>
      <c r="BS450" s="1109">
        <v>-4.9176794117207319</v>
      </c>
      <c r="BT450" s="1109">
        <v>-87.248474895691587</v>
      </c>
      <c r="CM450" s="1109"/>
      <c r="CO450" s="1109"/>
      <c r="CQ450" s="1109"/>
      <c r="CR450" s="1109"/>
      <c r="CS450" s="1109"/>
      <c r="CT450" s="1109"/>
      <c r="CU450" s="1109"/>
      <c r="CV450" s="1109"/>
      <c r="CW450" s="1109"/>
      <c r="CX450" s="1109"/>
      <c r="CY450" s="1109"/>
      <c r="CZ450" s="1109"/>
      <c r="DA450" s="1109"/>
      <c r="DB450" s="1109"/>
      <c r="DC450" s="1109"/>
      <c r="DD450" s="1109"/>
      <c r="DE450" s="1109"/>
      <c r="DF450" s="1109"/>
      <c r="DG450" s="1109"/>
      <c r="DH450" s="1109"/>
      <c r="DI450" s="1109"/>
      <c r="DJ450" s="1109"/>
    </row>
    <row r="451" spans="3:114" ht="14.45" hidden="1" outlineLevel="1" collapsed="1">
      <c r="D451" s="1611"/>
      <c r="E451" s="1619"/>
      <c r="F451" s="1106"/>
    </row>
    <row r="452" spans="3:114" collapsed="1">
      <c r="D452" s="42"/>
    </row>
    <row r="453" spans="3:114">
      <c r="D453" s="42"/>
    </row>
    <row r="454" spans="3:114" ht="12.95">
      <c r="C454" s="1110" t="s">
        <v>1127</v>
      </c>
    </row>
    <row r="455" spans="3:114" ht="12.95">
      <c r="C455" s="1110"/>
    </row>
  </sheetData>
  <mergeCells count="258">
    <mergeCell ref="D437:D439"/>
    <mergeCell ref="E437:E439"/>
    <mergeCell ref="D440:D442"/>
    <mergeCell ref="E440:E442"/>
    <mergeCell ref="D443:D445"/>
    <mergeCell ref="E443:E445"/>
    <mergeCell ref="D446:D448"/>
    <mergeCell ref="E446:E448"/>
    <mergeCell ref="D449:D451"/>
    <mergeCell ref="E449:E451"/>
    <mergeCell ref="D422:D424"/>
    <mergeCell ref="E422:E424"/>
    <mergeCell ref="D425:D427"/>
    <mergeCell ref="E425:E427"/>
    <mergeCell ref="D428:D430"/>
    <mergeCell ref="E428:E430"/>
    <mergeCell ref="D431:D433"/>
    <mergeCell ref="E431:E433"/>
    <mergeCell ref="D434:D436"/>
    <mergeCell ref="E434:E436"/>
    <mergeCell ref="D407:D409"/>
    <mergeCell ref="E407:E409"/>
    <mergeCell ref="D410:D412"/>
    <mergeCell ref="E410:E412"/>
    <mergeCell ref="D413:D415"/>
    <mergeCell ref="E413:E415"/>
    <mergeCell ref="D416:D418"/>
    <mergeCell ref="E416:E418"/>
    <mergeCell ref="D419:D421"/>
    <mergeCell ref="E419:E421"/>
    <mergeCell ref="D392:D394"/>
    <mergeCell ref="E392:E394"/>
    <mergeCell ref="D395:D397"/>
    <mergeCell ref="E395:E397"/>
    <mergeCell ref="D398:D400"/>
    <mergeCell ref="E398:E400"/>
    <mergeCell ref="D401:D403"/>
    <mergeCell ref="E401:E403"/>
    <mergeCell ref="D404:D406"/>
    <mergeCell ref="E404:E406"/>
    <mergeCell ref="D377:D379"/>
    <mergeCell ref="E377:E379"/>
    <mergeCell ref="D380:D382"/>
    <mergeCell ref="E380:E382"/>
    <mergeCell ref="D383:D385"/>
    <mergeCell ref="E383:E385"/>
    <mergeCell ref="D386:D388"/>
    <mergeCell ref="E386:E388"/>
    <mergeCell ref="D389:D391"/>
    <mergeCell ref="E389:E391"/>
    <mergeCell ref="D362:D364"/>
    <mergeCell ref="E362:E364"/>
    <mergeCell ref="D365:D367"/>
    <mergeCell ref="E365:E367"/>
    <mergeCell ref="D368:D370"/>
    <mergeCell ref="E368:E370"/>
    <mergeCell ref="D371:D373"/>
    <mergeCell ref="E371:E373"/>
    <mergeCell ref="D374:D376"/>
    <mergeCell ref="E374:E376"/>
    <mergeCell ref="D10:D12"/>
    <mergeCell ref="E10:E12"/>
    <mergeCell ref="D13:D15"/>
    <mergeCell ref="E13:E15"/>
    <mergeCell ref="D16:D18"/>
    <mergeCell ref="E16:E18"/>
    <mergeCell ref="D30:D32"/>
    <mergeCell ref="E30:E32"/>
    <mergeCell ref="D33:D35"/>
    <mergeCell ref="E33:E35"/>
    <mergeCell ref="D36:D38"/>
    <mergeCell ref="E36:E38"/>
    <mergeCell ref="D19:D21"/>
    <mergeCell ref="E19:E21"/>
    <mergeCell ref="D22:D24"/>
    <mergeCell ref="E22:E24"/>
    <mergeCell ref="D27:D29"/>
    <mergeCell ref="E27:E29"/>
    <mergeCell ref="D50:D52"/>
    <mergeCell ref="E50:E52"/>
    <mergeCell ref="D53:D55"/>
    <mergeCell ref="E53:E55"/>
    <mergeCell ref="D56:D58"/>
    <mergeCell ref="E56:E58"/>
    <mergeCell ref="D41:D43"/>
    <mergeCell ref="E41:E43"/>
    <mergeCell ref="D44:D46"/>
    <mergeCell ref="E44:E46"/>
    <mergeCell ref="D47:D49"/>
    <mergeCell ref="E47:E49"/>
    <mergeCell ref="D69:D71"/>
    <mergeCell ref="E69:E71"/>
    <mergeCell ref="D72:D74"/>
    <mergeCell ref="E72:E74"/>
    <mergeCell ref="D75:D77"/>
    <mergeCell ref="E75:E77"/>
    <mergeCell ref="D59:D61"/>
    <mergeCell ref="E59:E61"/>
    <mergeCell ref="D62:D64"/>
    <mergeCell ref="E62:E64"/>
    <mergeCell ref="D66:D68"/>
    <mergeCell ref="E66:E68"/>
    <mergeCell ref="D91:D93"/>
    <mergeCell ref="E91:E93"/>
    <mergeCell ref="D94:D96"/>
    <mergeCell ref="E94:E96"/>
    <mergeCell ref="D97:D99"/>
    <mergeCell ref="E97:E99"/>
    <mergeCell ref="D80:D82"/>
    <mergeCell ref="E80:E82"/>
    <mergeCell ref="D83:D85"/>
    <mergeCell ref="E83:E85"/>
    <mergeCell ref="D86:D88"/>
    <mergeCell ref="E86:E88"/>
    <mergeCell ref="D112:D114"/>
    <mergeCell ref="E112:E114"/>
    <mergeCell ref="D115:D117"/>
    <mergeCell ref="E115:E117"/>
    <mergeCell ref="D118:D120"/>
    <mergeCell ref="E118:E120"/>
    <mergeCell ref="D102:D104"/>
    <mergeCell ref="E102:E104"/>
    <mergeCell ref="D105:D107"/>
    <mergeCell ref="E105:E107"/>
    <mergeCell ref="D108:D110"/>
    <mergeCell ref="E108:E110"/>
    <mergeCell ref="D141:D143"/>
    <mergeCell ref="E141:E143"/>
    <mergeCell ref="D144:D146"/>
    <mergeCell ref="E144:E146"/>
    <mergeCell ref="D147:D149"/>
    <mergeCell ref="E147:E149"/>
    <mergeCell ref="D121:D123"/>
    <mergeCell ref="E121:E123"/>
    <mergeCell ref="D124:D126"/>
    <mergeCell ref="E124:E126"/>
    <mergeCell ref="D138:D140"/>
    <mergeCell ref="E138:E140"/>
    <mergeCell ref="D159:D161"/>
    <mergeCell ref="E159:E161"/>
    <mergeCell ref="D162:D164"/>
    <mergeCell ref="E162:E164"/>
    <mergeCell ref="D165:D167"/>
    <mergeCell ref="E165:E167"/>
    <mergeCell ref="D150:D152"/>
    <mergeCell ref="E150:E152"/>
    <mergeCell ref="D153:D155"/>
    <mergeCell ref="E153:E155"/>
    <mergeCell ref="D156:D158"/>
    <mergeCell ref="E156:E158"/>
    <mergeCell ref="D179:D181"/>
    <mergeCell ref="E179:E181"/>
    <mergeCell ref="D182:D184"/>
    <mergeCell ref="E182:E184"/>
    <mergeCell ref="D185:D187"/>
    <mergeCell ref="E185:E187"/>
    <mergeCell ref="D168:D170"/>
    <mergeCell ref="E168:E170"/>
    <mergeCell ref="D173:D175"/>
    <mergeCell ref="E173:E175"/>
    <mergeCell ref="D176:D178"/>
    <mergeCell ref="E176:E178"/>
    <mergeCell ref="D200:D202"/>
    <mergeCell ref="E200:E202"/>
    <mergeCell ref="D203:D205"/>
    <mergeCell ref="E203:E205"/>
    <mergeCell ref="D206:D208"/>
    <mergeCell ref="E206:E208"/>
    <mergeCell ref="D189:D191"/>
    <mergeCell ref="E189:E191"/>
    <mergeCell ref="D192:D194"/>
    <mergeCell ref="E192:E194"/>
    <mergeCell ref="D195:D197"/>
    <mergeCell ref="E195:E197"/>
    <mergeCell ref="D218:D220"/>
    <mergeCell ref="E218:E220"/>
    <mergeCell ref="D221:D223"/>
    <mergeCell ref="E221:E223"/>
    <mergeCell ref="D224:D226"/>
    <mergeCell ref="E224:E226"/>
    <mergeCell ref="D209:D211"/>
    <mergeCell ref="E209:E211"/>
    <mergeCell ref="D212:D214"/>
    <mergeCell ref="E212:E214"/>
    <mergeCell ref="D215:D217"/>
    <mergeCell ref="E215:E217"/>
    <mergeCell ref="D240:D242"/>
    <mergeCell ref="E240:E242"/>
    <mergeCell ref="D243:D245"/>
    <mergeCell ref="E243:E245"/>
    <mergeCell ref="D246:D248"/>
    <mergeCell ref="E246:E248"/>
    <mergeCell ref="D234:D236"/>
    <mergeCell ref="E234:E236"/>
    <mergeCell ref="D237:D239"/>
    <mergeCell ref="E237:E239"/>
    <mergeCell ref="D258:D260"/>
    <mergeCell ref="E258:E260"/>
    <mergeCell ref="D261:D263"/>
    <mergeCell ref="E261:E263"/>
    <mergeCell ref="D264:D266"/>
    <mergeCell ref="E264:E266"/>
    <mergeCell ref="D249:D251"/>
    <mergeCell ref="E249:E251"/>
    <mergeCell ref="D252:D254"/>
    <mergeCell ref="E252:E254"/>
    <mergeCell ref="D255:D257"/>
    <mergeCell ref="E255:E257"/>
    <mergeCell ref="D276:D278"/>
    <mergeCell ref="E276:E278"/>
    <mergeCell ref="D279:D281"/>
    <mergeCell ref="E279:E281"/>
    <mergeCell ref="D282:D284"/>
    <mergeCell ref="E282:E284"/>
    <mergeCell ref="D267:D269"/>
    <mergeCell ref="E267:E269"/>
    <mergeCell ref="D270:D272"/>
    <mergeCell ref="E270:E272"/>
    <mergeCell ref="D273:D275"/>
    <mergeCell ref="E273:E275"/>
    <mergeCell ref="D306:D308"/>
    <mergeCell ref="E306:E308"/>
    <mergeCell ref="D297:D299"/>
    <mergeCell ref="E297:E299"/>
    <mergeCell ref="D300:D302"/>
    <mergeCell ref="E300:E302"/>
    <mergeCell ref="D303:D305"/>
    <mergeCell ref="E303:E305"/>
    <mergeCell ref="D285:D287"/>
    <mergeCell ref="E285:E287"/>
    <mergeCell ref="D294:D296"/>
    <mergeCell ref="E294:E296"/>
    <mergeCell ref="D288:D290"/>
    <mergeCell ref="E288:E290"/>
    <mergeCell ref="D317:D319"/>
    <mergeCell ref="E317:E319"/>
    <mergeCell ref="D320:D322"/>
    <mergeCell ref="E320:E322"/>
    <mergeCell ref="D323:D325"/>
    <mergeCell ref="E323:E325"/>
    <mergeCell ref="D311:D313"/>
    <mergeCell ref="E311:E313"/>
    <mergeCell ref="D314:D316"/>
    <mergeCell ref="E314:E316"/>
    <mergeCell ref="D346:D348"/>
    <mergeCell ref="E346:E348"/>
    <mergeCell ref="D337:D339"/>
    <mergeCell ref="E337:E339"/>
    <mergeCell ref="D340:D342"/>
    <mergeCell ref="E340:E342"/>
    <mergeCell ref="D343:D345"/>
    <mergeCell ref="E343:E345"/>
    <mergeCell ref="D328:D330"/>
    <mergeCell ref="E328:E330"/>
    <mergeCell ref="D331:D333"/>
    <mergeCell ref="E331:E333"/>
    <mergeCell ref="D334:D336"/>
    <mergeCell ref="E334:E336"/>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4F146-76AC-4434-A3E7-70C2CCDE9495}">
  <sheetPr>
    <pageSetUpPr fitToPage="1"/>
  </sheetPr>
  <dimension ref="A2:BO722"/>
  <sheetViews>
    <sheetView view="pageBreakPreview" zoomScale="85" zoomScaleNormal="85" zoomScaleSheetLayoutView="85" workbookViewId="0">
      <pane xSplit="2" ySplit="8" topLeftCell="C9" activePane="bottomRight" state="frozen"/>
      <selection pane="bottomRight" activeCell="AQ48" sqref="AQ48"/>
      <selection pane="bottomLeft" activeCell="I24" sqref="I24"/>
      <selection pane="topRight" activeCell="I24" sqref="I24"/>
    </sheetView>
  </sheetViews>
  <sheetFormatPr defaultColWidth="8.83203125" defaultRowHeight="9.9499999999999993" outlineLevelRow="2" outlineLevelCol="2"/>
  <cols>
    <col min="1" max="1" width="3.83203125" customWidth="1"/>
    <col min="2" max="2" width="35.33203125" customWidth="1"/>
    <col min="3" max="3" width="2.83203125" customWidth="1"/>
    <col min="4" max="4" width="9.83203125" hidden="1" customWidth="1" outlineLevel="1"/>
    <col min="5" max="5" width="9.33203125" hidden="1" customWidth="1" outlineLevel="1"/>
    <col min="6" max="7" width="8.83203125" hidden="1" customWidth="1" outlineLevel="1"/>
    <col min="8" max="8" width="10.1640625" hidden="1" customWidth="1" outlineLevel="1"/>
    <col min="9" max="11" width="8.83203125" hidden="1" customWidth="1" outlineLevel="1"/>
    <col min="12" max="12" width="11.5" hidden="1" customWidth="1" outlineLevel="1"/>
    <col min="13" max="13" width="9.33203125" hidden="1" customWidth="1" outlineLevel="1"/>
    <col min="14" max="14" width="9" hidden="1" customWidth="1" outlineLevel="1"/>
    <col min="15" max="15" width="10" hidden="1" customWidth="1" outlineLevel="1"/>
    <col min="16" max="16" width="11.33203125" hidden="1" customWidth="1" outlineLevel="1" collapsed="1"/>
    <col min="17" max="19" width="9" hidden="1" customWidth="1" outlineLevel="1"/>
    <col min="20" max="23" width="9.1640625" hidden="1" customWidth="1" outlineLevel="1"/>
    <col min="24" max="24" width="9.83203125" hidden="1" customWidth="1" outlineLevel="1"/>
    <col min="25" max="25" width="10" hidden="1" customWidth="1" outlineLevel="1"/>
    <col min="26" max="26" width="11.1640625" hidden="1" customWidth="1" outlineLevel="1"/>
    <col min="27" max="30" width="11" hidden="1" customWidth="1" outlineLevel="1"/>
    <col min="31" max="35" width="10.6640625" hidden="1" customWidth="1" outlineLevel="1"/>
    <col min="36" max="36" width="2.1640625" customWidth="1" collapsed="1"/>
    <col min="37" max="38" width="9.33203125" customWidth="1" outlineLevel="1"/>
    <col min="39" max="47" width="10.6640625" customWidth="1" outlineLevel="1"/>
    <col min="48" max="49" width="10.6640625" hidden="1" customWidth="1" outlineLevel="2"/>
    <col min="50" max="50" width="2.83203125" hidden="1" customWidth="1" outlineLevel="2"/>
    <col min="51" max="51" width="10.6640625" customWidth="1" outlineLevel="1" collapsed="1"/>
    <col min="52" max="58" width="10.6640625" customWidth="1"/>
    <col min="59" max="60" width="20.83203125" bestFit="1" customWidth="1"/>
    <col min="61" max="62" width="14.5" bestFit="1" customWidth="1"/>
    <col min="63" max="63" width="13.83203125" bestFit="1" customWidth="1"/>
    <col min="64" max="64" width="9.1640625" bestFit="1" customWidth="1"/>
    <col min="65" max="65" width="12.33203125" bestFit="1" customWidth="1"/>
    <col min="66" max="66" width="9.6640625" bestFit="1" customWidth="1"/>
    <col min="67" max="67" width="12.33203125" bestFit="1" customWidth="1"/>
    <col min="68" max="68" width="9" bestFit="1" customWidth="1"/>
  </cols>
  <sheetData>
    <row r="2" spans="2:62" s="1" customFormat="1" ht="12">
      <c r="B2" t="s">
        <v>60</v>
      </c>
      <c r="L2" s="228"/>
      <c r="M2" s="228"/>
      <c r="N2" s="228"/>
      <c r="O2" s="228"/>
      <c r="P2" s="228"/>
      <c r="Q2" s="228"/>
      <c r="R2" s="228"/>
      <c r="S2" s="228"/>
      <c r="T2" s="228"/>
      <c r="U2" s="228"/>
      <c r="V2" s="228"/>
      <c r="W2" s="228"/>
      <c r="X2" s="228"/>
      <c r="Y2" s="228"/>
      <c r="Z2" s="228"/>
      <c r="AA2" s="228"/>
      <c r="AB2" s="228"/>
      <c r="AC2" s="228"/>
      <c r="AD2" s="228"/>
      <c r="AE2" s="228"/>
      <c r="AF2" s="228"/>
      <c r="AG2" s="228"/>
      <c r="AH2" s="228"/>
      <c r="AI2" s="228"/>
      <c r="AJ2" s="228"/>
      <c r="AK2" s="228"/>
      <c r="AL2" s="228"/>
      <c r="AM2" s="228"/>
      <c r="AN2" s="228"/>
      <c r="AO2" s="228"/>
      <c r="AP2" s="228"/>
      <c r="AQ2" s="228"/>
      <c r="AR2" s="228"/>
      <c r="AS2" s="228"/>
      <c r="AT2" s="228"/>
      <c r="AU2" s="228"/>
      <c r="AV2" s="228"/>
      <c r="AW2" s="228"/>
      <c r="AX2" s="228"/>
      <c r="AY2" s="228"/>
      <c r="AZ2" s="228"/>
      <c r="BA2" s="228"/>
      <c r="BB2" s="228"/>
      <c r="BC2" s="228"/>
      <c r="BD2" s="819"/>
      <c r="BE2" s="819"/>
      <c r="BF2" s="819">
        <f ca="1">TODAY()</f>
        <v>45797</v>
      </c>
    </row>
    <row r="3" spans="2:62" s="2" customFormat="1" ht="10.5">
      <c r="B3" s="2" t="s">
        <v>1275</v>
      </c>
      <c r="H3" s="820"/>
      <c r="I3" s="820"/>
      <c r="J3" s="820"/>
      <c r="K3" s="820"/>
      <c r="L3" s="820"/>
      <c r="M3" s="820"/>
      <c r="N3" s="820"/>
      <c r="O3" s="820"/>
      <c r="P3" s="820"/>
      <c r="Q3" s="820"/>
      <c r="R3" s="820"/>
      <c r="S3" s="820"/>
      <c r="T3" s="820"/>
      <c r="U3" s="820"/>
      <c r="V3" s="820"/>
      <c r="W3" s="820"/>
      <c r="X3" s="820"/>
      <c r="Y3" s="820"/>
      <c r="Z3" s="820"/>
      <c r="AA3" s="820"/>
      <c r="AB3" s="820"/>
      <c r="AC3" s="820"/>
      <c r="AD3" s="820"/>
      <c r="AE3" s="820"/>
      <c r="AF3" s="820"/>
      <c r="AG3" s="820"/>
      <c r="AH3" s="820"/>
      <c r="AI3" s="820"/>
      <c r="AJ3" s="820"/>
      <c r="AK3" s="820"/>
      <c r="AL3" s="820"/>
      <c r="AM3" s="820"/>
      <c r="AN3" s="820"/>
      <c r="AO3" s="820"/>
      <c r="AP3" s="820"/>
      <c r="AQ3" s="820"/>
      <c r="AR3" s="820"/>
      <c r="AS3" s="820"/>
      <c r="AT3" s="820"/>
      <c r="AU3" s="820"/>
      <c r="AV3" s="820"/>
      <c r="AW3" s="820"/>
      <c r="AX3" s="820"/>
      <c r="AY3" s="820"/>
      <c r="AZ3" s="820"/>
      <c r="BA3" s="820"/>
      <c r="BB3" s="820"/>
      <c r="BC3" s="820"/>
      <c r="BD3" s="820"/>
      <c r="BE3" s="820"/>
      <c r="BF3" s="820"/>
    </row>
    <row r="4" spans="2:62">
      <c r="B4" s="3" t="s">
        <v>63</v>
      </c>
      <c r="AD4" t="s">
        <v>1276</v>
      </c>
    </row>
    <row r="5" spans="2:62" ht="13.5">
      <c r="D5" s="821" t="s">
        <v>205</v>
      </c>
      <c r="E5" s="821"/>
      <c r="F5" s="31"/>
      <c r="G5" s="31"/>
      <c r="H5" s="821"/>
      <c r="I5" s="31"/>
      <c r="J5" s="31"/>
      <c r="K5" s="31"/>
      <c r="L5" s="821"/>
      <c r="M5" s="31"/>
      <c r="N5" s="31"/>
      <c r="O5" s="31"/>
      <c r="P5" s="821" t="s">
        <v>205</v>
      </c>
      <c r="Q5" s="31"/>
      <c r="R5" s="31"/>
      <c r="S5" s="31"/>
      <c r="T5" s="31"/>
      <c r="U5" s="31"/>
      <c r="V5" s="31"/>
      <c r="W5" s="31"/>
      <c r="X5" s="31"/>
      <c r="Y5" s="31"/>
      <c r="Z5" s="31"/>
      <c r="AA5" s="31"/>
      <c r="AB5" s="31"/>
      <c r="AC5" s="31"/>
      <c r="AD5" s="31"/>
      <c r="AE5" s="31"/>
      <c r="AF5" s="31"/>
      <c r="AG5" s="31"/>
      <c r="AH5" s="31"/>
      <c r="AI5" s="31"/>
      <c r="AK5" s="821" t="s">
        <v>205</v>
      </c>
      <c r="AL5" s="821"/>
      <c r="AM5" s="821"/>
      <c r="AN5" s="821"/>
      <c r="AO5" s="821"/>
      <c r="AP5" s="821"/>
      <c r="AQ5" s="821"/>
      <c r="AR5" s="821"/>
      <c r="AS5" s="821"/>
      <c r="AT5" s="821"/>
      <c r="AU5" s="821"/>
      <c r="AV5" s="821"/>
      <c r="AW5" s="821"/>
      <c r="AY5" s="821"/>
      <c r="AZ5" s="821"/>
      <c r="BA5" s="821"/>
      <c r="BB5" s="821"/>
      <c r="BC5" s="821"/>
      <c r="BD5" s="821"/>
      <c r="BE5" s="821"/>
      <c r="BF5" s="821"/>
    </row>
    <row r="6" spans="2:62" ht="13.5">
      <c r="B6" s="7"/>
      <c r="D6" s="6" t="s">
        <v>206</v>
      </c>
      <c r="E6" s="6" t="s">
        <v>207</v>
      </c>
      <c r="F6" s="6" t="s">
        <v>208</v>
      </c>
      <c r="G6" s="6" t="s">
        <v>209</v>
      </c>
      <c r="H6" s="6" t="s">
        <v>210</v>
      </c>
      <c r="I6" s="6" t="s">
        <v>211</v>
      </c>
      <c r="J6" s="6" t="s">
        <v>212</v>
      </c>
      <c r="K6" s="6" t="s">
        <v>213</v>
      </c>
      <c r="L6" s="6" t="s">
        <v>214</v>
      </c>
      <c r="M6" s="6" t="s">
        <v>215</v>
      </c>
      <c r="N6" s="6" t="s">
        <v>216</v>
      </c>
      <c r="O6" s="6" t="s">
        <v>217</v>
      </c>
      <c r="P6" s="6" t="s">
        <v>218</v>
      </c>
      <c r="Q6" s="6" t="s">
        <v>219</v>
      </c>
      <c r="R6" s="6" t="s">
        <v>220</v>
      </c>
      <c r="S6" s="6" t="s">
        <v>221</v>
      </c>
      <c r="T6" s="6" t="s">
        <v>222</v>
      </c>
      <c r="U6" s="6" t="s">
        <v>223</v>
      </c>
      <c r="V6" s="6" t="s">
        <v>224</v>
      </c>
      <c r="W6" s="6" t="s">
        <v>225</v>
      </c>
      <c r="X6" s="6" t="s">
        <v>226</v>
      </c>
      <c r="Y6" s="6" t="s">
        <v>227</v>
      </c>
      <c r="Z6" s="6" t="s">
        <v>228</v>
      </c>
      <c r="AA6" s="6" t="s">
        <v>229</v>
      </c>
      <c r="AB6" s="6" t="s">
        <v>230</v>
      </c>
      <c r="AC6" s="6" t="s">
        <v>231</v>
      </c>
      <c r="AD6" s="6" t="s">
        <v>232</v>
      </c>
      <c r="AE6" s="6" t="s">
        <v>233</v>
      </c>
      <c r="AF6" s="6" t="s">
        <v>234</v>
      </c>
      <c r="AG6" s="6" t="s">
        <v>359</v>
      </c>
      <c r="AH6" s="6" t="s">
        <v>360</v>
      </c>
      <c r="AI6" s="6" t="s">
        <v>361</v>
      </c>
      <c r="AK6" s="6" t="s">
        <v>246</v>
      </c>
      <c r="AL6" s="6" t="s">
        <v>247</v>
      </c>
      <c r="AM6" s="6" t="s">
        <v>248</v>
      </c>
      <c r="AN6" s="6" t="s">
        <v>249</v>
      </c>
      <c r="AO6" s="6" t="s">
        <v>250</v>
      </c>
      <c r="AP6" s="6" t="s">
        <v>251</v>
      </c>
      <c r="AQ6" s="6" t="s">
        <v>252</v>
      </c>
      <c r="AR6" s="6" t="s">
        <v>253</v>
      </c>
      <c r="AS6" s="6" t="s">
        <v>254</v>
      </c>
      <c r="AT6" s="6" t="s">
        <v>255</v>
      </c>
      <c r="AU6" s="6" t="s">
        <v>256</v>
      </c>
      <c r="AV6" s="6" t="s">
        <v>257</v>
      </c>
      <c r="AW6" s="6" t="s">
        <v>258</v>
      </c>
      <c r="AX6" s="6"/>
      <c r="AY6" s="6" t="s">
        <v>257</v>
      </c>
      <c r="AZ6" s="6" t="s">
        <v>258</v>
      </c>
      <c r="BA6" s="6" t="s">
        <v>259</v>
      </c>
      <c r="BB6" s="6" t="s">
        <v>260</v>
      </c>
      <c r="BC6" s="6" t="s">
        <v>261</v>
      </c>
      <c r="BD6" s="6" t="s">
        <v>262</v>
      </c>
      <c r="BE6" s="6" t="s">
        <v>109</v>
      </c>
      <c r="BF6" s="6" t="s">
        <v>88</v>
      </c>
    </row>
    <row r="7" spans="2:62" hidden="1" outlineLevel="1">
      <c r="B7" s="3"/>
      <c r="D7" s="822">
        <v>42277</v>
      </c>
      <c r="E7" s="822">
        <v>42369</v>
      </c>
      <c r="F7" s="822">
        <v>42460</v>
      </c>
      <c r="G7" s="822">
        <v>42551</v>
      </c>
      <c r="H7" s="822">
        <v>42643</v>
      </c>
      <c r="I7" s="822">
        <v>42735</v>
      </c>
      <c r="J7" s="822">
        <v>42825</v>
      </c>
      <c r="K7" s="822">
        <v>42916</v>
      </c>
      <c r="L7" s="822">
        <v>43008</v>
      </c>
      <c r="M7" s="822">
        <v>43100</v>
      </c>
      <c r="N7" s="822">
        <v>43190</v>
      </c>
      <c r="O7" s="822">
        <v>43281</v>
      </c>
      <c r="P7" s="822">
        <v>43373</v>
      </c>
      <c r="Q7" s="822">
        <v>43465</v>
      </c>
      <c r="R7" s="822">
        <v>43555</v>
      </c>
      <c r="S7" s="822">
        <v>43646</v>
      </c>
      <c r="T7" s="822">
        <v>43738</v>
      </c>
      <c r="U7" s="822">
        <v>43830</v>
      </c>
      <c r="V7" s="822">
        <v>43921</v>
      </c>
      <c r="W7" s="822">
        <v>43921</v>
      </c>
      <c r="X7" s="822"/>
      <c r="Y7" s="822"/>
      <c r="Z7" s="822"/>
      <c r="AA7" s="822"/>
      <c r="AB7" s="822"/>
      <c r="AC7" s="822"/>
      <c r="AD7" s="822"/>
      <c r="AE7" s="822"/>
      <c r="AF7" s="822"/>
      <c r="AG7" s="822"/>
      <c r="AH7" s="822"/>
      <c r="AI7" s="822"/>
      <c r="AK7" s="822">
        <v>38533</v>
      </c>
      <c r="AL7" s="822">
        <v>38898</v>
      </c>
      <c r="AM7" s="822">
        <v>39263</v>
      </c>
      <c r="AN7" s="822">
        <v>39629</v>
      </c>
      <c r="AO7" s="822">
        <v>39994</v>
      </c>
      <c r="AP7" s="822">
        <v>40359</v>
      </c>
      <c r="AQ7" s="822">
        <v>40724</v>
      </c>
      <c r="AR7" s="822">
        <v>41090</v>
      </c>
      <c r="AS7" s="822">
        <v>41455</v>
      </c>
      <c r="AT7" s="822">
        <v>41820</v>
      </c>
      <c r="AU7" s="822">
        <v>42185</v>
      </c>
      <c r="AV7" s="822">
        <v>42551</v>
      </c>
      <c r="AW7" s="822">
        <v>42916</v>
      </c>
      <c r="AX7" s="822"/>
      <c r="AY7" s="822">
        <v>42551</v>
      </c>
      <c r="AZ7" s="822">
        <v>42916</v>
      </c>
      <c r="BA7" s="822">
        <v>43281</v>
      </c>
      <c r="BB7" s="822">
        <v>43646</v>
      </c>
      <c r="BC7" s="822"/>
      <c r="BD7" s="822"/>
      <c r="BE7" s="822"/>
      <c r="BF7" s="822"/>
    </row>
    <row r="8" spans="2:62" ht="13.5" hidden="1" outlineLevel="1">
      <c r="B8" s="3"/>
      <c r="D8" s="823" t="s">
        <v>264</v>
      </c>
      <c r="E8" s="821"/>
      <c r="F8" s="31"/>
      <c r="G8" s="31"/>
      <c r="H8" s="823" t="s">
        <v>264</v>
      </c>
      <c r="I8" s="31"/>
      <c r="J8" s="31"/>
      <c r="K8" s="31"/>
      <c r="AK8" s="822"/>
      <c r="AL8" s="822"/>
      <c r="AM8" s="822"/>
      <c r="AN8" s="822"/>
      <c r="AO8" s="822"/>
      <c r="AP8" s="822"/>
      <c r="AQ8" s="822"/>
      <c r="AR8" s="822"/>
      <c r="AS8" s="822"/>
      <c r="AT8" s="822"/>
      <c r="AU8" s="822"/>
      <c r="AV8" s="822"/>
      <c r="AW8" s="822"/>
      <c r="AX8" s="822"/>
    </row>
    <row r="9" spans="2:62" ht="13.5" collapsed="1">
      <c r="AF9" s="9"/>
      <c r="AY9" s="1009" t="s">
        <v>1277</v>
      </c>
      <c r="AZ9" s="821"/>
    </row>
    <row r="10" spans="2:62" ht="10.5">
      <c r="B10" s="5" t="s">
        <v>266</v>
      </c>
      <c r="C10" s="4"/>
      <c r="X10" s="824"/>
      <c r="AB10" s="824"/>
      <c r="AE10" s="8"/>
      <c r="AF10" s="9"/>
      <c r="AY10" s="8"/>
    </row>
    <row r="11" spans="2:62">
      <c r="E11" s="825"/>
      <c r="F11" s="825"/>
      <c r="G11" s="825"/>
      <c r="H11" s="825"/>
      <c r="I11" s="825"/>
      <c r="J11" s="825"/>
      <c r="K11" s="825"/>
      <c r="L11" s="825"/>
      <c r="M11" s="825"/>
      <c r="N11" s="825"/>
      <c r="O11" s="825"/>
      <c r="P11" s="825"/>
      <c r="Q11" s="825"/>
      <c r="R11" s="825"/>
      <c r="S11" s="825"/>
      <c r="T11" s="825"/>
      <c r="U11" s="825"/>
      <c r="X11" s="826"/>
      <c r="Y11" s="827"/>
      <c r="Z11" s="8"/>
      <c r="AA11" s="828"/>
      <c r="AB11" s="827"/>
      <c r="AC11" s="828"/>
      <c r="AD11" s="828"/>
      <c r="AF11" s="828" t="s">
        <v>267</v>
      </c>
      <c r="AG11" s="992">
        <f>+BN127*1000</f>
        <v>52850</v>
      </c>
      <c r="AH11" s="828"/>
      <c r="AI11" s="828"/>
      <c r="AY11" s="8"/>
    </row>
    <row r="12" spans="2:62">
      <c r="B12" t="s">
        <v>86</v>
      </c>
      <c r="D12" s="8">
        <f t="shared" ref="D12:V12" si="0">+D505</f>
        <v>20910</v>
      </c>
      <c r="E12" s="8">
        <f t="shared" si="0"/>
        <v>25253</v>
      </c>
      <c r="F12" s="8">
        <f t="shared" si="0"/>
        <v>21517</v>
      </c>
      <c r="G12" s="8">
        <f t="shared" si="0"/>
        <v>23474</v>
      </c>
      <c r="H12" s="8">
        <f t="shared" si="0"/>
        <v>21928</v>
      </c>
      <c r="I12" s="8">
        <f t="shared" si="0"/>
        <v>25826</v>
      </c>
      <c r="J12" s="8">
        <f t="shared" si="0"/>
        <v>23212</v>
      </c>
      <c r="K12" s="8">
        <f t="shared" si="0"/>
        <v>25605</v>
      </c>
      <c r="L12" s="8">
        <f t="shared" si="0"/>
        <v>24538</v>
      </c>
      <c r="M12" s="8">
        <f t="shared" si="0"/>
        <v>28918</v>
      </c>
      <c r="N12" s="8">
        <f t="shared" si="0"/>
        <v>26819</v>
      </c>
      <c r="O12" s="8">
        <f t="shared" si="0"/>
        <v>30085</v>
      </c>
      <c r="P12" s="8">
        <f t="shared" si="0"/>
        <v>29084</v>
      </c>
      <c r="Q12" s="8">
        <f t="shared" si="0"/>
        <v>32471</v>
      </c>
      <c r="R12" s="8">
        <f t="shared" si="0"/>
        <v>30571</v>
      </c>
      <c r="S12" s="8">
        <f t="shared" si="0"/>
        <v>33717</v>
      </c>
      <c r="T12" s="8">
        <f t="shared" si="0"/>
        <v>33055</v>
      </c>
      <c r="U12" s="8">
        <f t="shared" si="0"/>
        <v>36906</v>
      </c>
      <c r="V12" s="8">
        <f t="shared" si="0"/>
        <v>35021</v>
      </c>
      <c r="W12" s="8">
        <f>+W118</f>
        <v>38033</v>
      </c>
      <c r="X12" s="8">
        <f t="shared" ref="X12:AI12" si="1">+X118</f>
        <v>37154</v>
      </c>
      <c r="Y12" s="8">
        <f t="shared" si="1"/>
        <v>43076</v>
      </c>
      <c r="Z12" s="8">
        <f t="shared" si="1"/>
        <v>41706</v>
      </c>
      <c r="AA12" s="8">
        <f t="shared" si="1"/>
        <v>46152</v>
      </c>
      <c r="AB12" s="8">
        <f t="shared" si="1"/>
        <v>45317</v>
      </c>
      <c r="AC12" s="8">
        <f t="shared" si="1"/>
        <v>51728</v>
      </c>
      <c r="AD12" s="8">
        <f t="shared" si="1"/>
        <v>49360</v>
      </c>
      <c r="AE12" s="8">
        <f t="shared" si="1"/>
        <v>51865</v>
      </c>
      <c r="AF12" s="8">
        <f t="shared" si="1"/>
        <v>50122</v>
      </c>
      <c r="AG12" s="8">
        <f t="shared" si="1"/>
        <v>53588.734970439065</v>
      </c>
      <c r="AH12" s="8">
        <f t="shared" si="1"/>
        <v>51569.768876460585</v>
      </c>
      <c r="AI12" s="8">
        <f t="shared" si="1"/>
        <v>55382.846663871453</v>
      </c>
      <c r="AJ12" s="8"/>
      <c r="AK12" s="8">
        <f t="shared" ref="AK12:AW12" si="2">+AK505</f>
        <v>39788</v>
      </c>
      <c r="AL12" s="8">
        <f t="shared" si="2"/>
        <v>44282</v>
      </c>
      <c r="AM12" s="8">
        <f t="shared" si="2"/>
        <v>51122</v>
      </c>
      <c r="AN12" s="8">
        <f t="shared" si="2"/>
        <v>60420</v>
      </c>
      <c r="AO12" s="8">
        <f t="shared" si="2"/>
        <v>58437</v>
      </c>
      <c r="AP12" s="8">
        <f t="shared" si="2"/>
        <v>62484</v>
      </c>
      <c r="AQ12" s="8">
        <f t="shared" si="2"/>
        <v>69943</v>
      </c>
      <c r="AR12" s="8">
        <f t="shared" si="2"/>
        <v>73723</v>
      </c>
      <c r="AS12" s="8">
        <f t="shared" si="2"/>
        <v>77849</v>
      </c>
      <c r="AT12" s="8">
        <f t="shared" si="2"/>
        <v>86833</v>
      </c>
      <c r="AU12" s="8">
        <f t="shared" si="2"/>
        <v>93580</v>
      </c>
      <c r="AV12" s="8">
        <f t="shared" si="2"/>
        <v>85320</v>
      </c>
      <c r="AW12" s="8">
        <f t="shared" si="2"/>
        <v>89950</v>
      </c>
      <c r="AY12" s="8">
        <f>+AY505</f>
        <v>91154</v>
      </c>
      <c r="AZ12" s="8">
        <f>+AZ505</f>
        <v>96571</v>
      </c>
      <c r="BA12" s="8">
        <f>+BA505</f>
        <v>110360</v>
      </c>
      <c r="BB12" s="8">
        <f>+BB505</f>
        <v>125843</v>
      </c>
      <c r="BC12" s="8">
        <f>SUM(T12:W12)</f>
        <v>143015</v>
      </c>
      <c r="BD12" s="8">
        <f>SUM(X12:AA12)</f>
        <v>168088</v>
      </c>
      <c r="BE12" s="8">
        <f>SUM(AB12:AE12)</f>
        <v>198270</v>
      </c>
      <c r="BF12" s="8">
        <f>SUM(AF12:AI12)</f>
        <v>210663.35051077112</v>
      </c>
      <c r="BI12" s="8"/>
      <c r="BJ12" s="8"/>
    </row>
    <row r="13" spans="2:62" s="3" customFormat="1">
      <c r="B13" s="13" t="s">
        <v>113</v>
      </c>
      <c r="D13" s="228"/>
      <c r="E13" s="228"/>
      <c r="F13" s="228"/>
      <c r="G13" s="228"/>
      <c r="H13" s="228">
        <f>IFERROR(H12/D12-1,"n/a ")</f>
        <v>4.8684839789574275E-2</v>
      </c>
      <c r="I13" s="228">
        <f t="shared" ref="I13:AI13" si="3">IFERROR(I12/E12-1,"n/a ")</f>
        <v>2.2690373420979792E-2</v>
      </c>
      <c r="J13" s="228">
        <f t="shared" si="3"/>
        <v>7.8774922154575489E-2</v>
      </c>
      <c r="K13" s="228">
        <f t="shared" si="3"/>
        <v>9.0781289937803544E-2</v>
      </c>
      <c r="L13" s="228">
        <f t="shared" si="3"/>
        <v>0.11902590295512594</v>
      </c>
      <c r="M13" s="228">
        <f t="shared" si="3"/>
        <v>0.11972430883605667</v>
      </c>
      <c r="N13" s="228">
        <f t="shared" si="3"/>
        <v>0.15539376184732046</v>
      </c>
      <c r="O13" s="228">
        <f t="shared" si="3"/>
        <v>0.17496582698691654</v>
      </c>
      <c r="P13" s="228">
        <f t="shared" si="3"/>
        <v>0.18526367267095933</v>
      </c>
      <c r="Q13" s="228">
        <f t="shared" si="3"/>
        <v>0.12286465177398154</v>
      </c>
      <c r="R13" s="228">
        <f t="shared" si="3"/>
        <v>0.13990081658525666</v>
      </c>
      <c r="S13" s="228">
        <f t="shared" si="3"/>
        <v>0.12072461359481479</v>
      </c>
      <c r="T13" s="228">
        <f t="shared" si="3"/>
        <v>0.13653555219364599</v>
      </c>
      <c r="U13" s="228">
        <f t="shared" si="3"/>
        <v>0.13658341289150311</v>
      </c>
      <c r="V13" s="228">
        <f t="shared" si="3"/>
        <v>0.14556278826338698</v>
      </c>
      <c r="W13" s="228">
        <f t="shared" si="3"/>
        <v>0.12800664353293589</v>
      </c>
      <c r="X13" s="228">
        <f t="shared" si="3"/>
        <v>0.12400544546967174</v>
      </c>
      <c r="Y13" s="228">
        <f t="shared" si="3"/>
        <v>0.16718148810491518</v>
      </c>
      <c r="Z13" s="228">
        <f t="shared" si="3"/>
        <v>0.19088546871876866</v>
      </c>
      <c r="AA13" s="228">
        <f t="shared" si="3"/>
        <v>0.21347251071437956</v>
      </c>
      <c r="AB13" s="228">
        <f t="shared" si="3"/>
        <v>0.21970716477364483</v>
      </c>
      <c r="AC13" s="228">
        <f t="shared" si="3"/>
        <v>0.2008543040208004</v>
      </c>
      <c r="AD13" s="228">
        <f t="shared" si="3"/>
        <v>0.18352275451973332</v>
      </c>
      <c r="AE13" s="228">
        <f t="shared" si="3"/>
        <v>0.12378661813139202</v>
      </c>
      <c r="AF13" s="228">
        <f t="shared" si="3"/>
        <v>0.1060308493501334</v>
      </c>
      <c r="AG13" s="228">
        <f t="shared" si="3"/>
        <v>3.5971523554729767E-2</v>
      </c>
      <c r="AH13" s="228">
        <f t="shared" si="3"/>
        <v>4.476841321840741E-2</v>
      </c>
      <c r="AI13" s="228">
        <f t="shared" si="3"/>
        <v>6.7826986674471179E-2</v>
      </c>
      <c r="AJ13" s="228"/>
      <c r="AK13" s="228"/>
      <c r="AL13" s="228">
        <f>IFERROR(AL12/AK12-1,"n/a ")</f>
        <v>0.11294862772695291</v>
      </c>
      <c r="AM13" s="228">
        <f t="shared" ref="AM13:AW13" si="4">IFERROR(AM12/AL12-1,"n/a ")</f>
        <v>0.15446456799602548</v>
      </c>
      <c r="AN13" s="228">
        <f t="shared" si="4"/>
        <v>0.18187864324556946</v>
      </c>
      <c r="AO13" s="228">
        <f t="shared" si="4"/>
        <v>-3.2820258192651441E-2</v>
      </c>
      <c r="AP13" s="228">
        <f t="shared" si="4"/>
        <v>6.9254068484008391E-2</v>
      </c>
      <c r="AQ13" s="228">
        <f t="shared" si="4"/>
        <v>0.11937455988733126</v>
      </c>
      <c r="AR13" s="228">
        <f t="shared" si="4"/>
        <v>5.4044007263057026E-2</v>
      </c>
      <c r="AS13" s="228">
        <f t="shared" si="4"/>
        <v>5.5966252051598442E-2</v>
      </c>
      <c r="AT13" s="228">
        <f t="shared" si="4"/>
        <v>0.11540289534868786</v>
      </c>
      <c r="AU13" s="228">
        <f t="shared" si="4"/>
        <v>7.7700874091647165E-2</v>
      </c>
      <c r="AV13" s="228">
        <f t="shared" si="4"/>
        <v>-8.8266723658901425E-2</v>
      </c>
      <c r="AW13" s="228">
        <f t="shared" si="4"/>
        <v>5.4266291608063844E-2</v>
      </c>
      <c r="AX13" s="228"/>
      <c r="AY13" s="1010">
        <f>+AV13</f>
        <v>-8.8266723658901425E-2</v>
      </c>
      <c r="AZ13" s="1010">
        <f t="shared" ref="AZ13:AZ14" si="5">+AW13</f>
        <v>5.4266291608063844E-2</v>
      </c>
      <c r="BA13" s="228">
        <f t="shared" ref="BA13:BF13" si="6">IFERROR(BA12/AZ12-1,"n/a ")</f>
        <v>0.14278613662486661</v>
      </c>
      <c r="BB13" s="228">
        <f t="shared" si="6"/>
        <v>0.14029539688292858</v>
      </c>
      <c r="BC13" s="228">
        <f t="shared" si="6"/>
        <v>0.13645574247276371</v>
      </c>
      <c r="BD13" s="228">
        <f t="shared" si="6"/>
        <v>0.17531727441177503</v>
      </c>
      <c r="BE13" s="228">
        <f t="shared" si="6"/>
        <v>0.17956070629670173</v>
      </c>
      <c r="BF13" s="228">
        <f t="shared" si="6"/>
        <v>6.2507441926519913E-2</v>
      </c>
    </row>
    <row r="14" spans="2:62" s="3" customFormat="1">
      <c r="B14" s="13" t="s">
        <v>272</v>
      </c>
      <c r="D14" s="228"/>
      <c r="E14" s="228"/>
      <c r="F14" s="228"/>
      <c r="G14" s="228"/>
      <c r="H14" s="228" t="s">
        <v>273</v>
      </c>
      <c r="I14" s="228" t="s">
        <v>273</v>
      </c>
      <c r="J14" s="228" t="s">
        <v>273</v>
      </c>
      <c r="K14" s="228" t="s">
        <v>273</v>
      </c>
      <c r="L14" s="228">
        <f>+L133</f>
        <v>0.11404323239693544</v>
      </c>
      <c r="M14" s="228">
        <f>+M133</f>
        <v>0.11517230697746457</v>
      </c>
      <c r="N14" s="228">
        <f>+N133</f>
        <v>0.13155824573496466</v>
      </c>
      <c r="O14" s="228">
        <f t="shared" ref="O14:AF14" si="7">+O133</f>
        <v>0.15218902558094122</v>
      </c>
      <c r="P14" s="228">
        <f t="shared" si="7"/>
        <v>0.18546010269785637</v>
      </c>
      <c r="Q14" s="228">
        <f t="shared" si="7"/>
        <v>0.12631371464139982</v>
      </c>
      <c r="R14" s="228">
        <f t="shared" si="7"/>
        <v>0.16</v>
      </c>
      <c r="S14" s="228">
        <f t="shared" si="7"/>
        <v>0.14324347681568889</v>
      </c>
      <c r="T14" s="228">
        <f t="shared" si="7"/>
        <v>0.15429033145372026</v>
      </c>
      <c r="U14" s="228">
        <f t="shared" si="7"/>
        <v>0.15197037356410337</v>
      </c>
      <c r="V14" s="228">
        <f t="shared" si="7"/>
        <v>0.15910928657878379</v>
      </c>
      <c r="W14" s="228">
        <f t="shared" si="7"/>
        <v>0.14502413322656227</v>
      </c>
      <c r="X14" s="228">
        <f t="shared" si="7"/>
        <v>0.12050704885796401</v>
      </c>
      <c r="Y14" s="228">
        <f t="shared" si="7"/>
        <v>0.15363536010404813</v>
      </c>
      <c r="Z14" s="228">
        <f t="shared" si="7"/>
        <v>0.16171448844978725</v>
      </c>
      <c r="AA14" s="228">
        <f t="shared" si="7"/>
        <v>0.17445905660873451</v>
      </c>
      <c r="AB14" s="228">
        <f t="shared" si="7"/>
        <v>0.20385421219787908</v>
      </c>
      <c r="AC14" s="228">
        <f t="shared" si="7"/>
        <v>0.20078497539232981</v>
      </c>
      <c r="AD14" s="228">
        <f t="shared" si="7"/>
        <v>0.20149706517047911</v>
      </c>
      <c r="AE14" s="228">
        <f t="shared" si="7"/>
        <v>0.16459280637892182</v>
      </c>
      <c r="AF14" s="228">
        <f t="shared" si="7"/>
        <v>0.15702183948628548</v>
      </c>
      <c r="AG14" s="228">
        <f>+AG13+5%</f>
        <v>8.597152355472977E-2</v>
      </c>
      <c r="AH14" s="228">
        <f>+AH13+5%</f>
        <v>9.4768413218407413E-2</v>
      </c>
      <c r="AI14" s="228">
        <f>+AI13+5%</f>
        <v>0.11782698667447118</v>
      </c>
      <c r="AJ14" s="228"/>
      <c r="AK14" s="228"/>
      <c r="AL14" s="228"/>
      <c r="AM14" s="228" t="s">
        <v>273</v>
      </c>
      <c r="AN14" s="228" t="s">
        <v>273</v>
      </c>
      <c r="AO14" s="228" t="s">
        <v>273</v>
      </c>
      <c r="AP14" s="228" t="s">
        <v>273</v>
      </c>
      <c r="AQ14" s="228" t="s">
        <v>273</v>
      </c>
      <c r="AR14" s="228" t="s">
        <v>273</v>
      </c>
      <c r="AS14" s="829">
        <f>+AS13+1%</f>
        <v>6.5966252051598437E-2</v>
      </c>
      <c r="AT14" s="829">
        <f>+AT13+1%</f>
        <v>0.12540289534868787</v>
      </c>
      <c r="AU14" s="228">
        <f>+AU133</f>
        <v>9.7700874091647169E-2</v>
      </c>
      <c r="AV14" s="228">
        <f>+AV133</f>
        <v>-4.8266723658901424E-2</v>
      </c>
      <c r="AW14" s="228">
        <f>+AW133</f>
        <v>7.4266291608063847E-2</v>
      </c>
      <c r="AX14" s="228"/>
      <c r="AY14" s="1010">
        <f t="shared" ref="AY14" si="8">+AV14</f>
        <v>-4.8266723658901424E-2</v>
      </c>
      <c r="AZ14" s="1010">
        <f t="shared" si="5"/>
        <v>7.4266291608063847E-2</v>
      </c>
      <c r="BA14" s="228">
        <f>+BA133</f>
        <v>0.12866916569156372</v>
      </c>
      <c r="BB14" s="228">
        <f t="shared" ref="BB14" si="9">+BB133</f>
        <v>0.15088356288510332</v>
      </c>
      <c r="BC14" s="228">
        <f>+(SUM(T14:W14)-SUM(T13:W13))/4+BC13</f>
        <v>0.15238217445818814</v>
      </c>
      <c r="BD14" s="830">
        <f>SUMPRODUCT(X14:AA14,T12:W12)/BC12</f>
        <v>0.1534946089571024</v>
      </c>
      <c r="BE14" s="831">
        <f>SUMPRODUCT(AB14:AE14,X12:AA12)/BD12</f>
        <v>0.19170277949645423</v>
      </c>
      <c r="BF14" s="831">
        <f>SUMPRODUCT(AF14:AI14,AB12:AE12)/BE12</f>
        <v>0.11273394467529681</v>
      </c>
    </row>
    <row r="15" spans="2:62">
      <c r="AA15" s="828"/>
      <c r="AB15" s="827"/>
      <c r="AC15" s="827"/>
      <c r="AF15" s="828" t="s">
        <v>267</v>
      </c>
      <c r="AG15" s="992">
        <f>+BN130*1000</f>
        <v>35350</v>
      </c>
    </row>
    <row r="16" spans="2:62" s="3" customFormat="1" hidden="1" outlineLevel="1">
      <c r="B16" s="24" t="s">
        <v>127</v>
      </c>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L16" s="14"/>
      <c r="AM16" s="14"/>
      <c r="AN16" s="14"/>
      <c r="AO16" s="14"/>
      <c r="AP16" s="14"/>
      <c r="AQ16" s="14"/>
      <c r="AR16" s="14"/>
      <c r="AS16" s="14"/>
      <c r="AT16" s="14"/>
      <c r="AU16" s="14"/>
      <c r="AV16" s="14"/>
      <c r="AW16" s="14"/>
      <c r="AZ16" s="14"/>
      <c r="BA16" s="14"/>
      <c r="BB16" s="14"/>
      <c r="BC16" s="14"/>
      <c r="BD16" s="14"/>
      <c r="BE16" s="14"/>
      <c r="BF16" s="14"/>
      <c r="BG16" s="14"/>
    </row>
    <row r="17" spans="2:58" ht="11.45" hidden="1" outlineLevel="1">
      <c r="B17" s="17" t="s">
        <v>276</v>
      </c>
      <c r="D17" s="10">
        <f t="shared" ref="D17:V17" si="10">+SUM(D546:D547)</f>
        <v>0</v>
      </c>
      <c r="E17" s="10">
        <f t="shared" si="10"/>
        <v>0</v>
      </c>
      <c r="F17" s="10">
        <f t="shared" si="10"/>
        <v>0</v>
      </c>
      <c r="G17" s="10">
        <f t="shared" si="10"/>
        <v>0</v>
      </c>
      <c r="H17" s="10">
        <f t="shared" si="10"/>
        <v>0</v>
      </c>
      <c r="I17" s="10">
        <f t="shared" si="10"/>
        <v>0</v>
      </c>
      <c r="J17" s="10">
        <f t="shared" si="10"/>
        <v>0</v>
      </c>
      <c r="K17" s="10">
        <f t="shared" si="10"/>
        <v>0</v>
      </c>
      <c r="L17" s="10">
        <f t="shared" si="10"/>
        <v>0</v>
      </c>
      <c r="M17" s="10">
        <f t="shared" si="10"/>
        <v>0</v>
      </c>
      <c r="N17" s="10">
        <f t="shared" si="10"/>
        <v>0</v>
      </c>
      <c r="O17" s="10">
        <f t="shared" si="10"/>
        <v>0</v>
      </c>
      <c r="P17" s="10">
        <f t="shared" si="10"/>
        <v>0</v>
      </c>
      <c r="Q17" s="10">
        <f t="shared" si="10"/>
        <v>0</v>
      </c>
      <c r="R17" s="10">
        <f t="shared" si="10"/>
        <v>0</v>
      </c>
      <c r="S17" s="10">
        <f t="shared" si="10"/>
        <v>0</v>
      </c>
      <c r="T17" s="10">
        <f t="shared" si="10"/>
        <v>0</v>
      </c>
      <c r="U17" s="10">
        <f t="shared" si="10"/>
        <v>0</v>
      </c>
      <c r="V17" s="10">
        <f t="shared" si="10"/>
        <v>0</v>
      </c>
      <c r="W17" s="10">
        <v>0</v>
      </c>
      <c r="X17" s="10">
        <v>0</v>
      </c>
      <c r="Y17" s="10">
        <v>0</v>
      </c>
      <c r="Z17" s="10">
        <v>0</v>
      </c>
      <c r="AA17" s="10">
        <v>0</v>
      </c>
      <c r="AB17" s="10">
        <v>0</v>
      </c>
      <c r="AC17" s="10">
        <v>0</v>
      </c>
      <c r="AD17" s="10">
        <v>0</v>
      </c>
      <c r="AE17" s="10">
        <v>0</v>
      </c>
      <c r="AF17" s="10">
        <v>0</v>
      </c>
      <c r="AG17" s="10">
        <v>0</v>
      </c>
      <c r="AH17" s="10">
        <v>0</v>
      </c>
      <c r="AI17" s="10">
        <v>0</v>
      </c>
      <c r="AJ17" s="10"/>
      <c r="AK17" s="10">
        <f t="shared" ref="AK17:AW17" si="11">+SUM(AK546:AK547)</f>
        <v>0</v>
      </c>
      <c r="AL17" s="10">
        <f t="shared" si="11"/>
        <v>0</v>
      </c>
      <c r="AM17" s="10">
        <f t="shared" si="11"/>
        <v>0</v>
      </c>
      <c r="AN17" s="10">
        <f t="shared" si="11"/>
        <v>0</v>
      </c>
      <c r="AO17" s="10">
        <f t="shared" si="11"/>
        <v>0</v>
      </c>
      <c r="AP17" s="10">
        <f t="shared" si="11"/>
        <v>0</v>
      </c>
      <c r="AQ17" s="10">
        <f t="shared" si="11"/>
        <v>0</v>
      </c>
      <c r="AR17" s="10">
        <f t="shared" si="11"/>
        <v>540</v>
      </c>
      <c r="AS17" s="10">
        <f t="shared" si="11"/>
        <v>-540</v>
      </c>
      <c r="AT17" s="10">
        <f t="shared" si="11"/>
        <v>0</v>
      </c>
      <c r="AU17" s="10">
        <f t="shared" si="11"/>
        <v>0</v>
      </c>
      <c r="AV17" s="10">
        <f t="shared" si="11"/>
        <v>6643</v>
      </c>
      <c r="AW17" s="10">
        <f t="shared" si="11"/>
        <v>6707</v>
      </c>
      <c r="AY17" s="10">
        <f>+SUM(AY546:AY547)</f>
        <v>0</v>
      </c>
      <c r="AZ17" s="10">
        <f>+SUM(AZ546:AZ547)</f>
        <v>0</v>
      </c>
      <c r="BA17" s="10">
        <f>+SUM(BA546:BA547)</f>
        <v>0</v>
      </c>
      <c r="BB17" s="10">
        <f>+SUM(BB546:BB547)</f>
        <v>0</v>
      </c>
      <c r="BC17" s="10">
        <f>SUM(T17:W17)</f>
        <v>0</v>
      </c>
      <c r="BD17" s="10">
        <f>SUM(X17:AA17)</f>
        <v>0</v>
      </c>
      <c r="BE17" s="10">
        <f t="shared" ref="BE17:BE18" si="12">SUM(AB17:AE17)</f>
        <v>0</v>
      </c>
      <c r="BF17" s="10">
        <f t="shared" ref="BF17:BF18" si="13">SUM(AF17:AI17)</f>
        <v>0</v>
      </c>
    </row>
    <row r="18" spans="2:58" hidden="1" outlineLevel="1">
      <c r="B18" s="18" t="s">
        <v>277</v>
      </c>
      <c r="D18" s="8">
        <f>+D12+D17</f>
        <v>20910</v>
      </c>
      <c r="E18" s="8">
        <f t="shared" ref="E18:BB18" si="14">+E12+E17</f>
        <v>25253</v>
      </c>
      <c r="F18" s="8">
        <f t="shared" si="14"/>
        <v>21517</v>
      </c>
      <c r="G18" s="8">
        <f t="shared" si="14"/>
        <v>23474</v>
      </c>
      <c r="H18" s="8">
        <f t="shared" si="14"/>
        <v>21928</v>
      </c>
      <c r="I18" s="8">
        <f t="shared" si="14"/>
        <v>25826</v>
      </c>
      <c r="J18" s="8">
        <f t="shared" si="14"/>
        <v>23212</v>
      </c>
      <c r="K18" s="8">
        <f t="shared" si="14"/>
        <v>25605</v>
      </c>
      <c r="L18" s="8">
        <f t="shared" si="14"/>
        <v>24538</v>
      </c>
      <c r="M18" s="8">
        <f t="shared" si="14"/>
        <v>28918</v>
      </c>
      <c r="N18" s="8">
        <f t="shared" si="14"/>
        <v>26819</v>
      </c>
      <c r="O18" s="8">
        <f t="shared" si="14"/>
        <v>30085</v>
      </c>
      <c r="P18" s="8">
        <f t="shared" si="14"/>
        <v>29084</v>
      </c>
      <c r="Q18" s="8">
        <f t="shared" si="14"/>
        <v>32471</v>
      </c>
      <c r="R18" s="8">
        <f t="shared" si="14"/>
        <v>30571</v>
      </c>
      <c r="S18" s="8">
        <f t="shared" si="14"/>
        <v>33717</v>
      </c>
      <c r="T18" s="8">
        <f t="shared" si="14"/>
        <v>33055</v>
      </c>
      <c r="U18" s="8">
        <f t="shared" si="14"/>
        <v>36906</v>
      </c>
      <c r="V18" s="8">
        <f t="shared" si="14"/>
        <v>35021</v>
      </c>
      <c r="W18" s="8">
        <f>+W12</f>
        <v>38033</v>
      </c>
      <c r="X18" s="8">
        <f t="shared" ref="X18:AI18" si="15">+X12</f>
        <v>37154</v>
      </c>
      <c r="Y18" s="8">
        <f t="shared" si="15"/>
        <v>43076</v>
      </c>
      <c r="Z18" s="8">
        <f t="shared" si="15"/>
        <v>41706</v>
      </c>
      <c r="AA18" s="8">
        <f t="shared" si="15"/>
        <v>46152</v>
      </c>
      <c r="AB18" s="8">
        <f t="shared" si="15"/>
        <v>45317</v>
      </c>
      <c r="AC18" s="8">
        <f t="shared" si="15"/>
        <v>51728</v>
      </c>
      <c r="AD18" s="8">
        <f t="shared" si="15"/>
        <v>49360</v>
      </c>
      <c r="AE18" s="8">
        <f t="shared" si="15"/>
        <v>51865</v>
      </c>
      <c r="AF18" s="8">
        <f t="shared" si="15"/>
        <v>50122</v>
      </c>
      <c r="AG18" s="8">
        <f t="shared" si="15"/>
        <v>53588.734970439065</v>
      </c>
      <c r="AH18" s="8">
        <f t="shared" si="15"/>
        <v>51569.768876460585</v>
      </c>
      <c r="AI18" s="8">
        <f t="shared" si="15"/>
        <v>55382.846663871453</v>
      </c>
      <c r="AJ18" s="8"/>
      <c r="AK18" s="8">
        <f t="shared" si="14"/>
        <v>39788</v>
      </c>
      <c r="AL18" s="8">
        <f t="shared" si="14"/>
        <v>44282</v>
      </c>
      <c r="AM18" s="8">
        <f t="shared" si="14"/>
        <v>51122</v>
      </c>
      <c r="AN18" s="8">
        <f t="shared" si="14"/>
        <v>60420</v>
      </c>
      <c r="AO18" s="8">
        <f t="shared" si="14"/>
        <v>58437</v>
      </c>
      <c r="AP18" s="8">
        <f t="shared" si="14"/>
        <v>62484</v>
      </c>
      <c r="AQ18" s="8">
        <f t="shared" si="14"/>
        <v>69943</v>
      </c>
      <c r="AR18" s="8">
        <f t="shared" si="14"/>
        <v>74263</v>
      </c>
      <c r="AS18" s="8">
        <f t="shared" si="14"/>
        <v>77309</v>
      </c>
      <c r="AT18" s="8">
        <f t="shared" si="14"/>
        <v>86833</v>
      </c>
      <c r="AU18" s="8">
        <f t="shared" si="14"/>
        <v>93580</v>
      </c>
      <c r="AV18" s="8">
        <f t="shared" si="14"/>
        <v>91963</v>
      </c>
      <c r="AW18" s="8">
        <f t="shared" si="14"/>
        <v>96657</v>
      </c>
      <c r="AY18" s="8">
        <f t="shared" si="14"/>
        <v>91154</v>
      </c>
      <c r="AZ18" s="8">
        <f t="shared" si="14"/>
        <v>96571</v>
      </c>
      <c r="BA18" s="8">
        <f t="shared" si="14"/>
        <v>110360</v>
      </c>
      <c r="BB18" s="8">
        <f t="shared" si="14"/>
        <v>125843</v>
      </c>
      <c r="BC18" s="8">
        <f>+BC12</f>
        <v>143015</v>
      </c>
      <c r="BD18" s="8">
        <f>SUM(X18:AA18)</f>
        <v>168088</v>
      </c>
      <c r="BE18" s="8">
        <f t="shared" si="12"/>
        <v>198270</v>
      </c>
      <c r="BF18" s="8">
        <f t="shared" si="13"/>
        <v>210663.35051077112</v>
      </c>
    </row>
    <row r="19" spans="2:58" hidden="1" outlineLevel="1">
      <c r="B19" s="20" t="s">
        <v>113</v>
      </c>
      <c r="H19" s="14">
        <f>IFERROR(H18/D18-1,"n/a ")</f>
        <v>4.8684839789574275E-2</v>
      </c>
      <c r="I19" s="14">
        <f t="shared" ref="I19:AI19" si="16">IFERROR(I18/E18-1,"n/a ")</f>
        <v>2.2690373420979792E-2</v>
      </c>
      <c r="J19" s="14">
        <f t="shared" si="16"/>
        <v>7.8774922154575489E-2</v>
      </c>
      <c r="K19" s="14">
        <f t="shared" si="16"/>
        <v>9.0781289937803544E-2</v>
      </c>
      <c r="L19" s="14">
        <f t="shared" si="16"/>
        <v>0.11902590295512594</v>
      </c>
      <c r="M19" s="14">
        <f t="shared" si="16"/>
        <v>0.11972430883605667</v>
      </c>
      <c r="N19" s="14">
        <f t="shared" si="16"/>
        <v>0.15539376184732046</v>
      </c>
      <c r="O19" s="14">
        <f t="shared" si="16"/>
        <v>0.17496582698691654</v>
      </c>
      <c r="P19" s="14">
        <f t="shared" si="16"/>
        <v>0.18526367267095933</v>
      </c>
      <c r="Q19" s="14">
        <f t="shared" si="16"/>
        <v>0.12286465177398154</v>
      </c>
      <c r="R19" s="14">
        <f t="shared" si="16"/>
        <v>0.13990081658525666</v>
      </c>
      <c r="S19" s="14">
        <f t="shared" si="16"/>
        <v>0.12072461359481479</v>
      </c>
      <c r="T19" s="14">
        <f t="shared" si="16"/>
        <v>0.13653555219364599</v>
      </c>
      <c r="U19" s="14">
        <f t="shared" si="16"/>
        <v>0.13658341289150311</v>
      </c>
      <c r="V19" s="14">
        <f t="shared" si="16"/>
        <v>0.14556278826338698</v>
      </c>
      <c r="W19" s="14">
        <f t="shared" si="16"/>
        <v>0.12800664353293589</v>
      </c>
      <c r="X19" s="14">
        <f t="shared" si="16"/>
        <v>0.12400544546967174</v>
      </c>
      <c r="Y19" s="14">
        <f t="shared" si="16"/>
        <v>0.16718148810491518</v>
      </c>
      <c r="Z19" s="14">
        <f t="shared" si="16"/>
        <v>0.19088546871876866</v>
      </c>
      <c r="AA19" s="14">
        <f t="shared" si="16"/>
        <v>0.21347251071437956</v>
      </c>
      <c r="AB19" s="14">
        <f t="shared" si="16"/>
        <v>0.21970716477364483</v>
      </c>
      <c r="AC19" s="14">
        <f t="shared" si="16"/>
        <v>0.2008543040208004</v>
      </c>
      <c r="AD19" s="14">
        <f t="shared" si="16"/>
        <v>0.18352275451973332</v>
      </c>
      <c r="AE19" s="14">
        <f t="shared" si="16"/>
        <v>0.12378661813139202</v>
      </c>
      <c r="AF19" s="14">
        <f t="shared" si="16"/>
        <v>0.1060308493501334</v>
      </c>
      <c r="AG19" s="14">
        <f t="shared" si="16"/>
        <v>3.5971523554729767E-2</v>
      </c>
      <c r="AH19" s="14">
        <f t="shared" si="16"/>
        <v>4.476841321840741E-2</v>
      </c>
      <c r="AI19" s="14">
        <f t="shared" si="16"/>
        <v>6.7826986674471179E-2</v>
      </c>
      <c r="AJ19" s="3"/>
      <c r="AK19" s="3"/>
      <c r="AL19" s="14">
        <f>IFERROR(AL18/AK18-1,"n/a ")</f>
        <v>0.11294862772695291</v>
      </c>
      <c r="AM19" s="14">
        <f t="shared" ref="AM19:AW19" si="17">IFERROR(AM18/AL18-1,"n/a ")</f>
        <v>0.15446456799602548</v>
      </c>
      <c r="AN19" s="14">
        <f t="shared" si="17"/>
        <v>0.18187864324556946</v>
      </c>
      <c r="AO19" s="14">
        <f t="shared" si="17"/>
        <v>-3.2820258192651441E-2</v>
      </c>
      <c r="AP19" s="14">
        <f t="shared" si="17"/>
        <v>6.9254068484008391E-2</v>
      </c>
      <c r="AQ19" s="14">
        <f t="shared" si="17"/>
        <v>0.11937455988733126</v>
      </c>
      <c r="AR19" s="14">
        <f t="shared" si="17"/>
        <v>6.1764579729208124E-2</v>
      </c>
      <c r="AS19" s="14">
        <f t="shared" si="17"/>
        <v>4.1016387703163071E-2</v>
      </c>
      <c r="AT19" s="14">
        <f t="shared" si="17"/>
        <v>0.12319393602297279</v>
      </c>
      <c r="AU19" s="14">
        <f t="shared" si="17"/>
        <v>7.7700874091647165E-2</v>
      </c>
      <c r="AV19" s="14">
        <f t="shared" si="17"/>
        <v>-1.727933319085273E-2</v>
      </c>
      <c r="AW19" s="14">
        <f t="shared" si="17"/>
        <v>5.1042266998684305E-2</v>
      </c>
      <c r="AX19" s="3"/>
      <c r="AY19" s="3"/>
      <c r="AZ19" s="14">
        <f t="shared" ref="AZ19:BF19" si="18">IFERROR(AZ18/AY18-1,"n/a ")</f>
        <v>5.9426903920837271E-2</v>
      </c>
      <c r="BA19" s="14">
        <f t="shared" si="18"/>
        <v>0.14278613662486661</v>
      </c>
      <c r="BB19" s="14">
        <f t="shared" si="18"/>
        <v>0.14029539688292858</v>
      </c>
      <c r="BC19" s="14">
        <f t="shared" si="18"/>
        <v>0.13645574247276371</v>
      </c>
      <c r="BD19" s="14">
        <f t="shared" si="18"/>
        <v>0.17531727441177503</v>
      </c>
      <c r="BE19" s="14">
        <f t="shared" si="18"/>
        <v>0.17956070629670173</v>
      </c>
      <c r="BF19" s="14">
        <f t="shared" si="18"/>
        <v>6.2507441926519913E-2</v>
      </c>
    </row>
    <row r="20" spans="2:58" hidden="1" outlineLevel="1">
      <c r="AV20" s="8"/>
      <c r="AW20" s="9"/>
    </row>
    <row r="21" spans="2:58" collapsed="1">
      <c r="B21" t="s">
        <v>278</v>
      </c>
      <c r="D21" s="8">
        <f t="shared" ref="D21:AF21" si="19">+D519</f>
        <v>13703</v>
      </c>
      <c r="E21" s="8">
        <f t="shared" si="19"/>
        <v>15381</v>
      </c>
      <c r="F21" s="8">
        <f t="shared" si="19"/>
        <v>13795</v>
      </c>
      <c r="G21" s="8">
        <f t="shared" si="19"/>
        <v>15495</v>
      </c>
      <c r="H21" s="8">
        <f t="shared" si="19"/>
        <v>14084</v>
      </c>
      <c r="I21" s="8">
        <f t="shared" si="19"/>
        <v>15925</v>
      </c>
      <c r="J21" s="8">
        <f t="shared" si="19"/>
        <v>15152</v>
      </c>
      <c r="K21" s="8">
        <f t="shared" si="19"/>
        <v>17149</v>
      </c>
      <c r="L21" s="8">
        <f t="shared" si="19"/>
        <v>16260</v>
      </c>
      <c r="M21" s="8">
        <f t="shared" si="19"/>
        <v>17854</v>
      </c>
      <c r="N21" s="8">
        <f t="shared" si="19"/>
        <v>17550</v>
      </c>
      <c r="O21" s="8">
        <f t="shared" si="19"/>
        <v>20343</v>
      </c>
      <c r="P21" s="8">
        <f t="shared" si="19"/>
        <v>19179</v>
      </c>
      <c r="Q21" s="8">
        <f t="shared" si="19"/>
        <v>20048</v>
      </c>
      <c r="R21" s="8">
        <f t="shared" si="19"/>
        <v>20401</v>
      </c>
      <c r="S21" s="8">
        <f t="shared" si="19"/>
        <v>23305</v>
      </c>
      <c r="T21" s="8">
        <f t="shared" si="19"/>
        <v>22649</v>
      </c>
      <c r="U21" s="8">
        <f t="shared" si="19"/>
        <v>24548</v>
      </c>
      <c r="V21" s="8">
        <f t="shared" si="19"/>
        <v>24046</v>
      </c>
      <c r="W21" s="8">
        <f t="shared" si="19"/>
        <v>25694</v>
      </c>
      <c r="X21" s="832">
        <f t="shared" si="19"/>
        <v>26152</v>
      </c>
      <c r="Y21" s="8">
        <f t="shared" si="19"/>
        <v>28882</v>
      </c>
      <c r="Z21" s="8">
        <f t="shared" si="19"/>
        <v>28661</v>
      </c>
      <c r="AA21" s="8">
        <f t="shared" si="19"/>
        <v>32161</v>
      </c>
      <c r="AB21" s="8">
        <f t="shared" si="19"/>
        <v>31671</v>
      </c>
      <c r="AC21" s="8">
        <f t="shared" si="19"/>
        <v>34768</v>
      </c>
      <c r="AD21" s="8">
        <f t="shared" si="19"/>
        <v>33745</v>
      </c>
      <c r="AE21" s="8">
        <f t="shared" si="19"/>
        <v>35436</v>
      </c>
      <c r="AF21" s="8">
        <f t="shared" si="19"/>
        <v>34670</v>
      </c>
      <c r="AG21" s="8">
        <f t="shared" ref="AG21:AI21" si="20">+AG24*AG12</f>
        <v>35634.717204536835</v>
      </c>
      <c r="AH21" s="8">
        <f t="shared" si="20"/>
        <v>34886.234419765293</v>
      </c>
      <c r="AI21" s="8">
        <f t="shared" si="20"/>
        <v>37442.722318379674</v>
      </c>
      <c r="AJ21" s="8"/>
      <c r="AK21" s="8">
        <f t="shared" ref="AK21:AW21" si="21">+AK519</f>
        <v>33757</v>
      </c>
      <c r="AL21" s="8">
        <f t="shared" si="21"/>
        <v>36632</v>
      </c>
      <c r="AM21" s="8">
        <f t="shared" si="21"/>
        <v>40429</v>
      </c>
      <c r="AN21" s="8">
        <f t="shared" si="21"/>
        <v>48822</v>
      </c>
      <c r="AO21" s="8">
        <f t="shared" si="21"/>
        <v>46282</v>
      </c>
      <c r="AP21" s="8">
        <f t="shared" si="21"/>
        <v>50089</v>
      </c>
      <c r="AQ21" s="8">
        <f t="shared" si="21"/>
        <v>54366</v>
      </c>
      <c r="AR21" s="8">
        <f t="shared" si="21"/>
        <v>56193</v>
      </c>
      <c r="AS21" s="8">
        <f t="shared" si="21"/>
        <v>57464</v>
      </c>
      <c r="AT21" s="8">
        <f t="shared" si="21"/>
        <v>59755</v>
      </c>
      <c r="AU21" s="8">
        <f t="shared" si="21"/>
        <v>60542</v>
      </c>
      <c r="AV21" s="8">
        <f t="shared" si="21"/>
        <v>52540</v>
      </c>
      <c r="AW21" s="8">
        <f t="shared" si="21"/>
        <v>55689</v>
      </c>
      <c r="AX21" s="8"/>
      <c r="AY21" s="8">
        <f>+AY519</f>
        <v>58374</v>
      </c>
      <c r="AZ21" s="8">
        <f>+AZ519</f>
        <v>62310</v>
      </c>
      <c r="BA21" s="8">
        <f>+BA519</f>
        <v>72007</v>
      </c>
      <c r="BB21" s="8">
        <f>+BB519</f>
        <v>82933</v>
      </c>
      <c r="BC21" s="8">
        <f>SUM(T21:W21)</f>
        <v>96937</v>
      </c>
      <c r="BD21" s="8">
        <f>SUM(X21:AA21)</f>
        <v>115856</v>
      </c>
      <c r="BE21" s="8">
        <f>SUM(AB21:AE21)</f>
        <v>135620</v>
      </c>
      <c r="BF21" s="8">
        <f>SUM(AF21:AI21)</f>
        <v>142633.67394268181</v>
      </c>
    </row>
    <row r="22" spans="2:58" s="3" customFormat="1">
      <c r="B22" s="13" t="s">
        <v>113</v>
      </c>
      <c r="D22" s="228"/>
      <c r="E22" s="228"/>
      <c r="F22" s="228"/>
      <c r="G22" s="228"/>
      <c r="H22" s="228">
        <f>IFERROR(H21/D21-1,"n/a ")</f>
        <v>2.7804130482376177E-2</v>
      </c>
      <c r="I22" s="228">
        <f t="shared" ref="I22:AI22" si="22">IFERROR(I21/E21-1,"n/a ")</f>
        <v>3.536831155321507E-2</v>
      </c>
      <c r="J22" s="228">
        <f t="shared" si="22"/>
        <v>9.8368974266038522E-2</v>
      </c>
      <c r="K22" s="228">
        <f t="shared" si="22"/>
        <v>0.10674411100354964</v>
      </c>
      <c r="L22" s="228">
        <f t="shared" si="22"/>
        <v>0.154501562056234</v>
      </c>
      <c r="M22" s="228">
        <f t="shared" si="22"/>
        <v>0.12113029827315547</v>
      </c>
      <c r="N22" s="228">
        <f t="shared" si="22"/>
        <v>0.15826293558606119</v>
      </c>
      <c r="O22" s="228">
        <f t="shared" si="22"/>
        <v>0.18624992710945243</v>
      </c>
      <c r="P22" s="228">
        <f t="shared" si="22"/>
        <v>0.17952029520295198</v>
      </c>
      <c r="Q22" s="228">
        <f t="shared" si="22"/>
        <v>0.12288562787050528</v>
      </c>
      <c r="R22" s="228">
        <f t="shared" si="22"/>
        <v>0.16245014245014255</v>
      </c>
      <c r="S22" s="228">
        <f t="shared" si="22"/>
        <v>0.14560291009192361</v>
      </c>
      <c r="T22" s="228">
        <f t="shared" si="22"/>
        <v>0.1809270556337661</v>
      </c>
      <c r="U22" s="228">
        <f t="shared" si="22"/>
        <v>0.22446129289704708</v>
      </c>
      <c r="V22" s="228">
        <f t="shared" si="22"/>
        <v>0.17866771236704082</v>
      </c>
      <c r="W22" s="228">
        <f t="shared" si="22"/>
        <v>0.10251019094614899</v>
      </c>
      <c r="X22" s="228">
        <f t="shared" si="22"/>
        <v>0.15466466510662724</v>
      </c>
      <c r="Y22" s="228">
        <f t="shared" si="22"/>
        <v>0.17655206126772049</v>
      </c>
      <c r="Z22" s="228">
        <f t="shared" si="22"/>
        <v>0.19192381269233971</v>
      </c>
      <c r="AA22" s="228">
        <f t="shared" si="22"/>
        <v>0.25169300225733626</v>
      </c>
      <c r="AB22" s="228">
        <f t="shared" si="22"/>
        <v>0.2110354848577547</v>
      </c>
      <c r="AC22" s="228">
        <f t="shared" si="22"/>
        <v>0.20379475105602096</v>
      </c>
      <c r="AD22" s="228">
        <f t="shared" si="22"/>
        <v>0.17738390146889493</v>
      </c>
      <c r="AE22" s="228">
        <f t="shared" si="22"/>
        <v>0.10183141071484103</v>
      </c>
      <c r="AF22" s="228">
        <f t="shared" si="22"/>
        <v>9.4692305263490262E-2</v>
      </c>
      <c r="AG22" s="228">
        <f t="shared" si="22"/>
        <v>2.4928589638081977E-2</v>
      </c>
      <c r="AH22" s="228">
        <f t="shared" si="22"/>
        <v>3.3819363454298257E-2</v>
      </c>
      <c r="AI22" s="228">
        <f t="shared" si="22"/>
        <v>5.6629481837105589E-2</v>
      </c>
      <c r="AJ22" s="228"/>
      <c r="AK22" s="228"/>
      <c r="AL22" s="228">
        <f>IFERROR(AL21/AK21-1,"n/a ")</f>
        <v>8.5167520810498498E-2</v>
      </c>
      <c r="AM22" s="228">
        <f t="shared" ref="AM22:AW22" si="23">IFERROR(AM21/AL21-1,"n/a ")</f>
        <v>0.10365254422362957</v>
      </c>
      <c r="AN22" s="228">
        <f t="shared" si="23"/>
        <v>0.20759850602290442</v>
      </c>
      <c r="AO22" s="228">
        <f t="shared" si="23"/>
        <v>-5.2025726107082892E-2</v>
      </c>
      <c r="AP22" s="228">
        <f t="shared" si="23"/>
        <v>8.2256600838338967E-2</v>
      </c>
      <c r="AQ22" s="228">
        <f t="shared" si="23"/>
        <v>8.5388009343368765E-2</v>
      </c>
      <c r="AR22" s="228">
        <f t="shared" si="23"/>
        <v>3.3605562299966918E-2</v>
      </c>
      <c r="AS22" s="228">
        <f t="shared" si="23"/>
        <v>2.2618475610841182E-2</v>
      </c>
      <c r="AT22" s="228">
        <f t="shared" si="23"/>
        <v>3.9868439370736475E-2</v>
      </c>
      <c r="AU22" s="228">
        <f t="shared" si="23"/>
        <v>1.3170445987783497E-2</v>
      </c>
      <c r="AV22" s="228">
        <f t="shared" si="23"/>
        <v>-0.13217270655082425</v>
      </c>
      <c r="AW22" s="228">
        <f t="shared" si="23"/>
        <v>5.9935287400076032E-2</v>
      </c>
      <c r="AX22" s="228"/>
      <c r="AY22" s="1010">
        <f>+AV22</f>
        <v>-0.13217270655082425</v>
      </c>
      <c r="AZ22" s="1010">
        <f t="shared" ref="AZ22" si="24">+AW22</f>
        <v>5.9935287400076032E-2</v>
      </c>
      <c r="BA22" s="228">
        <f t="shared" ref="BA22:BF22" si="25">IFERROR(BA21/AZ21-1,"n/a ")</f>
        <v>0.15562510030492693</v>
      </c>
      <c r="BB22" s="228">
        <f t="shared" si="25"/>
        <v>0.15173524796200377</v>
      </c>
      <c r="BC22" s="228">
        <f t="shared" si="25"/>
        <v>0.16885919959485363</v>
      </c>
      <c r="BD22" s="228">
        <f t="shared" si="25"/>
        <v>0.19516799570855303</v>
      </c>
      <c r="BE22" s="228">
        <f t="shared" si="25"/>
        <v>0.17059107858030664</v>
      </c>
      <c r="BF22" s="228">
        <f t="shared" si="25"/>
        <v>5.1715631490059089E-2</v>
      </c>
    </row>
    <row r="23" spans="2:58" s="833" customFormat="1">
      <c r="B23" s="13" t="s">
        <v>272</v>
      </c>
      <c r="D23" s="834"/>
      <c r="E23" s="834"/>
      <c r="F23" s="834"/>
      <c r="G23" s="834"/>
      <c r="H23" s="835" t="s">
        <v>273</v>
      </c>
      <c r="I23" s="835" t="s">
        <v>273</v>
      </c>
      <c r="J23" s="835" t="s">
        <v>273</v>
      </c>
      <c r="K23" s="835" t="s">
        <v>273</v>
      </c>
      <c r="L23" s="834">
        <v>0.15</v>
      </c>
      <c r="M23" s="834">
        <v>0.12</v>
      </c>
      <c r="N23" s="834">
        <v>0.13</v>
      </c>
      <c r="O23" s="834">
        <v>0.16</v>
      </c>
      <c r="P23" s="834">
        <v>0.18</v>
      </c>
      <c r="Q23" s="834">
        <v>0.12</v>
      </c>
      <c r="R23" s="834">
        <v>0.18</v>
      </c>
      <c r="S23" s="834">
        <v>0.17</v>
      </c>
      <c r="T23" s="834">
        <v>0.2</v>
      </c>
      <c r="U23" s="834">
        <v>0.25</v>
      </c>
      <c r="V23" s="834">
        <v>0.2</v>
      </c>
      <c r="W23" s="836">
        <v>0.12</v>
      </c>
      <c r="X23" s="836">
        <v>0.15</v>
      </c>
      <c r="Y23" s="834">
        <v>0.16</v>
      </c>
      <c r="Z23" s="834">
        <v>0.16</v>
      </c>
      <c r="AA23" s="834">
        <v>0.2</v>
      </c>
      <c r="AB23" s="834">
        <v>0.19</v>
      </c>
      <c r="AC23" s="834">
        <v>0.19</v>
      </c>
      <c r="AD23" s="834">
        <v>0.21</v>
      </c>
      <c r="AE23" s="834">
        <v>0.15</v>
      </c>
      <c r="AF23" s="834">
        <v>0.16</v>
      </c>
      <c r="AG23" s="834"/>
      <c r="AH23" s="834"/>
      <c r="AI23" s="834"/>
      <c r="AJ23" s="834"/>
      <c r="AK23" s="834"/>
      <c r="AL23" s="835" t="s">
        <v>273</v>
      </c>
      <c r="AM23" s="835" t="s">
        <v>273</v>
      </c>
      <c r="AN23" s="835" t="s">
        <v>273</v>
      </c>
      <c r="AO23" s="835" t="s">
        <v>273</v>
      </c>
      <c r="AP23" s="835" t="s">
        <v>273</v>
      </c>
      <c r="AQ23" s="835" t="s">
        <v>273</v>
      </c>
      <c r="AR23" s="835" t="s">
        <v>273</v>
      </c>
      <c r="AS23" s="835" t="s">
        <v>273</v>
      </c>
      <c r="AT23" s="835" t="s">
        <v>273</v>
      </c>
      <c r="AU23" s="835" t="s">
        <v>273</v>
      </c>
      <c r="AV23" s="835" t="s">
        <v>273</v>
      </c>
      <c r="AW23" s="835" t="s">
        <v>273</v>
      </c>
      <c r="AX23" s="834"/>
      <c r="AY23" s="1010" t="str">
        <f t="shared" ref="AY23:AY24" si="26">+AV23</f>
        <v>NA</v>
      </c>
      <c r="AZ23" s="1010" t="str">
        <f t="shared" ref="AZ23:AZ24" si="27">+AW23</f>
        <v>NA</v>
      </c>
      <c r="BA23" s="834">
        <f>SUMPRODUCT(L23:O23,H21:K21)/AZ21</f>
        <v>0.14022147327876747</v>
      </c>
      <c r="BB23" s="834">
        <f>SUMPRODUCT(P23:S23,L21:O21)/BA21</f>
        <v>0.16229797103059426</v>
      </c>
      <c r="BC23" s="834">
        <f>SUMPRODUCT(T23:W23,P21:S21)/BB21</f>
        <v>0.18960606754850301</v>
      </c>
      <c r="BD23" s="834">
        <f>SUMPRODUCT(X23:AA23,T21:W21)/BC21</f>
        <v>0.16826588402777065</v>
      </c>
      <c r="BE23" s="834">
        <f>SUMPRODUCT(AB23:AE23,X21:AA21)/BD21</f>
        <v>0.18384390968098327</v>
      </c>
      <c r="BF23" s="834"/>
    </row>
    <row r="24" spans="2:58" s="3" customFormat="1">
      <c r="B24" s="13" t="s">
        <v>123</v>
      </c>
      <c r="D24" s="228">
        <f t="shared" ref="D24:AF24" si="28">IFERROR(D21/D12,"n/a ")</f>
        <v>0.65533237685318024</v>
      </c>
      <c r="E24" s="228">
        <f t="shared" si="28"/>
        <v>0.60907614936839183</v>
      </c>
      <c r="F24" s="228">
        <f t="shared" si="28"/>
        <v>0.64112097411349167</v>
      </c>
      <c r="G24" s="228">
        <f t="shared" si="28"/>
        <v>0.66009201669932693</v>
      </c>
      <c r="H24" s="228">
        <f t="shared" si="28"/>
        <v>0.64228383801532285</v>
      </c>
      <c r="I24" s="228">
        <f t="shared" si="28"/>
        <v>0.61662665530860372</v>
      </c>
      <c r="J24" s="228">
        <f t="shared" si="28"/>
        <v>0.65276581078752371</v>
      </c>
      <c r="K24" s="228">
        <f t="shared" si="28"/>
        <v>0.66975200156219483</v>
      </c>
      <c r="L24" s="228">
        <f t="shared" si="28"/>
        <v>0.66264569239546822</v>
      </c>
      <c r="M24" s="228">
        <f t="shared" si="28"/>
        <v>0.6174009267584204</v>
      </c>
      <c r="N24" s="228">
        <f t="shared" si="28"/>
        <v>0.65438681531749876</v>
      </c>
      <c r="O24" s="228">
        <f t="shared" si="28"/>
        <v>0.67618414492271894</v>
      </c>
      <c r="P24" s="228">
        <f t="shared" si="28"/>
        <v>0.65943474075092834</v>
      </c>
      <c r="Q24" s="228">
        <f t="shared" si="28"/>
        <v>0.61741246034923469</v>
      </c>
      <c r="R24" s="228">
        <f t="shared" si="28"/>
        <v>0.66733178502502366</v>
      </c>
      <c r="S24" s="228">
        <f t="shared" si="28"/>
        <v>0.69119435299700449</v>
      </c>
      <c r="T24" s="228">
        <f t="shared" si="28"/>
        <v>0.6851913477537438</v>
      </c>
      <c r="U24" s="228">
        <f t="shared" si="28"/>
        <v>0.66514929821709212</v>
      </c>
      <c r="V24" s="228">
        <f t="shared" si="28"/>
        <v>0.68661660146769077</v>
      </c>
      <c r="W24" s="228">
        <f t="shared" si="28"/>
        <v>0.67557121447164303</v>
      </c>
      <c r="X24" s="228">
        <f t="shared" si="28"/>
        <v>0.70388114334930285</v>
      </c>
      <c r="Y24" s="228">
        <f t="shared" si="28"/>
        <v>0.67048936762930633</v>
      </c>
      <c r="Z24" s="228">
        <f t="shared" si="28"/>
        <v>0.68721526878626582</v>
      </c>
      <c r="AA24" s="228">
        <f t="shared" si="28"/>
        <v>0.69684954064829263</v>
      </c>
      <c r="AB24" s="228">
        <f t="shared" si="28"/>
        <v>0.6988768012004325</v>
      </c>
      <c r="AC24" s="228">
        <f t="shared" si="28"/>
        <v>0.67213114754098358</v>
      </c>
      <c r="AD24" s="228">
        <f t="shared" si="28"/>
        <v>0.68365072933549431</v>
      </c>
      <c r="AE24" s="228">
        <f t="shared" si="28"/>
        <v>0.68323532247180174</v>
      </c>
      <c r="AF24" s="228">
        <f t="shared" si="28"/>
        <v>0.69171222217788597</v>
      </c>
      <c r="AG24" s="829">
        <f>+AF24-AB24+AC24</f>
        <v>0.66496656851843705</v>
      </c>
      <c r="AH24" s="829">
        <f t="shared" ref="AH24:AI24" si="29">+AG24-AC24+AD24</f>
        <v>0.67648615031294779</v>
      </c>
      <c r="AI24" s="829">
        <f t="shared" si="29"/>
        <v>0.67607074344925522</v>
      </c>
      <c r="AJ24" s="228"/>
      <c r="AK24" s="228">
        <f t="shared" ref="AK24:AW24" si="30">IFERROR(AK21/AK12,"n/a ")</f>
        <v>0.84842163466371767</v>
      </c>
      <c r="AL24" s="228">
        <f t="shared" si="30"/>
        <v>0.82724357526760306</v>
      </c>
      <c r="AM24" s="228">
        <f t="shared" si="30"/>
        <v>0.79083369195258402</v>
      </c>
      <c r="AN24" s="228">
        <f t="shared" si="30"/>
        <v>0.80804369414101296</v>
      </c>
      <c r="AO24" s="228">
        <f t="shared" si="30"/>
        <v>0.79199822030562828</v>
      </c>
      <c r="AP24" s="228">
        <f t="shared" si="30"/>
        <v>0.80162921707957235</v>
      </c>
      <c r="AQ24" s="228">
        <f t="shared" si="30"/>
        <v>0.77729007906438097</v>
      </c>
      <c r="AR24" s="228">
        <f t="shared" si="30"/>
        <v>0.76221803236439101</v>
      </c>
      <c r="AS24" s="228">
        <f t="shared" si="30"/>
        <v>0.73814692545825888</v>
      </c>
      <c r="AT24" s="228">
        <f t="shared" si="30"/>
        <v>0.68816003132449644</v>
      </c>
      <c r="AU24" s="228">
        <f t="shared" si="30"/>
        <v>0.64695447745244705</v>
      </c>
      <c r="AV24" s="228">
        <f t="shared" si="30"/>
        <v>0.61579934364744493</v>
      </c>
      <c r="AW24" s="228">
        <f t="shared" si="30"/>
        <v>0.61911061700944969</v>
      </c>
      <c r="AX24" s="228"/>
      <c r="AY24" s="1010">
        <f t="shared" si="26"/>
        <v>0.61579934364744493</v>
      </c>
      <c r="AZ24" s="1010">
        <f t="shared" si="27"/>
        <v>0.61911061700944969</v>
      </c>
      <c r="BA24" s="228">
        <f>IFERROR(BA21/BA12,"n/a ")</f>
        <v>0.65247372236317502</v>
      </c>
      <c r="BB24" s="228">
        <f>IFERROR(BB21/BB12,"n/a ")</f>
        <v>0.65901957200638894</v>
      </c>
      <c r="BC24" s="228">
        <f>IFERROR(BC21/BC12,"n/a ")</f>
        <v>0.67781001992797962</v>
      </c>
      <c r="BD24" s="228">
        <f t="shared" ref="BD24:BF24" si="31">IFERROR(BD21/BD12,"n/a ")</f>
        <v>0.68925800771024703</v>
      </c>
      <c r="BE24" s="228">
        <f t="shared" si="31"/>
        <v>0.68401674484289099</v>
      </c>
      <c r="BF24" s="228">
        <f t="shared" si="31"/>
        <v>0.6770692367554888</v>
      </c>
    </row>
    <row r="25" spans="2:58">
      <c r="AE25" s="9"/>
    </row>
    <row r="26" spans="2:58" ht="10.5">
      <c r="B26" s="45" t="s">
        <v>279</v>
      </c>
      <c r="AF26" s="828" t="s">
        <v>267</v>
      </c>
      <c r="AG26" s="992">
        <f>+BN132*1000</f>
        <v>14350.000000000002</v>
      </c>
    </row>
    <row r="27" spans="2:58">
      <c r="B27" t="s">
        <v>281</v>
      </c>
      <c r="D27" s="8">
        <f t="shared" ref="D27:AF28" si="32">+D526</f>
        <v>2962</v>
      </c>
      <c r="E27" s="8">
        <f t="shared" si="32"/>
        <v>2900</v>
      </c>
      <c r="F27" s="8">
        <f t="shared" si="32"/>
        <v>2980</v>
      </c>
      <c r="G27" s="8">
        <f t="shared" si="32"/>
        <v>3146</v>
      </c>
      <c r="H27" s="8">
        <f t="shared" si="32"/>
        <v>3106</v>
      </c>
      <c r="I27" s="8">
        <f t="shared" si="32"/>
        <v>3062</v>
      </c>
      <c r="J27" s="8">
        <f t="shared" si="32"/>
        <v>3355</v>
      </c>
      <c r="K27" s="8">
        <f t="shared" si="32"/>
        <v>3514</v>
      </c>
      <c r="L27" s="8">
        <f t="shared" si="32"/>
        <v>3574</v>
      </c>
      <c r="M27" s="8">
        <f t="shared" si="32"/>
        <v>3504</v>
      </c>
      <c r="N27" s="8">
        <f t="shared" si="32"/>
        <v>3715</v>
      </c>
      <c r="O27" s="8">
        <f t="shared" si="32"/>
        <v>3933</v>
      </c>
      <c r="P27" s="8">
        <f t="shared" si="32"/>
        <v>3977</v>
      </c>
      <c r="Q27" s="8">
        <f t="shared" si="32"/>
        <v>4070</v>
      </c>
      <c r="R27" s="8">
        <f t="shared" si="32"/>
        <v>4316</v>
      </c>
      <c r="S27" s="8">
        <f t="shared" si="32"/>
        <v>4513</v>
      </c>
      <c r="T27" s="8">
        <f t="shared" si="32"/>
        <v>4565</v>
      </c>
      <c r="U27" s="8">
        <f t="shared" si="32"/>
        <v>4603</v>
      </c>
      <c r="V27" s="8">
        <f t="shared" si="32"/>
        <v>4887</v>
      </c>
      <c r="W27" s="8">
        <f t="shared" si="32"/>
        <v>5214</v>
      </c>
      <c r="X27" s="8">
        <f t="shared" si="32"/>
        <v>4926</v>
      </c>
      <c r="Y27" s="8">
        <f t="shared" si="32"/>
        <v>4899</v>
      </c>
      <c r="Z27" s="8">
        <f t="shared" si="32"/>
        <v>5204</v>
      </c>
      <c r="AA27" s="8">
        <f t="shared" si="32"/>
        <v>5687</v>
      </c>
      <c r="AB27" s="8">
        <f t="shared" si="32"/>
        <v>5599</v>
      </c>
      <c r="AC27" s="8">
        <f t="shared" si="32"/>
        <v>5758</v>
      </c>
      <c r="AD27" s="8">
        <f t="shared" si="32"/>
        <v>6306</v>
      </c>
      <c r="AE27" s="8">
        <f t="shared" si="32"/>
        <v>6849</v>
      </c>
      <c r="AF27" s="8">
        <f t="shared" si="32"/>
        <v>6628</v>
      </c>
      <c r="AG27" s="8"/>
      <c r="AH27" s="8"/>
      <c r="AI27" s="8"/>
      <c r="AK27" s="8">
        <f t="shared" ref="AK27:AW28" si="33">+AK526</f>
        <v>6097</v>
      </c>
      <c r="AL27" s="8">
        <f t="shared" si="33"/>
        <v>6584</v>
      </c>
      <c r="AM27" s="8">
        <f t="shared" si="33"/>
        <v>7121</v>
      </c>
      <c r="AN27" s="8">
        <f t="shared" si="33"/>
        <v>8164</v>
      </c>
      <c r="AO27" s="8">
        <f t="shared" si="33"/>
        <v>9010</v>
      </c>
      <c r="AP27" s="8">
        <f t="shared" si="33"/>
        <v>8714</v>
      </c>
      <c r="AQ27" s="8">
        <f t="shared" si="33"/>
        <v>9043</v>
      </c>
      <c r="AR27" s="8">
        <f t="shared" si="33"/>
        <v>9811</v>
      </c>
      <c r="AS27" s="8">
        <f t="shared" si="33"/>
        <v>10411</v>
      </c>
      <c r="AT27" s="8">
        <f t="shared" si="33"/>
        <v>11381</v>
      </c>
      <c r="AU27" s="8">
        <f t="shared" si="33"/>
        <v>12046</v>
      </c>
      <c r="AV27" s="8">
        <f t="shared" si="33"/>
        <v>11988</v>
      </c>
      <c r="AW27" s="8">
        <f t="shared" si="33"/>
        <v>13037</v>
      </c>
      <c r="AY27" s="8">
        <f t="shared" ref="AY27:BC28" si="34">+AY526</f>
        <v>11988</v>
      </c>
      <c r="AZ27" s="8">
        <f t="shared" si="34"/>
        <v>13037</v>
      </c>
      <c r="BA27" s="8">
        <f t="shared" si="34"/>
        <v>14726</v>
      </c>
      <c r="BB27" s="8">
        <f t="shared" si="34"/>
        <v>16876</v>
      </c>
      <c r="BC27" s="8">
        <f t="shared" si="34"/>
        <v>19269</v>
      </c>
      <c r="BD27" s="8">
        <f t="shared" ref="BD27:BD29" si="35">SUM(X27:AA27)</f>
        <v>20716</v>
      </c>
      <c r="BE27" s="8">
        <f>SUM(AB27:AE27)</f>
        <v>24512</v>
      </c>
      <c r="BF27" s="8"/>
    </row>
    <row r="28" spans="2:58">
      <c r="B28" t="s">
        <v>282</v>
      </c>
      <c r="D28" s="8">
        <f t="shared" si="32"/>
        <v>3341</v>
      </c>
      <c r="E28" s="8">
        <f t="shared" si="32"/>
        <v>3954</v>
      </c>
      <c r="F28" s="8">
        <f t="shared" si="32"/>
        <v>3398</v>
      </c>
      <c r="G28" s="8">
        <f t="shared" si="32"/>
        <v>3942</v>
      </c>
      <c r="H28" s="8">
        <f t="shared" si="32"/>
        <v>3218</v>
      </c>
      <c r="I28" s="8">
        <f t="shared" si="32"/>
        <v>4079</v>
      </c>
      <c r="J28" s="8">
        <f t="shared" si="32"/>
        <v>3872</v>
      </c>
      <c r="K28" s="8">
        <f t="shared" si="32"/>
        <v>4292</v>
      </c>
      <c r="L28" s="8">
        <f t="shared" si="32"/>
        <v>3812</v>
      </c>
      <c r="M28" s="8">
        <f t="shared" si="32"/>
        <v>4562</v>
      </c>
      <c r="N28" s="8">
        <f t="shared" si="32"/>
        <v>4335</v>
      </c>
      <c r="O28" s="8">
        <f t="shared" si="32"/>
        <v>4760</v>
      </c>
      <c r="P28" s="8">
        <f t="shared" si="32"/>
        <v>4098</v>
      </c>
      <c r="Q28" s="8">
        <f t="shared" si="32"/>
        <v>4588</v>
      </c>
      <c r="R28" s="8">
        <f t="shared" si="32"/>
        <v>4565</v>
      </c>
      <c r="S28" s="8">
        <f t="shared" si="32"/>
        <v>4962</v>
      </c>
      <c r="T28" s="8">
        <f t="shared" si="32"/>
        <v>4337</v>
      </c>
      <c r="U28" s="8">
        <f t="shared" si="32"/>
        <v>4933</v>
      </c>
      <c r="V28" s="8">
        <f t="shared" si="32"/>
        <v>4911</v>
      </c>
      <c r="W28" s="8">
        <f t="shared" si="32"/>
        <v>5417</v>
      </c>
      <c r="X28" s="8">
        <f t="shared" si="32"/>
        <v>4231</v>
      </c>
      <c r="Y28" s="8">
        <f t="shared" si="32"/>
        <v>4947</v>
      </c>
      <c r="Z28" s="8">
        <f t="shared" si="32"/>
        <v>5082</v>
      </c>
      <c r="AA28" s="8">
        <f t="shared" si="32"/>
        <v>5857</v>
      </c>
      <c r="AB28" s="8">
        <f t="shared" si="32"/>
        <v>4547</v>
      </c>
      <c r="AC28" s="8">
        <f t="shared" si="32"/>
        <v>5379</v>
      </c>
      <c r="AD28" s="8">
        <f t="shared" si="32"/>
        <v>5595</v>
      </c>
      <c r="AE28" s="8">
        <f t="shared" si="32"/>
        <v>6304</v>
      </c>
      <c r="AF28" s="8">
        <f t="shared" si="32"/>
        <v>5126</v>
      </c>
      <c r="AG28" s="8"/>
      <c r="AH28" s="8"/>
      <c r="AI28" s="8"/>
      <c r="AK28" s="8">
        <f t="shared" si="33"/>
        <v>8548</v>
      </c>
      <c r="AL28" s="8">
        <f t="shared" si="33"/>
        <v>9910</v>
      </c>
      <c r="AM28" s="8">
        <f t="shared" si="33"/>
        <v>11541</v>
      </c>
      <c r="AN28" s="8">
        <f t="shared" si="33"/>
        <v>13260</v>
      </c>
      <c r="AO28" s="8">
        <f t="shared" si="33"/>
        <v>12879</v>
      </c>
      <c r="AP28" s="8">
        <f t="shared" si="33"/>
        <v>13214</v>
      </c>
      <c r="AQ28" s="8">
        <f t="shared" si="33"/>
        <v>13940</v>
      </c>
      <c r="AR28" s="8">
        <f t="shared" si="33"/>
        <v>13857</v>
      </c>
      <c r="AS28" s="8">
        <f t="shared" si="33"/>
        <v>15276</v>
      </c>
      <c r="AT28" s="8">
        <f t="shared" si="33"/>
        <v>15811</v>
      </c>
      <c r="AU28" s="8">
        <f t="shared" si="33"/>
        <v>15713</v>
      </c>
      <c r="AV28" s="8">
        <f t="shared" si="33"/>
        <v>14697</v>
      </c>
      <c r="AW28" s="8">
        <f t="shared" si="33"/>
        <v>15539</v>
      </c>
      <c r="AY28" s="8">
        <f t="shared" si="34"/>
        <v>14635</v>
      </c>
      <c r="AZ28" s="8">
        <f t="shared" si="34"/>
        <v>15461</v>
      </c>
      <c r="BA28" s="8">
        <f t="shared" si="34"/>
        <v>17469</v>
      </c>
      <c r="BB28" s="8">
        <f t="shared" si="34"/>
        <v>18213</v>
      </c>
      <c r="BC28" s="8">
        <f t="shared" si="34"/>
        <v>19598</v>
      </c>
      <c r="BD28" s="8">
        <f t="shared" si="35"/>
        <v>20117</v>
      </c>
      <c r="BE28" s="8">
        <f t="shared" ref="BE28:BE30" si="36">SUM(AB28:AE28)</f>
        <v>21825</v>
      </c>
      <c r="BF28" s="8"/>
    </row>
    <row r="29" spans="2:58" ht="11.45">
      <c r="B29" t="s">
        <v>283</v>
      </c>
      <c r="D29" s="10">
        <f t="shared" ref="D29:AF29" si="37">+D528-D555</f>
        <v>1084</v>
      </c>
      <c r="E29" s="10">
        <f t="shared" si="37"/>
        <v>1038</v>
      </c>
      <c r="F29" s="10">
        <f t="shared" si="37"/>
        <v>1140</v>
      </c>
      <c r="G29" s="10">
        <f t="shared" si="37"/>
        <v>1301</v>
      </c>
      <c r="H29" s="10">
        <f t="shared" si="37"/>
        <v>1045</v>
      </c>
      <c r="I29" s="10">
        <f t="shared" si="37"/>
        <v>879</v>
      </c>
      <c r="J29" s="10">
        <f t="shared" si="37"/>
        <v>1202</v>
      </c>
      <c r="K29" s="10">
        <f t="shared" si="37"/>
        <v>1355</v>
      </c>
      <c r="L29" s="10">
        <f t="shared" si="37"/>
        <v>1166</v>
      </c>
      <c r="M29" s="10">
        <f t="shared" si="37"/>
        <v>1109</v>
      </c>
      <c r="N29" s="10">
        <f t="shared" si="37"/>
        <v>1208</v>
      </c>
      <c r="O29" s="10">
        <f t="shared" si="37"/>
        <v>1271</v>
      </c>
      <c r="P29" s="10">
        <f t="shared" si="37"/>
        <v>1149</v>
      </c>
      <c r="Q29" s="10">
        <f t="shared" si="37"/>
        <v>1132</v>
      </c>
      <c r="R29" s="10">
        <f t="shared" si="37"/>
        <v>1179</v>
      </c>
      <c r="S29" s="10">
        <f t="shared" si="37"/>
        <v>1425</v>
      </c>
      <c r="T29" s="10">
        <f t="shared" si="37"/>
        <v>1061</v>
      </c>
      <c r="U29" s="10">
        <f t="shared" si="37"/>
        <v>1121</v>
      </c>
      <c r="V29" s="10">
        <f t="shared" si="37"/>
        <v>1273</v>
      </c>
      <c r="W29" s="10">
        <f t="shared" si="37"/>
        <v>1656</v>
      </c>
      <c r="X29" s="10">
        <f t="shared" si="37"/>
        <v>1119</v>
      </c>
      <c r="Y29" s="10">
        <f t="shared" si="37"/>
        <v>1139</v>
      </c>
      <c r="Z29" s="10">
        <f t="shared" si="37"/>
        <v>1327</v>
      </c>
      <c r="AA29" s="10">
        <f t="shared" si="37"/>
        <v>1522</v>
      </c>
      <c r="AB29" s="10">
        <f t="shared" si="37"/>
        <v>1287</v>
      </c>
      <c r="AC29" s="10">
        <f t="shared" si="37"/>
        <v>1384</v>
      </c>
      <c r="AD29" s="10">
        <f t="shared" si="37"/>
        <v>1480</v>
      </c>
      <c r="AE29" s="10">
        <f t="shared" si="37"/>
        <v>1749</v>
      </c>
      <c r="AF29" s="10">
        <f t="shared" si="37"/>
        <v>1398</v>
      </c>
      <c r="AG29" s="10"/>
      <c r="AH29" s="10"/>
      <c r="AI29" s="10"/>
      <c r="AK29" s="10">
        <f t="shared" ref="AK29:AW29" si="38">+AK528-AK555</f>
        <v>4536</v>
      </c>
      <c r="AL29" s="10">
        <f t="shared" si="38"/>
        <v>3758</v>
      </c>
      <c r="AM29" s="10">
        <f t="shared" si="38"/>
        <v>3329</v>
      </c>
      <c r="AN29" s="10">
        <f t="shared" si="38"/>
        <v>5127</v>
      </c>
      <c r="AO29" s="10">
        <f t="shared" si="38"/>
        <v>4030</v>
      </c>
      <c r="AP29" s="10">
        <f t="shared" si="38"/>
        <v>4063</v>
      </c>
      <c r="AQ29" s="10">
        <f t="shared" si="38"/>
        <v>4222</v>
      </c>
      <c r="AR29" s="10">
        <f t="shared" si="38"/>
        <v>4569</v>
      </c>
      <c r="AS29" s="58">
        <f t="shared" si="38"/>
        <v>4280</v>
      </c>
      <c r="AT29" s="10">
        <f t="shared" si="38"/>
        <v>4677</v>
      </c>
      <c r="AU29" s="10">
        <f t="shared" si="38"/>
        <v>4611</v>
      </c>
      <c r="AV29" s="10">
        <f t="shared" si="38"/>
        <v>4563</v>
      </c>
      <c r="AW29" s="10">
        <f t="shared" si="38"/>
        <v>4481</v>
      </c>
      <c r="AY29" s="10">
        <f>+AY528-AY555</f>
        <v>4563</v>
      </c>
      <c r="AZ29" s="10">
        <f>+AZ528-AZ555</f>
        <v>4481</v>
      </c>
      <c r="BA29" s="10">
        <f>+BA528-BA555</f>
        <v>4754</v>
      </c>
      <c r="BB29" s="10">
        <f>+BB528-BB555</f>
        <v>4885</v>
      </c>
      <c r="BC29" s="10">
        <f>+BC528-BC555</f>
        <v>5111</v>
      </c>
      <c r="BD29" s="10">
        <f t="shared" si="35"/>
        <v>5107</v>
      </c>
      <c r="BE29" s="10">
        <f t="shared" si="36"/>
        <v>5900</v>
      </c>
      <c r="BF29" s="10"/>
    </row>
    <row r="30" spans="2:58" s="1" customFormat="1" ht="10.5">
      <c r="B30" s="837" t="s">
        <v>499</v>
      </c>
      <c r="D30" s="838">
        <f>SUM(D27:D29)</f>
        <v>7387</v>
      </c>
      <c r="E30" s="838">
        <f t="shared" ref="E30:BC30" si="39">SUM(E27:E29)</f>
        <v>7892</v>
      </c>
      <c r="F30" s="838">
        <f t="shared" si="39"/>
        <v>7518</v>
      </c>
      <c r="G30" s="838">
        <f t="shared" si="39"/>
        <v>8389</v>
      </c>
      <c r="H30" s="838">
        <f t="shared" si="39"/>
        <v>7369</v>
      </c>
      <c r="I30" s="838">
        <f t="shared" si="39"/>
        <v>8020</v>
      </c>
      <c r="J30" s="838">
        <f t="shared" si="39"/>
        <v>8429</v>
      </c>
      <c r="K30" s="838">
        <f t="shared" si="39"/>
        <v>9161</v>
      </c>
      <c r="L30" s="838">
        <f t="shared" si="39"/>
        <v>8552</v>
      </c>
      <c r="M30" s="838">
        <f t="shared" si="39"/>
        <v>9175</v>
      </c>
      <c r="N30" s="838">
        <f t="shared" si="39"/>
        <v>9258</v>
      </c>
      <c r="O30" s="838">
        <f t="shared" si="39"/>
        <v>9964</v>
      </c>
      <c r="P30" s="838">
        <f t="shared" si="39"/>
        <v>9224</v>
      </c>
      <c r="Q30" s="838">
        <f t="shared" si="39"/>
        <v>9790</v>
      </c>
      <c r="R30" s="838">
        <f t="shared" si="39"/>
        <v>10060</v>
      </c>
      <c r="S30" s="838">
        <f t="shared" si="39"/>
        <v>10900</v>
      </c>
      <c r="T30" s="838">
        <f t="shared" si="39"/>
        <v>9963</v>
      </c>
      <c r="U30" s="838">
        <f t="shared" si="39"/>
        <v>10657</v>
      </c>
      <c r="V30" s="838">
        <f t="shared" si="39"/>
        <v>11071</v>
      </c>
      <c r="W30" s="838">
        <f t="shared" si="39"/>
        <v>12287</v>
      </c>
      <c r="X30" s="838">
        <f t="shared" si="39"/>
        <v>10276</v>
      </c>
      <c r="Y30" s="838">
        <f t="shared" si="39"/>
        <v>10985</v>
      </c>
      <c r="Z30" s="838">
        <f t="shared" si="39"/>
        <v>11613</v>
      </c>
      <c r="AA30" s="838">
        <f t="shared" si="39"/>
        <v>13066</v>
      </c>
      <c r="AB30" s="838">
        <f t="shared" si="39"/>
        <v>11433</v>
      </c>
      <c r="AC30" s="838">
        <f t="shared" si="39"/>
        <v>12521</v>
      </c>
      <c r="AD30" s="838">
        <f t="shared" si="39"/>
        <v>13381</v>
      </c>
      <c r="AE30" s="838">
        <f t="shared" si="39"/>
        <v>14902</v>
      </c>
      <c r="AF30" s="838">
        <f t="shared" si="39"/>
        <v>13152</v>
      </c>
      <c r="AG30" s="838">
        <f t="shared" ref="AG30:AI30" si="40">+AG21-AG44</f>
        <v>13354.392187115947</v>
      </c>
      <c r="AH30" s="838">
        <f t="shared" si="40"/>
        <v>14217.867157770757</v>
      </c>
      <c r="AI30" s="838">
        <f t="shared" si="40"/>
        <v>15801.869735240958</v>
      </c>
      <c r="AK30" s="838">
        <f t="shared" si="39"/>
        <v>19181</v>
      </c>
      <c r="AL30" s="838">
        <f t="shared" si="39"/>
        <v>20252</v>
      </c>
      <c r="AM30" s="838">
        <f t="shared" si="39"/>
        <v>21991</v>
      </c>
      <c r="AN30" s="838">
        <f t="shared" si="39"/>
        <v>26551</v>
      </c>
      <c r="AO30" s="838">
        <f t="shared" si="39"/>
        <v>25919</v>
      </c>
      <c r="AP30" s="838">
        <f t="shared" si="39"/>
        <v>25991</v>
      </c>
      <c r="AQ30" s="838">
        <f t="shared" si="39"/>
        <v>27205</v>
      </c>
      <c r="AR30" s="838">
        <f t="shared" si="39"/>
        <v>28237</v>
      </c>
      <c r="AS30" s="838">
        <f t="shared" si="39"/>
        <v>29967</v>
      </c>
      <c r="AT30" s="838">
        <f t="shared" si="39"/>
        <v>31869</v>
      </c>
      <c r="AU30" s="838">
        <f t="shared" si="39"/>
        <v>32370</v>
      </c>
      <c r="AV30" s="838">
        <f t="shared" si="39"/>
        <v>31248</v>
      </c>
      <c r="AW30" s="838">
        <f t="shared" si="39"/>
        <v>33057</v>
      </c>
      <c r="AY30" s="838">
        <f t="shared" si="39"/>
        <v>31186</v>
      </c>
      <c r="AZ30" s="838">
        <f t="shared" si="39"/>
        <v>32979</v>
      </c>
      <c r="BA30" s="838">
        <f t="shared" si="39"/>
        <v>36949</v>
      </c>
      <c r="BB30" s="838">
        <f t="shared" si="39"/>
        <v>39974</v>
      </c>
      <c r="BC30" s="838">
        <f t="shared" si="39"/>
        <v>43978</v>
      </c>
      <c r="BD30" s="838">
        <f>SUM(X30:AA30)</f>
        <v>45940</v>
      </c>
      <c r="BE30" s="838">
        <f t="shared" si="36"/>
        <v>52237</v>
      </c>
      <c r="BF30" s="838">
        <f>SUM(AF30:AI30)</f>
        <v>56526.129080127663</v>
      </c>
    </row>
    <row r="31" spans="2:58">
      <c r="B31" s="13"/>
      <c r="H31" s="14"/>
      <c r="I31" s="14"/>
      <c r="J31" s="14"/>
      <c r="K31" s="14"/>
      <c r="L31" s="14"/>
      <c r="M31" s="14"/>
      <c r="N31" s="14"/>
      <c r="O31" s="14"/>
      <c r="P31" s="14"/>
      <c r="Q31" s="14"/>
      <c r="R31" s="14"/>
      <c r="S31" s="14"/>
      <c r="T31" s="14"/>
      <c r="U31" s="14"/>
      <c r="V31" s="14"/>
      <c r="W31" s="14"/>
      <c r="X31" s="14"/>
      <c r="Y31" s="14"/>
      <c r="Z31" s="14"/>
      <c r="AB31" s="14"/>
      <c r="AC31" s="14"/>
      <c r="AD31" s="14"/>
      <c r="AE31" s="14"/>
      <c r="AF31" s="14"/>
      <c r="AG31" s="14"/>
      <c r="AH31" s="14"/>
      <c r="AI31" s="14"/>
      <c r="AJ31" s="3"/>
      <c r="AK31" s="3"/>
      <c r="AL31" s="14"/>
      <c r="AM31" s="14"/>
      <c r="AN31" s="14"/>
      <c r="AO31" s="14"/>
      <c r="AP31" s="14"/>
      <c r="AQ31" s="14"/>
      <c r="AR31" s="14"/>
      <c r="AS31" s="14"/>
      <c r="AT31" s="14"/>
      <c r="AU31" s="14"/>
      <c r="AV31" s="14"/>
      <c r="AW31" s="14"/>
      <c r="AZ31" s="14"/>
      <c r="BA31" s="14"/>
      <c r="BB31" s="14"/>
      <c r="BC31" s="14"/>
      <c r="BD31" s="14"/>
      <c r="BE31" s="14"/>
      <c r="BF31" s="14"/>
    </row>
    <row r="32" spans="2:58">
      <c r="B32" s="24" t="s">
        <v>113</v>
      </c>
    </row>
    <row r="33" spans="2:63" s="3" customFormat="1">
      <c r="B33" s="13" t="str">
        <f>+B27</f>
        <v>R&amp;D</v>
      </c>
      <c r="D33" s="228"/>
      <c r="E33" s="228"/>
      <c r="F33" s="228"/>
      <c r="G33" s="228"/>
      <c r="H33" s="228">
        <f t="shared" ref="H33:V36" si="41">+H27/D27-1</f>
        <v>4.8615800135043852E-2</v>
      </c>
      <c r="I33" s="228">
        <f t="shared" si="41"/>
        <v>5.5862068965517153E-2</v>
      </c>
      <c r="J33" s="228">
        <f t="shared" si="41"/>
        <v>0.12583892617449655</v>
      </c>
      <c r="K33" s="228">
        <f t="shared" si="41"/>
        <v>0.11697393515575327</v>
      </c>
      <c r="L33" s="228">
        <f t="shared" si="41"/>
        <v>0.1506761107533805</v>
      </c>
      <c r="M33" s="228">
        <f t="shared" si="41"/>
        <v>0.14435009797517973</v>
      </c>
      <c r="N33" s="228">
        <f t="shared" si="41"/>
        <v>0.10730253353204167</v>
      </c>
      <c r="O33" s="228">
        <f t="shared" si="41"/>
        <v>0.1192373363688104</v>
      </c>
      <c r="P33" s="228">
        <f t="shared" si="41"/>
        <v>0.11275881365416907</v>
      </c>
      <c r="Q33" s="228">
        <f t="shared" si="41"/>
        <v>0.1615296803652968</v>
      </c>
      <c r="R33" s="228">
        <f t="shared" si="41"/>
        <v>0.16177658142664875</v>
      </c>
      <c r="S33" s="228">
        <f t="shared" si="41"/>
        <v>0.14747012458682929</v>
      </c>
      <c r="T33" s="228">
        <f t="shared" si="41"/>
        <v>0.14785013829519733</v>
      </c>
      <c r="U33" s="228">
        <f t="shared" si="41"/>
        <v>0.13095823095823089</v>
      </c>
      <c r="V33" s="228">
        <f>+V27/R27-1</f>
        <v>0.13229842446709927</v>
      </c>
      <c r="W33" s="228">
        <f t="shared" ref="W33:AI36" si="42">+W27/S27-1</f>
        <v>0.15532904941280745</v>
      </c>
      <c r="X33" s="228">
        <f t="shared" si="42"/>
        <v>7.9079956188389922E-2</v>
      </c>
      <c r="Y33" s="228">
        <f t="shared" si="42"/>
        <v>6.4305887464696898E-2</v>
      </c>
      <c r="Z33" s="228">
        <f t="shared" si="42"/>
        <v>6.4865970943319029E-2</v>
      </c>
      <c r="AA33" s="228">
        <f t="shared" si="42"/>
        <v>9.0717299578058963E-2</v>
      </c>
      <c r="AB33" s="228">
        <f t="shared" si="42"/>
        <v>0.13662200568412497</v>
      </c>
      <c r="AC33" s="228">
        <f t="shared" si="42"/>
        <v>0.17534190651153292</v>
      </c>
      <c r="AD33" s="228">
        <f t="shared" si="42"/>
        <v>0.21176018447348199</v>
      </c>
      <c r="AE33" s="228">
        <f t="shared" si="42"/>
        <v>0.20432565500263755</v>
      </c>
      <c r="AF33" s="228">
        <f t="shared" si="42"/>
        <v>0.18378281836042154</v>
      </c>
      <c r="AG33" s="228"/>
      <c r="AH33" s="228"/>
      <c r="AI33" s="228"/>
      <c r="AJ33" s="228"/>
      <c r="AK33" s="228"/>
      <c r="AL33" s="228">
        <f t="shared" ref="AL33:BA36" si="43">+AL27/AK27-1</f>
        <v>7.9875348532064905E-2</v>
      </c>
      <c r="AM33" s="228">
        <f t="shared" si="43"/>
        <v>8.1561360874848221E-2</v>
      </c>
      <c r="AN33" s="228">
        <f t="shared" si="43"/>
        <v>0.14646819266956879</v>
      </c>
      <c r="AO33" s="228">
        <f t="shared" si="43"/>
        <v>0.10362567368936793</v>
      </c>
      <c r="AP33" s="228">
        <f t="shared" si="43"/>
        <v>-3.2852386237513853E-2</v>
      </c>
      <c r="AQ33" s="228">
        <f t="shared" si="43"/>
        <v>3.7755336240532511E-2</v>
      </c>
      <c r="AR33" s="228">
        <f t="shared" si="43"/>
        <v>8.4927568284861144E-2</v>
      </c>
      <c r="AS33" s="228">
        <f t="shared" si="43"/>
        <v>6.1155845479563764E-2</v>
      </c>
      <c r="AT33" s="228">
        <f t="shared" si="43"/>
        <v>9.3170684852559749E-2</v>
      </c>
      <c r="AU33" s="228">
        <f t="shared" si="43"/>
        <v>5.8430717863105164E-2</v>
      </c>
      <c r="AV33" s="228">
        <f t="shared" si="43"/>
        <v>-4.814876307488003E-3</v>
      </c>
      <c r="AW33" s="228">
        <f t="shared" si="43"/>
        <v>8.7504170837504169E-2</v>
      </c>
      <c r="AX33" s="228"/>
      <c r="AY33" s="1010">
        <f t="shared" ref="AY33" si="44">+AV33</f>
        <v>-4.814876307488003E-3</v>
      </c>
      <c r="AZ33" s="1010">
        <f t="shared" ref="AZ33" si="45">+AW33</f>
        <v>8.7504170837504169E-2</v>
      </c>
      <c r="BA33" s="228">
        <f t="shared" si="43"/>
        <v>0.12955434532484467</v>
      </c>
      <c r="BB33" s="228">
        <f>+BB27/BA27-1</f>
        <v>0.14600027162841234</v>
      </c>
      <c r="BC33" s="228">
        <f t="shared" ref="BC33:BF36" si="46">+BC27/BB27-1</f>
        <v>0.14179900450343674</v>
      </c>
      <c r="BD33" s="228">
        <f t="shared" si="46"/>
        <v>7.5094711713114437E-2</v>
      </c>
      <c r="BE33" s="228">
        <f t="shared" si="46"/>
        <v>0.1832400077234988</v>
      </c>
      <c r="BF33" s="228"/>
    </row>
    <row r="34" spans="2:63" s="3" customFormat="1">
      <c r="B34" s="13" t="str">
        <f t="shared" ref="B34:B36" si="47">+B28</f>
        <v>S&amp;M</v>
      </c>
      <c r="D34" s="228"/>
      <c r="E34" s="228"/>
      <c r="F34" s="228"/>
      <c r="G34" s="228"/>
      <c r="H34" s="228">
        <f t="shared" si="41"/>
        <v>-3.6815324753067924E-2</v>
      </c>
      <c r="I34" s="228">
        <f t="shared" si="41"/>
        <v>3.161355589276682E-2</v>
      </c>
      <c r="J34" s="228">
        <f t="shared" si="41"/>
        <v>0.1394938198940554</v>
      </c>
      <c r="K34" s="228">
        <f t="shared" si="41"/>
        <v>8.8787417554540893E-2</v>
      </c>
      <c r="L34" s="228">
        <f t="shared" si="41"/>
        <v>0.1845866998135488</v>
      </c>
      <c r="M34" s="228">
        <f t="shared" si="41"/>
        <v>0.11841137533709234</v>
      </c>
      <c r="N34" s="228">
        <f t="shared" si="41"/>
        <v>0.11957644628099184</v>
      </c>
      <c r="O34" s="228">
        <f t="shared" si="41"/>
        <v>0.1090400745573159</v>
      </c>
      <c r="P34" s="228">
        <f t="shared" si="41"/>
        <v>7.5026232948583349E-2</v>
      </c>
      <c r="Q34" s="228">
        <f t="shared" si="41"/>
        <v>5.6992547128451587E-3</v>
      </c>
      <c r="R34" s="228">
        <f t="shared" si="41"/>
        <v>5.3056516724336866E-2</v>
      </c>
      <c r="S34" s="228">
        <f t="shared" si="41"/>
        <v>4.2436974789916038E-2</v>
      </c>
      <c r="T34" s="228">
        <f t="shared" si="41"/>
        <v>5.8321132259638864E-2</v>
      </c>
      <c r="U34" s="228">
        <f t="shared" si="41"/>
        <v>7.5196163905841384E-2</v>
      </c>
      <c r="V34" s="228">
        <f t="shared" si="41"/>
        <v>7.5794085432639546E-2</v>
      </c>
      <c r="W34" s="228">
        <f t="shared" si="42"/>
        <v>9.1696896412736706E-2</v>
      </c>
      <c r="X34" s="228">
        <f t="shared" si="42"/>
        <v>-2.44408577357621E-2</v>
      </c>
      <c r="Y34" s="228">
        <f t="shared" si="42"/>
        <v>2.8380295965944047E-3</v>
      </c>
      <c r="Z34" s="228">
        <f t="shared" si="42"/>
        <v>3.4819792302993369E-2</v>
      </c>
      <c r="AA34" s="228">
        <f t="shared" si="42"/>
        <v>8.1225770721801815E-2</v>
      </c>
      <c r="AB34" s="228">
        <f t="shared" si="42"/>
        <v>7.4686835263531037E-2</v>
      </c>
      <c r="AC34" s="228">
        <f t="shared" si="42"/>
        <v>8.7325651910248547E-2</v>
      </c>
      <c r="AD34" s="228">
        <f t="shared" si="42"/>
        <v>0.10094451003541915</v>
      </c>
      <c r="AE34" s="228">
        <f t="shared" si="42"/>
        <v>7.6318934608161193E-2</v>
      </c>
      <c r="AF34" s="228">
        <f t="shared" si="42"/>
        <v>0.12733670552012311</v>
      </c>
      <c r="AG34" s="228"/>
      <c r="AH34" s="228"/>
      <c r="AI34" s="228"/>
      <c r="AJ34" s="228"/>
      <c r="AK34" s="228"/>
      <c r="AL34" s="228">
        <f t="shared" si="43"/>
        <v>0.15933551708001881</v>
      </c>
      <c r="AM34" s="228">
        <f t="shared" si="43"/>
        <v>0.16458123107971745</v>
      </c>
      <c r="AN34" s="228">
        <f t="shared" si="43"/>
        <v>0.1489472316090461</v>
      </c>
      <c r="AO34" s="228">
        <f t="shared" si="43"/>
        <v>-2.8733031674208154E-2</v>
      </c>
      <c r="AP34" s="228">
        <f t="shared" si="43"/>
        <v>2.6011336283872977E-2</v>
      </c>
      <c r="AQ34" s="228">
        <f t="shared" si="43"/>
        <v>5.4941728469804829E-2</v>
      </c>
      <c r="AR34" s="228">
        <f t="shared" si="43"/>
        <v>-5.9540889526542573E-3</v>
      </c>
      <c r="AS34" s="228">
        <f t="shared" si="43"/>
        <v>0.10240311755791298</v>
      </c>
      <c r="AT34" s="228">
        <f t="shared" si="43"/>
        <v>3.5022257135375767E-2</v>
      </c>
      <c r="AU34" s="228">
        <f t="shared" si="43"/>
        <v>-6.1982164315982358E-3</v>
      </c>
      <c r="AV34" s="228">
        <f t="shared" si="43"/>
        <v>-6.4659835804747656E-2</v>
      </c>
      <c r="AW34" s="228">
        <f t="shared" si="43"/>
        <v>5.729060352452886E-2</v>
      </c>
      <c r="AX34" s="228"/>
      <c r="AY34" s="1010">
        <f t="shared" ref="AY34:AY36" si="48">+AV34</f>
        <v>-6.4659835804747656E-2</v>
      </c>
      <c r="AZ34" s="1010">
        <f t="shared" ref="AZ34:AZ36" si="49">+AW34</f>
        <v>5.729060352452886E-2</v>
      </c>
      <c r="BA34" s="228">
        <f t="shared" si="43"/>
        <v>0.12987516978203217</v>
      </c>
      <c r="BB34" s="228">
        <f t="shared" ref="BB34:BB36" si="50">+BB28/BA28-1</f>
        <v>4.2589730379529511E-2</v>
      </c>
      <c r="BC34" s="228">
        <f t="shared" si="46"/>
        <v>7.604458353923027E-2</v>
      </c>
      <c r="BD34" s="228">
        <f t="shared" si="46"/>
        <v>2.6482294111644045E-2</v>
      </c>
      <c r="BE34" s="228">
        <f t="shared" si="46"/>
        <v>8.4903315603718221E-2</v>
      </c>
      <c r="BF34" s="228"/>
    </row>
    <row r="35" spans="2:63" s="839" customFormat="1" ht="11.45">
      <c r="B35" s="13" t="str">
        <f t="shared" si="47"/>
        <v>G&amp;A</v>
      </c>
      <c r="D35" s="840"/>
      <c r="E35" s="840"/>
      <c r="F35" s="840"/>
      <c r="G35" s="840"/>
      <c r="H35" s="840">
        <f t="shared" si="41"/>
        <v>-3.5977859778597798E-2</v>
      </c>
      <c r="I35" s="840">
        <f t="shared" si="41"/>
        <v>-0.15317919075144504</v>
      </c>
      <c r="J35" s="840">
        <f t="shared" si="41"/>
        <v>5.4385964912280649E-2</v>
      </c>
      <c r="K35" s="840">
        <f t="shared" si="41"/>
        <v>4.1506533435818671E-2</v>
      </c>
      <c r="L35" s="840">
        <f t="shared" si="41"/>
        <v>0.11578947368421044</v>
      </c>
      <c r="M35" s="840">
        <f t="shared" si="41"/>
        <v>0.26166097838452784</v>
      </c>
      <c r="N35" s="840">
        <f t="shared" si="41"/>
        <v>4.991680532445919E-3</v>
      </c>
      <c r="O35" s="840">
        <f t="shared" si="41"/>
        <v>-6.199261992619931E-2</v>
      </c>
      <c r="P35" s="840">
        <f t="shared" si="41"/>
        <v>-1.4579759862778707E-2</v>
      </c>
      <c r="Q35" s="840">
        <f t="shared" si="41"/>
        <v>2.0739404869251521E-2</v>
      </c>
      <c r="R35" s="840">
        <f t="shared" si="41"/>
        <v>-2.4006622516556275E-2</v>
      </c>
      <c r="S35" s="840">
        <f t="shared" si="41"/>
        <v>0.12116443745082606</v>
      </c>
      <c r="T35" s="840">
        <f t="shared" si="41"/>
        <v>-7.6588337684943442E-2</v>
      </c>
      <c r="U35" s="840">
        <f t="shared" si="41"/>
        <v>-9.7173144876324669E-3</v>
      </c>
      <c r="V35" s="840">
        <f t="shared" si="41"/>
        <v>7.9728583545377374E-2</v>
      </c>
      <c r="W35" s="840">
        <f t="shared" si="42"/>
        <v>0.16210526315789475</v>
      </c>
      <c r="X35" s="840">
        <f t="shared" si="42"/>
        <v>5.4665409990575009E-2</v>
      </c>
      <c r="Y35" s="840">
        <f t="shared" si="42"/>
        <v>1.605709188224802E-2</v>
      </c>
      <c r="Z35" s="840">
        <f t="shared" si="42"/>
        <v>4.2419481539670123E-2</v>
      </c>
      <c r="AA35" s="840">
        <f t="shared" si="42"/>
        <v>-8.0917874396135292E-2</v>
      </c>
      <c r="AB35" s="840">
        <f t="shared" si="42"/>
        <v>0.15013404825737275</v>
      </c>
      <c r="AC35" s="840">
        <f t="shared" si="42"/>
        <v>0.21510096575943805</v>
      </c>
      <c r="AD35" s="840">
        <f t="shared" si="42"/>
        <v>0.1152976639035419</v>
      </c>
      <c r="AE35" s="840">
        <f t="shared" si="42"/>
        <v>0.14914586070959257</v>
      </c>
      <c r="AF35" s="840">
        <f t="shared" si="42"/>
        <v>8.6247086247086324E-2</v>
      </c>
      <c r="AG35" s="840"/>
      <c r="AH35" s="840"/>
      <c r="AI35" s="840"/>
      <c r="AJ35" s="840"/>
      <c r="AK35" s="840"/>
      <c r="AL35" s="840">
        <f t="shared" si="43"/>
        <v>-0.17151675485008822</v>
      </c>
      <c r="AM35" s="840">
        <f t="shared" si="43"/>
        <v>-0.11415646620542841</v>
      </c>
      <c r="AN35" s="840">
        <f t="shared" si="43"/>
        <v>0.54010213277260433</v>
      </c>
      <c r="AO35" s="840">
        <f t="shared" si="43"/>
        <v>-0.21396528184123265</v>
      </c>
      <c r="AP35" s="840">
        <f t="shared" si="43"/>
        <v>8.1885856079404462E-3</v>
      </c>
      <c r="AQ35" s="840">
        <f t="shared" si="43"/>
        <v>3.913364508983519E-2</v>
      </c>
      <c r="AR35" s="840">
        <f t="shared" si="43"/>
        <v>8.2188536238749332E-2</v>
      </c>
      <c r="AS35" s="840">
        <f t="shared" si="43"/>
        <v>-6.3252352812431578E-2</v>
      </c>
      <c r="AT35" s="840">
        <f t="shared" si="43"/>
        <v>9.2757009345794339E-2</v>
      </c>
      <c r="AU35" s="840">
        <f t="shared" si="43"/>
        <v>-1.4111610006414366E-2</v>
      </c>
      <c r="AV35" s="840">
        <f t="shared" si="43"/>
        <v>-1.0409889394925154E-2</v>
      </c>
      <c r="AW35" s="840">
        <f t="shared" si="43"/>
        <v>-1.7970633355248733E-2</v>
      </c>
      <c r="AX35" s="840"/>
      <c r="AY35" s="1011">
        <f t="shared" si="48"/>
        <v>-1.0409889394925154E-2</v>
      </c>
      <c r="AZ35" s="1011">
        <f t="shared" si="49"/>
        <v>-1.7970633355248733E-2</v>
      </c>
      <c r="BA35" s="840">
        <f t="shared" si="43"/>
        <v>6.0923900914974238E-2</v>
      </c>
      <c r="BB35" s="840">
        <f t="shared" si="50"/>
        <v>2.7555742532604066E-2</v>
      </c>
      <c r="BC35" s="840">
        <f t="shared" si="46"/>
        <v>4.6264073694984642E-2</v>
      </c>
      <c r="BD35" s="840">
        <f t="shared" si="46"/>
        <v>-7.8262570925458075E-4</v>
      </c>
      <c r="BE35" s="840">
        <f t="shared" si="46"/>
        <v>0.15527707068729191</v>
      </c>
      <c r="BF35" s="840"/>
    </row>
    <row r="36" spans="2:63" s="7" customFormat="1">
      <c r="B36" s="841" t="str">
        <f t="shared" si="47"/>
        <v>Total Opex (excl. 1x)</v>
      </c>
      <c r="D36" s="842"/>
      <c r="E36" s="842"/>
      <c r="F36" s="842"/>
      <c r="G36" s="842"/>
      <c r="H36" s="842">
        <f t="shared" si="41"/>
        <v>-2.4367131447137202E-3</v>
      </c>
      <c r="I36" s="842">
        <f t="shared" si="41"/>
        <v>1.6218955904713672E-2</v>
      </c>
      <c r="J36" s="842">
        <f t="shared" si="41"/>
        <v>0.12117584463953168</v>
      </c>
      <c r="K36" s="842">
        <f t="shared" si="41"/>
        <v>9.2025271188461044E-2</v>
      </c>
      <c r="L36" s="842">
        <f t="shared" si="41"/>
        <v>0.16053738634821557</v>
      </c>
      <c r="M36" s="842">
        <f t="shared" si="41"/>
        <v>0.14401496259351632</v>
      </c>
      <c r="N36" s="842">
        <f t="shared" si="41"/>
        <v>9.8350931308577527E-2</v>
      </c>
      <c r="O36" s="842">
        <f t="shared" si="41"/>
        <v>8.7654186224211283E-2</v>
      </c>
      <c r="P36" s="842">
        <f t="shared" si="41"/>
        <v>7.8578110383535904E-2</v>
      </c>
      <c r="Q36" s="842">
        <f t="shared" si="41"/>
        <v>6.7029972752043587E-2</v>
      </c>
      <c r="R36" s="842">
        <f t="shared" si="41"/>
        <v>8.6627781378267432E-2</v>
      </c>
      <c r="S36" s="842">
        <f t="shared" si="41"/>
        <v>9.3938177438779524E-2</v>
      </c>
      <c r="T36" s="842">
        <f t="shared" si="41"/>
        <v>8.0117085862966064E-2</v>
      </c>
      <c r="U36" s="842">
        <f t="shared" si="41"/>
        <v>8.8559754851889716E-2</v>
      </c>
      <c r="V36" s="842">
        <f>+V30/R30-1</f>
        <v>0.10049701789264409</v>
      </c>
      <c r="W36" s="842">
        <f t="shared" si="42"/>
        <v>0.12724770642201833</v>
      </c>
      <c r="X36" s="842">
        <f t="shared" si="42"/>
        <v>3.1416240088326886E-2</v>
      </c>
      <c r="Y36" s="842">
        <f t="shared" si="42"/>
        <v>3.0777892465046364E-2</v>
      </c>
      <c r="Z36" s="842">
        <f t="shared" si="42"/>
        <v>4.8956733809050634E-2</v>
      </c>
      <c r="AA36" s="842">
        <f t="shared" si="42"/>
        <v>6.3400341824692674E-2</v>
      </c>
      <c r="AB36" s="842">
        <f t="shared" si="42"/>
        <v>0.11259244842351102</v>
      </c>
      <c r="AC36" s="842">
        <f t="shared" si="42"/>
        <v>0.13982703686845688</v>
      </c>
      <c r="AD36" s="842">
        <f t="shared" si="42"/>
        <v>0.15224317575131319</v>
      </c>
      <c r="AE36" s="842">
        <f t="shared" si="42"/>
        <v>0.14051737333537417</v>
      </c>
      <c r="AF36" s="842">
        <f t="shared" si="42"/>
        <v>0.15035423773287859</v>
      </c>
      <c r="AG36" s="842">
        <f t="shared" si="42"/>
        <v>6.6559554917015262E-2</v>
      </c>
      <c r="AH36" s="842">
        <f t="shared" si="42"/>
        <v>6.2541451144963567E-2</v>
      </c>
      <c r="AI36" s="842">
        <f t="shared" si="42"/>
        <v>6.0385836481073651E-2</v>
      </c>
      <c r="AJ36" s="842"/>
      <c r="AK36" s="842"/>
      <c r="AL36" s="842">
        <f t="shared" si="43"/>
        <v>5.5836504874615445E-2</v>
      </c>
      <c r="AM36" s="842">
        <f t="shared" si="43"/>
        <v>8.5868062413588797E-2</v>
      </c>
      <c r="AN36" s="842">
        <f t="shared" si="43"/>
        <v>0.20735755536355782</v>
      </c>
      <c r="AO36" s="842">
        <f t="shared" si="43"/>
        <v>-2.3803246582049686E-2</v>
      </c>
      <c r="AP36" s="842">
        <f t="shared" si="43"/>
        <v>2.7778849492650082E-3</v>
      </c>
      <c r="AQ36" s="842">
        <f t="shared" si="43"/>
        <v>4.6708476010926869E-2</v>
      </c>
      <c r="AR36" s="842">
        <f t="shared" si="43"/>
        <v>3.7934203271457356E-2</v>
      </c>
      <c r="AS36" s="842">
        <f t="shared" si="43"/>
        <v>6.1267131777455131E-2</v>
      </c>
      <c r="AT36" s="842">
        <f t="shared" si="43"/>
        <v>6.3469816798478407E-2</v>
      </c>
      <c r="AU36" s="842">
        <f t="shared" si="43"/>
        <v>1.5720606231761192E-2</v>
      </c>
      <c r="AV36" s="842">
        <f t="shared" si="43"/>
        <v>-3.466172381835031E-2</v>
      </c>
      <c r="AW36" s="842">
        <f>+AW30/AV30-1</f>
        <v>5.7891705069124333E-2</v>
      </c>
      <c r="AX36" s="842"/>
      <c r="AY36" s="1012">
        <f t="shared" si="48"/>
        <v>-3.466172381835031E-2</v>
      </c>
      <c r="AZ36" s="1012">
        <f t="shared" si="49"/>
        <v>5.7891705069124333E-2</v>
      </c>
      <c r="BA36" s="842">
        <f t="shared" si="43"/>
        <v>0.12037963552563746</v>
      </c>
      <c r="BB36" s="842">
        <f t="shared" si="50"/>
        <v>8.1869604048824041E-2</v>
      </c>
      <c r="BC36" s="842">
        <f t="shared" si="46"/>
        <v>0.10016510731975781</v>
      </c>
      <c r="BD36" s="842">
        <f t="shared" si="46"/>
        <v>4.4613215698758424E-2</v>
      </c>
      <c r="BE36" s="842">
        <f t="shared" si="46"/>
        <v>0.13707009142359605</v>
      </c>
      <c r="BF36" s="842">
        <f t="shared" si="46"/>
        <v>8.210902387441199E-2</v>
      </c>
    </row>
    <row r="37" spans="2:63">
      <c r="B37" s="13"/>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3"/>
      <c r="AK37" s="3"/>
      <c r="AL37" s="14"/>
      <c r="AM37" s="14"/>
      <c r="AN37" s="14"/>
      <c r="AO37" s="14"/>
      <c r="AP37" s="14"/>
      <c r="AQ37" s="14"/>
      <c r="AR37" s="14"/>
      <c r="AS37" s="14"/>
      <c r="AT37" s="14"/>
      <c r="AU37" s="14"/>
      <c r="AV37" s="14"/>
      <c r="AW37" s="14"/>
      <c r="AZ37" s="14"/>
      <c r="BA37" s="14"/>
      <c r="BB37" s="14"/>
      <c r="BC37" s="14"/>
      <c r="BD37" s="14"/>
      <c r="BE37" s="14"/>
      <c r="BF37" s="14"/>
    </row>
    <row r="38" spans="2:63">
      <c r="B38" s="24" t="s">
        <v>123</v>
      </c>
    </row>
    <row r="39" spans="2:63" s="3" customFormat="1">
      <c r="B39" s="13" t="str">
        <f>+B27</f>
        <v>R&amp;D</v>
      </c>
      <c r="D39" s="228">
        <f t="shared" ref="D39:AF41" si="51">IFERROR(D27/D$12,"n/a ")</f>
        <v>0.14165471066475371</v>
      </c>
      <c r="E39" s="228">
        <f t="shared" si="51"/>
        <v>0.11483784104858828</v>
      </c>
      <c r="F39" s="228">
        <f t="shared" si="51"/>
        <v>0.13849514337500582</v>
      </c>
      <c r="G39" s="228">
        <f t="shared" si="51"/>
        <v>0.13402061855670103</v>
      </c>
      <c r="H39" s="228">
        <f t="shared" si="51"/>
        <v>0.14164538489602335</v>
      </c>
      <c r="I39" s="228">
        <f t="shared" si="51"/>
        <v>0.11856268876326183</v>
      </c>
      <c r="J39" s="228">
        <f t="shared" si="51"/>
        <v>0.14453730828881614</v>
      </c>
      <c r="K39" s="228">
        <f t="shared" si="51"/>
        <v>0.13723882054286271</v>
      </c>
      <c r="L39" s="228">
        <f t="shared" si="51"/>
        <v>0.14565164235063982</v>
      </c>
      <c r="M39" s="228">
        <f t="shared" si="51"/>
        <v>0.12117020540839615</v>
      </c>
      <c r="N39" s="228">
        <f t="shared" si="51"/>
        <v>0.13852119765837653</v>
      </c>
      <c r="O39" s="228">
        <f t="shared" si="51"/>
        <v>0.1307295994681735</v>
      </c>
      <c r="P39" s="228">
        <f t="shared" si="51"/>
        <v>0.13674185118965754</v>
      </c>
      <c r="Q39" s="228">
        <f t="shared" si="51"/>
        <v>0.12534261340888794</v>
      </c>
      <c r="R39" s="228">
        <f t="shared" si="51"/>
        <v>0.14117954924601747</v>
      </c>
      <c r="S39" s="228">
        <f t="shared" si="51"/>
        <v>0.13384939348103331</v>
      </c>
      <c r="T39" s="228">
        <f t="shared" si="51"/>
        <v>0.13810316139767054</v>
      </c>
      <c r="U39" s="228">
        <f t="shared" si="51"/>
        <v>0.1247222673819975</v>
      </c>
      <c r="V39" s="228">
        <f t="shared" si="51"/>
        <v>0.13954484452185831</v>
      </c>
      <c r="W39" s="228">
        <f t="shared" si="51"/>
        <v>0.13709147319433124</v>
      </c>
      <c r="X39" s="228">
        <f t="shared" si="51"/>
        <v>0.13258330193249718</v>
      </c>
      <c r="Y39" s="228">
        <f t="shared" si="51"/>
        <v>0.11372922276905933</v>
      </c>
      <c r="Z39" s="228">
        <f t="shared" si="51"/>
        <v>0.12477820937035439</v>
      </c>
      <c r="AA39" s="228">
        <f t="shared" si="51"/>
        <v>0.12322326226382388</v>
      </c>
      <c r="AB39" s="228">
        <f t="shared" si="51"/>
        <v>0.12355186795242404</v>
      </c>
      <c r="AC39" s="228">
        <f t="shared" si="51"/>
        <v>0.11131302196102691</v>
      </c>
      <c r="AD39" s="228">
        <f t="shared" si="51"/>
        <v>0.12775526742301457</v>
      </c>
      <c r="AE39" s="228">
        <f t="shared" si="51"/>
        <v>0.13205437192711847</v>
      </c>
      <c r="AF39" s="228">
        <f t="shared" si="51"/>
        <v>0.13223734088823272</v>
      </c>
      <c r="AG39" s="228"/>
      <c r="AH39" s="228"/>
      <c r="AI39" s="228"/>
      <c r="AJ39" s="228"/>
      <c r="AK39" s="228">
        <f t="shared" ref="AK39:AW41" si="52">IFERROR(AK27/AK$12,"n/a ")</f>
        <v>0.1532371569317382</v>
      </c>
      <c r="AL39" s="228">
        <f t="shared" si="52"/>
        <v>0.14868343796576486</v>
      </c>
      <c r="AM39" s="228">
        <f t="shared" si="52"/>
        <v>0.13929423731465906</v>
      </c>
      <c r="AN39" s="228">
        <f t="shared" si="52"/>
        <v>0.13512082092022509</v>
      </c>
      <c r="AO39" s="228">
        <f t="shared" si="52"/>
        <v>0.15418313739582798</v>
      </c>
      <c r="AP39" s="228">
        <f t="shared" si="52"/>
        <v>0.139459701683631</v>
      </c>
      <c r="AQ39" s="228">
        <f t="shared" si="52"/>
        <v>0.12929099409519179</v>
      </c>
      <c r="AR39" s="228">
        <f t="shared" si="52"/>
        <v>0.13307922900587332</v>
      </c>
      <c r="AS39" s="228">
        <f t="shared" si="52"/>
        <v>0.13373325283561768</v>
      </c>
      <c r="AT39" s="228">
        <f t="shared" si="52"/>
        <v>0.13106768164177213</v>
      </c>
      <c r="AU39" s="228">
        <f t="shared" si="52"/>
        <v>0.12872408634323573</v>
      </c>
      <c r="AV39" s="228">
        <f t="shared" si="52"/>
        <v>0.14050632911392405</v>
      </c>
      <c r="AW39" s="228">
        <f t="shared" si="52"/>
        <v>0.1449360755975542</v>
      </c>
      <c r="AX39" s="228"/>
      <c r="AY39" s="1010">
        <f t="shared" ref="AY39:AY42" si="53">+AV39</f>
        <v>0.14050632911392405</v>
      </c>
      <c r="AZ39" s="1010">
        <f t="shared" ref="AZ39:AZ42" si="54">+AW39</f>
        <v>0.1449360755975542</v>
      </c>
      <c r="BA39" s="228">
        <f t="shared" ref="BA39:BE41" si="55">IFERROR(BA27/BA$12,"n/a ")</f>
        <v>0.13343602754621239</v>
      </c>
      <c r="BB39" s="228">
        <f t="shared" si="55"/>
        <v>0.13410360528595155</v>
      </c>
      <c r="BC39" s="228">
        <f t="shared" si="55"/>
        <v>0.1347341187987274</v>
      </c>
      <c r="BD39" s="228">
        <f t="shared" si="55"/>
        <v>0.12324496692208843</v>
      </c>
      <c r="BE39" s="228">
        <f t="shared" si="55"/>
        <v>0.12362939426035205</v>
      </c>
      <c r="BF39" s="228"/>
    </row>
    <row r="40" spans="2:63" s="3" customFormat="1">
      <c r="B40" s="13" t="str">
        <f>+B28</f>
        <v>S&amp;M</v>
      </c>
      <c r="D40" s="228">
        <f t="shared" si="51"/>
        <v>0.15978000956480154</v>
      </c>
      <c r="E40" s="228">
        <f t="shared" si="51"/>
        <v>0.15657545638142004</v>
      </c>
      <c r="F40" s="228">
        <f t="shared" si="51"/>
        <v>0.15792164335176836</v>
      </c>
      <c r="G40" s="228">
        <f t="shared" si="51"/>
        <v>0.16793047627161967</v>
      </c>
      <c r="H40" s="228">
        <f t="shared" si="51"/>
        <v>0.14675300985041956</v>
      </c>
      <c r="I40" s="228">
        <f t="shared" si="51"/>
        <v>0.1579416092310075</v>
      </c>
      <c r="J40" s="228">
        <f t="shared" si="51"/>
        <v>0.16681027054971567</v>
      </c>
      <c r="K40" s="228">
        <f t="shared" si="51"/>
        <v>0.16762351103300135</v>
      </c>
      <c r="L40" s="228">
        <f t="shared" si="51"/>
        <v>0.15535088434265221</v>
      </c>
      <c r="M40" s="228">
        <f t="shared" si="51"/>
        <v>0.15775641468981258</v>
      </c>
      <c r="N40" s="228">
        <f t="shared" si="51"/>
        <v>0.16163913643312577</v>
      </c>
      <c r="O40" s="228">
        <f t="shared" si="51"/>
        <v>0.15821838125311616</v>
      </c>
      <c r="P40" s="228">
        <f t="shared" si="51"/>
        <v>0.14090221427589053</v>
      </c>
      <c r="Q40" s="228">
        <f t="shared" si="51"/>
        <v>0.14129530966092821</v>
      </c>
      <c r="R40" s="228">
        <f t="shared" si="51"/>
        <v>0.14932452324098</v>
      </c>
      <c r="S40" s="228">
        <f t="shared" si="51"/>
        <v>0.14716611798202686</v>
      </c>
      <c r="T40" s="228">
        <f t="shared" si="51"/>
        <v>0.13120556648010892</v>
      </c>
      <c r="U40" s="228">
        <f t="shared" si="51"/>
        <v>0.13366390288841923</v>
      </c>
      <c r="V40" s="228">
        <f t="shared" si="51"/>
        <v>0.14023014762571029</v>
      </c>
      <c r="W40" s="228">
        <f t="shared" si="51"/>
        <v>0.14242894328609365</v>
      </c>
      <c r="X40" s="228">
        <f t="shared" si="51"/>
        <v>0.11387737524896377</v>
      </c>
      <c r="Y40" s="228">
        <f t="shared" si="51"/>
        <v>0.11484353236140775</v>
      </c>
      <c r="Z40" s="228">
        <f t="shared" si="51"/>
        <v>0.12185297079556898</v>
      </c>
      <c r="AA40" s="228">
        <f t="shared" si="51"/>
        <v>0.12690674293638413</v>
      </c>
      <c r="AB40" s="228">
        <f t="shared" si="51"/>
        <v>0.100337621643092</v>
      </c>
      <c r="AC40" s="228">
        <f t="shared" si="51"/>
        <v>0.10398623569440149</v>
      </c>
      <c r="AD40" s="228">
        <f t="shared" si="51"/>
        <v>0.11335089141004863</v>
      </c>
      <c r="AE40" s="228">
        <f t="shared" si="51"/>
        <v>0.12154632218258941</v>
      </c>
      <c r="AF40" s="228">
        <f t="shared" si="51"/>
        <v>0.10227046007741111</v>
      </c>
      <c r="AG40" s="228"/>
      <c r="AH40" s="228"/>
      <c r="AI40" s="228"/>
      <c r="AJ40" s="228"/>
      <c r="AK40" s="228">
        <f t="shared" si="52"/>
        <v>0.21483864481753293</v>
      </c>
      <c r="AL40" s="228">
        <f t="shared" si="52"/>
        <v>0.22379296328079129</v>
      </c>
      <c r="AM40" s="228">
        <f t="shared" si="52"/>
        <v>0.22575407847893275</v>
      </c>
      <c r="AN40" s="228">
        <f t="shared" si="52"/>
        <v>0.21946375372393248</v>
      </c>
      <c r="AO40" s="228">
        <f t="shared" si="52"/>
        <v>0.22039119051285999</v>
      </c>
      <c r="AP40" s="228">
        <f t="shared" si="52"/>
        <v>0.21147813840343127</v>
      </c>
      <c r="AQ40" s="228">
        <f t="shared" si="52"/>
        <v>0.1993051484780464</v>
      </c>
      <c r="AR40" s="228">
        <f t="shared" si="52"/>
        <v>0.18796033802205553</v>
      </c>
      <c r="AS40" s="228">
        <f t="shared" si="52"/>
        <v>0.19622602730927821</v>
      </c>
      <c r="AT40" s="228">
        <f t="shared" si="52"/>
        <v>0.18208515195835684</v>
      </c>
      <c r="AU40" s="228">
        <f t="shared" si="52"/>
        <v>0.16790980978841633</v>
      </c>
      <c r="AV40" s="228">
        <f t="shared" si="52"/>
        <v>0.17225738396624474</v>
      </c>
      <c r="AW40" s="228">
        <f t="shared" si="52"/>
        <v>0.17275152862701501</v>
      </c>
      <c r="AX40" s="228"/>
      <c r="AY40" s="1010">
        <f t="shared" si="53"/>
        <v>0.17225738396624474</v>
      </c>
      <c r="AZ40" s="1010">
        <f t="shared" si="54"/>
        <v>0.17275152862701501</v>
      </c>
      <c r="BA40" s="228">
        <f t="shared" si="55"/>
        <v>0.15829104748097136</v>
      </c>
      <c r="BB40" s="228">
        <f t="shared" si="55"/>
        <v>0.14472795467368069</v>
      </c>
      <c r="BC40" s="228">
        <f t="shared" si="55"/>
        <v>0.13703457679264414</v>
      </c>
      <c r="BD40" s="228">
        <f t="shared" si="55"/>
        <v>0.1196813573842273</v>
      </c>
      <c r="BE40" s="228">
        <f t="shared" si="55"/>
        <v>0.11007716749886519</v>
      </c>
      <c r="BF40" s="228"/>
    </row>
    <row r="41" spans="2:63" s="839" customFormat="1" ht="11.45">
      <c r="B41" s="13" t="str">
        <f>+B29</f>
        <v>G&amp;A</v>
      </c>
      <c r="D41" s="840">
        <f t="shared" si="51"/>
        <v>5.1841224294595888E-2</v>
      </c>
      <c r="E41" s="840">
        <f t="shared" si="51"/>
        <v>4.1104027244287807E-2</v>
      </c>
      <c r="F41" s="840">
        <f t="shared" si="51"/>
        <v>5.2981363572988799E-2</v>
      </c>
      <c r="G41" s="840">
        <f t="shared" si="51"/>
        <v>5.5423021214961232E-2</v>
      </c>
      <c r="H41" s="840">
        <f t="shared" si="51"/>
        <v>4.7655964976286026E-2</v>
      </c>
      <c r="I41" s="840">
        <f t="shared" si="51"/>
        <v>3.4035468132889338E-2</v>
      </c>
      <c r="J41" s="840">
        <f t="shared" si="51"/>
        <v>5.178356022746855E-2</v>
      </c>
      <c r="K41" s="840">
        <f t="shared" si="51"/>
        <v>5.291935168912322E-2</v>
      </c>
      <c r="L41" s="840">
        <f t="shared" si="51"/>
        <v>4.7518135137338005E-2</v>
      </c>
      <c r="M41" s="840">
        <f t="shared" si="51"/>
        <v>3.834981672314821E-2</v>
      </c>
      <c r="N41" s="840">
        <f t="shared" si="51"/>
        <v>4.5042693612737238E-2</v>
      </c>
      <c r="O41" s="840">
        <f t="shared" si="51"/>
        <v>4.2246966927040053E-2</v>
      </c>
      <c r="P41" s="840">
        <f t="shared" si="51"/>
        <v>3.9506257736212351E-2</v>
      </c>
      <c r="Q41" s="840">
        <f t="shared" si="51"/>
        <v>3.486187675156293E-2</v>
      </c>
      <c r="R41" s="840">
        <f t="shared" si="51"/>
        <v>3.8565961205063622E-2</v>
      </c>
      <c r="S41" s="840">
        <f t="shared" si="51"/>
        <v>4.2263546578877126E-2</v>
      </c>
      <c r="T41" s="840">
        <f t="shared" si="51"/>
        <v>3.2098018454091666E-2</v>
      </c>
      <c r="U41" s="840">
        <f t="shared" si="51"/>
        <v>3.0374464856662873E-2</v>
      </c>
      <c r="V41" s="840">
        <f t="shared" si="51"/>
        <v>3.6349618800148482E-2</v>
      </c>
      <c r="W41" s="840">
        <f t="shared" si="51"/>
        <v>4.3541135329845132E-2</v>
      </c>
      <c r="X41" s="840">
        <f t="shared" si="51"/>
        <v>3.0117887710609893E-2</v>
      </c>
      <c r="Y41" s="840">
        <f t="shared" si="51"/>
        <v>2.6441638035100752E-2</v>
      </c>
      <c r="Z41" s="840">
        <f t="shared" si="51"/>
        <v>3.1817963842133028E-2</v>
      </c>
      <c r="AA41" s="840">
        <f t="shared" si="51"/>
        <v>3.2977985786098112E-2</v>
      </c>
      <c r="AB41" s="840">
        <f t="shared" si="51"/>
        <v>2.8399938213032636E-2</v>
      </c>
      <c r="AC41" s="840">
        <f t="shared" si="51"/>
        <v>2.6755335601608414E-2</v>
      </c>
      <c r="AD41" s="840">
        <f t="shared" si="51"/>
        <v>2.9983792544570502E-2</v>
      </c>
      <c r="AE41" s="840">
        <f t="shared" si="51"/>
        <v>3.3722163308589605E-2</v>
      </c>
      <c r="AF41" s="840">
        <f t="shared" si="51"/>
        <v>2.789194365747576E-2</v>
      </c>
      <c r="AG41" s="840"/>
      <c r="AH41" s="840"/>
      <c r="AI41" s="840"/>
      <c r="AJ41" s="840"/>
      <c r="AK41" s="840">
        <f t="shared" si="52"/>
        <v>0.11400422237860662</v>
      </c>
      <c r="AL41" s="840">
        <f t="shared" si="52"/>
        <v>8.4865182241091186E-2</v>
      </c>
      <c r="AM41" s="840">
        <f t="shared" si="52"/>
        <v>6.5118735573725592E-2</v>
      </c>
      <c r="AN41" s="840">
        <f t="shared" si="52"/>
        <v>8.4856007944389272E-2</v>
      </c>
      <c r="AO41" s="840">
        <f t="shared" si="52"/>
        <v>6.896315690401629E-2</v>
      </c>
      <c r="AP41" s="840">
        <f t="shared" si="52"/>
        <v>6.5024646309455217E-2</v>
      </c>
      <c r="AQ41" s="840">
        <f t="shared" si="52"/>
        <v>6.0363438800165849E-2</v>
      </c>
      <c r="AR41" s="840">
        <f t="shared" si="52"/>
        <v>6.1975231610216619E-2</v>
      </c>
      <c r="AS41" s="840">
        <f t="shared" si="52"/>
        <v>5.4978227080630451E-2</v>
      </c>
      <c r="AT41" s="840">
        <f t="shared" si="52"/>
        <v>5.3862010986606472E-2</v>
      </c>
      <c r="AU41" s="840">
        <f t="shared" si="52"/>
        <v>4.9273349006197904E-2</v>
      </c>
      <c r="AV41" s="840">
        <f t="shared" si="52"/>
        <v>5.3481012658227849E-2</v>
      </c>
      <c r="AW41" s="840">
        <f t="shared" si="52"/>
        <v>4.9816564758198997E-2</v>
      </c>
      <c r="AX41" s="840"/>
      <c r="AY41" s="1011">
        <f t="shared" si="53"/>
        <v>5.3481012658227849E-2</v>
      </c>
      <c r="AZ41" s="1011">
        <f t="shared" si="54"/>
        <v>4.9816564758198997E-2</v>
      </c>
      <c r="BA41" s="840">
        <f t="shared" si="55"/>
        <v>4.3077201884740846E-2</v>
      </c>
      <c r="BB41" s="840">
        <f t="shared" si="55"/>
        <v>3.8818209991815199E-2</v>
      </c>
      <c r="BC41" s="840">
        <f t="shared" si="55"/>
        <v>3.5737510051393209E-2</v>
      </c>
      <c r="BD41" s="840">
        <f t="shared" si="55"/>
        <v>3.0382894674218265E-2</v>
      </c>
      <c r="BE41" s="840">
        <f t="shared" si="55"/>
        <v>2.9757401523175468E-2</v>
      </c>
      <c r="BF41" s="840"/>
    </row>
    <row r="42" spans="2:63" s="7" customFormat="1">
      <c r="B42" s="841" t="str">
        <f>+B30</f>
        <v>Total Opex (excl. 1x)</v>
      </c>
      <c r="D42" s="842">
        <f t="shared" ref="D42:AI42" si="56">+D30/D12</f>
        <v>0.35327594452415112</v>
      </c>
      <c r="E42" s="842">
        <f t="shared" si="56"/>
        <v>0.3125173246742961</v>
      </c>
      <c r="F42" s="842">
        <f t="shared" si="56"/>
        <v>0.34939815029976296</v>
      </c>
      <c r="G42" s="842">
        <f t="shared" si="56"/>
        <v>0.35737411604328195</v>
      </c>
      <c r="H42" s="842">
        <f t="shared" si="56"/>
        <v>0.33605435972272896</v>
      </c>
      <c r="I42" s="842">
        <f t="shared" si="56"/>
        <v>0.31053976612715867</v>
      </c>
      <c r="J42" s="842">
        <f t="shared" si="56"/>
        <v>0.36313113906600036</v>
      </c>
      <c r="K42" s="842">
        <f t="shared" si="56"/>
        <v>0.35778168326498733</v>
      </c>
      <c r="L42" s="842">
        <f t="shared" si="56"/>
        <v>0.34852066183063002</v>
      </c>
      <c r="M42" s="842">
        <f t="shared" si="56"/>
        <v>0.31727643682135692</v>
      </c>
      <c r="N42" s="842">
        <f t="shared" si="56"/>
        <v>0.34520302770423955</v>
      </c>
      <c r="O42" s="842">
        <f t="shared" si="56"/>
        <v>0.33119494764832974</v>
      </c>
      <c r="P42" s="842">
        <f t="shared" si="56"/>
        <v>0.3171503232017604</v>
      </c>
      <c r="Q42" s="842">
        <f t="shared" si="56"/>
        <v>0.30149979982137909</v>
      </c>
      <c r="R42" s="842">
        <f t="shared" si="56"/>
        <v>0.32907003369206111</v>
      </c>
      <c r="S42" s="842">
        <f t="shared" si="56"/>
        <v>0.32327905804193729</v>
      </c>
      <c r="T42" s="842">
        <f t="shared" si="56"/>
        <v>0.30140674633187114</v>
      </c>
      <c r="U42" s="842">
        <f t="shared" si="56"/>
        <v>0.28876063512707961</v>
      </c>
      <c r="V42" s="842">
        <f t="shared" si="56"/>
        <v>0.3161246109477171</v>
      </c>
      <c r="W42" s="842">
        <f t="shared" si="56"/>
        <v>0.32306155181027002</v>
      </c>
      <c r="X42" s="842">
        <f t="shared" si="56"/>
        <v>0.27657856489207083</v>
      </c>
      <c r="Y42" s="842">
        <f t="shared" si="56"/>
        <v>0.25501439316556784</v>
      </c>
      <c r="Z42" s="842">
        <f t="shared" si="56"/>
        <v>0.27844914400805637</v>
      </c>
      <c r="AA42" s="842">
        <f t="shared" si="56"/>
        <v>0.28310799098630612</v>
      </c>
      <c r="AB42" s="842">
        <f t="shared" si="56"/>
        <v>0.25228942780854868</v>
      </c>
      <c r="AC42" s="842">
        <f t="shared" si="56"/>
        <v>0.24205459325703682</v>
      </c>
      <c r="AD42" s="842">
        <f t="shared" si="56"/>
        <v>0.2710899513776337</v>
      </c>
      <c r="AE42" s="842">
        <f t="shared" si="56"/>
        <v>0.28732285741829749</v>
      </c>
      <c r="AF42" s="842">
        <f t="shared" si="56"/>
        <v>0.2623997446231196</v>
      </c>
      <c r="AG42" s="842">
        <f t="shared" si="56"/>
        <v>0.24920148226082545</v>
      </c>
      <c r="AH42" s="842">
        <f t="shared" si="56"/>
        <v>0.27570158772343484</v>
      </c>
      <c r="AI42" s="842">
        <f t="shared" si="56"/>
        <v>0.28532064866844736</v>
      </c>
      <c r="AJ42" s="842"/>
      <c r="AK42" s="842">
        <f t="shared" ref="AK42:AW42" si="57">+AK30/AK12</f>
        <v>0.48208002412787776</v>
      </c>
      <c r="AL42" s="842">
        <f t="shared" si="57"/>
        <v>0.45734158348764736</v>
      </c>
      <c r="AM42" s="842">
        <f t="shared" si="57"/>
        <v>0.43016705136731742</v>
      </c>
      <c r="AN42" s="842">
        <f t="shared" si="57"/>
        <v>0.43944058258854685</v>
      </c>
      <c r="AO42" s="842">
        <f t="shared" si="57"/>
        <v>0.44353748481270427</v>
      </c>
      <c r="AP42" s="842">
        <f t="shared" si="57"/>
        <v>0.41596248639651751</v>
      </c>
      <c r="AQ42" s="842">
        <f t="shared" si="57"/>
        <v>0.38895958137340408</v>
      </c>
      <c r="AR42" s="842">
        <f t="shared" si="57"/>
        <v>0.38301479863814547</v>
      </c>
      <c r="AS42" s="842">
        <f t="shared" si="57"/>
        <v>0.38493750722552633</v>
      </c>
      <c r="AT42" s="842">
        <f t="shared" si="57"/>
        <v>0.36701484458673544</v>
      </c>
      <c r="AU42" s="842">
        <f t="shared" si="57"/>
        <v>0.34590724513784998</v>
      </c>
      <c r="AV42" s="842">
        <f t="shared" si="57"/>
        <v>0.36624472573839661</v>
      </c>
      <c r="AW42" s="842">
        <f t="shared" si="57"/>
        <v>0.36750416898276822</v>
      </c>
      <c r="AX42" s="842"/>
      <c r="AY42" s="1012">
        <f t="shared" si="53"/>
        <v>0.36624472573839661</v>
      </c>
      <c r="AZ42" s="1012">
        <f t="shared" si="54"/>
        <v>0.36750416898276822</v>
      </c>
      <c r="BA42" s="842">
        <f>+BA30/BA12</f>
        <v>0.3348042769119246</v>
      </c>
      <c r="BB42" s="842">
        <f>+BB30/BB12</f>
        <v>0.31764976995144745</v>
      </c>
      <c r="BC42" s="842">
        <f t="shared" ref="BC42:BF42" si="58">+BC30/BC12</f>
        <v>0.30750620564276476</v>
      </c>
      <c r="BD42" s="842">
        <f t="shared" si="58"/>
        <v>0.27330921898053401</v>
      </c>
      <c r="BE42" s="842">
        <f t="shared" si="58"/>
        <v>0.26346396328239269</v>
      </c>
      <c r="BF42" s="842">
        <f t="shared" si="58"/>
        <v>0.26832445673666194</v>
      </c>
    </row>
    <row r="43" spans="2:63">
      <c r="B43" s="843"/>
      <c r="D43" s="825"/>
      <c r="E43" s="825"/>
      <c r="F43" s="825"/>
      <c r="G43" s="825"/>
      <c r="H43" s="825"/>
      <c r="I43" s="825"/>
      <c r="J43" s="825"/>
      <c r="K43" s="825"/>
      <c r="L43" s="825"/>
      <c r="M43" s="825"/>
      <c r="N43" s="825"/>
      <c r="O43" s="825"/>
      <c r="P43" s="825"/>
      <c r="Q43" s="825"/>
      <c r="R43" s="825"/>
      <c r="S43" s="825"/>
      <c r="T43" s="825"/>
      <c r="U43" s="825"/>
      <c r="X43" s="826"/>
      <c r="Y43" s="826"/>
      <c r="Z43" s="844"/>
      <c r="AA43" s="828"/>
      <c r="AB43" s="827"/>
      <c r="AC43" s="828"/>
      <c r="AF43" s="828" t="s">
        <v>267</v>
      </c>
      <c r="AG43" s="992">
        <f>+BN134*1000</f>
        <v>21000</v>
      </c>
      <c r="AH43" s="828"/>
      <c r="AI43" s="828"/>
      <c r="AP43" s="8"/>
      <c r="AS43" s="8"/>
      <c r="AT43" s="8"/>
      <c r="AY43" s="9"/>
    </row>
    <row r="44" spans="2:63">
      <c r="B44" t="s">
        <v>95</v>
      </c>
      <c r="D44" s="8">
        <f t="shared" ref="D44:V44" si="59">+D21-D30</f>
        <v>6316</v>
      </c>
      <c r="E44" s="8">
        <f t="shared" si="59"/>
        <v>7489</v>
      </c>
      <c r="F44" s="8">
        <f t="shared" si="59"/>
        <v>6277</v>
      </c>
      <c r="G44" s="8">
        <f t="shared" si="59"/>
        <v>7106</v>
      </c>
      <c r="H44" s="8">
        <f t="shared" si="59"/>
        <v>6715</v>
      </c>
      <c r="I44" s="8">
        <f t="shared" si="59"/>
        <v>7905</v>
      </c>
      <c r="J44" s="8">
        <f t="shared" si="59"/>
        <v>6723</v>
      </c>
      <c r="K44" s="8">
        <f t="shared" si="59"/>
        <v>7988</v>
      </c>
      <c r="L44" s="8">
        <f t="shared" si="59"/>
        <v>7708</v>
      </c>
      <c r="M44" s="8">
        <f t="shared" si="59"/>
        <v>8679</v>
      </c>
      <c r="N44" s="8">
        <f t="shared" si="59"/>
        <v>8292</v>
      </c>
      <c r="O44" s="8">
        <f t="shared" si="59"/>
        <v>10379</v>
      </c>
      <c r="P44" s="8">
        <f t="shared" si="59"/>
        <v>9955</v>
      </c>
      <c r="Q44" s="8">
        <f t="shared" si="59"/>
        <v>10258</v>
      </c>
      <c r="R44" s="8">
        <f t="shared" si="59"/>
        <v>10341</v>
      </c>
      <c r="S44" s="8">
        <f t="shared" si="59"/>
        <v>12405</v>
      </c>
      <c r="T44" s="8">
        <f t="shared" si="59"/>
        <v>12686</v>
      </c>
      <c r="U44" s="8">
        <f t="shared" si="59"/>
        <v>13891</v>
      </c>
      <c r="V44" s="8">
        <f t="shared" si="59"/>
        <v>12975</v>
      </c>
      <c r="W44" s="8">
        <f>+W21-W30</f>
        <v>13407</v>
      </c>
      <c r="X44" s="8">
        <f t="shared" ref="X44:Y44" si="60">+X21-X30</f>
        <v>15876</v>
      </c>
      <c r="Y44" s="8">
        <f t="shared" si="60"/>
        <v>17897</v>
      </c>
      <c r="Z44" s="8">
        <f t="shared" ref="Z44:AI44" si="61">+Z146</f>
        <v>17048</v>
      </c>
      <c r="AA44" s="8">
        <f t="shared" si="61"/>
        <v>19095</v>
      </c>
      <c r="AB44" s="8">
        <f t="shared" si="61"/>
        <v>20238</v>
      </c>
      <c r="AC44" s="8">
        <f t="shared" si="61"/>
        <v>22247</v>
      </c>
      <c r="AD44" s="8">
        <f t="shared" si="61"/>
        <v>20364</v>
      </c>
      <c r="AE44" s="8">
        <f t="shared" si="61"/>
        <v>20534</v>
      </c>
      <c r="AF44" s="8">
        <f t="shared" si="61"/>
        <v>21518</v>
      </c>
      <c r="AG44" s="8">
        <f t="shared" si="61"/>
        <v>22280.325017420888</v>
      </c>
      <c r="AH44" s="8">
        <f t="shared" si="61"/>
        <v>20668.367261994536</v>
      </c>
      <c r="AI44" s="8">
        <f t="shared" si="61"/>
        <v>21640.852583138716</v>
      </c>
      <c r="AK44" s="8">
        <f t="shared" ref="AK44:AW44" si="62">+AK21-AK30</f>
        <v>14576</v>
      </c>
      <c r="AL44" s="8">
        <f t="shared" si="62"/>
        <v>16380</v>
      </c>
      <c r="AM44" s="8">
        <f t="shared" si="62"/>
        <v>18438</v>
      </c>
      <c r="AN44" s="8">
        <f t="shared" si="62"/>
        <v>22271</v>
      </c>
      <c r="AO44" s="8">
        <f t="shared" si="62"/>
        <v>20363</v>
      </c>
      <c r="AP44" s="8">
        <f t="shared" si="62"/>
        <v>24098</v>
      </c>
      <c r="AQ44" s="8">
        <f t="shared" si="62"/>
        <v>27161</v>
      </c>
      <c r="AR44" s="8">
        <f t="shared" si="62"/>
        <v>27956</v>
      </c>
      <c r="AS44" s="8">
        <f t="shared" si="62"/>
        <v>27497</v>
      </c>
      <c r="AT44" s="8">
        <f t="shared" si="62"/>
        <v>27886</v>
      </c>
      <c r="AU44" s="8">
        <f t="shared" si="62"/>
        <v>28172</v>
      </c>
      <c r="AV44" s="8">
        <f t="shared" si="62"/>
        <v>21292</v>
      </c>
      <c r="AW44" s="8">
        <f t="shared" si="62"/>
        <v>22632</v>
      </c>
      <c r="AY44" s="8">
        <f>+AY21-AY30</f>
        <v>27188</v>
      </c>
      <c r="AZ44" s="8">
        <f>+AZ21-AZ30</f>
        <v>29331</v>
      </c>
      <c r="BA44" s="8">
        <f>+BA21-BA30</f>
        <v>35058</v>
      </c>
      <c r="BB44" s="8">
        <f>+BB21-BB30</f>
        <v>42959</v>
      </c>
      <c r="BC44" s="8">
        <f>SUM(T44:W44)</f>
        <v>52959</v>
      </c>
      <c r="BD44" s="8">
        <f>SUM(X44:AA44)</f>
        <v>69916</v>
      </c>
      <c r="BE44" s="8">
        <f>SUM(AB44:AE44)</f>
        <v>83383</v>
      </c>
      <c r="BF44" s="8">
        <f>SUM(AF44:AI44)</f>
        <v>86107.544862554147</v>
      </c>
      <c r="BI44" s="8"/>
      <c r="BJ44" s="8"/>
    </row>
    <row r="45" spans="2:63" s="3" customFormat="1">
      <c r="B45" s="13" t="s">
        <v>113</v>
      </c>
      <c r="D45" s="228"/>
      <c r="E45" s="228"/>
      <c r="F45" s="228"/>
      <c r="G45" s="228"/>
      <c r="H45" s="228">
        <f>IFERROR(H44/D44-1,"n/a ")</f>
        <v>6.317289423685879E-2</v>
      </c>
      <c r="I45" s="228">
        <f t="shared" ref="I45:AI45" si="63">IFERROR(I44/E44-1,"n/a ")</f>
        <v>5.5548137267993125E-2</v>
      </c>
      <c r="J45" s="228">
        <f t="shared" si="63"/>
        <v>7.1053050820455654E-2</v>
      </c>
      <c r="K45" s="228">
        <f t="shared" si="63"/>
        <v>0.12412046158176193</v>
      </c>
      <c r="L45" s="228">
        <f t="shared" si="63"/>
        <v>0.14787788533134782</v>
      </c>
      <c r="M45" s="228">
        <f t="shared" si="63"/>
        <v>9.7912713472485757E-2</v>
      </c>
      <c r="N45" s="228">
        <f t="shared" si="63"/>
        <v>0.23337795626952262</v>
      </c>
      <c r="O45" s="228">
        <f t="shared" si="63"/>
        <v>0.29932398597896848</v>
      </c>
      <c r="P45" s="228">
        <f t="shared" si="63"/>
        <v>0.29151530877010901</v>
      </c>
      <c r="Q45" s="228">
        <f t="shared" si="63"/>
        <v>0.18193340246572176</v>
      </c>
      <c r="R45" s="228">
        <f t="shared" si="63"/>
        <v>0.2471056439942112</v>
      </c>
      <c r="S45" s="228">
        <f t="shared" si="63"/>
        <v>0.19520184988919942</v>
      </c>
      <c r="T45" s="228">
        <f t="shared" si="63"/>
        <v>0.27433450527373182</v>
      </c>
      <c r="U45" s="228">
        <f t="shared" si="63"/>
        <v>0.3541626047962565</v>
      </c>
      <c r="V45" s="228">
        <f t="shared" si="63"/>
        <v>0.25471424427038003</v>
      </c>
      <c r="W45" s="228">
        <f t="shared" si="63"/>
        <v>8.0773881499395461E-2</v>
      </c>
      <c r="X45" s="228">
        <f t="shared" si="63"/>
        <v>0.25145830048872764</v>
      </c>
      <c r="Y45" s="228">
        <f t="shared" si="63"/>
        <v>0.28838816499892017</v>
      </c>
      <c r="Z45" s="228">
        <f t="shared" si="63"/>
        <v>0.31391136801541419</v>
      </c>
      <c r="AA45" s="228">
        <f t="shared" si="63"/>
        <v>0.42425598567912282</v>
      </c>
      <c r="AB45" s="228">
        <f t="shared" si="63"/>
        <v>0.27475434618291761</v>
      </c>
      <c r="AC45" s="228">
        <f t="shared" si="63"/>
        <v>0.24305749566966539</v>
      </c>
      <c r="AD45" s="228">
        <f t="shared" si="63"/>
        <v>0.19450961989676219</v>
      </c>
      <c r="AE45" s="228">
        <f t="shared" si="63"/>
        <v>7.5360041895784269E-2</v>
      </c>
      <c r="AF45" s="228">
        <f t="shared" si="63"/>
        <v>6.3247356458147941E-2</v>
      </c>
      <c r="AG45" s="228">
        <f t="shared" si="63"/>
        <v>1.4979555634866415E-3</v>
      </c>
      <c r="AH45" s="228">
        <f t="shared" si="63"/>
        <v>1.4946339716879642E-2</v>
      </c>
      <c r="AI45" s="228">
        <f t="shared" si="63"/>
        <v>5.3903408159088118E-2</v>
      </c>
      <c r="AJ45" s="228"/>
      <c r="AK45" s="228"/>
      <c r="AL45" s="228">
        <f>IFERROR(AL44/AK44-1,"n/a ")</f>
        <v>0.12376509330406149</v>
      </c>
      <c r="AM45" s="228">
        <f t="shared" ref="AM45:AW45" si="64">IFERROR(AM44/AL44-1,"n/a ")</f>
        <v>0.12564102564102564</v>
      </c>
      <c r="AN45" s="228">
        <f t="shared" si="64"/>
        <v>0.2078858878403298</v>
      </c>
      <c r="AO45" s="228">
        <f t="shared" si="64"/>
        <v>-8.5671950069597269E-2</v>
      </c>
      <c r="AP45" s="228">
        <f t="shared" si="64"/>
        <v>0.18342091047488096</v>
      </c>
      <c r="AQ45" s="228">
        <f t="shared" si="64"/>
        <v>0.12710598389907868</v>
      </c>
      <c r="AR45" s="228">
        <f t="shared" si="64"/>
        <v>2.9269909060785748E-2</v>
      </c>
      <c r="AS45" s="228">
        <f t="shared" si="64"/>
        <v>-1.6418657890971522E-2</v>
      </c>
      <c r="AT45" s="228">
        <f t="shared" si="64"/>
        <v>1.4146997854311394E-2</v>
      </c>
      <c r="AU45" s="228">
        <f t="shared" si="64"/>
        <v>1.025604245858136E-2</v>
      </c>
      <c r="AV45" s="228">
        <f t="shared" si="64"/>
        <v>-0.24421411330398979</v>
      </c>
      <c r="AW45" s="228">
        <f t="shared" si="64"/>
        <v>6.2934435468720684E-2</v>
      </c>
      <c r="AX45" s="228"/>
      <c r="AY45" s="1010">
        <f t="shared" ref="AY45" si="65">+AV45</f>
        <v>-0.24421411330398979</v>
      </c>
      <c r="AZ45" s="1010">
        <f t="shared" ref="AZ45" si="66">+AW45</f>
        <v>6.2934435468720684E-2</v>
      </c>
      <c r="BA45" s="228">
        <f t="shared" ref="BA45:BF45" si="67">IFERROR(BA44/AZ44-1,"n/a ")</f>
        <v>0.19525416794517736</v>
      </c>
      <c r="BB45" s="228">
        <f t="shared" si="67"/>
        <v>0.22536938787152727</v>
      </c>
      <c r="BC45" s="228">
        <f t="shared" si="67"/>
        <v>0.23278009264647692</v>
      </c>
      <c r="BD45" s="228">
        <f t="shared" si="67"/>
        <v>0.3201910912215109</v>
      </c>
      <c r="BE45" s="228">
        <f t="shared" si="67"/>
        <v>0.19261685451112753</v>
      </c>
      <c r="BF45" s="228">
        <f t="shared" si="67"/>
        <v>3.2675064012498201E-2</v>
      </c>
      <c r="BI45" s="990"/>
      <c r="BJ45" s="990"/>
      <c r="BK45" s="990"/>
    </row>
    <row r="46" spans="2:63" s="3" customFormat="1">
      <c r="B46" s="13" t="s">
        <v>123</v>
      </c>
      <c r="D46" s="228">
        <f t="shared" ref="D46:AI46" si="68">IFERROR(D44/D12,"n/a ")</f>
        <v>0.30205643232902918</v>
      </c>
      <c r="E46" s="228">
        <f t="shared" si="68"/>
        <v>0.29655882469409572</v>
      </c>
      <c r="F46" s="228">
        <f t="shared" si="68"/>
        <v>0.29172282381372866</v>
      </c>
      <c r="G46" s="228">
        <f t="shared" si="68"/>
        <v>0.30271790065604498</v>
      </c>
      <c r="H46" s="228">
        <f t="shared" si="68"/>
        <v>0.30622947829259395</v>
      </c>
      <c r="I46" s="228">
        <f t="shared" si="68"/>
        <v>0.30608688918144505</v>
      </c>
      <c r="J46" s="228">
        <f t="shared" si="68"/>
        <v>0.28963467172152335</v>
      </c>
      <c r="K46" s="228">
        <f t="shared" si="68"/>
        <v>0.31197031829720756</v>
      </c>
      <c r="L46" s="228">
        <f t="shared" si="68"/>
        <v>0.3141250305648382</v>
      </c>
      <c r="M46" s="228">
        <f t="shared" si="68"/>
        <v>0.30012448993706342</v>
      </c>
      <c r="N46" s="228">
        <f t="shared" si="68"/>
        <v>0.30918378761325926</v>
      </c>
      <c r="O46" s="228">
        <f t="shared" si="68"/>
        <v>0.3449891972743892</v>
      </c>
      <c r="P46" s="228">
        <f t="shared" si="68"/>
        <v>0.34228441754916794</v>
      </c>
      <c r="Q46" s="228">
        <f t="shared" si="68"/>
        <v>0.3159126605278556</v>
      </c>
      <c r="R46" s="228">
        <f t="shared" si="68"/>
        <v>0.3382617513329626</v>
      </c>
      <c r="S46" s="228">
        <f t="shared" si="68"/>
        <v>0.3679152949550672</v>
      </c>
      <c r="T46" s="228">
        <f t="shared" si="68"/>
        <v>0.38378460142187265</v>
      </c>
      <c r="U46" s="228">
        <f t="shared" si="68"/>
        <v>0.37638866309001245</v>
      </c>
      <c r="V46" s="228">
        <f t="shared" si="68"/>
        <v>0.37049199051997372</v>
      </c>
      <c r="W46" s="228">
        <f t="shared" si="68"/>
        <v>0.35250966266137301</v>
      </c>
      <c r="X46" s="228">
        <f t="shared" si="68"/>
        <v>0.42730257845723207</v>
      </c>
      <c r="Y46" s="228">
        <f t="shared" si="68"/>
        <v>0.41547497446373849</v>
      </c>
      <c r="Z46" s="228">
        <f t="shared" si="68"/>
        <v>0.40876612477820939</v>
      </c>
      <c r="AA46" s="228">
        <f t="shared" si="68"/>
        <v>0.41374154966198645</v>
      </c>
      <c r="AB46" s="228">
        <f t="shared" si="68"/>
        <v>0.44658737339188381</v>
      </c>
      <c r="AC46" s="228">
        <f t="shared" si="68"/>
        <v>0.43007655428394681</v>
      </c>
      <c r="AD46" s="228">
        <f t="shared" si="68"/>
        <v>0.41256077795786061</v>
      </c>
      <c r="AE46" s="228">
        <f t="shared" si="68"/>
        <v>0.3959124650535043</v>
      </c>
      <c r="AF46" s="228">
        <f t="shared" si="68"/>
        <v>0.42931247755476637</v>
      </c>
      <c r="AG46" s="228">
        <f t="shared" si="68"/>
        <v>0.41576508625761166</v>
      </c>
      <c r="AH46" s="228">
        <f t="shared" si="68"/>
        <v>0.400784562589513</v>
      </c>
      <c r="AI46" s="228">
        <f t="shared" si="68"/>
        <v>0.3907500947808078</v>
      </c>
      <c r="AJ46" s="228"/>
      <c r="AK46" s="228">
        <f t="shared" ref="AK46:AW46" si="69">IFERROR(AK44/AK12,"n/a ")</f>
        <v>0.36634161053583997</v>
      </c>
      <c r="AL46" s="228">
        <f t="shared" si="69"/>
        <v>0.36990199177995575</v>
      </c>
      <c r="AM46" s="228">
        <f t="shared" si="69"/>
        <v>0.3606666405852666</v>
      </c>
      <c r="AN46" s="228">
        <f t="shared" si="69"/>
        <v>0.36860311155246606</v>
      </c>
      <c r="AO46" s="228">
        <f t="shared" si="69"/>
        <v>0.348460735492924</v>
      </c>
      <c r="AP46" s="228">
        <f t="shared" si="69"/>
        <v>0.38566673068305485</v>
      </c>
      <c r="AQ46" s="228">
        <f t="shared" si="69"/>
        <v>0.38833049769097694</v>
      </c>
      <c r="AR46" s="228">
        <f t="shared" si="69"/>
        <v>0.37920323372624554</v>
      </c>
      <c r="AS46" s="228">
        <f t="shared" si="69"/>
        <v>0.35320941823273261</v>
      </c>
      <c r="AT46" s="228">
        <f t="shared" si="69"/>
        <v>0.32114518673776099</v>
      </c>
      <c r="AU46" s="228">
        <f t="shared" si="69"/>
        <v>0.30104723231459712</v>
      </c>
      <c r="AV46" s="228">
        <f t="shared" si="69"/>
        <v>0.24955461790904829</v>
      </c>
      <c r="AW46" s="228">
        <f t="shared" si="69"/>
        <v>0.25160644802668147</v>
      </c>
      <c r="AX46" s="228"/>
      <c r="AY46" s="1010">
        <f t="shared" ref="AY46:AY47" si="70">+AV46</f>
        <v>0.24955461790904829</v>
      </c>
      <c r="AZ46" s="1010">
        <f t="shared" ref="AZ46:AZ47" si="71">+AW46</f>
        <v>0.25160644802668147</v>
      </c>
      <c r="BA46" s="228">
        <f t="shared" ref="BA46:BF46" si="72">IFERROR(BA44/BA12,"n/a ")</f>
        <v>0.31766944545125048</v>
      </c>
      <c r="BB46" s="228">
        <f t="shared" si="72"/>
        <v>0.3413698020549415</v>
      </c>
      <c r="BC46" s="228">
        <f t="shared" si="72"/>
        <v>0.37030381428521486</v>
      </c>
      <c r="BD46" s="228">
        <f t="shared" si="72"/>
        <v>0.41594878872971303</v>
      </c>
      <c r="BE46" s="228">
        <f t="shared" si="72"/>
        <v>0.4205527815604983</v>
      </c>
      <c r="BF46" s="228">
        <f t="shared" si="72"/>
        <v>0.4087447800188268</v>
      </c>
      <c r="BG46" s="989"/>
      <c r="BH46" s="989"/>
    </row>
    <row r="47" spans="2:63" s="3" customFormat="1">
      <c r="B47" s="13" t="s">
        <v>287</v>
      </c>
      <c r="D47" s="228"/>
      <c r="E47" s="228"/>
      <c r="F47" s="228"/>
      <c r="G47" s="228"/>
      <c r="H47" s="228"/>
      <c r="I47" s="228"/>
      <c r="J47" s="228"/>
      <c r="K47" s="228"/>
      <c r="L47" s="228">
        <f t="shared" ref="L47:AI47" si="73">(L44-H44)/(L12-H12)</f>
        <v>0.38045977011494253</v>
      </c>
      <c r="M47" s="228">
        <f t="shared" si="73"/>
        <v>0.25032341526520052</v>
      </c>
      <c r="N47" s="228">
        <f t="shared" si="73"/>
        <v>0.43498752425838649</v>
      </c>
      <c r="O47" s="228">
        <f t="shared" si="73"/>
        <v>0.53370535714285716</v>
      </c>
      <c r="P47" s="228">
        <f t="shared" si="73"/>
        <v>0.49428068631764188</v>
      </c>
      <c r="Q47" s="228">
        <f t="shared" si="73"/>
        <v>0.44441317196735153</v>
      </c>
      <c r="R47" s="228">
        <f t="shared" si="73"/>
        <v>0.5461087420042644</v>
      </c>
      <c r="S47" s="228">
        <f t="shared" si="73"/>
        <v>0.55781938325991187</v>
      </c>
      <c r="T47" s="228">
        <f t="shared" si="73"/>
        <v>0.68773608662805341</v>
      </c>
      <c r="U47" s="228">
        <f t="shared" si="73"/>
        <v>0.81916572717023672</v>
      </c>
      <c r="V47" s="228">
        <f t="shared" si="73"/>
        <v>0.5919101123595506</v>
      </c>
      <c r="W47" s="228">
        <f t="shared" si="73"/>
        <v>0.23215940685820205</v>
      </c>
      <c r="X47" s="228">
        <f t="shared" si="73"/>
        <v>0.77823859477921442</v>
      </c>
      <c r="Y47" s="228">
        <f t="shared" si="73"/>
        <v>0.64927066450567261</v>
      </c>
      <c r="Z47" s="228">
        <f t="shared" si="73"/>
        <v>0.60927449513836951</v>
      </c>
      <c r="AA47" s="228">
        <f t="shared" si="73"/>
        <v>0.70057888902574206</v>
      </c>
      <c r="AB47" s="228">
        <f t="shared" si="73"/>
        <v>0.53436236677692028</v>
      </c>
      <c r="AC47" s="228">
        <f t="shared" si="73"/>
        <v>0.50277392510402219</v>
      </c>
      <c r="AD47" s="228">
        <f t="shared" si="73"/>
        <v>0.43323752286386202</v>
      </c>
      <c r="AE47" s="228">
        <f t="shared" si="73"/>
        <v>0.25188167337650974</v>
      </c>
      <c r="AF47" s="228">
        <f t="shared" si="73"/>
        <v>0.26638917793964623</v>
      </c>
      <c r="AG47" s="228">
        <f t="shared" si="73"/>
        <v>1.7909599137068081E-2</v>
      </c>
      <c r="AH47" s="228">
        <f t="shared" si="73"/>
        <v>0.13773714764326145</v>
      </c>
      <c r="AI47" s="228">
        <f t="shared" si="73"/>
        <v>0.31463923499172791</v>
      </c>
      <c r="AJ47" s="228"/>
      <c r="AK47" s="228"/>
      <c r="AL47" s="228"/>
      <c r="AM47" s="228">
        <f t="shared" ref="AM47:AW47" si="74">(AM44-AL44)/(AM12-AL12)</f>
        <v>0.30087719298245613</v>
      </c>
      <c r="AN47" s="228">
        <f t="shared" si="74"/>
        <v>0.41223919122391911</v>
      </c>
      <c r="AO47" s="228">
        <f t="shared" si="74"/>
        <v>0.96217851739788196</v>
      </c>
      <c r="AP47" s="228">
        <f t="shared" si="74"/>
        <v>0.92290585618977017</v>
      </c>
      <c r="AQ47" s="228">
        <f t="shared" si="74"/>
        <v>0.41064485856012872</v>
      </c>
      <c r="AR47" s="228">
        <f t="shared" si="74"/>
        <v>0.21031746031746032</v>
      </c>
      <c r="AS47" s="228">
        <f t="shared" si="74"/>
        <v>-0.1112457586039748</v>
      </c>
      <c r="AT47" s="228">
        <f t="shared" si="74"/>
        <v>4.3299198575244877E-2</v>
      </c>
      <c r="AU47" s="228">
        <f t="shared" si="74"/>
        <v>4.238921001926782E-2</v>
      </c>
      <c r="AV47" s="228">
        <f t="shared" si="74"/>
        <v>0.83292978208232449</v>
      </c>
      <c r="AW47" s="228">
        <f t="shared" si="74"/>
        <v>0.2894168466522678</v>
      </c>
      <c r="AX47" s="228"/>
      <c r="AY47" s="1010">
        <f t="shared" si="70"/>
        <v>0.83292978208232449</v>
      </c>
      <c r="AZ47" s="1010">
        <f t="shared" si="71"/>
        <v>0.2894168466522678</v>
      </c>
      <c r="BA47" s="228">
        <f t="shared" ref="BA47:BF47" si="75">(BA44-AZ44)/(BA12-AZ12)</f>
        <v>0.41533106099064471</v>
      </c>
      <c r="BB47" s="228">
        <f t="shared" si="75"/>
        <v>0.51030162113285538</v>
      </c>
      <c r="BC47" s="228">
        <f t="shared" si="75"/>
        <v>0.58234334963894707</v>
      </c>
      <c r="BD47" s="228">
        <f t="shared" si="75"/>
        <v>0.67630518884856217</v>
      </c>
      <c r="BE47" s="228">
        <f t="shared" si="75"/>
        <v>0.44619309522231793</v>
      </c>
      <c r="BF47" s="228">
        <f t="shared" si="75"/>
        <v>0.21983924848944042</v>
      </c>
    </row>
    <row r="48" spans="2:63" s="3" customFormat="1">
      <c r="B48" s="13" t="s">
        <v>288</v>
      </c>
      <c r="D48" s="228"/>
      <c r="E48" s="228"/>
      <c r="F48" s="228"/>
      <c r="G48" s="228"/>
      <c r="H48" s="228"/>
      <c r="I48" s="228"/>
      <c r="J48" s="228"/>
      <c r="K48" s="228"/>
      <c r="L48" s="228">
        <f t="shared" ref="L48:W48" si="76">+L57/(L12-H12)</f>
        <v>0.38591954022988506</v>
      </c>
      <c r="M48" s="228">
        <f t="shared" si="76"/>
        <v>0.25565976714100908</v>
      </c>
      <c r="N48" s="228">
        <f t="shared" si="76"/>
        <v>0.37277515941225398</v>
      </c>
      <c r="O48" s="228">
        <f t="shared" si="76"/>
        <v>0.42792857142857138</v>
      </c>
      <c r="P48" s="228">
        <f t="shared" si="76"/>
        <v>0.47475582930048399</v>
      </c>
      <c r="Q48" s="228">
        <f t="shared" si="76"/>
        <v>0.43969040247678021</v>
      </c>
      <c r="R48" s="228">
        <f t="shared" si="76"/>
        <v>0.59670575692963757</v>
      </c>
      <c r="S48" s="228">
        <f t="shared" si="76"/>
        <v>0.68583700440528639</v>
      </c>
      <c r="T48" s="228">
        <f t="shared" si="76"/>
        <v>0.80221606648199439</v>
      </c>
      <c r="U48" s="228">
        <f t="shared" si="76"/>
        <v>0.90205636978579484</v>
      </c>
      <c r="V48" s="228">
        <f t="shared" si="76"/>
        <v>0.65066966292134842</v>
      </c>
      <c r="W48" s="228">
        <f t="shared" si="76"/>
        <v>0.45139017608897153</v>
      </c>
      <c r="X48" s="228">
        <f>+X57/(X12-T12)</f>
        <v>0.59244205903879066</v>
      </c>
      <c r="Y48" s="228">
        <f t="shared" ref="Y48:AF48" si="77">+Y57/(Y12-U12)</f>
        <v>0.44572771474878442</v>
      </c>
      <c r="Z48" s="228">
        <f t="shared" si="77"/>
        <v>0.39927150336574463</v>
      </c>
      <c r="AA48" s="228">
        <f t="shared" si="77"/>
        <v>0.52111466929424821</v>
      </c>
      <c r="AB48" s="228">
        <f t="shared" si="77"/>
        <v>0.57779982849442613</v>
      </c>
      <c r="AC48" s="228">
        <f t="shared" si="77"/>
        <v>0.58851242245264224</v>
      </c>
      <c r="AD48" s="228">
        <f t="shared" si="77"/>
        <v>0.61679330011136879</v>
      </c>
      <c r="AE48" s="228">
        <f t="shared" si="77"/>
        <v>0.55013121613959604</v>
      </c>
      <c r="AF48" s="228">
        <f t="shared" si="77"/>
        <v>0.4231550468262229</v>
      </c>
      <c r="AG48" s="228"/>
      <c r="AH48" s="228"/>
      <c r="AI48" s="228"/>
      <c r="AJ48" s="228"/>
      <c r="AK48" s="228"/>
      <c r="AL48" s="228"/>
      <c r="AM48" s="228"/>
      <c r="AN48" s="228"/>
      <c r="AO48" s="228"/>
      <c r="AP48" s="228"/>
      <c r="AQ48" s="228"/>
      <c r="AR48" s="228"/>
      <c r="AS48" s="228"/>
      <c r="AT48" s="228"/>
      <c r="AU48" s="228"/>
      <c r="AV48" s="228"/>
      <c r="AW48" s="228"/>
      <c r="AX48" s="228"/>
      <c r="AY48" s="1010"/>
      <c r="AZ48" s="1010"/>
      <c r="BA48" s="228">
        <f t="shared" ref="BA48:BC48" si="78">+BA57/(BA12-AZ12)</f>
        <v>0.36692073391834074</v>
      </c>
      <c r="BB48" s="228">
        <f t="shared" si="78"/>
        <v>0.54577665827036104</v>
      </c>
      <c r="BC48" s="228">
        <f t="shared" si="78"/>
        <v>0.7005532261821571</v>
      </c>
      <c r="BD48" s="228">
        <f>+BD57/(BD12-BC12)</f>
        <v>0.48173812467594651</v>
      </c>
      <c r="BE48" s="228">
        <f>+BE57/(BE12-BD12)</f>
        <v>0.58552200105752394</v>
      </c>
      <c r="BF48" s="228"/>
    </row>
    <row r="50" spans="2:61">
      <c r="B50" s="24" t="s">
        <v>289</v>
      </c>
      <c r="X50" s="9"/>
    </row>
    <row r="51" spans="2:61" s="3" customFormat="1">
      <c r="B51" s="13" t="s">
        <v>290</v>
      </c>
      <c r="D51" s="228"/>
      <c r="E51" s="228"/>
      <c r="F51" s="228"/>
      <c r="G51" s="228"/>
      <c r="H51" s="228"/>
      <c r="I51" s="228"/>
      <c r="J51" s="228"/>
      <c r="K51" s="228"/>
      <c r="L51" s="228">
        <f>+L45</f>
        <v>0.14787788533134782</v>
      </c>
      <c r="M51" s="228">
        <f t="shared" ref="M51:AI51" si="79">+M45</f>
        <v>9.7912713472485757E-2</v>
      </c>
      <c r="N51" s="228">
        <f t="shared" si="79"/>
        <v>0.23337795626952262</v>
      </c>
      <c r="O51" s="228">
        <f t="shared" si="79"/>
        <v>0.29932398597896848</v>
      </c>
      <c r="P51" s="228">
        <f t="shared" si="79"/>
        <v>0.29151530877010901</v>
      </c>
      <c r="Q51" s="228">
        <f t="shared" si="79"/>
        <v>0.18193340246572176</v>
      </c>
      <c r="R51" s="228">
        <f t="shared" si="79"/>
        <v>0.2471056439942112</v>
      </c>
      <c r="S51" s="228">
        <f t="shared" si="79"/>
        <v>0.19520184988919942</v>
      </c>
      <c r="T51" s="228">
        <f t="shared" si="79"/>
        <v>0.27433450527373182</v>
      </c>
      <c r="U51" s="228">
        <f t="shared" si="79"/>
        <v>0.3541626047962565</v>
      </c>
      <c r="V51" s="228">
        <f t="shared" si="79"/>
        <v>0.25471424427038003</v>
      </c>
      <c r="W51" s="228">
        <f t="shared" si="79"/>
        <v>8.0773881499395461E-2</v>
      </c>
      <c r="X51" s="228">
        <f t="shared" si="79"/>
        <v>0.25145830048872764</v>
      </c>
      <c r="Y51" s="228">
        <f t="shared" si="79"/>
        <v>0.28838816499892017</v>
      </c>
      <c r="Z51" s="228">
        <f t="shared" si="79"/>
        <v>0.31391136801541419</v>
      </c>
      <c r="AA51" s="228">
        <f t="shared" si="79"/>
        <v>0.42425598567912282</v>
      </c>
      <c r="AB51" s="228">
        <f t="shared" si="79"/>
        <v>0.27475434618291761</v>
      </c>
      <c r="AC51" s="228">
        <f t="shared" si="79"/>
        <v>0.24305749566966539</v>
      </c>
      <c r="AD51" s="228">
        <f t="shared" si="79"/>
        <v>0.19450961989676219</v>
      </c>
      <c r="AE51" s="228">
        <f t="shared" si="79"/>
        <v>7.5360041895784269E-2</v>
      </c>
      <c r="AF51" s="228">
        <f t="shared" si="79"/>
        <v>6.3247356458147941E-2</v>
      </c>
      <c r="AG51" s="228">
        <f t="shared" si="79"/>
        <v>1.4979555634866415E-3</v>
      </c>
      <c r="AH51" s="228">
        <f t="shared" si="79"/>
        <v>1.4946339716879642E-2</v>
      </c>
      <c r="AI51" s="228">
        <f t="shared" si="79"/>
        <v>5.3903408159088118E-2</v>
      </c>
      <c r="AJ51" s="228"/>
      <c r="AK51" s="228"/>
      <c r="AL51" s="228"/>
      <c r="AM51" s="228">
        <f t="shared" ref="AM51:BF51" si="80">+AM45</f>
        <v>0.12564102564102564</v>
      </c>
      <c r="AN51" s="228">
        <f t="shared" si="80"/>
        <v>0.2078858878403298</v>
      </c>
      <c r="AO51" s="228">
        <f t="shared" si="80"/>
        <v>-8.5671950069597269E-2</v>
      </c>
      <c r="AP51" s="228">
        <f t="shared" si="80"/>
        <v>0.18342091047488096</v>
      </c>
      <c r="AQ51" s="228">
        <f t="shared" si="80"/>
        <v>0.12710598389907868</v>
      </c>
      <c r="AR51" s="228">
        <f t="shared" si="80"/>
        <v>2.9269909060785748E-2</v>
      </c>
      <c r="AS51" s="228">
        <f t="shared" si="80"/>
        <v>-1.6418657890971522E-2</v>
      </c>
      <c r="AT51" s="228">
        <f t="shared" si="80"/>
        <v>1.4146997854311394E-2</v>
      </c>
      <c r="AU51" s="228">
        <f t="shared" si="80"/>
        <v>1.025604245858136E-2</v>
      </c>
      <c r="AV51" s="228">
        <f t="shared" si="80"/>
        <v>-0.24421411330398979</v>
      </c>
      <c r="AW51" s="228">
        <f t="shared" si="80"/>
        <v>6.2934435468720684E-2</v>
      </c>
      <c r="AX51" s="228"/>
      <c r="AY51" s="1010">
        <f t="shared" ref="AY51" si="81">+AV51</f>
        <v>-0.24421411330398979</v>
      </c>
      <c r="AZ51" s="1010">
        <f t="shared" ref="AZ51" si="82">+AW51</f>
        <v>6.2934435468720684E-2</v>
      </c>
      <c r="BA51" s="228">
        <f t="shared" si="80"/>
        <v>0.19525416794517736</v>
      </c>
      <c r="BB51" s="228">
        <f t="shared" si="80"/>
        <v>0.22536938787152727</v>
      </c>
      <c r="BC51" s="228">
        <f t="shared" si="80"/>
        <v>0.23278009264647692</v>
      </c>
      <c r="BD51" s="228">
        <f t="shared" si="80"/>
        <v>0.3201910912215109</v>
      </c>
      <c r="BE51" s="228">
        <f t="shared" si="80"/>
        <v>0.19261685451112753</v>
      </c>
      <c r="BF51" s="228">
        <f t="shared" si="80"/>
        <v>3.2675064012498201E-2</v>
      </c>
    </row>
    <row r="52" spans="2:61" s="3" customFormat="1">
      <c r="B52" s="13" t="s">
        <v>291</v>
      </c>
      <c r="D52" s="228"/>
      <c r="E52" s="228"/>
      <c r="F52" s="228"/>
      <c r="G52" s="228"/>
      <c r="H52" s="228"/>
      <c r="I52" s="228"/>
      <c r="J52" s="228"/>
      <c r="K52" s="228"/>
      <c r="L52" s="836"/>
      <c r="M52" s="836"/>
      <c r="N52" s="836"/>
      <c r="O52" s="836"/>
      <c r="P52" s="836"/>
      <c r="Q52" s="836"/>
      <c r="R52" s="836"/>
      <c r="S52" s="836"/>
      <c r="T52" s="836"/>
      <c r="U52" s="836"/>
      <c r="V52" s="836"/>
      <c r="W52" s="836"/>
      <c r="X52" s="836">
        <f>(X46-2%)*X12/T44-1</f>
        <v>0.19288349361500878</v>
      </c>
      <c r="Y52" s="836">
        <f>(Y46-2%)*Y12/U44-1</f>
        <v>0.22636815204088978</v>
      </c>
      <c r="Z52" s="836">
        <f>(Z46-2%)*Z12/V44-1</f>
        <v>0.24962466281310225</v>
      </c>
      <c r="AA52" s="836">
        <f>(AA46-1%)*AA12/W44-1</f>
        <v>0.38983217722085484</v>
      </c>
      <c r="AB52" s="836">
        <f>(AB46+2%)*AB12/X44-1</f>
        <v>0.33184303350970024</v>
      </c>
      <c r="AC52" s="836">
        <f>+'EBIT growth'!S19</f>
        <v>0.28756380840701024</v>
      </c>
      <c r="AD52" s="836">
        <f>+'EBIT growth'!T19</f>
        <v>0.24142984039490956</v>
      </c>
      <c r="AE52" s="836">
        <f>+AE51+AE55-AE54</f>
        <v>9.9952848274706074E-2</v>
      </c>
      <c r="AF52" s="836">
        <f>+'EBIT growth'!V19</f>
        <v>1.3714793951971505E-2</v>
      </c>
      <c r="AG52" s="836">
        <f>+(AG44-1000)/AC44-1</f>
        <v>-4.3451925319328955E-2</v>
      </c>
      <c r="AH52" s="836">
        <f>+(AH44-850)/AD44-1</f>
        <v>-2.6793986348726428E-2</v>
      </c>
      <c r="AI52" s="836">
        <f>+(AI44-750)/AE44-1</f>
        <v>1.7378620002859391E-2</v>
      </c>
      <c r="AJ52" s="228"/>
      <c r="AK52" s="228"/>
      <c r="AL52" s="228"/>
      <c r="AM52" s="836"/>
      <c r="AN52" s="836"/>
      <c r="AO52" s="836"/>
      <c r="AP52" s="836"/>
      <c r="AQ52" s="836"/>
      <c r="AR52" s="836"/>
      <c r="AS52" s="836"/>
      <c r="AT52" s="836"/>
      <c r="AU52" s="836"/>
      <c r="AV52" s="836"/>
      <c r="AW52" s="836"/>
      <c r="AX52" s="836"/>
      <c r="AY52" s="836"/>
      <c r="AZ52" s="836"/>
      <c r="BA52" s="836"/>
      <c r="BB52" s="836"/>
      <c r="BC52" s="836"/>
      <c r="BD52" s="836">
        <f>SUMPRODUCT(X52:AA52,T44:W44)/BC44</f>
        <v>0.26542721728129309</v>
      </c>
      <c r="BE52" s="836">
        <f>SUMPRODUCT(AB52:AE52,X44:AA44)/BD44</f>
        <v>0.23513022821554716</v>
      </c>
      <c r="BF52" s="836">
        <f>SUMPRODUCT(AF52:AI52,AB44:AE44)/BE44</f>
        <v>-1.0528466683207154E-2</v>
      </c>
      <c r="BG52" s="872"/>
      <c r="BH52" s="872"/>
      <c r="BI52" s="872"/>
    </row>
    <row r="53" spans="2:61" s="3" customFormat="1">
      <c r="B53" s="13"/>
      <c r="D53" s="228"/>
      <c r="E53" s="228"/>
      <c r="F53" s="228"/>
      <c r="G53" s="228"/>
      <c r="H53" s="228"/>
      <c r="I53" s="228"/>
      <c r="J53" s="228"/>
      <c r="K53" s="228"/>
      <c r="L53" s="836"/>
      <c r="M53" s="836"/>
      <c r="N53" s="836"/>
      <c r="O53" s="836"/>
      <c r="P53" s="836"/>
      <c r="Q53" s="836"/>
      <c r="R53" s="836"/>
      <c r="S53" s="836"/>
      <c r="T53" s="836"/>
      <c r="U53" s="836"/>
      <c r="V53" s="836"/>
      <c r="W53" s="836"/>
      <c r="X53" s="836"/>
      <c r="Y53" s="836"/>
      <c r="Z53" s="836"/>
      <c r="AA53" s="228"/>
      <c r="AB53" s="228"/>
      <c r="AC53" s="228"/>
      <c r="AD53" s="228"/>
      <c r="AE53" s="228"/>
      <c r="AF53" s="228"/>
      <c r="AG53" s="228"/>
      <c r="AH53" s="228"/>
      <c r="AI53" s="228"/>
      <c r="AJ53" s="228"/>
      <c r="AK53" s="228"/>
      <c r="AL53" s="228"/>
      <c r="AM53" s="836"/>
      <c r="AN53" s="836"/>
      <c r="AO53" s="836"/>
      <c r="AP53" s="836"/>
      <c r="AQ53" s="836"/>
      <c r="AR53" s="836"/>
      <c r="AS53" s="836"/>
      <c r="AT53" s="836"/>
      <c r="AU53" s="836"/>
      <c r="AV53" s="836"/>
      <c r="AW53" s="836"/>
      <c r="AX53" s="836"/>
      <c r="AY53" s="836"/>
      <c r="AZ53" s="836"/>
      <c r="BA53" s="836"/>
      <c r="BB53" s="836"/>
      <c r="BC53" s="836"/>
      <c r="BD53" s="228"/>
      <c r="BE53" s="228"/>
      <c r="BF53" s="228"/>
      <c r="BG53" s="872"/>
      <c r="BH53" s="872"/>
      <c r="BI53" s="872"/>
    </row>
    <row r="54" spans="2:61" s="3" customFormat="1">
      <c r="B54" s="13" t="s">
        <v>293</v>
      </c>
      <c r="D54" s="228"/>
      <c r="E54" s="228"/>
      <c r="F54" s="228"/>
      <c r="G54" s="228"/>
      <c r="H54" s="228"/>
      <c r="I54" s="228"/>
      <c r="J54" s="228"/>
      <c r="K54" s="228"/>
      <c r="L54" s="836">
        <f t="shared" ref="L54:AF54" si="83">+L559</f>
        <v>0.15</v>
      </c>
      <c r="M54" s="836">
        <f t="shared" si="83"/>
        <v>0.1</v>
      </c>
      <c r="N54" s="836">
        <f t="shared" si="83"/>
        <v>0.2</v>
      </c>
      <c r="O54" s="836">
        <f t="shared" si="83"/>
        <v>0.24</v>
      </c>
      <c r="P54" s="836">
        <f t="shared" si="83"/>
        <v>0.28000000000000003</v>
      </c>
      <c r="Q54" s="836">
        <f t="shared" si="83"/>
        <v>0.18</v>
      </c>
      <c r="R54" s="836">
        <f t="shared" si="83"/>
        <v>0.27</v>
      </c>
      <c r="S54" s="836">
        <f t="shared" si="83"/>
        <v>0.24</v>
      </c>
      <c r="T54" s="836">
        <f t="shared" si="83"/>
        <v>0.32</v>
      </c>
      <c r="U54" s="836">
        <f t="shared" si="83"/>
        <v>0.39</v>
      </c>
      <c r="V54" s="836">
        <f t="shared" si="83"/>
        <v>0.28000000000000003</v>
      </c>
      <c r="W54" s="836">
        <f t="shared" si="83"/>
        <v>0.15704957678355511</v>
      </c>
      <c r="X54" s="836">
        <f t="shared" si="83"/>
        <v>0.25</v>
      </c>
      <c r="Y54" s="836">
        <f t="shared" si="83"/>
        <v>0.26</v>
      </c>
      <c r="Z54" s="836">
        <f t="shared" si="83"/>
        <v>0.27</v>
      </c>
      <c r="AA54" s="836">
        <f t="shared" si="83"/>
        <v>0.35</v>
      </c>
      <c r="AB54" s="836">
        <f t="shared" si="83"/>
        <v>0.24</v>
      </c>
      <c r="AC54" s="836">
        <f t="shared" si="83"/>
        <v>0.24</v>
      </c>
      <c r="AD54" s="836">
        <f t="shared" si="83"/>
        <v>0.23</v>
      </c>
      <c r="AE54" s="836">
        <f t="shared" si="83"/>
        <v>0.14000000000000001</v>
      </c>
      <c r="AF54" s="836">
        <f t="shared" si="83"/>
        <v>0.15</v>
      </c>
      <c r="AG54" s="836">
        <f>+(AC44*(1+AG55)+1000)/AC44-1</f>
        <v>0.13092140443754552</v>
      </c>
      <c r="AH54" s="836">
        <f>+(AD44*(1+AH55)+850)/AD44-1</f>
        <v>0.13650873928401341</v>
      </c>
      <c r="AI54" s="836">
        <f>+(AE44*(1+AI55)+750)/AE44-1</f>
        <v>0.15435177483069995</v>
      </c>
      <c r="AJ54" s="228"/>
      <c r="AK54" s="228"/>
      <c r="AL54" s="228"/>
      <c r="AM54" s="836" t="s">
        <v>273</v>
      </c>
      <c r="AN54" s="836" t="s">
        <v>273</v>
      </c>
      <c r="AO54" s="836" t="s">
        <v>273</v>
      </c>
      <c r="AP54" s="836" t="s">
        <v>273</v>
      </c>
      <c r="AQ54" s="836" t="s">
        <v>273</v>
      </c>
      <c r="AR54" s="836" t="s">
        <v>273</v>
      </c>
      <c r="AS54" s="836" t="str">
        <f>+AS559</f>
        <v>NA</v>
      </c>
      <c r="AT54" s="836" t="str">
        <f>+AT559</f>
        <v>NA</v>
      </c>
      <c r="AU54" s="836" t="str">
        <f>+AU559</f>
        <v>NA</v>
      </c>
      <c r="AV54" s="836" t="str">
        <f>+AV559</f>
        <v>NA</v>
      </c>
      <c r="AW54" s="836" t="str">
        <f>+AW559</f>
        <v>NA</v>
      </c>
      <c r="AX54" s="836"/>
      <c r="AY54" s="836" t="str">
        <f>+AY559</f>
        <v>NA</v>
      </c>
      <c r="AZ54" s="836" t="str">
        <f>+AZ559</f>
        <v>NA</v>
      </c>
      <c r="BA54" s="836">
        <f>+BA559</f>
        <v>0.17249565306331185</v>
      </c>
      <c r="BB54" s="836">
        <f>+BB559</f>
        <v>0.24103656797307321</v>
      </c>
      <c r="BC54" s="836">
        <f>+BC559</f>
        <v>0.28003212365278524</v>
      </c>
      <c r="BD54" s="836">
        <f>SUMPRODUCT(X54:AA54,T44:W44)/BC44</f>
        <v>0.28283879982628074</v>
      </c>
      <c r="BE54" s="836">
        <f>SUMPRODUCT(AB54:AE54,X44:AA44)/BD44</f>
        <v>0.21025030036043252</v>
      </c>
      <c r="BF54" s="836">
        <f>SUMPRODUCT(AF54:AI54,AB44:AE44)/BE44</f>
        <v>0.14268654037004325</v>
      </c>
      <c r="BG54" s="872"/>
      <c r="BH54" s="872"/>
      <c r="BI54" s="872"/>
    </row>
    <row r="55" spans="2:61" s="3" customFormat="1">
      <c r="B55" s="13" t="s">
        <v>294</v>
      </c>
      <c r="D55" s="228"/>
      <c r="E55" s="228"/>
      <c r="F55" s="228"/>
      <c r="G55" s="228"/>
      <c r="H55" s="228"/>
      <c r="I55" s="228"/>
      <c r="J55" s="228"/>
      <c r="K55" s="228"/>
      <c r="L55" s="836"/>
      <c r="M55" s="836"/>
      <c r="N55" s="836"/>
      <c r="O55" s="836"/>
      <c r="P55" s="836">
        <f>+P54</f>
        <v>0.28000000000000003</v>
      </c>
      <c r="Q55" s="836">
        <f t="shared" ref="Q55:W55" si="84">+Q54</f>
        <v>0.18</v>
      </c>
      <c r="R55" s="836">
        <f t="shared" si="84"/>
        <v>0.27</v>
      </c>
      <c r="S55" s="836">
        <f t="shared" si="84"/>
        <v>0.24</v>
      </c>
      <c r="T55" s="836">
        <f t="shared" si="84"/>
        <v>0.32</v>
      </c>
      <c r="U55" s="836">
        <f t="shared" si="84"/>
        <v>0.39</v>
      </c>
      <c r="V55" s="836">
        <f t="shared" si="84"/>
        <v>0.28000000000000003</v>
      </c>
      <c r="W55" s="836">
        <f t="shared" si="84"/>
        <v>0.15704957678355511</v>
      </c>
      <c r="X55" s="836">
        <f t="shared" ref="X55" si="85">+X54+X52-X51</f>
        <v>0.19142519312628115</v>
      </c>
      <c r="Y55" s="836">
        <f>+Y54+Y52-Y51</f>
        <v>0.19797998704196962</v>
      </c>
      <c r="Z55" s="836">
        <f>+Z54+Z52-Z51</f>
        <v>0.20571329479768807</v>
      </c>
      <c r="AA55" s="836">
        <f>+AA54+AA52-AA51</f>
        <v>0.315576191541732</v>
      </c>
      <c r="AB55" s="836">
        <f>+AB54+AB52-AB51</f>
        <v>0.29708868732678262</v>
      </c>
      <c r="AC55" s="836">
        <f t="shared" ref="AC55:AF55" si="86">+AC54+AC52-AC51</f>
        <v>0.28450631273734484</v>
      </c>
      <c r="AD55" s="836">
        <f t="shared" si="86"/>
        <v>0.27692022049814735</v>
      </c>
      <c r="AE55" s="836">
        <f>+AE14</f>
        <v>0.16459280637892182</v>
      </c>
      <c r="AF55" s="836">
        <f t="shared" si="86"/>
        <v>0.10046743749382356</v>
      </c>
      <c r="AG55" s="836">
        <f t="shared" ref="AG55:AI55" si="87">+AG14</f>
        <v>8.597152355472977E-2</v>
      </c>
      <c r="AH55" s="836">
        <f t="shared" si="87"/>
        <v>9.4768413218407413E-2</v>
      </c>
      <c r="AI55" s="836">
        <f t="shared" si="87"/>
        <v>0.11782698667447118</v>
      </c>
      <c r="AJ55" s="228"/>
      <c r="AK55" s="228"/>
      <c r="AL55" s="228"/>
      <c r="AM55" s="836" t="str">
        <f t="shared" ref="AM55:AW55" si="88">+AM54</f>
        <v>NA</v>
      </c>
      <c r="AN55" s="836" t="str">
        <f t="shared" si="88"/>
        <v>NA</v>
      </c>
      <c r="AO55" s="836" t="str">
        <f t="shared" si="88"/>
        <v>NA</v>
      </c>
      <c r="AP55" s="836" t="str">
        <f t="shared" si="88"/>
        <v>NA</v>
      </c>
      <c r="AQ55" s="836" t="str">
        <f t="shared" si="88"/>
        <v>NA</v>
      </c>
      <c r="AR55" s="836" t="str">
        <f t="shared" si="88"/>
        <v>NA</v>
      </c>
      <c r="AS55" s="836" t="str">
        <f t="shared" si="88"/>
        <v>NA</v>
      </c>
      <c r="AT55" s="836" t="str">
        <f t="shared" si="88"/>
        <v>NA</v>
      </c>
      <c r="AU55" s="836" t="str">
        <f t="shared" si="88"/>
        <v>NA</v>
      </c>
      <c r="AV55" s="836" t="str">
        <f t="shared" si="88"/>
        <v>NA</v>
      </c>
      <c r="AW55" s="836" t="str">
        <f t="shared" si="88"/>
        <v>NA</v>
      </c>
      <c r="AX55" s="836"/>
      <c r="AY55" s="836" t="str">
        <f>+AY54</f>
        <v>NA</v>
      </c>
      <c r="AZ55" s="836" t="str">
        <f t="shared" ref="AZ55:BC55" si="89">+AZ54</f>
        <v>NA</v>
      </c>
      <c r="BA55" s="836">
        <f t="shared" si="89"/>
        <v>0.17249565306331185</v>
      </c>
      <c r="BB55" s="836">
        <f t="shared" si="89"/>
        <v>0.24103656797307321</v>
      </c>
      <c r="BC55" s="836">
        <f t="shared" si="89"/>
        <v>0.28003212365278524</v>
      </c>
      <c r="BD55" s="836">
        <f>SUMPRODUCT(X55:AA55,T44:W44)/BC44</f>
        <v>0.22807492588606293</v>
      </c>
      <c r="BE55" s="836">
        <f>SUMPRODUCT(AB55:AE55,X44:AA44)/BD44</f>
        <v>0.25276367406485195</v>
      </c>
      <c r="BF55" s="836">
        <f>SUMPRODUCT(AF55:AI55,AB44:AE44)/BE44</f>
        <v>9.9483009674337847E-2</v>
      </c>
      <c r="BG55" s="872"/>
      <c r="BH55" s="872"/>
      <c r="BI55" s="872"/>
    </row>
    <row r="56" spans="2:61" s="3" customFormat="1">
      <c r="B56" s="13"/>
      <c r="D56" s="228"/>
      <c r="E56" s="228"/>
      <c r="F56" s="228"/>
      <c r="G56" s="228"/>
      <c r="H56" s="228"/>
      <c r="I56" s="228"/>
      <c r="J56" s="228"/>
      <c r="K56" s="228"/>
      <c r="L56" s="228"/>
      <c r="M56" s="228"/>
      <c r="N56" s="228"/>
      <c r="O56" s="228"/>
      <c r="P56" s="228"/>
      <c r="Q56" s="228"/>
      <c r="R56" s="228"/>
      <c r="S56" s="228"/>
      <c r="T56" s="228"/>
      <c r="U56" s="228"/>
      <c r="V56" s="228"/>
      <c r="W56" s="228"/>
      <c r="X56" s="228"/>
      <c r="Y56" s="228"/>
      <c r="Z56" s="228"/>
      <c r="AA56" s="228"/>
      <c r="AB56" s="228"/>
      <c r="AC56" s="228"/>
      <c r="AD56" s="228"/>
      <c r="AE56" s="228"/>
      <c r="AF56" s="228"/>
      <c r="AG56" s="228"/>
      <c r="AH56" s="228"/>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row>
    <row r="57" spans="2:61" s="3" customFormat="1" hidden="1" outlineLevel="1">
      <c r="B57" s="13" t="s">
        <v>295</v>
      </c>
      <c r="D57" s="228"/>
      <c r="E57" s="228"/>
      <c r="F57" s="228"/>
      <c r="G57" s="228"/>
      <c r="H57" s="228"/>
      <c r="I57" s="228"/>
      <c r="J57" s="228"/>
      <c r="K57" s="228"/>
      <c r="L57" s="845">
        <f t="shared" ref="L57:V57" si="90">+L54*H44</f>
        <v>1007.25</v>
      </c>
      <c r="M57" s="845">
        <f t="shared" si="90"/>
        <v>790.5</v>
      </c>
      <c r="N57" s="845">
        <f t="shared" si="90"/>
        <v>1344.6000000000001</v>
      </c>
      <c r="O57" s="845">
        <f t="shared" si="90"/>
        <v>1917.12</v>
      </c>
      <c r="P57" s="845">
        <f t="shared" si="90"/>
        <v>2158.2400000000002</v>
      </c>
      <c r="Q57" s="845">
        <f t="shared" si="90"/>
        <v>1562.22</v>
      </c>
      <c r="R57" s="845">
        <f t="shared" si="90"/>
        <v>2238.84</v>
      </c>
      <c r="S57" s="845">
        <f t="shared" si="90"/>
        <v>2490.96</v>
      </c>
      <c r="T57" s="845">
        <f t="shared" si="90"/>
        <v>3185.6</v>
      </c>
      <c r="U57" s="845">
        <f t="shared" si="90"/>
        <v>4000.6200000000003</v>
      </c>
      <c r="V57" s="845">
        <f t="shared" si="90"/>
        <v>2895.4800000000005</v>
      </c>
      <c r="W57" s="845">
        <f>+W54*S44</f>
        <v>1948.2000000000012</v>
      </c>
      <c r="X57" s="845">
        <f t="shared" ref="X57:AD57" si="91">+X55*T44</f>
        <v>2428.4200000000028</v>
      </c>
      <c r="Y57" s="845">
        <f t="shared" si="91"/>
        <v>2750.14</v>
      </c>
      <c r="Z57" s="845">
        <f t="shared" si="91"/>
        <v>2669.1300000000028</v>
      </c>
      <c r="AA57" s="845">
        <f t="shared" si="91"/>
        <v>4230.9300000000012</v>
      </c>
      <c r="AB57" s="845">
        <f t="shared" si="91"/>
        <v>4716.5800000000008</v>
      </c>
      <c r="AC57" s="845">
        <f t="shared" si="91"/>
        <v>5091.8094790602609</v>
      </c>
      <c r="AD57" s="845">
        <f t="shared" si="91"/>
        <v>4720.9359190524165</v>
      </c>
      <c r="AE57" s="845">
        <f>+AE55*AA44</f>
        <v>3142.8996378055122</v>
      </c>
      <c r="AF57" s="845">
        <f>+AF55*AB44</f>
        <v>2033.2600000000011</v>
      </c>
      <c r="AG57" s="845"/>
      <c r="AH57" s="845"/>
      <c r="AI57" s="845"/>
      <c r="AJ57" s="228"/>
      <c r="AK57" s="228"/>
      <c r="AL57" s="228"/>
      <c r="AM57" s="228"/>
      <c r="AN57" s="228"/>
      <c r="AO57" s="228"/>
      <c r="AP57" s="228"/>
      <c r="AQ57" s="228"/>
      <c r="AR57" s="228"/>
      <c r="AS57" s="228"/>
      <c r="AT57" s="228"/>
      <c r="AU57" s="228"/>
      <c r="AV57" s="228"/>
      <c r="AW57" s="228"/>
      <c r="AX57" s="228"/>
      <c r="AY57" s="228"/>
      <c r="AZ57" s="845"/>
      <c r="BA57" s="845">
        <f t="shared" ref="BA57:BB57" si="92">+BA54*AZ44</f>
        <v>5059.47</v>
      </c>
      <c r="BB57" s="845">
        <f t="shared" si="92"/>
        <v>8450.26</v>
      </c>
      <c r="BC57" s="845">
        <f>+BC54*BB44</f>
        <v>12029.900000000001</v>
      </c>
      <c r="BD57" s="845">
        <f>+BD55*BC44</f>
        <v>12078.620000000006</v>
      </c>
      <c r="BE57" s="845">
        <f>+BE55*BD44</f>
        <v>17672.225035918189</v>
      </c>
      <c r="BF57" s="845"/>
    </row>
    <row r="58" spans="2:61" s="3" customFormat="1" hidden="1" outlineLevel="1">
      <c r="B58" s="13"/>
      <c r="D58" s="228"/>
      <c r="E58" s="228"/>
      <c r="F58" s="228"/>
      <c r="G58" s="228"/>
      <c r="H58" s="228"/>
      <c r="I58" s="228"/>
      <c r="J58" s="228"/>
      <c r="K58" s="228"/>
      <c r="L58" s="228"/>
      <c r="M58" s="228"/>
      <c r="N58" s="228"/>
      <c r="O58" s="228"/>
      <c r="P58" s="228"/>
      <c r="Q58" s="228"/>
      <c r="R58" s="228"/>
      <c r="S58" s="228"/>
      <c r="T58" s="228"/>
      <c r="U58" s="228"/>
      <c r="V58" s="228"/>
      <c r="W58" s="228"/>
      <c r="X58" s="228"/>
      <c r="Y58" s="228"/>
      <c r="Z58" s="228"/>
      <c r="AA58" s="228"/>
      <c r="AB58" s="228"/>
      <c r="AC58" s="228"/>
      <c r="AD58" s="228"/>
      <c r="AE58" s="228"/>
      <c r="AF58" s="228"/>
      <c r="AG58" s="228"/>
      <c r="AH58" s="228"/>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row>
    <row r="59" spans="2:61" ht="11.45" collapsed="1">
      <c r="B59" t="s">
        <v>297</v>
      </c>
      <c r="D59" s="10">
        <f t="shared" ref="D59:AF59" si="93">+D531</f>
        <v>-295</v>
      </c>
      <c r="E59" s="10">
        <f t="shared" si="93"/>
        <v>-176</v>
      </c>
      <c r="F59" s="10">
        <f t="shared" si="93"/>
        <v>-212</v>
      </c>
      <c r="G59" s="10">
        <f t="shared" si="93"/>
        <v>244</v>
      </c>
      <c r="H59" s="10">
        <f t="shared" si="93"/>
        <v>112</v>
      </c>
      <c r="I59" s="10">
        <f t="shared" si="93"/>
        <v>117</v>
      </c>
      <c r="J59" s="10">
        <f t="shared" si="93"/>
        <v>371</v>
      </c>
      <c r="K59" s="10">
        <f t="shared" si="93"/>
        <v>276</v>
      </c>
      <c r="L59" s="10">
        <f t="shared" si="93"/>
        <v>276</v>
      </c>
      <c r="M59" s="10">
        <f t="shared" si="93"/>
        <v>490</v>
      </c>
      <c r="N59" s="10">
        <f t="shared" si="93"/>
        <v>349</v>
      </c>
      <c r="O59" s="10">
        <f t="shared" si="93"/>
        <v>301</v>
      </c>
      <c r="P59" s="10">
        <f t="shared" si="93"/>
        <v>266</v>
      </c>
      <c r="Q59" s="10">
        <f t="shared" si="93"/>
        <v>127</v>
      </c>
      <c r="R59" s="10">
        <f t="shared" si="93"/>
        <v>145</v>
      </c>
      <c r="S59" s="10">
        <f t="shared" si="93"/>
        <v>191</v>
      </c>
      <c r="T59" s="10">
        <f t="shared" si="93"/>
        <v>0</v>
      </c>
      <c r="U59" s="10">
        <f t="shared" si="93"/>
        <v>194</v>
      </c>
      <c r="V59" s="10">
        <f t="shared" si="93"/>
        <v>-132</v>
      </c>
      <c r="W59" s="10">
        <f t="shared" si="93"/>
        <v>15</v>
      </c>
      <c r="X59" s="10">
        <f t="shared" si="93"/>
        <v>248</v>
      </c>
      <c r="Y59" s="10">
        <f t="shared" si="93"/>
        <v>440</v>
      </c>
      <c r="Z59" s="10">
        <f t="shared" si="93"/>
        <v>188</v>
      </c>
      <c r="AA59" s="10">
        <f t="shared" si="93"/>
        <v>310</v>
      </c>
      <c r="AB59" s="10">
        <f t="shared" si="93"/>
        <v>286</v>
      </c>
      <c r="AC59" s="10">
        <f t="shared" si="93"/>
        <v>268</v>
      </c>
      <c r="AD59" s="10">
        <f t="shared" si="93"/>
        <v>-174</v>
      </c>
      <c r="AE59" s="10">
        <f t="shared" si="93"/>
        <v>-47</v>
      </c>
      <c r="AF59" s="10">
        <f t="shared" si="93"/>
        <v>54</v>
      </c>
      <c r="AG59" s="58">
        <v>0</v>
      </c>
      <c r="AH59" s="58">
        <v>0</v>
      </c>
      <c r="AI59" s="58">
        <v>0</v>
      </c>
      <c r="AK59" s="10">
        <f t="shared" ref="AK59:AW59" si="94">+AK531</f>
        <v>2052</v>
      </c>
      <c r="AL59" s="10">
        <f t="shared" si="94"/>
        <v>1882</v>
      </c>
      <c r="AM59" s="10">
        <f t="shared" si="94"/>
        <v>1663</v>
      </c>
      <c r="AN59" s="10">
        <f t="shared" si="94"/>
        <v>1543</v>
      </c>
      <c r="AO59" s="10">
        <f t="shared" si="94"/>
        <v>-542</v>
      </c>
      <c r="AP59" s="10">
        <f t="shared" si="94"/>
        <v>915</v>
      </c>
      <c r="AQ59" s="10">
        <f t="shared" si="94"/>
        <v>910</v>
      </c>
      <c r="AR59" s="10">
        <f t="shared" si="94"/>
        <v>504</v>
      </c>
      <c r="AS59" s="10">
        <f t="shared" si="94"/>
        <v>288</v>
      </c>
      <c r="AT59" s="10">
        <f t="shared" si="94"/>
        <v>61</v>
      </c>
      <c r="AU59" s="10">
        <f t="shared" si="94"/>
        <v>346</v>
      </c>
      <c r="AV59" s="10">
        <f t="shared" si="94"/>
        <v>431</v>
      </c>
      <c r="AW59" s="10">
        <f t="shared" si="94"/>
        <v>-823</v>
      </c>
      <c r="AY59" s="10">
        <f>+AY531</f>
        <v>-439</v>
      </c>
      <c r="AZ59" s="10">
        <f>+AZ531</f>
        <v>876</v>
      </c>
      <c r="BA59" s="10">
        <f>+BA531</f>
        <v>1416</v>
      </c>
      <c r="BB59" s="10">
        <f>+BB531</f>
        <v>729</v>
      </c>
      <c r="BC59" s="10">
        <f>SUM(T59:W59)</f>
        <v>77</v>
      </c>
      <c r="BD59" s="10">
        <f>SUM(X59:AA59)</f>
        <v>1186</v>
      </c>
      <c r="BE59" s="10">
        <f>SUM(AB59:AE59)</f>
        <v>333</v>
      </c>
      <c r="BF59" s="10">
        <f>SUM(AF59:AI59)</f>
        <v>54</v>
      </c>
    </row>
    <row r="60" spans="2:61">
      <c r="B60" s="12" t="s">
        <v>298</v>
      </c>
      <c r="D60" s="8">
        <f t="shared" ref="D60:AI60" si="95">+D44+D59</f>
        <v>6021</v>
      </c>
      <c r="E60" s="8">
        <f t="shared" si="95"/>
        <v>7313</v>
      </c>
      <c r="F60" s="8">
        <f t="shared" si="95"/>
        <v>6065</v>
      </c>
      <c r="G60" s="8">
        <f t="shared" si="95"/>
        <v>7350</v>
      </c>
      <c r="H60" s="8">
        <f t="shared" si="95"/>
        <v>6827</v>
      </c>
      <c r="I60" s="8">
        <f t="shared" si="95"/>
        <v>8022</v>
      </c>
      <c r="J60" s="8">
        <f t="shared" si="95"/>
        <v>7094</v>
      </c>
      <c r="K60" s="8">
        <f t="shared" si="95"/>
        <v>8264</v>
      </c>
      <c r="L60" s="8">
        <f t="shared" si="95"/>
        <v>7984</v>
      </c>
      <c r="M60" s="8">
        <f t="shared" si="95"/>
        <v>9169</v>
      </c>
      <c r="N60" s="8">
        <f t="shared" si="95"/>
        <v>8641</v>
      </c>
      <c r="O60" s="8">
        <f t="shared" si="95"/>
        <v>10680</v>
      </c>
      <c r="P60" s="8">
        <f t="shared" si="95"/>
        <v>10221</v>
      </c>
      <c r="Q60" s="8">
        <f t="shared" si="95"/>
        <v>10385</v>
      </c>
      <c r="R60" s="8">
        <f t="shared" si="95"/>
        <v>10486</v>
      </c>
      <c r="S60" s="8">
        <f t="shared" si="95"/>
        <v>12596</v>
      </c>
      <c r="T60" s="8">
        <f t="shared" si="95"/>
        <v>12686</v>
      </c>
      <c r="U60" s="8">
        <f t="shared" si="95"/>
        <v>14085</v>
      </c>
      <c r="V60" s="8">
        <f t="shared" si="95"/>
        <v>12843</v>
      </c>
      <c r="W60" s="8">
        <f t="shared" si="95"/>
        <v>13422</v>
      </c>
      <c r="X60" s="8">
        <f t="shared" si="95"/>
        <v>16124</v>
      </c>
      <c r="Y60" s="8">
        <f t="shared" si="95"/>
        <v>18337</v>
      </c>
      <c r="Z60" s="8">
        <f t="shared" si="95"/>
        <v>17236</v>
      </c>
      <c r="AA60" s="8">
        <f t="shared" si="95"/>
        <v>19405</v>
      </c>
      <c r="AB60" s="8">
        <f t="shared" si="95"/>
        <v>20524</v>
      </c>
      <c r="AC60" s="8">
        <f t="shared" si="95"/>
        <v>22515</v>
      </c>
      <c r="AD60" s="8">
        <f t="shared" si="95"/>
        <v>20190</v>
      </c>
      <c r="AE60" s="8">
        <f t="shared" si="95"/>
        <v>20487</v>
      </c>
      <c r="AF60" s="8">
        <f t="shared" si="95"/>
        <v>21572</v>
      </c>
      <c r="AG60" s="8">
        <f t="shared" si="95"/>
        <v>22280.325017420888</v>
      </c>
      <c r="AH60" s="8">
        <f t="shared" si="95"/>
        <v>20668.367261994536</v>
      </c>
      <c r="AI60" s="8">
        <f t="shared" si="95"/>
        <v>21640.852583138716</v>
      </c>
      <c r="AK60" s="8">
        <f t="shared" ref="AK60:AW60" si="96">+AK44+AK59</f>
        <v>16628</v>
      </c>
      <c r="AL60" s="8">
        <f t="shared" si="96"/>
        <v>18262</v>
      </c>
      <c r="AM60" s="8">
        <f t="shared" si="96"/>
        <v>20101</v>
      </c>
      <c r="AN60" s="8">
        <f t="shared" si="96"/>
        <v>23814</v>
      </c>
      <c r="AO60" s="8">
        <f t="shared" si="96"/>
        <v>19821</v>
      </c>
      <c r="AP60" s="8">
        <f t="shared" si="96"/>
        <v>25013</v>
      </c>
      <c r="AQ60" s="8">
        <f t="shared" si="96"/>
        <v>28071</v>
      </c>
      <c r="AR60" s="8">
        <f t="shared" si="96"/>
        <v>28460</v>
      </c>
      <c r="AS60" s="8">
        <f t="shared" si="96"/>
        <v>27785</v>
      </c>
      <c r="AT60" s="8">
        <f t="shared" si="96"/>
        <v>27947</v>
      </c>
      <c r="AU60" s="8">
        <f t="shared" si="96"/>
        <v>28518</v>
      </c>
      <c r="AV60" s="8">
        <f t="shared" si="96"/>
        <v>21723</v>
      </c>
      <c r="AW60" s="8">
        <f t="shared" si="96"/>
        <v>21809</v>
      </c>
      <c r="AY60" s="8">
        <f t="shared" ref="AY60:BF60" si="97">+AY44+AY59</f>
        <v>26749</v>
      </c>
      <c r="AZ60" s="8">
        <f t="shared" si="97"/>
        <v>30207</v>
      </c>
      <c r="BA60" s="8">
        <f t="shared" si="97"/>
        <v>36474</v>
      </c>
      <c r="BB60" s="8">
        <f t="shared" si="97"/>
        <v>43688</v>
      </c>
      <c r="BC60" s="8">
        <f t="shared" si="97"/>
        <v>53036</v>
      </c>
      <c r="BD60" s="8">
        <f t="shared" si="97"/>
        <v>71102</v>
      </c>
      <c r="BE60" s="8">
        <f t="shared" si="97"/>
        <v>83716</v>
      </c>
      <c r="BF60" s="8">
        <f t="shared" si="97"/>
        <v>86161.544862554147</v>
      </c>
    </row>
    <row r="61" spans="2:61" ht="11.45">
      <c r="B61" t="s">
        <v>299</v>
      </c>
      <c r="D61" s="10">
        <f>MIN(-D60*0.35,0)</f>
        <v>-2107.35</v>
      </c>
      <c r="E61" s="10">
        <f t="shared" ref="E61:AZ61" si="98">MIN(-E60*0.35,0)</f>
        <v>-2559.5499999999997</v>
      </c>
      <c r="F61" s="10">
        <f t="shared" si="98"/>
        <v>-2122.75</v>
      </c>
      <c r="G61" s="10">
        <f t="shared" si="98"/>
        <v>-2572.5</v>
      </c>
      <c r="H61" s="10">
        <f t="shared" si="98"/>
        <v>-2389.4499999999998</v>
      </c>
      <c r="I61" s="10">
        <f t="shared" si="98"/>
        <v>-2807.7</v>
      </c>
      <c r="J61" s="10">
        <f t="shared" si="98"/>
        <v>-2482.8999999999996</v>
      </c>
      <c r="K61" s="10">
        <f t="shared" si="98"/>
        <v>-2892.3999999999996</v>
      </c>
      <c r="L61" s="10">
        <f t="shared" si="98"/>
        <v>-2794.3999999999996</v>
      </c>
      <c r="M61" s="10">
        <f t="shared" si="98"/>
        <v>-3209.1499999999996</v>
      </c>
      <c r="N61" s="10">
        <f>MIN(-N60*0.21,0)</f>
        <v>-1814.61</v>
      </c>
      <c r="O61" s="10">
        <f t="shared" ref="O61:AI61" si="99">MIN(-O60*0.21,0)</f>
        <v>-2242.7999999999997</v>
      </c>
      <c r="P61" s="10">
        <f t="shared" si="99"/>
        <v>-2146.41</v>
      </c>
      <c r="Q61" s="10">
        <f t="shared" si="99"/>
        <v>-2180.85</v>
      </c>
      <c r="R61" s="10">
        <f t="shared" si="99"/>
        <v>-2202.06</v>
      </c>
      <c r="S61" s="10">
        <f t="shared" si="99"/>
        <v>-2645.16</v>
      </c>
      <c r="T61" s="10">
        <f t="shared" si="99"/>
        <v>-2664.06</v>
      </c>
      <c r="U61" s="10">
        <f t="shared" si="99"/>
        <v>-2957.85</v>
      </c>
      <c r="V61" s="10">
        <f t="shared" si="99"/>
        <v>-2697.0299999999997</v>
      </c>
      <c r="W61" s="10">
        <f t="shared" si="99"/>
        <v>-2818.62</v>
      </c>
      <c r="X61" s="10">
        <f t="shared" si="99"/>
        <v>-3386.04</v>
      </c>
      <c r="Y61" s="10">
        <f t="shared" si="99"/>
        <v>-3850.77</v>
      </c>
      <c r="Z61" s="10">
        <f t="shared" si="99"/>
        <v>-3619.56</v>
      </c>
      <c r="AA61" s="10">
        <f t="shared" si="99"/>
        <v>-4075.0499999999997</v>
      </c>
      <c r="AB61" s="10">
        <f t="shared" si="99"/>
        <v>-4310.04</v>
      </c>
      <c r="AC61" s="10">
        <f t="shared" si="99"/>
        <v>-4728.1499999999996</v>
      </c>
      <c r="AD61" s="10">
        <f t="shared" si="99"/>
        <v>-4239.8999999999996</v>
      </c>
      <c r="AE61" s="10">
        <f t="shared" si="99"/>
        <v>-4302.2699999999995</v>
      </c>
      <c r="AF61" s="10">
        <f t="shared" si="99"/>
        <v>-4530.12</v>
      </c>
      <c r="AG61" s="10">
        <f t="shared" si="99"/>
        <v>-4678.8682536583865</v>
      </c>
      <c r="AH61" s="10">
        <f t="shared" si="99"/>
        <v>-4340.3571250188525</v>
      </c>
      <c r="AI61" s="10">
        <f t="shared" si="99"/>
        <v>-4544.5790424591305</v>
      </c>
      <c r="AK61" s="10">
        <f t="shared" si="98"/>
        <v>-5819.7999999999993</v>
      </c>
      <c r="AL61" s="10">
        <f t="shared" si="98"/>
        <v>-6391.7</v>
      </c>
      <c r="AM61" s="10">
        <f t="shared" si="98"/>
        <v>-7035.3499999999995</v>
      </c>
      <c r="AN61" s="10">
        <f t="shared" si="98"/>
        <v>-8334.9</v>
      </c>
      <c r="AO61" s="10">
        <f t="shared" si="98"/>
        <v>-6937.3499999999995</v>
      </c>
      <c r="AP61" s="10">
        <f t="shared" si="98"/>
        <v>-8754.5499999999993</v>
      </c>
      <c r="AQ61" s="10">
        <f t="shared" si="98"/>
        <v>-9824.8499999999985</v>
      </c>
      <c r="AR61" s="10">
        <f t="shared" si="98"/>
        <v>-9961</v>
      </c>
      <c r="AS61" s="10">
        <f t="shared" si="98"/>
        <v>-9724.75</v>
      </c>
      <c r="AT61" s="10">
        <f t="shared" si="98"/>
        <v>-9781.4499999999989</v>
      </c>
      <c r="AU61" s="10">
        <f t="shared" si="98"/>
        <v>-9981.2999999999993</v>
      </c>
      <c r="AV61" s="10">
        <f t="shared" si="98"/>
        <v>-7603.0499999999993</v>
      </c>
      <c r="AW61" s="10">
        <f t="shared" si="98"/>
        <v>-7633.15</v>
      </c>
      <c r="AY61" s="10">
        <f t="shared" si="98"/>
        <v>-9362.15</v>
      </c>
      <c r="AZ61" s="10">
        <f t="shared" si="98"/>
        <v>-10572.449999999999</v>
      </c>
      <c r="BA61" s="10">
        <f>+SUM(L61:O61)</f>
        <v>-10060.959999999999</v>
      </c>
      <c r="BB61" s="10">
        <f>SUM(P61:S61)</f>
        <v>-9174.48</v>
      </c>
      <c r="BC61" s="10">
        <f>SUM(T61:W61)</f>
        <v>-11137.559999999998</v>
      </c>
      <c r="BD61" s="10">
        <f>SUM(X61:AA61)</f>
        <v>-14931.419999999998</v>
      </c>
      <c r="BE61" s="10">
        <f>SUM(AB61:AE61)</f>
        <v>-17580.359999999997</v>
      </c>
      <c r="BF61" s="10">
        <f>SUM(AF61:AI61)</f>
        <v>-18093.924421136369</v>
      </c>
    </row>
    <row r="62" spans="2:61">
      <c r="B62" s="12" t="s">
        <v>300</v>
      </c>
      <c r="D62" s="8">
        <f>+SUM(D60:D61)</f>
        <v>3913.65</v>
      </c>
      <c r="E62" s="8">
        <f t="shared" ref="E62:BF62" si="100">+SUM(E60:E61)</f>
        <v>4753.4500000000007</v>
      </c>
      <c r="F62" s="8">
        <f t="shared" si="100"/>
        <v>3942.25</v>
      </c>
      <c r="G62" s="8">
        <f t="shared" si="100"/>
        <v>4777.5</v>
      </c>
      <c r="H62" s="8">
        <f t="shared" si="100"/>
        <v>4437.55</v>
      </c>
      <c r="I62" s="8">
        <f t="shared" si="100"/>
        <v>5214.3</v>
      </c>
      <c r="J62" s="8">
        <f t="shared" si="100"/>
        <v>4611.1000000000004</v>
      </c>
      <c r="K62" s="8">
        <f t="shared" si="100"/>
        <v>5371.6</v>
      </c>
      <c r="L62" s="8">
        <f t="shared" si="100"/>
        <v>5189.6000000000004</v>
      </c>
      <c r="M62" s="8">
        <f t="shared" si="100"/>
        <v>5959.85</v>
      </c>
      <c r="N62" s="8">
        <f t="shared" si="100"/>
        <v>6826.39</v>
      </c>
      <c r="O62" s="8">
        <f t="shared" si="100"/>
        <v>8437.2000000000007</v>
      </c>
      <c r="P62" s="8">
        <f t="shared" si="100"/>
        <v>8074.59</v>
      </c>
      <c r="Q62" s="8">
        <f t="shared" si="100"/>
        <v>8204.15</v>
      </c>
      <c r="R62" s="8">
        <f t="shared" si="100"/>
        <v>8283.94</v>
      </c>
      <c r="S62" s="8">
        <f t="shared" si="100"/>
        <v>9950.84</v>
      </c>
      <c r="T62" s="8">
        <f t="shared" si="100"/>
        <v>10021.94</v>
      </c>
      <c r="U62" s="8">
        <f t="shared" si="100"/>
        <v>11127.15</v>
      </c>
      <c r="V62" s="8">
        <f t="shared" si="100"/>
        <v>10145.970000000001</v>
      </c>
      <c r="W62" s="8">
        <f t="shared" si="100"/>
        <v>10603.380000000001</v>
      </c>
      <c r="X62" s="8">
        <f t="shared" si="100"/>
        <v>12737.96</v>
      </c>
      <c r="Y62" s="8">
        <f t="shared" si="100"/>
        <v>14486.23</v>
      </c>
      <c r="Z62" s="8">
        <f t="shared" si="100"/>
        <v>13616.44</v>
      </c>
      <c r="AA62" s="8">
        <f t="shared" si="100"/>
        <v>15329.95</v>
      </c>
      <c r="AB62" s="8">
        <f t="shared" si="100"/>
        <v>16213.96</v>
      </c>
      <c r="AC62" s="8">
        <f t="shared" si="100"/>
        <v>17786.849999999999</v>
      </c>
      <c r="AD62" s="8">
        <f t="shared" si="100"/>
        <v>15950.1</v>
      </c>
      <c r="AE62" s="8">
        <f t="shared" si="100"/>
        <v>16184.73</v>
      </c>
      <c r="AF62" s="8">
        <f t="shared" si="100"/>
        <v>17041.88</v>
      </c>
      <c r="AG62" s="8">
        <f t="shared" si="100"/>
        <v>17601.4567637625</v>
      </c>
      <c r="AH62" s="8">
        <f t="shared" si="100"/>
        <v>16328.010136975683</v>
      </c>
      <c r="AI62" s="8">
        <f t="shared" si="100"/>
        <v>17096.273540679584</v>
      </c>
      <c r="AK62" s="8">
        <f t="shared" si="100"/>
        <v>10808.2</v>
      </c>
      <c r="AL62" s="8">
        <f t="shared" si="100"/>
        <v>11870.3</v>
      </c>
      <c r="AM62" s="8">
        <f t="shared" si="100"/>
        <v>13065.650000000001</v>
      </c>
      <c r="AN62" s="8">
        <f t="shared" si="100"/>
        <v>15479.1</v>
      </c>
      <c r="AO62" s="8">
        <f t="shared" si="100"/>
        <v>12883.650000000001</v>
      </c>
      <c r="AP62" s="8">
        <f t="shared" si="100"/>
        <v>16258.45</v>
      </c>
      <c r="AQ62" s="8">
        <f t="shared" si="100"/>
        <v>18246.150000000001</v>
      </c>
      <c r="AR62" s="8">
        <f t="shared" si="100"/>
        <v>18499</v>
      </c>
      <c r="AS62" s="8">
        <f t="shared" si="100"/>
        <v>18060.25</v>
      </c>
      <c r="AT62" s="8">
        <f t="shared" si="100"/>
        <v>18165.550000000003</v>
      </c>
      <c r="AU62" s="8">
        <f t="shared" si="100"/>
        <v>18536.7</v>
      </c>
      <c r="AV62" s="8">
        <f t="shared" si="100"/>
        <v>14119.95</v>
      </c>
      <c r="AW62" s="8">
        <f t="shared" si="100"/>
        <v>14175.85</v>
      </c>
      <c r="AY62" s="8">
        <f t="shared" si="100"/>
        <v>17386.849999999999</v>
      </c>
      <c r="AZ62" s="8">
        <f t="shared" si="100"/>
        <v>19634.550000000003</v>
      </c>
      <c r="BA62" s="8">
        <f t="shared" si="100"/>
        <v>26413.040000000001</v>
      </c>
      <c r="BB62" s="8">
        <f t="shared" si="100"/>
        <v>34513.520000000004</v>
      </c>
      <c r="BC62" s="8">
        <f t="shared" si="100"/>
        <v>41898.44</v>
      </c>
      <c r="BD62" s="8">
        <f t="shared" si="100"/>
        <v>56170.58</v>
      </c>
      <c r="BE62" s="8">
        <f t="shared" si="100"/>
        <v>66135.64</v>
      </c>
      <c r="BF62" s="8">
        <f t="shared" si="100"/>
        <v>68067.620441417777</v>
      </c>
    </row>
    <row r="63" spans="2:61" s="3" customFormat="1" ht="11.45">
      <c r="B63" t="s">
        <v>301</v>
      </c>
      <c r="D63" s="846">
        <f t="shared" ref="D63:AF63" si="101">+D538</f>
        <v>8084</v>
      </c>
      <c r="E63" s="846">
        <f t="shared" si="101"/>
        <v>8051</v>
      </c>
      <c r="F63" s="846">
        <f t="shared" si="101"/>
        <v>7985</v>
      </c>
      <c r="G63" s="846">
        <f t="shared" si="101"/>
        <v>7929</v>
      </c>
      <c r="H63" s="846">
        <f t="shared" si="101"/>
        <v>7876</v>
      </c>
      <c r="I63" s="846">
        <f t="shared" si="101"/>
        <v>7830</v>
      </c>
      <c r="J63" s="846">
        <f t="shared" si="101"/>
        <v>7813</v>
      </c>
      <c r="K63" s="846">
        <f t="shared" si="101"/>
        <v>7806</v>
      </c>
      <c r="L63" s="846">
        <f t="shared" si="101"/>
        <v>7799</v>
      </c>
      <c r="M63" s="846">
        <f t="shared" si="101"/>
        <v>7710</v>
      </c>
      <c r="N63" s="846">
        <f t="shared" si="101"/>
        <v>7794</v>
      </c>
      <c r="O63" s="846">
        <f t="shared" si="101"/>
        <v>7775</v>
      </c>
      <c r="P63" s="846">
        <f t="shared" si="101"/>
        <v>7766</v>
      </c>
      <c r="Q63" s="846">
        <f t="shared" si="101"/>
        <v>7768</v>
      </c>
      <c r="R63" s="846">
        <f t="shared" si="101"/>
        <v>7744</v>
      </c>
      <c r="S63" s="846">
        <f t="shared" si="101"/>
        <v>7734</v>
      </c>
      <c r="T63" s="846">
        <f t="shared" si="101"/>
        <v>7710</v>
      </c>
      <c r="U63" s="846">
        <f t="shared" si="101"/>
        <v>7714.5695364238409</v>
      </c>
      <c r="V63" s="846">
        <f t="shared" si="101"/>
        <v>7675</v>
      </c>
      <c r="W63" s="846">
        <f t="shared" si="101"/>
        <v>7650</v>
      </c>
      <c r="X63" s="846">
        <f t="shared" si="101"/>
        <v>7637</v>
      </c>
      <c r="Y63" s="846">
        <f t="shared" si="101"/>
        <v>7616</v>
      </c>
      <c r="Z63" s="846">
        <f t="shared" si="101"/>
        <v>7597</v>
      </c>
      <c r="AA63" s="846">
        <f t="shared" si="101"/>
        <v>7581</v>
      </c>
      <c r="AB63" s="846">
        <f t="shared" si="101"/>
        <v>7567</v>
      </c>
      <c r="AC63" s="846">
        <f t="shared" si="101"/>
        <v>7555</v>
      </c>
      <c r="AD63" s="846">
        <f t="shared" si="101"/>
        <v>7534</v>
      </c>
      <c r="AE63" s="846">
        <f t="shared" si="101"/>
        <v>7506</v>
      </c>
      <c r="AF63" s="846">
        <f t="shared" si="101"/>
        <v>7485</v>
      </c>
      <c r="AG63" s="846">
        <f t="shared" ref="AG63:AI63" si="102">+AF63</f>
        <v>7485</v>
      </c>
      <c r="AH63" s="846">
        <f t="shared" si="102"/>
        <v>7485</v>
      </c>
      <c r="AI63" s="846">
        <f t="shared" si="102"/>
        <v>7485</v>
      </c>
      <c r="AK63" s="846">
        <f t="shared" ref="AK63:AW63" si="103">+AK538</f>
        <v>7775</v>
      </c>
      <c r="AL63" s="846">
        <f t="shared" si="103"/>
        <v>7775</v>
      </c>
      <c r="AM63" s="846">
        <f t="shared" si="103"/>
        <v>7775</v>
      </c>
      <c r="AN63" s="846">
        <f t="shared" si="103"/>
        <v>7775</v>
      </c>
      <c r="AO63" s="846">
        <f t="shared" si="103"/>
        <v>7775</v>
      </c>
      <c r="AP63" s="846">
        <f t="shared" si="103"/>
        <v>7775</v>
      </c>
      <c r="AQ63" s="846">
        <f t="shared" si="103"/>
        <v>7775</v>
      </c>
      <c r="AR63" s="846">
        <f t="shared" si="103"/>
        <v>7775</v>
      </c>
      <c r="AS63" s="846">
        <f t="shared" si="103"/>
        <v>7775</v>
      </c>
      <c r="AT63" s="846">
        <f t="shared" si="103"/>
        <v>7775</v>
      </c>
      <c r="AU63" s="846">
        <f t="shared" si="103"/>
        <v>7775</v>
      </c>
      <c r="AV63" s="846">
        <f t="shared" si="103"/>
        <v>7832</v>
      </c>
      <c r="AW63" s="846">
        <f t="shared" si="103"/>
        <v>7794</v>
      </c>
      <c r="AY63" s="846">
        <f>+AY538</f>
        <v>8012.25</v>
      </c>
      <c r="AZ63" s="846">
        <f>+AZ538</f>
        <v>7831.25</v>
      </c>
      <c r="BA63" s="846">
        <f>+BA538</f>
        <v>7769.5</v>
      </c>
      <c r="BB63" s="846">
        <f>+BB538</f>
        <v>7753</v>
      </c>
      <c r="BC63" s="846">
        <f>AVERAGE(T63:W63)</f>
        <v>7687.3923841059604</v>
      </c>
      <c r="BD63" s="846">
        <f>AVERAGE(X63:AA63)</f>
        <v>7607.75</v>
      </c>
      <c r="BE63" s="846">
        <f>AVERAGE(AB63:AE63)</f>
        <v>7540.5</v>
      </c>
      <c r="BF63" s="846">
        <f>+BF62/BF64</f>
        <v>7485.0000000000018</v>
      </c>
    </row>
    <row r="64" spans="2:61">
      <c r="B64" s="12" t="s">
        <v>302</v>
      </c>
      <c r="D64" s="9">
        <f>+D62/D63</f>
        <v>0.4841229589312222</v>
      </c>
      <c r="E64" s="9">
        <f t="shared" ref="E64:BE64" si="104">+E62/E63</f>
        <v>0.59041733946093666</v>
      </c>
      <c r="F64" s="9">
        <f t="shared" si="104"/>
        <v>0.49370695053224795</v>
      </c>
      <c r="G64" s="9">
        <f t="shared" si="104"/>
        <v>0.60253499810821032</v>
      </c>
      <c r="H64" s="9">
        <f t="shared" si="104"/>
        <v>0.56342686642965978</v>
      </c>
      <c r="I64" s="9">
        <f t="shared" si="104"/>
        <v>0.6659386973180077</v>
      </c>
      <c r="J64" s="9">
        <f t="shared" si="104"/>
        <v>0.59018302828618974</v>
      </c>
      <c r="K64" s="9">
        <f t="shared" si="104"/>
        <v>0.68813733025877533</v>
      </c>
      <c r="L64" s="9">
        <f t="shared" si="104"/>
        <v>0.66541864341582257</v>
      </c>
      <c r="M64" s="9">
        <f t="shared" si="104"/>
        <v>0.77300259403372251</v>
      </c>
      <c r="N64" s="9">
        <f t="shared" si="104"/>
        <v>0.87585193738773415</v>
      </c>
      <c r="O64" s="9">
        <f t="shared" si="104"/>
        <v>1.085170418006431</v>
      </c>
      <c r="P64" s="9">
        <f t="shared" si="104"/>
        <v>1.0397360288436777</v>
      </c>
      <c r="Q64" s="9">
        <f t="shared" si="104"/>
        <v>1.0561470133882596</v>
      </c>
      <c r="R64" s="9">
        <f t="shared" si="104"/>
        <v>1.0697236570247934</v>
      </c>
      <c r="S64" s="9">
        <f t="shared" si="104"/>
        <v>1.286635634859064</v>
      </c>
      <c r="T64" s="9">
        <f t="shared" si="104"/>
        <v>1.2998625162127109</v>
      </c>
      <c r="U64" s="9">
        <f t="shared" si="104"/>
        <v>1.4423552665464847</v>
      </c>
      <c r="V64" s="9">
        <f t="shared" si="104"/>
        <v>1.3219504885993487</v>
      </c>
      <c r="W64" s="9">
        <f t="shared" si="104"/>
        <v>1.3860627450980394</v>
      </c>
      <c r="X64" s="9">
        <f t="shared" si="104"/>
        <v>1.667927196543145</v>
      </c>
      <c r="Y64" s="9">
        <f t="shared" si="104"/>
        <v>1.9020785189075631</v>
      </c>
      <c r="Z64" s="9">
        <f t="shared" si="104"/>
        <v>1.792344346452547</v>
      </c>
      <c r="AA64" s="9">
        <f t="shared" si="104"/>
        <v>2.0221540693839866</v>
      </c>
      <c r="AB64" s="9">
        <f t="shared" si="104"/>
        <v>2.1427197039777983</v>
      </c>
      <c r="AC64" s="9">
        <f t="shared" si="104"/>
        <v>2.3543150231634677</v>
      </c>
      <c r="AD64" s="9">
        <f t="shared" si="104"/>
        <v>2.1170825590655693</v>
      </c>
      <c r="AE64" s="9">
        <f t="shared" si="104"/>
        <v>2.1562390087929657</v>
      </c>
      <c r="AF64" s="9">
        <f t="shared" si="104"/>
        <v>2.2768042752171009</v>
      </c>
      <c r="AG64" s="9">
        <f t="shared" si="104"/>
        <v>2.3515640298947895</v>
      </c>
      <c r="AH64" s="9">
        <f t="shared" si="104"/>
        <v>2.1814308800234712</v>
      </c>
      <c r="AI64" s="9">
        <f t="shared" si="104"/>
        <v>2.2840712813199175</v>
      </c>
      <c r="AK64" s="9">
        <f t="shared" si="104"/>
        <v>1.3901221864951769</v>
      </c>
      <c r="AL64" s="9">
        <f t="shared" si="104"/>
        <v>1.5267266881028938</v>
      </c>
      <c r="AM64" s="9">
        <f t="shared" si="104"/>
        <v>1.6804694533762059</v>
      </c>
      <c r="AN64" s="9">
        <f t="shared" si="104"/>
        <v>1.9908810289389067</v>
      </c>
      <c r="AO64" s="9">
        <f t="shared" si="104"/>
        <v>1.6570610932475887</v>
      </c>
      <c r="AP64" s="9">
        <f t="shared" si="104"/>
        <v>2.0911189710610931</v>
      </c>
      <c r="AQ64" s="9">
        <f t="shared" si="104"/>
        <v>2.3467717041800644</v>
      </c>
      <c r="AR64" s="9">
        <f t="shared" si="104"/>
        <v>2.3792926045016078</v>
      </c>
      <c r="AS64" s="9">
        <f t="shared" si="104"/>
        <v>2.3228617363344051</v>
      </c>
      <c r="AT64" s="9">
        <f t="shared" si="104"/>
        <v>2.3364051446945342</v>
      </c>
      <c r="AU64" s="9">
        <f t="shared" si="104"/>
        <v>2.3841414790996787</v>
      </c>
      <c r="AV64" s="9">
        <f t="shared" si="104"/>
        <v>1.8028536772216548</v>
      </c>
      <c r="AW64" s="9">
        <f t="shared" si="104"/>
        <v>1.8188157557095201</v>
      </c>
      <c r="AY64" s="9">
        <f t="shared" si="104"/>
        <v>2.17003338637711</v>
      </c>
      <c r="AZ64" s="9">
        <f t="shared" si="104"/>
        <v>2.507205107741421</v>
      </c>
      <c r="BA64" s="9">
        <f t="shared" si="104"/>
        <v>3.3995804105798313</v>
      </c>
      <c r="BB64" s="9">
        <f t="shared" si="104"/>
        <v>4.4516342061137628</v>
      </c>
      <c r="BC64" s="9">
        <f t="shared" si="104"/>
        <v>5.4502798746980794</v>
      </c>
      <c r="BD64" s="9">
        <f t="shared" si="104"/>
        <v>7.3833367289934611</v>
      </c>
      <c r="BE64" s="9">
        <f t="shared" si="104"/>
        <v>8.7707234268284591</v>
      </c>
      <c r="BF64" s="9">
        <f>SUM(AF64:AI64)</f>
        <v>9.0938704664552787</v>
      </c>
    </row>
    <row r="65" spans="2:59" s="3" customFormat="1">
      <c r="B65" s="15" t="s">
        <v>113</v>
      </c>
      <c r="D65" s="228"/>
      <c r="E65" s="228"/>
      <c r="F65" s="228"/>
      <c r="G65" s="228"/>
      <c r="H65" s="228">
        <f>IFERROR(H64/D64-1,"n/a ")</f>
        <v>0.16380943319340502</v>
      </c>
      <c r="I65" s="228">
        <f t="shared" ref="I65:AI65" si="105">IFERROR(I64/E64-1,"n/a ")</f>
        <v>0.12791182238316989</v>
      </c>
      <c r="J65" s="228">
        <f t="shared" si="105"/>
        <v>0.19541162556033354</v>
      </c>
      <c r="K65" s="228">
        <f t="shared" si="105"/>
        <v>0.14207030698520784</v>
      </c>
      <c r="L65" s="228">
        <f t="shared" si="105"/>
        <v>0.18102043594844419</v>
      </c>
      <c r="M65" s="228">
        <f t="shared" si="105"/>
        <v>0.16077140005063906</v>
      </c>
      <c r="N65" s="228">
        <f t="shared" si="105"/>
        <v>0.48403443577679206</v>
      </c>
      <c r="O65" s="228">
        <f t="shared" si="105"/>
        <v>0.57696780902490885</v>
      </c>
      <c r="P65" s="228">
        <f t="shared" si="105"/>
        <v>0.56252915233386802</v>
      </c>
      <c r="Q65" s="228">
        <f t="shared" si="105"/>
        <v>0.36629168070060159</v>
      </c>
      <c r="R65" s="228">
        <f t="shared" si="105"/>
        <v>0.22135216166249516</v>
      </c>
      <c r="S65" s="228">
        <f t="shared" si="105"/>
        <v>0.18565306749030741</v>
      </c>
      <c r="T65" s="228">
        <f t="shared" si="105"/>
        <v>0.25018512406300641</v>
      </c>
      <c r="U65" s="228">
        <f t="shared" si="105"/>
        <v>0.36567660397885127</v>
      </c>
      <c r="V65" s="228">
        <f t="shared" si="105"/>
        <v>0.23578690619600762</v>
      </c>
      <c r="W65" s="228">
        <f t="shared" si="105"/>
        <v>7.7276819905478966E-2</v>
      </c>
      <c r="X65" s="228">
        <f t="shared" si="105"/>
        <v>0.28315662290411314</v>
      </c>
      <c r="Y65" s="228">
        <f t="shared" si="105"/>
        <v>0.31873094169220906</v>
      </c>
      <c r="Z65" s="228">
        <f t="shared" si="105"/>
        <v>0.35583318884476256</v>
      </c>
      <c r="AA65" s="228">
        <f t="shared" si="105"/>
        <v>0.45891957383282445</v>
      </c>
      <c r="AB65" s="228">
        <f t="shared" si="105"/>
        <v>0.28466021084054649</v>
      </c>
      <c r="AC65" s="228">
        <f t="shared" si="105"/>
        <v>0.23775911444267894</v>
      </c>
      <c r="AD65" s="228">
        <f t="shared" si="105"/>
        <v>0.18118070517852902</v>
      </c>
      <c r="AE65" s="228">
        <f t="shared" si="105"/>
        <v>6.6307973976397205E-2</v>
      </c>
      <c r="AF65" s="228">
        <f t="shared" si="105"/>
        <v>6.2576813472329018E-2</v>
      </c>
      <c r="AG65" s="228">
        <f t="shared" si="105"/>
        <v>-1.1684898756588735E-3</v>
      </c>
      <c r="AH65" s="228">
        <f t="shared" si="105"/>
        <v>3.0394809443002435E-2</v>
      </c>
      <c r="AI65" s="228">
        <f t="shared" si="105"/>
        <v>5.92848343832304E-2</v>
      </c>
      <c r="AJ65" s="228"/>
      <c r="AK65" s="228"/>
      <c r="AL65" s="228">
        <f>IFERROR(AL64/AK64-1,"n/a ")</f>
        <v>9.8267981717584663E-2</v>
      </c>
      <c r="AM65" s="228">
        <f t="shared" ref="AM65:AW65" si="106">IFERROR(AM64/AL64-1,"n/a ")</f>
        <v>0.1007009089913482</v>
      </c>
      <c r="AN65" s="228">
        <f t="shared" si="106"/>
        <v>0.18471717824983824</v>
      </c>
      <c r="AO65" s="228">
        <f t="shared" si="106"/>
        <v>-0.16767447719828654</v>
      </c>
      <c r="AP65" s="228">
        <f t="shared" si="106"/>
        <v>0.26194440240149319</v>
      </c>
      <c r="AQ65" s="228">
        <f t="shared" si="106"/>
        <v>0.12225642665813785</v>
      </c>
      <c r="AR65" s="228">
        <f t="shared" si="106"/>
        <v>1.3857717929535829E-2</v>
      </c>
      <c r="AS65" s="228">
        <f t="shared" si="106"/>
        <v>-2.3717498243148394E-2</v>
      </c>
      <c r="AT65" s="228">
        <f t="shared" si="106"/>
        <v>5.8304840741409958E-3</v>
      </c>
      <c r="AU65" s="228">
        <f t="shared" si="106"/>
        <v>2.0431531112462764E-2</v>
      </c>
      <c r="AV65" s="228">
        <f t="shared" si="106"/>
        <v>-0.24381430673213866</v>
      </c>
      <c r="AW65" s="228">
        <f t="shared" si="106"/>
        <v>8.853784802138831E-3</v>
      </c>
      <c r="AX65" s="228"/>
      <c r="AY65" s="1010">
        <f t="shared" ref="AY65" si="107">+AV65</f>
        <v>-0.24381430673213866</v>
      </c>
      <c r="AZ65" s="1010">
        <f t="shared" ref="AZ65" si="108">+AW65</f>
        <v>8.853784802138831E-3</v>
      </c>
      <c r="BA65" s="228">
        <f t="shared" ref="BA65:BF65" si="109">IFERROR(BA64/AZ64-1,"n/a ")</f>
        <v>0.35592433187179218</v>
      </c>
      <c r="BB65" s="228">
        <f t="shared" si="109"/>
        <v>0.3094657776765144</v>
      </c>
      <c r="BC65" s="228">
        <f t="shared" si="109"/>
        <v>0.22433237376350501</v>
      </c>
      <c r="BD65" s="228">
        <f t="shared" si="109"/>
        <v>0.35467111758228098</v>
      </c>
      <c r="BE65" s="228">
        <f t="shared" si="109"/>
        <v>0.18790781847818216</v>
      </c>
      <c r="BF65" s="228">
        <f t="shared" si="109"/>
        <v>3.6843829625086144E-2</v>
      </c>
    </row>
    <row r="67" spans="2:59">
      <c r="B67" s="847" t="s">
        <v>303</v>
      </c>
      <c r="AS67" s="8"/>
    </row>
    <row r="68" spans="2:59" ht="11.45">
      <c r="B68" s="12" t="s">
        <v>276</v>
      </c>
      <c r="D68" s="10">
        <f t="shared" ref="D68:Y68" si="110">+D17</f>
        <v>0</v>
      </c>
      <c r="E68" s="10">
        <f t="shared" si="110"/>
        <v>0</v>
      </c>
      <c r="F68" s="10">
        <f t="shared" si="110"/>
        <v>0</v>
      </c>
      <c r="G68" s="10">
        <f t="shared" si="110"/>
        <v>0</v>
      </c>
      <c r="H68" s="10">
        <f t="shared" si="110"/>
        <v>0</v>
      </c>
      <c r="I68" s="10">
        <f t="shared" si="110"/>
        <v>0</v>
      </c>
      <c r="J68" s="10">
        <f t="shared" si="110"/>
        <v>0</v>
      </c>
      <c r="K68" s="10">
        <f t="shared" si="110"/>
        <v>0</v>
      </c>
      <c r="L68" s="10">
        <f t="shared" si="110"/>
        <v>0</v>
      </c>
      <c r="M68" s="10">
        <f t="shared" si="110"/>
        <v>0</v>
      </c>
      <c r="N68" s="10">
        <f t="shared" si="110"/>
        <v>0</v>
      </c>
      <c r="O68" s="10">
        <f t="shared" si="110"/>
        <v>0</v>
      </c>
      <c r="P68" s="10">
        <f t="shared" si="110"/>
        <v>0</v>
      </c>
      <c r="Q68" s="10">
        <f t="shared" si="110"/>
        <v>0</v>
      </c>
      <c r="R68" s="10">
        <f t="shared" si="110"/>
        <v>0</v>
      </c>
      <c r="S68" s="10">
        <f t="shared" si="110"/>
        <v>0</v>
      </c>
      <c r="T68" s="10">
        <f t="shared" si="110"/>
        <v>0</v>
      </c>
      <c r="U68" s="10">
        <f t="shared" si="110"/>
        <v>0</v>
      </c>
      <c r="V68" s="10">
        <f t="shared" si="110"/>
        <v>0</v>
      </c>
      <c r="W68" s="10">
        <f t="shared" si="110"/>
        <v>0</v>
      </c>
      <c r="X68" s="10">
        <f t="shared" si="110"/>
        <v>0</v>
      </c>
      <c r="Y68" s="10">
        <f t="shared" si="110"/>
        <v>0</v>
      </c>
      <c r="Z68" s="10">
        <v>0</v>
      </c>
      <c r="AA68" s="10">
        <v>0</v>
      </c>
      <c r="AB68" s="10">
        <v>0</v>
      </c>
      <c r="AC68" s="10">
        <v>0</v>
      </c>
      <c r="AD68" s="10">
        <v>0</v>
      </c>
      <c r="AE68" s="10">
        <v>0</v>
      </c>
      <c r="AF68" s="10">
        <v>0</v>
      </c>
      <c r="AG68" s="10">
        <v>0</v>
      </c>
      <c r="AH68" s="10">
        <v>0</v>
      </c>
      <c r="AI68" s="10">
        <v>0</v>
      </c>
      <c r="AK68" s="10">
        <f t="shared" ref="AK68:AW68" si="111">+AK17</f>
        <v>0</v>
      </c>
      <c r="AL68" s="10">
        <f t="shared" si="111"/>
        <v>0</v>
      </c>
      <c r="AM68" s="10">
        <f t="shared" si="111"/>
        <v>0</v>
      </c>
      <c r="AN68" s="10">
        <f t="shared" si="111"/>
        <v>0</v>
      </c>
      <c r="AO68" s="10">
        <f t="shared" si="111"/>
        <v>0</v>
      </c>
      <c r="AP68" s="10">
        <f t="shared" si="111"/>
        <v>0</v>
      </c>
      <c r="AQ68" s="10">
        <f t="shared" si="111"/>
        <v>0</v>
      </c>
      <c r="AR68" s="10">
        <f t="shared" si="111"/>
        <v>540</v>
      </c>
      <c r="AS68" s="10">
        <f t="shared" si="111"/>
        <v>-540</v>
      </c>
      <c r="AT68" s="10">
        <f t="shared" si="111"/>
        <v>0</v>
      </c>
      <c r="AU68" s="10">
        <f t="shared" si="111"/>
        <v>0</v>
      </c>
      <c r="AV68" s="10">
        <f t="shared" si="111"/>
        <v>6643</v>
      </c>
      <c r="AW68" s="10">
        <f t="shared" si="111"/>
        <v>6707</v>
      </c>
      <c r="AY68" s="10">
        <f>+AY17</f>
        <v>0</v>
      </c>
      <c r="AZ68" s="10">
        <f>+AZ17</f>
        <v>0</v>
      </c>
      <c r="BA68" s="10">
        <f>+BA17</f>
        <v>0</v>
      </c>
      <c r="BB68" s="10">
        <f>+BB17</f>
        <v>0</v>
      </c>
      <c r="BC68" s="10">
        <f>SUM(T68:W68)</f>
        <v>0</v>
      </c>
      <c r="BD68" s="10">
        <f>SUM(X68:AA68)</f>
        <v>0</v>
      </c>
      <c r="BE68" s="10">
        <f>SUM(AB68:AE68)</f>
        <v>0</v>
      </c>
      <c r="BF68" s="10">
        <f>SUM(AF68:AI68)</f>
        <v>0</v>
      </c>
    </row>
    <row r="69" spans="2:59">
      <c r="B69" s="17" t="s">
        <v>304</v>
      </c>
      <c r="D69" s="8">
        <f t="shared" ref="D69:AI69" si="112">+D44+D68</f>
        <v>6316</v>
      </c>
      <c r="E69" s="8">
        <f t="shared" si="112"/>
        <v>7489</v>
      </c>
      <c r="F69" s="8">
        <f t="shared" si="112"/>
        <v>6277</v>
      </c>
      <c r="G69" s="8">
        <f t="shared" si="112"/>
        <v>7106</v>
      </c>
      <c r="H69" s="8">
        <f t="shared" si="112"/>
        <v>6715</v>
      </c>
      <c r="I69" s="8">
        <f t="shared" si="112"/>
        <v>7905</v>
      </c>
      <c r="J69" s="8">
        <f t="shared" si="112"/>
        <v>6723</v>
      </c>
      <c r="K69" s="8">
        <f t="shared" si="112"/>
        <v>7988</v>
      </c>
      <c r="L69" s="8">
        <f t="shared" si="112"/>
        <v>7708</v>
      </c>
      <c r="M69" s="8">
        <f t="shared" si="112"/>
        <v>8679</v>
      </c>
      <c r="N69" s="8">
        <f t="shared" si="112"/>
        <v>8292</v>
      </c>
      <c r="O69" s="8">
        <f t="shared" si="112"/>
        <v>10379</v>
      </c>
      <c r="P69" s="8">
        <f t="shared" si="112"/>
        <v>9955</v>
      </c>
      <c r="Q69" s="8">
        <f t="shared" si="112"/>
        <v>10258</v>
      </c>
      <c r="R69" s="8">
        <f t="shared" si="112"/>
        <v>10341</v>
      </c>
      <c r="S69" s="8">
        <f t="shared" si="112"/>
        <v>12405</v>
      </c>
      <c r="T69" s="8">
        <f t="shared" si="112"/>
        <v>12686</v>
      </c>
      <c r="U69" s="8">
        <f t="shared" si="112"/>
        <v>13891</v>
      </c>
      <c r="V69" s="8">
        <f t="shared" si="112"/>
        <v>12975</v>
      </c>
      <c r="W69" s="8">
        <f t="shared" si="112"/>
        <v>13407</v>
      </c>
      <c r="X69" s="8">
        <f t="shared" si="112"/>
        <v>15876</v>
      </c>
      <c r="Y69" s="8">
        <f t="shared" si="112"/>
        <v>17897</v>
      </c>
      <c r="Z69" s="8">
        <f t="shared" si="112"/>
        <v>17048</v>
      </c>
      <c r="AA69" s="8">
        <f t="shared" si="112"/>
        <v>19095</v>
      </c>
      <c r="AB69" s="8">
        <f t="shared" si="112"/>
        <v>20238</v>
      </c>
      <c r="AC69" s="8">
        <f t="shared" si="112"/>
        <v>22247</v>
      </c>
      <c r="AD69" s="8">
        <f t="shared" si="112"/>
        <v>20364</v>
      </c>
      <c r="AE69" s="8">
        <f t="shared" si="112"/>
        <v>20534</v>
      </c>
      <c r="AF69" s="8">
        <f t="shared" si="112"/>
        <v>21518</v>
      </c>
      <c r="AG69" s="8">
        <f t="shared" si="112"/>
        <v>22280.325017420888</v>
      </c>
      <c r="AH69" s="8">
        <f t="shared" si="112"/>
        <v>20668.367261994536</v>
      </c>
      <c r="AI69" s="8">
        <f t="shared" si="112"/>
        <v>21640.852583138716</v>
      </c>
      <c r="AK69" s="8">
        <f t="shared" ref="AK69:AW69" si="113">+AK44+AK68</f>
        <v>14576</v>
      </c>
      <c r="AL69" s="8">
        <f t="shared" si="113"/>
        <v>16380</v>
      </c>
      <c r="AM69" s="8">
        <f t="shared" si="113"/>
        <v>18438</v>
      </c>
      <c r="AN69" s="8">
        <f t="shared" si="113"/>
        <v>22271</v>
      </c>
      <c r="AO69" s="8">
        <f t="shared" si="113"/>
        <v>20363</v>
      </c>
      <c r="AP69" s="8">
        <f t="shared" si="113"/>
        <v>24098</v>
      </c>
      <c r="AQ69" s="8">
        <f t="shared" si="113"/>
        <v>27161</v>
      </c>
      <c r="AR69" s="8">
        <f t="shared" si="113"/>
        <v>28496</v>
      </c>
      <c r="AS69" s="8">
        <f t="shared" si="113"/>
        <v>26957</v>
      </c>
      <c r="AT69" s="8">
        <f t="shared" si="113"/>
        <v>27886</v>
      </c>
      <c r="AU69" s="8">
        <f t="shared" si="113"/>
        <v>28172</v>
      </c>
      <c r="AV69" s="8">
        <f t="shared" si="113"/>
        <v>27935</v>
      </c>
      <c r="AW69" s="8">
        <f t="shared" si="113"/>
        <v>29339</v>
      </c>
      <c r="AY69" s="8">
        <f t="shared" ref="AY69:BF69" si="114">+AY44+AY68</f>
        <v>27188</v>
      </c>
      <c r="AZ69" s="8">
        <f t="shared" si="114"/>
        <v>29331</v>
      </c>
      <c r="BA69" s="8">
        <f t="shared" si="114"/>
        <v>35058</v>
      </c>
      <c r="BB69" s="8">
        <f t="shared" si="114"/>
        <v>42959</v>
      </c>
      <c r="BC69" s="8">
        <f t="shared" si="114"/>
        <v>52959</v>
      </c>
      <c r="BD69" s="8">
        <f t="shared" si="114"/>
        <v>69916</v>
      </c>
      <c r="BE69" s="8">
        <f t="shared" si="114"/>
        <v>83383</v>
      </c>
      <c r="BF69" s="8">
        <f t="shared" si="114"/>
        <v>86107.544862554147</v>
      </c>
    </row>
    <row r="70" spans="2:59" s="3" customFormat="1">
      <c r="B70" s="19" t="s">
        <v>113</v>
      </c>
      <c r="D70" s="228"/>
      <c r="E70" s="228"/>
      <c r="F70" s="228"/>
      <c r="G70" s="228"/>
      <c r="H70" s="228">
        <f>IFERROR(H69/D69-1,"n/a ")</f>
        <v>6.317289423685879E-2</v>
      </c>
      <c r="I70" s="228">
        <f t="shared" ref="I70:AI70" si="115">IFERROR(I69/E69-1,"n/a ")</f>
        <v>5.5548137267993125E-2</v>
      </c>
      <c r="J70" s="228">
        <f t="shared" si="115"/>
        <v>7.1053050820455654E-2</v>
      </c>
      <c r="K70" s="228">
        <f t="shared" si="115"/>
        <v>0.12412046158176193</v>
      </c>
      <c r="L70" s="228">
        <f t="shared" si="115"/>
        <v>0.14787788533134782</v>
      </c>
      <c r="M70" s="228">
        <f t="shared" si="115"/>
        <v>9.7912713472485757E-2</v>
      </c>
      <c r="N70" s="228">
        <f t="shared" si="115"/>
        <v>0.23337795626952262</v>
      </c>
      <c r="O70" s="228">
        <f t="shared" si="115"/>
        <v>0.29932398597896848</v>
      </c>
      <c r="P70" s="228">
        <f t="shared" si="115"/>
        <v>0.29151530877010901</v>
      </c>
      <c r="Q70" s="228">
        <f t="shared" si="115"/>
        <v>0.18193340246572176</v>
      </c>
      <c r="R70" s="228">
        <f t="shared" si="115"/>
        <v>0.2471056439942112</v>
      </c>
      <c r="S70" s="228">
        <f t="shared" si="115"/>
        <v>0.19520184988919942</v>
      </c>
      <c r="T70" s="228">
        <f t="shared" si="115"/>
        <v>0.27433450527373182</v>
      </c>
      <c r="U70" s="228">
        <f t="shared" si="115"/>
        <v>0.3541626047962565</v>
      </c>
      <c r="V70" s="228">
        <f t="shared" si="115"/>
        <v>0.25471424427038003</v>
      </c>
      <c r="W70" s="228">
        <f t="shared" si="115"/>
        <v>8.0773881499395461E-2</v>
      </c>
      <c r="X70" s="228">
        <f t="shared" si="115"/>
        <v>0.25145830048872764</v>
      </c>
      <c r="Y70" s="228">
        <f t="shared" si="115"/>
        <v>0.28838816499892017</v>
      </c>
      <c r="Z70" s="228">
        <f t="shared" si="115"/>
        <v>0.31391136801541419</v>
      </c>
      <c r="AA70" s="228">
        <f t="shared" si="115"/>
        <v>0.42425598567912282</v>
      </c>
      <c r="AB70" s="228">
        <f t="shared" si="115"/>
        <v>0.27475434618291761</v>
      </c>
      <c r="AC70" s="228">
        <f t="shared" si="115"/>
        <v>0.24305749566966539</v>
      </c>
      <c r="AD70" s="228">
        <f t="shared" si="115"/>
        <v>0.19450961989676219</v>
      </c>
      <c r="AE70" s="228">
        <f t="shared" si="115"/>
        <v>7.5360041895784269E-2</v>
      </c>
      <c r="AF70" s="228">
        <f t="shared" si="115"/>
        <v>6.3247356458147941E-2</v>
      </c>
      <c r="AG70" s="228">
        <f t="shared" si="115"/>
        <v>1.4979555634866415E-3</v>
      </c>
      <c r="AH70" s="228">
        <f t="shared" si="115"/>
        <v>1.4946339716879642E-2</v>
      </c>
      <c r="AI70" s="228">
        <f t="shared" si="115"/>
        <v>5.3903408159088118E-2</v>
      </c>
      <c r="AJ70" s="228"/>
      <c r="AK70" s="228"/>
      <c r="AL70" s="228">
        <f>IFERROR(AL69/AK69-1,"n/a ")</f>
        <v>0.12376509330406149</v>
      </c>
      <c r="AM70" s="228">
        <f t="shared" ref="AM70:AW70" si="116">IFERROR(AM69/AL69-1,"n/a ")</f>
        <v>0.12564102564102564</v>
      </c>
      <c r="AN70" s="228">
        <f t="shared" si="116"/>
        <v>0.2078858878403298</v>
      </c>
      <c r="AO70" s="228">
        <f t="shared" si="116"/>
        <v>-8.5671950069597269E-2</v>
      </c>
      <c r="AP70" s="228">
        <f t="shared" si="116"/>
        <v>0.18342091047488096</v>
      </c>
      <c r="AQ70" s="228">
        <f t="shared" si="116"/>
        <v>0.12710598389907868</v>
      </c>
      <c r="AR70" s="228">
        <f t="shared" si="116"/>
        <v>4.9151356724715489E-2</v>
      </c>
      <c r="AS70" s="228">
        <f t="shared" si="116"/>
        <v>-5.4007580011229628E-2</v>
      </c>
      <c r="AT70" s="228">
        <f t="shared" si="116"/>
        <v>3.4462291798048827E-2</v>
      </c>
      <c r="AU70" s="228">
        <f t="shared" si="116"/>
        <v>1.025604245858136E-2</v>
      </c>
      <c r="AV70" s="228">
        <f t="shared" si="116"/>
        <v>-8.4126082635240795E-3</v>
      </c>
      <c r="AW70" s="228">
        <f t="shared" si="116"/>
        <v>5.0259531054233086E-2</v>
      </c>
      <c r="AX70" s="228"/>
      <c r="AY70" s="1010">
        <f t="shared" ref="AY70" si="117">+AV70</f>
        <v>-8.4126082635240795E-3</v>
      </c>
      <c r="AZ70" s="1010">
        <f t="shared" ref="AZ70" si="118">+AW70</f>
        <v>5.0259531054233086E-2</v>
      </c>
      <c r="BA70" s="228">
        <f t="shared" ref="BA70:BF70" si="119">IFERROR(BA69/AZ69-1,"n/a ")</f>
        <v>0.19525416794517736</v>
      </c>
      <c r="BB70" s="228">
        <f t="shared" si="119"/>
        <v>0.22536938787152727</v>
      </c>
      <c r="BC70" s="228">
        <f t="shared" si="119"/>
        <v>0.23278009264647692</v>
      </c>
      <c r="BD70" s="228">
        <f t="shared" si="119"/>
        <v>0.3201910912215109</v>
      </c>
      <c r="BE70" s="228">
        <f t="shared" si="119"/>
        <v>0.19261685451112753</v>
      </c>
      <c r="BF70" s="228">
        <f t="shared" si="119"/>
        <v>3.2675064012498201E-2</v>
      </c>
    </row>
    <row r="71" spans="2:59" s="3" customFormat="1">
      <c r="B71" s="19" t="s">
        <v>123</v>
      </c>
      <c r="D71" s="228">
        <f t="shared" ref="D71:AI71" si="120">IFERROR(D69/D18,"n/a ")</f>
        <v>0.30205643232902918</v>
      </c>
      <c r="E71" s="228">
        <f t="shared" si="120"/>
        <v>0.29655882469409572</v>
      </c>
      <c r="F71" s="228">
        <f t="shared" si="120"/>
        <v>0.29172282381372866</v>
      </c>
      <c r="G71" s="228">
        <f t="shared" si="120"/>
        <v>0.30271790065604498</v>
      </c>
      <c r="H71" s="228">
        <f t="shared" si="120"/>
        <v>0.30622947829259395</v>
      </c>
      <c r="I71" s="228">
        <f t="shared" si="120"/>
        <v>0.30608688918144505</v>
      </c>
      <c r="J71" s="228">
        <f t="shared" si="120"/>
        <v>0.28963467172152335</v>
      </c>
      <c r="K71" s="228">
        <f t="shared" si="120"/>
        <v>0.31197031829720756</v>
      </c>
      <c r="L71" s="228">
        <f t="shared" si="120"/>
        <v>0.3141250305648382</v>
      </c>
      <c r="M71" s="228">
        <f t="shared" si="120"/>
        <v>0.30012448993706342</v>
      </c>
      <c r="N71" s="228">
        <f t="shared" si="120"/>
        <v>0.30918378761325926</v>
      </c>
      <c r="O71" s="228">
        <f t="shared" si="120"/>
        <v>0.3449891972743892</v>
      </c>
      <c r="P71" s="228">
        <f t="shared" si="120"/>
        <v>0.34228441754916794</v>
      </c>
      <c r="Q71" s="228">
        <f t="shared" si="120"/>
        <v>0.3159126605278556</v>
      </c>
      <c r="R71" s="228">
        <f t="shared" si="120"/>
        <v>0.3382617513329626</v>
      </c>
      <c r="S71" s="228">
        <f t="shared" si="120"/>
        <v>0.3679152949550672</v>
      </c>
      <c r="T71" s="228">
        <f t="shared" si="120"/>
        <v>0.38378460142187265</v>
      </c>
      <c r="U71" s="228">
        <f t="shared" si="120"/>
        <v>0.37638866309001245</v>
      </c>
      <c r="V71" s="228">
        <f t="shared" si="120"/>
        <v>0.37049199051997372</v>
      </c>
      <c r="W71" s="228">
        <f t="shared" si="120"/>
        <v>0.35250966266137301</v>
      </c>
      <c r="X71" s="228">
        <f t="shared" si="120"/>
        <v>0.42730257845723207</v>
      </c>
      <c r="Y71" s="228">
        <f t="shared" si="120"/>
        <v>0.41547497446373849</v>
      </c>
      <c r="Z71" s="228">
        <f t="shared" si="120"/>
        <v>0.40876612477820939</v>
      </c>
      <c r="AA71" s="228">
        <f t="shared" si="120"/>
        <v>0.41374154966198645</v>
      </c>
      <c r="AB71" s="228">
        <f t="shared" si="120"/>
        <v>0.44658737339188381</v>
      </c>
      <c r="AC71" s="228">
        <f t="shared" si="120"/>
        <v>0.43007655428394681</v>
      </c>
      <c r="AD71" s="228">
        <f t="shared" si="120"/>
        <v>0.41256077795786061</v>
      </c>
      <c r="AE71" s="228">
        <f t="shared" si="120"/>
        <v>0.3959124650535043</v>
      </c>
      <c r="AF71" s="228">
        <f t="shared" si="120"/>
        <v>0.42931247755476637</v>
      </c>
      <c r="AG71" s="228">
        <f t="shared" si="120"/>
        <v>0.41576508625761166</v>
      </c>
      <c r="AH71" s="228">
        <f t="shared" si="120"/>
        <v>0.400784562589513</v>
      </c>
      <c r="AI71" s="228">
        <f t="shared" si="120"/>
        <v>0.3907500947808078</v>
      </c>
      <c r="AJ71" s="228"/>
      <c r="AK71" s="228">
        <f t="shared" ref="AK71:AW71" si="121">IFERROR(AK69/AK18,"n/a ")</f>
        <v>0.36634161053583997</v>
      </c>
      <c r="AL71" s="228">
        <f t="shared" si="121"/>
        <v>0.36990199177995575</v>
      </c>
      <c r="AM71" s="228">
        <f t="shared" si="121"/>
        <v>0.3606666405852666</v>
      </c>
      <c r="AN71" s="228">
        <f t="shared" si="121"/>
        <v>0.36860311155246606</v>
      </c>
      <c r="AO71" s="228">
        <f t="shared" si="121"/>
        <v>0.348460735492924</v>
      </c>
      <c r="AP71" s="228">
        <f t="shared" si="121"/>
        <v>0.38566673068305485</v>
      </c>
      <c r="AQ71" s="228">
        <f t="shared" si="121"/>
        <v>0.38833049769097694</v>
      </c>
      <c r="AR71" s="228">
        <f t="shared" si="121"/>
        <v>0.38371732895250665</v>
      </c>
      <c r="AS71" s="228">
        <f t="shared" si="121"/>
        <v>0.34869161417170058</v>
      </c>
      <c r="AT71" s="228">
        <f t="shared" si="121"/>
        <v>0.32114518673776099</v>
      </c>
      <c r="AU71" s="228">
        <f t="shared" si="121"/>
        <v>0.30104723231459712</v>
      </c>
      <c r="AV71" s="228">
        <f t="shared" si="121"/>
        <v>0.30376347009123233</v>
      </c>
      <c r="AW71" s="228">
        <f t="shared" si="121"/>
        <v>0.30353725027675182</v>
      </c>
      <c r="AX71" s="228"/>
      <c r="AY71" s="1010">
        <f t="shared" ref="AY71" si="122">+AV71</f>
        <v>0.30376347009123233</v>
      </c>
      <c r="AZ71" s="1010">
        <f t="shared" ref="AZ71" si="123">+AW71</f>
        <v>0.30353725027675182</v>
      </c>
      <c r="BA71" s="228">
        <f t="shared" ref="BA71:BF71" si="124">IFERROR(BA69/BA18,"n/a ")</f>
        <v>0.31766944545125048</v>
      </c>
      <c r="BB71" s="228">
        <f t="shared" si="124"/>
        <v>0.3413698020549415</v>
      </c>
      <c r="BC71" s="228">
        <f t="shared" si="124"/>
        <v>0.37030381428521486</v>
      </c>
      <c r="BD71" s="228">
        <f t="shared" si="124"/>
        <v>0.41594878872971303</v>
      </c>
      <c r="BE71" s="228">
        <f t="shared" si="124"/>
        <v>0.4205527815604983</v>
      </c>
      <c r="BF71" s="228">
        <f t="shared" si="124"/>
        <v>0.4087447800188268</v>
      </c>
      <c r="BG71" s="989"/>
    </row>
    <row r="72" spans="2:59">
      <c r="B72" s="17"/>
    </row>
    <row r="73" spans="2:59" ht="11.45">
      <c r="B73" s="12" t="s">
        <v>1278</v>
      </c>
      <c r="D73" s="10">
        <f t="shared" ref="D73:AF73" si="125">+D579</f>
        <v>1461</v>
      </c>
      <c r="E73" s="10">
        <f t="shared" si="125"/>
        <v>1544</v>
      </c>
      <c r="F73" s="10">
        <f t="shared" si="125"/>
        <v>1707</v>
      </c>
      <c r="G73" s="10">
        <f t="shared" si="125"/>
        <v>1910</v>
      </c>
      <c r="H73" s="10">
        <f t="shared" si="125"/>
        <v>1816</v>
      </c>
      <c r="I73" s="10">
        <f t="shared" si="125"/>
        <v>2166</v>
      </c>
      <c r="J73" s="10">
        <f t="shared" si="125"/>
        <v>2453</v>
      </c>
      <c r="K73" s="10">
        <f t="shared" si="125"/>
        <v>2343</v>
      </c>
      <c r="L73" s="10">
        <f t="shared" si="125"/>
        <v>2499</v>
      </c>
      <c r="M73" s="10">
        <f t="shared" si="125"/>
        <v>2536</v>
      </c>
      <c r="N73" s="10">
        <f t="shared" si="125"/>
        <v>2710</v>
      </c>
      <c r="O73" s="10">
        <f t="shared" si="125"/>
        <v>2516</v>
      </c>
      <c r="P73" s="10">
        <f t="shared" si="125"/>
        <v>2837</v>
      </c>
      <c r="Q73" s="10">
        <f t="shared" si="125"/>
        <v>2995</v>
      </c>
      <c r="R73" s="10">
        <f t="shared" si="125"/>
        <v>2926</v>
      </c>
      <c r="S73" s="10">
        <f t="shared" si="125"/>
        <v>2924</v>
      </c>
      <c r="T73" s="10">
        <f t="shared" si="125"/>
        <v>2971</v>
      </c>
      <c r="U73" s="10">
        <f t="shared" si="125"/>
        <v>3203</v>
      </c>
      <c r="V73" s="10">
        <f t="shared" si="125"/>
        <v>3118</v>
      </c>
      <c r="W73" s="10">
        <f t="shared" si="125"/>
        <v>3504</v>
      </c>
      <c r="X73" s="10">
        <f t="shared" si="125"/>
        <v>2645</v>
      </c>
      <c r="Y73" s="10">
        <f t="shared" si="125"/>
        <v>2761</v>
      </c>
      <c r="Z73" s="34">
        <f t="shared" si="125"/>
        <v>2936</v>
      </c>
      <c r="AA73" s="34">
        <f t="shared" si="125"/>
        <v>3344</v>
      </c>
      <c r="AB73" s="34">
        <f t="shared" si="125"/>
        <v>3212</v>
      </c>
      <c r="AC73" s="34">
        <f t="shared" si="125"/>
        <v>3496</v>
      </c>
      <c r="AD73" s="34">
        <f t="shared" si="125"/>
        <v>3773</v>
      </c>
      <c r="AE73" s="34">
        <f t="shared" si="125"/>
        <v>3979</v>
      </c>
      <c r="AF73" s="34">
        <f t="shared" si="125"/>
        <v>2790</v>
      </c>
      <c r="AG73" s="58">
        <f>+(AC73/AC12+0.25%)*AG12-1000</f>
        <v>2755.7282837734333</v>
      </c>
      <c r="AH73" s="58">
        <f>+(AD73/AD12+0.25%)*AH12-900</f>
        <v>3170.835645264202</v>
      </c>
      <c r="AI73" s="58">
        <f>+(AE73/AE12+0.25%)*AI12-800</f>
        <v>3587.3406966374005</v>
      </c>
      <c r="AK73" s="10">
        <f t="shared" ref="AK73:AW73" si="126">+AK579</f>
        <v>855</v>
      </c>
      <c r="AL73" s="10">
        <f t="shared" si="126"/>
        <v>903</v>
      </c>
      <c r="AM73" s="10">
        <f t="shared" si="126"/>
        <v>1440</v>
      </c>
      <c r="AN73" s="10">
        <f t="shared" si="126"/>
        <v>2056</v>
      </c>
      <c r="AO73" s="10">
        <f t="shared" si="126"/>
        <v>2562</v>
      </c>
      <c r="AP73" s="10">
        <f t="shared" si="126"/>
        <v>2673</v>
      </c>
      <c r="AQ73" s="10">
        <f t="shared" si="126"/>
        <v>2766</v>
      </c>
      <c r="AR73" s="10">
        <f t="shared" si="126"/>
        <v>2967</v>
      </c>
      <c r="AS73" s="10">
        <f t="shared" si="126"/>
        <v>3755</v>
      </c>
      <c r="AT73" s="10">
        <f t="shared" si="126"/>
        <v>5212</v>
      </c>
      <c r="AU73" s="10">
        <f t="shared" si="126"/>
        <v>5957</v>
      </c>
      <c r="AV73" s="10">
        <f t="shared" si="126"/>
        <v>6622</v>
      </c>
      <c r="AW73" s="10">
        <f t="shared" si="126"/>
        <v>8778</v>
      </c>
      <c r="AY73" s="10">
        <f>+AV73</f>
        <v>6622</v>
      </c>
      <c r="AZ73" s="10">
        <f>+AZ579</f>
        <v>8778</v>
      </c>
      <c r="BA73" s="10">
        <f>+BA579</f>
        <v>10261</v>
      </c>
      <c r="BB73" s="10">
        <f>+BB579</f>
        <v>11682</v>
      </c>
      <c r="BC73" s="10">
        <f>SUM(T73:W73)</f>
        <v>12796</v>
      </c>
      <c r="BD73" s="10">
        <f>SUM(X73:AA73)</f>
        <v>11686</v>
      </c>
      <c r="BE73" s="10">
        <f>SUM(AB73:AE73)</f>
        <v>14460</v>
      </c>
      <c r="BF73" s="10">
        <f>SUM(AF73:AI73)</f>
        <v>12303.904625675035</v>
      </c>
    </row>
    <row r="74" spans="2:59" s="1" customFormat="1" ht="10.5">
      <c r="B74" s="848" t="s">
        <v>1279</v>
      </c>
      <c r="D74" s="838">
        <f>+D69+D73</f>
        <v>7777</v>
      </c>
      <c r="E74" s="838">
        <f t="shared" ref="E74:AW74" si="127">+E69+E73</f>
        <v>9033</v>
      </c>
      <c r="F74" s="838">
        <f t="shared" si="127"/>
        <v>7984</v>
      </c>
      <c r="G74" s="838">
        <f t="shared" si="127"/>
        <v>9016</v>
      </c>
      <c r="H74" s="838">
        <f t="shared" si="127"/>
        <v>8531</v>
      </c>
      <c r="I74" s="838">
        <f t="shared" si="127"/>
        <v>10071</v>
      </c>
      <c r="J74" s="838">
        <f t="shared" si="127"/>
        <v>9176</v>
      </c>
      <c r="K74" s="838">
        <f t="shared" si="127"/>
        <v>10331</v>
      </c>
      <c r="L74" s="838">
        <f t="shared" si="127"/>
        <v>10207</v>
      </c>
      <c r="M74" s="838">
        <f t="shared" si="127"/>
        <v>11215</v>
      </c>
      <c r="N74" s="838">
        <f t="shared" si="127"/>
        <v>11002</v>
      </c>
      <c r="O74" s="838">
        <f t="shared" si="127"/>
        <v>12895</v>
      </c>
      <c r="P74" s="838">
        <f t="shared" si="127"/>
        <v>12792</v>
      </c>
      <c r="Q74" s="838">
        <f t="shared" si="127"/>
        <v>13253</v>
      </c>
      <c r="R74" s="838">
        <f t="shared" si="127"/>
        <v>13267</v>
      </c>
      <c r="S74" s="838">
        <f t="shared" si="127"/>
        <v>15329</v>
      </c>
      <c r="T74" s="838">
        <f t="shared" si="127"/>
        <v>15657</v>
      </c>
      <c r="U74" s="838">
        <f t="shared" si="127"/>
        <v>17094</v>
      </c>
      <c r="V74" s="838">
        <f t="shared" si="127"/>
        <v>16093</v>
      </c>
      <c r="W74" s="838">
        <f t="shared" si="127"/>
        <v>16911</v>
      </c>
      <c r="X74" s="838">
        <f t="shared" si="127"/>
        <v>18521</v>
      </c>
      <c r="Y74" s="838">
        <f t="shared" si="127"/>
        <v>20658</v>
      </c>
      <c r="Z74" s="838">
        <f t="shared" si="127"/>
        <v>19984</v>
      </c>
      <c r="AA74" s="838">
        <f t="shared" si="127"/>
        <v>22439</v>
      </c>
      <c r="AB74" s="838">
        <f t="shared" si="127"/>
        <v>23450</v>
      </c>
      <c r="AC74" s="838">
        <f t="shared" si="127"/>
        <v>25743</v>
      </c>
      <c r="AD74" s="838">
        <f t="shared" si="127"/>
        <v>24137</v>
      </c>
      <c r="AE74" s="838">
        <f t="shared" si="127"/>
        <v>24513</v>
      </c>
      <c r="AF74" s="838">
        <f t="shared" si="127"/>
        <v>24308</v>
      </c>
      <c r="AG74" s="838">
        <f t="shared" si="127"/>
        <v>25036.053301194323</v>
      </c>
      <c r="AH74" s="838">
        <f t="shared" si="127"/>
        <v>23839.202907258739</v>
      </c>
      <c r="AI74" s="838">
        <f t="shared" si="127"/>
        <v>25228.193279776118</v>
      </c>
      <c r="AK74" s="838">
        <f t="shared" si="127"/>
        <v>15431</v>
      </c>
      <c r="AL74" s="838">
        <f t="shared" si="127"/>
        <v>17283</v>
      </c>
      <c r="AM74" s="838">
        <f t="shared" si="127"/>
        <v>19878</v>
      </c>
      <c r="AN74" s="838">
        <f t="shared" si="127"/>
        <v>24327</v>
      </c>
      <c r="AO74" s="838">
        <f t="shared" si="127"/>
        <v>22925</v>
      </c>
      <c r="AP74" s="838">
        <f t="shared" si="127"/>
        <v>26771</v>
      </c>
      <c r="AQ74" s="838">
        <f t="shared" si="127"/>
        <v>29927</v>
      </c>
      <c r="AR74" s="838">
        <f t="shared" si="127"/>
        <v>31463</v>
      </c>
      <c r="AS74" s="838">
        <f t="shared" si="127"/>
        <v>30712</v>
      </c>
      <c r="AT74" s="838">
        <f t="shared" si="127"/>
        <v>33098</v>
      </c>
      <c r="AU74" s="838">
        <f t="shared" si="127"/>
        <v>34129</v>
      </c>
      <c r="AV74" s="838">
        <f t="shared" si="127"/>
        <v>34557</v>
      </c>
      <c r="AW74" s="838">
        <f t="shared" si="127"/>
        <v>38117</v>
      </c>
      <c r="AY74" s="838">
        <f t="shared" ref="AY74:BB74" si="128">+AY69+AY73</f>
        <v>33810</v>
      </c>
      <c r="AZ74" s="838">
        <f t="shared" si="128"/>
        <v>38109</v>
      </c>
      <c r="BA74" s="838">
        <f t="shared" si="128"/>
        <v>45319</v>
      </c>
      <c r="BB74" s="838">
        <f t="shared" si="128"/>
        <v>54641</v>
      </c>
      <c r="BC74" s="849">
        <f>SUM(T74:W74)</f>
        <v>65755</v>
      </c>
      <c r="BD74" s="849">
        <f>SUM(X74:AA74)</f>
        <v>81602</v>
      </c>
      <c r="BE74" s="849">
        <f>SUM(AB74:AE74)</f>
        <v>97843</v>
      </c>
      <c r="BF74" s="849">
        <f>SUM(AF74:AI74)</f>
        <v>98411.449488229176</v>
      </c>
    </row>
    <row r="75" spans="2:59" s="7" customFormat="1">
      <c r="B75" s="850" t="s">
        <v>113</v>
      </c>
      <c r="D75" s="842"/>
      <c r="E75" s="842"/>
      <c r="F75" s="842"/>
      <c r="G75" s="842"/>
      <c r="H75" s="842">
        <f>IFERROR(H74/D74-1,"n/a ")</f>
        <v>9.6952552398096969E-2</v>
      </c>
      <c r="I75" s="842">
        <f t="shared" ref="I75:AI75" si="129">IFERROR(I74/E74-1,"n/a ")</f>
        <v>0.11491198937230163</v>
      </c>
      <c r="J75" s="842">
        <f t="shared" si="129"/>
        <v>0.14929859719438876</v>
      </c>
      <c r="K75" s="842">
        <f t="shared" si="129"/>
        <v>0.145851818988465</v>
      </c>
      <c r="L75" s="842">
        <f t="shared" si="129"/>
        <v>0.19645996952291633</v>
      </c>
      <c r="M75" s="842">
        <f t="shared" si="129"/>
        <v>0.11359348624764176</v>
      </c>
      <c r="N75" s="842">
        <f t="shared" si="129"/>
        <v>0.19899738448125537</v>
      </c>
      <c r="O75" s="842">
        <f t="shared" si="129"/>
        <v>0.24818507404897883</v>
      </c>
      <c r="P75" s="842">
        <f t="shared" si="129"/>
        <v>0.2532575683354561</v>
      </c>
      <c r="Q75" s="842">
        <f t="shared" si="129"/>
        <v>0.18172090949621045</v>
      </c>
      <c r="R75" s="842">
        <f t="shared" si="129"/>
        <v>0.20587165969823662</v>
      </c>
      <c r="S75" s="842">
        <f t="shared" si="129"/>
        <v>0.18875533152384638</v>
      </c>
      <c r="T75" s="842">
        <f t="shared" si="129"/>
        <v>0.22396810506566611</v>
      </c>
      <c r="U75" s="842">
        <f t="shared" si="129"/>
        <v>0.28982117256470241</v>
      </c>
      <c r="V75" s="842">
        <f t="shared" si="129"/>
        <v>0.21300972337378465</v>
      </c>
      <c r="W75" s="842">
        <f t="shared" si="129"/>
        <v>0.10320307913105875</v>
      </c>
      <c r="X75" s="842">
        <f t="shared" si="129"/>
        <v>0.18292137701986322</v>
      </c>
      <c r="Y75" s="842">
        <f t="shared" si="129"/>
        <v>0.20849420849420852</v>
      </c>
      <c r="Z75" s="842">
        <f t="shared" si="129"/>
        <v>0.24178214130367248</v>
      </c>
      <c r="AA75" s="842">
        <f t="shared" si="129"/>
        <v>0.32688782449293363</v>
      </c>
      <c r="AB75" s="842">
        <f t="shared" si="129"/>
        <v>0.2661303385346363</v>
      </c>
      <c r="AC75" s="842">
        <f t="shared" si="129"/>
        <v>0.24615161196630853</v>
      </c>
      <c r="AD75" s="842">
        <f t="shared" si="129"/>
        <v>0.20781625300240192</v>
      </c>
      <c r="AE75" s="842">
        <f t="shared" si="129"/>
        <v>9.2428361335175291E-2</v>
      </c>
      <c r="AF75" s="842">
        <f t="shared" si="129"/>
        <v>3.6588486140724852E-2</v>
      </c>
      <c r="AG75" s="842">
        <f t="shared" si="129"/>
        <v>-2.746170604846665E-2</v>
      </c>
      <c r="AH75" s="842">
        <f t="shared" si="129"/>
        <v>-1.2337784013807029E-2</v>
      </c>
      <c r="AI75" s="842">
        <f t="shared" si="129"/>
        <v>2.9176081253870167E-2</v>
      </c>
      <c r="AJ75" s="842"/>
      <c r="AK75" s="842"/>
      <c r="AL75" s="842">
        <f>IFERROR(AL74/AK74-1,"n/a ")</f>
        <v>0.12001814529194488</v>
      </c>
      <c r="AM75" s="842">
        <f t="shared" ref="AM75:AW75" si="130">IFERROR(AM74/AL74-1,"n/a ")</f>
        <v>0.15014754382919637</v>
      </c>
      <c r="AN75" s="842">
        <f t="shared" si="130"/>
        <v>0.22381527316631455</v>
      </c>
      <c r="AO75" s="842">
        <f t="shared" si="130"/>
        <v>-5.7631438319562633E-2</v>
      </c>
      <c r="AP75" s="842">
        <f t="shared" si="130"/>
        <v>0.16776444929116674</v>
      </c>
      <c r="AQ75" s="842">
        <f t="shared" si="130"/>
        <v>0.11788876022561734</v>
      </c>
      <c r="AR75" s="842">
        <f t="shared" si="130"/>
        <v>5.1324890567046477E-2</v>
      </c>
      <c r="AS75" s="842">
        <f t="shared" si="130"/>
        <v>-2.3869306804818358E-2</v>
      </c>
      <c r="AT75" s="842">
        <f t="shared" si="130"/>
        <v>7.7689502474602712E-2</v>
      </c>
      <c r="AU75" s="842">
        <f t="shared" si="130"/>
        <v>3.1149918424073997E-2</v>
      </c>
      <c r="AV75" s="842">
        <f t="shared" si="130"/>
        <v>1.2540654575287968E-2</v>
      </c>
      <c r="AW75" s="842">
        <f t="shared" si="130"/>
        <v>0.10301820181149979</v>
      </c>
      <c r="AX75" s="842"/>
      <c r="AY75" s="1012">
        <f t="shared" ref="AY75:AY76" si="131">+AV75</f>
        <v>1.2540654575287968E-2</v>
      </c>
      <c r="AZ75" s="1012">
        <f t="shared" ref="AZ75:AZ76" si="132">+AW75</f>
        <v>0.10301820181149979</v>
      </c>
      <c r="BA75" s="842">
        <f t="shared" ref="BA75:BF75" si="133">IFERROR(BA74/AZ74-1,"n/a ")</f>
        <v>0.18919415361200764</v>
      </c>
      <c r="BB75" s="842">
        <f t="shared" si="133"/>
        <v>0.2056973896158345</v>
      </c>
      <c r="BC75" s="842">
        <f t="shared" si="133"/>
        <v>0.20340037700627733</v>
      </c>
      <c r="BD75" s="842">
        <f t="shared" si="133"/>
        <v>0.24100068435860389</v>
      </c>
      <c r="BE75" s="842">
        <f t="shared" si="133"/>
        <v>0.1990269846327295</v>
      </c>
      <c r="BF75" s="842">
        <f t="shared" si="133"/>
        <v>5.8098125387526789E-3</v>
      </c>
    </row>
    <row r="76" spans="2:59" s="7" customFormat="1">
      <c r="B76" s="850" t="s">
        <v>123</v>
      </c>
      <c r="D76" s="842">
        <f t="shared" ref="D76:AI76" si="134">IFERROR(D74/D18,"n/a ")</f>
        <v>0.37192730750836922</v>
      </c>
      <c r="E76" s="842">
        <f t="shared" si="134"/>
        <v>0.35770007523858549</v>
      </c>
      <c r="F76" s="842">
        <f t="shared" si="134"/>
        <v>0.37105544453223033</v>
      </c>
      <c r="G76" s="842">
        <f t="shared" si="134"/>
        <v>0.3840845190423447</v>
      </c>
      <c r="H76" s="842">
        <f t="shared" si="134"/>
        <v>0.38904596862458957</v>
      </c>
      <c r="I76" s="842">
        <f t="shared" si="134"/>
        <v>0.38995585843723379</v>
      </c>
      <c r="J76" s="842">
        <f t="shared" si="134"/>
        <v>0.39531276925728071</v>
      </c>
      <c r="K76" s="842">
        <f t="shared" si="134"/>
        <v>0.40347588361648118</v>
      </c>
      <c r="L76" s="842">
        <f t="shared" si="134"/>
        <v>0.41596707148096829</v>
      </c>
      <c r="M76" s="842">
        <f t="shared" si="134"/>
        <v>0.38782073449062865</v>
      </c>
      <c r="N76" s="842">
        <f t="shared" si="134"/>
        <v>0.41023155225772773</v>
      </c>
      <c r="O76" s="842">
        <f t="shared" si="134"/>
        <v>0.42861891307960776</v>
      </c>
      <c r="P76" s="842">
        <f t="shared" si="134"/>
        <v>0.43982945949663044</v>
      </c>
      <c r="Q76" s="842">
        <f t="shared" si="134"/>
        <v>0.40814880970712331</v>
      </c>
      <c r="R76" s="842">
        <f t="shared" si="134"/>
        <v>0.43397337345850645</v>
      </c>
      <c r="S76" s="842">
        <f t="shared" si="134"/>
        <v>0.45463712667200523</v>
      </c>
      <c r="T76" s="842">
        <f t="shared" si="134"/>
        <v>0.47366510361518682</v>
      </c>
      <c r="U76" s="842">
        <f t="shared" si="134"/>
        <v>0.46317671923264508</v>
      </c>
      <c r="V76" s="842">
        <f t="shared" si="134"/>
        <v>0.45952428542874274</v>
      </c>
      <c r="W76" s="842">
        <f t="shared" si="134"/>
        <v>0.44464018089553808</v>
      </c>
      <c r="X76" s="842">
        <f t="shared" si="134"/>
        <v>0.49849275986434838</v>
      </c>
      <c r="Y76" s="842">
        <f t="shared" si="134"/>
        <v>0.47957099080694587</v>
      </c>
      <c r="Z76" s="842">
        <f t="shared" si="134"/>
        <v>0.47916366949599576</v>
      </c>
      <c r="AA76" s="842">
        <f t="shared" si="134"/>
        <v>0.48619778124458313</v>
      </c>
      <c r="AB76" s="842">
        <f t="shared" si="134"/>
        <v>0.51746585166714476</v>
      </c>
      <c r="AC76" s="842">
        <f t="shared" si="134"/>
        <v>0.4976608413238478</v>
      </c>
      <c r="AD76" s="842">
        <f t="shared" si="134"/>
        <v>0.48899918962722855</v>
      </c>
      <c r="AE76" s="842">
        <f t="shared" si="134"/>
        <v>0.47263086860117615</v>
      </c>
      <c r="AF76" s="842">
        <f t="shared" si="134"/>
        <v>0.48497665695702485</v>
      </c>
      <c r="AG76" s="842">
        <f t="shared" si="134"/>
        <v>0.46718873500195252</v>
      </c>
      <c r="AH76" s="842">
        <f t="shared" si="134"/>
        <v>0.46227088906229957</v>
      </c>
      <c r="AI76" s="842">
        <f t="shared" si="134"/>
        <v>0.45552359258256625</v>
      </c>
      <c r="AJ76" s="842"/>
      <c r="AK76" s="842">
        <f t="shared" ref="AK76:AW76" si="135">IFERROR(AK74/AK18,"n/a ")</f>
        <v>0.38783050165879157</v>
      </c>
      <c r="AL76" s="842">
        <f t="shared" si="135"/>
        <v>0.3902940246601328</v>
      </c>
      <c r="AM76" s="842">
        <f t="shared" si="135"/>
        <v>0.38883455263878564</v>
      </c>
      <c r="AN76" s="842">
        <f t="shared" si="135"/>
        <v>0.4026315789473684</v>
      </c>
      <c r="AO76" s="842">
        <f t="shared" si="135"/>
        <v>0.3923028218423259</v>
      </c>
      <c r="AP76" s="842">
        <f t="shared" si="135"/>
        <v>0.4284456820946162</v>
      </c>
      <c r="AQ76" s="842">
        <f t="shared" si="135"/>
        <v>0.42787698554537268</v>
      </c>
      <c r="AR76" s="842">
        <f t="shared" si="135"/>
        <v>0.42366992984393304</v>
      </c>
      <c r="AS76" s="842">
        <f t="shared" si="135"/>
        <v>0.39726293187080419</v>
      </c>
      <c r="AT76" s="842">
        <f t="shared" si="135"/>
        <v>0.38116844978291664</v>
      </c>
      <c r="AU76" s="842">
        <f t="shared" si="135"/>
        <v>0.36470399658046593</v>
      </c>
      <c r="AV76" s="842">
        <f t="shared" si="135"/>
        <v>0.37577069038635103</v>
      </c>
      <c r="AW76" s="842">
        <f t="shared" si="135"/>
        <v>0.39435322842629089</v>
      </c>
      <c r="AX76" s="842"/>
      <c r="AY76" s="1012">
        <f t="shared" si="131"/>
        <v>0.37577069038635103</v>
      </c>
      <c r="AZ76" s="1012">
        <f t="shared" si="132"/>
        <v>0.39435322842629089</v>
      </c>
      <c r="BA76" s="842">
        <f t="shared" ref="BA76:BF76" si="136">IFERROR(BA74/BA18,"n/a ")</f>
        <v>0.41064697354113811</v>
      </c>
      <c r="BB76" s="842">
        <f t="shared" si="136"/>
        <v>0.43419975683987189</v>
      </c>
      <c r="BC76" s="842">
        <f t="shared" si="136"/>
        <v>0.45977694647414608</v>
      </c>
      <c r="BD76" s="842">
        <f t="shared" si="136"/>
        <v>0.48547189567369475</v>
      </c>
      <c r="BE76" s="842">
        <f t="shared" si="136"/>
        <v>0.49348363342916224</v>
      </c>
      <c r="BF76" s="842">
        <f t="shared" si="136"/>
        <v>0.46715030995957429</v>
      </c>
    </row>
    <row r="78" spans="2:59">
      <c r="B78" s="24" t="s">
        <v>127</v>
      </c>
    </row>
    <row r="79" spans="2:59" s="3" customFormat="1">
      <c r="B79" s="13" t="s">
        <v>313</v>
      </c>
      <c r="D79" s="14">
        <f t="shared" ref="D79:AF79" si="137">-D84/D18</f>
        <v>7.1736011477761832E-2</v>
      </c>
      <c r="E79" s="14">
        <f t="shared" si="137"/>
        <v>7.9198511067991917E-2</v>
      </c>
      <c r="F79" s="14">
        <f t="shared" si="137"/>
        <v>0.10689222475252126</v>
      </c>
      <c r="G79" s="14">
        <f t="shared" si="137"/>
        <v>0.13206100366362786</v>
      </c>
      <c r="H79" s="14">
        <f t="shared" si="137"/>
        <v>0.10488872674206494</v>
      </c>
      <c r="I79" s="14">
        <f t="shared" si="137"/>
        <v>9.6801672732904825E-2</v>
      </c>
      <c r="J79" s="14">
        <f t="shared" si="137"/>
        <v>9.0470446320868522E-2</v>
      </c>
      <c r="K79" s="14">
        <f t="shared" si="137"/>
        <v>0.12888107791446984</v>
      </c>
      <c r="L79" s="14">
        <f t="shared" si="137"/>
        <v>0.11003341755644307</v>
      </c>
      <c r="M79" s="14">
        <f t="shared" si="137"/>
        <v>0.11411577564146898</v>
      </c>
      <c r="N79" s="14">
        <f t="shared" si="137"/>
        <v>0.13050449308326187</v>
      </c>
      <c r="O79" s="14">
        <f t="shared" si="137"/>
        <v>0.13628053847432275</v>
      </c>
      <c r="P79" s="14">
        <f t="shared" si="137"/>
        <v>0.14784761380827946</v>
      </c>
      <c r="Q79" s="14">
        <f t="shared" si="137"/>
        <v>0.12010717255397124</v>
      </c>
      <c r="R79" s="14">
        <f t="shared" si="137"/>
        <v>0.11121651238101468</v>
      </c>
      <c r="S79" s="14">
        <f t="shared" si="137"/>
        <v>0.15719073464424474</v>
      </c>
      <c r="T79" s="14">
        <f t="shared" si="137"/>
        <v>0.14521252458024506</v>
      </c>
      <c r="U79" s="14">
        <f t="shared" si="137"/>
        <v>0.12193139326938709</v>
      </c>
      <c r="V79" s="14">
        <f t="shared" si="137"/>
        <v>0.11136175437594587</v>
      </c>
      <c r="W79" s="14">
        <f t="shared" si="137"/>
        <v>0.15249914547892621</v>
      </c>
      <c r="X79" s="14">
        <f t="shared" si="137"/>
        <v>0.14803251332292619</v>
      </c>
      <c r="Y79" s="14">
        <f t="shared" si="137"/>
        <v>0.12535982913919583</v>
      </c>
      <c r="Z79" s="14">
        <f t="shared" si="137"/>
        <v>0.14386419220256078</v>
      </c>
      <c r="AA79" s="14">
        <f t="shared" si="137"/>
        <v>0.15817299358641013</v>
      </c>
      <c r="AB79" s="14">
        <f t="shared" si="137"/>
        <v>0.1632941280314231</v>
      </c>
      <c r="AC79" s="14">
        <f t="shared" si="137"/>
        <v>0.13145685122177544</v>
      </c>
      <c r="AD79" s="14">
        <f t="shared" si="137"/>
        <v>0.12763371150729336</v>
      </c>
      <c r="AE79" s="14">
        <f t="shared" si="137"/>
        <v>0.16774317940807867</v>
      </c>
      <c r="AF79" s="14">
        <f t="shared" si="137"/>
        <v>0.13167870396233192</v>
      </c>
      <c r="AG79" s="851">
        <v>0.12</v>
      </c>
      <c r="AH79" s="851">
        <f t="shared" ref="AH79:AI79" si="138">+AD79-0.25%</f>
        <v>0.12513371150729335</v>
      </c>
      <c r="AI79" s="851">
        <f t="shared" si="138"/>
        <v>0.16524317940807867</v>
      </c>
      <c r="AK79" s="14">
        <f t="shared" ref="AK79:AW79" si="139">-AK84/AK18</f>
        <v>2.0408163265306121E-2</v>
      </c>
      <c r="AL79" s="14">
        <f t="shared" si="139"/>
        <v>3.5635246827153244E-2</v>
      </c>
      <c r="AM79" s="14">
        <f t="shared" si="139"/>
        <v>4.4286217284143815E-2</v>
      </c>
      <c r="AN79" s="14">
        <f t="shared" si="139"/>
        <v>5.2664680569347901E-2</v>
      </c>
      <c r="AO79" s="14">
        <f t="shared" si="139"/>
        <v>5.3373718705614595E-2</v>
      </c>
      <c r="AP79" s="14">
        <f t="shared" si="139"/>
        <v>3.1640099865565582E-2</v>
      </c>
      <c r="AQ79" s="14">
        <f t="shared" si="139"/>
        <v>3.3670274366269674E-2</v>
      </c>
      <c r="AR79" s="14">
        <f t="shared" si="139"/>
        <v>3.1038336722190054E-2</v>
      </c>
      <c r="AS79" s="14">
        <f t="shared" si="139"/>
        <v>5.5064740198424507E-2</v>
      </c>
      <c r="AT79" s="14">
        <f t="shared" si="139"/>
        <v>6.3167229048863904E-2</v>
      </c>
      <c r="AU79" s="14">
        <f t="shared" si="139"/>
        <v>6.3517845693524255E-2</v>
      </c>
      <c r="AV79" s="14">
        <f t="shared" si="139"/>
        <v>9.677805204266933E-2</v>
      </c>
      <c r="AW79" s="14">
        <f t="shared" si="139"/>
        <v>0.10552779415872622</v>
      </c>
      <c r="AY79" s="1012">
        <f t="shared" ref="AY79" si="140">+AV79</f>
        <v>9.677805204266933E-2</v>
      </c>
      <c r="AZ79" s="1012">
        <f t="shared" ref="AZ79" si="141">+AW79</f>
        <v>0.10552779415872622</v>
      </c>
      <c r="BA79" s="14">
        <f t="shared" ref="BA79:BF79" si="142">-BA84/BA18</f>
        <v>0.12323305545487495</v>
      </c>
      <c r="BB79" s="14">
        <f t="shared" si="142"/>
        <v>0.13429431911190928</v>
      </c>
      <c r="BC79" s="14">
        <f t="shared" si="142"/>
        <v>0.13285319721707514</v>
      </c>
      <c r="BD79" s="14">
        <f t="shared" si="142"/>
        <v>0.14397220503545763</v>
      </c>
      <c r="BE79" s="14">
        <f t="shared" si="142"/>
        <v>0.14727391940283452</v>
      </c>
      <c r="BF79" s="14">
        <f t="shared" si="142"/>
        <v>0.13592968295394886</v>
      </c>
    </row>
    <row r="80" spans="2:59" s="3" customFormat="1">
      <c r="B80" s="13" t="s">
        <v>1280</v>
      </c>
      <c r="D80" s="14">
        <f t="shared" ref="D80:AI80" si="143">+D76-D79</f>
        <v>0.3001912960306074</v>
      </c>
      <c r="E80" s="14">
        <f t="shared" si="143"/>
        <v>0.27850156417059357</v>
      </c>
      <c r="F80" s="14">
        <f t="shared" si="143"/>
        <v>0.26416321977970908</v>
      </c>
      <c r="G80" s="14">
        <f t="shared" si="143"/>
        <v>0.25202351537871681</v>
      </c>
      <c r="H80" s="14">
        <f t="shared" si="143"/>
        <v>0.28415724188252461</v>
      </c>
      <c r="I80" s="14">
        <f t="shared" si="143"/>
        <v>0.29315418570432894</v>
      </c>
      <c r="J80" s="14">
        <f t="shared" si="143"/>
        <v>0.30484232293641217</v>
      </c>
      <c r="K80" s="14">
        <f t="shared" si="143"/>
        <v>0.27459480570201134</v>
      </c>
      <c r="L80" s="14">
        <f t="shared" si="143"/>
        <v>0.30593365392452521</v>
      </c>
      <c r="M80" s="14">
        <f t="shared" si="143"/>
        <v>0.27370495884915969</v>
      </c>
      <c r="N80" s="14">
        <f t="shared" si="143"/>
        <v>0.27972705917446583</v>
      </c>
      <c r="O80" s="14">
        <f t="shared" si="143"/>
        <v>0.292338374605285</v>
      </c>
      <c r="P80" s="14">
        <f t="shared" si="143"/>
        <v>0.29198184568835095</v>
      </c>
      <c r="Q80" s="14">
        <f t="shared" si="143"/>
        <v>0.28804163715315206</v>
      </c>
      <c r="R80" s="14">
        <f t="shared" si="143"/>
        <v>0.3227568610774918</v>
      </c>
      <c r="S80" s="14">
        <f t="shared" si="143"/>
        <v>0.29744639202776046</v>
      </c>
      <c r="T80" s="14">
        <f t="shared" si="143"/>
        <v>0.32845257903494174</v>
      </c>
      <c r="U80" s="14">
        <f t="shared" si="143"/>
        <v>0.34124532596325796</v>
      </c>
      <c r="V80" s="14">
        <f t="shared" si="143"/>
        <v>0.34816253105279688</v>
      </c>
      <c r="W80" s="14">
        <f t="shared" si="143"/>
        <v>0.29214103541661185</v>
      </c>
      <c r="X80" s="14">
        <f t="shared" si="143"/>
        <v>0.35046024654142216</v>
      </c>
      <c r="Y80" s="14">
        <f t="shared" si="143"/>
        <v>0.35421116166775002</v>
      </c>
      <c r="Z80" s="14">
        <f t="shared" si="143"/>
        <v>0.33529947729343501</v>
      </c>
      <c r="AA80" s="14">
        <f t="shared" si="143"/>
        <v>0.328024787658173</v>
      </c>
      <c r="AB80" s="14">
        <f t="shared" si="143"/>
        <v>0.35417172363572169</v>
      </c>
      <c r="AC80" s="14">
        <f t="shared" si="143"/>
        <v>0.36620399010207239</v>
      </c>
      <c r="AD80" s="14">
        <f t="shared" si="143"/>
        <v>0.36136547811993519</v>
      </c>
      <c r="AE80" s="14">
        <f t="shared" si="143"/>
        <v>0.3048876891930975</v>
      </c>
      <c r="AF80" s="14">
        <f t="shared" si="143"/>
        <v>0.35329795299469291</v>
      </c>
      <c r="AG80" s="14">
        <f t="shared" si="143"/>
        <v>0.34718873500195252</v>
      </c>
      <c r="AH80" s="14">
        <f t="shared" si="143"/>
        <v>0.33713717755500622</v>
      </c>
      <c r="AI80" s="14">
        <f t="shared" si="143"/>
        <v>0.29028041317448761</v>
      </c>
      <c r="AK80" s="14">
        <f t="shared" ref="AK80:AW80" si="144">+AK76-AK79</f>
        <v>0.36742233839348543</v>
      </c>
      <c r="AL80" s="14">
        <f t="shared" si="144"/>
        <v>0.35465877783297955</v>
      </c>
      <c r="AM80" s="14">
        <f t="shared" si="144"/>
        <v>0.3445483353546418</v>
      </c>
      <c r="AN80" s="14">
        <f t="shared" si="144"/>
        <v>0.34996689837802047</v>
      </c>
      <c r="AO80" s="14">
        <f t="shared" si="144"/>
        <v>0.33892910313671132</v>
      </c>
      <c r="AP80" s="14">
        <f t="shared" si="144"/>
        <v>0.3968055822290506</v>
      </c>
      <c r="AQ80" s="14">
        <f t="shared" si="144"/>
        <v>0.394206711179103</v>
      </c>
      <c r="AR80" s="14">
        <f t="shared" si="144"/>
        <v>0.39263159312174301</v>
      </c>
      <c r="AS80" s="14">
        <f t="shared" si="144"/>
        <v>0.34219819167237969</v>
      </c>
      <c r="AT80" s="14">
        <f t="shared" si="144"/>
        <v>0.31800122073405274</v>
      </c>
      <c r="AU80" s="14">
        <f t="shared" si="144"/>
        <v>0.30118615088694167</v>
      </c>
      <c r="AV80" s="14">
        <f t="shared" si="144"/>
        <v>0.27899263834368171</v>
      </c>
      <c r="AW80" s="14">
        <f t="shared" si="144"/>
        <v>0.28882543426756468</v>
      </c>
      <c r="AY80" s="1012">
        <f t="shared" ref="AY80" si="145">+AV80</f>
        <v>0.27899263834368171</v>
      </c>
      <c r="AZ80" s="1012">
        <f t="shared" ref="AZ80" si="146">+AW80</f>
        <v>0.28882543426756468</v>
      </c>
      <c r="BA80" s="14">
        <f t="shared" ref="BA80:BF80" si="147">+BA76-BA79</f>
        <v>0.28741391808626315</v>
      </c>
      <c r="BB80" s="14">
        <f t="shared" si="147"/>
        <v>0.29990543772796263</v>
      </c>
      <c r="BC80" s="14">
        <f t="shared" si="147"/>
        <v>0.32692374925707091</v>
      </c>
      <c r="BD80" s="14">
        <f t="shared" si="147"/>
        <v>0.34149969063823715</v>
      </c>
      <c r="BE80" s="14">
        <f t="shared" si="147"/>
        <v>0.34620971402632772</v>
      </c>
      <c r="BF80" s="14">
        <f t="shared" si="147"/>
        <v>0.33122062700562543</v>
      </c>
    </row>
    <row r="82" spans="2:60" ht="10.5">
      <c r="B82" s="45" t="s">
        <v>143</v>
      </c>
    </row>
    <row r="83" spans="2:60">
      <c r="B83" t="s">
        <v>1279</v>
      </c>
      <c r="D83" s="8">
        <f t="shared" ref="D83:AI83" si="148">+D74</f>
        <v>7777</v>
      </c>
      <c r="E83" s="8">
        <f t="shared" si="148"/>
        <v>9033</v>
      </c>
      <c r="F83" s="8">
        <f t="shared" si="148"/>
        <v>7984</v>
      </c>
      <c r="G83" s="8">
        <f t="shared" si="148"/>
        <v>9016</v>
      </c>
      <c r="H83" s="8">
        <f t="shared" si="148"/>
        <v>8531</v>
      </c>
      <c r="I83" s="8">
        <f t="shared" si="148"/>
        <v>10071</v>
      </c>
      <c r="J83" s="8">
        <f t="shared" si="148"/>
        <v>9176</v>
      </c>
      <c r="K83" s="8">
        <f t="shared" si="148"/>
        <v>10331</v>
      </c>
      <c r="L83" s="8">
        <f t="shared" si="148"/>
        <v>10207</v>
      </c>
      <c r="M83" s="8">
        <f t="shared" si="148"/>
        <v>11215</v>
      </c>
      <c r="N83" s="8">
        <f t="shared" si="148"/>
        <v>11002</v>
      </c>
      <c r="O83" s="8">
        <f t="shared" si="148"/>
        <v>12895</v>
      </c>
      <c r="P83" s="8">
        <f t="shared" si="148"/>
        <v>12792</v>
      </c>
      <c r="Q83" s="8">
        <f t="shared" si="148"/>
        <v>13253</v>
      </c>
      <c r="R83" s="8">
        <f t="shared" si="148"/>
        <v>13267</v>
      </c>
      <c r="S83" s="8">
        <f t="shared" si="148"/>
        <v>15329</v>
      </c>
      <c r="T83" s="8">
        <f t="shared" si="148"/>
        <v>15657</v>
      </c>
      <c r="U83" s="8">
        <f t="shared" si="148"/>
        <v>17094</v>
      </c>
      <c r="V83" s="8">
        <f t="shared" si="148"/>
        <v>16093</v>
      </c>
      <c r="W83" s="8">
        <f t="shared" si="148"/>
        <v>16911</v>
      </c>
      <c r="X83" s="8">
        <f t="shared" si="148"/>
        <v>18521</v>
      </c>
      <c r="Y83" s="8">
        <f t="shared" si="148"/>
        <v>20658</v>
      </c>
      <c r="Z83" s="8">
        <f t="shared" si="148"/>
        <v>19984</v>
      </c>
      <c r="AA83" s="8">
        <f t="shared" si="148"/>
        <v>22439</v>
      </c>
      <c r="AB83" s="8">
        <f t="shared" si="148"/>
        <v>23450</v>
      </c>
      <c r="AC83" s="8">
        <f t="shared" si="148"/>
        <v>25743</v>
      </c>
      <c r="AD83" s="8">
        <f t="shared" si="148"/>
        <v>24137</v>
      </c>
      <c r="AE83" s="8">
        <f t="shared" si="148"/>
        <v>24513</v>
      </c>
      <c r="AF83" s="8">
        <f t="shared" si="148"/>
        <v>24308</v>
      </c>
      <c r="AG83" s="8">
        <f t="shared" si="148"/>
        <v>25036.053301194323</v>
      </c>
      <c r="AH83" s="8">
        <f t="shared" si="148"/>
        <v>23839.202907258739</v>
      </c>
      <c r="AI83" s="8">
        <f t="shared" si="148"/>
        <v>25228.193279776118</v>
      </c>
      <c r="AK83" s="8">
        <f t="shared" ref="AK83:AW83" si="149">+AK74</f>
        <v>15431</v>
      </c>
      <c r="AL83" s="8">
        <f t="shared" si="149"/>
        <v>17283</v>
      </c>
      <c r="AM83" s="8">
        <f t="shared" si="149"/>
        <v>19878</v>
      </c>
      <c r="AN83" s="8">
        <f t="shared" si="149"/>
        <v>24327</v>
      </c>
      <c r="AO83" s="8">
        <f t="shared" si="149"/>
        <v>22925</v>
      </c>
      <c r="AP83" s="8">
        <f t="shared" si="149"/>
        <v>26771</v>
      </c>
      <c r="AQ83" s="8">
        <f t="shared" si="149"/>
        <v>29927</v>
      </c>
      <c r="AR83" s="8">
        <f t="shared" si="149"/>
        <v>31463</v>
      </c>
      <c r="AS83" s="8">
        <f t="shared" si="149"/>
        <v>30712</v>
      </c>
      <c r="AT83" s="8">
        <f t="shared" si="149"/>
        <v>33098</v>
      </c>
      <c r="AU83" s="8">
        <f t="shared" si="149"/>
        <v>34129</v>
      </c>
      <c r="AV83" s="8">
        <f t="shared" si="149"/>
        <v>34557</v>
      </c>
      <c r="AW83" s="8">
        <f t="shared" si="149"/>
        <v>38117</v>
      </c>
      <c r="AY83" s="8">
        <f t="shared" ref="AY83:BF83" si="150">+AY74</f>
        <v>33810</v>
      </c>
      <c r="AZ83" s="8">
        <f t="shared" si="150"/>
        <v>38109</v>
      </c>
      <c r="BA83" s="8">
        <f t="shared" si="150"/>
        <v>45319</v>
      </c>
      <c r="BB83" s="8">
        <f t="shared" si="150"/>
        <v>54641</v>
      </c>
      <c r="BC83" s="8">
        <f t="shared" si="150"/>
        <v>65755</v>
      </c>
      <c r="BD83" s="8">
        <f t="shared" si="150"/>
        <v>81602</v>
      </c>
      <c r="BE83" s="8">
        <f t="shared" si="150"/>
        <v>97843</v>
      </c>
      <c r="BF83" s="8">
        <f t="shared" si="150"/>
        <v>98411.449488229176</v>
      </c>
      <c r="BG83" s="8"/>
    </row>
    <row r="84" spans="2:60">
      <c r="B84" t="s">
        <v>133</v>
      </c>
      <c r="D84" s="8">
        <f t="shared" ref="D84:AF84" si="151">-D635</f>
        <v>-1500</v>
      </c>
      <c r="E84" s="8">
        <f t="shared" si="151"/>
        <v>-2000</v>
      </c>
      <c r="F84" s="8">
        <f t="shared" si="151"/>
        <v>-2300</v>
      </c>
      <c r="G84" s="8">
        <f t="shared" si="151"/>
        <v>-3100</v>
      </c>
      <c r="H84" s="8">
        <f t="shared" si="151"/>
        <v>-2300</v>
      </c>
      <c r="I84" s="8">
        <f t="shared" si="151"/>
        <v>-2500</v>
      </c>
      <c r="J84" s="8">
        <f t="shared" si="151"/>
        <v>-2100</v>
      </c>
      <c r="K84" s="8">
        <f t="shared" si="151"/>
        <v>-3300</v>
      </c>
      <c r="L84" s="8">
        <f t="shared" si="151"/>
        <v>-2700</v>
      </c>
      <c r="M84" s="8">
        <f t="shared" si="151"/>
        <v>-3300</v>
      </c>
      <c r="N84" s="8">
        <f t="shared" si="151"/>
        <v>-3500</v>
      </c>
      <c r="O84" s="8">
        <f t="shared" si="151"/>
        <v>-4100</v>
      </c>
      <c r="P84" s="8">
        <f t="shared" si="151"/>
        <v>-4300</v>
      </c>
      <c r="Q84" s="8">
        <f t="shared" si="151"/>
        <v>-3900</v>
      </c>
      <c r="R84" s="8">
        <f t="shared" si="151"/>
        <v>-3400</v>
      </c>
      <c r="S84" s="8">
        <f t="shared" si="151"/>
        <v>-5300</v>
      </c>
      <c r="T84" s="8">
        <f t="shared" si="151"/>
        <v>-4800</v>
      </c>
      <c r="U84" s="8">
        <f t="shared" si="151"/>
        <v>-4500</v>
      </c>
      <c r="V84" s="8">
        <f t="shared" si="151"/>
        <v>-3900</v>
      </c>
      <c r="W84" s="8">
        <f t="shared" si="151"/>
        <v>-5800</v>
      </c>
      <c r="X84" s="8">
        <f t="shared" si="151"/>
        <v>-5500</v>
      </c>
      <c r="Y84" s="8">
        <f t="shared" si="151"/>
        <v>-5400</v>
      </c>
      <c r="Z84" s="8">
        <f t="shared" si="151"/>
        <v>-6000</v>
      </c>
      <c r="AA84" s="8">
        <f t="shared" si="151"/>
        <v>-7300</v>
      </c>
      <c r="AB84" s="8">
        <f t="shared" si="151"/>
        <v>-7400</v>
      </c>
      <c r="AC84" s="8">
        <f t="shared" si="151"/>
        <v>-6800</v>
      </c>
      <c r="AD84" s="8">
        <f t="shared" si="151"/>
        <v>-6300</v>
      </c>
      <c r="AE84" s="8">
        <f t="shared" si="151"/>
        <v>-8700</v>
      </c>
      <c r="AF84" s="8">
        <f t="shared" si="151"/>
        <v>-6600</v>
      </c>
      <c r="AG84" s="8">
        <f t="shared" ref="AG84:AI84" si="152">+AG79*-AG12</f>
        <v>-6430.6481964526874</v>
      </c>
      <c r="AH84" s="8">
        <f t="shared" si="152"/>
        <v>-6453.1165810848142</v>
      </c>
      <c r="AI84" s="8">
        <f t="shared" si="152"/>
        <v>-9151.6376674082221</v>
      </c>
      <c r="AK84" s="8">
        <f t="shared" ref="AK84:AW84" si="153">-AK635</f>
        <v>-812</v>
      </c>
      <c r="AL84" s="8">
        <f t="shared" si="153"/>
        <v>-1578</v>
      </c>
      <c r="AM84" s="8">
        <f t="shared" si="153"/>
        <v>-2264</v>
      </c>
      <c r="AN84" s="8">
        <f t="shared" si="153"/>
        <v>-3182</v>
      </c>
      <c r="AO84" s="8">
        <f t="shared" si="153"/>
        <v>-3119</v>
      </c>
      <c r="AP84" s="8">
        <f t="shared" si="153"/>
        <v>-1977</v>
      </c>
      <c r="AQ84" s="8">
        <f t="shared" si="153"/>
        <v>-2355</v>
      </c>
      <c r="AR84" s="8">
        <f t="shared" si="153"/>
        <v>-2305</v>
      </c>
      <c r="AS84" s="8">
        <f t="shared" si="153"/>
        <v>-4257</v>
      </c>
      <c r="AT84" s="8">
        <f t="shared" si="153"/>
        <v>-5485</v>
      </c>
      <c r="AU84" s="8">
        <f t="shared" si="153"/>
        <v>-5944</v>
      </c>
      <c r="AV84" s="8">
        <f t="shared" si="153"/>
        <v>-8900</v>
      </c>
      <c r="AW84" s="8">
        <f t="shared" si="153"/>
        <v>-10200</v>
      </c>
      <c r="AY84" s="8">
        <f>+SUM(D84:G84)</f>
        <v>-8900</v>
      </c>
      <c r="AZ84" s="8">
        <f>-AZ635</f>
        <v>-10200</v>
      </c>
      <c r="BA84" s="8">
        <f>-BA635</f>
        <v>-13600</v>
      </c>
      <c r="BB84" s="8">
        <f>-BB635</f>
        <v>-16900</v>
      </c>
      <c r="BC84" s="8">
        <f>SUM(T84:W84)</f>
        <v>-19000</v>
      </c>
      <c r="BD84" s="8">
        <f>+SUM(X84:AA84)</f>
        <v>-24200</v>
      </c>
      <c r="BE84" s="8">
        <f>SUM(AB84:AE84)</f>
        <v>-29200</v>
      </c>
      <c r="BF84" s="8">
        <f>SUM(AF84:AI84)</f>
        <v>-28635.402444945721</v>
      </c>
    </row>
    <row r="85" spans="2:60">
      <c r="B85" t="str">
        <f>+B59</f>
        <v>Interest and other, net</v>
      </c>
      <c r="D85" s="8">
        <f t="shared" ref="D85:BF85" si="154">+D59</f>
        <v>-295</v>
      </c>
      <c r="E85" s="8">
        <f t="shared" si="154"/>
        <v>-176</v>
      </c>
      <c r="F85" s="8">
        <f t="shared" si="154"/>
        <v>-212</v>
      </c>
      <c r="G85" s="8">
        <f t="shared" si="154"/>
        <v>244</v>
      </c>
      <c r="H85" s="8">
        <f t="shared" si="154"/>
        <v>112</v>
      </c>
      <c r="I85" s="8">
        <f t="shared" si="154"/>
        <v>117</v>
      </c>
      <c r="J85" s="8">
        <f t="shared" si="154"/>
        <v>371</v>
      </c>
      <c r="K85" s="8">
        <f t="shared" si="154"/>
        <v>276</v>
      </c>
      <c r="L85" s="8">
        <f t="shared" si="154"/>
        <v>276</v>
      </c>
      <c r="M85" s="8">
        <f t="shared" si="154"/>
        <v>490</v>
      </c>
      <c r="N85" s="8">
        <f t="shared" si="154"/>
        <v>349</v>
      </c>
      <c r="O85" s="8">
        <f t="shared" si="154"/>
        <v>301</v>
      </c>
      <c r="P85" s="8">
        <f t="shared" si="154"/>
        <v>266</v>
      </c>
      <c r="Q85" s="8">
        <f t="shared" si="154"/>
        <v>127</v>
      </c>
      <c r="R85" s="8">
        <f t="shared" si="154"/>
        <v>145</v>
      </c>
      <c r="S85" s="8">
        <f t="shared" si="154"/>
        <v>191</v>
      </c>
      <c r="T85" s="8">
        <f t="shared" si="154"/>
        <v>0</v>
      </c>
      <c r="U85" s="8">
        <f t="shared" si="154"/>
        <v>194</v>
      </c>
      <c r="V85" s="8">
        <f t="shared" si="154"/>
        <v>-132</v>
      </c>
      <c r="W85" s="8">
        <f t="shared" si="154"/>
        <v>15</v>
      </c>
      <c r="X85" s="8">
        <f t="shared" si="154"/>
        <v>248</v>
      </c>
      <c r="Y85" s="8">
        <f t="shared" si="154"/>
        <v>440</v>
      </c>
      <c r="Z85" s="8">
        <f t="shared" si="154"/>
        <v>188</v>
      </c>
      <c r="AA85" s="8">
        <f t="shared" si="154"/>
        <v>310</v>
      </c>
      <c r="AB85" s="8">
        <f t="shared" si="154"/>
        <v>286</v>
      </c>
      <c r="AC85" s="8">
        <f t="shared" si="154"/>
        <v>268</v>
      </c>
      <c r="AD85" s="8">
        <f t="shared" si="154"/>
        <v>-174</v>
      </c>
      <c r="AE85" s="8">
        <f t="shared" si="154"/>
        <v>-47</v>
      </c>
      <c r="AF85" s="8">
        <f t="shared" si="154"/>
        <v>54</v>
      </c>
      <c r="AG85" s="8">
        <f t="shared" si="154"/>
        <v>0</v>
      </c>
      <c r="AH85" s="8">
        <f t="shared" si="154"/>
        <v>0</v>
      </c>
      <c r="AI85" s="8">
        <f t="shared" si="154"/>
        <v>0</v>
      </c>
      <c r="AK85" s="8">
        <f t="shared" si="154"/>
        <v>2052</v>
      </c>
      <c r="AL85" s="8">
        <f t="shared" si="154"/>
        <v>1882</v>
      </c>
      <c r="AM85" s="8">
        <f t="shared" si="154"/>
        <v>1663</v>
      </c>
      <c r="AN85" s="8">
        <f t="shared" si="154"/>
        <v>1543</v>
      </c>
      <c r="AO85" s="8">
        <f t="shared" si="154"/>
        <v>-542</v>
      </c>
      <c r="AP85" s="8">
        <f t="shared" si="154"/>
        <v>915</v>
      </c>
      <c r="AQ85" s="8">
        <f t="shared" si="154"/>
        <v>910</v>
      </c>
      <c r="AR85" s="8">
        <f t="shared" si="154"/>
        <v>504</v>
      </c>
      <c r="AS85" s="8">
        <f t="shared" si="154"/>
        <v>288</v>
      </c>
      <c r="AT85" s="8">
        <f t="shared" si="154"/>
        <v>61</v>
      </c>
      <c r="AU85" s="8">
        <f t="shared" si="154"/>
        <v>346</v>
      </c>
      <c r="AV85" s="8">
        <f t="shared" si="154"/>
        <v>431</v>
      </c>
      <c r="AW85" s="8">
        <f t="shared" si="154"/>
        <v>-823</v>
      </c>
      <c r="AY85" s="8">
        <f t="shared" si="154"/>
        <v>-439</v>
      </c>
      <c r="AZ85" s="8">
        <f t="shared" si="154"/>
        <v>876</v>
      </c>
      <c r="BA85" s="8">
        <f t="shared" si="154"/>
        <v>1416</v>
      </c>
      <c r="BB85" s="8">
        <f t="shared" si="154"/>
        <v>729</v>
      </c>
      <c r="BC85" s="8">
        <f t="shared" si="154"/>
        <v>77</v>
      </c>
      <c r="BD85" s="8">
        <f t="shared" si="154"/>
        <v>1186</v>
      </c>
      <c r="BE85" s="8">
        <f t="shared" si="154"/>
        <v>333</v>
      </c>
      <c r="BF85" s="8">
        <f t="shared" si="154"/>
        <v>54</v>
      </c>
      <c r="BG85" s="8"/>
    </row>
    <row r="86" spans="2:60" s="852" customFormat="1">
      <c r="B86" t="s">
        <v>315</v>
      </c>
      <c r="D86" s="853">
        <f t="shared" ref="D86:AI86" si="155">+D61</f>
        <v>-2107.35</v>
      </c>
      <c r="E86" s="853">
        <f t="shared" si="155"/>
        <v>-2559.5499999999997</v>
      </c>
      <c r="F86" s="853">
        <f t="shared" si="155"/>
        <v>-2122.75</v>
      </c>
      <c r="G86" s="853">
        <f t="shared" si="155"/>
        <v>-2572.5</v>
      </c>
      <c r="H86" s="853">
        <f t="shared" si="155"/>
        <v>-2389.4499999999998</v>
      </c>
      <c r="I86" s="853">
        <f t="shared" si="155"/>
        <v>-2807.7</v>
      </c>
      <c r="J86" s="853">
        <f t="shared" si="155"/>
        <v>-2482.8999999999996</v>
      </c>
      <c r="K86" s="853">
        <f t="shared" si="155"/>
        <v>-2892.3999999999996</v>
      </c>
      <c r="L86" s="853">
        <f t="shared" si="155"/>
        <v>-2794.3999999999996</v>
      </c>
      <c r="M86" s="853">
        <f t="shared" si="155"/>
        <v>-3209.1499999999996</v>
      </c>
      <c r="N86" s="853">
        <f t="shared" si="155"/>
        <v>-1814.61</v>
      </c>
      <c r="O86" s="853">
        <f t="shared" si="155"/>
        <v>-2242.7999999999997</v>
      </c>
      <c r="P86" s="853">
        <f t="shared" si="155"/>
        <v>-2146.41</v>
      </c>
      <c r="Q86" s="853">
        <f t="shared" si="155"/>
        <v>-2180.85</v>
      </c>
      <c r="R86" s="853">
        <f t="shared" si="155"/>
        <v>-2202.06</v>
      </c>
      <c r="S86" s="853">
        <f t="shared" si="155"/>
        <v>-2645.16</v>
      </c>
      <c r="T86" s="853">
        <f t="shared" si="155"/>
        <v>-2664.06</v>
      </c>
      <c r="U86" s="853">
        <f t="shared" si="155"/>
        <v>-2957.85</v>
      </c>
      <c r="V86" s="853">
        <f t="shared" si="155"/>
        <v>-2697.0299999999997</v>
      </c>
      <c r="W86" s="853">
        <f t="shared" si="155"/>
        <v>-2818.62</v>
      </c>
      <c r="X86" s="853">
        <f t="shared" si="155"/>
        <v>-3386.04</v>
      </c>
      <c r="Y86" s="853">
        <f t="shared" si="155"/>
        <v>-3850.77</v>
      </c>
      <c r="Z86" s="853">
        <f t="shared" si="155"/>
        <v>-3619.56</v>
      </c>
      <c r="AA86" s="853">
        <f t="shared" si="155"/>
        <v>-4075.0499999999997</v>
      </c>
      <c r="AB86" s="853">
        <f t="shared" si="155"/>
        <v>-4310.04</v>
      </c>
      <c r="AC86" s="853">
        <f t="shared" si="155"/>
        <v>-4728.1499999999996</v>
      </c>
      <c r="AD86" s="853">
        <f t="shared" si="155"/>
        <v>-4239.8999999999996</v>
      </c>
      <c r="AE86" s="853">
        <f t="shared" si="155"/>
        <v>-4302.2699999999995</v>
      </c>
      <c r="AF86" s="853">
        <f t="shared" si="155"/>
        <v>-4530.12</v>
      </c>
      <c r="AG86" s="853">
        <f t="shared" si="155"/>
        <v>-4678.8682536583865</v>
      </c>
      <c r="AH86" s="853">
        <f t="shared" si="155"/>
        <v>-4340.3571250188525</v>
      </c>
      <c r="AI86" s="853">
        <f t="shared" si="155"/>
        <v>-4544.5790424591305</v>
      </c>
      <c r="AK86" s="853">
        <f t="shared" ref="AK86:AW86" si="156">+AK61</f>
        <v>-5819.7999999999993</v>
      </c>
      <c r="AL86" s="853">
        <f t="shared" si="156"/>
        <v>-6391.7</v>
      </c>
      <c r="AM86" s="853">
        <f t="shared" si="156"/>
        <v>-7035.3499999999995</v>
      </c>
      <c r="AN86" s="853">
        <f t="shared" si="156"/>
        <v>-8334.9</v>
      </c>
      <c r="AO86" s="853">
        <f t="shared" si="156"/>
        <v>-6937.3499999999995</v>
      </c>
      <c r="AP86" s="853">
        <f t="shared" si="156"/>
        <v>-8754.5499999999993</v>
      </c>
      <c r="AQ86" s="853">
        <f t="shared" si="156"/>
        <v>-9824.8499999999985</v>
      </c>
      <c r="AR86" s="853">
        <f t="shared" si="156"/>
        <v>-9961</v>
      </c>
      <c r="AS86" s="853">
        <f t="shared" si="156"/>
        <v>-9724.75</v>
      </c>
      <c r="AT86" s="853">
        <f t="shared" si="156"/>
        <v>-9781.4499999999989</v>
      </c>
      <c r="AU86" s="853">
        <f t="shared" si="156"/>
        <v>-9981.2999999999993</v>
      </c>
      <c r="AV86" s="853">
        <f t="shared" si="156"/>
        <v>-7603.0499999999993</v>
      </c>
      <c r="AW86" s="853">
        <f t="shared" si="156"/>
        <v>-7633.15</v>
      </c>
      <c r="AY86" s="853">
        <f t="shared" ref="AY86:BF86" si="157">+AY61</f>
        <v>-9362.15</v>
      </c>
      <c r="AZ86" s="853">
        <f t="shared" si="157"/>
        <v>-10572.449999999999</v>
      </c>
      <c r="BA86" s="853">
        <f t="shared" si="157"/>
        <v>-10060.959999999999</v>
      </c>
      <c r="BB86" s="853">
        <f t="shared" si="157"/>
        <v>-9174.48</v>
      </c>
      <c r="BC86" s="853">
        <f t="shared" si="157"/>
        <v>-11137.559999999998</v>
      </c>
      <c r="BD86" s="853">
        <f t="shared" si="157"/>
        <v>-14931.419999999998</v>
      </c>
      <c r="BE86" s="853">
        <f t="shared" si="157"/>
        <v>-17580.359999999997</v>
      </c>
      <c r="BF86" s="853">
        <f t="shared" si="157"/>
        <v>-18093.924421136369</v>
      </c>
    </row>
    <row r="87" spans="2:60" s="1" customFormat="1" ht="10.5">
      <c r="B87" s="837" t="s">
        <v>143</v>
      </c>
      <c r="D87" s="838">
        <f t="shared" ref="D87:AI87" si="158">SUM(D83:D86)</f>
        <v>3874.65</v>
      </c>
      <c r="E87" s="838">
        <f t="shared" si="158"/>
        <v>4297.4500000000007</v>
      </c>
      <c r="F87" s="838">
        <f t="shared" si="158"/>
        <v>3349.25</v>
      </c>
      <c r="G87" s="838">
        <f t="shared" si="158"/>
        <v>3587.5</v>
      </c>
      <c r="H87" s="838">
        <f t="shared" si="158"/>
        <v>3953.55</v>
      </c>
      <c r="I87" s="838">
        <f t="shared" si="158"/>
        <v>4880.3</v>
      </c>
      <c r="J87" s="838">
        <f t="shared" si="158"/>
        <v>4964.1000000000004</v>
      </c>
      <c r="K87" s="838">
        <f t="shared" si="158"/>
        <v>4414.6000000000004</v>
      </c>
      <c r="L87" s="838">
        <f t="shared" si="158"/>
        <v>4988.6000000000004</v>
      </c>
      <c r="M87" s="838">
        <f t="shared" si="158"/>
        <v>5195.8500000000004</v>
      </c>
      <c r="N87" s="838">
        <f t="shared" si="158"/>
        <v>6036.39</v>
      </c>
      <c r="O87" s="838">
        <f t="shared" si="158"/>
        <v>6853.2000000000007</v>
      </c>
      <c r="P87" s="838">
        <f t="shared" si="158"/>
        <v>6611.59</v>
      </c>
      <c r="Q87" s="838">
        <f t="shared" si="158"/>
        <v>7299.15</v>
      </c>
      <c r="R87" s="838">
        <f t="shared" si="158"/>
        <v>7809.9400000000005</v>
      </c>
      <c r="S87" s="838">
        <f t="shared" si="158"/>
        <v>7574.84</v>
      </c>
      <c r="T87" s="838">
        <f t="shared" si="158"/>
        <v>8192.94</v>
      </c>
      <c r="U87" s="838">
        <f t="shared" si="158"/>
        <v>9830.15</v>
      </c>
      <c r="V87" s="838">
        <f t="shared" si="158"/>
        <v>9363.9700000000012</v>
      </c>
      <c r="W87" s="838">
        <f t="shared" si="158"/>
        <v>8307.380000000001</v>
      </c>
      <c r="X87" s="838">
        <f t="shared" si="158"/>
        <v>9882.9599999999991</v>
      </c>
      <c r="Y87" s="838">
        <f t="shared" si="158"/>
        <v>11847.23</v>
      </c>
      <c r="Z87" s="838">
        <f t="shared" si="158"/>
        <v>10552.44</v>
      </c>
      <c r="AA87" s="838">
        <f t="shared" si="158"/>
        <v>11373.95</v>
      </c>
      <c r="AB87" s="838">
        <f t="shared" si="158"/>
        <v>12025.96</v>
      </c>
      <c r="AC87" s="838">
        <f t="shared" si="158"/>
        <v>14482.85</v>
      </c>
      <c r="AD87" s="838">
        <f t="shared" si="158"/>
        <v>13423.1</v>
      </c>
      <c r="AE87" s="838">
        <f t="shared" si="158"/>
        <v>11463.73</v>
      </c>
      <c r="AF87" s="838">
        <f t="shared" si="158"/>
        <v>13231.880000000001</v>
      </c>
      <c r="AG87" s="838">
        <f t="shared" si="158"/>
        <v>13926.536851083249</v>
      </c>
      <c r="AH87" s="838">
        <f t="shared" si="158"/>
        <v>13045.729201155073</v>
      </c>
      <c r="AI87" s="838">
        <f t="shared" si="158"/>
        <v>11531.976569908766</v>
      </c>
      <c r="AK87" s="838">
        <f t="shared" ref="AK87:AW87" si="159">SUM(AK83:AK86)</f>
        <v>10851.2</v>
      </c>
      <c r="AL87" s="838">
        <f t="shared" si="159"/>
        <v>11195.3</v>
      </c>
      <c r="AM87" s="838">
        <f t="shared" si="159"/>
        <v>12241.650000000001</v>
      </c>
      <c r="AN87" s="838">
        <f t="shared" si="159"/>
        <v>14353.1</v>
      </c>
      <c r="AO87" s="838">
        <f t="shared" si="159"/>
        <v>12326.650000000001</v>
      </c>
      <c r="AP87" s="838">
        <f t="shared" si="159"/>
        <v>16954.45</v>
      </c>
      <c r="AQ87" s="838">
        <f t="shared" si="159"/>
        <v>18657.150000000001</v>
      </c>
      <c r="AR87" s="838">
        <f t="shared" si="159"/>
        <v>19701</v>
      </c>
      <c r="AS87" s="838">
        <f t="shared" si="159"/>
        <v>17018.25</v>
      </c>
      <c r="AT87" s="838">
        <f t="shared" si="159"/>
        <v>17892.550000000003</v>
      </c>
      <c r="AU87" s="838">
        <f t="shared" si="159"/>
        <v>18549.7</v>
      </c>
      <c r="AV87" s="838">
        <f t="shared" si="159"/>
        <v>18484.95</v>
      </c>
      <c r="AW87" s="838">
        <f t="shared" si="159"/>
        <v>19460.849999999999</v>
      </c>
      <c r="AY87" s="838">
        <f t="shared" ref="AY87:BF87" si="160">SUM(AY83:AY86)</f>
        <v>15108.85</v>
      </c>
      <c r="AZ87" s="838">
        <f t="shared" si="160"/>
        <v>18212.550000000003</v>
      </c>
      <c r="BA87" s="838">
        <f t="shared" si="160"/>
        <v>23074.04</v>
      </c>
      <c r="BB87" s="838">
        <f t="shared" si="160"/>
        <v>29295.52</v>
      </c>
      <c r="BC87" s="838">
        <f t="shared" si="160"/>
        <v>35694.44</v>
      </c>
      <c r="BD87" s="838">
        <f t="shared" si="160"/>
        <v>43656.58</v>
      </c>
      <c r="BE87" s="838">
        <f t="shared" si="160"/>
        <v>51395.64</v>
      </c>
      <c r="BF87" s="838">
        <f t="shared" si="160"/>
        <v>51736.122622147086</v>
      </c>
    </row>
    <row r="88" spans="2:60" s="1" customFormat="1" ht="10.5">
      <c r="B88" s="837" t="s">
        <v>316</v>
      </c>
      <c r="D88" s="854">
        <f t="shared" ref="D88:AI88" si="161">+D87/D63</f>
        <v>0.47929861454725387</v>
      </c>
      <c r="E88" s="854">
        <f t="shared" si="161"/>
        <v>0.5337784126195505</v>
      </c>
      <c r="F88" s="854">
        <f t="shared" si="161"/>
        <v>0.41944270507201004</v>
      </c>
      <c r="G88" s="854">
        <f t="shared" si="161"/>
        <v>0.45245302055744735</v>
      </c>
      <c r="H88" s="854">
        <f t="shared" si="161"/>
        <v>0.50197435246317934</v>
      </c>
      <c r="I88" s="854">
        <f t="shared" si="161"/>
        <v>0.6232822477650064</v>
      </c>
      <c r="J88" s="854">
        <f t="shared" si="161"/>
        <v>0.6353641366952516</v>
      </c>
      <c r="K88" s="854">
        <f t="shared" si="161"/>
        <v>0.56553932872149637</v>
      </c>
      <c r="L88" s="854">
        <f t="shared" si="161"/>
        <v>0.63964610847544556</v>
      </c>
      <c r="M88" s="854">
        <f t="shared" si="161"/>
        <v>0.67391050583657597</v>
      </c>
      <c r="N88" s="854">
        <f t="shared" si="161"/>
        <v>0.77449191685912244</v>
      </c>
      <c r="O88" s="854">
        <f t="shared" si="161"/>
        <v>0.88144051446945348</v>
      </c>
      <c r="P88" s="854">
        <f t="shared" si="161"/>
        <v>0.85135075972186458</v>
      </c>
      <c r="Q88" s="854">
        <f t="shared" si="161"/>
        <v>0.93964340885684861</v>
      </c>
      <c r="R88" s="854">
        <f t="shared" si="161"/>
        <v>1.008514979338843</v>
      </c>
      <c r="S88" s="854">
        <f t="shared" si="161"/>
        <v>0.97942073959141451</v>
      </c>
      <c r="T88" s="854">
        <f t="shared" si="161"/>
        <v>1.0626381322957199</v>
      </c>
      <c r="U88" s="854">
        <f t="shared" si="161"/>
        <v>1.2742318224740321</v>
      </c>
      <c r="V88" s="854">
        <f t="shared" si="161"/>
        <v>1.2200612377850164</v>
      </c>
      <c r="W88" s="854">
        <f t="shared" si="161"/>
        <v>1.085932026143791</v>
      </c>
      <c r="X88" s="854">
        <f t="shared" si="161"/>
        <v>1.2940893020819693</v>
      </c>
      <c r="Y88" s="854">
        <f t="shared" si="161"/>
        <v>1.5555711659663864</v>
      </c>
      <c r="Z88" s="854">
        <f t="shared" si="161"/>
        <v>1.3890272475977361</v>
      </c>
      <c r="AA88" s="854">
        <f t="shared" si="161"/>
        <v>1.5003231763619576</v>
      </c>
      <c r="AB88" s="854">
        <f t="shared" si="161"/>
        <v>1.5892639090788951</v>
      </c>
      <c r="AC88" s="854">
        <f t="shared" si="161"/>
        <v>1.9169887491727333</v>
      </c>
      <c r="AD88" s="854">
        <f t="shared" si="161"/>
        <v>1.7816697637377223</v>
      </c>
      <c r="AE88" s="854">
        <f t="shared" si="161"/>
        <v>1.5272755129229949</v>
      </c>
      <c r="AF88" s="854">
        <f t="shared" si="161"/>
        <v>1.7677862391449568</v>
      </c>
      <c r="AG88" s="854">
        <f t="shared" si="161"/>
        <v>1.8605927656757848</v>
      </c>
      <c r="AH88" s="854">
        <f t="shared" si="161"/>
        <v>1.7429163929398894</v>
      </c>
      <c r="AI88" s="854">
        <f t="shared" si="161"/>
        <v>1.5406782324527408</v>
      </c>
      <c r="AK88" s="854">
        <f t="shared" ref="AK88:AW88" si="162">+AK87/AK63</f>
        <v>1.3956527331189712</v>
      </c>
      <c r="AL88" s="854">
        <f t="shared" si="162"/>
        <v>1.4399099678456591</v>
      </c>
      <c r="AM88" s="854">
        <f t="shared" si="162"/>
        <v>1.5744887459807075</v>
      </c>
      <c r="AN88" s="854">
        <f t="shared" si="162"/>
        <v>1.8460578778135048</v>
      </c>
      <c r="AO88" s="854">
        <f t="shared" si="162"/>
        <v>1.5854212218649519</v>
      </c>
      <c r="AP88" s="854">
        <f t="shared" si="162"/>
        <v>2.180636655948553</v>
      </c>
      <c r="AQ88" s="854">
        <f t="shared" si="162"/>
        <v>2.3996334405144695</v>
      </c>
      <c r="AR88" s="854">
        <f t="shared" si="162"/>
        <v>2.5338906752411576</v>
      </c>
      <c r="AS88" s="854">
        <f t="shared" si="162"/>
        <v>2.1888424437299037</v>
      </c>
      <c r="AT88" s="854">
        <f t="shared" si="162"/>
        <v>2.301292604501608</v>
      </c>
      <c r="AU88" s="854">
        <f t="shared" si="162"/>
        <v>2.385813504823151</v>
      </c>
      <c r="AV88" s="854">
        <f t="shared" si="162"/>
        <v>2.3601825842696629</v>
      </c>
      <c r="AW88" s="854">
        <f t="shared" si="162"/>
        <v>2.4969014626635873</v>
      </c>
      <c r="AY88" s="854">
        <f t="shared" ref="AY88:BF88" si="163">+AY87/AY63</f>
        <v>1.8857187431745142</v>
      </c>
      <c r="AZ88" s="854">
        <f t="shared" si="163"/>
        <v>2.3256249002394256</v>
      </c>
      <c r="BA88" s="854">
        <f t="shared" si="163"/>
        <v>2.9698230259347449</v>
      </c>
      <c r="BB88" s="854">
        <f t="shared" si="163"/>
        <v>3.778604411195666</v>
      </c>
      <c r="BC88" s="854">
        <f t="shared" si="163"/>
        <v>4.6432441869104935</v>
      </c>
      <c r="BD88" s="854">
        <f t="shared" si="163"/>
        <v>5.7384351483684402</v>
      </c>
      <c r="BE88" s="854">
        <f t="shared" si="163"/>
        <v>6.8159458921822162</v>
      </c>
      <c r="BF88" s="854">
        <f t="shared" si="163"/>
        <v>6.9119736302133701</v>
      </c>
      <c r="BH88"/>
    </row>
    <row r="89" spans="2:60" s="1" customFormat="1" ht="10.5">
      <c r="B89" s="841" t="s">
        <v>113</v>
      </c>
      <c r="C89" s="7"/>
      <c r="D89" s="7"/>
      <c r="E89" s="7"/>
      <c r="F89" s="7"/>
      <c r="G89" s="7"/>
      <c r="H89" s="855">
        <f>IFERROR(H88/D88-1,"n/a ")</f>
        <v>4.7310251329111486E-2</v>
      </c>
      <c r="I89" s="855">
        <f t="shared" ref="I89:AI89" si="164">IFERROR(I88/E88-1,"n/a ")</f>
        <v>0.16767975817195446</v>
      </c>
      <c r="J89" s="855">
        <f t="shared" si="164"/>
        <v>0.51478170680348856</v>
      </c>
      <c r="K89" s="855">
        <f t="shared" si="164"/>
        <v>0.24994044248996361</v>
      </c>
      <c r="L89" s="855">
        <f t="shared" si="164"/>
        <v>0.27426053808668382</v>
      </c>
      <c r="M89" s="855">
        <f t="shared" si="164"/>
        <v>8.1228461508593641E-2</v>
      </c>
      <c r="N89" s="855">
        <f t="shared" si="164"/>
        <v>0.21897329756054917</v>
      </c>
      <c r="O89" s="855">
        <f t="shared" si="164"/>
        <v>0.55858393873704371</v>
      </c>
      <c r="P89" s="855">
        <f t="shared" si="164"/>
        <v>0.33097153010279867</v>
      </c>
      <c r="Q89" s="855">
        <f t="shared" si="164"/>
        <v>0.39431482477098112</v>
      </c>
      <c r="R89" s="855">
        <f t="shared" si="164"/>
        <v>0.30216333751910374</v>
      </c>
      <c r="S89" s="855">
        <f t="shared" si="164"/>
        <v>0.11115920304722571</v>
      </c>
      <c r="T89" s="855">
        <f t="shared" si="164"/>
        <v>0.24817899104580898</v>
      </c>
      <c r="U89" s="855">
        <f t="shared" si="164"/>
        <v>0.35608020070532609</v>
      </c>
      <c r="V89" s="855">
        <f t="shared" si="164"/>
        <v>0.20976015505972723</v>
      </c>
      <c r="W89" s="855">
        <f t="shared" si="164"/>
        <v>0.10874926601698243</v>
      </c>
      <c r="X89" s="855">
        <f t="shared" si="164"/>
        <v>0.21780807854713724</v>
      </c>
      <c r="Y89" s="855">
        <f t="shared" si="164"/>
        <v>0.22079133367279247</v>
      </c>
      <c r="Z89" s="855">
        <f t="shared" si="164"/>
        <v>0.13848977787334049</v>
      </c>
      <c r="AA89" s="855">
        <f t="shared" si="164"/>
        <v>0.3815995294748733</v>
      </c>
      <c r="AB89" s="855">
        <f t="shared" si="164"/>
        <v>0.22809446498169805</v>
      </c>
      <c r="AC89" s="855">
        <f t="shared" si="164"/>
        <v>0.23233754334975676</v>
      </c>
      <c r="AD89" s="855">
        <f t="shared" si="164"/>
        <v>0.282674452080796</v>
      </c>
      <c r="AE89" s="855">
        <f t="shared" si="164"/>
        <v>1.796435393765794E-2</v>
      </c>
      <c r="AF89" s="855">
        <f t="shared" si="164"/>
        <v>0.11233019830515723</v>
      </c>
      <c r="AG89" s="855">
        <f t="shared" si="164"/>
        <v>-2.9419047723303504E-2</v>
      </c>
      <c r="AH89" s="855">
        <f t="shared" si="164"/>
        <v>-2.1751152534874474E-2</v>
      </c>
      <c r="AI89" s="855">
        <f t="shared" si="164"/>
        <v>8.775574162185773E-3</v>
      </c>
      <c r="AJ89" s="7"/>
      <c r="AK89" s="7"/>
      <c r="AL89" s="855">
        <f>IFERROR(AL88/AK88-1,"n/a ")</f>
        <v>3.171077853140658E-2</v>
      </c>
      <c r="AM89" s="855">
        <f t="shared" ref="AM89:AW89" si="165">IFERROR(AM88/AL88-1,"n/a ")</f>
        <v>9.3463328361008902E-2</v>
      </c>
      <c r="AN89" s="855">
        <f t="shared" si="165"/>
        <v>0.17248083387451851</v>
      </c>
      <c r="AO89" s="855">
        <f t="shared" si="165"/>
        <v>-0.14118552786506045</v>
      </c>
      <c r="AP89" s="855">
        <f t="shared" si="165"/>
        <v>0.37543046975455607</v>
      </c>
      <c r="AQ89" s="855">
        <f t="shared" si="165"/>
        <v>0.10042791125633688</v>
      </c>
      <c r="AR89" s="855">
        <f t="shared" si="165"/>
        <v>5.594905974385167E-2</v>
      </c>
      <c r="AS89" s="855">
        <f t="shared" si="165"/>
        <v>-0.13617329069590378</v>
      </c>
      <c r="AT89" s="855">
        <f t="shared" si="165"/>
        <v>5.1374259985603743E-2</v>
      </c>
      <c r="AU89" s="855">
        <f t="shared" si="165"/>
        <v>3.6727576561194297E-2</v>
      </c>
      <c r="AV89" s="855">
        <f t="shared" si="165"/>
        <v>-1.0743052842006606E-2</v>
      </c>
      <c r="AW89" s="855">
        <f t="shared" si="165"/>
        <v>5.7927246521154441E-2</v>
      </c>
      <c r="AX89" s="7"/>
      <c r="AY89" s="1012">
        <f t="shared" ref="AY89" si="166">+AV89</f>
        <v>-1.0743052842006606E-2</v>
      </c>
      <c r="AZ89" s="1012">
        <f t="shared" ref="AZ89" si="167">+AW89</f>
        <v>5.7927246521154441E-2</v>
      </c>
      <c r="BA89" s="855">
        <f t="shared" ref="BA89:BF89" si="168">IFERROR(BA88/AZ88-1,"n/a ")</f>
        <v>0.27700001218124148</v>
      </c>
      <c r="BB89" s="855">
        <f t="shared" si="168"/>
        <v>0.27233319231416453</v>
      </c>
      <c r="BC89" s="855">
        <f t="shared" si="168"/>
        <v>0.22882516443186729</v>
      </c>
      <c r="BD89" s="855">
        <f t="shared" si="168"/>
        <v>0.23586762129489935</v>
      </c>
      <c r="BE89" s="855">
        <f t="shared" si="168"/>
        <v>0.18777083228345548</v>
      </c>
      <c r="BF89" s="855">
        <f t="shared" si="168"/>
        <v>1.4088688430067497E-2</v>
      </c>
    </row>
    <row r="91" spans="2:60">
      <c r="B91" t="s">
        <v>144</v>
      </c>
      <c r="D91" s="8">
        <f t="shared" ref="D91:AF91" si="169">+D582</f>
        <v>674</v>
      </c>
      <c r="E91" s="8">
        <f t="shared" si="169"/>
        <v>658</v>
      </c>
      <c r="F91" s="8">
        <f t="shared" si="169"/>
        <v>672</v>
      </c>
      <c r="G91" s="8">
        <f t="shared" si="169"/>
        <v>664</v>
      </c>
      <c r="H91" s="8">
        <f t="shared" si="169"/>
        <v>703</v>
      </c>
      <c r="I91" s="8">
        <f t="shared" si="169"/>
        <v>767</v>
      </c>
      <c r="J91" s="8">
        <f t="shared" si="169"/>
        <v>883</v>
      </c>
      <c r="K91" s="8">
        <f t="shared" si="169"/>
        <v>913</v>
      </c>
      <c r="L91" s="8">
        <f t="shared" si="169"/>
        <v>973</v>
      </c>
      <c r="M91" s="8">
        <f t="shared" si="169"/>
        <v>986</v>
      </c>
      <c r="N91" s="8">
        <f t="shared" si="169"/>
        <v>969</v>
      </c>
      <c r="O91" s="8">
        <f t="shared" si="169"/>
        <v>1012</v>
      </c>
      <c r="P91" s="8">
        <f t="shared" si="169"/>
        <v>1107</v>
      </c>
      <c r="Q91" s="8">
        <f t="shared" si="169"/>
        <v>1183</v>
      </c>
      <c r="R91" s="8">
        <f t="shared" si="169"/>
        <v>1172</v>
      </c>
      <c r="S91" s="8">
        <f t="shared" si="169"/>
        <v>1190</v>
      </c>
      <c r="T91" s="8">
        <f t="shared" si="169"/>
        <v>1262</v>
      </c>
      <c r="U91" s="8">
        <f t="shared" si="169"/>
        <v>1340</v>
      </c>
      <c r="V91" s="8">
        <f t="shared" si="169"/>
        <v>1338</v>
      </c>
      <c r="W91" s="8">
        <f t="shared" si="169"/>
        <v>1349</v>
      </c>
      <c r="X91" s="8">
        <f t="shared" si="169"/>
        <v>1456</v>
      </c>
      <c r="Y91" s="8">
        <f t="shared" si="169"/>
        <v>1566</v>
      </c>
      <c r="Z91" s="8">
        <f t="shared" si="169"/>
        <v>1525</v>
      </c>
      <c r="AA91" s="8">
        <f t="shared" si="169"/>
        <v>1571</v>
      </c>
      <c r="AB91" s="8">
        <f t="shared" si="169"/>
        <v>1702</v>
      </c>
      <c r="AC91" s="8">
        <f t="shared" si="169"/>
        <v>1897</v>
      </c>
      <c r="AD91" s="8">
        <f t="shared" si="169"/>
        <v>1906</v>
      </c>
      <c r="AE91" s="8">
        <f t="shared" si="169"/>
        <v>1997</v>
      </c>
      <c r="AF91" s="8">
        <f t="shared" si="169"/>
        <v>2192</v>
      </c>
      <c r="AG91" s="61">
        <v>0</v>
      </c>
      <c r="AH91" s="61">
        <v>0</v>
      </c>
      <c r="AI91" s="61">
        <v>0</v>
      </c>
      <c r="AK91" s="8">
        <f t="shared" ref="AK91:AW91" si="170">+AK582</f>
        <v>2448</v>
      </c>
      <c r="AL91" s="8">
        <f t="shared" si="170"/>
        <v>1715</v>
      </c>
      <c r="AM91" s="8">
        <f t="shared" si="170"/>
        <v>1550</v>
      </c>
      <c r="AN91" s="8">
        <f t="shared" si="170"/>
        <v>1479</v>
      </c>
      <c r="AO91" s="8">
        <f t="shared" si="170"/>
        <v>1708</v>
      </c>
      <c r="AP91" s="8">
        <f t="shared" si="170"/>
        <v>1891</v>
      </c>
      <c r="AQ91" s="8">
        <f t="shared" si="170"/>
        <v>2166</v>
      </c>
      <c r="AR91" s="8">
        <f t="shared" si="170"/>
        <v>2244</v>
      </c>
      <c r="AS91" s="8">
        <f t="shared" si="170"/>
        <v>2406</v>
      </c>
      <c r="AT91" s="8">
        <f t="shared" si="170"/>
        <v>2446</v>
      </c>
      <c r="AU91" s="8">
        <f t="shared" si="170"/>
        <v>2574</v>
      </c>
      <c r="AV91" s="8">
        <f t="shared" si="170"/>
        <v>2668</v>
      </c>
      <c r="AW91" s="8">
        <f t="shared" si="170"/>
        <v>3266</v>
      </c>
      <c r="AY91" s="8">
        <f>+SUM(D91:G91)</f>
        <v>2668</v>
      </c>
      <c r="AZ91" s="8">
        <f>+AZ582</f>
        <v>3266</v>
      </c>
      <c r="BA91" s="8">
        <f>+BA582</f>
        <v>3940</v>
      </c>
      <c r="BB91" s="8">
        <f t="shared" ref="BB91:BC91" si="171">+BB582</f>
        <v>4652</v>
      </c>
      <c r="BC91" s="8">
        <f t="shared" si="171"/>
        <v>5289</v>
      </c>
      <c r="BD91" s="8">
        <f>SUM(X91:AA91)</f>
        <v>6118</v>
      </c>
      <c r="BE91" s="8">
        <f t="shared" ref="BE91" si="172">SUM(AB91:AE91)</f>
        <v>7502</v>
      </c>
      <c r="BF91" s="8">
        <f>SUM(AF91:AI91)</f>
        <v>2192</v>
      </c>
      <c r="BG91" s="8"/>
    </row>
    <row r="92" spans="2:60" s="100" customFormat="1">
      <c r="B92" s="100" t="s">
        <v>317</v>
      </c>
      <c r="D92" s="856" t="s">
        <v>273</v>
      </c>
      <c r="E92" s="856" t="s">
        <v>273</v>
      </c>
      <c r="F92" s="856" t="s">
        <v>273</v>
      </c>
      <c r="G92" s="856" t="s">
        <v>273</v>
      </c>
      <c r="H92" s="856" t="s">
        <v>273</v>
      </c>
      <c r="I92" s="856" t="s">
        <v>273</v>
      </c>
      <c r="J92" s="856" t="s">
        <v>273</v>
      </c>
      <c r="K92" s="856" t="s">
        <v>273</v>
      </c>
      <c r="L92" s="856" t="s">
        <v>273</v>
      </c>
      <c r="M92" s="856" t="s">
        <v>273</v>
      </c>
      <c r="N92" s="856" t="s">
        <v>273</v>
      </c>
      <c r="O92" s="856" t="s">
        <v>273</v>
      </c>
      <c r="P92" s="856" t="s">
        <v>273</v>
      </c>
      <c r="Q92" s="856" t="s">
        <v>273</v>
      </c>
      <c r="R92" s="856" t="s">
        <v>273</v>
      </c>
      <c r="S92" s="856" t="s">
        <v>273</v>
      </c>
      <c r="T92" s="856" t="s">
        <v>273</v>
      </c>
      <c r="U92" s="856" t="s">
        <v>273</v>
      </c>
      <c r="V92" s="856" t="s">
        <v>273</v>
      </c>
      <c r="W92" s="856" t="s">
        <v>273</v>
      </c>
      <c r="X92" s="856" t="s">
        <v>273</v>
      </c>
      <c r="Y92" s="856" t="s">
        <v>273</v>
      </c>
      <c r="Z92" s="856" t="s">
        <v>273</v>
      </c>
      <c r="AA92" s="856" t="s">
        <v>273</v>
      </c>
      <c r="AB92" s="856" t="s">
        <v>273</v>
      </c>
      <c r="AC92" s="856" t="s">
        <v>273</v>
      </c>
      <c r="AD92" s="856" t="s">
        <v>273</v>
      </c>
      <c r="AE92" s="856" t="s">
        <v>273</v>
      </c>
      <c r="AF92" s="856" t="s">
        <v>273</v>
      </c>
      <c r="AG92" s="61">
        <v>0</v>
      </c>
      <c r="AH92" s="61">
        <v>0</v>
      </c>
      <c r="AI92" s="61">
        <v>0</v>
      </c>
      <c r="AK92" s="11">
        <f t="shared" ref="AK92:AW92" si="173">-AK623-AK86</f>
        <v>1489.7999999999993</v>
      </c>
      <c r="AL92" s="11">
        <f t="shared" si="173"/>
        <v>1591.6999999999998</v>
      </c>
      <c r="AM92" s="11">
        <f t="shared" si="173"/>
        <v>1835.3499999999995</v>
      </c>
      <c r="AN92" s="11">
        <f t="shared" si="173"/>
        <v>2934.8999999999996</v>
      </c>
      <c r="AO92" s="11">
        <f t="shared" si="173"/>
        <v>337.34999999999945</v>
      </c>
      <c r="AP92" s="11">
        <f t="shared" si="173"/>
        <v>4654.5499999999993</v>
      </c>
      <c r="AQ92" s="11">
        <f t="shared" si="173"/>
        <v>4524.8499999999985</v>
      </c>
      <c r="AR92" s="11">
        <f t="shared" si="173"/>
        <v>6461</v>
      </c>
      <c r="AS92" s="11">
        <f t="shared" si="173"/>
        <v>5824.75</v>
      </c>
      <c r="AT92" s="11">
        <f t="shared" si="173"/>
        <v>4281.4499999999989</v>
      </c>
      <c r="AU92" s="11">
        <f t="shared" si="173"/>
        <v>5581.2999999999993</v>
      </c>
      <c r="AV92" s="11">
        <f t="shared" si="173"/>
        <v>3703.0499999999993</v>
      </c>
      <c r="AW92" s="11">
        <f t="shared" si="173"/>
        <v>5233.1499999999996</v>
      </c>
      <c r="AY92" s="11">
        <f t="shared" ref="AY92:BE92" si="174">-AY623-AY86</f>
        <v>5462.15</v>
      </c>
      <c r="AZ92" s="11">
        <f t="shared" si="174"/>
        <v>8172.4499999999989</v>
      </c>
      <c r="BA92" s="11">
        <f t="shared" si="174"/>
        <v>4560.9599999999991</v>
      </c>
      <c r="BB92" s="11">
        <f t="shared" si="174"/>
        <v>774.47999999999956</v>
      </c>
      <c r="BC92" s="11">
        <f t="shared" si="174"/>
        <v>-1362.4400000000023</v>
      </c>
      <c r="BD92" s="11">
        <f t="shared" si="174"/>
        <v>1531.4199999999983</v>
      </c>
      <c r="BE92" s="11">
        <f t="shared" si="174"/>
        <v>1580.3599999999969</v>
      </c>
      <c r="BF92" s="857">
        <f t="shared" ref="BF92:BF94" si="175">SUM(AF92:AI92)</f>
        <v>0</v>
      </c>
    </row>
    <row r="93" spans="2:60" ht="11.45">
      <c r="B93" t="s">
        <v>200</v>
      </c>
      <c r="D93" s="10">
        <f t="shared" ref="D93:AF93" si="176">+D94-SUM(D91:D92,D87)</f>
        <v>2827.3500000000004</v>
      </c>
      <c r="E93" s="10">
        <f t="shared" si="176"/>
        <v>-1337.4500000000007</v>
      </c>
      <c r="F93" s="10">
        <f t="shared" si="176"/>
        <v>4045.75</v>
      </c>
      <c r="G93" s="10">
        <f t="shared" si="176"/>
        <v>1112.5</v>
      </c>
      <c r="H93" s="10">
        <f t="shared" si="176"/>
        <v>4592.45</v>
      </c>
      <c r="I93" s="10">
        <f t="shared" si="176"/>
        <v>-1854.3000000000002</v>
      </c>
      <c r="J93" s="10">
        <f t="shared" si="176"/>
        <v>2712.8999999999996</v>
      </c>
      <c r="K93" s="10">
        <f t="shared" si="176"/>
        <v>2377.3999999999996</v>
      </c>
      <c r="L93" s="10">
        <f t="shared" si="176"/>
        <v>3778.3999999999996</v>
      </c>
      <c r="M93" s="10">
        <f t="shared" si="176"/>
        <v>-1606.8500000000004</v>
      </c>
      <c r="N93" s="10">
        <f t="shared" si="176"/>
        <v>1645.6099999999997</v>
      </c>
      <c r="O93" s="10">
        <f t="shared" si="176"/>
        <v>-547.20000000000073</v>
      </c>
      <c r="P93" s="10">
        <f t="shared" si="176"/>
        <v>1638.4099999999999</v>
      </c>
      <c r="Q93" s="10">
        <f t="shared" si="176"/>
        <v>-3482.1499999999996</v>
      </c>
      <c r="R93" s="10">
        <f t="shared" si="176"/>
        <v>1138.0599999999995</v>
      </c>
      <c r="S93" s="10">
        <f t="shared" si="176"/>
        <v>2043.1599999999999</v>
      </c>
      <c r="T93" s="10">
        <f t="shared" si="176"/>
        <v>-436.94000000000051</v>
      </c>
      <c r="U93" s="10">
        <f t="shared" si="176"/>
        <v>-4990.1499999999996</v>
      </c>
      <c r="V93" s="10">
        <f t="shared" si="176"/>
        <v>2902.0299999999988</v>
      </c>
      <c r="W93" s="10">
        <f t="shared" si="176"/>
        <v>3216.619999999999</v>
      </c>
      <c r="X93" s="10">
        <f t="shared" si="176"/>
        <v>2496.0400000000009</v>
      </c>
      <c r="Y93" s="10">
        <f t="shared" si="176"/>
        <v>-6297.23</v>
      </c>
      <c r="Z93" s="10">
        <f t="shared" si="176"/>
        <v>4101.5599999999995</v>
      </c>
      <c r="AA93" s="10">
        <f t="shared" si="176"/>
        <v>2465.0499999999993</v>
      </c>
      <c r="AB93" s="10">
        <f t="shared" si="176"/>
        <v>3412.0400000000009</v>
      </c>
      <c r="AC93" s="10">
        <f t="shared" si="176"/>
        <v>-8699.85</v>
      </c>
      <c r="AD93" s="10">
        <f t="shared" si="176"/>
        <v>3756.8999999999996</v>
      </c>
      <c r="AE93" s="10">
        <f t="shared" si="176"/>
        <v>2468.2700000000004</v>
      </c>
      <c r="AF93" s="10">
        <f t="shared" si="176"/>
        <v>1174.119999999999</v>
      </c>
      <c r="AG93" s="58">
        <f t="shared" ref="AG93:AI93" si="177">AC93/(SUM($AB$93:$AE$93)*-1)*$BF$93</f>
        <v>-68409.874949859135</v>
      </c>
      <c r="AH93" s="58">
        <f t="shared" si="177"/>
        <v>29541.780513356633</v>
      </c>
      <c r="AI93" s="58">
        <f t="shared" si="177"/>
        <v>19408.845214858738</v>
      </c>
      <c r="AK93" s="10">
        <f t="shared" ref="AK93:AW93" si="178">+AK94-SUM(AK91:AK92,AK87)</f>
        <v>1004</v>
      </c>
      <c r="AL93" s="10">
        <f t="shared" si="178"/>
        <v>-1676</v>
      </c>
      <c r="AM93" s="10">
        <f t="shared" si="178"/>
        <v>-95</v>
      </c>
      <c r="AN93" s="10">
        <f t="shared" si="178"/>
        <v>-337</v>
      </c>
      <c r="AO93" s="10">
        <f t="shared" si="178"/>
        <v>1546</v>
      </c>
      <c r="AP93" s="10">
        <f t="shared" si="178"/>
        <v>-1404</v>
      </c>
      <c r="AQ93" s="10">
        <f t="shared" si="178"/>
        <v>-709</v>
      </c>
      <c r="AR93" s="10">
        <f t="shared" si="178"/>
        <v>915</v>
      </c>
      <c r="AS93" s="10">
        <f t="shared" si="178"/>
        <v>-673</v>
      </c>
      <c r="AT93" s="10">
        <f t="shared" si="178"/>
        <v>2397</v>
      </c>
      <c r="AU93" s="10">
        <f t="shared" si="178"/>
        <v>-2981</v>
      </c>
      <c r="AV93" s="10">
        <f t="shared" si="178"/>
        <v>-431</v>
      </c>
      <c r="AW93" s="10">
        <f t="shared" si="178"/>
        <v>1347</v>
      </c>
      <c r="AY93" s="10">
        <f>+AY94-SUM(AY91:AY92,AY87)</f>
        <v>1186</v>
      </c>
      <c r="AZ93" s="10">
        <f>+AZ94-SUM(AZ91:AZ92,AZ87)</f>
        <v>-344</v>
      </c>
      <c r="BA93" s="10">
        <f>+BA94-SUM(BA91:BA92,BA87)</f>
        <v>-1291</v>
      </c>
      <c r="BB93" s="10">
        <f t="shared" ref="BB93" si="179">+BB94-SUM(BB91:BB92,BB87)</f>
        <v>563</v>
      </c>
      <c r="BC93" s="10">
        <f>+BC94-SUM(BC91:BC92,BC87)</f>
        <v>2054</v>
      </c>
      <c r="BD93" s="10">
        <f t="shared" ref="BD93:BE93" si="180">+BD94-SUM(BD91:BD92,BD87)</f>
        <v>1234</v>
      </c>
      <c r="BE93" s="10">
        <f t="shared" si="180"/>
        <v>-643</v>
      </c>
      <c r="BF93" s="993">
        <f>Base!I73</f>
        <v>-7370.7799999999988</v>
      </c>
    </row>
    <row r="94" spans="2:60" s="1" customFormat="1" ht="10.5">
      <c r="B94" s="837" t="s">
        <v>147</v>
      </c>
      <c r="D94" s="838">
        <f t="shared" ref="D94:AF94" si="181">+D97+D84</f>
        <v>7376</v>
      </c>
      <c r="E94" s="838">
        <f t="shared" si="181"/>
        <v>3618</v>
      </c>
      <c r="F94" s="838">
        <f t="shared" si="181"/>
        <v>8067</v>
      </c>
      <c r="G94" s="838">
        <f t="shared" si="181"/>
        <v>5364</v>
      </c>
      <c r="H94" s="838">
        <f t="shared" si="181"/>
        <v>9249</v>
      </c>
      <c r="I94" s="838">
        <f t="shared" si="181"/>
        <v>3793</v>
      </c>
      <c r="J94" s="838">
        <f t="shared" si="181"/>
        <v>8560</v>
      </c>
      <c r="K94" s="838">
        <f t="shared" si="181"/>
        <v>7705</v>
      </c>
      <c r="L94" s="838">
        <f t="shared" si="181"/>
        <v>9740</v>
      </c>
      <c r="M94" s="838">
        <f t="shared" si="181"/>
        <v>4575</v>
      </c>
      <c r="N94" s="838">
        <f t="shared" si="181"/>
        <v>8651</v>
      </c>
      <c r="O94" s="838">
        <f t="shared" si="181"/>
        <v>7318</v>
      </c>
      <c r="P94" s="838">
        <f t="shared" si="181"/>
        <v>9357</v>
      </c>
      <c r="Q94" s="838">
        <f t="shared" si="181"/>
        <v>5000</v>
      </c>
      <c r="R94" s="838">
        <f t="shared" si="181"/>
        <v>10120</v>
      </c>
      <c r="S94" s="838">
        <f t="shared" si="181"/>
        <v>10808</v>
      </c>
      <c r="T94" s="838">
        <f t="shared" si="181"/>
        <v>9018</v>
      </c>
      <c r="U94" s="838">
        <f t="shared" si="181"/>
        <v>6180</v>
      </c>
      <c r="V94" s="838">
        <f t="shared" si="181"/>
        <v>13604</v>
      </c>
      <c r="W94" s="838">
        <f t="shared" si="181"/>
        <v>12873</v>
      </c>
      <c r="X94" s="838">
        <f t="shared" si="181"/>
        <v>13835</v>
      </c>
      <c r="Y94" s="838">
        <f t="shared" si="181"/>
        <v>7116</v>
      </c>
      <c r="Z94" s="838">
        <f t="shared" si="181"/>
        <v>16179</v>
      </c>
      <c r="AA94" s="838">
        <f t="shared" si="181"/>
        <v>15410</v>
      </c>
      <c r="AB94" s="838">
        <f t="shared" si="181"/>
        <v>17140</v>
      </c>
      <c r="AC94" s="838">
        <f t="shared" si="181"/>
        <v>7680</v>
      </c>
      <c r="AD94" s="838">
        <f t="shared" si="181"/>
        <v>19086</v>
      </c>
      <c r="AE94" s="838">
        <f t="shared" si="181"/>
        <v>15929</v>
      </c>
      <c r="AF94" s="838">
        <f t="shared" si="181"/>
        <v>16598</v>
      </c>
      <c r="AG94" s="838">
        <f t="shared" ref="AG94:AI94" si="182">+AG93+AG92+AG91+AG87</f>
        <v>-54483.338098775886</v>
      </c>
      <c r="AH94" s="838">
        <f t="shared" si="182"/>
        <v>42587.509714511703</v>
      </c>
      <c r="AI94" s="838">
        <f t="shared" si="182"/>
        <v>30940.821784767504</v>
      </c>
      <c r="AK94" s="838">
        <f t="shared" ref="AK94:AW94" si="183">+AK97+AK84</f>
        <v>15793</v>
      </c>
      <c r="AL94" s="838">
        <f t="shared" si="183"/>
        <v>12826</v>
      </c>
      <c r="AM94" s="838">
        <f t="shared" si="183"/>
        <v>15532</v>
      </c>
      <c r="AN94" s="838">
        <f t="shared" si="183"/>
        <v>18430</v>
      </c>
      <c r="AO94" s="838">
        <f t="shared" si="183"/>
        <v>15918</v>
      </c>
      <c r="AP94" s="838">
        <f t="shared" si="183"/>
        <v>22096</v>
      </c>
      <c r="AQ94" s="838">
        <f t="shared" si="183"/>
        <v>24639</v>
      </c>
      <c r="AR94" s="838">
        <f t="shared" si="183"/>
        <v>29321</v>
      </c>
      <c r="AS94" s="838">
        <f t="shared" si="183"/>
        <v>24576</v>
      </c>
      <c r="AT94" s="838">
        <f t="shared" si="183"/>
        <v>27017</v>
      </c>
      <c r="AU94" s="838">
        <f t="shared" si="183"/>
        <v>23724</v>
      </c>
      <c r="AV94" s="838">
        <f t="shared" si="183"/>
        <v>24425</v>
      </c>
      <c r="AW94" s="838">
        <f t="shared" si="183"/>
        <v>29307</v>
      </c>
      <c r="AY94" s="838">
        <f>+AY97+AY84</f>
        <v>24425</v>
      </c>
      <c r="AZ94" s="838">
        <f>+AZ97+AZ84</f>
        <v>29307</v>
      </c>
      <c r="BA94" s="838">
        <f>+BA97+BA84</f>
        <v>30284</v>
      </c>
      <c r="BB94" s="838">
        <f>+BB97+BB84</f>
        <v>35285</v>
      </c>
      <c r="BC94" s="838">
        <f t="shared" ref="BC94:BE94" si="184">+BC97+BC84</f>
        <v>41675</v>
      </c>
      <c r="BD94" s="838">
        <f t="shared" si="184"/>
        <v>52540</v>
      </c>
      <c r="BE94" s="838">
        <f t="shared" si="184"/>
        <v>59835</v>
      </c>
      <c r="BF94" s="838">
        <f t="shared" si="175"/>
        <v>35642.993400503321</v>
      </c>
    </row>
    <row r="95" spans="2:60">
      <c r="W95" s="824"/>
      <c r="X95" s="824"/>
      <c r="Y95" s="824"/>
      <c r="Z95" s="824"/>
      <c r="AA95" s="824"/>
    </row>
    <row r="96" spans="2:60" ht="10.5">
      <c r="B96" s="858" t="s">
        <v>319</v>
      </c>
    </row>
    <row r="97" spans="2:59">
      <c r="B97" s="843" t="s">
        <v>320</v>
      </c>
      <c r="D97" s="8">
        <f>+D595</f>
        <v>8876</v>
      </c>
      <c r="E97" s="8">
        <f t="shared" ref="E97:AF97" si="185">+E595</f>
        <v>5618</v>
      </c>
      <c r="F97" s="8">
        <f t="shared" si="185"/>
        <v>10367</v>
      </c>
      <c r="G97" s="8">
        <f t="shared" si="185"/>
        <v>8464</v>
      </c>
      <c r="H97" s="8">
        <f t="shared" si="185"/>
        <v>11549</v>
      </c>
      <c r="I97" s="8">
        <f t="shared" si="185"/>
        <v>6293</v>
      </c>
      <c r="J97" s="8">
        <f t="shared" si="185"/>
        <v>10660</v>
      </c>
      <c r="K97" s="8">
        <f t="shared" si="185"/>
        <v>11005</v>
      </c>
      <c r="L97" s="8">
        <f t="shared" si="185"/>
        <v>12440</v>
      </c>
      <c r="M97" s="8">
        <f t="shared" si="185"/>
        <v>7875</v>
      </c>
      <c r="N97" s="8">
        <f t="shared" si="185"/>
        <v>12151</v>
      </c>
      <c r="O97" s="8">
        <f t="shared" si="185"/>
        <v>11418</v>
      </c>
      <c r="P97" s="8">
        <f t="shared" si="185"/>
        <v>13657</v>
      </c>
      <c r="Q97" s="8">
        <f t="shared" si="185"/>
        <v>8900</v>
      </c>
      <c r="R97" s="8">
        <f t="shared" si="185"/>
        <v>13520</v>
      </c>
      <c r="S97" s="8">
        <f t="shared" si="185"/>
        <v>16108</v>
      </c>
      <c r="T97" s="8">
        <f t="shared" si="185"/>
        <v>13818</v>
      </c>
      <c r="U97" s="8">
        <f t="shared" si="185"/>
        <v>10680</v>
      </c>
      <c r="V97" s="8">
        <f t="shared" si="185"/>
        <v>17504</v>
      </c>
      <c r="W97" s="8">
        <f t="shared" si="185"/>
        <v>18673</v>
      </c>
      <c r="X97" s="8">
        <f t="shared" si="185"/>
        <v>19335</v>
      </c>
      <c r="Y97" s="8">
        <f t="shared" si="185"/>
        <v>12516</v>
      </c>
      <c r="Z97" s="8">
        <f t="shared" si="185"/>
        <v>22179</v>
      </c>
      <c r="AA97" s="8">
        <f t="shared" si="185"/>
        <v>22710</v>
      </c>
      <c r="AB97" s="8">
        <f t="shared" si="185"/>
        <v>24540</v>
      </c>
      <c r="AC97" s="8">
        <f t="shared" si="185"/>
        <v>14480</v>
      </c>
      <c r="AD97" s="8">
        <f t="shared" si="185"/>
        <v>25386</v>
      </c>
      <c r="AE97" s="8">
        <f t="shared" si="185"/>
        <v>24629</v>
      </c>
      <c r="AF97" s="8">
        <f t="shared" si="185"/>
        <v>23198</v>
      </c>
      <c r="AG97" s="8">
        <f t="shared" ref="AG97:AI97" si="186">+AG94-AG84</f>
        <v>-48052.689902323196</v>
      </c>
      <c r="AH97" s="8">
        <f t="shared" si="186"/>
        <v>49040.626295596521</v>
      </c>
      <c r="AI97" s="8">
        <f t="shared" si="186"/>
        <v>40092.459452175724</v>
      </c>
      <c r="AK97" s="8">
        <f t="shared" ref="AK97:AW97" si="187">+AK595</f>
        <v>16605</v>
      </c>
      <c r="AL97" s="8">
        <f t="shared" si="187"/>
        <v>14404</v>
      </c>
      <c r="AM97" s="8">
        <f t="shared" si="187"/>
        <v>17796</v>
      </c>
      <c r="AN97" s="8">
        <f t="shared" si="187"/>
        <v>21612</v>
      </c>
      <c r="AO97" s="8">
        <f t="shared" si="187"/>
        <v>19037</v>
      </c>
      <c r="AP97" s="8">
        <f t="shared" si="187"/>
        <v>24073</v>
      </c>
      <c r="AQ97" s="8">
        <f t="shared" si="187"/>
        <v>26994</v>
      </c>
      <c r="AR97" s="8">
        <f t="shared" si="187"/>
        <v>31626</v>
      </c>
      <c r="AS97" s="8">
        <f t="shared" si="187"/>
        <v>28833</v>
      </c>
      <c r="AT97" s="8">
        <f t="shared" si="187"/>
        <v>32502</v>
      </c>
      <c r="AU97" s="8">
        <f t="shared" si="187"/>
        <v>29668</v>
      </c>
      <c r="AV97" s="8">
        <f t="shared" si="187"/>
        <v>33325</v>
      </c>
      <c r="AW97" s="8">
        <f t="shared" si="187"/>
        <v>39507</v>
      </c>
      <c r="AY97" s="8">
        <f>+AY595</f>
        <v>33325</v>
      </c>
      <c r="AZ97" s="8">
        <f>+AZ595</f>
        <v>39507</v>
      </c>
      <c r="BA97" s="8">
        <f>+BA595</f>
        <v>43884</v>
      </c>
      <c r="BB97" s="8">
        <f>+BB595</f>
        <v>52185</v>
      </c>
      <c r="BC97" s="8">
        <f t="shared" ref="BC97" si="188">+BC595</f>
        <v>60675</v>
      </c>
      <c r="BD97" s="8">
        <f>SUM(X97:AA97)</f>
        <v>76740</v>
      </c>
      <c r="BE97" s="8">
        <f>SUM(AB97:AE97)</f>
        <v>89035</v>
      </c>
      <c r="BF97" s="8">
        <f t="shared" ref="BF97:BF103" si="189">SUM(AF97:AI97)</f>
        <v>64278.395845449049</v>
      </c>
    </row>
    <row r="98" spans="2:59">
      <c r="B98" s="843" t="s">
        <v>321</v>
      </c>
      <c r="D98" s="8">
        <f t="shared" ref="D98:AF98" si="190">+D599</f>
        <v>-390</v>
      </c>
      <c r="E98" s="8">
        <f t="shared" si="190"/>
        <v>-381</v>
      </c>
      <c r="F98" s="8">
        <f t="shared" si="190"/>
        <v>-559</v>
      </c>
      <c r="G98" s="8">
        <f t="shared" si="190"/>
        <v>-63</v>
      </c>
      <c r="H98" s="8">
        <f t="shared" si="190"/>
        <v>-24</v>
      </c>
      <c r="I98" s="8">
        <f t="shared" si="190"/>
        <v>-24760</v>
      </c>
      <c r="J98" s="8">
        <f t="shared" si="190"/>
        <v>-802</v>
      </c>
      <c r="K98" s="8">
        <f t="shared" si="190"/>
        <v>-358</v>
      </c>
      <c r="L98" s="8">
        <f t="shared" si="190"/>
        <v>-179</v>
      </c>
      <c r="M98" s="8">
        <f t="shared" si="190"/>
        <v>-27</v>
      </c>
      <c r="N98" s="8">
        <f t="shared" si="190"/>
        <v>-248</v>
      </c>
      <c r="O98" s="8">
        <f t="shared" si="190"/>
        <v>-434</v>
      </c>
      <c r="P98" s="8">
        <f t="shared" si="190"/>
        <v>-245</v>
      </c>
      <c r="Q98" s="8">
        <f t="shared" si="190"/>
        <v>-1593</v>
      </c>
      <c r="R98" s="8">
        <f t="shared" si="190"/>
        <v>-269</v>
      </c>
      <c r="S98" s="8">
        <f t="shared" si="190"/>
        <v>-281</v>
      </c>
      <c r="T98" s="8">
        <f t="shared" si="190"/>
        <v>-462</v>
      </c>
      <c r="U98" s="8">
        <f t="shared" si="190"/>
        <v>-80</v>
      </c>
      <c r="V98" s="8">
        <f t="shared" si="190"/>
        <v>-329</v>
      </c>
      <c r="W98" s="8">
        <f t="shared" si="190"/>
        <v>-1650</v>
      </c>
      <c r="X98" s="8">
        <f t="shared" si="190"/>
        <v>-481</v>
      </c>
      <c r="Y98" s="8">
        <f t="shared" si="190"/>
        <v>-415</v>
      </c>
      <c r="Z98" s="8">
        <f t="shared" si="190"/>
        <v>-7512</v>
      </c>
      <c r="AA98" s="8">
        <f t="shared" si="190"/>
        <v>-501</v>
      </c>
      <c r="AB98" s="8">
        <f t="shared" si="190"/>
        <v>-1206</v>
      </c>
      <c r="AC98" s="8">
        <f t="shared" si="190"/>
        <v>-850</v>
      </c>
      <c r="AD98" s="8">
        <f t="shared" si="190"/>
        <v>-18719</v>
      </c>
      <c r="AE98" s="8">
        <f t="shared" si="190"/>
        <v>-1263</v>
      </c>
      <c r="AF98" s="8">
        <f t="shared" si="190"/>
        <v>-349</v>
      </c>
      <c r="AG98" s="61">
        <v>0</v>
      </c>
      <c r="AH98" s="61">
        <v>0</v>
      </c>
      <c r="AI98" s="61">
        <v>0</v>
      </c>
      <c r="AK98" s="8">
        <f t="shared" ref="AK98:AW98" si="191">+AK599</f>
        <v>-207</v>
      </c>
      <c r="AL98" s="8">
        <f t="shared" si="191"/>
        <v>-649</v>
      </c>
      <c r="AM98" s="8">
        <f t="shared" si="191"/>
        <v>-1150</v>
      </c>
      <c r="AN98" s="8">
        <f t="shared" si="191"/>
        <v>-8053</v>
      </c>
      <c r="AO98" s="8">
        <f t="shared" si="191"/>
        <v>-868</v>
      </c>
      <c r="AP98" s="8">
        <f t="shared" si="191"/>
        <v>-245</v>
      </c>
      <c r="AQ98" s="8">
        <f t="shared" si="191"/>
        <v>-71</v>
      </c>
      <c r="AR98" s="8">
        <f t="shared" si="191"/>
        <v>-10112</v>
      </c>
      <c r="AS98" s="8">
        <f t="shared" si="191"/>
        <v>-1584</v>
      </c>
      <c r="AT98" s="8">
        <f t="shared" si="191"/>
        <v>-5937</v>
      </c>
      <c r="AU98" s="8">
        <f t="shared" si="191"/>
        <v>-3723</v>
      </c>
      <c r="AV98" s="8">
        <f t="shared" si="191"/>
        <v>-1393</v>
      </c>
      <c r="AW98" s="8">
        <f t="shared" si="191"/>
        <v>-25944</v>
      </c>
      <c r="AY98" s="8">
        <f>+SUM(D98:G98)</f>
        <v>-1393</v>
      </c>
      <c r="AZ98" s="8">
        <f>+AZ599</f>
        <v>-25944</v>
      </c>
      <c r="BA98" s="8">
        <f>+BA599</f>
        <v>-888</v>
      </c>
      <c r="BB98" s="8">
        <f t="shared" ref="BB98:BC98" si="192">+BB599</f>
        <v>-2388</v>
      </c>
      <c r="BC98" s="8">
        <f t="shared" si="192"/>
        <v>-2521</v>
      </c>
      <c r="BD98" s="8">
        <f>SUM(X98:AA98)</f>
        <v>-8909</v>
      </c>
      <c r="BE98" s="8">
        <f t="shared" ref="BE98:BE103" si="193">SUM(AB98:AE98)</f>
        <v>-22038</v>
      </c>
      <c r="BF98" s="8">
        <f t="shared" si="189"/>
        <v>-349</v>
      </c>
    </row>
    <row r="99" spans="2:59">
      <c r="B99" s="843" t="s">
        <v>322</v>
      </c>
      <c r="D99" s="8">
        <f>+CapIQ!DV238</f>
        <v>0</v>
      </c>
      <c r="E99" s="8">
        <f>+CapIQ!DW238</f>
        <v>0</v>
      </c>
      <c r="F99" s="8">
        <f>+CapIQ!DX238</f>
        <v>0</v>
      </c>
      <c r="G99" s="8">
        <f>+CapIQ!DY238</f>
        <v>0</v>
      </c>
      <c r="H99" s="8">
        <f>+CapIQ!DZ238</f>
        <v>0</v>
      </c>
      <c r="I99" s="8">
        <f>+CapIQ!EA238</f>
        <v>0</v>
      </c>
      <c r="J99" s="8">
        <f>+CapIQ!EB238</f>
        <v>0</v>
      </c>
      <c r="K99" s="8">
        <f>+CapIQ!EC238</f>
        <v>0</v>
      </c>
      <c r="L99" s="8">
        <f>+CapIQ!ED238</f>
        <v>0</v>
      </c>
      <c r="M99" s="8">
        <f>+CapIQ!EE238</f>
        <v>0</v>
      </c>
      <c r="N99" s="8">
        <f>+CapIQ!EF238</f>
        <v>0</v>
      </c>
      <c r="O99" s="8">
        <f>+CapIQ!EG238</f>
        <v>0</v>
      </c>
      <c r="P99" s="8">
        <f>+CapIQ!EH238</f>
        <v>0</v>
      </c>
      <c r="Q99" s="8">
        <f>+CapIQ!EI238</f>
        <v>0</v>
      </c>
      <c r="R99" s="8">
        <f>+CapIQ!EJ238</f>
        <v>0</v>
      </c>
      <c r="S99" s="8">
        <f>+CapIQ!EK238</f>
        <v>0</v>
      </c>
      <c r="T99" s="8">
        <f>+CapIQ!EL238</f>
        <v>0</v>
      </c>
      <c r="U99" s="8">
        <f>+CapIQ!EM238</f>
        <v>0</v>
      </c>
      <c r="V99" s="8">
        <f>+CapIQ!EN238</f>
        <v>0</v>
      </c>
      <c r="W99" s="8">
        <v>0</v>
      </c>
      <c r="X99" s="8">
        <v>0</v>
      </c>
      <c r="Y99" s="8">
        <v>0</v>
      </c>
      <c r="Z99" s="8">
        <v>0</v>
      </c>
      <c r="AA99" s="8">
        <v>0</v>
      </c>
      <c r="AB99" s="8">
        <v>0</v>
      </c>
      <c r="AC99" s="8">
        <v>0</v>
      </c>
      <c r="AD99" s="8">
        <v>0</v>
      </c>
      <c r="AE99" s="8">
        <v>0</v>
      </c>
      <c r="AF99" s="8">
        <v>0</v>
      </c>
      <c r="AG99" s="61">
        <v>0</v>
      </c>
      <c r="AH99" s="61">
        <v>0</v>
      </c>
      <c r="AI99" s="61">
        <v>0</v>
      </c>
      <c r="AK99" s="8">
        <f>+CapIQ!P238</f>
        <v>0</v>
      </c>
      <c r="AL99" s="8">
        <f>+CapIQ!Q238</f>
        <v>0</v>
      </c>
      <c r="AM99" s="8">
        <f>+CapIQ!R238</f>
        <v>0</v>
      </c>
      <c r="AN99" s="8">
        <f>+CapIQ!S238</f>
        <v>0</v>
      </c>
      <c r="AO99" s="8">
        <f>+CapIQ!T238</f>
        <v>0</v>
      </c>
      <c r="AP99" s="8">
        <f>+CapIQ!U238</f>
        <v>0</v>
      </c>
      <c r="AQ99" s="8">
        <f>+CapIQ!V238</f>
        <v>0</v>
      </c>
      <c r="AR99" s="8">
        <f>+CapIQ!W238</f>
        <v>0</v>
      </c>
      <c r="AS99" s="8">
        <f>+CapIQ!X238</f>
        <v>0</v>
      </c>
      <c r="AT99" s="8">
        <f>+CapIQ!Y238</f>
        <v>0</v>
      </c>
      <c r="AU99" s="8">
        <f>+CapIQ!Z238</f>
        <v>0</v>
      </c>
      <c r="AV99" s="8">
        <f>+CapIQ!AA238</f>
        <v>0</v>
      </c>
      <c r="AW99" s="8">
        <f>+CapIQ!AB238</f>
        <v>0</v>
      </c>
      <c r="AY99" s="8">
        <f>+CapIQ!AA238</f>
        <v>0</v>
      </c>
      <c r="AZ99" s="8">
        <f>+CapIQ!AB238</f>
        <v>0</v>
      </c>
      <c r="BA99" s="8">
        <f>+CapIQ!AC238</f>
        <v>0</v>
      </c>
      <c r="BB99" s="8">
        <f>+CapIQ!AD238</f>
        <v>0</v>
      </c>
      <c r="BC99" s="8">
        <f>+CapIQ!AE238</f>
        <v>0</v>
      </c>
      <c r="BD99" s="8">
        <f>SUM(X99:AA99)</f>
        <v>0</v>
      </c>
      <c r="BE99" s="8">
        <f t="shared" si="193"/>
        <v>0</v>
      </c>
      <c r="BF99" s="8">
        <f t="shared" si="189"/>
        <v>0</v>
      </c>
    </row>
    <row r="100" spans="2:59">
      <c r="B100" s="843" t="s">
        <v>323</v>
      </c>
      <c r="D100" s="859" t="s">
        <v>273</v>
      </c>
      <c r="E100" s="859" t="s">
        <v>273</v>
      </c>
      <c r="F100" s="859" t="s">
        <v>273</v>
      </c>
      <c r="G100" s="859" t="s">
        <v>273</v>
      </c>
      <c r="H100" s="859" t="s">
        <v>273</v>
      </c>
      <c r="I100" s="859" t="s">
        <v>273</v>
      </c>
      <c r="J100" s="859" t="s">
        <v>273</v>
      </c>
      <c r="K100" s="859" t="s">
        <v>273</v>
      </c>
      <c r="L100" s="859" t="s">
        <v>273</v>
      </c>
      <c r="M100" s="859" t="s">
        <v>273</v>
      </c>
      <c r="N100" s="859" t="s">
        <v>273</v>
      </c>
      <c r="O100" s="859" t="s">
        <v>273</v>
      </c>
      <c r="P100" s="859" t="s">
        <v>273</v>
      </c>
      <c r="Q100" s="859" t="s">
        <v>273</v>
      </c>
      <c r="R100" s="859" t="s">
        <v>273</v>
      </c>
      <c r="S100" s="859" t="s">
        <v>273</v>
      </c>
      <c r="T100" s="859" t="s">
        <v>273</v>
      </c>
      <c r="U100" s="859" t="s">
        <v>273</v>
      </c>
      <c r="V100" s="859" t="s">
        <v>273</v>
      </c>
      <c r="W100" s="859" t="s">
        <v>273</v>
      </c>
      <c r="X100" s="859" t="s">
        <v>273</v>
      </c>
      <c r="Y100" s="859" t="s">
        <v>273</v>
      </c>
      <c r="Z100" s="859" t="s">
        <v>273</v>
      </c>
      <c r="AA100" s="859" t="s">
        <v>273</v>
      </c>
      <c r="AB100" s="859" t="s">
        <v>273</v>
      </c>
      <c r="AC100" s="859" t="s">
        <v>273</v>
      </c>
      <c r="AD100" s="859" t="s">
        <v>273</v>
      </c>
      <c r="AE100" s="859" t="s">
        <v>273</v>
      </c>
      <c r="AF100" s="859" t="s">
        <v>273</v>
      </c>
      <c r="AG100" s="860">
        <f t="shared" ref="AG100:AI100" si="194">-AG86</f>
        <v>4678.8682536583865</v>
      </c>
      <c r="AH100" s="860">
        <f t="shared" si="194"/>
        <v>4340.3571250188525</v>
      </c>
      <c r="AI100" s="860">
        <f t="shared" si="194"/>
        <v>4544.5790424591305</v>
      </c>
      <c r="AK100" s="8">
        <f t="shared" ref="AK100:BE100" si="195">+AK623</f>
        <v>4330</v>
      </c>
      <c r="AL100" s="8">
        <f t="shared" si="195"/>
        <v>4800</v>
      </c>
      <c r="AM100" s="8">
        <f t="shared" si="195"/>
        <v>5200</v>
      </c>
      <c r="AN100" s="8">
        <f t="shared" si="195"/>
        <v>5400</v>
      </c>
      <c r="AO100" s="8">
        <f t="shared" si="195"/>
        <v>6600</v>
      </c>
      <c r="AP100" s="8">
        <f t="shared" si="195"/>
        <v>4100</v>
      </c>
      <c r="AQ100" s="8">
        <f t="shared" si="195"/>
        <v>5300</v>
      </c>
      <c r="AR100" s="8">
        <f t="shared" si="195"/>
        <v>3500</v>
      </c>
      <c r="AS100" s="8">
        <f t="shared" si="195"/>
        <v>3900</v>
      </c>
      <c r="AT100" s="8">
        <f t="shared" si="195"/>
        <v>5500</v>
      </c>
      <c r="AU100" s="8">
        <f t="shared" si="195"/>
        <v>4400</v>
      </c>
      <c r="AV100" s="8">
        <f t="shared" si="195"/>
        <v>3900</v>
      </c>
      <c r="AW100" s="8">
        <f t="shared" si="195"/>
        <v>2400</v>
      </c>
      <c r="AY100" s="8">
        <f t="shared" si="195"/>
        <v>3900</v>
      </c>
      <c r="AZ100" s="8">
        <f t="shared" si="195"/>
        <v>2400</v>
      </c>
      <c r="BA100" s="8">
        <f t="shared" si="195"/>
        <v>5500</v>
      </c>
      <c r="BB100" s="8">
        <f t="shared" si="195"/>
        <v>8400</v>
      </c>
      <c r="BC100" s="8">
        <f t="shared" si="195"/>
        <v>12500</v>
      </c>
      <c r="BD100" s="8">
        <f t="shared" si="195"/>
        <v>13400</v>
      </c>
      <c r="BE100" s="8">
        <f t="shared" si="195"/>
        <v>16000</v>
      </c>
      <c r="BF100" s="8">
        <f t="shared" si="189"/>
        <v>13563.804421136369</v>
      </c>
    </row>
    <row r="101" spans="2:59">
      <c r="B101" s="843" t="s">
        <v>324</v>
      </c>
      <c r="D101" s="8">
        <f>+D611</f>
        <v>219</v>
      </c>
      <c r="E101" s="8">
        <f t="shared" ref="E101:AF103" si="196">+E611</f>
        <v>117</v>
      </c>
      <c r="F101" s="8">
        <f t="shared" si="196"/>
        <v>159</v>
      </c>
      <c r="G101" s="8">
        <f t="shared" si="196"/>
        <v>173</v>
      </c>
      <c r="H101" s="8">
        <f t="shared" si="196"/>
        <v>241</v>
      </c>
      <c r="I101" s="8">
        <f t="shared" si="196"/>
        <v>131</v>
      </c>
      <c r="J101" s="8">
        <f t="shared" si="196"/>
        <v>179</v>
      </c>
      <c r="K101" s="8">
        <f t="shared" si="196"/>
        <v>221</v>
      </c>
      <c r="L101" s="8">
        <f t="shared" si="196"/>
        <v>307</v>
      </c>
      <c r="M101" s="8">
        <f t="shared" si="196"/>
        <v>189</v>
      </c>
      <c r="N101" s="8">
        <f t="shared" si="196"/>
        <v>251</v>
      </c>
      <c r="O101" s="8">
        <f t="shared" si="196"/>
        <v>255</v>
      </c>
      <c r="P101" s="8">
        <f t="shared" si="196"/>
        <v>360</v>
      </c>
      <c r="Q101" s="8">
        <f t="shared" si="196"/>
        <v>200</v>
      </c>
      <c r="R101" s="8">
        <f t="shared" si="196"/>
        <v>274</v>
      </c>
      <c r="S101" s="8">
        <f t="shared" si="196"/>
        <v>308</v>
      </c>
      <c r="T101" s="8">
        <f t="shared" si="196"/>
        <v>427</v>
      </c>
      <c r="U101" s="8">
        <f t="shared" si="196"/>
        <v>234</v>
      </c>
      <c r="V101" s="8">
        <f t="shared" si="196"/>
        <v>342</v>
      </c>
      <c r="W101" s="8">
        <f t="shared" si="196"/>
        <v>340</v>
      </c>
      <c r="X101" s="8">
        <f t="shared" si="196"/>
        <v>545</v>
      </c>
      <c r="Y101" s="8">
        <f t="shared" si="196"/>
        <v>302</v>
      </c>
      <c r="Z101" s="8">
        <f t="shared" si="196"/>
        <v>396</v>
      </c>
      <c r="AA101" s="8">
        <f t="shared" si="196"/>
        <v>450</v>
      </c>
      <c r="AB101" s="8">
        <f t="shared" si="196"/>
        <v>612</v>
      </c>
      <c r="AC101" s="8">
        <f t="shared" si="196"/>
        <v>291</v>
      </c>
      <c r="AD101" s="8">
        <f t="shared" si="196"/>
        <v>477</v>
      </c>
      <c r="AE101" s="8">
        <f t="shared" si="196"/>
        <v>461</v>
      </c>
      <c r="AF101" s="8">
        <f t="shared" si="196"/>
        <v>575</v>
      </c>
      <c r="AG101" s="61">
        <v>0</v>
      </c>
      <c r="AH101" s="61">
        <v>0</v>
      </c>
      <c r="AI101" s="61">
        <v>0</v>
      </c>
      <c r="AK101" s="8">
        <f t="shared" ref="AK101:AW103" si="197">+AK611</f>
        <v>3109</v>
      </c>
      <c r="AL101" s="8">
        <f t="shared" si="197"/>
        <v>2101</v>
      </c>
      <c r="AM101" s="8">
        <f t="shared" si="197"/>
        <v>6782</v>
      </c>
      <c r="AN101" s="8">
        <f t="shared" si="197"/>
        <v>3494</v>
      </c>
      <c r="AO101" s="8">
        <f t="shared" si="197"/>
        <v>579</v>
      </c>
      <c r="AP101" s="8">
        <f t="shared" si="197"/>
        <v>2311</v>
      </c>
      <c r="AQ101" s="8">
        <f t="shared" si="197"/>
        <v>2422</v>
      </c>
      <c r="AR101" s="8">
        <f t="shared" si="197"/>
        <v>1913</v>
      </c>
      <c r="AS101" s="8">
        <f t="shared" si="197"/>
        <v>931</v>
      </c>
      <c r="AT101" s="8">
        <f t="shared" si="197"/>
        <v>607</v>
      </c>
      <c r="AU101" s="8">
        <f t="shared" si="197"/>
        <v>634</v>
      </c>
      <c r="AV101" s="8">
        <f t="shared" si="197"/>
        <v>668</v>
      </c>
      <c r="AW101" s="8">
        <f t="shared" si="197"/>
        <v>772</v>
      </c>
      <c r="AY101" s="8">
        <f>+SUM(D101:G101)</f>
        <v>668</v>
      </c>
      <c r="AZ101" s="8">
        <f t="shared" ref="AZ101:BC103" si="198">+AZ611</f>
        <v>772</v>
      </c>
      <c r="BA101" s="8">
        <f t="shared" si="198"/>
        <v>1002</v>
      </c>
      <c r="BB101" s="8">
        <f t="shared" si="198"/>
        <v>1142</v>
      </c>
      <c r="BC101" s="8">
        <f t="shared" si="198"/>
        <v>1343</v>
      </c>
      <c r="BD101" s="8">
        <f>SUM(X101:AA101)</f>
        <v>1693</v>
      </c>
      <c r="BE101" s="8">
        <f t="shared" si="193"/>
        <v>1841</v>
      </c>
      <c r="BF101" s="8">
        <f t="shared" si="189"/>
        <v>575</v>
      </c>
    </row>
    <row r="102" spans="2:59">
      <c r="B102" s="843" t="s">
        <v>325</v>
      </c>
      <c r="D102" s="8">
        <f t="shared" ref="D102:N103" si="199">+D612</f>
        <v>-4757</v>
      </c>
      <c r="E102" s="8">
        <f t="shared" si="199"/>
        <v>-3678</v>
      </c>
      <c r="F102" s="8">
        <f t="shared" si="199"/>
        <v>-3857</v>
      </c>
      <c r="G102" s="8">
        <f t="shared" si="199"/>
        <v>-3677</v>
      </c>
      <c r="H102" s="8">
        <f t="shared" si="199"/>
        <v>-4362</v>
      </c>
      <c r="I102" s="8">
        <f t="shared" si="199"/>
        <v>-3599</v>
      </c>
      <c r="J102" s="8">
        <f t="shared" si="199"/>
        <v>-2062</v>
      </c>
      <c r="K102" s="8">
        <f t="shared" si="199"/>
        <v>-1765</v>
      </c>
      <c r="L102" s="8">
        <f t="shared" si="199"/>
        <v>-2570</v>
      </c>
      <c r="M102" s="8">
        <f t="shared" si="199"/>
        <v>-2008</v>
      </c>
      <c r="N102" s="8">
        <f t="shared" si="199"/>
        <v>-3781</v>
      </c>
      <c r="O102" s="8">
        <f t="shared" si="196"/>
        <v>-2362</v>
      </c>
      <c r="P102" s="8">
        <f t="shared" si="196"/>
        <v>-3744</v>
      </c>
      <c r="Q102" s="8">
        <f t="shared" si="196"/>
        <v>-6413</v>
      </c>
      <c r="R102" s="8">
        <f t="shared" si="196"/>
        <v>-4753</v>
      </c>
      <c r="S102" s="8">
        <f t="shared" si="196"/>
        <v>-4633</v>
      </c>
      <c r="T102" s="8">
        <f t="shared" si="196"/>
        <v>-4912</v>
      </c>
      <c r="U102" s="8">
        <f t="shared" si="196"/>
        <v>-5206</v>
      </c>
      <c r="V102" s="8">
        <f t="shared" si="196"/>
        <v>-7059</v>
      </c>
      <c r="W102" s="8">
        <f t="shared" si="196"/>
        <v>-5791</v>
      </c>
      <c r="X102" s="8">
        <f t="shared" si="196"/>
        <v>-6743</v>
      </c>
      <c r="Y102" s="8">
        <f t="shared" si="196"/>
        <v>-6535</v>
      </c>
      <c r="Z102" s="8">
        <f t="shared" si="196"/>
        <v>-6930</v>
      </c>
      <c r="AA102" s="8">
        <f t="shared" si="196"/>
        <v>-7177</v>
      </c>
      <c r="AB102" s="8">
        <f t="shared" si="196"/>
        <v>-7684</v>
      </c>
      <c r="AC102" s="8">
        <f t="shared" si="196"/>
        <v>-7433</v>
      </c>
      <c r="AD102" s="8">
        <f t="shared" si="196"/>
        <v>-8822</v>
      </c>
      <c r="AE102" s="8">
        <f t="shared" si="196"/>
        <v>-8757</v>
      </c>
      <c r="AF102" s="8">
        <f t="shared" si="196"/>
        <v>-5573</v>
      </c>
      <c r="AG102" s="61">
        <v>0</v>
      </c>
      <c r="AH102" s="61">
        <v>0</v>
      </c>
      <c r="AI102" s="61">
        <v>0</v>
      </c>
      <c r="AK102" s="8">
        <f t="shared" si="197"/>
        <v>-8057</v>
      </c>
      <c r="AL102" s="8">
        <f t="shared" si="197"/>
        <v>-19207</v>
      </c>
      <c r="AM102" s="8">
        <f t="shared" si="197"/>
        <v>-27575</v>
      </c>
      <c r="AN102" s="8">
        <f t="shared" si="197"/>
        <v>-12533</v>
      </c>
      <c r="AO102" s="8">
        <f t="shared" si="197"/>
        <v>-9353</v>
      </c>
      <c r="AP102" s="8">
        <f t="shared" si="197"/>
        <v>-11269</v>
      </c>
      <c r="AQ102" s="8">
        <f t="shared" si="197"/>
        <v>-11555</v>
      </c>
      <c r="AR102" s="8">
        <f t="shared" si="197"/>
        <v>-5029</v>
      </c>
      <c r="AS102" s="8">
        <f t="shared" si="197"/>
        <v>-5360</v>
      </c>
      <c r="AT102" s="8">
        <f t="shared" si="197"/>
        <v>-7316</v>
      </c>
      <c r="AU102" s="8">
        <f t="shared" si="197"/>
        <v>-14443</v>
      </c>
      <c r="AV102" s="8">
        <f t="shared" si="197"/>
        <v>-15969</v>
      </c>
      <c r="AW102" s="8">
        <f t="shared" si="197"/>
        <v>-11788</v>
      </c>
      <c r="AY102" s="8">
        <f>+SUM(D102:G102)</f>
        <v>-15969</v>
      </c>
      <c r="AZ102" s="8">
        <f t="shared" si="198"/>
        <v>-11788</v>
      </c>
      <c r="BA102" s="8">
        <f t="shared" si="198"/>
        <v>-10721</v>
      </c>
      <c r="BB102" s="8">
        <f t="shared" si="198"/>
        <v>-19543</v>
      </c>
      <c r="BC102" s="8">
        <f t="shared" si="198"/>
        <v>-22968</v>
      </c>
      <c r="BD102" s="8">
        <f>SUM(X102:AA102)</f>
        <v>-27385</v>
      </c>
      <c r="BE102" s="8">
        <f t="shared" si="193"/>
        <v>-32696</v>
      </c>
      <c r="BF102" s="8">
        <f t="shared" si="189"/>
        <v>-5573</v>
      </c>
    </row>
    <row r="103" spans="2:59">
      <c r="B103" s="843" t="s">
        <v>326</v>
      </c>
      <c r="D103" s="8">
        <f t="shared" si="199"/>
        <v>-2475</v>
      </c>
      <c r="E103" s="8">
        <f t="shared" si="199"/>
        <v>-2868</v>
      </c>
      <c r="F103" s="8">
        <f t="shared" si="199"/>
        <v>-2842</v>
      </c>
      <c r="G103" s="8">
        <f t="shared" si="199"/>
        <v>-2821</v>
      </c>
      <c r="H103" s="8">
        <f t="shared" si="199"/>
        <v>-2800</v>
      </c>
      <c r="I103" s="8">
        <f t="shared" si="199"/>
        <v>-3024</v>
      </c>
      <c r="J103" s="8">
        <f t="shared" si="199"/>
        <v>-3012</v>
      </c>
      <c r="K103" s="8">
        <f t="shared" si="199"/>
        <v>-3009</v>
      </c>
      <c r="L103" s="8">
        <f t="shared" si="199"/>
        <v>-3003</v>
      </c>
      <c r="M103" s="8">
        <f t="shared" si="199"/>
        <v>-3238</v>
      </c>
      <c r="N103" s="8">
        <f t="shared" si="199"/>
        <v>-3232</v>
      </c>
      <c r="O103" s="8">
        <f t="shared" si="196"/>
        <v>-3226</v>
      </c>
      <c r="P103" s="8">
        <f t="shared" si="196"/>
        <v>-3220</v>
      </c>
      <c r="Q103" s="8">
        <f t="shared" si="196"/>
        <v>-3544</v>
      </c>
      <c r="R103" s="8">
        <f t="shared" si="196"/>
        <v>-3526</v>
      </c>
      <c r="S103" s="8">
        <f t="shared" si="196"/>
        <v>-3521</v>
      </c>
      <c r="T103" s="8">
        <f t="shared" si="196"/>
        <v>-3510</v>
      </c>
      <c r="U103" s="8">
        <f t="shared" si="196"/>
        <v>-3886</v>
      </c>
      <c r="V103" s="8">
        <f t="shared" si="196"/>
        <v>-3876</v>
      </c>
      <c r="W103" s="8">
        <f t="shared" si="196"/>
        <v>-3865</v>
      </c>
      <c r="X103" s="8">
        <f t="shared" si="196"/>
        <v>-3856</v>
      </c>
      <c r="Y103" s="8">
        <f t="shared" si="196"/>
        <v>-4230</v>
      </c>
      <c r="Z103" s="8">
        <f t="shared" si="196"/>
        <v>-4221</v>
      </c>
      <c r="AA103" s="8">
        <f t="shared" si="196"/>
        <v>-4214</v>
      </c>
      <c r="AB103" s="8">
        <f t="shared" si="196"/>
        <v>-4206</v>
      </c>
      <c r="AC103" s="8">
        <f t="shared" si="196"/>
        <v>-4652</v>
      </c>
      <c r="AD103" s="8">
        <f t="shared" si="196"/>
        <v>-4645</v>
      </c>
      <c r="AE103" s="8">
        <f t="shared" si="196"/>
        <v>-4632</v>
      </c>
      <c r="AF103" s="8">
        <f t="shared" si="196"/>
        <v>-4621</v>
      </c>
      <c r="AG103" s="61">
        <v>0</v>
      </c>
      <c r="AH103" s="61">
        <v>0</v>
      </c>
      <c r="AI103" s="61">
        <v>0</v>
      </c>
      <c r="AK103" s="8">
        <f t="shared" si="197"/>
        <v>-36112</v>
      </c>
      <c r="AL103" s="8">
        <f t="shared" si="197"/>
        <v>-3545</v>
      </c>
      <c r="AM103" s="8">
        <f t="shared" si="197"/>
        <v>-3805</v>
      </c>
      <c r="AN103" s="8">
        <f t="shared" si="197"/>
        <v>-4015</v>
      </c>
      <c r="AO103" s="8">
        <f t="shared" si="197"/>
        <v>-4468</v>
      </c>
      <c r="AP103" s="8">
        <f t="shared" si="197"/>
        <v>-4578</v>
      </c>
      <c r="AQ103" s="8">
        <f t="shared" si="197"/>
        <v>-5180</v>
      </c>
      <c r="AR103" s="8">
        <f t="shared" si="197"/>
        <v>-6385</v>
      </c>
      <c r="AS103" s="8">
        <f t="shared" si="197"/>
        <v>-7455</v>
      </c>
      <c r="AT103" s="8">
        <f t="shared" si="197"/>
        <v>-8879</v>
      </c>
      <c r="AU103" s="8">
        <f t="shared" si="197"/>
        <v>-9882</v>
      </c>
      <c r="AV103" s="8">
        <f t="shared" si="197"/>
        <v>-11006</v>
      </c>
      <c r="AW103" s="8">
        <f t="shared" si="197"/>
        <v>-11845</v>
      </c>
      <c r="AY103" s="8">
        <f>+SUM(D103:G103)</f>
        <v>-11006</v>
      </c>
      <c r="AZ103" s="8">
        <f t="shared" si="198"/>
        <v>-11845</v>
      </c>
      <c r="BA103" s="8">
        <f t="shared" si="198"/>
        <v>-12699</v>
      </c>
      <c r="BB103" s="8">
        <f t="shared" si="198"/>
        <v>-13811</v>
      </c>
      <c r="BC103" s="8">
        <f t="shared" si="198"/>
        <v>-15137</v>
      </c>
      <c r="BD103" s="8">
        <f>SUM(X103:AA103)</f>
        <v>-16521</v>
      </c>
      <c r="BE103" s="8">
        <f t="shared" si="193"/>
        <v>-18135</v>
      </c>
      <c r="BF103" s="8">
        <f t="shared" si="189"/>
        <v>-4621</v>
      </c>
    </row>
    <row r="105" spans="2:59" ht="10.5">
      <c r="B105" s="45" t="s">
        <v>148</v>
      </c>
    </row>
    <row r="106" spans="2:59">
      <c r="B106" t="s">
        <v>1281</v>
      </c>
      <c r="D106" s="8">
        <f t="shared" ref="D106:AF106" si="200">+SUM(D664:D665,D671,D672)</f>
        <v>38567</v>
      </c>
      <c r="E106" s="8">
        <f t="shared" si="200"/>
        <v>44429</v>
      </c>
      <c r="F106" s="8">
        <f t="shared" si="200"/>
        <v>46394</v>
      </c>
      <c r="G106" s="8">
        <f t="shared" si="200"/>
        <v>53461</v>
      </c>
      <c r="H106" s="8">
        <f t="shared" si="200"/>
        <v>74690</v>
      </c>
      <c r="I106" s="8">
        <f t="shared" si="200"/>
        <v>84970</v>
      </c>
      <c r="J106" s="8">
        <f t="shared" si="200"/>
        <v>84008</v>
      </c>
      <c r="K106" s="8">
        <f t="shared" si="200"/>
        <v>91566</v>
      </c>
      <c r="L106" s="8">
        <f t="shared" si="200"/>
        <v>91243</v>
      </c>
      <c r="M106" s="8">
        <f t="shared" si="200"/>
        <v>94900</v>
      </c>
      <c r="N106" s="8">
        <f t="shared" si="200"/>
        <v>82908</v>
      </c>
      <c r="O106" s="8">
        <f t="shared" si="200"/>
        <v>81808</v>
      </c>
      <c r="P106" s="8">
        <f t="shared" si="200"/>
        <v>81882</v>
      </c>
      <c r="Q106" s="8">
        <f t="shared" si="200"/>
        <v>78852</v>
      </c>
      <c r="R106" s="8">
        <f t="shared" si="200"/>
        <v>79072</v>
      </c>
      <c r="S106" s="8">
        <f t="shared" si="200"/>
        <v>78366</v>
      </c>
      <c r="T106" s="8">
        <f t="shared" si="200"/>
        <v>76154</v>
      </c>
      <c r="U106" s="8">
        <f t="shared" si="200"/>
        <v>76780</v>
      </c>
      <c r="V106" s="8">
        <f t="shared" si="200"/>
        <v>73858</v>
      </c>
      <c r="W106" s="8">
        <f t="shared" si="200"/>
        <v>70998</v>
      </c>
      <c r="X106" s="8">
        <f t="shared" si="200"/>
        <v>70522</v>
      </c>
      <c r="Y106" s="8">
        <f t="shared" si="200"/>
        <v>69398</v>
      </c>
      <c r="Z106" s="8">
        <f t="shared" si="200"/>
        <v>67330</v>
      </c>
      <c r="AA106" s="8">
        <f t="shared" si="200"/>
        <v>67775</v>
      </c>
      <c r="AB106" s="8">
        <f t="shared" si="200"/>
        <v>67634</v>
      </c>
      <c r="AC106" s="8">
        <f t="shared" si="200"/>
        <v>82163</v>
      </c>
      <c r="AD106" s="8">
        <f t="shared" si="200"/>
        <v>61283</v>
      </c>
      <c r="AE106" s="8">
        <f t="shared" si="200"/>
        <v>61270</v>
      </c>
      <c r="AF106" s="8">
        <f t="shared" si="200"/>
        <v>51171</v>
      </c>
      <c r="AG106" s="8"/>
      <c r="AH106" s="8"/>
      <c r="AI106" s="8"/>
      <c r="AK106" s="8">
        <f t="shared" ref="AK106:AW106" si="201">+SUM(AK664:AK665,AK671,AK672)</f>
        <v>0</v>
      </c>
      <c r="AL106" s="8">
        <f t="shared" si="201"/>
        <v>0</v>
      </c>
      <c r="AM106" s="8">
        <f t="shared" si="201"/>
        <v>0</v>
      </c>
      <c r="AN106" s="8">
        <f t="shared" si="201"/>
        <v>0</v>
      </c>
      <c r="AO106" s="8">
        <f t="shared" si="201"/>
        <v>5746</v>
      </c>
      <c r="AP106" s="8">
        <f t="shared" si="201"/>
        <v>5939</v>
      </c>
      <c r="AQ106" s="8">
        <f t="shared" si="201"/>
        <v>11921</v>
      </c>
      <c r="AR106" s="8">
        <f t="shared" si="201"/>
        <v>11944</v>
      </c>
      <c r="AS106" s="8">
        <f t="shared" si="201"/>
        <v>15600</v>
      </c>
      <c r="AT106" s="8">
        <f t="shared" si="201"/>
        <v>22645</v>
      </c>
      <c r="AU106" s="8">
        <f t="shared" si="201"/>
        <v>35292</v>
      </c>
      <c r="AV106" s="8">
        <f t="shared" si="201"/>
        <v>53461</v>
      </c>
      <c r="AW106" s="8">
        <f t="shared" si="201"/>
        <v>86194</v>
      </c>
      <c r="AY106" s="8">
        <f>+G106</f>
        <v>53461</v>
      </c>
      <c r="AZ106" s="8">
        <f>+SUM(AZ664:AZ665,AZ671,AZ672)</f>
        <v>91566</v>
      </c>
      <c r="BA106" s="8">
        <f>+SUM(BA664:BA665,BA671,BA672)</f>
        <v>81808</v>
      </c>
      <c r="BB106" s="8">
        <f t="shared" ref="BB106:BE106" si="202">+SUM(BB664:BB665,BB671,BB672)</f>
        <v>78366</v>
      </c>
      <c r="BC106" s="8">
        <f t="shared" si="202"/>
        <v>70998</v>
      </c>
      <c r="BD106" s="8">
        <f t="shared" si="202"/>
        <v>67775</v>
      </c>
      <c r="BE106" s="8">
        <f t="shared" si="202"/>
        <v>61270</v>
      </c>
      <c r="BF106" s="8"/>
      <c r="BG106" s="8"/>
    </row>
    <row r="107" spans="2:59" ht="11.45">
      <c r="B107" t="s">
        <v>328</v>
      </c>
      <c r="D107" s="10">
        <f>+SUM(D645:D646)</f>
        <v>99355</v>
      </c>
      <c r="E107" s="10">
        <f t="shared" ref="E107:N107" si="203">+SUM(E645:E646)</f>
        <v>102640</v>
      </c>
      <c r="F107" s="10">
        <f t="shared" si="203"/>
        <v>105552</v>
      </c>
      <c r="G107" s="10">
        <f t="shared" si="203"/>
        <v>113240</v>
      </c>
      <c r="H107" s="10">
        <f t="shared" si="203"/>
        <v>136932</v>
      </c>
      <c r="I107" s="10">
        <f t="shared" si="203"/>
        <v>122781</v>
      </c>
      <c r="J107" s="10">
        <f t="shared" si="203"/>
        <v>126018</v>
      </c>
      <c r="K107" s="10">
        <f t="shared" si="203"/>
        <v>132981</v>
      </c>
      <c r="L107" s="10">
        <f t="shared" si="203"/>
        <v>138471</v>
      </c>
      <c r="M107" s="10">
        <f t="shared" si="203"/>
        <v>142780</v>
      </c>
      <c r="N107" s="10">
        <f t="shared" si="203"/>
        <v>132270</v>
      </c>
      <c r="O107" s="10">
        <f t="shared" ref="O107:AF107" si="204">+SUM(O645:O646)</f>
        <v>133768</v>
      </c>
      <c r="P107" s="10">
        <f t="shared" si="204"/>
        <v>135880</v>
      </c>
      <c r="Q107" s="10">
        <f t="shared" si="204"/>
        <v>127662</v>
      </c>
      <c r="R107" s="10">
        <f t="shared" si="204"/>
        <v>131618</v>
      </c>
      <c r="S107" s="10">
        <f t="shared" si="204"/>
        <v>133819</v>
      </c>
      <c r="T107" s="10">
        <f t="shared" si="204"/>
        <v>136636</v>
      </c>
      <c r="U107" s="10">
        <f t="shared" si="204"/>
        <v>134253</v>
      </c>
      <c r="V107" s="10">
        <f t="shared" si="204"/>
        <v>137626</v>
      </c>
      <c r="W107" s="10">
        <f t="shared" si="204"/>
        <v>136527</v>
      </c>
      <c r="X107" s="10">
        <f t="shared" si="204"/>
        <v>137977</v>
      </c>
      <c r="Y107" s="10">
        <f t="shared" si="204"/>
        <v>131968</v>
      </c>
      <c r="Z107" s="10">
        <f t="shared" si="204"/>
        <v>125407</v>
      </c>
      <c r="AA107" s="10">
        <f t="shared" si="204"/>
        <v>130334</v>
      </c>
      <c r="AB107" s="10">
        <f t="shared" si="204"/>
        <v>130615</v>
      </c>
      <c r="AC107" s="10">
        <f t="shared" si="204"/>
        <v>125369</v>
      </c>
      <c r="AD107" s="10">
        <f t="shared" si="204"/>
        <v>104693</v>
      </c>
      <c r="AE107" s="10">
        <f t="shared" si="204"/>
        <v>104757</v>
      </c>
      <c r="AF107" s="10">
        <f t="shared" si="204"/>
        <v>107262</v>
      </c>
      <c r="AG107" s="10"/>
      <c r="AH107" s="10"/>
      <c r="AI107" s="10"/>
      <c r="AK107" s="10">
        <f t="shared" ref="AK107:AW107" si="205">+SUM(AK645:AK646)</f>
        <v>37751</v>
      </c>
      <c r="AL107" s="10">
        <f t="shared" si="205"/>
        <v>34161</v>
      </c>
      <c r="AM107" s="10">
        <f t="shared" si="205"/>
        <v>23411</v>
      </c>
      <c r="AN107" s="10">
        <f t="shared" si="205"/>
        <v>23662</v>
      </c>
      <c r="AO107" s="10">
        <f t="shared" si="205"/>
        <v>31447</v>
      </c>
      <c r="AP107" s="10">
        <f t="shared" si="205"/>
        <v>36788</v>
      </c>
      <c r="AQ107" s="10">
        <f t="shared" si="205"/>
        <v>52772</v>
      </c>
      <c r="AR107" s="10">
        <f t="shared" si="205"/>
        <v>63040</v>
      </c>
      <c r="AS107" s="10">
        <f t="shared" si="205"/>
        <v>77022</v>
      </c>
      <c r="AT107" s="10">
        <f t="shared" si="205"/>
        <v>85709</v>
      </c>
      <c r="AU107" s="10">
        <f t="shared" si="205"/>
        <v>96526</v>
      </c>
      <c r="AV107" s="10">
        <f t="shared" si="205"/>
        <v>113240</v>
      </c>
      <c r="AW107" s="10">
        <f t="shared" si="205"/>
        <v>132981</v>
      </c>
      <c r="AY107" s="10">
        <f>+G107</f>
        <v>113240</v>
      </c>
      <c r="AZ107" s="10">
        <f t="shared" ref="AZ107:BE107" si="206">+SUM(AZ645:AZ646)</f>
        <v>132981</v>
      </c>
      <c r="BA107" s="10">
        <f t="shared" si="206"/>
        <v>133768</v>
      </c>
      <c r="BB107" s="10">
        <f t="shared" si="206"/>
        <v>133819</v>
      </c>
      <c r="BC107" s="10">
        <f t="shared" si="206"/>
        <v>136527</v>
      </c>
      <c r="BD107" s="10">
        <f t="shared" si="206"/>
        <v>130334</v>
      </c>
      <c r="BE107" s="10">
        <f t="shared" si="206"/>
        <v>104757</v>
      </c>
      <c r="BF107" s="10"/>
    </row>
    <row r="108" spans="2:59" s="1" customFormat="1" ht="10.5">
      <c r="B108" s="837" t="s">
        <v>148</v>
      </c>
      <c r="D108" s="838">
        <f>+D106-D107</f>
        <v>-60788</v>
      </c>
      <c r="E108" s="838">
        <f t="shared" ref="E108:AW108" si="207">+E106-E107</f>
        <v>-58211</v>
      </c>
      <c r="F108" s="838">
        <f t="shared" si="207"/>
        <v>-59158</v>
      </c>
      <c r="G108" s="838">
        <f t="shared" si="207"/>
        <v>-59779</v>
      </c>
      <c r="H108" s="838">
        <f t="shared" si="207"/>
        <v>-62242</v>
      </c>
      <c r="I108" s="838">
        <f t="shared" si="207"/>
        <v>-37811</v>
      </c>
      <c r="J108" s="838">
        <f t="shared" si="207"/>
        <v>-42010</v>
      </c>
      <c r="K108" s="838">
        <f t="shared" si="207"/>
        <v>-41415</v>
      </c>
      <c r="L108" s="838">
        <f t="shared" si="207"/>
        <v>-47228</v>
      </c>
      <c r="M108" s="838">
        <f t="shared" si="207"/>
        <v>-47880</v>
      </c>
      <c r="N108" s="838">
        <f t="shared" si="207"/>
        <v>-49362</v>
      </c>
      <c r="O108" s="838">
        <f t="shared" si="207"/>
        <v>-51960</v>
      </c>
      <c r="P108" s="838">
        <f t="shared" si="207"/>
        <v>-53998</v>
      </c>
      <c r="Q108" s="838">
        <f t="shared" si="207"/>
        <v>-48810</v>
      </c>
      <c r="R108" s="838">
        <f t="shared" si="207"/>
        <v>-52546</v>
      </c>
      <c r="S108" s="838">
        <f t="shared" si="207"/>
        <v>-55453</v>
      </c>
      <c r="T108" s="838">
        <f t="shared" si="207"/>
        <v>-60482</v>
      </c>
      <c r="U108" s="838">
        <f t="shared" si="207"/>
        <v>-57473</v>
      </c>
      <c r="V108" s="838">
        <f t="shared" si="207"/>
        <v>-63768</v>
      </c>
      <c r="W108" s="838">
        <f t="shared" si="207"/>
        <v>-65529</v>
      </c>
      <c r="X108" s="838">
        <f t="shared" si="207"/>
        <v>-67455</v>
      </c>
      <c r="Y108" s="838">
        <f t="shared" si="207"/>
        <v>-62570</v>
      </c>
      <c r="Z108" s="838">
        <f t="shared" si="207"/>
        <v>-58077</v>
      </c>
      <c r="AA108" s="838">
        <f t="shared" si="207"/>
        <v>-62559</v>
      </c>
      <c r="AB108" s="838">
        <f t="shared" si="207"/>
        <v>-62981</v>
      </c>
      <c r="AC108" s="838">
        <f t="shared" si="207"/>
        <v>-43206</v>
      </c>
      <c r="AD108" s="838">
        <f t="shared" si="207"/>
        <v>-43410</v>
      </c>
      <c r="AE108" s="838">
        <f t="shared" si="207"/>
        <v>-43487</v>
      </c>
      <c r="AF108" s="838">
        <f t="shared" si="207"/>
        <v>-56091</v>
      </c>
      <c r="AG108" s="838">
        <f t="shared" ref="AG108:AI108" si="208">+AF108-AG94-AG98</f>
        <v>-1607.6619012241135</v>
      </c>
      <c r="AH108" s="838">
        <f t="shared" si="208"/>
        <v>-44195.171615735817</v>
      </c>
      <c r="AI108" s="838">
        <f t="shared" si="208"/>
        <v>-75135.993400503328</v>
      </c>
      <c r="AK108" s="838">
        <f t="shared" si="207"/>
        <v>-37751</v>
      </c>
      <c r="AL108" s="838">
        <f t="shared" si="207"/>
        <v>-34161</v>
      </c>
      <c r="AM108" s="838">
        <f t="shared" si="207"/>
        <v>-23411</v>
      </c>
      <c r="AN108" s="838">
        <f t="shared" si="207"/>
        <v>-23662</v>
      </c>
      <c r="AO108" s="838">
        <f t="shared" si="207"/>
        <v>-25701</v>
      </c>
      <c r="AP108" s="838">
        <f t="shared" si="207"/>
        <v>-30849</v>
      </c>
      <c r="AQ108" s="838">
        <f t="shared" si="207"/>
        <v>-40851</v>
      </c>
      <c r="AR108" s="838">
        <f t="shared" si="207"/>
        <v>-51096</v>
      </c>
      <c r="AS108" s="838">
        <f t="shared" si="207"/>
        <v>-61422</v>
      </c>
      <c r="AT108" s="838">
        <f t="shared" si="207"/>
        <v>-63064</v>
      </c>
      <c r="AU108" s="838">
        <f t="shared" si="207"/>
        <v>-61234</v>
      </c>
      <c r="AV108" s="838">
        <f t="shared" si="207"/>
        <v>-59779</v>
      </c>
      <c r="AW108" s="838">
        <f t="shared" si="207"/>
        <v>-46787</v>
      </c>
      <c r="AY108" s="838">
        <f>+G108</f>
        <v>-59779</v>
      </c>
      <c r="AZ108" s="838">
        <f t="shared" ref="AZ108:BE108" si="209">+AZ106-AZ107</f>
        <v>-41415</v>
      </c>
      <c r="BA108" s="838">
        <f t="shared" si="209"/>
        <v>-51960</v>
      </c>
      <c r="BB108" s="838">
        <f t="shared" si="209"/>
        <v>-55453</v>
      </c>
      <c r="BC108" s="838">
        <f t="shared" si="209"/>
        <v>-65529</v>
      </c>
      <c r="BD108" s="838">
        <f t="shared" si="209"/>
        <v>-62559</v>
      </c>
      <c r="BE108" s="838">
        <f t="shared" si="209"/>
        <v>-43487</v>
      </c>
      <c r="BF108" s="838">
        <f>+AI108</f>
        <v>-75135.993400503328</v>
      </c>
    </row>
    <row r="109" spans="2:59" s="7" customFormat="1">
      <c r="B109" s="841" t="s">
        <v>329</v>
      </c>
      <c r="C109" s="861"/>
      <c r="D109" s="861"/>
      <c r="E109" s="861"/>
      <c r="F109" s="861"/>
      <c r="G109" s="861">
        <f t="shared" ref="G109:V109" si="210">+G108/SUM(D74:G74)</f>
        <v>-1.768086364980775</v>
      </c>
      <c r="H109" s="861">
        <f t="shared" si="210"/>
        <v>-1.8007753732206921</v>
      </c>
      <c r="I109" s="861">
        <f t="shared" si="210"/>
        <v>-1.0620470760069658</v>
      </c>
      <c r="J109" s="861">
        <f t="shared" si="210"/>
        <v>-1.1417622438441051</v>
      </c>
      <c r="K109" s="861">
        <f t="shared" si="210"/>
        <v>-1.0867511611430372</v>
      </c>
      <c r="L109" s="861">
        <f t="shared" si="210"/>
        <v>-1.1870805579992461</v>
      </c>
      <c r="M109" s="861">
        <f t="shared" si="210"/>
        <v>-1.1698306824012314</v>
      </c>
      <c r="N109" s="861">
        <f t="shared" si="210"/>
        <v>-1.1545316337270495</v>
      </c>
      <c r="O109" s="861">
        <f t="shared" si="210"/>
        <v>-1.1465389792360821</v>
      </c>
      <c r="P109" s="861">
        <f t="shared" si="210"/>
        <v>-1.1272127588510354</v>
      </c>
      <c r="Q109" s="861">
        <f t="shared" si="210"/>
        <v>-0.97733370710023626</v>
      </c>
      <c r="R109" s="861">
        <f t="shared" si="210"/>
        <v>-1.0064933821135096</v>
      </c>
      <c r="S109" s="861">
        <f t="shared" si="210"/>
        <v>-1.0148606357863144</v>
      </c>
      <c r="T109" s="861">
        <f t="shared" si="210"/>
        <v>-1.0517511216220916</v>
      </c>
      <c r="U109" s="861">
        <f t="shared" si="210"/>
        <v>-0.93685102776011864</v>
      </c>
      <c r="V109" s="861">
        <f t="shared" si="210"/>
        <v>-0.99368893459866303</v>
      </c>
      <c r="W109" s="861">
        <f t="shared" ref="W109:X109" si="211">+W108/SUM(T74:W74)</f>
        <v>-0.99656299901148204</v>
      </c>
      <c r="X109" s="861">
        <f t="shared" si="211"/>
        <v>-0.98303676824203212</v>
      </c>
      <c r="Y109" s="861">
        <f t="shared" ref="Y109:AI109" si="212">+Y108/SUM(V74:Y74)</f>
        <v>-0.86682459858969563</v>
      </c>
      <c r="Z109" s="861">
        <f t="shared" si="212"/>
        <v>-0.76342771511948893</v>
      </c>
      <c r="AA109" s="861">
        <f t="shared" si="212"/>
        <v>-0.76663562167593935</v>
      </c>
      <c r="AB109" s="861">
        <f t="shared" si="212"/>
        <v>-0.72784320070263842</v>
      </c>
      <c r="AC109" s="861">
        <f t="shared" si="212"/>
        <v>-0.47159884736290603</v>
      </c>
      <c r="AD109" s="861">
        <f t="shared" si="212"/>
        <v>-0.45327820067036306</v>
      </c>
      <c r="AE109" s="861">
        <f t="shared" si="212"/>
        <v>-0.44445693611193443</v>
      </c>
      <c r="AF109" s="861">
        <f t="shared" si="212"/>
        <v>-0.56829211456824147</v>
      </c>
      <c r="AG109" s="861">
        <f t="shared" si="212"/>
        <v>-1.6405708786050591E-2</v>
      </c>
      <c r="AH109" s="861">
        <f t="shared" si="212"/>
        <v>-0.45237323650803191</v>
      </c>
      <c r="AI109" s="861">
        <f t="shared" si="212"/>
        <v>-0.76348833180726816</v>
      </c>
      <c r="AJ109" s="861"/>
      <c r="AK109" s="861">
        <f t="shared" ref="AK109:AW109" si="213">+AK108/SUM(AK74)</f>
        <v>-2.4464389864558358</v>
      </c>
      <c r="AL109" s="861">
        <f t="shared" si="213"/>
        <v>-1.9765665683041138</v>
      </c>
      <c r="AM109" s="861">
        <f t="shared" si="213"/>
        <v>-1.1777341784887816</v>
      </c>
      <c r="AN109" s="861">
        <f t="shared" si="213"/>
        <v>-0.97266411805812469</v>
      </c>
      <c r="AO109" s="861">
        <f t="shared" si="213"/>
        <v>-1.1210905125408943</v>
      </c>
      <c r="AP109" s="861">
        <f t="shared" si="213"/>
        <v>-1.152329012737664</v>
      </c>
      <c r="AQ109" s="861">
        <f t="shared" si="213"/>
        <v>-1.365021552444281</v>
      </c>
      <c r="AR109" s="861">
        <f t="shared" si="213"/>
        <v>-1.6240027969360837</v>
      </c>
      <c r="AS109" s="861">
        <f t="shared" si="213"/>
        <v>-1.9999348788747069</v>
      </c>
      <c r="AT109" s="861">
        <f t="shared" si="213"/>
        <v>-1.9053719257961206</v>
      </c>
      <c r="AU109" s="861">
        <f t="shared" si="213"/>
        <v>-1.7941926221102289</v>
      </c>
      <c r="AV109" s="861">
        <f t="shared" si="213"/>
        <v>-1.7298665972161935</v>
      </c>
      <c r="AW109" s="861">
        <f t="shared" si="213"/>
        <v>-1.2274575648660702</v>
      </c>
      <c r="AX109" s="861"/>
      <c r="AY109" s="861">
        <f>+AY108/SUM(AY74)</f>
        <v>-1.768086364980775</v>
      </c>
      <c r="AZ109" s="861">
        <f>+AZ108/SUM(AZ74)</f>
        <v>-1.0867511611430372</v>
      </c>
      <c r="BA109" s="861">
        <f>+BA108/SUM(BA74)</f>
        <v>-1.1465389792360821</v>
      </c>
      <c r="BB109" s="861">
        <f>+BB108/SUM(BB74)</f>
        <v>-1.0148606357863144</v>
      </c>
      <c r="BC109" s="861">
        <f t="shared" ref="BC109:BF109" si="214">+BC108/SUM(BC74)</f>
        <v>-0.99656299901148204</v>
      </c>
      <c r="BD109" s="861">
        <f t="shared" si="214"/>
        <v>-0.76663562167593935</v>
      </c>
      <c r="BE109" s="861">
        <f t="shared" si="214"/>
        <v>-0.44445693611193443</v>
      </c>
      <c r="BF109" s="861">
        <f t="shared" si="214"/>
        <v>-0.76348833180726816</v>
      </c>
      <c r="BG109" s="862"/>
    </row>
    <row r="110" spans="2:59">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K110" s="8"/>
      <c r="AL110" s="8"/>
      <c r="AM110" s="8"/>
      <c r="AN110" s="8"/>
      <c r="AO110" s="8"/>
      <c r="AP110" s="8"/>
      <c r="AQ110" s="8"/>
      <c r="AR110" s="8"/>
      <c r="AS110" s="8"/>
      <c r="AT110" s="8"/>
      <c r="AU110" s="8"/>
      <c r="AV110" s="8"/>
      <c r="AW110" s="8"/>
      <c r="AY110" s="8"/>
      <c r="AZ110" s="8"/>
      <c r="BA110" s="8"/>
      <c r="BB110" s="8"/>
      <c r="BC110" s="8"/>
      <c r="BD110" s="8"/>
      <c r="BE110" s="8"/>
      <c r="BF110" s="8"/>
      <c r="BG110" s="8"/>
    </row>
    <row r="111" spans="2:59" ht="10.5">
      <c r="B111" s="5" t="s">
        <v>1282</v>
      </c>
      <c r="C111" s="4"/>
      <c r="I111" s="3"/>
    </row>
    <row r="112" spans="2:59">
      <c r="X112" s="824"/>
      <c r="Y112" s="824"/>
      <c r="AU112" s="876" t="s">
        <v>264</v>
      </c>
      <c r="AV112" s="877"/>
    </row>
    <row r="113" spans="2:67" ht="10.5">
      <c r="B113" s="45" t="s">
        <v>86</v>
      </c>
    </row>
    <row r="114" spans="2:67">
      <c r="B114" s="878" t="s">
        <v>340</v>
      </c>
      <c r="D114" s="879"/>
      <c r="E114" s="879"/>
      <c r="F114" s="879"/>
      <c r="G114" s="879"/>
      <c r="H114" s="879">
        <v>6436</v>
      </c>
      <c r="I114" s="879">
        <v>7179</v>
      </c>
      <c r="J114" s="879">
        <v>7707</v>
      </c>
      <c r="K114" s="879">
        <v>8548</v>
      </c>
      <c r="L114" s="879">
        <v>8238</v>
      </c>
      <c r="M114" s="879">
        <v>8953</v>
      </c>
      <c r="N114" s="879">
        <v>9006</v>
      </c>
      <c r="O114" s="879">
        <v>9668</v>
      </c>
      <c r="P114" s="879">
        <v>9771</v>
      </c>
      <c r="Q114" s="879">
        <v>10100</v>
      </c>
      <c r="R114" s="879">
        <v>10242</v>
      </c>
      <c r="S114" s="879">
        <f>+BB114-SUM(P114:R114)</f>
        <v>11047</v>
      </c>
      <c r="T114" s="879">
        <v>11077</v>
      </c>
      <c r="U114" s="879">
        <v>11826</v>
      </c>
      <c r="V114" s="879">
        <v>11743</v>
      </c>
      <c r="W114" s="879">
        <v>11752</v>
      </c>
      <c r="X114" s="879">
        <v>12319</v>
      </c>
      <c r="Y114" s="879">
        <v>13353</v>
      </c>
      <c r="Z114" s="879">
        <v>13552</v>
      </c>
      <c r="AA114" s="879">
        <v>14691</v>
      </c>
      <c r="AB114" s="879">
        <v>15039</v>
      </c>
      <c r="AC114" s="879">
        <v>15936</v>
      </c>
      <c r="AD114" s="879">
        <v>15789</v>
      </c>
      <c r="AE114" s="879">
        <v>16600</v>
      </c>
      <c r="AF114" s="879">
        <v>16465</v>
      </c>
      <c r="AG114" s="880">
        <f>+AC114*(1+AG121)</f>
        <v>16892.16</v>
      </c>
      <c r="AH114" s="880">
        <f t="shared" ref="AH114:AI116" si="215">+AD114*(1+AH121)</f>
        <v>16740.644079279478</v>
      </c>
      <c r="AI114" s="880">
        <f t="shared" si="215"/>
        <v>16568.183408116493</v>
      </c>
      <c r="AK114" s="879"/>
      <c r="AL114" s="879"/>
      <c r="AM114" s="879"/>
      <c r="AN114" s="879"/>
      <c r="AO114" s="879"/>
      <c r="AP114" s="879"/>
      <c r="AQ114" s="879"/>
      <c r="AR114" s="879"/>
      <c r="AS114" s="879"/>
      <c r="AT114" s="879">
        <v>26976</v>
      </c>
      <c r="AU114" s="879">
        <v>26430</v>
      </c>
      <c r="AV114" s="879">
        <v>26487</v>
      </c>
      <c r="AW114" s="879">
        <v>30444</v>
      </c>
      <c r="AY114" s="879">
        <v>25792</v>
      </c>
      <c r="AZ114" s="879">
        <f>+SUM(H114:K114)</f>
        <v>29870</v>
      </c>
      <c r="BA114" s="879">
        <f>+SUM(L114:O114)</f>
        <v>35865</v>
      </c>
      <c r="BB114" s="879">
        <v>41160</v>
      </c>
      <c r="BC114" s="880">
        <f>SUM(T114:W114)</f>
        <v>46398</v>
      </c>
      <c r="BD114" s="880">
        <f>SUM(X114:AA114)</f>
        <v>53915</v>
      </c>
      <c r="BE114" s="880">
        <f>SUM(AB114:AE114)</f>
        <v>63364</v>
      </c>
      <c r="BF114" s="880">
        <f>SUM(AF114:AI114)</f>
        <v>66665.987487395963</v>
      </c>
      <c r="BI114" t="s">
        <v>1283</v>
      </c>
    </row>
    <row r="115" spans="2:67">
      <c r="B115" s="878" t="s">
        <v>342</v>
      </c>
      <c r="D115" s="879"/>
      <c r="E115" s="879"/>
      <c r="F115" s="879"/>
      <c r="G115" s="879"/>
      <c r="H115" s="879">
        <v>6097</v>
      </c>
      <c r="I115" s="879">
        <v>6758</v>
      </c>
      <c r="J115" s="879">
        <v>6730</v>
      </c>
      <c r="K115" s="879">
        <v>7822</v>
      </c>
      <c r="L115" s="879">
        <v>6922</v>
      </c>
      <c r="M115" s="879">
        <v>7795</v>
      </c>
      <c r="N115" s="879">
        <v>7896</v>
      </c>
      <c r="O115" s="879">
        <v>9606</v>
      </c>
      <c r="P115" s="879">
        <v>8567</v>
      </c>
      <c r="Q115" s="879">
        <v>9378</v>
      </c>
      <c r="R115" s="879">
        <v>9649</v>
      </c>
      <c r="S115" s="879">
        <f>+BB115-SUM(P115:R115)</f>
        <v>11391</v>
      </c>
      <c r="T115" s="879">
        <v>10845</v>
      </c>
      <c r="U115" s="879">
        <v>11869</v>
      </c>
      <c r="V115" s="879">
        <v>12281</v>
      </c>
      <c r="W115" s="879">
        <v>13371</v>
      </c>
      <c r="X115" s="879">
        <v>12986</v>
      </c>
      <c r="Y115" s="879">
        <v>14601</v>
      </c>
      <c r="Z115" s="879">
        <v>15118</v>
      </c>
      <c r="AA115" s="879">
        <v>17375</v>
      </c>
      <c r="AB115" s="879">
        <v>16964</v>
      </c>
      <c r="AC115" s="879">
        <v>18327</v>
      </c>
      <c r="AD115" s="879">
        <v>19051</v>
      </c>
      <c r="AE115" s="879">
        <v>20909</v>
      </c>
      <c r="AF115" s="879">
        <v>20325</v>
      </c>
      <c r="AG115" s="880">
        <f t="shared" ref="AG115:AG116" si="216">+AC115*(1+AG122)</f>
        <v>21851.324970439069</v>
      </c>
      <c r="AH115" s="880">
        <f t="shared" si="215"/>
        <v>22482.199585746588</v>
      </c>
      <c r="AI115" s="880">
        <f t="shared" si="215"/>
        <v>24430.430845384817</v>
      </c>
      <c r="AK115" s="879"/>
      <c r="AL115" s="879"/>
      <c r="AM115" s="879"/>
      <c r="AN115" s="879"/>
      <c r="AO115" s="879"/>
      <c r="AP115" s="879"/>
      <c r="AQ115" s="879"/>
      <c r="AR115" s="879"/>
      <c r="AS115" s="879"/>
      <c r="AT115" s="879">
        <v>21735</v>
      </c>
      <c r="AU115" s="879">
        <v>23715</v>
      </c>
      <c r="AV115" s="879">
        <v>25042</v>
      </c>
      <c r="AW115" s="879">
        <v>27440</v>
      </c>
      <c r="AY115" s="879">
        <v>24952</v>
      </c>
      <c r="AZ115" s="879">
        <f>+SUM(H115:K115)</f>
        <v>27407</v>
      </c>
      <c r="BA115" s="879">
        <f>+SUM(L115:O115)</f>
        <v>32219</v>
      </c>
      <c r="BB115" s="879">
        <v>38985</v>
      </c>
      <c r="BC115" s="880">
        <f>SUM(T115:W115)</f>
        <v>48366</v>
      </c>
      <c r="BD115" s="880">
        <f>SUM(X115:AA115)</f>
        <v>60080</v>
      </c>
      <c r="BE115" s="880">
        <f t="shared" ref="BE115:BE117" si="217">SUM(AB115:AE115)</f>
        <v>75251</v>
      </c>
      <c r="BF115" s="880">
        <f t="shared" ref="BF115:BF117" si="218">SUM(AF115:AI115)</f>
        <v>89088.955401570478</v>
      </c>
      <c r="BI115" s="881">
        <f t="shared" ref="BI115:BJ117" si="219">(BH115+BC115+AY115-BD115-AZ115)*1</f>
        <v>-14169</v>
      </c>
      <c r="BJ115" s="881">
        <f t="shared" si="219"/>
        <v>-34152</v>
      </c>
      <c r="BK115" s="881">
        <f t="shared" ref="BK115:BK117" si="220">(BJ115+BE115+BA115-BG115-BB115)*1</f>
        <v>34333</v>
      </c>
    </row>
    <row r="116" spans="2:67">
      <c r="B116" s="878" t="s">
        <v>344</v>
      </c>
      <c r="D116" s="879"/>
      <c r="E116" s="879"/>
      <c r="F116" s="879"/>
      <c r="G116" s="879"/>
      <c r="H116" s="879">
        <v>9395</v>
      </c>
      <c r="I116" s="879">
        <v>11889</v>
      </c>
      <c r="J116" s="879">
        <v>8775</v>
      </c>
      <c r="K116" s="879">
        <v>9235</v>
      </c>
      <c r="L116" s="879">
        <v>9378</v>
      </c>
      <c r="M116" s="879">
        <v>12170</v>
      </c>
      <c r="N116" s="879">
        <v>9917</v>
      </c>
      <c r="O116" s="879">
        <v>10811</v>
      </c>
      <c r="P116" s="879">
        <v>10746</v>
      </c>
      <c r="Q116" s="879">
        <v>12993</v>
      </c>
      <c r="R116" s="879">
        <v>10680</v>
      </c>
      <c r="S116" s="879">
        <f>+BB116-SUM(P116:R116)</f>
        <v>11279</v>
      </c>
      <c r="T116" s="879">
        <v>11133</v>
      </c>
      <c r="U116" s="879">
        <v>13211</v>
      </c>
      <c r="V116" s="879">
        <v>10997</v>
      </c>
      <c r="W116" s="879">
        <v>12910</v>
      </c>
      <c r="X116" s="879">
        <v>11849</v>
      </c>
      <c r="Y116" s="879">
        <v>15122</v>
      </c>
      <c r="Z116" s="879">
        <v>13036</v>
      </c>
      <c r="AA116" s="879">
        <v>14086</v>
      </c>
      <c r="AB116" s="879">
        <v>13314</v>
      </c>
      <c r="AC116" s="879">
        <v>17465</v>
      </c>
      <c r="AD116" s="879">
        <v>14520</v>
      </c>
      <c r="AE116" s="879">
        <v>14356</v>
      </c>
      <c r="AF116" s="879">
        <v>13332</v>
      </c>
      <c r="AG116" s="880">
        <f t="shared" si="216"/>
        <v>14845.25</v>
      </c>
      <c r="AH116" s="880">
        <f t="shared" si="215"/>
        <v>12346.925211434513</v>
      </c>
      <c r="AI116" s="880">
        <f t="shared" si="215"/>
        <v>14384.232410370145</v>
      </c>
      <c r="AK116" s="879"/>
      <c r="AL116" s="879"/>
      <c r="AM116" s="879"/>
      <c r="AN116" s="879"/>
      <c r="AO116" s="879"/>
      <c r="AP116" s="879"/>
      <c r="AQ116" s="879"/>
      <c r="AR116" s="879"/>
      <c r="AS116" s="879"/>
      <c r="AT116" s="879">
        <v>38460</v>
      </c>
      <c r="AU116" s="879">
        <v>43435</v>
      </c>
      <c r="AV116" s="879">
        <v>40434</v>
      </c>
      <c r="AW116" s="879">
        <v>38773</v>
      </c>
      <c r="AY116" s="879">
        <v>40410</v>
      </c>
      <c r="AZ116" s="879">
        <f>+SUM(H116:K116)</f>
        <v>39294</v>
      </c>
      <c r="BA116" s="879">
        <f>+SUM(L116:O116)</f>
        <v>42276</v>
      </c>
      <c r="BB116" s="879">
        <v>45698</v>
      </c>
      <c r="BC116" s="880">
        <f>SUM(T116:W116)</f>
        <v>48251</v>
      </c>
      <c r="BD116" s="880">
        <f>SUM(X116:AA116)</f>
        <v>54093</v>
      </c>
      <c r="BE116" s="880">
        <f t="shared" si="217"/>
        <v>59655</v>
      </c>
      <c r="BF116" s="880">
        <f t="shared" si="218"/>
        <v>54908.407621804661</v>
      </c>
      <c r="BI116" s="881">
        <f t="shared" si="219"/>
        <v>-4726</v>
      </c>
      <c r="BJ116" s="881">
        <f t="shared" si="219"/>
        <v>-13270</v>
      </c>
      <c r="BK116" s="881">
        <f t="shared" si="220"/>
        <v>42963</v>
      </c>
      <c r="BL116" s="874"/>
    </row>
    <row r="117" spans="2:67" ht="11.45" outlineLevel="1">
      <c r="B117" s="878" t="s">
        <v>345</v>
      </c>
      <c r="D117" s="10"/>
      <c r="E117" s="10"/>
      <c r="F117" s="10"/>
      <c r="G117" s="10"/>
      <c r="H117" s="10">
        <v>0</v>
      </c>
      <c r="I117" s="10">
        <v>0</v>
      </c>
      <c r="J117" s="10">
        <v>0</v>
      </c>
      <c r="K117" s="10">
        <v>0</v>
      </c>
      <c r="L117" s="10">
        <v>0</v>
      </c>
      <c r="M117" s="10">
        <v>0</v>
      </c>
      <c r="N117" s="10">
        <v>0</v>
      </c>
      <c r="O117" s="10">
        <v>0</v>
      </c>
      <c r="P117" s="10">
        <v>0</v>
      </c>
      <c r="Q117" s="10">
        <v>0</v>
      </c>
      <c r="R117" s="10">
        <v>0</v>
      </c>
      <c r="S117" s="10">
        <f>+BB117-SUM(P117:R117)</f>
        <v>0</v>
      </c>
      <c r="T117" s="10">
        <v>0</v>
      </c>
      <c r="U117" s="10">
        <v>0</v>
      </c>
      <c r="V117" s="10">
        <v>0</v>
      </c>
      <c r="W117" s="10">
        <v>0</v>
      </c>
      <c r="X117" s="10">
        <v>0</v>
      </c>
      <c r="Y117" s="34">
        <v>0</v>
      </c>
      <c r="Z117" s="34">
        <v>0</v>
      </c>
      <c r="AA117" s="34">
        <v>0</v>
      </c>
      <c r="AB117" s="34">
        <v>0</v>
      </c>
      <c r="AC117" s="34">
        <v>0</v>
      </c>
      <c r="AD117" s="34">
        <v>0</v>
      </c>
      <c r="AE117" s="34">
        <v>0</v>
      </c>
      <c r="AF117" s="34">
        <v>0</v>
      </c>
      <c r="AG117" s="34">
        <v>0</v>
      </c>
      <c r="AH117" s="34">
        <v>0</v>
      </c>
      <c r="AI117" s="34">
        <v>0</v>
      </c>
      <c r="AK117" s="10"/>
      <c r="AL117" s="10"/>
      <c r="AM117" s="10"/>
      <c r="AN117" s="10"/>
      <c r="AO117" s="10"/>
      <c r="AP117" s="10"/>
      <c r="AQ117" s="10"/>
      <c r="AR117" s="10"/>
      <c r="AS117" s="10"/>
      <c r="AT117" s="10">
        <v>-338</v>
      </c>
      <c r="AU117" s="10">
        <v>0</v>
      </c>
      <c r="AV117" s="10">
        <v>-6643</v>
      </c>
      <c r="AW117" s="10">
        <v>-6707</v>
      </c>
      <c r="AY117" s="10">
        <v>0</v>
      </c>
      <c r="AZ117" s="10">
        <f>+SUM(H117:K117)</f>
        <v>0</v>
      </c>
      <c r="BA117" s="10">
        <f>+SUM(L117:O117)</f>
        <v>0</v>
      </c>
      <c r="BB117" s="10">
        <v>0</v>
      </c>
      <c r="BC117" s="10">
        <f>SUM(T117:W117)</f>
        <v>0</v>
      </c>
      <c r="BD117" s="10">
        <f>SUM(X117:AA117)</f>
        <v>0</v>
      </c>
      <c r="BE117" s="10">
        <f t="shared" si="217"/>
        <v>0</v>
      </c>
      <c r="BF117" s="10">
        <f t="shared" si="218"/>
        <v>0</v>
      </c>
      <c r="BI117" s="881">
        <f>(BH117+BC117+AY117-BD117-AZ117)*1</f>
        <v>0</v>
      </c>
      <c r="BJ117" s="881">
        <f t="shared" si="219"/>
        <v>0</v>
      </c>
      <c r="BK117" s="881">
        <f t="shared" si="220"/>
        <v>0</v>
      </c>
      <c r="BL117" s="874"/>
    </row>
    <row r="118" spans="2:67" s="1" customFormat="1" ht="10.5">
      <c r="B118" s="882" t="s">
        <v>346</v>
      </c>
      <c r="D118" s="838"/>
      <c r="E118" s="838"/>
      <c r="F118" s="838"/>
      <c r="G118" s="838"/>
      <c r="H118" s="838">
        <f>SUM(H114:H117)</f>
        <v>21928</v>
      </c>
      <c r="I118" s="838">
        <f t="shared" ref="I118:AW118" si="221">SUM(I114:I117)</f>
        <v>25826</v>
      </c>
      <c r="J118" s="838">
        <f t="shared" si="221"/>
        <v>23212</v>
      </c>
      <c r="K118" s="838">
        <f t="shared" si="221"/>
        <v>25605</v>
      </c>
      <c r="L118" s="838">
        <f t="shared" si="221"/>
        <v>24538</v>
      </c>
      <c r="M118" s="838">
        <f t="shared" si="221"/>
        <v>28918</v>
      </c>
      <c r="N118" s="838">
        <f t="shared" si="221"/>
        <v>26819</v>
      </c>
      <c r="O118" s="838">
        <f t="shared" si="221"/>
        <v>30085</v>
      </c>
      <c r="P118" s="838">
        <f t="shared" si="221"/>
        <v>29084</v>
      </c>
      <c r="Q118" s="838">
        <f t="shared" si="221"/>
        <v>32471</v>
      </c>
      <c r="R118" s="838">
        <f t="shared" si="221"/>
        <v>30571</v>
      </c>
      <c r="S118" s="838">
        <f t="shared" si="221"/>
        <v>33717</v>
      </c>
      <c r="T118" s="838">
        <f t="shared" si="221"/>
        <v>33055</v>
      </c>
      <c r="U118" s="838">
        <f t="shared" si="221"/>
        <v>36906</v>
      </c>
      <c r="V118" s="838">
        <f t="shared" si="221"/>
        <v>35021</v>
      </c>
      <c r="W118" s="838">
        <f t="shared" si="221"/>
        <v>38033</v>
      </c>
      <c r="X118" s="838">
        <f t="shared" si="221"/>
        <v>37154</v>
      </c>
      <c r="Y118" s="838">
        <f t="shared" si="221"/>
        <v>43076</v>
      </c>
      <c r="Z118" s="838">
        <f t="shared" si="221"/>
        <v>41706</v>
      </c>
      <c r="AA118" s="838">
        <f t="shared" si="221"/>
        <v>46152</v>
      </c>
      <c r="AB118" s="838">
        <f t="shared" si="221"/>
        <v>45317</v>
      </c>
      <c r="AC118" s="838">
        <f t="shared" si="221"/>
        <v>51728</v>
      </c>
      <c r="AD118" s="838">
        <f t="shared" si="221"/>
        <v>49360</v>
      </c>
      <c r="AE118" s="838">
        <f t="shared" si="221"/>
        <v>51865</v>
      </c>
      <c r="AF118" s="838">
        <f t="shared" si="221"/>
        <v>50122</v>
      </c>
      <c r="AG118" s="838">
        <f t="shared" si="221"/>
        <v>53588.734970439065</v>
      </c>
      <c r="AH118" s="838">
        <f t="shared" si="221"/>
        <v>51569.768876460585</v>
      </c>
      <c r="AI118" s="838">
        <f t="shared" si="221"/>
        <v>55382.846663871453</v>
      </c>
      <c r="AK118" s="838"/>
      <c r="AL118" s="838"/>
      <c r="AM118" s="838"/>
      <c r="AN118" s="838"/>
      <c r="AO118" s="838"/>
      <c r="AP118" s="838"/>
      <c r="AQ118" s="838"/>
      <c r="AR118" s="838"/>
      <c r="AS118" s="838"/>
      <c r="AT118" s="838">
        <f t="shared" si="221"/>
        <v>86833</v>
      </c>
      <c r="AU118" s="838">
        <f t="shared" si="221"/>
        <v>93580</v>
      </c>
      <c r="AV118" s="838">
        <f t="shared" si="221"/>
        <v>85320</v>
      </c>
      <c r="AW118" s="838">
        <f t="shared" si="221"/>
        <v>89950</v>
      </c>
      <c r="AY118" s="838">
        <f t="shared" ref="AY118" si="222">SUM(AY114:AY117)</f>
        <v>91154</v>
      </c>
      <c r="AZ118" s="838">
        <f>+SUM(H118:K118)</f>
        <v>96571</v>
      </c>
      <c r="BA118" s="838">
        <f>+SUM(L118:O118)</f>
        <v>110360</v>
      </c>
      <c r="BB118" s="838">
        <f>SUM(BB114:BB117)</f>
        <v>125843</v>
      </c>
      <c r="BC118" s="838">
        <f t="shared" ref="BC118:BF118" si="223">SUM(BC114:BC117)</f>
        <v>143015</v>
      </c>
      <c r="BD118" s="838">
        <f t="shared" si="223"/>
        <v>168088</v>
      </c>
      <c r="BE118" s="838">
        <f t="shared" si="223"/>
        <v>198270</v>
      </c>
      <c r="BF118" s="838">
        <f t="shared" si="223"/>
        <v>210663.3505107711</v>
      </c>
      <c r="BK118"/>
      <c r="BL118" s="874"/>
    </row>
    <row r="119" spans="2:67">
      <c r="X119" s="826"/>
    </row>
    <row r="120" spans="2:67" s="3" customFormat="1">
      <c r="B120" s="883" t="s">
        <v>113</v>
      </c>
      <c r="AE120" s="986"/>
      <c r="AF120" s="986"/>
      <c r="AG120" s="986"/>
      <c r="AH120" s="986"/>
      <c r="AI120" s="986"/>
      <c r="BI120"/>
      <c r="BJ120"/>
      <c r="BK120"/>
      <c r="BL120" s="874"/>
    </row>
    <row r="121" spans="2:67" s="3" customFormat="1">
      <c r="B121" s="884" t="str">
        <f>+B114</f>
        <v>Productivity and Business Processes</v>
      </c>
      <c r="L121" s="14">
        <f t="shared" ref="L121:AF123" si="224">+IFERROR(L114/H114-1,"n/a ")</f>
        <v>0.27998756991920448</v>
      </c>
      <c r="M121" s="14">
        <f t="shared" si="224"/>
        <v>0.24710962529600233</v>
      </c>
      <c r="N121" s="14">
        <f t="shared" si="224"/>
        <v>0.1685480731802258</v>
      </c>
      <c r="O121" s="14">
        <f t="shared" si="224"/>
        <v>0.13102480112306969</v>
      </c>
      <c r="P121" s="14">
        <f t="shared" si="224"/>
        <v>0.18608885651857254</v>
      </c>
      <c r="Q121" s="14">
        <f t="shared" si="224"/>
        <v>0.12811348151457613</v>
      </c>
      <c r="R121" s="14">
        <f t="shared" si="224"/>
        <v>0.13724183877415053</v>
      </c>
      <c r="S121" s="14">
        <f t="shared" si="224"/>
        <v>0.14263549855192381</v>
      </c>
      <c r="T121" s="14">
        <f t="shared" si="224"/>
        <v>0.13366083307747423</v>
      </c>
      <c r="U121" s="14">
        <f t="shared" si="224"/>
        <v>0.17089108910891082</v>
      </c>
      <c r="V121" s="14">
        <f t="shared" si="224"/>
        <v>0.14655340753759027</v>
      </c>
      <c r="W121" s="14">
        <f t="shared" si="224"/>
        <v>6.3818231193989217E-2</v>
      </c>
      <c r="X121" s="14">
        <f t="shared" si="224"/>
        <v>0.11212422135957389</v>
      </c>
      <c r="Y121" s="14">
        <f t="shared" si="224"/>
        <v>0.12912227295788936</v>
      </c>
      <c r="Z121" s="14">
        <f t="shared" si="224"/>
        <v>0.15404922081239891</v>
      </c>
      <c r="AA121" s="14">
        <f t="shared" si="224"/>
        <v>0.25008509189925121</v>
      </c>
      <c r="AB121" s="14">
        <f t="shared" si="224"/>
        <v>0.22079714262521311</v>
      </c>
      <c r="AC121" s="14">
        <f t="shared" si="224"/>
        <v>0.19343967647719618</v>
      </c>
      <c r="AD121" s="14">
        <f t="shared" si="224"/>
        <v>0.16506788665879579</v>
      </c>
      <c r="AE121" s="890">
        <f t="shared" si="224"/>
        <v>0.12994350282485878</v>
      </c>
      <c r="AF121" s="890">
        <f t="shared" si="224"/>
        <v>9.4820134317441296E-2</v>
      </c>
      <c r="AG121" s="851">
        <v>0.06</v>
      </c>
      <c r="AH121" s="851">
        <f>(AG121+AC121+Y121-AD121-Z121)*95%</f>
        <v>6.0272599865696289E-2</v>
      </c>
      <c r="AI121" s="851">
        <f>(AH121+AD121+Z121-AE121-AA121)*3</f>
        <v>-1.9166621616570345E-3</v>
      </c>
      <c r="AU121" s="14">
        <f t="shared" ref="AU121:AW125" si="225">+IFERROR(AU114/AT114-1,"n/a ")</f>
        <v>-2.0240213523131656E-2</v>
      </c>
      <c r="AV121" s="14">
        <f t="shared" si="225"/>
        <v>2.1566401816117686E-3</v>
      </c>
      <c r="AW121" s="14">
        <f t="shared" si="225"/>
        <v>0.14939404236040321</v>
      </c>
      <c r="AX121" s="14"/>
      <c r="AY121" s="1010">
        <f t="shared" ref="AY121" si="226">+AV121</f>
        <v>2.1566401816117686E-3</v>
      </c>
      <c r="AZ121" s="1010">
        <f t="shared" ref="AZ121" si="227">+AW121</f>
        <v>0.14939404236040321</v>
      </c>
      <c r="BA121" s="14">
        <f t="shared" ref="BA121:BF125" si="228">+IFERROR(BA114/AZ114-1,"n/a ")</f>
        <v>0.20070304653498483</v>
      </c>
      <c r="BB121" s="14">
        <f t="shared" si="228"/>
        <v>0.14763697197825176</v>
      </c>
      <c r="BC121" s="14">
        <f t="shared" si="228"/>
        <v>0.12725947521865888</v>
      </c>
      <c r="BD121" s="14">
        <f t="shared" si="228"/>
        <v>0.16201129359024091</v>
      </c>
      <c r="BE121" s="14">
        <f t="shared" si="228"/>
        <v>0.17525734953167027</v>
      </c>
      <c r="BF121" s="14">
        <f t="shared" si="228"/>
        <v>5.2111411643771977E-2</v>
      </c>
      <c r="BK121" s="839" t="s">
        <v>90</v>
      </c>
    </row>
    <row r="122" spans="2:67" s="3" customFormat="1">
      <c r="B122" s="884" t="str">
        <f t="shared" ref="B122:B125" si="229">+B115</f>
        <v>Intelligent Cloud</v>
      </c>
      <c r="L122" s="14">
        <f t="shared" si="224"/>
        <v>0.13531244874528459</v>
      </c>
      <c r="M122" s="14">
        <f t="shared" si="224"/>
        <v>0.1534477656111275</v>
      </c>
      <c r="N122" s="14">
        <f t="shared" si="224"/>
        <v>0.17325408618127791</v>
      </c>
      <c r="O122" s="14">
        <f t="shared" si="224"/>
        <v>0.22807466121196618</v>
      </c>
      <c r="P122" s="14">
        <f t="shared" si="224"/>
        <v>0.23764807859000281</v>
      </c>
      <c r="Q122" s="14">
        <f t="shared" si="224"/>
        <v>0.2030788967286723</v>
      </c>
      <c r="R122" s="14">
        <f t="shared" si="224"/>
        <v>0.22201114488348539</v>
      </c>
      <c r="S122" s="14">
        <f t="shared" si="224"/>
        <v>0.18582136164896945</v>
      </c>
      <c r="T122" s="14">
        <f t="shared" si="224"/>
        <v>0.26590405042605347</v>
      </c>
      <c r="U122" s="14">
        <f t="shared" si="224"/>
        <v>0.26562166773299212</v>
      </c>
      <c r="V122" s="14">
        <f t="shared" si="224"/>
        <v>0.27277438076484617</v>
      </c>
      <c r="W122" s="14">
        <f t="shared" si="224"/>
        <v>0.17382143797735061</v>
      </c>
      <c r="X122" s="14">
        <f t="shared" si="224"/>
        <v>0.19741816505301979</v>
      </c>
      <c r="Y122" s="14">
        <f t="shared" si="224"/>
        <v>0.23017945909512183</v>
      </c>
      <c r="Z122" s="14">
        <f t="shared" si="224"/>
        <v>0.23100724696685937</v>
      </c>
      <c r="AA122" s="14">
        <f t="shared" si="224"/>
        <v>0.29945404233041661</v>
      </c>
      <c r="AB122" s="14">
        <f t="shared" si="224"/>
        <v>0.30632989373171116</v>
      </c>
      <c r="AC122" s="14">
        <f t="shared" si="224"/>
        <v>0.25518800082186144</v>
      </c>
      <c r="AD122" s="14">
        <f t="shared" si="224"/>
        <v>0.2601534594523085</v>
      </c>
      <c r="AE122" s="890">
        <f t="shared" si="224"/>
        <v>0.20339568345323733</v>
      </c>
      <c r="AF122" s="890">
        <f t="shared" si="224"/>
        <v>0.19812544211270922</v>
      </c>
      <c r="AG122" s="851">
        <f>(AF122+AB122+X122-AC122-Y122)*0.8+350/AC115</f>
        <v>0.19230233919567125</v>
      </c>
      <c r="AH122" s="851">
        <f>(AG122+AC122+Y122-AD122-Z122)*0.9+350/3*2/AD115</f>
        <v>0.18010600943502109</v>
      </c>
      <c r="AI122" s="851">
        <f>(AH122+AD122+Z122-AE122-AA122)*1</f>
        <v>0.16841699007053501</v>
      </c>
      <c r="AU122" s="14">
        <f t="shared" si="225"/>
        <v>9.109730848861286E-2</v>
      </c>
      <c r="AV122" s="14">
        <f t="shared" si="225"/>
        <v>5.5956145899219933E-2</v>
      </c>
      <c r="AW122" s="14">
        <f t="shared" si="225"/>
        <v>9.5759124670553364E-2</v>
      </c>
      <c r="AX122" s="14"/>
      <c r="AY122" s="904">
        <f t="shared" ref="AY122:AY126" si="230">+AV122</f>
        <v>5.5956145899219933E-2</v>
      </c>
      <c r="AZ122" s="904">
        <f t="shared" ref="AZ122:AZ126" si="231">+AW122</f>
        <v>9.5759124670553364E-2</v>
      </c>
      <c r="BA122" s="14">
        <f t="shared" si="228"/>
        <v>0.17557558288028607</v>
      </c>
      <c r="BB122" s="14">
        <f t="shared" si="228"/>
        <v>0.2100003103758652</v>
      </c>
      <c r="BC122" s="14">
        <f t="shared" si="228"/>
        <v>0.24063101192766445</v>
      </c>
      <c r="BD122" s="14">
        <f t="shared" si="228"/>
        <v>0.24219493032295425</v>
      </c>
      <c r="BE122" s="14">
        <f t="shared" si="228"/>
        <v>0.25251331557922763</v>
      </c>
      <c r="BF122" s="14">
        <f t="shared" si="228"/>
        <v>0.18389065130789595</v>
      </c>
      <c r="BK122" s="3" t="s">
        <v>330</v>
      </c>
      <c r="BL122" s="3" t="s">
        <v>331</v>
      </c>
      <c r="BN122" s="3" t="s">
        <v>332</v>
      </c>
    </row>
    <row r="123" spans="2:67" s="3" customFormat="1">
      <c r="B123" s="884" t="str">
        <f t="shared" si="229"/>
        <v>More Personal Computing</v>
      </c>
      <c r="L123" s="228">
        <f t="shared" si="224"/>
        <v>-1.8094731240021478E-3</v>
      </c>
      <c r="M123" s="228">
        <f t="shared" si="224"/>
        <v>2.3635293128101642E-2</v>
      </c>
      <c r="N123" s="228">
        <f t="shared" si="224"/>
        <v>0.13014245014245018</v>
      </c>
      <c r="O123" s="228">
        <f t="shared" si="224"/>
        <v>0.17065511640498099</v>
      </c>
      <c r="P123" s="228">
        <f t="shared" si="224"/>
        <v>0.14587332053742808</v>
      </c>
      <c r="Q123" s="228">
        <f t="shared" si="224"/>
        <v>6.7625308134757534E-2</v>
      </c>
      <c r="R123" s="228">
        <f t="shared" si="224"/>
        <v>7.6938590299485687E-2</v>
      </c>
      <c r="S123" s="228">
        <f t="shared" si="224"/>
        <v>4.328924243825738E-2</v>
      </c>
      <c r="T123" s="228">
        <f t="shared" si="224"/>
        <v>3.6013400335008328E-2</v>
      </c>
      <c r="U123" s="228">
        <f t="shared" si="224"/>
        <v>1.677826521973369E-2</v>
      </c>
      <c r="V123" s="228">
        <f t="shared" si="224"/>
        <v>2.9681647940074996E-2</v>
      </c>
      <c r="W123" s="228">
        <f t="shared" si="224"/>
        <v>0.14460501817537019</v>
      </c>
      <c r="X123" s="228">
        <f t="shared" si="224"/>
        <v>6.4313302793496785E-2</v>
      </c>
      <c r="Y123" s="228">
        <f t="shared" si="224"/>
        <v>0.14465218378623868</v>
      </c>
      <c r="Z123" s="228">
        <f t="shared" si="224"/>
        <v>0.18541420387378382</v>
      </c>
      <c r="AA123" s="228">
        <f t="shared" si="224"/>
        <v>9.1092176607281194E-2</v>
      </c>
      <c r="AB123" s="228">
        <f t="shared" si="224"/>
        <v>0.12363912566461299</v>
      </c>
      <c r="AC123" s="228">
        <f t="shared" si="224"/>
        <v>0.15493982277476515</v>
      </c>
      <c r="AD123" s="228">
        <f t="shared" si="224"/>
        <v>0.11383860079779073</v>
      </c>
      <c r="AE123" s="228">
        <f t="shared" si="224"/>
        <v>1.9167968195371365E-2</v>
      </c>
      <c r="AF123" s="228">
        <f t="shared" si="224"/>
        <v>1.3519603424965165E-3</v>
      </c>
      <c r="AG123" s="829">
        <v>-0.15</v>
      </c>
      <c r="AH123" s="829">
        <f t="shared" ref="AH123" si="232">(AG123+AC123+Y123-AD123-Z123)*1</f>
        <v>-0.14966079811057073</v>
      </c>
      <c r="AI123" s="829">
        <f>(AH123+AD123+Z123-AE123-AA123)*0.05</f>
        <v>1.9665930879175634E-3</v>
      </c>
      <c r="AU123" s="228">
        <f t="shared" si="225"/>
        <v>0.12935517420696829</v>
      </c>
      <c r="AV123" s="228">
        <f t="shared" si="225"/>
        <v>-6.9091746287556099E-2</v>
      </c>
      <c r="AW123" s="228">
        <f t="shared" si="225"/>
        <v>-4.1079289706682509E-2</v>
      </c>
      <c r="AX123" s="14"/>
      <c r="AY123" s="1010">
        <f t="shared" si="230"/>
        <v>-6.9091746287556099E-2</v>
      </c>
      <c r="AZ123" s="1010">
        <f t="shared" si="231"/>
        <v>-4.1079289706682509E-2</v>
      </c>
      <c r="BA123" s="228">
        <f t="shared" si="228"/>
        <v>7.5889448770804613E-2</v>
      </c>
      <c r="BB123" s="228">
        <f t="shared" si="228"/>
        <v>8.0944270981171407E-2</v>
      </c>
      <c r="BC123" s="228">
        <f t="shared" si="228"/>
        <v>5.5866777539498536E-2</v>
      </c>
      <c r="BD123" s="228">
        <f t="shared" si="228"/>
        <v>0.12107521087645856</v>
      </c>
      <c r="BE123" s="228">
        <f t="shared" si="228"/>
        <v>0.10282291608895799</v>
      </c>
      <c r="BF123" s="228">
        <f t="shared" si="228"/>
        <v>-7.956738543618036E-2</v>
      </c>
      <c r="BH123"/>
      <c r="BI123"/>
      <c r="BJ123" s="3" t="s">
        <v>1284</v>
      </c>
      <c r="BK123" s="3">
        <v>16.600000000000001</v>
      </c>
      <c r="BL123" s="3">
        <v>16.899999999999999</v>
      </c>
      <c r="BM123" s="885">
        <f>+BL123/AC114*1000-1</f>
        <v>6.0491967871485919E-2</v>
      </c>
      <c r="BN123" s="3">
        <f>AVERAGE(BK123:BL123)</f>
        <v>16.75</v>
      </c>
      <c r="BO123" s="885">
        <f>+BN123/AC114*1000-1</f>
        <v>5.1079317269076441E-2</v>
      </c>
    </row>
    <row r="124" spans="2:67" s="839" customFormat="1" ht="11.45" outlineLevel="1">
      <c r="B124" s="884" t="str">
        <f t="shared" si="229"/>
        <v>Corporate and Other</v>
      </c>
      <c r="L124" s="840" t="str">
        <f t="shared" ref="L124:N124" si="233">+IFERROR(L117/H117-1,"NA ")</f>
        <v xml:space="preserve">NA </v>
      </c>
      <c r="M124" s="840" t="str">
        <f t="shared" si="233"/>
        <v xml:space="preserve">NA </v>
      </c>
      <c r="N124" s="840" t="str">
        <f t="shared" si="233"/>
        <v xml:space="preserve">NA </v>
      </c>
      <c r="O124" s="840" t="str">
        <f>+IFERROR(O117/K117-1,"NA ")</f>
        <v xml:space="preserve">NA </v>
      </c>
      <c r="P124" s="840" t="str">
        <f t="shared" ref="P124:AI124" si="234">+IFERROR(P117/L117-1,"NA ")</f>
        <v xml:space="preserve">NA </v>
      </c>
      <c r="Q124" s="840" t="str">
        <f t="shared" si="234"/>
        <v xml:space="preserve">NA </v>
      </c>
      <c r="R124" s="840" t="str">
        <f t="shared" si="234"/>
        <v xml:space="preserve">NA </v>
      </c>
      <c r="S124" s="840" t="str">
        <f t="shared" si="234"/>
        <v xml:space="preserve">NA </v>
      </c>
      <c r="T124" s="840" t="str">
        <f t="shared" si="234"/>
        <v xml:space="preserve">NA </v>
      </c>
      <c r="U124" s="840" t="str">
        <f t="shared" si="234"/>
        <v xml:space="preserve">NA </v>
      </c>
      <c r="V124" s="840" t="str">
        <f t="shared" si="234"/>
        <v xml:space="preserve">NA </v>
      </c>
      <c r="W124" s="840" t="str">
        <f t="shared" si="234"/>
        <v xml:space="preserve">NA </v>
      </c>
      <c r="X124" s="840" t="str">
        <f t="shared" si="234"/>
        <v xml:space="preserve">NA </v>
      </c>
      <c r="Y124" s="840" t="str">
        <f t="shared" si="234"/>
        <v xml:space="preserve">NA </v>
      </c>
      <c r="Z124" s="840" t="str">
        <f t="shared" si="234"/>
        <v xml:space="preserve">NA </v>
      </c>
      <c r="AA124" s="840" t="str">
        <f t="shared" si="234"/>
        <v xml:space="preserve">NA </v>
      </c>
      <c r="AB124" s="840" t="str">
        <f t="shared" si="234"/>
        <v xml:space="preserve">NA </v>
      </c>
      <c r="AC124" s="840" t="str">
        <f t="shared" si="234"/>
        <v xml:space="preserve">NA </v>
      </c>
      <c r="AD124" s="840" t="str">
        <f t="shared" si="234"/>
        <v xml:space="preserve">NA </v>
      </c>
      <c r="AE124" s="840" t="str">
        <f t="shared" si="234"/>
        <v xml:space="preserve">NA </v>
      </c>
      <c r="AF124" s="840" t="str">
        <f t="shared" si="234"/>
        <v xml:space="preserve">NA </v>
      </c>
      <c r="AG124" s="840" t="str">
        <f t="shared" si="234"/>
        <v xml:space="preserve">NA </v>
      </c>
      <c r="AH124" s="840" t="str">
        <f t="shared" si="234"/>
        <v xml:space="preserve">NA </v>
      </c>
      <c r="AI124" s="840" t="str">
        <f t="shared" si="234"/>
        <v xml:space="preserve">NA </v>
      </c>
      <c r="AU124" s="840">
        <f t="shared" si="225"/>
        <v>-1</v>
      </c>
      <c r="AV124" s="840" t="s">
        <v>273</v>
      </c>
      <c r="AW124" s="840">
        <f t="shared" si="225"/>
        <v>9.6342014150232469E-3</v>
      </c>
      <c r="AX124" s="886"/>
      <c r="AY124" s="1011" t="str">
        <f t="shared" si="230"/>
        <v>NA</v>
      </c>
      <c r="AZ124" s="1011">
        <f t="shared" si="231"/>
        <v>9.6342014150232469E-3</v>
      </c>
      <c r="BA124" s="840" t="s">
        <v>273</v>
      </c>
      <c r="BB124" s="840" t="s">
        <v>273</v>
      </c>
      <c r="BC124" s="840" t="s">
        <v>273</v>
      </c>
      <c r="BD124" s="840" t="s">
        <v>273</v>
      </c>
      <c r="BE124" s="840" t="s">
        <v>273</v>
      </c>
      <c r="BF124" s="840" t="s">
        <v>273</v>
      </c>
      <c r="BH124"/>
      <c r="BI124"/>
      <c r="BJ124" s="3" t="s">
        <v>1285</v>
      </c>
      <c r="BK124" s="3">
        <v>21.25</v>
      </c>
      <c r="BL124" s="3">
        <v>21.55</v>
      </c>
      <c r="BM124" s="885">
        <f>+BL124/AC115*1000-1</f>
        <v>0.1758607518961095</v>
      </c>
      <c r="BN124" s="3">
        <f t="shared" ref="BN124:BN129" si="235">AVERAGE(BK124:BL124)</f>
        <v>21.4</v>
      </c>
      <c r="BO124" s="885">
        <f>+BN124/AC115*1000-1</f>
        <v>0.16767610629126417</v>
      </c>
    </row>
    <row r="125" spans="2:67" s="7" customFormat="1">
      <c r="B125" s="887" t="str">
        <f t="shared" si="229"/>
        <v>Total Revenue</v>
      </c>
      <c r="L125" s="855">
        <f>+IFERROR(L118/H118-1,"n/a ")</f>
        <v>0.11902590295512594</v>
      </c>
      <c r="M125" s="855">
        <f>+IFERROR(M118/I118-1,"n/a ")</f>
        <v>0.11972430883605667</v>
      </c>
      <c r="N125" s="855">
        <f>+IFERROR(N118/J118-1,"n/a ")</f>
        <v>0.15539376184732046</v>
      </c>
      <c r="O125" s="855">
        <f>+IFERROR(O118/K118-1,"n/a ")</f>
        <v>0.17496582698691654</v>
      </c>
      <c r="P125" s="855">
        <f t="shared" ref="P125:AI125" si="236">+IFERROR(P118/L118-1,"n/a ")</f>
        <v>0.18526367267095933</v>
      </c>
      <c r="Q125" s="855">
        <f t="shared" si="236"/>
        <v>0.12286465177398154</v>
      </c>
      <c r="R125" s="855">
        <f t="shared" si="236"/>
        <v>0.13990081658525666</v>
      </c>
      <c r="S125" s="855">
        <f t="shared" si="236"/>
        <v>0.12072461359481479</v>
      </c>
      <c r="T125" s="855">
        <f t="shared" si="236"/>
        <v>0.13653555219364599</v>
      </c>
      <c r="U125" s="855">
        <f t="shared" si="236"/>
        <v>0.13658341289150311</v>
      </c>
      <c r="V125" s="855">
        <f t="shared" si="236"/>
        <v>0.14556278826338698</v>
      </c>
      <c r="W125" s="855">
        <f t="shared" si="236"/>
        <v>0.12800664353293589</v>
      </c>
      <c r="X125" s="855">
        <f t="shared" si="236"/>
        <v>0.12400544546967174</v>
      </c>
      <c r="Y125" s="855">
        <f t="shared" si="236"/>
        <v>0.16718148810491518</v>
      </c>
      <c r="Z125" s="855">
        <f t="shared" si="236"/>
        <v>0.19088546871876866</v>
      </c>
      <c r="AA125" s="855">
        <f t="shared" si="236"/>
        <v>0.21347251071437956</v>
      </c>
      <c r="AB125" s="855">
        <f t="shared" si="236"/>
        <v>0.21970716477364483</v>
      </c>
      <c r="AC125" s="855">
        <f t="shared" si="236"/>
        <v>0.2008543040208004</v>
      </c>
      <c r="AD125" s="855">
        <f t="shared" si="236"/>
        <v>0.18352275451973332</v>
      </c>
      <c r="AE125" s="902">
        <f t="shared" si="236"/>
        <v>0.12378661813139202</v>
      </c>
      <c r="AF125" s="902">
        <f t="shared" si="236"/>
        <v>0.1060308493501334</v>
      </c>
      <c r="AG125" s="855">
        <f t="shared" si="236"/>
        <v>3.5971523554729767E-2</v>
      </c>
      <c r="AH125" s="855">
        <f t="shared" si="236"/>
        <v>4.476841321840741E-2</v>
      </c>
      <c r="AI125" s="855">
        <f t="shared" si="236"/>
        <v>6.7826986674471179E-2</v>
      </c>
      <c r="AU125" s="855">
        <f t="shared" si="225"/>
        <v>7.7700874091647165E-2</v>
      </c>
      <c r="AV125" s="855">
        <f t="shared" si="225"/>
        <v>-8.8266723658901425E-2</v>
      </c>
      <c r="AW125" s="855">
        <f t="shared" si="225"/>
        <v>5.4266291608063844E-2</v>
      </c>
      <c r="AX125" s="855"/>
      <c r="AY125" s="1013">
        <f t="shared" si="230"/>
        <v>-8.8266723658901425E-2</v>
      </c>
      <c r="AZ125" s="1013">
        <f t="shared" si="231"/>
        <v>5.4266291608063844E-2</v>
      </c>
      <c r="BA125" s="855">
        <f t="shared" si="228"/>
        <v>0.14278613662486661</v>
      </c>
      <c r="BB125" s="855">
        <f t="shared" si="228"/>
        <v>0.14029539688292858</v>
      </c>
      <c r="BC125" s="855">
        <f t="shared" si="228"/>
        <v>0.13645574247276371</v>
      </c>
      <c r="BD125" s="855">
        <f t="shared" si="228"/>
        <v>0.17531727441177503</v>
      </c>
      <c r="BE125" s="855">
        <f t="shared" si="228"/>
        <v>0.17956070629670173</v>
      </c>
      <c r="BF125" s="855">
        <f t="shared" si="228"/>
        <v>6.2507441926519913E-2</v>
      </c>
      <c r="BH125"/>
      <c r="BI125"/>
      <c r="BJ125" s="3" t="s">
        <v>1286</v>
      </c>
      <c r="BK125" s="839">
        <v>14.5</v>
      </c>
      <c r="BL125" s="839">
        <v>14.9</v>
      </c>
      <c r="BM125" s="885">
        <f>+BL125/AC116*1000-1</f>
        <v>-0.14686515888920693</v>
      </c>
      <c r="BN125" s="839">
        <f t="shared" si="235"/>
        <v>14.7</v>
      </c>
      <c r="BO125" s="885">
        <f>+BN125/AC116*1000-1</f>
        <v>-0.15831663326653311</v>
      </c>
    </row>
    <row r="126" spans="2:67" s="7" customFormat="1">
      <c r="B126" s="887" t="s">
        <v>1287</v>
      </c>
      <c r="L126" s="855">
        <f>+L125</f>
        <v>0.11902590295512594</v>
      </c>
      <c r="M126" s="855">
        <f t="shared" ref="M126:AC126" si="237">+M125</f>
        <v>0.11972430883605667</v>
      </c>
      <c r="N126" s="855">
        <f t="shared" si="237"/>
        <v>0.15539376184732046</v>
      </c>
      <c r="O126" s="855">
        <f t="shared" si="237"/>
        <v>0.17496582698691654</v>
      </c>
      <c r="P126" s="855">
        <f t="shared" si="237"/>
        <v>0.18526367267095933</v>
      </c>
      <c r="Q126" s="855">
        <f t="shared" si="237"/>
        <v>0.12286465177398154</v>
      </c>
      <c r="R126" s="855">
        <f t="shared" si="237"/>
        <v>0.13990081658525666</v>
      </c>
      <c r="S126" s="855">
        <f t="shared" si="237"/>
        <v>0.12072461359481479</v>
      </c>
      <c r="T126" s="855">
        <f t="shared" si="237"/>
        <v>0.13653555219364599</v>
      </c>
      <c r="U126" s="855">
        <f t="shared" si="237"/>
        <v>0.13658341289150311</v>
      </c>
      <c r="V126" s="855">
        <f t="shared" si="237"/>
        <v>0.14556278826338698</v>
      </c>
      <c r="W126" s="855">
        <f t="shared" si="237"/>
        <v>0.12800664353293589</v>
      </c>
      <c r="X126" s="855">
        <f t="shared" si="237"/>
        <v>0.12400544546967174</v>
      </c>
      <c r="Y126" s="855">
        <f t="shared" si="237"/>
        <v>0.16718148810491518</v>
      </c>
      <c r="Z126" s="855">
        <f t="shared" si="237"/>
        <v>0.19088546871876866</v>
      </c>
      <c r="AA126" s="855">
        <f t="shared" si="237"/>
        <v>0.21347251071437956</v>
      </c>
      <c r="AB126" s="855">
        <f t="shared" si="237"/>
        <v>0.21970716477364483</v>
      </c>
      <c r="AC126" s="855">
        <f t="shared" si="237"/>
        <v>0.2008543040208004</v>
      </c>
      <c r="AD126" s="855">
        <f>(AD118-110)/Z118-1</f>
        <v>0.18088524432935316</v>
      </c>
      <c r="AE126" s="902">
        <f>(AE118-350)/AA118-1</f>
        <v>0.11620298145259134</v>
      </c>
      <c r="AF126" s="902">
        <f t="shared" ref="AF126:AG126" si="238">(AF118-350)/AB118-1</f>
        <v>9.8307478429728423E-2</v>
      </c>
      <c r="AG126" s="855">
        <f t="shared" si="238"/>
        <v>2.9205362094785414E-2</v>
      </c>
      <c r="AH126" s="855">
        <f>(AH118-350/3*2)/AD118-1</f>
        <v>4.0041238718137029E-2</v>
      </c>
      <c r="AI126" s="855">
        <f>+AI125</f>
        <v>6.7826986674471179E-2</v>
      </c>
      <c r="AU126" s="855">
        <f t="shared" ref="AU126:AW126" si="239">+AU125</f>
        <v>7.7700874091647165E-2</v>
      </c>
      <c r="AV126" s="855">
        <f t="shared" si="239"/>
        <v>-8.8266723658901425E-2</v>
      </c>
      <c r="AW126" s="855">
        <f t="shared" si="239"/>
        <v>5.4266291608063844E-2</v>
      </c>
      <c r="AX126" s="855"/>
      <c r="AY126" s="1013">
        <f t="shared" si="230"/>
        <v>-8.8266723658901425E-2</v>
      </c>
      <c r="AZ126" s="1013">
        <f t="shared" si="231"/>
        <v>5.4266291608063844E-2</v>
      </c>
      <c r="BA126" s="855">
        <f t="shared" ref="BA126:BD126" si="240">+BA125</f>
        <v>0.14278613662486661</v>
      </c>
      <c r="BB126" s="855">
        <f t="shared" si="240"/>
        <v>0.14029539688292858</v>
      </c>
      <c r="BC126" s="855">
        <f t="shared" si="240"/>
        <v>0.13645574247276371</v>
      </c>
      <c r="BD126" s="855">
        <f t="shared" si="240"/>
        <v>0.17531727441177503</v>
      </c>
      <c r="BE126" s="855">
        <f>(BE118-350/3*4)/BD118-1</f>
        <v>0.1767843827836213</v>
      </c>
      <c r="BF126" s="855">
        <f>(BF118-350/3*8)/BE118-1</f>
        <v>5.7800056374831099E-2</v>
      </c>
      <c r="BH126"/>
      <c r="BI126"/>
      <c r="BJ126" s="3"/>
      <c r="BK126" s="839"/>
      <c r="BL126" s="839"/>
      <c r="BM126" s="885"/>
      <c r="BN126" s="839"/>
      <c r="BO126" s="885"/>
    </row>
    <row r="127" spans="2:67" s="3" customFormat="1">
      <c r="B127" s="888"/>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U127" s="14"/>
      <c r="AV127" s="14"/>
      <c r="AW127" s="14"/>
      <c r="AX127" s="14"/>
      <c r="AY127" s="14"/>
      <c r="AZ127" s="14"/>
      <c r="BA127" s="14"/>
      <c r="BB127" s="14"/>
      <c r="BC127" s="14"/>
      <c r="BD127" s="14"/>
      <c r="BE127" s="14"/>
      <c r="BF127" s="14"/>
      <c r="BH127"/>
      <c r="BI127"/>
      <c r="BK127">
        <f>SUM(BK123:BK125)</f>
        <v>52.35</v>
      </c>
      <c r="BL127">
        <f>SUM(BL123:BL125)</f>
        <v>53.35</v>
      </c>
      <c r="BM127" s="885">
        <f>+BL127/AC118*1000-1</f>
        <v>3.1356325394370499E-2</v>
      </c>
      <c r="BN127" s="889">
        <f t="shared" si="235"/>
        <v>52.85</v>
      </c>
      <c r="BO127" s="885">
        <f>+BN127/AC118*1000-1</f>
        <v>2.1690380451592883E-2</v>
      </c>
    </row>
    <row r="128" spans="2:67" s="3" customFormat="1" ht="10.5">
      <c r="B128" s="883" t="s">
        <v>272</v>
      </c>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U128" s="890"/>
      <c r="AV128" s="890"/>
      <c r="AW128" s="890"/>
      <c r="AX128" s="890"/>
      <c r="AY128" s="890"/>
      <c r="AZ128" s="14"/>
      <c r="BA128" s="14"/>
      <c r="BB128" s="14"/>
      <c r="BC128" s="14"/>
      <c r="BD128" s="14"/>
      <c r="BE128" s="14"/>
      <c r="BF128" s="14"/>
      <c r="BH128" s="1"/>
      <c r="BI128" s="1"/>
      <c r="BO128" s="885"/>
    </row>
    <row r="129" spans="2:67" s="3" customFormat="1">
      <c r="B129" s="884" t="s">
        <v>340</v>
      </c>
      <c r="L129" s="23">
        <f>+L353</f>
        <v>0.28000000000000003</v>
      </c>
      <c r="M129" s="23">
        <f>+M353</f>
        <v>0.24</v>
      </c>
      <c r="N129" s="23">
        <f>+N353</f>
        <v>0.14000000000000001</v>
      </c>
      <c r="O129" s="23">
        <f>+O353</f>
        <v>0.1</v>
      </c>
      <c r="P129" s="23">
        <f t="shared" ref="P129:AA129" si="241">+P353</f>
        <v>0.18</v>
      </c>
      <c r="Q129" s="23">
        <f t="shared" si="241"/>
        <v>0.13</v>
      </c>
      <c r="R129" s="23">
        <f t="shared" si="241"/>
        <v>0.15</v>
      </c>
      <c r="S129" s="23">
        <f t="shared" si="241"/>
        <v>0.17</v>
      </c>
      <c r="T129" s="23">
        <f t="shared" si="241"/>
        <v>0.15</v>
      </c>
      <c r="U129" s="23">
        <f t="shared" si="241"/>
        <v>0.19</v>
      </c>
      <c r="V129" s="23">
        <f t="shared" si="241"/>
        <v>0.16</v>
      </c>
      <c r="W129" s="23">
        <f t="shared" si="241"/>
        <v>0.08</v>
      </c>
      <c r="X129" s="23">
        <f t="shared" si="241"/>
        <v>0.11</v>
      </c>
      <c r="Y129" s="23">
        <f t="shared" si="241"/>
        <v>0.11</v>
      </c>
      <c r="Z129" s="23">
        <f t="shared" si="241"/>
        <v>0.12</v>
      </c>
      <c r="AA129" s="23">
        <f t="shared" si="241"/>
        <v>0.20499999999999999</v>
      </c>
      <c r="AB129" s="23">
        <v>0.2</v>
      </c>
      <c r="AC129" s="23">
        <v>0.19</v>
      </c>
      <c r="AD129" s="14">
        <f>+AD121+2%</f>
        <v>0.18506788665879578</v>
      </c>
      <c r="AE129" s="14">
        <v>0.17</v>
      </c>
      <c r="AF129" s="14">
        <v>0.15</v>
      </c>
      <c r="AG129" s="14"/>
      <c r="AH129" s="14"/>
      <c r="AI129" s="14"/>
      <c r="AJ129" s="21"/>
      <c r="AK129" s="21"/>
      <c r="AL129" s="21"/>
      <c r="AM129" s="21"/>
      <c r="AN129" s="21"/>
      <c r="AO129" s="21"/>
      <c r="AP129" s="21"/>
      <c r="AQ129" s="21"/>
      <c r="AR129" s="21"/>
      <c r="AS129" s="21"/>
      <c r="AT129" s="21"/>
      <c r="AU129" s="891">
        <f>+AU121+2%</f>
        <v>-2.4021352313165559E-4</v>
      </c>
      <c r="AV129" s="891">
        <f>+AV121+6%</f>
        <v>6.2156640181611766E-2</v>
      </c>
      <c r="AW129" s="891">
        <f>+AW121+2%</f>
        <v>0.1693940423604032</v>
      </c>
      <c r="AX129" s="891"/>
      <c r="AY129" s="1010">
        <f t="shared" ref="AY129:AY133" si="242">+AV129</f>
        <v>6.2156640181611766E-2</v>
      </c>
      <c r="AZ129" s="1010">
        <f t="shared" ref="AY129:AZ133" si="243">+AW129</f>
        <v>0.1693940423604032</v>
      </c>
      <c r="BA129" s="23">
        <f>+BA353</f>
        <v>0.18275259457649817</v>
      </c>
      <c r="BB129" s="23">
        <f t="shared" ref="BB129:BE129" si="244">+BB353</f>
        <v>0.15728955806496586</v>
      </c>
      <c r="BC129" s="23">
        <f t="shared" si="244"/>
        <v>0.14351627793974733</v>
      </c>
      <c r="BD129" s="23">
        <f t="shared" si="244"/>
        <v>0.1365931721194879</v>
      </c>
      <c r="BE129" s="23">
        <f t="shared" si="244"/>
        <v>0.1868352035611611</v>
      </c>
      <c r="BF129" s="23"/>
      <c r="BJ129" s="3" t="s">
        <v>341</v>
      </c>
      <c r="BK129" s="852">
        <v>17.399999999999999</v>
      </c>
      <c r="BL129" s="852">
        <v>17.600000000000001</v>
      </c>
      <c r="BM129" s="839"/>
      <c r="BN129" s="839">
        <f t="shared" si="235"/>
        <v>17.5</v>
      </c>
      <c r="BO129" s="885"/>
    </row>
    <row r="130" spans="2:67" s="3" customFormat="1">
      <c r="B130" s="884" t="s">
        <v>342</v>
      </c>
      <c r="L130" s="23">
        <f>+L440</f>
        <v>0.13</v>
      </c>
      <c r="M130" s="23">
        <f>+M440</f>
        <v>0.15</v>
      </c>
      <c r="N130" s="23">
        <f>+N440</f>
        <v>0.15</v>
      </c>
      <c r="O130" s="23">
        <f>+O440</f>
        <v>0.2</v>
      </c>
      <c r="P130" s="23">
        <f t="shared" ref="P130:V130" si="245">+P440</f>
        <v>0.24</v>
      </c>
      <c r="Q130" s="23">
        <f t="shared" si="245"/>
        <v>0.21</v>
      </c>
      <c r="R130" s="23">
        <f t="shared" si="245"/>
        <v>0.24</v>
      </c>
      <c r="S130" s="23">
        <f t="shared" si="245"/>
        <v>0.21</v>
      </c>
      <c r="T130" s="23">
        <f t="shared" si="245"/>
        <v>0.28999999999999998</v>
      </c>
      <c r="U130" s="23">
        <f t="shared" si="245"/>
        <v>0.28000000000000003</v>
      </c>
      <c r="V130" s="23">
        <f t="shared" si="245"/>
        <v>0.28999999999999998</v>
      </c>
      <c r="W130" s="23">
        <f>+W440</f>
        <v>0.19</v>
      </c>
      <c r="X130" s="23">
        <f>+X440</f>
        <v>0.19</v>
      </c>
      <c r="Y130" s="23">
        <f t="shared" ref="Y130:AA130" si="246">+Y440</f>
        <v>0.22</v>
      </c>
      <c r="Z130" s="23">
        <f t="shared" si="246"/>
        <v>0.2</v>
      </c>
      <c r="AA130" s="23">
        <f t="shared" si="246"/>
        <v>0.255</v>
      </c>
      <c r="AB130" s="23">
        <v>0.28999999999999998</v>
      </c>
      <c r="AC130" s="23">
        <v>0.26</v>
      </c>
      <c r="AD130" s="14">
        <f>+AD122+2%</f>
        <v>0.28015345945230852</v>
      </c>
      <c r="AE130" s="14">
        <v>0.25</v>
      </c>
      <c r="AF130" s="14">
        <v>0.26</v>
      </c>
      <c r="AG130" s="14"/>
      <c r="AH130" s="14"/>
      <c r="AI130" s="14"/>
      <c r="AJ130" s="21"/>
      <c r="AK130" s="21"/>
      <c r="AL130" s="21"/>
      <c r="AM130" s="21"/>
      <c r="AN130" s="21"/>
      <c r="AO130" s="21"/>
      <c r="AP130" s="21"/>
      <c r="AQ130" s="21"/>
      <c r="AR130" s="21"/>
      <c r="AS130" s="21"/>
      <c r="AT130" s="21"/>
      <c r="AU130" s="891">
        <f>+AU122+2%</f>
        <v>0.11109730848861286</v>
      </c>
      <c r="AV130" s="891">
        <f>+AV122+5%</f>
        <v>0.10595614589921994</v>
      </c>
      <c r="AW130" s="891">
        <f>+AW122+1%</f>
        <v>0.10575912467055336</v>
      </c>
      <c r="AX130" s="891"/>
      <c r="AY130" s="904">
        <f t="shared" si="242"/>
        <v>0.10595614589921994</v>
      </c>
      <c r="AZ130" s="904">
        <f t="shared" si="243"/>
        <v>0.10575912467055336</v>
      </c>
      <c r="BA130" s="23">
        <f>+BA440</f>
        <v>0.1598208486882913</v>
      </c>
      <c r="BB130" s="23">
        <f t="shared" ref="BB130:BE130" si="247">+BB440</f>
        <v>0.22379744871038831</v>
      </c>
      <c r="BC130" s="23">
        <f t="shared" si="247"/>
        <v>0.25837552904963451</v>
      </c>
      <c r="BD130" s="23">
        <f t="shared" si="247"/>
        <v>0.21787071496505808</v>
      </c>
      <c r="BE130" s="23">
        <f t="shared" si="247"/>
        <v>0.2711413115845539</v>
      </c>
      <c r="BF130" s="23"/>
      <c r="BK130">
        <f>+BK127-BK129</f>
        <v>34.950000000000003</v>
      </c>
      <c r="BL130">
        <f>+BL127-BL129</f>
        <v>35.75</v>
      </c>
      <c r="BN130" s="892">
        <f>+BN127-BN129</f>
        <v>35.35</v>
      </c>
      <c r="BO130" s="885"/>
    </row>
    <row r="131" spans="2:67" s="3" customFormat="1">
      <c r="B131" s="884" t="s">
        <v>344</v>
      </c>
      <c r="L131" s="228">
        <f>+L468</f>
        <v>-0.01</v>
      </c>
      <c r="M131" s="228">
        <f>+M468</f>
        <v>0.02</v>
      </c>
      <c r="N131" s="228">
        <f>+N468</f>
        <v>0.11</v>
      </c>
      <c r="O131" s="228">
        <f>+O468</f>
        <v>0.16</v>
      </c>
      <c r="P131" s="228">
        <f t="shared" ref="P131:AA131" si="248">+P468</f>
        <v>0.15</v>
      </c>
      <c r="Q131" s="228">
        <f t="shared" si="248"/>
        <v>7.0000000000000007E-2</v>
      </c>
      <c r="R131" s="228">
        <f t="shared" si="248"/>
        <v>0.09</v>
      </c>
      <c r="S131" s="228">
        <f t="shared" si="248"/>
        <v>0.06</v>
      </c>
      <c r="T131" s="228">
        <f t="shared" si="248"/>
        <v>0.05</v>
      </c>
      <c r="U131" s="228">
        <f t="shared" si="248"/>
        <v>0.03</v>
      </c>
      <c r="V131" s="228">
        <f t="shared" si="248"/>
        <v>0.04</v>
      </c>
      <c r="W131" s="228">
        <f t="shared" si="248"/>
        <v>0.16</v>
      </c>
      <c r="X131" s="228">
        <f t="shared" si="248"/>
        <v>0.06</v>
      </c>
      <c r="Y131" s="228">
        <f t="shared" si="248"/>
        <v>0.13</v>
      </c>
      <c r="Z131" s="228">
        <f t="shared" si="248"/>
        <v>0.16</v>
      </c>
      <c r="AA131" s="228">
        <f t="shared" si="248"/>
        <v>0.06</v>
      </c>
      <c r="AB131" s="228">
        <v>0.11</v>
      </c>
      <c r="AC131" s="228">
        <v>0.15</v>
      </c>
      <c r="AD131" s="228">
        <f>+AD123+1%</f>
        <v>0.12383860079779073</v>
      </c>
      <c r="AE131" s="228">
        <v>0.05</v>
      </c>
      <c r="AF131" s="228">
        <v>0.03</v>
      </c>
      <c r="AG131" s="14"/>
      <c r="AH131" s="14"/>
      <c r="AI131" s="14"/>
      <c r="AU131" s="228">
        <f>+AU123+0%</f>
        <v>0.12935517420696829</v>
      </c>
      <c r="AV131" s="228">
        <f>+AV123+2%</f>
        <v>-4.9091746287556096E-2</v>
      </c>
      <c r="AW131" s="228">
        <f>+AW123+2%</f>
        <v>-2.1079289706682509E-2</v>
      </c>
      <c r="AX131" s="890"/>
      <c r="AY131" s="1010">
        <f t="shared" si="242"/>
        <v>-4.9091746287556096E-2</v>
      </c>
      <c r="AZ131" s="1010">
        <f t="shared" si="243"/>
        <v>-2.1079289706682509E-2</v>
      </c>
      <c r="BA131" s="228">
        <f>+BA468</f>
        <v>6.5828879727184819E-2</v>
      </c>
      <c r="BB131" s="228">
        <f t="shared" ref="BB131:BE131" si="249">+BB468</f>
        <v>8.9880546882391901E-2</v>
      </c>
      <c r="BC131" s="228">
        <f t="shared" si="249"/>
        <v>6.9126219965862851E-2</v>
      </c>
      <c r="BD131" s="228">
        <f t="shared" si="249"/>
        <v>0.10195705788481069</v>
      </c>
      <c r="BE131" s="228">
        <f t="shared" si="249"/>
        <v>0.1103778677462888</v>
      </c>
      <c r="BF131" s="228"/>
      <c r="BK131"/>
      <c r="BL131"/>
      <c r="BO131" s="1024"/>
    </row>
    <row r="132" spans="2:67" s="839" customFormat="1" ht="11.45" outlineLevel="1">
      <c r="B132" s="884" t="s">
        <v>345</v>
      </c>
      <c r="L132" s="840" t="s">
        <v>273</v>
      </c>
      <c r="M132" s="840" t="s">
        <v>273</v>
      </c>
      <c r="N132" s="840" t="s">
        <v>273</v>
      </c>
      <c r="O132" s="840" t="s">
        <v>273</v>
      </c>
      <c r="P132" s="840" t="s">
        <v>273</v>
      </c>
      <c r="Q132" s="840" t="s">
        <v>273</v>
      </c>
      <c r="R132" s="840" t="s">
        <v>273</v>
      </c>
      <c r="S132" s="840" t="s">
        <v>273</v>
      </c>
      <c r="T132" s="840" t="s">
        <v>273</v>
      </c>
      <c r="U132" s="840" t="s">
        <v>273</v>
      </c>
      <c r="V132" s="840" t="s">
        <v>273</v>
      </c>
      <c r="W132" s="840" t="s">
        <v>273</v>
      </c>
      <c r="X132" s="840" t="s">
        <v>273</v>
      </c>
      <c r="Y132" s="840" t="s">
        <v>273</v>
      </c>
      <c r="Z132" s="840" t="s">
        <v>273</v>
      </c>
      <c r="AA132" s="840" t="s">
        <v>273</v>
      </c>
      <c r="AB132" s="840" t="s">
        <v>273</v>
      </c>
      <c r="AC132" s="840" t="s">
        <v>273</v>
      </c>
      <c r="AD132" s="840" t="s">
        <v>273</v>
      </c>
      <c r="AE132" s="840" t="s">
        <v>273</v>
      </c>
      <c r="AF132" s="840" t="s">
        <v>273</v>
      </c>
      <c r="AG132" s="14"/>
      <c r="AH132" s="14"/>
      <c r="AI132" s="14"/>
      <c r="AU132" s="840" t="s">
        <v>273</v>
      </c>
      <c r="AV132" s="840" t="s">
        <v>273</v>
      </c>
      <c r="AW132" s="840" t="s">
        <v>273</v>
      </c>
      <c r="AX132" s="893"/>
      <c r="AY132" s="1011" t="str">
        <f t="shared" si="243"/>
        <v>NA</v>
      </c>
      <c r="AZ132" s="1011" t="str">
        <f t="shared" si="243"/>
        <v>NA</v>
      </c>
      <c r="BA132" s="840" t="s">
        <v>273</v>
      </c>
      <c r="BB132" s="840" t="s">
        <v>273</v>
      </c>
      <c r="BC132" s="840" t="s">
        <v>273</v>
      </c>
      <c r="BD132" s="840" t="s">
        <v>273</v>
      </c>
      <c r="BE132" s="840" t="s">
        <v>273</v>
      </c>
      <c r="BF132" s="840"/>
      <c r="BJ132" s="839" t="s">
        <v>347</v>
      </c>
      <c r="BK132">
        <v>14.3</v>
      </c>
      <c r="BL132">
        <v>14.4</v>
      </c>
      <c r="BN132" s="3">
        <f t="shared" ref="BN132" si="250">AVERAGE(BK132:BL132)</f>
        <v>14.350000000000001</v>
      </c>
      <c r="BO132" s="894">
        <f>+BN132*1000/AC30-1</f>
        <v>0.14607459468093609</v>
      </c>
    </row>
    <row r="133" spans="2:67" s="7" customFormat="1">
      <c r="B133" s="887" t="str">
        <f t="shared" ref="B133" si="251">+B125</f>
        <v>Total Revenue</v>
      </c>
      <c r="L133" s="895">
        <f>+SUMPRODUCT(L129:L131,H114:H116)/H118</f>
        <v>0.11404323239693544</v>
      </c>
      <c r="M133" s="895">
        <f>+SUMPRODUCT(M129:M131,I114:I116)/I118</f>
        <v>0.11517230697746457</v>
      </c>
      <c r="N133" s="895">
        <f>+SUMPRODUCT(N129:N131,J114:J116)/J118</f>
        <v>0.13155824573496466</v>
      </c>
      <c r="O133" s="895">
        <f>+SUMPRODUCT(O129:O131,K114:K116)/K118</f>
        <v>0.15218902558094122</v>
      </c>
      <c r="P133" s="895">
        <f t="shared" ref="P133:Q133" si="252">+SUMPRODUCT(P129:P131,L114:L116)/L118</f>
        <v>0.18546010269785637</v>
      </c>
      <c r="Q133" s="895">
        <f t="shared" si="252"/>
        <v>0.12631371464139982</v>
      </c>
      <c r="R133" s="895">
        <v>0.16</v>
      </c>
      <c r="S133" s="895">
        <f t="shared" ref="S133:V133" si="253">+SUMPRODUCT(S129:S131,O114:O116)/O118</f>
        <v>0.14324347681568889</v>
      </c>
      <c r="T133" s="895">
        <f t="shared" si="253"/>
        <v>0.15429033145372026</v>
      </c>
      <c r="U133" s="895">
        <f t="shared" si="253"/>
        <v>0.15197037356410337</v>
      </c>
      <c r="V133" s="895">
        <f t="shared" si="253"/>
        <v>0.15910928657878379</v>
      </c>
      <c r="W133" s="895">
        <f>+SUMPRODUCT(W129:W131,S114:S116)/S118+0.11%</f>
        <v>0.14502413322656227</v>
      </c>
      <c r="X133" s="895">
        <f>+SUMPRODUCT(X129:X131,T114:T116)/T118+0.11%</f>
        <v>0.12050704885796401</v>
      </c>
      <c r="Y133" s="895">
        <f t="shared" ref="Y133:AF133" si="254">+SUMPRODUCT(Y129:Y131,U114:U116)/U118+0.11%</f>
        <v>0.15363536010404813</v>
      </c>
      <c r="Z133" s="895">
        <f t="shared" si="254"/>
        <v>0.16171448844978725</v>
      </c>
      <c r="AA133" s="895">
        <f t="shared" si="254"/>
        <v>0.17445905660873451</v>
      </c>
      <c r="AB133" s="895">
        <f t="shared" si="254"/>
        <v>0.20385421219787908</v>
      </c>
      <c r="AC133" s="895">
        <f t="shared" si="254"/>
        <v>0.20078497539232981</v>
      </c>
      <c r="AD133" s="895">
        <f t="shared" si="254"/>
        <v>0.20149706517047911</v>
      </c>
      <c r="AE133" s="895">
        <f t="shared" si="254"/>
        <v>0.16459280637892182</v>
      </c>
      <c r="AF133" s="895">
        <f t="shared" si="254"/>
        <v>0.15702183948628548</v>
      </c>
      <c r="AG133" s="895"/>
      <c r="AH133" s="895"/>
      <c r="AI133" s="895"/>
      <c r="AJ133" s="896"/>
      <c r="AK133" s="896"/>
      <c r="AL133" s="896"/>
      <c r="AM133" s="896"/>
      <c r="AN133" s="896"/>
      <c r="AO133" s="896"/>
      <c r="AP133" s="896"/>
      <c r="AQ133" s="896"/>
      <c r="AR133" s="896"/>
      <c r="AS133" s="896"/>
      <c r="AT133" s="896"/>
      <c r="AU133" s="897">
        <f>+AU125+2%</f>
        <v>9.7700874091647169E-2</v>
      </c>
      <c r="AV133" s="897">
        <f>+AV125+4%</f>
        <v>-4.8266723658901424E-2</v>
      </c>
      <c r="AW133" s="897">
        <f>+AW125+2%</f>
        <v>7.4266291608063847E-2</v>
      </c>
      <c r="AX133" s="897"/>
      <c r="AY133" s="1013">
        <f t="shared" si="242"/>
        <v>-4.8266723658901424E-2</v>
      </c>
      <c r="AZ133" s="1013">
        <f t="shared" si="243"/>
        <v>7.4266291608063847E-2</v>
      </c>
      <c r="BA133" s="895">
        <f>+SUMPRODUCT(BA129:BA131,AZ114:AZ116)/AZ118</f>
        <v>0.12866916569156372</v>
      </c>
      <c r="BB133" s="895">
        <f t="shared" ref="BB133:BE133" si="255">+SUMPRODUCT(BB129:BB131,BA114:BA116)/BA118</f>
        <v>0.15088356288510332</v>
      </c>
      <c r="BC133" s="895">
        <f t="shared" si="255"/>
        <v>0.15208497890228301</v>
      </c>
      <c r="BD133" s="895">
        <f t="shared" si="255"/>
        <v>0.15239460895710238</v>
      </c>
      <c r="BE133" s="895">
        <f t="shared" si="255"/>
        <v>0.19236388082433009</v>
      </c>
      <c r="BF133" s="895"/>
      <c r="BO133" s="898"/>
    </row>
    <row r="134" spans="2:67" hidden="1" outlineLevel="1">
      <c r="BJ134" s="3"/>
      <c r="BK134" s="899">
        <f>+BK127-BK129-BK132</f>
        <v>20.650000000000002</v>
      </c>
      <c r="BL134" s="899">
        <f>+BL127-BL129-BL132</f>
        <v>21.35</v>
      </c>
      <c r="BN134" s="899">
        <f>+BN127-BN129-BN132</f>
        <v>21</v>
      </c>
      <c r="BO134" s="900">
        <f>+BN134*1000/AA146-1</f>
        <v>9.9764336213668425E-2</v>
      </c>
    </row>
    <row r="135" spans="2:67" s="3" customFormat="1" ht="13.5" hidden="1" outlineLevel="1">
      <c r="B135" s="883" t="s">
        <v>350</v>
      </c>
      <c r="L135" s="6" t="s">
        <v>222</v>
      </c>
      <c r="M135" s="6" t="s">
        <v>223</v>
      </c>
      <c r="N135" s="6" t="s">
        <v>224</v>
      </c>
      <c r="O135" s="6" t="s">
        <v>225</v>
      </c>
      <c r="X135" s="6" t="s">
        <v>226</v>
      </c>
      <c r="Y135" s="6" t="s">
        <v>227</v>
      </c>
      <c r="Z135" s="6" t="s">
        <v>228</v>
      </c>
      <c r="AA135" s="6" t="s">
        <v>229</v>
      </c>
      <c r="AB135" s="6" t="s">
        <v>230</v>
      </c>
      <c r="AC135" s="6" t="s">
        <v>231</v>
      </c>
      <c r="AD135" s="6" t="s">
        <v>232</v>
      </c>
      <c r="AE135" s="6" t="s">
        <v>358</v>
      </c>
      <c r="AF135" s="6" t="s">
        <v>234</v>
      </c>
      <c r="AG135" s="6" t="s">
        <v>359</v>
      </c>
      <c r="AH135" s="6" t="s">
        <v>360</v>
      </c>
      <c r="AI135" s="6" t="s">
        <v>361</v>
      </c>
      <c r="BI135"/>
      <c r="BJ135"/>
      <c r="BK135" s="874">
        <f>+BK134/BK127</f>
        <v>0.39446036294173831</v>
      </c>
      <c r="BL135" s="874">
        <f>+BL134/BL127</f>
        <v>0.40018744142455487</v>
      </c>
      <c r="BM135"/>
      <c r="BN135" s="874">
        <f>+BN134/BN127</f>
        <v>0.39735099337748342</v>
      </c>
    </row>
    <row r="136" spans="2:67" s="3" customFormat="1" hidden="1" outlineLevel="1">
      <c r="B136" s="884" t="str">
        <f>+B129</f>
        <v>Productivity and Business Processes</v>
      </c>
      <c r="L136" s="890">
        <f t="shared" ref="L136:O138" si="256">+T121+P121+L121</f>
        <v>0.59973725951525125</v>
      </c>
      <c r="M136" s="890">
        <f t="shared" si="256"/>
        <v>0.54611419591948929</v>
      </c>
      <c r="N136" s="890">
        <f t="shared" si="256"/>
        <v>0.4523433194919666</v>
      </c>
      <c r="O136" s="890">
        <f t="shared" si="256"/>
        <v>0.33747853086898272</v>
      </c>
      <c r="X136" s="890">
        <f t="shared" ref="X136:AI138" si="257">+X121+T121+P121</f>
        <v>0.43187391095562067</v>
      </c>
      <c r="Y136" s="890">
        <f t="shared" si="257"/>
        <v>0.42812684358137632</v>
      </c>
      <c r="Z136" s="890">
        <f t="shared" si="257"/>
        <v>0.43784446712413971</v>
      </c>
      <c r="AA136" s="890">
        <f t="shared" si="257"/>
        <v>0.45653882164516424</v>
      </c>
      <c r="AB136" s="890">
        <f t="shared" si="257"/>
        <v>0.46658219706226123</v>
      </c>
      <c r="AC136" s="890">
        <f t="shared" si="257"/>
        <v>0.49345303854399636</v>
      </c>
      <c r="AD136" s="890">
        <f t="shared" si="257"/>
        <v>0.46567051500878498</v>
      </c>
      <c r="AE136" s="890">
        <f t="shared" si="257"/>
        <v>0.44384682591809921</v>
      </c>
      <c r="AF136" s="890">
        <f t="shared" si="257"/>
        <v>0.4277414983022283</v>
      </c>
      <c r="AG136" s="890">
        <f t="shared" si="257"/>
        <v>0.38256194943508554</v>
      </c>
      <c r="AH136" s="890">
        <f t="shared" si="257"/>
        <v>0.37938970733689098</v>
      </c>
      <c r="AI136" s="890">
        <f t="shared" si="257"/>
        <v>0.37811193256245296</v>
      </c>
      <c r="AU136" s="14"/>
      <c r="AV136" s="14"/>
      <c r="AW136" s="890">
        <f>+AW121+AV121+AU121</f>
        <v>0.13131046901888332</v>
      </c>
      <c r="AX136" s="14"/>
      <c r="AY136" s="14"/>
      <c r="AZ136" s="14"/>
      <c r="BA136" s="14"/>
      <c r="BB136" s="890">
        <f t="shared" ref="BB136:BE138" si="258">+BB121+BA121+AZ121</f>
        <v>0.49773406087363981</v>
      </c>
      <c r="BC136" s="890">
        <f t="shared" si="258"/>
        <v>0.47559949373189547</v>
      </c>
      <c r="BD136" s="890">
        <f t="shared" si="258"/>
        <v>0.43690774078715156</v>
      </c>
      <c r="BE136" s="890">
        <f t="shared" si="258"/>
        <v>0.46452811834057006</v>
      </c>
      <c r="BF136" s="890"/>
      <c r="BK136" s="839"/>
    </row>
    <row r="137" spans="2:67" s="3" customFormat="1" hidden="1" outlineLevel="1">
      <c r="B137" s="884" t="str">
        <f>+B130</f>
        <v>Intelligent Cloud</v>
      </c>
      <c r="L137" s="890">
        <f t="shared" si="256"/>
        <v>0.63886457776134087</v>
      </c>
      <c r="M137" s="890">
        <f t="shared" si="256"/>
        <v>0.62214833007279191</v>
      </c>
      <c r="N137" s="890">
        <f t="shared" si="256"/>
        <v>0.66803961182960947</v>
      </c>
      <c r="O137" s="890">
        <f t="shared" si="256"/>
        <v>0.58771746083828624</v>
      </c>
      <c r="X137" s="890">
        <f t="shared" si="257"/>
        <v>0.70097029406907607</v>
      </c>
      <c r="Y137" s="890">
        <f t="shared" si="257"/>
        <v>0.69888002355678625</v>
      </c>
      <c r="Z137" s="890">
        <f t="shared" si="257"/>
        <v>0.72579277261519093</v>
      </c>
      <c r="AA137" s="890">
        <f t="shared" si="257"/>
        <v>0.65909684195673668</v>
      </c>
      <c r="AB137" s="890">
        <f t="shared" si="257"/>
        <v>0.76965210921078442</v>
      </c>
      <c r="AC137" s="890">
        <f t="shared" si="257"/>
        <v>0.75098912764997539</v>
      </c>
      <c r="AD137" s="890">
        <f t="shared" si="257"/>
        <v>0.76393508718401404</v>
      </c>
      <c r="AE137" s="890">
        <f t="shared" si="257"/>
        <v>0.67667116376100456</v>
      </c>
      <c r="AF137" s="890">
        <f t="shared" si="257"/>
        <v>0.70187350089744016</v>
      </c>
      <c r="AG137" s="890">
        <f t="shared" si="257"/>
        <v>0.67766979911265457</v>
      </c>
      <c r="AH137" s="890">
        <f t="shared" si="257"/>
        <v>0.67126671585418896</v>
      </c>
      <c r="AI137" s="890">
        <f t="shared" si="257"/>
        <v>0.67126671585418896</v>
      </c>
      <c r="AU137" s="14"/>
      <c r="AV137" s="14"/>
      <c r="AW137" s="890">
        <f>+AW122+AV122+AU122</f>
        <v>0.24281257905838616</v>
      </c>
      <c r="AX137" s="14"/>
      <c r="AY137" s="14"/>
      <c r="AZ137" s="14"/>
      <c r="BA137" s="14"/>
      <c r="BB137" s="890">
        <f t="shared" si="258"/>
        <v>0.48133501792670463</v>
      </c>
      <c r="BC137" s="890">
        <f t="shared" si="258"/>
        <v>0.62620690518381572</v>
      </c>
      <c r="BD137" s="890">
        <f t="shared" si="258"/>
        <v>0.6928262526264839</v>
      </c>
      <c r="BE137" s="890">
        <f t="shared" si="258"/>
        <v>0.73533925782984633</v>
      </c>
      <c r="BF137" s="890"/>
    </row>
    <row r="138" spans="2:67" s="839" customFormat="1" ht="11.45" hidden="1" outlineLevel="1">
      <c r="B138" s="884" t="str">
        <f>+B131</f>
        <v>More Personal Computing</v>
      </c>
      <c r="L138" s="840">
        <f t="shared" si="256"/>
        <v>0.18007724774843425</v>
      </c>
      <c r="M138" s="840">
        <f t="shared" si="256"/>
        <v>0.10803886648259287</v>
      </c>
      <c r="N138" s="840">
        <f t="shared" si="256"/>
        <v>0.23676268838201087</v>
      </c>
      <c r="O138" s="840">
        <f t="shared" si="256"/>
        <v>0.35854937701860856</v>
      </c>
      <c r="X138" s="840">
        <f t="shared" si="257"/>
        <v>0.24620002366593319</v>
      </c>
      <c r="Y138" s="840">
        <f t="shared" si="257"/>
        <v>0.2290557571407299</v>
      </c>
      <c r="Z138" s="840">
        <f t="shared" si="257"/>
        <v>0.29203444211334451</v>
      </c>
      <c r="AA138" s="840">
        <f t="shared" si="257"/>
        <v>0.27898643722090877</v>
      </c>
      <c r="AB138" s="840">
        <f t="shared" si="257"/>
        <v>0.2239658287931181</v>
      </c>
      <c r="AC138" s="840">
        <f t="shared" si="257"/>
        <v>0.31637027178073751</v>
      </c>
      <c r="AD138" s="840">
        <f t="shared" si="257"/>
        <v>0.32893445261164955</v>
      </c>
      <c r="AE138" s="840">
        <f t="shared" si="257"/>
        <v>0.25486516297802275</v>
      </c>
      <c r="AF138" s="840">
        <f t="shared" si="257"/>
        <v>0.18930438880060629</v>
      </c>
      <c r="AG138" s="840">
        <f t="shared" si="257"/>
        <v>0.14959200656100383</v>
      </c>
      <c r="AH138" s="840">
        <f t="shared" si="257"/>
        <v>0.14959200656100383</v>
      </c>
      <c r="AI138" s="840">
        <f t="shared" si="257"/>
        <v>0.11222673789057012</v>
      </c>
      <c r="AJ138" s="840"/>
      <c r="AK138" s="840"/>
      <c r="AL138" s="840"/>
      <c r="AM138" s="840"/>
      <c r="AN138" s="840"/>
      <c r="AO138" s="840"/>
      <c r="AP138" s="840"/>
      <c r="AQ138" s="840"/>
      <c r="AR138" s="840"/>
      <c r="AS138" s="840"/>
      <c r="AT138" s="840"/>
      <c r="AU138" s="840"/>
      <c r="AV138" s="840"/>
      <c r="AW138" s="840">
        <f>+AW123+AV123+AU123</f>
        <v>1.9184138212729684E-2</v>
      </c>
      <c r="AX138" s="840"/>
      <c r="AY138" s="840"/>
      <c r="AZ138" s="840"/>
      <c r="BA138" s="840"/>
      <c r="BB138" s="840">
        <f t="shared" si="258"/>
        <v>0.11575443004529351</v>
      </c>
      <c r="BC138" s="840">
        <f t="shared" si="258"/>
        <v>0.21270049729147456</v>
      </c>
      <c r="BD138" s="840">
        <f t="shared" si="258"/>
        <v>0.2578862593971285</v>
      </c>
      <c r="BE138" s="840">
        <f t="shared" si="258"/>
        <v>0.27976490450491509</v>
      </c>
      <c r="BF138" s="840"/>
      <c r="BH138" s="852"/>
      <c r="BI138" s="852"/>
      <c r="BK138" s="852"/>
      <c r="BL138" s="852"/>
      <c r="BM138" s="901"/>
      <c r="BO138" s="901"/>
    </row>
    <row r="139" spans="2:67" s="7" customFormat="1" hidden="1" outlineLevel="1">
      <c r="B139" s="887" t="str">
        <f>+B133</f>
        <v>Total Revenue</v>
      </c>
      <c r="L139" s="902">
        <f t="shared" ref="L139:O139" si="259">+T125+P125+L125</f>
        <v>0.44082512781973127</v>
      </c>
      <c r="M139" s="902">
        <f t="shared" si="259"/>
        <v>0.37917237350154132</v>
      </c>
      <c r="N139" s="902">
        <f t="shared" si="259"/>
        <v>0.44085736669596409</v>
      </c>
      <c r="O139" s="902">
        <f t="shared" si="259"/>
        <v>0.42369708411466722</v>
      </c>
      <c r="X139" s="902">
        <f t="shared" ref="X139:AI139" si="260">+X125+T125+P125</f>
        <v>0.44580467033427706</v>
      </c>
      <c r="Y139" s="902">
        <f t="shared" si="260"/>
        <v>0.42662955277039982</v>
      </c>
      <c r="Z139" s="902">
        <f t="shared" si="260"/>
        <v>0.4763490735674123</v>
      </c>
      <c r="AA139" s="902">
        <f t="shared" si="260"/>
        <v>0.46220376784213024</v>
      </c>
      <c r="AB139" s="902">
        <f t="shared" si="260"/>
        <v>0.48024816243696256</v>
      </c>
      <c r="AC139" s="902">
        <f t="shared" si="260"/>
        <v>0.50461920501721869</v>
      </c>
      <c r="AD139" s="902">
        <f t="shared" si="260"/>
        <v>0.51997101150188896</v>
      </c>
      <c r="AE139" s="902">
        <f t="shared" si="260"/>
        <v>0.46526577237870748</v>
      </c>
      <c r="AF139" s="902">
        <f t="shared" si="260"/>
        <v>0.44974345959344997</v>
      </c>
      <c r="AG139" s="902">
        <f t="shared" si="260"/>
        <v>0.40400731568044534</v>
      </c>
      <c r="AH139" s="902">
        <f t="shared" si="260"/>
        <v>0.41917663645690939</v>
      </c>
      <c r="AI139" s="902">
        <f t="shared" si="260"/>
        <v>0.40508611552024276</v>
      </c>
      <c r="AU139" s="855"/>
      <c r="AV139" s="855"/>
      <c r="AW139" s="902">
        <f>+AW125+AV125+AU125</f>
        <v>4.3700442040809584E-2</v>
      </c>
      <c r="AX139" s="855"/>
      <c r="AY139" s="855"/>
      <c r="AZ139" s="855"/>
      <c r="BA139" s="855"/>
      <c r="BB139" s="902">
        <f>+BB125+BA125+AZ125</f>
        <v>0.33734782511585903</v>
      </c>
      <c r="BC139" s="902">
        <f t="shared" ref="BC139:BE139" si="261">+BC125+BB125+BA125</f>
        <v>0.4195372759805589</v>
      </c>
      <c r="BD139" s="902">
        <f t="shared" si="261"/>
        <v>0.45206841376746731</v>
      </c>
      <c r="BE139" s="902">
        <f t="shared" si="261"/>
        <v>0.49133372318124047</v>
      </c>
      <c r="BF139" s="902"/>
      <c r="BH139"/>
      <c r="BI139"/>
      <c r="BJ139" s="3"/>
      <c r="BK139" s="839"/>
      <c r="BL139" s="839"/>
      <c r="BM139" s="885"/>
      <c r="BN139" s="839"/>
      <c r="BO139" s="885"/>
    </row>
    <row r="140" spans="2:67" collapsed="1">
      <c r="BJ140" s="3"/>
      <c r="BK140" s="899"/>
      <c r="BL140" s="899"/>
      <c r="BN140" s="899"/>
      <c r="BO140" s="900"/>
    </row>
    <row r="141" spans="2:67" ht="10.5">
      <c r="B141" s="45" t="s">
        <v>352</v>
      </c>
    </row>
    <row r="142" spans="2:67">
      <c r="B142" t="s">
        <v>340</v>
      </c>
      <c r="H142" s="879">
        <v>2905</v>
      </c>
      <c r="I142" s="879">
        <v>3053</v>
      </c>
      <c r="J142" s="879">
        <v>2540</v>
      </c>
      <c r="K142" s="879">
        <v>2891</v>
      </c>
      <c r="L142" s="879">
        <v>3006</v>
      </c>
      <c r="M142" s="879">
        <v>3337</v>
      </c>
      <c r="N142" s="879">
        <v>3115</v>
      </c>
      <c r="O142" s="879">
        <v>3466</v>
      </c>
      <c r="P142" s="879">
        <v>3881</v>
      </c>
      <c r="Q142" s="879">
        <v>4015</v>
      </c>
      <c r="R142" s="879">
        <v>3979</v>
      </c>
      <c r="S142" s="879">
        <f>+BB142-SUM(P142:R142)</f>
        <v>4344</v>
      </c>
      <c r="T142" s="879">
        <v>4782</v>
      </c>
      <c r="U142" s="879">
        <v>5182</v>
      </c>
      <c r="V142" s="879">
        <v>4788</v>
      </c>
      <c r="W142" s="879">
        <v>3972</v>
      </c>
      <c r="X142" s="879">
        <v>5706</v>
      </c>
      <c r="Y142" s="879">
        <v>6181</v>
      </c>
      <c r="Z142" s="879">
        <v>6029</v>
      </c>
      <c r="AA142" s="879">
        <v>6435</v>
      </c>
      <c r="AB142" s="879">
        <v>7581</v>
      </c>
      <c r="AC142" s="879">
        <v>7688</v>
      </c>
      <c r="AD142" s="879">
        <v>7184</v>
      </c>
      <c r="AE142" s="879">
        <v>7234</v>
      </c>
      <c r="AF142" s="879">
        <v>8323</v>
      </c>
      <c r="AG142" s="880">
        <f t="shared" ref="AG142:AI145" si="262">+AG156*AG114</f>
        <v>8173.0496357044121</v>
      </c>
      <c r="AH142" s="880">
        <f t="shared" si="262"/>
        <v>7640.554789011805</v>
      </c>
      <c r="AI142" s="880">
        <f t="shared" si="262"/>
        <v>7455.7111755193873</v>
      </c>
      <c r="AT142" s="879">
        <v>14173</v>
      </c>
      <c r="AU142" s="879">
        <v>13274</v>
      </c>
      <c r="AV142" s="879">
        <v>12418</v>
      </c>
      <c r="AW142" s="879">
        <v>11913</v>
      </c>
      <c r="AX142" s="879"/>
      <c r="AY142" s="879">
        <v>11756</v>
      </c>
      <c r="AZ142" s="880">
        <f>+SUM(H142:K142)</f>
        <v>11389</v>
      </c>
      <c r="BA142" s="880">
        <f>+SUM(L142:O142)</f>
        <v>12924</v>
      </c>
      <c r="BB142" s="880">
        <v>16219</v>
      </c>
      <c r="BC142" s="880">
        <f>SUM(T142:W142)</f>
        <v>18724</v>
      </c>
      <c r="BD142" s="880">
        <f>SUM(X142:AA142)</f>
        <v>24351</v>
      </c>
      <c r="BE142" s="880">
        <f>SUM(AB142:AE142)</f>
        <v>29687</v>
      </c>
      <c r="BF142" s="880">
        <f>SUM(AF142:AI142)</f>
        <v>31592.315600235601</v>
      </c>
    </row>
    <row r="143" spans="2:67">
      <c r="B143" t="s">
        <v>342</v>
      </c>
      <c r="H143" s="879">
        <v>1777</v>
      </c>
      <c r="I143" s="879">
        <v>2291</v>
      </c>
      <c r="J143" s="879">
        <v>2148</v>
      </c>
      <c r="K143" s="879">
        <v>2911</v>
      </c>
      <c r="L143" s="879">
        <v>2137</v>
      </c>
      <c r="M143" s="879">
        <v>2832</v>
      </c>
      <c r="N143" s="879">
        <v>2654</v>
      </c>
      <c r="O143" s="879">
        <v>3901</v>
      </c>
      <c r="P143" s="879">
        <v>2931</v>
      </c>
      <c r="Q143" s="879">
        <v>3279</v>
      </c>
      <c r="R143" s="879">
        <v>3208</v>
      </c>
      <c r="S143" s="879">
        <f>+BB143-SUM(P143:R143)</f>
        <v>4502</v>
      </c>
      <c r="T143" s="879">
        <v>3889</v>
      </c>
      <c r="U143" s="879">
        <v>4531</v>
      </c>
      <c r="V143" s="879">
        <v>4560</v>
      </c>
      <c r="W143" s="879">
        <v>5344</v>
      </c>
      <c r="X143" s="879">
        <v>5422</v>
      </c>
      <c r="Y143" s="879">
        <v>6492</v>
      </c>
      <c r="Z143" s="879">
        <v>6425</v>
      </c>
      <c r="AA143" s="879">
        <v>7787</v>
      </c>
      <c r="AB143" s="879">
        <v>7562</v>
      </c>
      <c r="AC143" s="879">
        <v>8197</v>
      </c>
      <c r="AD143" s="879">
        <v>8281</v>
      </c>
      <c r="AE143" s="879">
        <v>8681</v>
      </c>
      <c r="AF143" s="879">
        <v>8978</v>
      </c>
      <c r="AG143" s="880">
        <f t="shared" si="262"/>
        <v>9684.9029480496101</v>
      </c>
      <c r="AH143" s="880">
        <f t="shared" si="262"/>
        <v>9681.5063405670717</v>
      </c>
      <c r="AI143" s="880">
        <f t="shared" si="262"/>
        <v>10361.713528628181</v>
      </c>
      <c r="AT143" s="879">
        <v>8446</v>
      </c>
      <c r="AU143" s="879">
        <v>9803</v>
      </c>
      <c r="AV143" s="879">
        <v>9315</v>
      </c>
      <c r="AW143" s="879">
        <v>9138</v>
      </c>
      <c r="AX143" s="879"/>
      <c r="AY143" s="879">
        <v>9249</v>
      </c>
      <c r="AZ143" s="880">
        <f>+SUM(H143:K143)</f>
        <v>9127</v>
      </c>
      <c r="BA143" s="880">
        <f>+SUM(L143:O143)</f>
        <v>11524</v>
      </c>
      <c r="BB143" s="880">
        <v>13920</v>
      </c>
      <c r="BC143" s="880">
        <f>SUM(T143:W143)</f>
        <v>18324</v>
      </c>
      <c r="BD143" s="880">
        <f>SUM(X143:AA143)</f>
        <v>26126</v>
      </c>
      <c r="BE143" s="880">
        <f t="shared" ref="BE143:BE145" si="263">SUM(AB143:AE143)</f>
        <v>32721</v>
      </c>
      <c r="BF143" s="880">
        <f t="shared" ref="BF143:BF145" si="264">SUM(AF143:AI143)</f>
        <v>38706.122817244861</v>
      </c>
    </row>
    <row r="144" spans="2:67">
      <c r="B144" t="s">
        <v>344</v>
      </c>
      <c r="H144" s="879">
        <v>2033</v>
      </c>
      <c r="I144" s="879">
        <v>2561</v>
      </c>
      <c r="J144" s="879">
        <v>2035</v>
      </c>
      <c r="K144" s="879">
        <v>2186</v>
      </c>
      <c r="L144" s="879">
        <v>2565</v>
      </c>
      <c r="M144" s="879">
        <v>2510</v>
      </c>
      <c r="N144" s="879">
        <v>2523</v>
      </c>
      <c r="O144" s="879">
        <v>3012</v>
      </c>
      <c r="P144" s="879">
        <v>3143</v>
      </c>
      <c r="Q144" s="879">
        <v>2964</v>
      </c>
      <c r="R144" s="879">
        <v>3154</v>
      </c>
      <c r="S144" s="879">
        <f>+BB144-SUM(P144:R144)</f>
        <v>3559</v>
      </c>
      <c r="T144" s="879">
        <v>4015</v>
      </c>
      <c r="U144" s="879">
        <v>4178</v>
      </c>
      <c r="V144" s="879">
        <v>3627</v>
      </c>
      <c r="W144" s="879">
        <v>4091</v>
      </c>
      <c r="X144" s="879">
        <v>4748</v>
      </c>
      <c r="Y144" s="879">
        <v>5224</v>
      </c>
      <c r="Z144" s="879">
        <v>4594</v>
      </c>
      <c r="AA144" s="879">
        <v>4873</v>
      </c>
      <c r="AB144" s="879">
        <v>5095</v>
      </c>
      <c r="AC144" s="879">
        <v>6362</v>
      </c>
      <c r="AD144" s="879">
        <v>4899</v>
      </c>
      <c r="AE144" s="879">
        <v>4619</v>
      </c>
      <c r="AF144" s="879">
        <v>4217</v>
      </c>
      <c r="AG144" s="880">
        <f t="shared" si="262"/>
        <v>4422.3724336668683</v>
      </c>
      <c r="AH144" s="880">
        <f t="shared" si="262"/>
        <v>3346.3061324156579</v>
      </c>
      <c r="AI144" s="880">
        <f t="shared" si="262"/>
        <v>3823.4278789911464</v>
      </c>
      <c r="AT144" s="879">
        <v>5605</v>
      </c>
      <c r="AU144" s="879">
        <v>5095</v>
      </c>
      <c r="AV144" s="879">
        <v>6202</v>
      </c>
      <c r="AW144" s="879">
        <v>8288</v>
      </c>
      <c r="AX144" s="879"/>
      <c r="AY144" s="879">
        <v>6183</v>
      </c>
      <c r="AZ144" s="880">
        <f>+SUM(H144:K144)</f>
        <v>8815</v>
      </c>
      <c r="BA144" s="880">
        <f>+SUM(L144:O144)</f>
        <v>10610</v>
      </c>
      <c r="BB144" s="880">
        <v>12820</v>
      </c>
      <c r="BC144" s="880">
        <f>SUM(T144:W144)</f>
        <v>15911</v>
      </c>
      <c r="BD144" s="880">
        <f>SUM(X144:AA144)</f>
        <v>19439</v>
      </c>
      <c r="BE144" s="880">
        <f t="shared" si="263"/>
        <v>20975</v>
      </c>
      <c r="BF144" s="880">
        <f t="shared" si="264"/>
        <v>15809.106445073672</v>
      </c>
    </row>
    <row r="145" spans="2:65" ht="11.45">
      <c r="B145" t="s">
        <v>345</v>
      </c>
      <c r="H145" s="905">
        <v>0</v>
      </c>
      <c r="I145" s="905">
        <v>0</v>
      </c>
      <c r="J145" s="905">
        <v>0</v>
      </c>
      <c r="K145" s="905">
        <v>-306</v>
      </c>
      <c r="L145" s="905">
        <v>0</v>
      </c>
      <c r="M145" s="905">
        <v>0</v>
      </c>
      <c r="N145" s="905">
        <v>0</v>
      </c>
      <c r="O145" s="905">
        <v>0</v>
      </c>
      <c r="P145" s="905">
        <v>0</v>
      </c>
      <c r="Q145" s="905">
        <v>0</v>
      </c>
      <c r="R145" s="905">
        <v>0</v>
      </c>
      <c r="S145" s="905">
        <f>+BB145-SUM(P145:R145)</f>
        <v>0</v>
      </c>
      <c r="T145" s="905">
        <v>0</v>
      </c>
      <c r="U145" s="905">
        <v>0</v>
      </c>
      <c r="V145" s="905">
        <v>0</v>
      </c>
      <c r="W145" s="905">
        <v>0</v>
      </c>
      <c r="X145" s="905">
        <v>0</v>
      </c>
      <c r="Y145" s="905">
        <v>0</v>
      </c>
      <c r="Z145" s="905">
        <v>0</v>
      </c>
      <c r="AA145" s="906">
        <v>0</v>
      </c>
      <c r="AB145" s="906">
        <v>0</v>
      </c>
      <c r="AC145" s="906">
        <v>0</v>
      </c>
      <c r="AD145" s="906">
        <v>0</v>
      </c>
      <c r="AE145" s="906">
        <v>0</v>
      </c>
      <c r="AF145" s="906">
        <v>0</v>
      </c>
      <c r="AG145" s="906">
        <f t="shared" si="262"/>
        <v>0</v>
      </c>
      <c r="AH145" s="906">
        <f t="shared" si="262"/>
        <v>0</v>
      </c>
      <c r="AI145" s="906">
        <f t="shared" si="262"/>
        <v>0</v>
      </c>
      <c r="AT145" s="905">
        <v>-338</v>
      </c>
      <c r="AU145" s="905">
        <v>0</v>
      </c>
      <c r="AV145" s="905">
        <v>-6643</v>
      </c>
      <c r="AW145" s="905">
        <v>-6707</v>
      </c>
      <c r="AX145" s="905"/>
      <c r="AY145" s="905">
        <v>-1110</v>
      </c>
      <c r="AZ145" s="906">
        <f>+SUM(H145:K145)</f>
        <v>-306</v>
      </c>
      <c r="BA145" s="906">
        <f>+SUM(L145:O145)</f>
        <v>0</v>
      </c>
      <c r="BB145" s="906">
        <v>0</v>
      </c>
      <c r="BC145" s="906">
        <f>SUM(T145:W145)</f>
        <v>0</v>
      </c>
      <c r="BD145" s="906">
        <f>SUM(X145:AA145)</f>
        <v>0</v>
      </c>
      <c r="BE145" s="906">
        <f t="shared" si="263"/>
        <v>0</v>
      </c>
      <c r="BF145" s="10">
        <f t="shared" si="264"/>
        <v>0</v>
      </c>
    </row>
    <row r="146" spans="2:65" s="1" customFormat="1" ht="10.5">
      <c r="B146" s="882" t="s">
        <v>353</v>
      </c>
      <c r="H146" s="838">
        <f>SUM(H142:H145)</f>
        <v>6715</v>
      </c>
      <c r="I146" s="838">
        <f t="shared" ref="I146:W146" si="265">SUM(I142:I145)</f>
        <v>7905</v>
      </c>
      <c r="J146" s="838">
        <f t="shared" si="265"/>
        <v>6723</v>
      </c>
      <c r="K146" s="838">
        <f t="shared" si="265"/>
        <v>7682</v>
      </c>
      <c r="L146" s="838">
        <f t="shared" si="265"/>
        <v>7708</v>
      </c>
      <c r="M146" s="838">
        <f t="shared" si="265"/>
        <v>8679</v>
      </c>
      <c r="N146" s="838">
        <f t="shared" si="265"/>
        <v>8292</v>
      </c>
      <c r="O146" s="838">
        <f t="shared" si="265"/>
        <v>10379</v>
      </c>
      <c r="P146" s="838">
        <f t="shared" si="265"/>
        <v>9955</v>
      </c>
      <c r="Q146" s="838">
        <f t="shared" si="265"/>
        <v>10258</v>
      </c>
      <c r="R146" s="838">
        <f t="shared" si="265"/>
        <v>10341</v>
      </c>
      <c r="S146" s="838">
        <f t="shared" si="265"/>
        <v>12405</v>
      </c>
      <c r="T146" s="838">
        <f t="shared" si="265"/>
        <v>12686</v>
      </c>
      <c r="U146" s="838">
        <f t="shared" si="265"/>
        <v>13891</v>
      </c>
      <c r="V146" s="838">
        <f t="shared" si="265"/>
        <v>12975</v>
      </c>
      <c r="W146" s="838">
        <f t="shared" si="265"/>
        <v>13407</v>
      </c>
      <c r="X146" s="838">
        <f>SUM(X142:X145)</f>
        <v>15876</v>
      </c>
      <c r="Y146" s="838">
        <f t="shared" ref="Y146:AI146" si="266">SUM(Y142:Y145)</f>
        <v>17897</v>
      </c>
      <c r="Z146" s="838">
        <f t="shared" si="266"/>
        <v>17048</v>
      </c>
      <c r="AA146" s="838">
        <f t="shared" si="266"/>
        <v>19095</v>
      </c>
      <c r="AB146" s="838">
        <f t="shared" si="266"/>
        <v>20238</v>
      </c>
      <c r="AC146" s="838">
        <f t="shared" si="266"/>
        <v>22247</v>
      </c>
      <c r="AD146" s="838">
        <f t="shared" si="266"/>
        <v>20364</v>
      </c>
      <c r="AE146" s="838">
        <f t="shared" si="266"/>
        <v>20534</v>
      </c>
      <c r="AF146" s="838">
        <f t="shared" si="266"/>
        <v>21518</v>
      </c>
      <c r="AG146" s="838">
        <f t="shared" si="266"/>
        <v>22280.325017420888</v>
      </c>
      <c r="AH146" s="838">
        <f t="shared" si="266"/>
        <v>20668.367261994536</v>
      </c>
      <c r="AI146" s="838">
        <f t="shared" si="266"/>
        <v>21640.852583138716</v>
      </c>
      <c r="AT146" s="838">
        <f t="shared" ref="AT146:AU146" si="267">SUM(AT142:AT145)</f>
        <v>27886</v>
      </c>
      <c r="AU146" s="838">
        <f t="shared" si="267"/>
        <v>28172</v>
      </c>
      <c r="AV146" s="838">
        <f>SUM(AV142:AV145)</f>
        <v>21292</v>
      </c>
      <c r="AW146" s="838">
        <f>SUM(AW142:AW145)</f>
        <v>22632</v>
      </c>
      <c r="AX146" s="838"/>
      <c r="AY146" s="838">
        <f>SUM(AY142:AY145)</f>
        <v>26078</v>
      </c>
      <c r="AZ146" s="907">
        <f>+SUM(H146:K146)</f>
        <v>29025</v>
      </c>
      <c r="BA146" s="907">
        <f>+SUM(L146:O146)</f>
        <v>35058</v>
      </c>
      <c r="BB146" s="907">
        <f>+SUM(BB142:BB145)</f>
        <v>42959</v>
      </c>
      <c r="BC146" s="907">
        <f t="shared" ref="BC146:BE146" si="268">+SUM(BC142:BC145)</f>
        <v>52959</v>
      </c>
      <c r="BD146" s="907">
        <f t="shared" si="268"/>
        <v>69916</v>
      </c>
      <c r="BE146" s="907">
        <f t="shared" si="268"/>
        <v>83383</v>
      </c>
      <c r="BF146" s="838">
        <f t="shared" ref="BF146" si="269">SUM(BF142:BF145)</f>
        <v>86107.544862554132</v>
      </c>
    </row>
    <row r="147" spans="2:65">
      <c r="X147" s="826"/>
      <c r="AE147" s="987"/>
      <c r="AF147" s="987"/>
      <c r="AG147" s="987"/>
      <c r="AH147" s="987"/>
      <c r="AI147" s="987"/>
      <c r="BM147" s="874"/>
    </row>
    <row r="148" spans="2:65" s="3" customFormat="1">
      <c r="B148" s="883" t="s">
        <v>113</v>
      </c>
    </row>
    <row r="149" spans="2:65" s="3" customFormat="1">
      <c r="B149" s="884" t="str">
        <f>+B142</f>
        <v>Productivity and Business Processes</v>
      </c>
      <c r="L149" s="228">
        <f t="shared" ref="L149:AI153" si="270">+IFERROR(L142/H142-1,"n/a ")</f>
        <v>3.4767641996557686E-2</v>
      </c>
      <c r="M149" s="228">
        <f t="shared" si="270"/>
        <v>9.3023255813953432E-2</v>
      </c>
      <c r="N149" s="228">
        <f t="shared" si="270"/>
        <v>0.22637795275590555</v>
      </c>
      <c r="O149" s="228">
        <f t="shared" si="270"/>
        <v>0.19889311656866138</v>
      </c>
      <c r="P149" s="228">
        <f t="shared" si="270"/>
        <v>0.29108449767132405</v>
      </c>
      <c r="Q149" s="228">
        <f t="shared" si="270"/>
        <v>0.20317650584357216</v>
      </c>
      <c r="R149" s="228">
        <f t="shared" si="270"/>
        <v>0.27736757624398067</v>
      </c>
      <c r="S149" s="228">
        <f t="shared" si="270"/>
        <v>0.25331794575879973</v>
      </c>
      <c r="T149" s="228">
        <f t="shared" si="270"/>
        <v>0.23215666065447049</v>
      </c>
      <c r="U149" s="228">
        <f t="shared" si="270"/>
        <v>0.29066002490660026</v>
      </c>
      <c r="V149" s="228">
        <f t="shared" si="270"/>
        <v>0.20331741643629053</v>
      </c>
      <c r="W149" s="228">
        <f t="shared" si="270"/>
        <v>-8.5635359116022047E-2</v>
      </c>
      <c r="X149" s="228">
        <f t="shared" si="270"/>
        <v>0.193224592220828</v>
      </c>
      <c r="Y149" s="228">
        <f t="shared" si="270"/>
        <v>0.1927827093786183</v>
      </c>
      <c r="Z149" s="228">
        <f t="shared" si="270"/>
        <v>0.25918964076858808</v>
      </c>
      <c r="AA149" s="228">
        <f t="shared" si="270"/>
        <v>0.6200906344410877</v>
      </c>
      <c r="AB149" s="228">
        <f t="shared" si="270"/>
        <v>0.32860147213459512</v>
      </c>
      <c r="AC149" s="228">
        <f t="shared" si="270"/>
        <v>0.24381168095777372</v>
      </c>
      <c r="AD149" s="228">
        <f t="shared" si="270"/>
        <v>0.19157405871620492</v>
      </c>
      <c r="AE149" s="228">
        <f t="shared" si="270"/>
        <v>0.12416472416472413</v>
      </c>
      <c r="AF149" s="228">
        <f t="shared" si="270"/>
        <v>9.787626962142193E-2</v>
      </c>
      <c r="AG149" s="228">
        <f t="shared" si="270"/>
        <v>6.3091784040636423E-2</v>
      </c>
      <c r="AH149" s="228">
        <f t="shared" si="270"/>
        <v>6.355161316979463E-2</v>
      </c>
      <c r="AI149" s="228">
        <f t="shared" si="270"/>
        <v>3.0648489842326043E-2</v>
      </c>
      <c r="AJ149" s="228"/>
      <c r="AK149" s="228"/>
      <c r="AL149" s="228"/>
      <c r="AM149" s="228"/>
      <c r="AN149" s="228"/>
      <c r="AO149" s="228"/>
      <c r="AP149" s="228"/>
      <c r="AQ149" s="228"/>
      <c r="AR149" s="228"/>
      <c r="AS149" s="228"/>
      <c r="AT149" s="228"/>
      <c r="AU149" s="228">
        <f t="shared" ref="AU149:AW153" si="271">+IFERROR(AU142/AT142-1,"n/a ")</f>
        <v>-6.343046637973615E-2</v>
      </c>
      <c r="AV149" s="228">
        <f t="shared" si="271"/>
        <v>-6.4486967003164031E-2</v>
      </c>
      <c r="AW149" s="228">
        <f t="shared" si="271"/>
        <v>-4.0666774037687259E-2</v>
      </c>
      <c r="AX149" s="228"/>
      <c r="AY149" s="1010">
        <f t="shared" ref="AY149:AY150" si="272">+AV149</f>
        <v>-6.4486967003164031E-2</v>
      </c>
      <c r="AZ149" s="1010">
        <f t="shared" ref="AZ149:AZ150" si="273">+AW149</f>
        <v>-4.0666774037687259E-2</v>
      </c>
      <c r="BA149" s="228">
        <f t="shared" ref="BA149:BF153" si="274">+IFERROR(BA142/AZ142-1,"n/a ")</f>
        <v>0.13477917288611829</v>
      </c>
      <c r="BB149" s="228">
        <f t="shared" si="274"/>
        <v>0.25495202723614985</v>
      </c>
      <c r="BC149" s="228">
        <f t="shared" si="274"/>
        <v>0.15444848634317765</v>
      </c>
      <c r="BD149" s="228">
        <f t="shared" si="274"/>
        <v>0.30052339243751325</v>
      </c>
      <c r="BE149" s="228">
        <f t="shared" si="274"/>
        <v>0.21912857788181173</v>
      </c>
      <c r="BF149" s="228">
        <f t="shared" si="274"/>
        <v>6.4180132725960792E-2</v>
      </c>
    </row>
    <row r="150" spans="2:65" s="3" customFormat="1">
      <c r="B150" s="884" t="str">
        <f>+B143</f>
        <v>Intelligent Cloud</v>
      </c>
      <c r="L150" s="228">
        <f t="shared" si="270"/>
        <v>0.20258863252673054</v>
      </c>
      <c r="M150" s="228">
        <f t="shared" si="270"/>
        <v>0.23614142295940632</v>
      </c>
      <c r="N150" s="228">
        <f t="shared" si="270"/>
        <v>0.23556797020484166</v>
      </c>
      <c r="O150" s="228">
        <f t="shared" si="270"/>
        <v>0.34008931638612161</v>
      </c>
      <c r="P150" s="228">
        <f t="shared" si="270"/>
        <v>0.37154890032756205</v>
      </c>
      <c r="Q150" s="228">
        <f t="shared" si="270"/>
        <v>0.15783898305084754</v>
      </c>
      <c r="R150" s="228">
        <f t="shared" si="270"/>
        <v>0.20874152223059528</v>
      </c>
      <c r="S150" s="228">
        <f t="shared" si="270"/>
        <v>0.15406306075365284</v>
      </c>
      <c r="T150" s="228">
        <f t="shared" si="270"/>
        <v>0.32685090412828388</v>
      </c>
      <c r="U150" s="228">
        <f t="shared" si="270"/>
        <v>0.38182372674595921</v>
      </c>
      <c r="V150" s="228">
        <f t="shared" si="270"/>
        <v>0.42144638403990031</v>
      </c>
      <c r="W150" s="228">
        <f t="shared" si="270"/>
        <v>0.18702798756108385</v>
      </c>
      <c r="X150" s="228">
        <f t="shared" si="270"/>
        <v>0.39418873746464378</v>
      </c>
      <c r="Y150" s="228">
        <f t="shared" si="270"/>
        <v>0.43279629220922544</v>
      </c>
      <c r="Z150" s="228">
        <f t="shared" si="270"/>
        <v>0.40899122807017552</v>
      </c>
      <c r="AA150" s="228">
        <f t="shared" si="270"/>
        <v>0.45714820359281427</v>
      </c>
      <c r="AB150" s="228">
        <f t="shared" si="270"/>
        <v>0.39468830689782375</v>
      </c>
      <c r="AC150" s="228">
        <f t="shared" si="270"/>
        <v>0.26263093037584717</v>
      </c>
      <c r="AD150" s="228">
        <f t="shared" si="270"/>
        <v>0.28887159533073925</v>
      </c>
      <c r="AE150" s="228">
        <f t="shared" si="270"/>
        <v>0.11480672916399137</v>
      </c>
      <c r="AF150" s="228">
        <f t="shared" si="270"/>
        <v>0.18725204972229559</v>
      </c>
      <c r="AG150" s="228">
        <f t="shared" si="270"/>
        <v>0.18151798805045871</v>
      </c>
      <c r="AH150" s="228">
        <f t="shared" si="270"/>
        <v>0.16912285238100133</v>
      </c>
      <c r="AI150" s="228">
        <f t="shared" si="270"/>
        <v>0.19360828575373579</v>
      </c>
      <c r="AJ150" s="228"/>
      <c r="AK150" s="228"/>
      <c r="AL150" s="228"/>
      <c r="AM150" s="228"/>
      <c r="AN150" s="228"/>
      <c r="AO150" s="228"/>
      <c r="AP150" s="228"/>
      <c r="AQ150" s="228"/>
      <c r="AR150" s="228"/>
      <c r="AS150" s="228"/>
      <c r="AT150" s="228"/>
      <c r="AU150" s="228">
        <f t="shared" si="271"/>
        <v>0.16066777172626101</v>
      </c>
      <c r="AV150" s="228">
        <f t="shared" si="271"/>
        <v>-4.9780679383862103E-2</v>
      </c>
      <c r="AW150" s="228">
        <f t="shared" si="271"/>
        <v>-1.900161030595815E-2</v>
      </c>
      <c r="AX150" s="228"/>
      <c r="AY150" s="904">
        <f t="shared" si="272"/>
        <v>-4.9780679383862103E-2</v>
      </c>
      <c r="AZ150" s="904">
        <f t="shared" si="273"/>
        <v>-1.900161030595815E-2</v>
      </c>
      <c r="BA150" s="228">
        <f t="shared" si="274"/>
        <v>0.26262736934370556</v>
      </c>
      <c r="BB150" s="228">
        <f t="shared" si="274"/>
        <v>0.20791391877820198</v>
      </c>
      <c r="BC150" s="228">
        <f t="shared" si="274"/>
        <v>0.31637931034482758</v>
      </c>
      <c r="BD150" s="228">
        <f t="shared" si="274"/>
        <v>0.42578039729316752</v>
      </c>
      <c r="BE150" s="228">
        <f t="shared" si="274"/>
        <v>0.25243052897496754</v>
      </c>
      <c r="BF150" s="228">
        <f t="shared" si="274"/>
        <v>0.18291381122963424</v>
      </c>
    </row>
    <row r="151" spans="2:65" s="3" customFormat="1">
      <c r="B151" s="884" t="str">
        <f>+B144</f>
        <v>More Personal Computing</v>
      </c>
      <c r="L151" s="228">
        <f t="shared" si="270"/>
        <v>0.26168224299065423</v>
      </c>
      <c r="M151" s="228">
        <f t="shared" si="270"/>
        <v>-1.991409605622807E-2</v>
      </c>
      <c r="N151" s="228">
        <f t="shared" si="270"/>
        <v>0.23980343980343988</v>
      </c>
      <c r="O151" s="228">
        <f t="shared" si="270"/>
        <v>0.37785910338517836</v>
      </c>
      <c r="P151" s="228">
        <f t="shared" si="270"/>
        <v>0.22534113060428851</v>
      </c>
      <c r="Q151" s="228">
        <f t="shared" si="270"/>
        <v>0.18087649402390449</v>
      </c>
      <c r="R151" s="228">
        <f t="shared" si="270"/>
        <v>0.25009908838684103</v>
      </c>
      <c r="S151" s="228">
        <f t="shared" si="270"/>
        <v>0.18160690571049143</v>
      </c>
      <c r="T151" s="228">
        <f t="shared" si="270"/>
        <v>0.27744193445752474</v>
      </c>
      <c r="U151" s="228">
        <f t="shared" si="270"/>
        <v>0.40958164642375161</v>
      </c>
      <c r="V151" s="228">
        <f t="shared" si="270"/>
        <v>0.14996829422954971</v>
      </c>
      <c r="W151" s="228">
        <f t="shared" si="270"/>
        <v>0.14948019106490595</v>
      </c>
      <c r="X151" s="228">
        <f t="shared" si="270"/>
        <v>0.18256537982565391</v>
      </c>
      <c r="Y151" s="228">
        <f t="shared" si="270"/>
        <v>0.2503590234561992</v>
      </c>
      <c r="Z151" s="228">
        <f t="shared" si="270"/>
        <v>0.26661152467604077</v>
      </c>
      <c r="AA151" s="228">
        <f t="shared" si="270"/>
        <v>0.1911513077487168</v>
      </c>
      <c r="AB151" s="228">
        <f t="shared" si="270"/>
        <v>7.308340353833187E-2</v>
      </c>
      <c r="AC151" s="228">
        <f t="shared" si="270"/>
        <v>0.21784073506891266</v>
      </c>
      <c r="AD151" s="228">
        <f t="shared" si="270"/>
        <v>6.6390944710492006E-2</v>
      </c>
      <c r="AE151" s="228">
        <f t="shared" si="270"/>
        <v>-5.2123948286476485E-2</v>
      </c>
      <c r="AF151" s="228">
        <f t="shared" si="270"/>
        <v>-0.17232580961727184</v>
      </c>
      <c r="AG151" s="228">
        <f t="shared" si="270"/>
        <v>-0.30487701451322413</v>
      </c>
      <c r="AH151" s="228">
        <f t="shared" si="270"/>
        <v>-0.31694098133993509</v>
      </c>
      <c r="AI151" s="228">
        <f t="shared" si="270"/>
        <v>-0.1722390389713907</v>
      </c>
      <c r="AJ151" s="228"/>
      <c r="AK151" s="228"/>
      <c r="AL151" s="228"/>
      <c r="AM151" s="228"/>
      <c r="AN151" s="228"/>
      <c r="AO151" s="228"/>
      <c r="AP151" s="228"/>
      <c r="AQ151" s="228"/>
      <c r="AR151" s="228"/>
      <c r="AS151" s="228"/>
      <c r="AT151" s="228"/>
      <c r="AU151" s="228">
        <f t="shared" si="271"/>
        <v>-9.099018733273867E-2</v>
      </c>
      <c r="AV151" s="228">
        <f t="shared" si="271"/>
        <v>0.21727183513248272</v>
      </c>
      <c r="AW151" s="228">
        <f t="shared" si="271"/>
        <v>0.3363431151241536</v>
      </c>
      <c r="AX151" s="228"/>
      <c r="AY151" s="904">
        <f t="shared" ref="AY151" si="275">+AV151</f>
        <v>0.21727183513248272</v>
      </c>
      <c r="AZ151" s="904">
        <f t="shared" ref="AZ151" si="276">+AW151</f>
        <v>0.3363431151241536</v>
      </c>
      <c r="BA151" s="228">
        <f t="shared" si="274"/>
        <v>0.20363017583664211</v>
      </c>
      <c r="BB151" s="228">
        <f t="shared" si="274"/>
        <v>0.20829406220546653</v>
      </c>
      <c r="BC151" s="228">
        <f t="shared" si="274"/>
        <v>0.24110764430577225</v>
      </c>
      <c r="BD151" s="228">
        <f t="shared" si="274"/>
        <v>0.22173339199296094</v>
      </c>
      <c r="BE151" s="228">
        <f t="shared" si="274"/>
        <v>7.9016410309172391E-2</v>
      </c>
      <c r="BF151" s="228">
        <f t="shared" si="274"/>
        <v>-0.24628813134332905</v>
      </c>
    </row>
    <row r="152" spans="2:65" s="3" customFormat="1" ht="11.45">
      <c r="B152" s="884" t="str">
        <f>+B145</f>
        <v>Corporate and Other</v>
      </c>
      <c r="L152" s="840" t="str">
        <f>+IFERROR(L145/H145-1,"NA ")</f>
        <v xml:space="preserve">NA </v>
      </c>
      <c r="M152" s="840" t="str">
        <f t="shared" ref="M152:AI152" si="277">+IFERROR(M145/I145-1,"NA ")</f>
        <v xml:space="preserve">NA </v>
      </c>
      <c r="N152" s="840" t="str">
        <f t="shared" si="277"/>
        <v xml:space="preserve">NA </v>
      </c>
      <c r="O152" s="840">
        <f t="shared" si="277"/>
        <v>-1</v>
      </c>
      <c r="P152" s="840" t="str">
        <f t="shared" si="277"/>
        <v xml:space="preserve">NA </v>
      </c>
      <c r="Q152" s="840" t="str">
        <f t="shared" si="277"/>
        <v xml:space="preserve">NA </v>
      </c>
      <c r="R152" s="840" t="str">
        <f t="shared" si="277"/>
        <v xml:space="preserve">NA </v>
      </c>
      <c r="S152" s="840" t="str">
        <f t="shared" si="277"/>
        <v xml:space="preserve">NA </v>
      </c>
      <c r="T152" s="840" t="str">
        <f t="shared" si="277"/>
        <v xml:space="preserve">NA </v>
      </c>
      <c r="U152" s="840" t="str">
        <f t="shared" si="277"/>
        <v xml:space="preserve">NA </v>
      </c>
      <c r="V152" s="840" t="str">
        <f t="shared" si="277"/>
        <v xml:space="preserve">NA </v>
      </c>
      <c r="W152" s="840" t="str">
        <f t="shared" si="277"/>
        <v xml:space="preserve">NA </v>
      </c>
      <c r="X152" s="840" t="str">
        <f t="shared" si="277"/>
        <v xml:space="preserve">NA </v>
      </c>
      <c r="Y152" s="840" t="str">
        <f t="shared" si="277"/>
        <v xml:space="preserve">NA </v>
      </c>
      <c r="Z152" s="840" t="str">
        <f t="shared" si="277"/>
        <v xml:space="preserve">NA </v>
      </c>
      <c r="AA152" s="840" t="str">
        <f t="shared" si="277"/>
        <v xml:space="preserve">NA </v>
      </c>
      <c r="AB152" s="840" t="str">
        <f t="shared" si="277"/>
        <v xml:space="preserve">NA </v>
      </c>
      <c r="AC152" s="840" t="str">
        <f t="shared" si="277"/>
        <v xml:space="preserve">NA </v>
      </c>
      <c r="AD152" s="840" t="str">
        <f t="shared" si="277"/>
        <v xml:space="preserve">NA </v>
      </c>
      <c r="AE152" s="840" t="str">
        <f t="shared" si="277"/>
        <v xml:space="preserve">NA </v>
      </c>
      <c r="AF152" s="840" t="str">
        <f t="shared" si="277"/>
        <v xml:space="preserve">NA </v>
      </c>
      <c r="AG152" s="840" t="str">
        <f t="shared" si="277"/>
        <v xml:space="preserve">NA </v>
      </c>
      <c r="AH152" s="840" t="str">
        <f t="shared" si="277"/>
        <v xml:space="preserve">NA </v>
      </c>
      <c r="AI152" s="840" t="str">
        <f t="shared" si="277"/>
        <v xml:space="preserve">NA </v>
      </c>
      <c r="AJ152" s="840"/>
      <c r="AK152" s="840"/>
      <c r="AL152" s="840"/>
      <c r="AM152" s="840"/>
      <c r="AN152" s="840"/>
      <c r="AO152" s="840"/>
      <c r="AP152" s="840"/>
      <c r="AQ152" s="840"/>
      <c r="AR152" s="840"/>
      <c r="AS152" s="840"/>
      <c r="AT152" s="840"/>
      <c r="AU152" s="840">
        <f t="shared" si="271"/>
        <v>-1</v>
      </c>
      <c r="AV152" s="840" t="str">
        <f>+IFERROR(AV145/AU145-1,"NA ")</f>
        <v xml:space="preserve">NA </v>
      </c>
      <c r="AW152" s="840">
        <f t="shared" si="271"/>
        <v>9.6342014150232469E-3</v>
      </c>
      <c r="AX152" s="840"/>
      <c r="AY152" s="1011" t="str">
        <f t="shared" ref="AY152" si="278">+AV152</f>
        <v xml:space="preserve">NA </v>
      </c>
      <c r="AZ152" s="1011">
        <f t="shared" ref="AZ152" si="279">+AW152</f>
        <v>9.6342014150232469E-3</v>
      </c>
      <c r="BA152" s="840">
        <f t="shared" si="274"/>
        <v>-1</v>
      </c>
      <c r="BB152" s="840" t="str">
        <f>+IFERROR(BB145/BA145-1,"NA ")</f>
        <v xml:space="preserve">NA </v>
      </c>
      <c r="BC152" s="840" t="str">
        <f t="shared" ref="BC152:BF152" si="280">+IFERROR(BC145/BB145-1,"NA ")</f>
        <v xml:space="preserve">NA </v>
      </c>
      <c r="BD152" s="840" t="str">
        <f t="shared" si="280"/>
        <v xml:space="preserve">NA </v>
      </c>
      <c r="BE152" s="840" t="str">
        <f t="shared" si="280"/>
        <v xml:space="preserve">NA </v>
      </c>
      <c r="BF152" s="840" t="str">
        <f t="shared" si="280"/>
        <v xml:space="preserve">NA </v>
      </c>
    </row>
    <row r="153" spans="2:65" s="7" customFormat="1">
      <c r="B153" s="887" t="str">
        <f>+B146</f>
        <v>Total operating income</v>
      </c>
      <c r="L153" s="842">
        <f>+IFERROR(L146/H146-1,"n/a ")</f>
        <v>0.14787788533134782</v>
      </c>
      <c r="M153" s="842">
        <f>+IFERROR(M146/I146-1,"n/a ")</f>
        <v>9.7912713472485757E-2</v>
      </c>
      <c r="N153" s="842">
        <f>+IFERROR(N146/J146-1,"n/a ")</f>
        <v>0.23337795626952262</v>
      </c>
      <c r="O153" s="842">
        <f>+IFERROR(O146/K146-1,"n/a ")</f>
        <v>0.35108044780005199</v>
      </c>
      <c r="P153" s="842">
        <f t="shared" si="270"/>
        <v>0.29151530877010901</v>
      </c>
      <c r="Q153" s="842">
        <f t="shared" si="270"/>
        <v>0.18193340246572176</v>
      </c>
      <c r="R153" s="842">
        <f t="shared" si="270"/>
        <v>0.2471056439942112</v>
      </c>
      <c r="S153" s="842">
        <f t="shared" si="270"/>
        <v>0.19520184988919942</v>
      </c>
      <c r="T153" s="842">
        <f t="shared" si="270"/>
        <v>0.27433450527373182</v>
      </c>
      <c r="U153" s="842">
        <f t="shared" si="270"/>
        <v>0.3541626047962565</v>
      </c>
      <c r="V153" s="842">
        <f t="shared" si="270"/>
        <v>0.25471424427038003</v>
      </c>
      <c r="W153" s="842">
        <f t="shared" si="270"/>
        <v>8.0773881499395461E-2</v>
      </c>
      <c r="X153" s="842">
        <f t="shared" si="270"/>
        <v>0.25145830048872764</v>
      </c>
      <c r="Y153" s="842">
        <f t="shared" si="270"/>
        <v>0.28838816499892017</v>
      </c>
      <c r="Z153" s="842">
        <f t="shared" si="270"/>
        <v>0.31391136801541419</v>
      </c>
      <c r="AA153" s="842">
        <f t="shared" si="270"/>
        <v>0.42425598567912282</v>
      </c>
      <c r="AB153" s="842">
        <f t="shared" si="270"/>
        <v>0.27475434618291761</v>
      </c>
      <c r="AC153" s="842">
        <f t="shared" si="270"/>
        <v>0.24305749566966539</v>
      </c>
      <c r="AD153" s="842">
        <f t="shared" si="270"/>
        <v>0.19450961989676219</v>
      </c>
      <c r="AE153" s="842">
        <f t="shared" si="270"/>
        <v>7.5360041895784269E-2</v>
      </c>
      <c r="AF153" s="842">
        <f t="shared" si="270"/>
        <v>6.3247356458147941E-2</v>
      </c>
      <c r="AG153" s="842">
        <f t="shared" si="270"/>
        <v>1.4979555634866415E-3</v>
      </c>
      <c r="AH153" s="842">
        <f t="shared" si="270"/>
        <v>1.4946339716879642E-2</v>
      </c>
      <c r="AI153" s="842">
        <f t="shared" si="270"/>
        <v>5.3903408159088118E-2</v>
      </c>
      <c r="AJ153" s="842"/>
      <c r="AK153" s="842"/>
      <c r="AL153" s="842"/>
      <c r="AM153" s="842"/>
      <c r="AN153" s="842"/>
      <c r="AO153" s="842"/>
      <c r="AP153" s="842"/>
      <c r="AQ153" s="842"/>
      <c r="AR153" s="842"/>
      <c r="AS153" s="842"/>
      <c r="AT153" s="842"/>
      <c r="AU153" s="842">
        <f t="shared" si="271"/>
        <v>1.025604245858136E-2</v>
      </c>
      <c r="AV153" s="842">
        <f t="shared" si="271"/>
        <v>-0.24421411330398979</v>
      </c>
      <c r="AW153" s="842">
        <f t="shared" si="271"/>
        <v>6.2934435468720684E-2</v>
      </c>
      <c r="AX153" s="842"/>
      <c r="AY153" s="1012">
        <f t="shared" ref="AY153" si="281">+AV153</f>
        <v>-0.24421411330398979</v>
      </c>
      <c r="AZ153" s="1012">
        <f t="shared" ref="AZ153" si="282">+AW153</f>
        <v>6.2934435468720684E-2</v>
      </c>
      <c r="BA153" s="842">
        <f t="shared" si="274"/>
        <v>0.20785529715762263</v>
      </c>
      <c r="BB153" s="842">
        <f t="shared" si="274"/>
        <v>0.22536938787152727</v>
      </c>
      <c r="BC153" s="842">
        <f t="shared" si="274"/>
        <v>0.23278009264647692</v>
      </c>
      <c r="BD153" s="842">
        <f t="shared" si="274"/>
        <v>0.3201910912215109</v>
      </c>
      <c r="BE153" s="842">
        <f t="shared" si="274"/>
        <v>0.19261685451112753</v>
      </c>
      <c r="BF153" s="842">
        <f t="shared" si="274"/>
        <v>3.2675064012498201E-2</v>
      </c>
    </row>
    <row r="154" spans="2:65" s="3" customFormat="1"/>
    <row r="155" spans="2:65" s="3" customFormat="1">
      <c r="B155" s="883" t="s">
        <v>123</v>
      </c>
    </row>
    <row r="156" spans="2:65" s="3" customFormat="1">
      <c r="B156" s="884" t="str">
        <f>+B142</f>
        <v>Productivity and Business Processes</v>
      </c>
      <c r="H156" s="228">
        <f t="shared" ref="H156:AF156" si="283">+IFERROR(H142/H114,"n/a ")</f>
        <v>0.45136730888750776</v>
      </c>
      <c r="I156" s="228">
        <f t="shared" si="283"/>
        <v>0.4252681431954311</v>
      </c>
      <c r="J156" s="228">
        <f t="shared" si="283"/>
        <v>0.32957052030621514</v>
      </c>
      <c r="K156" s="228">
        <f t="shared" si="283"/>
        <v>0.33820776789892371</v>
      </c>
      <c r="L156" s="228">
        <f t="shared" si="283"/>
        <v>0.36489439184268024</v>
      </c>
      <c r="M156" s="228">
        <f t="shared" si="283"/>
        <v>0.37272422651625153</v>
      </c>
      <c r="N156" s="228">
        <f t="shared" si="283"/>
        <v>0.34588052409504777</v>
      </c>
      <c r="O156" s="228">
        <f t="shared" si="283"/>
        <v>0.35850227554820024</v>
      </c>
      <c r="P156" s="228">
        <f t="shared" si="283"/>
        <v>0.3971957834407942</v>
      </c>
      <c r="Q156" s="228">
        <f t="shared" si="283"/>
        <v>0.39752475247524754</v>
      </c>
      <c r="R156" s="228">
        <f t="shared" si="283"/>
        <v>0.38849834016793594</v>
      </c>
      <c r="S156" s="228">
        <f t="shared" si="283"/>
        <v>0.3932289309314746</v>
      </c>
      <c r="T156" s="228">
        <f t="shared" si="283"/>
        <v>0.43170533537961542</v>
      </c>
      <c r="U156" s="228">
        <f t="shared" si="283"/>
        <v>0.43818704549298154</v>
      </c>
      <c r="V156" s="228">
        <f t="shared" si="283"/>
        <v>0.40773226603082685</v>
      </c>
      <c r="W156" s="228">
        <f t="shared" si="283"/>
        <v>0.33798502382573181</v>
      </c>
      <c r="X156" s="228">
        <f t="shared" si="283"/>
        <v>0.46318694699245067</v>
      </c>
      <c r="Y156" s="228">
        <f t="shared" si="283"/>
        <v>0.46289223395491652</v>
      </c>
      <c r="Z156" s="228">
        <f t="shared" si="283"/>
        <v>0.44487898465171194</v>
      </c>
      <c r="AA156" s="228">
        <f t="shared" si="283"/>
        <v>0.43802327955891363</v>
      </c>
      <c r="AB156" s="228">
        <f t="shared" si="283"/>
        <v>0.50408936764412526</v>
      </c>
      <c r="AC156" s="228">
        <f t="shared" si="283"/>
        <v>0.48242971887550201</v>
      </c>
      <c r="AD156" s="228">
        <f t="shared" si="283"/>
        <v>0.45500031667616697</v>
      </c>
      <c r="AE156" s="228">
        <f t="shared" si="283"/>
        <v>0.43578313253012047</v>
      </c>
      <c r="AF156" s="228">
        <f t="shared" si="283"/>
        <v>0.50549650774369881</v>
      </c>
      <c r="AG156" s="829">
        <f>+AF156+(AC156-AB156)</f>
        <v>0.48383685897507556</v>
      </c>
      <c r="AH156" s="829">
        <f t="shared" ref="AH156:AH157" si="284">+AG156+(AD156-AC156)</f>
        <v>0.45640745677574052</v>
      </c>
      <c r="AI156" s="829">
        <f>+AH156+(AE156-AD156)/3</f>
        <v>0.45000172872705835</v>
      </c>
      <c r="AJ156" s="228"/>
      <c r="AK156" s="228"/>
      <c r="AL156" s="228"/>
      <c r="AM156" s="228"/>
      <c r="AN156" s="228"/>
      <c r="AO156" s="228"/>
      <c r="AP156" s="228"/>
      <c r="AQ156" s="228"/>
      <c r="AR156" s="228"/>
      <c r="AS156" s="228"/>
      <c r="AT156" s="228">
        <f t="shared" ref="AT156:AW158" si="285">+IFERROR(AT142/AT114,"n/a ")</f>
        <v>0.52539294187425856</v>
      </c>
      <c r="AU156" s="228">
        <f t="shared" si="285"/>
        <v>0.50223231176693151</v>
      </c>
      <c r="AV156" s="228">
        <f t="shared" si="285"/>
        <v>0.46883376750858913</v>
      </c>
      <c r="AW156" s="228">
        <f t="shared" si="285"/>
        <v>0.39130863224280649</v>
      </c>
      <c r="AX156" s="228"/>
      <c r="AY156" s="1010">
        <f t="shared" ref="AY156:AY160" si="286">+AV156</f>
        <v>0.46883376750858913</v>
      </c>
      <c r="AZ156" s="1010">
        <f t="shared" ref="AZ156:AZ160" si="287">+AW156</f>
        <v>0.39130863224280649</v>
      </c>
      <c r="BA156" s="228">
        <f t="shared" ref="BA156:BF158" si="288">+IFERROR(BA142/BA114,"n/a ")</f>
        <v>0.3603513174404015</v>
      </c>
      <c r="BB156" s="228">
        <f t="shared" si="288"/>
        <v>0.39404761904761904</v>
      </c>
      <c r="BC156" s="228">
        <f t="shared" si="288"/>
        <v>0.40355187723608776</v>
      </c>
      <c r="BD156" s="228">
        <f t="shared" si="288"/>
        <v>0.45165538347398682</v>
      </c>
      <c r="BE156" s="228">
        <f t="shared" si="288"/>
        <v>0.46851524524966859</v>
      </c>
      <c r="BF156" s="228">
        <f t="shared" si="288"/>
        <v>0.4738895618430391</v>
      </c>
    </row>
    <row r="157" spans="2:65" s="3" customFormat="1">
      <c r="B157" s="884" t="str">
        <f>+B143</f>
        <v>Intelligent Cloud</v>
      </c>
      <c r="H157" s="228">
        <f t="shared" ref="H157:AF157" si="289">+IFERROR(H143/H115,"n/a ")</f>
        <v>0.29145481384287353</v>
      </c>
      <c r="I157" s="228">
        <f t="shared" si="289"/>
        <v>0.3390056229653744</v>
      </c>
      <c r="J157" s="228">
        <f t="shared" si="289"/>
        <v>0.31916790490341751</v>
      </c>
      <c r="K157" s="228">
        <f t="shared" si="289"/>
        <v>0.37215545896190233</v>
      </c>
      <c r="L157" s="228">
        <f t="shared" si="289"/>
        <v>0.30872580179138975</v>
      </c>
      <c r="M157" s="228">
        <f t="shared" si="289"/>
        <v>0.36330981398332263</v>
      </c>
      <c r="N157" s="228">
        <f t="shared" si="289"/>
        <v>0.33611955420466061</v>
      </c>
      <c r="O157" s="228">
        <f t="shared" si="289"/>
        <v>0.40610035394545074</v>
      </c>
      <c r="P157" s="228">
        <f t="shared" si="289"/>
        <v>0.34212676549550602</v>
      </c>
      <c r="Q157" s="228">
        <f t="shared" si="289"/>
        <v>0.34964811260396672</v>
      </c>
      <c r="R157" s="228">
        <f t="shared" si="289"/>
        <v>0.33246968597782156</v>
      </c>
      <c r="S157" s="228">
        <f t="shared" si="289"/>
        <v>0.39522429988587482</v>
      </c>
      <c r="T157" s="228">
        <f t="shared" si="289"/>
        <v>0.35859843245735362</v>
      </c>
      <c r="U157" s="228">
        <f t="shared" si="289"/>
        <v>0.38175077934114077</v>
      </c>
      <c r="V157" s="228">
        <f t="shared" si="289"/>
        <v>0.37130526830062699</v>
      </c>
      <c r="W157" s="228">
        <f t="shared" si="289"/>
        <v>0.39967092962381273</v>
      </c>
      <c r="X157" s="228">
        <f t="shared" si="289"/>
        <v>0.41752656707223162</v>
      </c>
      <c r="Y157" s="228">
        <f t="shared" si="289"/>
        <v>0.44462708033696324</v>
      </c>
      <c r="Z157" s="228">
        <f t="shared" si="289"/>
        <v>0.42499007805265249</v>
      </c>
      <c r="AA157" s="228">
        <f t="shared" si="289"/>
        <v>0.44817266187050359</v>
      </c>
      <c r="AB157" s="228">
        <f t="shared" si="289"/>
        <v>0.44576750766328699</v>
      </c>
      <c r="AC157" s="228">
        <f t="shared" si="289"/>
        <v>0.44726360015278005</v>
      </c>
      <c r="AD157" s="228">
        <f t="shared" si="289"/>
        <v>0.43467534512624006</v>
      </c>
      <c r="AE157" s="228">
        <f t="shared" si="289"/>
        <v>0.41518006600028695</v>
      </c>
      <c r="AF157" s="228">
        <f t="shared" si="289"/>
        <v>0.44172201722017218</v>
      </c>
      <c r="AG157" s="829">
        <f>+AF157+(AC157-AB157)</f>
        <v>0.44321810970966524</v>
      </c>
      <c r="AH157" s="829">
        <f t="shared" si="284"/>
        <v>0.43062985468312526</v>
      </c>
      <c r="AI157" s="829">
        <f t="shared" ref="AI157:AI158" si="290">+AH157+(AE157-AD157)/3</f>
        <v>0.42413142830780753</v>
      </c>
      <c r="AJ157" s="228"/>
      <c r="AK157" s="228"/>
      <c r="AL157" s="228"/>
      <c r="AM157" s="228"/>
      <c r="AN157" s="228"/>
      <c r="AO157" s="228"/>
      <c r="AP157" s="228"/>
      <c r="AQ157" s="228"/>
      <c r="AR157" s="228"/>
      <c r="AS157" s="228"/>
      <c r="AT157" s="228">
        <f t="shared" si="285"/>
        <v>0.38858983206809294</v>
      </c>
      <c r="AU157" s="228">
        <f t="shared" si="285"/>
        <v>0.41336706725701033</v>
      </c>
      <c r="AV157" s="228">
        <f t="shared" si="285"/>
        <v>0.37197508186247102</v>
      </c>
      <c r="AW157" s="228">
        <f t="shared" si="285"/>
        <v>0.33301749271137027</v>
      </c>
      <c r="AX157" s="228"/>
      <c r="AY157" s="904">
        <f t="shared" si="286"/>
        <v>0.37197508186247102</v>
      </c>
      <c r="AZ157" s="904">
        <f t="shared" si="287"/>
        <v>0.33301749271137027</v>
      </c>
      <c r="BA157" s="228">
        <f t="shared" si="288"/>
        <v>0.35767714702504733</v>
      </c>
      <c r="BB157" s="228">
        <f t="shared" si="288"/>
        <v>0.35706040784917276</v>
      </c>
      <c r="BC157" s="228">
        <f t="shared" si="288"/>
        <v>0.37886118347599551</v>
      </c>
      <c r="BD157" s="228">
        <f t="shared" si="288"/>
        <v>0.43485352862849536</v>
      </c>
      <c r="BE157" s="228">
        <f t="shared" si="288"/>
        <v>0.43482478638157634</v>
      </c>
      <c r="BF157" s="228">
        <f t="shared" si="288"/>
        <v>0.43446600807896041</v>
      </c>
    </row>
    <row r="158" spans="2:65" s="3" customFormat="1">
      <c r="B158" s="884" t="str">
        <f>+B144</f>
        <v>More Personal Computing</v>
      </c>
      <c r="H158" s="228">
        <f t="shared" ref="H158:AF158" si="291">+IFERROR(H144/H116,"n/a ")</f>
        <v>0.2163916977115487</v>
      </c>
      <c r="I158" s="228">
        <f t="shared" si="291"/>
        <v>0.21540920178316089</v>
      </c>
      <c r="J158" s="228">
        <f t="shared" si="291"/>
        <v>0.23190883190883191</v>
      </c>
      <c r="K158" s="228">
        <f t="shared" si="291"/>
        <v>0.23670817541959935</v>
      </c>
      <c r="L158" s="228">
        <f t="shared" si="291"/>
        <v>0.27351247600767753</v>
      </c>
      <c r="M158" s="228">
        <f t="shared" si="291"/>
        <v>0.20624486442070666</v>
      </c>
      <c r="N158" s="228">
        <f t="shared" si="291"/>
        <v>0.25441161641625493</v>
      </c>
      <c r="O158" s="228">
        <f t="shared" si="291"/>
        <v>0.27860512441032281</v>
      </c>
      <c r="P158" s="228">
        <f t="shared" si="291"/>
        <v>0.29248092313418944</v>
      </c>
      <c r="Q158" s="228">
        <f t="shared" si="291"/>
        <v>0.2281228353728931</v>
      </c>
      <c r="R158" s="228">
        <f t="shared" si="291"/>
        <v>0.29531835205992507</v>
      </c>
      <c r="S158" s="228">
        <f t="shared" si="291"/>
        <v>0.31554215799272983</v>
      </c>
      <c r="T158" s="228">
        <f t="shared" si="291"/>
        <v>0.3606395401059912</v>
      </c>
      <c r="U158" s="228">
        <f t="shared" si="291"/>
        <v>0.31625160850806144</v>
      </c>
      <c r="V158" s="228">
        <f t="shared" si="291"/>
        <v>0.32981722287896698</v>
      </c>
      <c r="W158" s="228">
        <f t="shared" si="291"/>
        <v>0.31688613477924088</v>
      </c>
      <c r="X158" s="228">
        <f t="shared" si="291"/>
        <v>0.40070892058401553</v>
      </c>
      <c r="Y158" s="228">
        <f t="shared" si="291"/>
        <v>0.34545695013887051</v>
      </c>
      <c r="Z158" s="228">
        <f t="shared" si="291"/>
        <v>0.35240871432954896</v>
      </c>
      <c r="AA158" s="228">
        <f t="shared" si="291"/>
        <v>0.34594632968905298</v>
      </c>
      <c r="AB158" s="228">
        <f t="shared" si="291"/>
        <v>0.38267988583445994</v>
      </c>
      <c r="AC158" s="228">
        <f t="shared" si="291"/>
        <v>0.3642713999427426</v>
      </c>
      <c r="AD158" s="228">
        <f t="shared" si="291"/>
        <v>0.33739669421487606</v>
      </c>
      <c r="AE158" s="228">
        <f t="shared" si="291"/>
        <v>0.32174700473669549</v>
      </c>
      <c r="AF158" s="228">
        <f t="shared" si="291"/>
        <v>0.3163066306630663</v>
      </c>
      <c r="AG158" s="829">
        <f>+AF158+(AC158-AB158)/1</f>
        <v>0.29789814477134896</v>
      </c>
      <c r="AH158" s="829">
        <f t="shared" ref="AH158" si="292">+AG158+(AD158-AC158)/1</f>
        <v>0.27102343904348242</v>
      </c>
      <c r="AI158" s="829">
        <f t="shared" si="290"/>
        <v>0.26580687588408891</v>
      </c>
      <c r="AJ158" s="228"/>
      <c r="AK158" s="228"/>
      <c r="AL158" s="228"/>
      <c r="AM158" s="228"/>
      <c r="AN158" s="228"/>
      <c r="AO158" s="228"/>
      <c r="AP158" s="228"/>
      <c r="AQ158" s="228"/>
      <c r="AR158" s="228"/>
      <c r="AS158" s="228"/>
      <c r="AT158" s="228">
        <f t="shared" si="285"/>
        <v>0.14573582943317734</v>
      </c>
      <c r="AU158" s="228">
        <f t="shared" si="285"/>
        <v>0.1173017152066306</v>
      </c>
      <c r="AV158" s="228">
        <f t="shared" si="285"/>
        <v>0.15338576445565613</v>
      </c>
      <c r="AW158" s="228">
        <f t="shared" si="285"/>
        <v>0.21375699584762592</v>
      </c>
      <c r="AX158" s="228"/>
      <c r="AY158" s="904">
        <f t="shared" si="286"/>
        <v>0.15338576445565613</v>
      </c>
      <c r="AZ158" s="904">
        <f t="shared" si="287"/>
        <v>0.21375699584762592</v>
      </c>
      <c r="BA158" s="228">
        <f t="shared" si="288"/>
        <v>0.25096981739048158</v>
      </c>
      <c r="BB158" s="228">
        <f t="shared" si="288"/>
        <v>0.28053744146352139</v>
      </c>
      <c r="BC158" s="228">
        <f t="shared" si="288"/>
        <v>0.3297548237342231</v>
      </c>
      <c r="BD158" s="228">
        <f t="shared" si="288"/>
        <v>0.359362579261642</v>
      </c>
      <c r="BE158" s="228">
        <f t="shared" si="288"/>
        <v>0.35160506244237699</v>
      </c>
      <c r="BF158" s="228">
        <f t="shared" si="288"/>
        <v>0.28791777306606359</v>
      </c>
    </row>
    <row r="159" spans="2:65" s="3" customFormat="1" ht="11.45">
      <c r="B159" s="884" t="str">
        <f>+B145</f>
        <v>Corporate and Other</v>
      </c>
      <c r="H159" s="840">
        <f t="shared" ref="H159:AF159" si="293">+IFERROR(H145/H118,"n/a ")</f>
        <v>0</v>
      </c>
      <c r="I159" s="840">
        <f t="shared" si="293"/>
        <v>0</v>
      </c>
      <c r="J159" s="840">
        <f t="shared" si="293"/>
        <v>0</v>
      </c>
      <c r="K159" s="840">
        <f t="shared" si="293"/>
        <v>-1.1950790861159929E-2</v>
      </c>
      <c r="L159" s="840">
        <f t="shared" si="293"/>
        <v>0</v>
      </c>
      <c r="M159" s="840">
        <f t="shared" si="293"/>
        <v>0</v>
      </c>
      <c r="N159" s="840">
        <f t="shared" si="293"/>
        <v>0</v>
      </c>
      <c r="O159" s="840">
        <f t="shared" si="293"/>
        <v>0</v>
      </c>
      <c r="P159" s="840">
        <f t="shared" si="293"/>
        <v>0</v>
      </c>
      <c r="Q159" s="840">
        <f t="shared" si="293"/>
        <v>0</v>
      </c>
      <c r="R159" s="840">
        <f t="shared" si="293"/>
        <v>0</v>
      </c>
      <c r="S159" s="840">
        <f t="shared" si="293"/>
        <v>0</v>
      </c>
      <c r="T159" s="840">
        <f t="shared" si="293"/>
        <v>0</v>
      </c>
      <c r="U159" s="840">
        <f t="shared" si="293"/>
        <v>0</v>
      </c>
      <c r="V159" s="840">
        <f t="shared" si="293"/>
        <v>0</v>
      </c>
      <c r="W159" s="840">
        <f t="shared" si="293"/>
        <v>0</v>
      </c>
      <c r="X159" s="840">
        <f t="shared" si="293"/>
        <v>0</v>
      </c>
      <c r="Y159" s="840">
        <f t="shared" si="293"/>
        <v>0</v>
      </c>
      <c r="Z159" s="840">
        <f t="shared" si="293"/>
        <v>0</v>
      </c>
      <c r="AA159" s="840">
        <f t="shared" si="293"/>
        <v>0</v>
      </c>
      <c r="AB159" s="840">
        <f t="shared" si="293"/>
        <v>0</v>
      </c>
      <c r="AC159" s="840">
        <f t="shared" si="293"/>
        <v>0</v>
      </c>
      <c r="AD159" s="840">
        <f t="shared" si="293"/>
        <v>0</v>
      </c>
      <c r="AE159" s="840">
        <f t="shared" si="293"/>
        <v>0</v>
      </c>
      <c r="AF159" s="840">
        <f t="shared" si="293"/>
        <v>0</v>
      </c>
      <c r="AG159" s="908">
        <v>0</v>
      </c>
      <c r="AH159" s="908">
        <f t="shared" ref="AH159:AI159" si="294">+AG159+(AD159-AC159)*1.05</f>
        <v>0</v>
      </c>
      <c r="AI159" s="908">
        <f t="shared" si="294"/>
        <v>0</v>
      </c>
      <c r="AJ159" s="840"/>
      <c r="AK159" s="840"/>
      <c r="AL159" s="840"/>
      <c r="AM159" s="840"/>
      <c r="AN159" s="840"/>
      <c r="AO159" s="840"/>
      <c r="AP159" s="840"/>
      <c r="AQ159" s="840"/>
      <c r="AR159" s="840"/>
      <c r="AS159" s="840"/>
      <c r="AT159" s="840">
        <f>+IFERROR(AT145/AT118,"n/a ")</f>
        <v>-3.8925293379245217E-3</v>
      </c>
      <c r="AU159" s="840">
        <f>+IFERROR(AU145/AU118,"n/a ")</f>
        <v>0</v>
      </c>
      <c r="AV159" s="840">
        <f>+IFERROR(AV145/AV118,"n/a ")</f>
        <v>-7.7859821847163613E-2</v>
      </c>
      <c r="AW159" s="840">
        <f>+IFERROR(AW145/AW118,"n/a ")</f>
        <v>-7.4563646470261258E-2</v>
      </c>
      <c r="AX159" s="840"/>
      <c r="AY159" s="1011">
        <f t="shared" si="286"/>
        <v>-7.7859821847163613E-2</v>
      </c>
      <c r="AZ159" s="1011">
        <f t="shared" si="287"/>
        <v>-7.4563646470261258E-2</v>
      </c>
      <c r="BA159" s="840">
        <f t="shared" ref="BA159:BF159" si="295">+IFERROR(BA145/BA118,"n/a ")</f>
        <v>0</v>
      </c>
      <c r="BB159" s="840">
        <f t="shared" si="295"/>
        <v>0</v>
      </c>
      <c r="BC159" s="840">
        <f t="shared" si="295"/>
        <v>0</v>
      </c>
      <c r="BD159" s="840">
        <f t="shared" si="295"/>
        <v>0</v>
      </c>
      <c r="BE159" s="840">
        <f t="shared" si="295"/>
        <v>0</v>
      </c>
      <c r="BF159" s="840">
        <f t="shared" si="295"/>
        <v>0</v>
      </c>
    </row>
    <row r="160" spans="2:65" s="7" customFormat="1">
      <c r="B160" s="887" t="str">
        <f>+B146</f>
        <v>Total operating income</v>
      </c>
      <c r="H160" s="842">
        <f t="shared" ref="H160:AI160" si="296">+IFERROR(H146/H118,"n/a ")</f>
        <v>0.30622947829259395</v>
      </c>
      <c r="I160" s="842">
        <f t="shared" si="296"/>
        <v>0.30608688918144505</v>
      </c>
      <c r="J160" s="842">
        <f t="shared" si="296"/>
        <v>0.28963467172152335</v>
      </c>
      <c r="K160" s="842">
        <f t="shared" si="296"/>
        <v>0.30001952743604765</v>
      </c>
      <c r="L160" s="842">
        <f t="shared" si="296"/>
        <v>0.3141250305648382</v>
      </c>
      <c r="M160" s="842">
        <f t="shared" si="296"/>
        <v>0.30012448993706342</v>
      </c>
      <c r="N160" s="842">
        <f t="shared" si="296"/>
        <v>0.30918378761325926</v>
      </c>
      <c r="O160" s="842">
        <f t="shared" si="296"/>
        <v>0.3449891972743892</v>
      </c>
      <c r="P160" s="842">
        <f t="shared" si="296"/>
        <v>0.34228441754916794</v>
      </c>
      <c r="Q160" s="842">
        <f t="shared" si="296"/>
        <v>0.3159126605278556</v>
      </c>
      <c r="R160" s="842">
        <f t="shared" si="296"/>
        <v>0.3382617513329626</v>
      </c>
      <c r="S160" s="842">
        <f t="shared" si="296"/>
        <v>0.3679152949550672</v>
      </c>
      <c r="T160" s="842">
        <f t="shared" si="296"/>
        <v>0.38378460142187265</v>
      </c>
      <c r="U160" s="842">
        <f t="shared" si="296"/>
        <v>0.37638866309001245</v>
      </c>
      <c r="V160" s="842">
        <f t="shared" si="296"/>
        <v>0.37049199051997372</v>
      </c>
      <c r="W160" s="842">
        <f t="shared" si="296"/>
        <v>0.35250966266137301</v>
      </c>
      <c r="X160" s="842">
        <f t="shared" si="296"/>
        <v>0.42730257845723207</v>
      </c>
      <c r="Y160" s="842">
        <f t="shared" si="296"/>
        <v>0.41547497446373849</v>
      </c>
      <c r="Z160" s="842">
        <f t="shared" si="296"/>
        <v>0.40876612477820939</v>
      </c>
      <c r="AA160" s="842">
        <f t="shared" si="296"/>
        <v>0.41374154966198645</v>
      </c>
      <c r="AB160" s="842">
        <f t="shared" si="296"/>
        <v>0.44658737339188381</v>
      </c>
      <c r="AC160" s="842">
        <f t="shared" si="296"/>
        <v>0.43007655428394681</v>
      </c>
      <c r="AD160" s="842">
        <f t="shared" si="296"/>
        <v>0.41256077795786061</v>
      </c>
      <c r="AE160" s="842">
        <f t="shared" si="296"/>
        <v>0.3959124650535043</v>
      </c>
      <c r="AF160" s="842">
        <f t="shared" si="296"/>
        <v>0.42931247755476637</v>
      </c>
      <c r="AG160" s="842">
        <f t="shared" si="296"/>
        <v>0.41576508625761166</v>
      </c>
      <c r="AH160" s="842">
        <f t="shared" si="296"/>
        <v>0.400784562589513</v>
      </c>
      <c r="AI160" s="842">
        <f t="shared" si="296"/>
        <v>0.3907500947808078</v>
      </c>
      <c r="AJ160" s="842"/>
      <c r="AK160" s="842"/>
      <c r="AL160" s="842"/>
      <c r="AM160" s="842"/>
      <c r="AN160" s="842"/>
      <c r="AO160" s="842"/>
      <c r="AP160" s="842"/>
      <c r="AQ160" s="842"/>
      <c r="AR160" s="842"/>
      <c r="AS160" s="842"/>
      <c r="AT160" s="842">
        <f>+IFERROR(AT146/AT118,"n/a ")</f>
        <v>0.32114518673776099</v>
      </c>
      <c r="AU160" s="842">
        <f>+IFERROR(AU146/AU118,"n/a ")</f>
        <v>0.30104723231459712</v>
      </c>
      <c r="AV160" s="842">
        <f>+IFERROR(AV146/AV118,"n/a ")</f>
        <v>0.24955461790904829</v>
      </c>
      <c r="AW160" s="842">
        <f>+IFERROR(AW146/AW118,"n/a ")</f>
        <v>0.25160644802668147</v>
      </c>
      <c r="AX160" s="842"/>
      <c r="AY160" s="1012">
        <f t="shared" si="286"/>
        <v>0.24955461790904829</v>
      </c>
      <c r="AZ160" s="1012">
        <f t="shared" si="287"/>
        <v>0.25160644802668147</v>
      </c>
      <c r="BA160" s="842">
        <f t="shared" ref="BA160:BF160" si="297">+IFERROR(BA146/BA118,"n/a ")</f>
        <v>0.31766944545125048</v>
      </c>
      <c r="BB160" s="842">
        <f t="shared" si="297"/>
        <v>0.3413698020549415</v>
      </c>
      <c r="BC160" s="842">
        <f t="shared" si="297"/>
        <v>0.37030381428521486</v>
      </c>
      <c r="BD160" s="842">
        <f t="shared" si="297"/>
        <v>0.41594878872971303</v>
      </c>
      <c r="BE160" s="842">
        <f t="shared" si="297"/>
        <v>0.4205527815604983</v>
      </c>
      <c r="BF160" s="842">
        <f t="shared" si="297"/>
        <v>0.4087447800188268</v>
      </c>
    </row>
    <row r="161" spans="2:59">
      <c r="AC161" s="909"/>
      <c r="AD161" s="909"/>
      <c r="AE161" s="909"/>
      <c r="AF161" s="909"/>
      <c r="AG161" s="909"/>
      <c r="AH161" s="909"/>
      <c r="AI161" s="909"/>
    </row>
    <row r="162" spans="2:59" ht="10.5">
      <c r="B162" s="5" t="s">
        <v>362</v>
      </c>
      <c r="C162" s="4"/>
    </row>
    <row r="163" spans="2:59">
      <c r="B163" s="19"/>
    </row>
    <row r="164" spans="2:59" ht="10.5">
      <c r="B164" s="45" t="s">
        <v>86</v>
      </c>
    </row>
    <row r="165" spans="2:59" ht="13.5">
      <c r="B165" t="s">
        <v>365</v>
      </c>
      <c r="H165" s="903"/>
      <c r="I165" s="821"/>
      <c r="J165" s="31"/>
      <c r="K165" s="31"/>
      <c r="L165" s="879">
        <v>5800</v>
      </c>
      <c r="M165" s="879">
        <v>6100</v>
      </c>
      <c r="N165" s="879">
        <v>6800</v>
      </c>
      <c r="O165" s="879">
        <v>7900</v>
      </c>
      <c r="P165" s="879">
        <v>8500</v>
      </c>
      <c r="Q165" s="879">
        <v>9000</v>
      </c>
      <c r="R165" s="879">
        <v>9600</v>
      </c>
      <c r="S165" s="879">
        <v>11000</v>
      </c>
      <c r="T165" s="879">
        <v>11600</v>
      </c>
      <c r="U165" s="879">
        <v>12500</v>
      </c>
      <c r="V165" s="879">
        <v>13300</v>
      </c>
      <c r="W165" s="879">
        <v>14300</v>
      </c>
      <c r="X165" s="879">
        <v>15200</v>
      </c>
      <c r="Y165" s="879">
        <v>16700</v>
      </c>
      <c r="Z165" s="879">
        <v>17700</v>
      </c>
      <c r="AA165" s="879">
        <v>19500</v>
      </c>
      <c r="AB165" s="879">
        <v>20700</v>
      </c>
      <c r="AC165" s="879">
        <v>22100</v>
      </c>
      <c r="AD165" s="879">
        <v>23400</v>
      </c>
      <c r="AE165" s="879">
        <v>25100</v>
      </c>
      <c r="AF165" s="879">
        <v>25700</v>
      </c>
      <c r="AG165" s="879"/>
      <c r="AH165" s="879"/>
      <c r="AI165" s="879"/>
      <c r="AT165" s="879">
        <v>2800</v>
      </c>
      <c r="AU165" s="879">
        <v>5800</v>
      </c>
      <c r="AV165" s="879">
        <v>9500</v>
      </c>
      <c r="AW165" s="879">
        <v>14900</v>
      </c>
      <c r="AX165" s="879"/>
      <c r="AY165" s="1014"/>
      <c r="AZ165" s="1014"/>
      <c r="BA165" s="880">
        <f>+SUM(L165:O165)</f>
        <v>26600</v>
      </c>
      <c r="BB165" s="880">
        <v>38100</v>
      </c>
      <c r="BC165" s="880">
        <f>SUM(T165:W165)</f>
        <v>51700</v>
      </c>
      <c r="BD165" s="880">
        <f>SUM(X165:AA165)</f>
        <v>69100</v>
      </c>
      <c r="BE165" s="880">
        <f>SUM(AB165:AE165)</f>
        <v>91300</v>
      </c>
      <c r="BF165" s="8"/>
      <c r="BG165" s="8"/>
    </row>
    <row r="166" spans="2:59" s="852" customFormat="1">
      <c r="B166" t="s">
        <v>366</v>
      </c>
      <c r="H166" s="853"/>
      <c r="I166" s="853"/>
      <c r="J166" s="853"/>
      <c r="K166" s="853"/>
      <c r="L166" s="853">
        <f t="shared" ref="L166:O166" si="298">+L167-L165</f>
        <v>18738</v>
      </c>
      <c r="M166" s="853">
        <f t="shared" si="298"/>
        <v>22818</v>
      </c>
      <c r="N166" s="853">
        <f t="shared" si="298"/>
        <v>20019</v>
      </c>
      <c r="O166" s="853">
        <f t="shared" si="298"/>
        <v>22185</v>
      </c>
      <c r="P166" s="853">
        <f>+P167-P165</f>
        <v>20584</v>
      </c>
      <c r="Q166" s="853">
        <f t="shared" ref="Q166:AF166" si="299">+Q167-Q165</f>
        <v>23471</v>
      </c>
      <c r="R166" s="853">
        <f t="shared" si="299"/>
        <v>20971</v>
      </c>
      <c r="S166" s="853">
        <f t="shared" si="299"/>
        <v>22717</v>
      </c>
      <c r="T166" s="853">
        <f t="shared" si="299"/>
        <v>21455</v>
      </c>
      <c r="U166" s="853">
        <f t="shared" si="299"/>
        <v>24406</v>
      </c>
      <c r="V166" s="853">
        <f t="shared" si="299"/>
        <v>21721</v>
      </c>
      <c r="W166" s="853">
        <f t="shared" si="299"/>
        <v>23733</v>
      </c>
      <c r="X166" s="853">
        <f t="shared" si="299"/>
        <v>21954</v>
      </c>
      <c r="Y166" s="853">
        <f t="shared" si="299"/>
        <v>26376</v>
      </c>
      <c r="Z166" s="853">
        <f t="shared" si="299"/>
        <v>24006</v>
      </c>
      <c r="AA166" s="853">
        <f t="shared" si="299"/>
        <v>26652</v>
      </c>
      <c r="AB166" s="853">
        <f t="shared" si="299"/>
        <v>24617</v>
      </c>
      <c r="AC166" s="853">
        <f t="shared" si="299"/>
        <v>29628</v>
      </c>
      <c r="AD166" s="853">
        <f t="shared" si="299"/>
        <v>25960</v>
      </c>
      <c r="AE166" s="853">
        <f t="shared" si="299"/>
        <v>26765</v>
      </c>
      <c r="AF166" s="853">
        <f t="shared" si="299"/>
        <v>24422</v>
      </c>
      <c r="AG166" s="853"/>
      <c r="AH166" s="853"/>
      <c r="AI166" s="853"/>
      <c r="AJ166" s="1001"/>
      <c r="AK166" s="1001"/>
      <c r="AL166" s="1001"/>
      <c r="AM166" s="1001"/>
      <c r="AN166" s="1001"/>
      <c r="AO166" s="1001"/>
      <c r="AP166" s="1001"/>
      <c r="AQ166" s="1001"/>
      <c r="AR166" s="1001"/>
      <c r="AS166" s="1001"/>
      <c r="AT166" s="1001">
        <f t="shared" ref="AT166:AW166" si="300">+AT167-AT165</f>
        <v>84033</v>
      </c>
      <c r="AU166" s="1001">
        <f t="shared" si="300"/>
        <v>87780</v>
      </c>
      <c r="AV166" s="1001">
        <f t="shared" si="300"/>
        <v>75820</v>
      </c>
      <c r="AW166" s="1001">
        <f t="shared" si="300"/>
        <v>75050</v>
      </c>
      <c r="AX166" s="1001"/>
      <c r="AY166" s="1015"/>
      <c r="AZ166" s="1015"/>
      <c r="BA166" s="853">
        <f>+BA167-BA165</f>
        <v>83760</v>
      </c>
      <c r="BB166" s="853">
        <f t="shared" ref="BB166:BE166" si="301">+BB167-BB165</f>
        <v>87743</v>
      </c>
      <c r="BC166" s="1000">
        <f t="shared" si="301"/>
        <v>91315</v>
      </c>
      <c r="BD166" s="1000">
        <f t="shared" si="301"/>
        <v>98988</v>
      </c>
      <c r="BE166" s="1000">
        <f t="shared" si="301"/>
        <v>106970</v>
      </c>
      <c r="BF166" s="853"/>
    </row>
    <row r="167" spans="2:59" s="1" customFormat="1" ht="10.5">
      <c r="B167" s="837" t="s">
        <v>346</v>
      </c>
      <c r="D167" s="838"/>
      <c r="E167" s="838"/>
      <c r="F167" s="838"/>
      <c r="G167" s="838"/>
      <c r="H167" s="838"/>
      <c r="I167" s="838"/>
      <c r="J167" s="838"/>
      <c r="K167" s="838"/>
      <c r="L167" s="838">
        <f t="shared" ref="L167:AF167" si="302">+L118</f>
        <v>24538</v>
      </c>
      <c r="M167" s="838">
        <f t="shared" si="302"/>
        <v>28918</v>
      </c>
      <c r="N167" s="838">
        <f t="shared" si="302"/>
        <v>26819</v>
      </c>
      <c r="O167" s="838">
        <f t="shared" si="302"/>
        <v>30085</v>
      </c>
      <c r="P167" s="838">
        <f t="shared" si="302"/>
        <v>29084</v>
      </c>
      <c r="Q167" s="838">
        <f t="shared" si="302"/>
        <v>32471</v>
      </c>
      <c r="R167" s="838">
        <f t="shared" si="302"/>
        <v>30571</v>
      </c>
      <c r="S167" s="838">
        <f t="shared" si="302"/>
        <v>33717</v>
      </c>
      <c r="T167" s="838">
        <f t="shared" si="302"/>
        <v>33055</v>
      </c>
      <c r="U167" s="838">
        <f t="shared" si="302"/>
        <v>36906</v>
      </c>
      <c r="V167" s="838">
        <f t="shared" si="302"/>
        <v>35021</v>
      </c>
      <c r="W167" s="838">
        <f t="shared" si="302"/>
        <v>38033</v>
      </c>
      <c r="X167" s="838">
        <f t="shared" si="302"/>
        <v>37154</v>
      </c>
      <c r="Y167" s="838">
        <f t="shared" si="302"/>
        <v>43076</v>
      </c>
      <c r="Z167" s="838">
        <f t="shared" si="302"/>
        <v>41706</v>
      </c>
      <c r="AA167" s="838">
        <f t="shared" si="302"/>
        <v>46152</v>
      </c>
      <c r="AB167" s="838">
        <f t="shared" si="302"/>
        <v>45317</v>
      </c>
      <c r="AC167" s="838">
        <f t="shared" si="302"/>
        <v>51728</v>
      </c>
      <c r="AD167" s="838">
        <f t="shared" si="302"/>
        <v>49360</v>
      </c>
      <c r="AE167" s="838">
        <f t="shared" si="302"/>
        <v>51865</v>
      </c>
      <c r="AF167" s="838">
        <f t="shared" si="302"/>
        <v>50122</v>
      </c>
      <c r="AG167" s="838"/>
      <c r="AH167" s="838"/>
      <c r="AI167" s="838"/>
      <c r="AJ167" s="838"/>
      <c r="AK167" s="838">
        <f t="shared" ref="AK167:AS167" si="303">+AK12</f>
        <v>39788</v>
      </c>
      <c r="AL167" s="838">
        <f t="shared" si="303"/>
        <v>44282</v>
      </c>
      <c r="AM167" s="838">
        <f t="shared" si="303"/>
        <v>51122</v>
      </c>
      <c r="AN167" s="838">
        <f t="shared" si="303"/>
        <v>60420</v>
      </c>
      <c r="AO167" s="838">
        <f t="shared" si="303"/>
        <v>58437</v>
      </c>
      <c r="AP167" s="838">
        <f t="shared" si="303"/>
        <v>62484</v>
      </c>
      <c r="AQ167" s="838">
        <f t="shared" si="303"/>
        <v>69943</v>
      </c>
      <c r="AR167" s="838">
        <f t="shared" si="303"/>
        <v>73723</v>
      </c>
      <c r="AS167" s="838">
        <f t="shared" si="303"/>
        <v>77849</v>
      </c>
      <c r="AT167" s="838">
        <f>+AT12</f>
        <v>86833</v>
      </c>
      <c r="AU167" s="838">
        <f>+AU118</f>
        <v>93580</v>
      </c>
      <c r="AV167" s="838">
        <f>+AV118</f>
        <v>85320</v>
      </c>
      <c r="AW167" s="838">
        <f>+AW118</f>
        <v>89950</v>
      </c>
      <c r="AX167" s="838"/>
      <c r="AY167" s="838">
        <f t="shared" ref="AY167:BE167" si="304">+AY118</f>
        <v>91154</v>
      </c>
      <c r="AZ167" s="838">
        <f t="shared" si="304"/>
        <v>96571</v>
      </c>
      <c r="BA167" s="838">
        <f t="shared" si="304"/>
        <v>110360</v>
      </c>
      <c r="BB167" s="838">
        <f t="shared" si="304"/>
        <v>125843</v>
      </c>
      <c r="BC167" s="838">
        <f t="shared" si="304"/>
        <v>143015</v>
      </c>
      <c r="BD167" s="838">
        <f t="shared" si="304"/>
        <v>168088</v>
      </c>
      <c r="BE167" s="838">
        <f t="shared" si="304"/>
        <v>198270</v>
      </c>
      <c r="BF167" s="838"/>
    </row>
    <row r="168" spans="2:59">
      <c r="B168" s="19"/>
    </row>
    <row r="169" spans="2:59" s="3" customFormat="1">
      <c r="B169" s="883" t="s">
        <v>113</v>
      </c>
    </row>
    <row r="170" spans="2:59" s="3" customFormat="1">
      <c r="B170" s="884" t="str">
        <f>+B165</f>
        <v>Cloud</v>
      </c>
      <c r="L170" s="228"/>
      <c r="M170" s="228"/>
      <c r="N170" s="228"/>
      <c r="O170" s="228"/>
      <c r="P170" s="228">
        <f t="shared" ref="P170:AF172" si="305">+IFERROR(P165/L165-1,"NA ")</f>
        <v>0.46551724137931028</v>
      </c>
      <c r="Q170" s="228">
        <f t="shared" si="305"/>
        <v>0.47540983606557385</v>
      </c>
      <c r="R170" s="228">
        <f t="shared" si="305"/>
        <v>0.41176470588235303</v>
      </c>
      <c r="S170" s="228">
        <f t="shared" si="305"/>
        <v>0.39240506329113933</v>
      </c>
      <c r="T170" s="228">
        <f t="shared" si="305"/>
        <v>0.36470588235294121</v>
      </c>
      <c r="U170" s="228">
        <f t="shared" si="305"/>
        <v>0.38888888888888884</v>
      </c>
      <c r="V170" s="228">
        <f t="shared" si="305"/>
        <v>0.38541666666666674</v>
      </c>
      <c r="W170" s="228">
        <f t="shared" si="305"/>
        <v>0.30000000000000004</v>
      </c>
      <c r="X170" s="228">
        <f t="shared" si="305"/>
        <v>0.31034482758620685</v>
      </c>
      <c r="Y170" s="228">
        <f t="shared" si="305"/>
        <v>0.33600000000000008</v>
      </c>
      <c r="Z170" s="228">
        <f t="shared" si="305"/>
        <v>0.33082706766917291</v>
      </c>
      <c r="AA170" s="228">
        <f t="shared" si="305"/>
        <v>0.36363636363636354</v>
      </c>
      <c r="AB170" s="228">
        <f t="shared" si="305"/>
        <v>0.36184210526315796</v>
      </c>
      <c r="AC170" s="228">
        <f t="shared" si="305"/>
        <v>0.32335329341317376</v>
      </c>
      <c r="AD170" s="228">
        <f t="shared" si="305"/>
        <v>0.32203389830508478</v>
      </c>
      <c r="AE170" s="228">
        <f t="shared" si="305"/>
        <v>0.28717948717948727</v>
      </c>
      <c r="AF170" s="228">
        <f t="shared" si="305"/>
        <v>0.24154589371980673</v>
      </c>
      <c r="AG170" s="228"/>
      <c r="AH170" s="228"/>
      <c r="AI170" s="228"/>
      <c r="AJ170" s="228"/>
      <c r="AK170" s="228"/>
      <c r="AL170" s="228"/>
      <c r="AM170" s="228"/>
      <c r="AN170" s="228"/>
      <c r="AO170" s="228"/>
      <c r="AP170" s="228"/>
      <c r="AQ170" s="228"/>
      <c r="AR170" s="228"/>
      <c r="AS170" s="228"/>
      <c r="AT170" s="228"/>
      <c r="AU170" s="228">
        <f t="shared" ref="AU170:AW170" si="306">+IFERROR(AU165/AT165-1,"n/a ")</f>
        <v>1.0714285714285716</v>
      </c>
      <c r="AV170" s="228">
        <f t="shared" si="306"/>
        <v>0.63793103448275867</v>
      </c>
      <c r="AW170" s="228">
        <f t="shared" si="306"/>
        <v>0.56842105263157894</v>
      </c>
      <c r="AX170" s="228"/>
      <c r="AY170" s="904">
        <f t="shared" ref="AY170" si="307">+AV170</f>
        <v>0.63793103448275867</v>
      </c>
      <c r="AZ170" s="904">
        <f t="shared" ref="AZ170" si="308">+AW170</f>
        <v>0.56842105263157894</v>
      </c>
      <c r="BA170" s="228" t="str">
        <f t="shared" ref="BA170:BE172" si="309">+IFERROR(BA165/AZ165-1,"NA ")</f>
        <v xml:space="preserve">NA </v>
      </c>
      <c r="BB170" s="228">
        <f t="shared" si="309"/>
        <v>0.43233082706766912</v>
      </c>
      <c r="BC170" s="228">
        <f t="shared" si="309"/>
        <v>0.35695538057742793</v>
      </c>
      <c r="BD170" s="228">
        <f t="shared" si="309"/>
        <v>0.33655705996131524</v>
      </c>
      <c r="BE170" s="228">
        <f t="shared" si="309"/>
        <v>0.32127351664254711</v>
      </c>
      <c r="BF170" s="228"/>
    </row>
    <row r="171" spans="2:59" s="3" customFormat="1" ht="11.45">
      <c r="B171" s="884" t="str">
        <f t="shared" ref="B171:B172" si="310">+B166</f>
        <v>Non-Cloud</v>
      </c>
      <c r="L171" s="840"/>
      <c r="M171" s="840"/>
      <c r="N171" s="840"/>
      <c r="O171" s="840"/>
      <c r="P171" s="840">
        <f t="shared" si="305"/>
        <v>9.8516383818977538E-2</v>
      </c>
      <c r="Q171" s="840">
        <f t="shared" si="305"/>
        <v>2.8617757910421648E-2</v>
      </c>
      <c r="R171" s="840">
        <f t="shared" si="305"/>
        <v>4.7554822918227657E-2</v>
      </c>
      <c r="S171" s="840">
        <f t="shared" si="305"/>
        <v>2.3980166779355327E-2</v>
      </c>
      <c r="T171" s="840">
        <f t="shared" si="305"/>
        <v>4.2314418966187262E-2</v>
      </c>
      <c r="U171" s="840">
        <f t="shared" si="305"/>
        <v>3.9836393847727081E-2</v>
      </c>
      <c r="V171" s="840">
        <f t="shared" si="305"/>
        <v>3.5763673644556793E-2</v>
      </c>
      <c r="W171" s="840">
        <f t="shared" si="305"/>
        <v>4.4724215345335994E-2</v>
      </c>
      <c r="X171" s="840">
        <f t="shared" si="305"/>
        <v>2.3257981822419005E-2</v>
      </c>
      <c r="Y171" s="840">
        <f t="shared" si="305"/>
        <v>8.071785626485295E-2</v>
      </c>
      <c r="Z171" s="840">
        <f t="shared" si="305"/>
        <v>0.10519773491091566</v>
      </c>
      <c r="AA171" s="840">
        <f t="shared" si="305"/>
        <v>0.12299330046770329</v>
      </c>
      <c r="AB171" s="840">
        <f t="shared" si="305"/>
        <v>0.12129907989432454</v>
      </c>
      <c r="AC171" s="840">
        <f t="shared" si="305"/>
        <v>0.12329390354868064</v>
      </c>
      <c r="AD171" s="840">
        <f t="shared" si="305"/>
        <v>8.139631758726984E-2</v>
      </c>
      <c r="AE171" s="840">
        <f t="shared" si="305"/>
        <v>4.2398319075491742E-3</v>
      </c>
      <c r="AF171" s="840">
        <f t="shared" si="305"/>
        <v>-7.9213551610675115E-3</v>
      </c>
      <c r="AG171" s="840"/>
      <c r="AH171" s="840"/>
      <c r="AI171" s="840"/>
      <c r="AJ171" s="840"/>
      <c r="AK171" s="840"/>
      <c r="AL171" s="840"/>
      <c r="AM171" s="840"/>
      <c r="AN171" s="840"/>
      <c r="AO171" s="840"/>
      <c r="AP171" s="840"/>
      <c r="AQ171" s="840"/>
      <c r="AR171" s="840"/>
      <c r="AS171" s="840"/>
      <c r="AT171" s="840"/>
      <c r="AU171" s="840">
        <f t="shared" ref="AU171:AV171" si="311">+IFERROR(AU166/AT166-1,"n/a ")</f>
        <v>4.458962550426615E-2</v>
      </c>
      <c r="AV171" s="840">
        <f t="shared" si="311"/>
        <v>-0.13624971519708362</v>
      </c>
      <c r="AW171" s="840">
        <f>+IFERROR(AW166/AV166-1,"n/a ")</f>
        <v>-1.0155631759430239E-2</v>
      </c>
      <c r="AX171" s="840"/>
      <c r="AY171" s="1011">
        <f t="shared" ref="AY171:AY172" si="312">+AV171</f>
        <v>-0.13624971519708362</v>
      </c>
      <c r="AZ171" s="1011">
        <f t="shared" ref="AZ171:AZ172" si="313">+AW171</f>
        <v>-1.0155631759430239E-2</v>
      </c>
      <c r="BA171" s="840" t="str">
        <f t="shared" si="309"/>
        <v xml:space="preserve">NA </v>
      </c>
      <c r="BB171" s="840">
        <f t="shared" si="309"/>
        <v>4.7552531041069823E-2</v>
      </c>
      <c r="BC171" s="840">
        <f t="shared" si="309"/>
        <v>4.0709800211982783E-2</v>
      </c>
      <c r="BD171" s="840">
        <f t="shared" si="309"/>
        <v>8.4027815802442118E-2</v>
      </c>
      <c r="BE171" s="840">
        <f t="shared" si="309"/>
        <v>8.0636036691316137E-2</v>
      </c>
      <c r="BF171" s="840"/>
    </row>
    <row r="172" spans="2:59" s="7" customFormat="1">
      <c r="B172" s="887" t="str">
        <f t="shared" si="310"/>
        <v>Total Revenue</v>
      </c>
      <c r="L172" s="842"/>
      <c r="M172" s="842"/>
      <c r="N172" s="842"/>
      <c r="O172" s="842"/>
      <c r="P172" s="842">
        <f t="shared" si="305"/>
        <v>0.18526367267095933</v>
      </c>
      <c r="Q172" s="842">
        <f t="shared" si="305"/>
        <v>0.12286465177398154</v>
      </c>
      <c r="R172" s="842">
        <f t="shared" si="305"/>
        <v>0.13990081658525666</v>
      </c>
      <c r="S172" s="842">
        <f t="shared" si="305"/>
        <v>0.12072461359481479</v>
      </c>
      <c r="T172" s="842">
        <f t="shared" si="305"/>
        <v>0.13653555219364599</v>
      </c>
      <c r="U172" s="842">
        <f t="shared" si="305"/>
        <v>0.13658341289150311</v>
      </c>
      <c r="V172" s="842">
        <f t="shared" si="305"/>
        <v>0.14556278826338698</v>
      </c>
      <c r="W172" s="842">
        <f t="shared" si="305"/>
        <v>0.12800664353293589</v>
      </c>
      <c r="X172" s="842">
        <f t="shared" si="305"/>
        <v>0.12400544546967174</v>
      </c>
      <c r="Y172" s="842">
        <f t="shared" si="305"/>
        <v>0.16718148810491518</v>
      </c>
      <c r="Z172" s="842">
        <f t="shared" si="305"/>
        <v>0.19088546871876866</v>
      </c>
      <c r="AA172" s="842">
        <f t="shared" si="305"/>
        <v>0.21347251071437956</v>
      </c>
      <c r="AB172" s="842">
        <f t="shared" si="305"/>
        <v>0.21970716477364483</v>
      </c>
      <c r="AC172" s="842">
        <f t="shared" si="305"/>
        <v>0.2008543040208004</v>
      </c>
      <c r="AD172" s="842">
        <f t="shared" si="305"/>
        <v>0.18352275451973332</v>
      </c>
      <c r="AE172" s="842">
        <f t="shared" si="305"/>
        <v>0.12378661813139202</v>
      </c>
      <c r="AF172" s="842">
        <f t="shared" si="305"/>
        <v>0.1060308493501334</v>
      </c>
      <c r="AG172" s="842"/>
      <c r="AH172" s="842"/>
      <c r="AI172" s="842"/>
      <c r="AJ172" s="842"/>
      <c r="AK172" s="842"/>
      <c r="AL172" s="842">
        <f t="shared" ref="AL172:AT172" si="314">+IFERROR(AL167/AK167-1,"n/a ")</f>
        <v>0.11294862772695291</v>
      </c>
      <c r="AM172" s="842">
        <f t="shared" si="314"/>
        <v>0.15446456799602548</v>
      </c>
      <c r="AN172" s="842">
        <f t="shared" si="314"/>
        <v>0.18187864324556946</v>
      </c>
      <c r="AO172" s="842">
        <f t="shared" si="314"/>
        <v>-3.2820258192651441E-2</v>
      </c>
      <c r="AP172" s="842">
        <f t="shared" si="314"/>
        <v>6.9254068484008391E-2</v>
      </c>
      <c r="AQ172" s="842">
        <f t="shared" si="314"/>
        <v>0.11937455988733126</v>
      </c>
      <c r="AR172" s="842">
        <f t="shared" si="314"/>
        <v>5.4044007263057026E-2</v>
      </c>
      <c r="AS172" s="842">
        <f t="shared" si="314"/>
        <v>5.5966252051598442E-2</v>
      </c>
      <c r="AT172" s="842">
        <f t="shared" si="314"/>
        <v>0.11540289534868786</v>
      </c>
      <c r="AU172" s="842">
        <f t="shared" ref="AU172:AW172" si="315">+IFERROR(AU167/AT167-1,"n/a ")</f>
        <v>7.7700874091647165E-2</v>
      </c>
      <c r="AV172" s="842">
        <f t="shared" si="315"/>
        <v>-8.8266723658901425E-2</v>
      </c>
      <c r="AW172" s="842">
        <f t="shared" si="315"/>
        <v>5.4266291608063844E-2</v>
      </c>
      <c r="AX172" s="842"/>
      <c r="AY172" s="1012">
        <f t="shared" si="312"/>
        <v>-8.8266723658901425E-2</v>
      </c>
      <c r="AZ172" s="1012">
        <f t="shared" si="313"/>
        <v>5.4266291608063844E-2</v>
      </c>
      <c r="BA172" s="842">
        <f t="shared" si="309"/>
        <v>0.14278613662486661</v>
      </c>
      <c r="BB172" s="842">
        <f t="shared" si="309"/>
        <v>0.14029539688292858</v>
      </c>
      <c r="BC172" s="842">
        <f t="shared" si="309"/>
        <v>0.13645574247276371</v>
      </c>
      <c r="BD172" s="842">
        <f t="shared" si="309"/>
        <v>0.17531727441177503</v>
      </c>
      <c r="BE172" s="842">
        <f t="shared" si="309"/>
        <v>0.17956070629670173</v>
      </c>
      <c r="BF172" s="842"/>
    </row>
    <row r="173" spans="2:59">
      <c r="B173" s="19"/>
    </row>
    <row r="174" spans="2:59" s="3" customFormat="1">
      <c r="B174" s="883" t="str">
        <f>+B128</f>
        <v>Constant-FX %</v>
      </c>
    </row>
    <row r="175" spans="2:59" s="3" customFormat="1">
      <c r="B175" s="884" t="str">
        <f>+B170</f>
        <v>Cloud</v>
      </c>
      <c r="L175" s="228"/>
      <c r="M175" s="228"/>
      <c r="N175" s="228"/>
      <c r="O175" s="228"/>
      <c r="P175" s="904">
        <v>0.46</v>
      </c>
      <c r="Q175" s="904">
        <v>0.47</v>
      </c>
      <c r="R175" s="904">
        <v>0.13</v>
      </c>
      <c r="S175" s="904">
        <v>0.42</v>
      </c>
      <c r="T175" s="904">
        <v>0.39</v>
      </c>
      <c r="U175" s="904">
        <v>0.41</v>
      </c>
      <c r="V175" s="904">
        <v>0.4</v>
      </c>
      <c r="W175" s="904">
        <v>0.32</v>
      </c>
      <c r="X175" s="904">
        <v>0.31</v>
      </c>
      <c r="Y175" s="904">
        <v>0.32</v>
      </c>
      <c r="Z175" s="904">
        <v>0.28999999999999998</v>
      </c>
      <c r="AA175" s="904">
        <v>0.31</v>
      </c>
      <c r="AB175" s="904">
        <v>0.34</v>
      </c>
      <c r="AC175" s="904">
        <v>0.32</v>
      </c>
      <c r="AD175" s="904">
        <v>0.35</v>
      </c>
      <c r="AE175" s="904">
        <v>0.33</v>
      </c>
      <c r="AF175" s="904">
        <v>0.31</v>
      </c>
      <c r="AG175" s="904"/>
      <c r="AH175" s="904"/>
      <c r="AI175" s="904"/>
      <c r="BA175" s="14" t="s">
        <v>273</v>
      </c>
      <c r="BB175" s="14">
        <f>+SUMPRODUCT(P175:S175,L165:O165)/BA165</f>
        <v>0.36605263157894735</v>
      </c>
      <c r="BC175" s="14">
        <f>+SUMPRODUCT(T175:W175,P165:S165)/BB165</f>
        <v>0.37703412073490816</v>
      </c>
      <c r="BD175" s="14">
        <f>+SUMPRODUCT(X175:AA175,T165:W165)/BC165</f>
        <v>0.30727272727272725</v>
      </c>
      <c r="BE175" s="14">
        <f>+SUMPRODUCT(AB175:AE175,X165:AA165)/BD165</f>
        <v>0.33490593342981184</v>
      </c>
      <c r="BF175" s="228"/>
    </row>
    <row r="176" spans="2:59" s="3" customFormat="1" ht="11.45">
      <c r="B176" s="884" t="str">
        <f t="shared" ref="B176:B177" si="316">+B171</f>
        <v>Non-Cloud</v>
      </c>
      <c r="L176" s="840"/>
      <c r="M176" s="840"/>
      <c r="N176" s="840"/>
      <c r="O176" s="840"/>
      <c r="P176" s="840">
        <f t="shared" ref="P176:AF176" si="317">+(P133*L118-P175*L165)/L166</f>
        <v>0.10048137474650441</v>
      </c>
      <c r="Q176" s="840">
        <f t="shared" si="317"/>
        <v>3.4435095100359359E-2</v>
      </c>
      <c r="R176" s="840">
        <f t="shared" si="317"/>
        <v>0.17019031919676308</v>
      </c>
      <c r="S176" s="840">
        <f t="shared" si="317"/>
        <v>4.4691458192472409E-2</v>
      </c>
      <c r="T176" s="840">
        <f t="shared" si="317"/>
        <v>5.6955888068402648E-2</v>
      </c>
      <c r="U176" s="840">
        <f t="shared" si="317"/>
        <v>5.3028418047803678E-2</v>
      </c>
      <c r="V176" s="840">
        <f t="shared" si="317"/>
        <v>4.8835534786133193E-2</v>
      </c>
      <c r="W176" s="840">
        <f t="shared" si="317"/>
        <v>6.0297517277809562E-2</v>
      </c>
      <c r="X176" s="840">
        <f t="shared" si="317"/>
        <v>1.8054556047541376E-2</v>
      </c>
      <c r="Y176" s="840">
        <f t="shared" si="317"/>
        <v>6.8428525772351062E-2</v>
      </c>
      <c r="Z176" s="840">
        <f t="shared" si="317"/>
        <v>8.3163901293678927E-2</v>
      </c>
      <c r="AA176" s="840">
        <f t="shared" si="317"/>
        <v>9.2790683857919345E-2</v>
      </c>
      <c r="AB176" s="840">
        <f t="shared" si="317"/>
        <v>0.10959275758403934</v>
      </c>
      <c r="AC176" s="840">
        <f t="shared" si="317"/>
        <v>0.12530382165605089</v>
      </c>
      <c r="AD176" s="840">
        <f t="shared" si="317"/>
        <v>9.2003524118970323E-2</v>
      </c>
      <c r="AE176" s="840">
        <f t="shared" si="317"/>
        <v>4.3572234729100996E-2</v>
      </c>
      <c r="AF176" s="840">
        <f t="shared" si="317"/>
        <v>2.8385209408132567E-2</v>
      </c>
      <c r="AG176" s="840"/>
      <c r="AH176" s="840"/>
      <c r="AI176" s="840"/>
      <c r="AJ176" s="840"/>
      <c r="AK176" s="840"/>
      <c r="AL176" s="840"/>
      <c r="AM176" s="840"/>
      <c r="AN176" s="840"/>
      <c r="AO176" s="840"/>
      <c r="AP176" s="840"/>
      <c r="AQ176" s="840"/>
      <c r="AR176" s="840"/>
      <c r="AS176" s="840"/>
      <c r="AT176" s="840"/>
      <c r="AU176" s="840"/>
      <c r="AV176" s="840"/>
      <c r="AW176" s="840"/>
      <c r="AX176" s="840"/>
      <c r="AY176" s="840"/>
      <c r="AZ176" s="840"/>
      <c r="BA176" s="840" t="s">
        <v>273</v>
      </c>
      <c r="BB176" s="840">
        <f>+SUMPRODUCT(P176:S176,L166:O166)/BA166</f>
        <v>8.4372970391595026E-2</v>
      </c>
      <c r="BC176" s="840">
        <f>+SUMPRODUCT(T176:W176,P166:S166)/BB166</f>
        <v>5.4829658206352633E-2</v>
      </c>
      <c r="BD176" s="840">
        <f>+SUMPRODUCT(X176:AA176,T166:W166)/BC166</f>
        <v>6.6429737721075396E-2</v>
      </c>
      <c r="BE176" s="840">
        <f>+SUMPRODUCT(AB176:AE176,X166:AA166)/BD166</f>
        <v>9.173775407120055E-2</v>
      </c>
      <c r="BF176" s="840"/>
    </row>
    <row r="177" spans="2:59" s="7" customFormat="1">
      <c r="B177" s="887" t="str">
        <f t="shared" si="316"/>
        <v>Total Revenue</v>
      </c>
      <c r="L177" s="842"/>
      <c r="M177" s="842"/>
      <c r="N177" s="842"/>
      <c r="O177" s="842"/>
      <c r="P177" s="842">
        <f t="shared" ref="P177:AF177" si="318">+P14</f>
        <v>0.18546010269785637</v>
      </c>
      <c r="Q177" s="842">
        <f t="shared" si="318"/>
        <v>0.12631371464139982</v>
      </c>
      <c r="R177" s="842">
        <f t="shared" si="318"/>
        <v>0.16</v>
      </c>
      <c r="S177" s="842">
        <f t="shared" si="318"/>
        <v>0.14324347681568889</v>
      </c>
      <c r="T177" s="842">
        <f t="shared" si="318"/>
        <v>0.15429033145372026</v>
      </c>
      <c r="U177" s="842">
        <f t="shared" si="318"/>
        <v>0.15197037356410337</v>
      </c>
      <c r="V177" s="842">
        <f t="shared" si="318"/>
        <v>0.15910928657878379</v>
      </c>
      <c r="W177" s="842">
        <f t="shared" si="318"/>
        <v>0.14502413322656227</v>
      </c>
      <c r="X177" s="842">
        <f t="shared" si="318"/>
        <v>0.12050704885796401</v>
      </c>
      <c r="Y177" s="842">
        <f t="shared" si="318"/>
        <v>0.15363536010404813</v>
      </c>
      <c r="Z177" s="842">
        <f t="shared" si="318"/>
        <v>0.16171448844978725</v>
      </c>
      <c r="AA177" s="842">
        <f t="shared" si="318"/>
        <v>0.17445905660873451</v>
      </c>
      <c r="AB177" s="842">
        <f t="shared" si="318"/>
        <v>0.20385421219787908</v>
      </c>
      <c r="AC177" s="842">
        <f t="shared" si="318"/>
        <v>0.20078497539232981</v>
      </c>
      <c r="AD177" s="842">
        <f t="shared" si="318"/>
        <v>0.20149706517047911</v>
      </c>
      <c r="AE177" s="842">
        <f t="shared" si="318"/>
        <v>0.16459280637892182</v>
      </c>
      <c r="AF177" s="842">
        <f t="shared" si="318"/>
        <v>0.15702183948628548</v>
      </c>
      <c r="AG177" s="842"/>
      <c r="AH177" s="842"/>
      <c r="AI177" s="842"/>
      <c r="AJ177" s="842"/>
      <c r="AK177" s="842"/>
      <c r="AL177" s="842"/>
      <c r="AM177" s="842"/>
      <c r="AN177" s="842"/>
      <c r="AO177" s="842"/>
      <c r="AP177" s="842"/>
      <c r="AQ177" s="842"/>
      <c r="AR177" s="842"/>
      <c r="AS177" s="842"/>
      <c r="AT177" s="842"/>
      <c r="AU177" s="842"/>
      <c r="AV177" s="842"/>
      <c r="AW177" s="842"/>
      <c r="AX177" s="842"/>
      <c r="AY177" s="1012"/>
      <c r="AZ177" s="1012"/>
      <c r="BA177" s="842">
        <f>+BA14</f>
        <v>0.12866916569156372</v>
      </c>
      <c r="BB177" s="842">
        <f>+BB14</f>
        <v>0.15088356288510332</v>
      </c>
      <c r="BC177" s="842">
        <f>+BC14</f>
        <v>0.15238217445818814</v>
      </c>
      <c r="BD177" s="842">
        <f>+BD14</f>
        <v>0.1534946089571024</v>
      </c>
      <c r="BE177" s="842">
        <f>+BE14</f>
        <v>0.19170277949645423</v>
      </c>
      <c r="BF177" s="842"/>
    </row>
    <row r="178" spans="2:59">
      <c r="B178" s="19"/>
    </row>
    <row r="179" spans="2:59" ht="10.5">
      <c r="B179" s="45" t="s">
        <v>278</v>
      </c>
    </row>
    <row r="180" spans="2:59" ht="13.5">
      <c r="B180" t="s">
        <v>365</v>
      </c>
      <c r="H180" s="903"/>
      <c r="I180" s="821"/>
      <c r="J180" s="31"/>
      <c r="K180" s="31"/>
      <c r="L180" s="8">
        <f t="shared" ref="L180:AF180" si="319">+L190*L165</f>
        <v>3363.9999999999995</v>
      </c>
      <c r="M180" s="8">
        <f t="shared" si="319"/>
        <v>3476.9999999999995</v>
      </c>
      <c r="N180" s="8">
        <f t="shared" si="319"/>
        <v>3943.9999999999995</v>
      </c>
      <c r="O180" s="8">
        <f t="shared" si="319"/>
        <v>4661</v>
      </c>
      <c r="P180" s="8">
        <f t="shared" si="319"/>
        <v>5270</v>
      </c>
      <c r="Q180" s="8">
        <f t="shared" si="319"/>
        <v>5580</v>
      </c>
      <c r="R180" s="8">
        <f t="shared" si="319"/>
        <v>6048</v>
      </c>
      <c r="S180" s="8">
        <f t="shared" si="319"/>
        <v>7150</v>
      </c>
      <c r="T180" s="8">
        <f t="shared" si="319"/>
        <v>7656</v>
      </c>
      <c r="U180" s="8">
        <f t="shared" si="319"/>
        <v>8375</v>
      </c>
      <c r="V180" s="8">
        <f t="shared" si="319"/>
        <v>8911</v>
      </c>
      <c r="W180" s="8">
        <f t="shared" si="319"/>
        <v>9438</v>
      </c>
      <c r="X180" s="8">
        <f t="shared" si="319"/>
        <v>10792</v>
      </c>
      <c r="Y180" s="8">
        <f t="shared" si="319"/>
        <v>11857</v>
      </c>
      <c r="Z180" s="8">
        <f t="shared" si="319"/>
        <v>12390</v>
      </c>
      <c r="AA180" s="8">
        <f t="shared" si="319"/>
        <v>13650</v>
      </c>
      <c r="AB180" s="8">
        <f t="shared" si="319"/>
        <v>14697</v>
      </c>
      <c r="AC180" s="8">
        <f t="shared" si="319"/>
        <v>15469.999999999998</v>
      </c>
      <c r="AD180" s="8">
        <f t="shared" si="319"/>
        <v>16379.999999999998</v>
      </c>
      <c r="AE180" s="8">
        <f t="shared" si="319"/>
        <v>17319</v>
      </c>
      <c r="AF180" s="8">
        <f t="shared" si="319"/>
        <v>18761</v>
      </c>
      <c r="AG180" s="8"/>
      <c r="AH180" s="8"/>
      <c r="AI180" s="8"/>
      <c r="AT180" s="8">
        <f>+AT190*AT165</f>
        <v>420</v>
      </c>
      <c r="AU180" s="8">
        <f>+AU190*AU165</f>
        <v>2552</v>
      </c>
      <c r="AV180" s="8">
        <f>+AV190*AV165</f>
        <v>4275</v>
      </c>
      <c r="AW180" s="8">
        <f>+AW190*AW165</f>
        <v>7152</v>
      </c>
      <c r="AY180" s="1016"/>
      <c r="AZ180" s="1016"/>
      <c r="BA180" s="880">
        <f>+SUM(L180:O180)</f>
        <v>15445.999999999998</v>
      </c>
      <c r="BB180" s="880">
        <f>SUM(P180:S180)</f>
        <v>24048</v>
      </c>
      <c r="BC180" s="880">
        <f>SUM(T180:W180)</f>
        <v>34380</v>
      </c>
      <c r="BD180" s="880">
        <f>SUM(X180:AA180)</f>
        <v>48689</v>
      </c>
      <c r="BE180" s="880">
        <f>SUM(AB180:AE180)</f>
        <v>63866</v>
      </c>
      <c r="BF180" s="8"/>
      <c r="BG180" s="8"/>
    </row>
    <row r="181" spans="2:59" s="953" customFormat="1" ht="11.45">
      <c r="B181" t="s">
        <v>366</v>
      </c>
      <c r="H181" s="10"/>
      <c r="I181" s="10"/>
      <c r="J181" s="10"/>
      <c r="K181" s="10"/>
      <c r="L181" s="10">
        <f t="shared" ref="L181:AF181" si="320">+L519-L180</f>
        <v>12896</v>
      </c>
      <c r="M181" s="10">
        <f t="shared" si="320"/>
        <v>14377</v>
      </c>
      <c r="N181" s="10">
        <f t="shared" si="320"/>
        <v>13606</v>
      </c>
      <c r="O181" s="10">
        <f t="shared" si="320"/>
        <v>15682</v>
      </c>
      <c r="P181" s="10">
        <f t="shared" si="320"/>
        <v>13909</v>
      </c>
      <c r="Q181" s="10">
        <f t="shared" si="320"/>
        <v>14468</v>
      </c>
      <c r="R181" s="10">
        <f t="shared" si="320"/>
        <v>14353</v>
      </c>
      <c r="S181" s="10">
        <f t="shared" si="320"/>
        <v>16155</v>
      </c>
      <c r="T181" s="10">
        <f t="shared" si="320"/>
        <v>14993</v>
      </c>
      <c r="U181" s="10">
        <f t="shared" si="320"/>
        <v>16173</v>
      </c>
      <c r="V181" s="10">
        <f t="shared" si="320"/>
        <v>15135</v>
      </c>
      <c r="W181" s="10">
        <f t="shared" si="320"/>
        <v>16256</v>
      </c>
      <c r="X181" s="10">
        <f t="shared" si="320"/>
        <v>15360</v>
      </c>
      <c r="Y181" s="10">
        <f t="shared" si="320"/>
        <v>17025</v>
      </c>
      <c r="Z181" s="10">
        <f t="shared" si="320"/>
        <v>16271</v>
      </c>
      <c r="AA181" s="10">
        <f t="shared" si="320"/>
        <v>18511</v>
      </c>
      <c r="AB181" s="10">
        <f t="shared" si="320"/>
        <v>16974</v>
      </c>
      <c r="AC181" s="10">
        <f t="shared" si="320"/>
        <v>19298</v>
      </c>
      <c r="AD181" s="10">
        <f t="shared" si="320"/>
        <v>17365</v>
      </c>
      <c r="AE181" s="10">
        <f t="shared" si="320"/>
        <v>18117</v>
      </c>
      <c r="AF181" s="10">
        <f t="shared" si="320"/>
        <v>15909</v>
      </c>
      <c r="AG181" s="10"/>
      <c r="AH181" s="10"/>
      <c r="AI181" s="10"/>
      <c r="AJ181" s="942"/>
      <c r="AK181" s="942"/>
      <c r="AL181" s="942"/>
      <c r="AM181" s="942"/>
      <c r="AN181" s="942"/>
      <c r="AO181" s="942"/>
      <c r="AP181" s="942"/>
      <c r="AQ181" s="942"/>
      <c r="AR181" s="942"/>
      <c r="AS181" s="942"/>
      <c r="AT181" s="10">
        <f>+AT519-AT180</f>
        <v>59335</v>
      </c>
      <c r="AU181" s="10">
        <f>+AU519-AU180</f>
        <v>57990</v>
      </c>
      <c r="AV181" s="10">
        <f>+AV519-AV180</f>
        <v>48265</v>
      </c>
      <c r="AW181" s="10">
        <f>+AW519-AW180</f>
        <v>48537</v>
      </c>
      <c r="AX181" s="942"/>
      <c r="AY181" s="1017"/>
      <c r="AZ181" s="1017"/>
      <c r="BA181" s="10">
        <f>+BA519-BA180</f>
        <v>56561</v>
      </c>
      <c r="BB181" s="10">
        <f>+BB519-BB180</f>
        <v>58885</v>
      </c>
      <c r="BC181" s="10">
        <f>+BC519-BC180</f>
        <v>62557</v>
      </c>
      <c r="BD181" s="10">
        <f>+BD519-BD180</f>
        <v>67167</v>
      </c>
      <c r="BE181" s="10">
        <f>+BE519-BE180</f>
        <v>71754</v>
      </c>
      <c r="BF181" s="10"/>
    </row>
    <row r="182" spans="2:59" s="1" customFormat="1" ht="10.5">
      <c r="B182" s="837" t="s">
        <v>367</v>
      </c>
      <c r="D182" s="838"/>
      <c r="E182" s="838"/>
      <c r="F182" s="838"/>
      <c r="G182" s="838"/>
      <c r="H182" s="838"/>
      <c r="I182" s="838"/>
      <c r="J182" s="838"/>
      <c r="K182" s="838"/>
      <c r="L182" s="838">
        <f>+SUM(L180:L181)</f>
        <v>16260</v>
      </c>
      <c r="M182" s="838">
        <f t="shared" ref="M182:AF182" si="321">+SUM(M180:M181)</f>
        <v>17854</v>
      </c>
      <c r="N182" s="838">
        <f t="shared" si="321"/>
        <v>17550</v>
      </c>
      <c r="O182" s="838">
        <f t="shared" si="321"/>
        <v>20343</v>
      </c>
      <c r="P182" s="838">
        <f t="shared" si="321"/>
        <v>19179</v>
      </c>
      <c r="Q182" s="838">
        <f t="shared" si="321"/>
        <v>20048</v>
      </c>
      <c r="R182" s="838">
        <f t="shared" si="321"/>
        <v>20401</v>
      </c>
      <c r="S182" s="838">
        <f t="shared" si="321"/>
        <v>23305</v>
      </c>
      <c r="T182" s="838">
        <f t="shared" si="321"/>
        <v>22649</v>
      </c>
      <c r="U182" s="838">
        <f t="shared" si="321"/>
        <v>24548</v>
      </c>
      <c r="V182" s="838">
        <f t="shared" si="321"/>
        <v>24046</v>
      </c>
      <c r="W182" s="838">
        <f t="shared" si="321"/>
        <v>25694</v>
      </c>
      <c r="X182" s="838">
        <f t="shared" si="321"/>
        <v>26152</v>
      </c>
      <c r="Y182" s="838">
        <f t="shared" si="321"/>
        <v>28882</v>
      </c>
      <c r="Z182" s="838">
        <f t="shared" si="321"/>
        <v>28661</v>
      </c>
      <c r="AA182" s="838">
        <f t="shared" si="321"/>
        <v>32161</v>
      </c>
      <c r="AB182" s="838">
        <f t="shared" si="321"/>
        <v>31671</v>
      </c>
      <c r="AC182" s="838">
        <f t="shared" si="321"/>
        <v>34768</v>
      </c>
      <c r="AD182" s="838">
        <f t="shared" si="321"/>
        <v>33745</v>
      </c>
      <c r="AE182" s="838">
        <f t="shared" si="321"/>
        <v>35436</v>
      </c>
      <c r="AF182" s="838">
        <f t="shared" si="321"/>
        <v>34670</v>
      </c>
      <c r="AG182" s="838"/>
      <c r="AH182" s="838"/>
      <c r="AI182" s="838"/>
      <c r="AJ182" s="838"/>
      <c r="AK182" s="838">
        <f t="shared" ref="AK182:AZ182" si="322">+AK519</f>
        <v>33757</v>
      </c>
      <c r="AL182" s="838">
        <f t="shared" si="322"/>
        <v>36632</v>
      </c>
      <c r="AM182" s="838">
        <f t="shared" si="322"/>
        <v>40429</v>
      </c>
      <c r="AN182" s="838">
        <f t="shared" si="322"/>
        <v>48822</v>
      </c>
      <c r="AO182" s="838">
        <f t="shared" si="322"/>
        <v>46282</v>
      </c>
      <c r="AP182" s="838">
        <f t="shared" si="322"/>
        <v>50089</v>
      </c>
      <c r="AQ182" s="838">
        <f t="shared" si="322"/>
        <v>54366</v>
      </c>
      <c r="AR182" s="838">
        <f t="shared" si="322"/>
        <v>56193</v>
      </c>
      <c r="AS182" s="838">
        <f t="shared" si="322"/>
        <v>57464</v>
      </c>
      <c r="AT182" s="838">
        <f t="shared" si="322"/>
        <v>59755</v>
      </c>
      <c r="AU182" s="838">
        <f t="shared" si="322"/>
        <v>60542</v>
      </c>
      <c r="AV182" s="838">
        <f t="shared" si="322"/>
        <v>52540</v>
      </c>
      <c r="AW182" s="838">
        <f t="shared" si="322"/>
        <v>55689</v>
      </c>
      <c r="AX182" s="838">
        <f t="shared" si="322"/>
        <v>0</v>
      </c>
      <c r="AY182" s="838">
        <f t="shared" si="322"/>
        <v>58374</v>
      </c>
      <c r="AZ182" s="838">
        <f t="shared" si="322"/>
        <v>62310</v>
      </c>
      <c r="BA182" s="838">
        <f t="shared" ref="BA182:BE182" si="323">+SUM(BA180:BA181)</f>
        <v>72007</v>
      </c>
      <c r="BB182" s="838">
        <f t="shared" si="323"/>
        <v>82933</v>
      </c>
      <c r="BC182" s="838">
        <f t="shared" si="323"/>
        <v>96937</v>
      </c>
      <c r="BD182" s="838">
        <f t="shared" si="323"/>
        <v>115856</v>
      </c>
      <c r="BE182" s="838">
        <f t="shared" si="323"/>
        <v>135620</v>
      </c>
      <c r="BF182" s="838"/>
    </row>
    <row r="183" spans="2:59">
      <c r="B183" s="19"/>
    </row>
    <row r="184" spans="2:59" s="3" customFormat="1">
      <c r="B184" s="883" t="s">
        <v>113</v>
      </c>
    </row>
    <row r="185" spans="2:59" s="3" customFormat="1">
      <c r="B185" s="884" t="str">
        <f>+B180</f>
        <v>Cloud</v>
      </c>
      <c r="L185" s="228"/>
      <c r="M185" s="228"/>
      <c r="N185" s="228"/>
      <c r="O185" s="228"/>
      <c r="P185" s="228">
        <f t="shared" ref="P185:AF187" si="324">+IFERROR(P180/L180-1,"NA ")</f>
        <v>0.5665873959571941</v>
      </c>
      <c r="Q185" s="228">
        <f t="shared" si="324"/>
        <v>0.60483175150992263</v>
      </c>
      <c r="R185" s="228">
        <f t="shared" si="324"/>
        <v>0.53346855983772845</v>
      </c>
      <c r="S185" s="228">
        <f t="shared" si="324"/>
        <v>0.53400557820210248</v>
      </c>
      <c r="T185" s="228">
        <f t="shared" si="324"/>
        <v>0.45275142314990502</v>
      </c>
      <c r="U185" s="228">
        <f t="shared" si="324"/>
        <v>0.50089605734767018</v>
      </c>
      <c r="V185" s="228">
        <f t="shared" si="324"/>
        <v>0.47337962962962954</v>
      </c>
      <c r="W185" s="228">
        <f t="shared" si="324"/>
        <v>0.32000000000000006</v>
      </c>
      <c r="X185" s="228">
        <f t="shared" si="324"/>
        <v>0.40961337513061657</v>
      </c>
      <c r="Y185" s="228">
        <f t="shared" si="324"/>
        <v>0.41576119402985068</v>
      </c>
      <c r="Z185" s="228">
        <f t="shared" si="324"/>
        <v>0.3904163393558524</v>
      </c>
      <c r="AA185" s="228">
        <f t="shared" si="324"/>
        <v>0.44628099173553726</v>
      </c>
      <c r="AB185" s="228">
        <f t="shared" si="324"/>
        <v>0.36184210526315796</v>
      </c>
      <c r="AC185" s="228">
        <f t="shared" si="324"/>
        <v>0.30471451463270616</v>
      </c>
      <c r="AD185" s="228">
        <f t="shared" si="324"/>
        <v>0.32203389830508455</v>
      </c>
      <c r="AE185" s="228">
        <f t="shared" si="324"/>
        <v>0.26879120879120877</v>
      </c>
      <c r="AF185" s="228">
        <f t="shared" si="324"/>
        <v>0.27651901748656194</v>
      </c>
      <c r="AG185" s="228"/>
      <c r="AH185" s="228"/>
      <c r="AI185" s="228"/>
      <c r="AJ185" s="228"/>
      <c r="AK185" s="228"/>
      <c r="AL185" s="228"/>
      <c r="AM185" s="228"/>
      <c r="AN185" s="228"/>
      <c r="AO185" s="228"/>
      <c r="AP185" s="228"/>
      <c r="AQ185" s="228"/>
      <c r="AR185" s="228"/>
      <c r="AS185" s="228"/>
      <c r="AT185" s="228"/>
      <c r="AU185" s="228">
        <f t="shared" ref="AU185:AW185" si="325">+IFERROR(AU180/AT180-1,"n/a ")</f>
        <v>5.0761904761904759</v>
      </c>
      <c r="AV185" s="228">
        <f t="shared" si="325"/>
        <v>0.67515673981191227</v>
      </c>
      <c r="AW185" s="228">
        <f t="shared" si="325"/>
        <v>0.67298245614035079</v>
      </c>
      <c r="AX185" s="228"/>
      <c r="AY185" s="904">
        <f t="shared" ref="AY185:AY187" si="326">+AV185</f>
        <v>0.67515673981191227</v>
      </c>
      <c r="AZ185" s="904">
        <f t="shared" ref="AZ185:AZ187" si="327">+AW185</f>
        <v>0.67298245614035079</v>
      </c>
      <c r="BA185" s="228" t="str">
        <f>+IFERROR(#REF!/#REF!-1,"NA ")</f>
        <v xml:space="preserve">NA </v>
      </c>
      <c r="BB185" s="228">
        <f t="shared" ref="BB185:BE186" si="328">+IFERROR(BB180/BA180-1,"NA ")</f>
        <v>0.55690793733005317</v>
      </c>
      <c r="BC185" s="228">
        <f t="shared" si="328"/>
        <v>0.42964071856287434</v>
      </c>
      <c r="BD185" s="228">
        <f t="shared" si="328"/>
        <v>0.41620127981384525</v>
      </c>
      <c r="BE185" s="228">
        <f t="shared" si="328"/>
        <v>0.31171311795272039</v>
      </c>
      <c r="BF185" s="228"/>
    </row>
    <row r="186" spans="2:59" s="3" customFormat="1" ht="11.45">
      <c r="B186" s="884" t="str">
        <f t="shared" ref="B186:B187" si="329">+B181</f>
        <v>Non-Cloud</v>
      </c>
      <c r="L186" s="840"/>
      <c r="M186" s="840"/>
      <c r="N186" s="840"/>
      <c r="O186" s="840"/>
      <c r="P186" s="840">
        <f t="shared" si="324"/>
        <v>7.8551488833746852E-2</v>
      </c>
      <c r="Q186" s="840">
        <f t="shared" si="324"/>
        <v>6.3295541489880591E-3</v>
      </c>
      <c r="R186" s="840">
        <f t="shared" si="324"/>
        <v>5.4902249007790616E-2</v>
      </c>
      <c r="S186" s="840">
        <f t="shared" si="324"/>
        <v>3.016196913658975E-2</v>
      </c>
      <c r="T186" s="840">
        <f t="shared" si="324"/>
        <v>7.7935149902940593E-2</v>
      </c>
      <c r="U186" s="840">
        <f t="shared" si="324"/>
        <v>0.11784628144871445</v>
      </c>
      <c r="V186" s="840">
        <f t="shared" si="324"/>
        <v>5.4483383264822605E-2</v>
      </c>
      <c r="W186" s="840">
        <f t="shared" si="324"/>
        <v>6.2519343856390908E-3</v>
      </c>
      <c r="X186" s="840">
        <f t="shared" si="324"/>
        <v>2.4478089775228362E-2</v>
      </c>
      <c r="Y186" s="840">
        <f t="shared" si="324"/>
        <v>5.2680393248005997E-2</v>
      </c>
      <c r="Z186" s="840">
        <f t="shared" si="324"/>
        <v>7.5057813016187636E-2</v>
      </c>
      <c r="AA186" s="840">
        <f t="shared" si="324"/>
        <v>0.13871801181102361</v>
      </c>
      <c r="AB186" s="840">
        <f t="shared" si="324"/>
        <v>0.10507812499999991</v>
      </c>
      <c r="AC186" s="840">
        <f t="shared" si="324"/>
        <v>0.13350954478707777</v>
      </c>
      <c r="AD186" s="840">
        <f t="shared" si="324"/>
        <v>6.7236187081310295E-2</v>
      </c>
      <c r="AE186" s="840">
        <f t="shared" si="324"/>
        <v>-2.1284641564475182E-2</v>
      </c>
      <c r="AF186" s="840">
        <f t="shared" si="324"/>
        <v>-6.2743018734535139E-2</v>
      </c>
      <c r="AG186" s="840"/>
      <c r="AH186" s="840"/>
      <c r="AI186" s="840"/>
      <c r="AJ186" s="840"/>
      <c r="AK186" s="840"/>
      <c r="AL186" s="840"/>
      <c r="AM186" s="840"/>
      <c r="AN186" s="840"/>
      <c r="AO186" s="840"/>
      <c r="AP186" s="840"/>
      <c r="AQ186" s="840"/>
      <c r="AR186" s="840"/>
      <c r="AS186" s="840"/>
      <c r="AT186" s="840"/>
      <c r="AU186" s="840">
        <f t="shared" ref="AU186:AW186" si="330">+IFERROR(AU181/AT181-1,"n/a ")</f>
        <v>-2.2667902587006017E-2</v>
      </c>
      <c r="AV186" s="840">
        <f t="shared" si="330"/>
        <v>-0.16770132781514058</v>
      </c>
      <c r="AW186" s="840">
        <f t="shared" si="330"/>
        <v>5.6355537138712553E-3</v>
      </c>
      <c r="AX186" s="840"/>
      <c r="AY186" s="1011">
        <f t="shared" si="326"/>
        <v>-0.16770132781514058</v>
      </c>
      <c r="AZ186" s="1011">
        <f t="shared" si="327"/>
        <v>5.6355537138712553E-3</v>
      </c>
      <c r="BA186" s="840" t="str">
        <f>+IFERROR(#REF!/#REF!-1,"NA ")</f>
        <v xml:space="preserve">NA </v>
      </c>
      <c r="BB186" s="840">
        <f t="shared" si="328"/>
        <v>4.1088382454341321E-2</v>
      </c>
      <c r="BC186" s="840">
        <f t="shared" si="328"/>
        <v>6.2358835017406911E-2</v>
      </c>
      <c r="BD186" s="840">
        <f t="shared" si="328"/>
        <v>7.3692792173537747E-2</v>
      </c>
      <c r="BE186" s="840">
        <f t="shared" si="328"/>
        <v>6.8292465049801132E-2</v>
      </c>
      <c r="BF186" s="840"/>
    </row>
    <row r="187" spans="2:59" s="7" customFormat="1">
      <c r="B187" s="887" t="str">
        <f t="shared" si="329"/>
        <v>Total Gross Profit</v>
      </c>
      <c r="L187" s="842"/>
      <c r="M187" s="842"/>
      <c r="N187" s="842"/>
      <c r="O187" s="842"/>
      <c r="P187" s="842">
        <f t="shared" si="324"/>
        <v>0.17952029520295198</v>
      </c>
      <c r="Q187" s="842">
        <f t="shared" si="324"/>
        <v>0.12288562787050528</v>
      </c>
      <c r="R187" s="842">
        <f t="shared" si="324"/>
        <v>0.16245014245014255</v>
      </c>
      <c r="S187" s="842">
        <f t="shared" si="324"/>
        <v>0.14560291009192361</v>
      </c>
      <c r="T187" s="842">
        <f t="shared" si="324"/>
        <v>0.1809270556337661</v>
      </c>
      <c r="U187" s="842">
        <f t="shared" si="324"/>
        <v>0.22446129289704708</v>
      </c>
      <c r="V187" s="842">
        <f t="shared" si="324"/>
        <v>0.17866771236704082</v>
      </c>
      <c r="W187" s="842">
        <f t="shared" si="324"/>
        <v>0.10251019094614899</v>
      </c>
      <c r="X187" s="842">
        <f t="shared" si="324"/>
        <v>0.15466466510662724</v>
      </c>
      <c r="Y187" s="842">
        <f t="shared" si="324"/>
        <v>0.17655206126772049</v>
      </c>
      <c r="Z187" s="842">
        <f t="shared" si="324"/>
        <v>0.19192381269233971</v>
      </c>
      <c r="AA187" s="842">
        <f t="shared" si="324"/>
        <v>0.25169300225733626</v>
      </c>
      <c r="AB187" s="842">
        <f t="shared" si="324"/>
        <v>0.2110354848577547</v>
      </c>
      <c r="AC187" s="842">
        <f t="shared" si="324"/>
        <v>0.20379475105602096</v>
      </c>
      <c r="AD187" s="842">
        <f t="shared" si="324"/>
        <v>0.17738390146889493</v>
      </c>
      <c r="AE187" s="842">
        <f t="shared" si="324"/>
        <v>0.10183141071484103</v>
      </c>
      <c r="AF187" s="842">
        <f t="shared" si="324"/>
        <v>9.4692305263490262E-2</v>
      </c>
      <c r="AG187" s="842"/>
      <c r="AH187" s="842"/>
      <c r="AI187" s="842"/>
      <c r="AJ187" s="842"/>
      <c r="AK187" s="842"/>
      <c r="AL187" s="842">
        <f t="shared" ref="AL187:AT187" si="331">+IFERROR(AL182/AK182-1,"n/a ")</f>
        <v>8.5167520810498498E-2</v>
      </c>
      <c r="AM187" s="842">
        <f t="shared" si="331"/>
        <v>0.10365254422362957</v>
      </c>
      <c r="AN187" s="842">
        <f t="shared" si="331"/>
        <v>0.20759850602290442</v>
      </c>
      <c r="AO187" s="842">
        <f t="shared" si="331"/>
        <v>-5.2025726107082892E-2</v>
      </c>
      <c r="AP187" s="842">
        <f t="shared" si="331"/>
        <v>8.2256600838338967E-2</v>
      </c>
      <c r="AQ187" s="842">
        <f t="shared" si="331"/>
        <v>8.5388009343368765E-2</v>
      </c>
      <c r="AR187" s="842">
        <f t="shared" si="331"/>
        <v>3.3605562299966918E-2</v>
      </c>
      <c r="AS187" s="842">
        <f t="shared" si="331"/>
        <v>2.2618475610841182E-2</v>
      </c>
      <c r="AT187" s="842">
        <f t="shared" si="331"/>
        <v>3.9868439370736475E-2</v>
      </c>
      <c r="AU187" s="842">
        <f t="shared" ref="AU187:AV187" si="332">+IFERROR(AU182/AT182-1,"n/a ")</f>
        <v>1.3170445987783497E-2</v>
      </c>
      <c r="AV187" s="842">
        <f t="shared" si="332"/>
        <v>-0.13217270655082425</v>
      </c>
      <c r="AW187" s="842">
        <f>+IFERROR(AW182/AV182-1,"n/a ")</f>
        <v>5.9935287400076032E-2</v>
      </c>
      <c r="AX187" s="842"/>
      <c r="AY187" s="1012">
        <f t="shared" si="326"/>
        <v>-0.13217270655082425</v>
      </c>
      <c r="AZ187" s="1012">
        <f t="shared" si="327"/>
        <v>5.9935287400076032E-2</v>
      </c>
      <c r="BA187" s="842">
        <f t="shared" ref="BA187:BE187" si="333">+IFERROR(BA182/AZ182-1,"NA ")</f>
        <v>0.15562510030492693</v>
      </c>
      <c r="BB187" s="842">
        <f t="shared" si="333"/>
        <v>0.15173524796200377</v>
      </c>
      <c r="BC187" s="842">
        <f t="shared" si="333"/>
        <v>0.16885919959485363</v>
      </c>
      <c r="BD187" s="842">
        <f t="shared" si="333"/>
        <v>0.19516799570855303</v>
      </c>
      <c r="BE187" s="842">
        <f t="shared" si="333"/>
        <v>0.17059107858030664</v>
      </c>
      <c r="BF187" s="842"/>
    </row>
    <row r="188" spans="2:59">
      <c r="B188" s="19"/>
    </row>
    <row r="189" spans="2:59" s="3" customFormat="1">
      <c r="B189" s="883" t="s">
        <v>123</v>
      </c>
    </row>
    <row r="190" spans="2:59" s="3" customFormat="1">
      <c r="B190" s="884" t="str">
        <f>+B185</f>
        <v>Cloud</v>
      </c>
      <c r="L190" s="904">
        <v>0.57999999999999996</v>
      </c>
      <c r="M190" s="904">
        <v>0.56999999999999995</v>
      </c>
      <c r="N190" s="904">
        <v>0.57999999999999996</v>
      </c>
      <c r="O190" s="904">
        <v>0.59</v>
      </c>
      <c r="P190" s="904">
        <v>0.62</v>
      </c>
      <c r="Q190" s="904">
        <v>0.62</v>
      </c>
      <c r="R190" s="904">
        <v>0.63</v>
      </c>
      <c r="S190" s="904">
        <v>0.65</v>
      </c>
      <c r="T190" s="904">
        <v>0.66</v>
      </c>
      <c r="U190" s="904">
        <v>0.67</v>
      </c>
      <c r="V190" s="904">
        <v>0.67</v>
      </c>
      <c r="W190" s="904">
        <v>0.66</v>
      </c>
      <c r="X190" s="904">
        <v>0.71</v>
      </c>
      <c r="Y190" s="904">
        <v>0.71</v>
      </c>
      <c r="Z190" s="904">
        <v>0.7</v>
      </c>
      <c r="AA190" s="904">
        <v>0.7</v>
      </c>
      <c r="AB190" s="904">
        <v>0.71</v>
      </c>
      <c r="AC190" s="904">
        <v>0.7</v>
      </c>
      <c r="AD190" s="904">
        <v>0.7</v>
      </c>
      <c r="AE190" s="904">
        <v>0.69</v>
      </c>
      <c r="AF190" s="904">
        <v>0.73</v>
      </c>
      <c r="AG190" s="904"/>
      <c r="AH190" s="904"/>
      <c r="AI190" s="904"/>
      <c r="AT190" s="904">
        <v>0.15</v>
      </c>
      <c r="AU190" s="904">
        <v>0.44</v>
      </c>
      <c r="AV190" s="904">
        <v>0.45</v>
      </c>
      <c r="AW190" s="851">
        <v>0.48</v>
      </c>
      <c r="AY190" s="904">
        <f t="shared" ref="AY190:AY192" si="334">+AV190</f>
        <v>0.45</v>
      </c>
      <c r="AZ190" s="904">
        <f t="shared" ref="AZ190:AZ192" si="335">+AW190</f>
        <v>0.48</v>
      </c>
      <c r="BA190" s="33">
        <f t="shared" ref="BA190:BE191" si="336">+BA180/BA165</f>
        <v>0.58067669172932324</v>
      </c>
      <c r="BB190" s="33">
        <f t="shared" si="336"/>
        <v>0.6311811023622047</v>
      </c>
      <c r="BC190" s="33">
        <f t="shared" si="336"/>
        <v>0.66499032882011611</v>
      </c>
      <c r="BD190" s="33">
        <f t="shared" si="336"/>
        <v>0.70461649782923297</v>
      </c>
      <c r="BE190" s="33">
        <f t="shared" si="336"/>
        <v>0.69951807228915663</v>
      </c>
      <c r="BF190" s="228"/>
    </row>
    <row r="191" spans="2:59" s="3" customFormat="1" ht="11.45">
      <c r="B191" s="884" t="str">
        <f t="shared" ref="B191:B192" si="337">+B186</f>
        <v>Non-Cloud</v>
      </c>
      <c r="L191" s="840">
        <f t="shared" ref="L191:AF191" si="338">+L181/L166</f>
        <v>0.68822713203116659</v>
      </c>
      <c r="M191" s="840">
        <f t="shared" si="338"/>
        <v>0.630072749583662</v>
      </c>
      <c r="N191" s="840">
        <f t="shared" si="338"/>
        <v>0.67965432838803141</v>
      </c>
      <c r="O191" s="840">
        <f t="shared" si="338"/>
        <v>0.70687401397340544</v>
      </c>
      <c r="P191" s="840">
        <f t="shared" si="338"/>
        <v>0.67571900505246796</v>
      </c>
      <c r="Q191" s="840">
        <f t="shared" si="338"/>
        <v>0.61642026330365129</v>
      </c>
      <c r="R191" s="840">
        <f t="shared" si="338"/>
        <v>0.68442134376043107</v>
      </c>
      <c r="S191" s="840">
        <f t="shared" si="338"/>
        <v>0.71114143592903989</v>
      </c>
      <c r="T191" s="840">
        <f t="shared" si="338"/>
        <v>0.69881146585877418</v>
      </c>
      <c r="U191" s="840">
        <f t="shared" si="338"/>
        <v>0.66266491846267306</v>
      </c>
      <c r="V191" s="840">
        <f t="shared" si="338"/>
        <v>0.69679112379724695</v>
      </c>
      <c r="W191" s="840">
        <f t="shared" si="338"/>
        <v>0.68495344035730843</v>
      </c>
      <c r="X191" s="840">
        <f t="shared" si="338"/>
        <v>0.6996447116698552</v>
      </c>
      <c r="Y191" s="840">
        <f t="shared" si="338"/>
        <v>0.64547315741583255</v>
      </c>
      <c r="Z191" s="840">
        <f t="shared" si="338"/>
        <v>0.67778888611180543</v>
      </c>
      <c r="AA191" s="840">
        <f t="shared" si="338"/>
        <v>0.69454449947471109</v>
      </c>
      <c r="AB191" s="840">
        <f t="shared" si="338"/>
        <v>0.68952350002031115</v>
      </c>
      <c r="AC191" s="840">
        <f t="shared" si="338"/>
        <v>0.65134332388281357</v>
      </c>
      <c r="AD191" s="840">
        <f t="shared" si="338"/>
        <v>0.66891371340523886</v>
      </c>
      <c r="AE191" s="840">
        <f t="shared" si="338"/>
        <v>0.67689146273117873</v>
      </c>
      <c r="AF191" s="840">
        <f t="shared" si="338"/>
        <v>0.65142085005323069</v>
      </c>
      <c r="AG191" s="840"/>
      <c r="AH191" s="840"/>
      <c r="AI191" s="840"/>
      <c r="AJ191" s="840"/>
      <c r="AK191" s="840"/>
      <c r="AL191" s="840"/>
      <c r="AM191" s="840"/>
      <c r="AN191" s="840"/>
      <c r="AO191" s="840"/>
      <c r="AP191" s="840"/>
      <c r="AQ191" s="840"/>
      <c r="AR191" s="840"/>
      <c r="AS191" s="840"/>
      <c r="AT191" s="840">
        <f>+AT181/AT166</f>
        <v>0.70609165446907762</v>
      </c>
      <c r="AU191" s="840">
        <f>+AU181/AU166</f>
        <v>0.66062884483937112</v>
      </c>
      <c r="AV191" s="840">
        <f>+AV181/AV166</f>
        <v>0.63657346346610388</v>
      </c>
      <c r="AW191" s="840">
        <f>+AW181/AW166</f>
        <v>0.64672884743504333</v>
      </c>
      <c r="AX191" s="840"/>
      <c r="AY191" s="1011">
        <f t="shared" si="334"/>
        <v>0.63657346346610388</v>
      </c>
      <c r="AZ191" s="1011">
        <f t="shared" si="335"/>
        <v>0.64672884743504333</v>
      </c>
      <c r="BA191" s="840">
        <f t="shared" si="336"/>
        <v>0.67527459407831902</v>
      </c>
      <c r="BB191" s="840">
        <f t="shared" si="336"/>
        <v>0.67110766670845534</v>
      </c>
      <c r="BC191" s="840">
        <f t="shared" si="336"/>
        <v>0.68506817061818981</v>
      </c>
      <c r="BD191" s="840">
        <f t="shared" si="336"/>
        <v>0.67853679233846531</v>
      </c>
      <c r="BE191" s="840">
        <f t="shared" si="336"/>
        <v>0.67078620173880532</v>
      </c>
      <c r="BF191" s="840"/>
    </row>
    <row r="192" spans="2:59" s="7" customFormat="1">
      <c r="B192" s="887" t="str">
        <f t="shared" si="337"/>
        <v>Total Gross Profit</v>
      </c>
      <c r="L192" s="842">
        <f t="shared" ref="L192:AF192" si="339">+L182/L167</f>
        <v>0.66264569239546822</v>
      </c>
      <c r="M192" s="842">
        <f t="shared" si="339"/>
        <v>0.6174009267584204</v>
      </c>
      <c r="N192" s="842">
        <f t="shared" si="339"/>
        <v>0.65438681531749876</v>
      </c>
      <c r="O192" s="842">
        <f t="shared" si="339"/>
        <v>0.67618414492271894</v>
      </c>
      <c r="P192" s="842">
        <f t="shared" si="339"/>
        <v>0.65943474075092834</v>
      </c>
      <c r="Q192" s="842">
        <f t="shared" si="339"/>
        <v>0.61741246034923469</v>
      </c>
      <c r="R192" s="842">
        <f t="shared" si="339"/>
        <v>0.66733178502502366</v>
      </c>
      <c r="S192" s="842">
        <f t="shared" si="339"/>
        <v>0.69119435299700449</v>
      </c>
      <c r="T192" s="842">
        <f t="shared" si="339"/>
        <v>0.6851913477537438</v>
      </c>
      <c r="U192" s="842">
        <f t="shared" si="339"/>
        <v>0.66514929821709212</v>
      </c>
      <c r="V192" s="842">
        <f t="shared" si="339"/>
        <v>0.68661660146769077</v>
      </c>
      <c r="W192" s="842">
        <f t="shared" si="339"/>
        <v>0.67557121447164303</v>
      </c>
      <c r="X192" s="842">
        <f t="shared" si="339"/>
        <v>0.70388114334930285</v>
      </c>
      <c r="Y192" s="842">
        <f t="shared" si="339"/>
        <v>0.67048936762930633</v>
      </c>
      <c r="Z192" s="842">
        <f t="shared" si="339"/>
        <v>0.68721526878626582</v>
      </c>
      <c r="AA192" s="842">
        <f t="shared" si="339"/>
        <v>0.69684954064829263</v>
      </c>
      <c r="AB192" s="842">
        <f t="shared" si="339"/>
        <v>0.6988768012004325</v>
      </c>
      <c r="AC192" s="842">
        <f t="shared" si="339"/>
        <v>0.67213114754098358</v>
      </c>
      <c r="AD192" s="842">
        <f t="shared" si="339"/>
        <v>0.68365072933549431</v>
      </c>
      <c r="AE192" s="842">
        <f t="shared" si="339"/>
        <v>0.68323532247180174</v>
      </c>
      <c r="AF192" s="842">
        <f t="shared" si="339"/>
        <v>0.69171222217788597</v>
      </c>
      <c r="AG192" s="842"/>
      <c r="AH192" s="842"/>
      <c r="AI192" s="842"/>
      <c r="AJ192" s="842"/>
      <c r="AK192" s="842">
        <f t="shared" ref="AK192:AS192" si="340">+AK182/AK167</f>
        <v>0.84842163466371767</v>
      </c>
      <c r="AL192" s="842">
        <f t="shared" si="340"/>
        <v>0.82724357526760306</v>
      </c>
      <c r="AM192" s="842">
        <f t="shared" si="340"/>
        <v>0.79083369195258402</v>
      </c>
      <c r="AN192" s="842">
        <f t="shared" si="340"/>
        <v>0.80804369414101296</v>
      </c>
      <c r="AO192" s="842">
        <f t="shared" si="340"/>
        <v>0.79199822030562828</v>
      </c>
      <c r="AP192" s="842">
        <f t="shared" si="340"/>
        <v>0.80162921707957235</v>
      </c>
      <c r="AQ192" s="842">
        <f t="shared" si="340"/>
        <v>0.77729007906438097</v>
      </c>
      <c r="AR192" s="842">
        <f t="shared" si="340"/>
        <v>0.76221803236439101</v>
      </c>
      <c r="AS192" s="842">
        <f t="shared" si="340"/>
        <v>0.73814692545825888</v>
      </c>
      <c r="AT192" s="842">
        <f t="shared" ref="AT192:AW192" si="341">+AT182/AT167</f>
        <v>0.68816003132449644</v>
      </c>
      <c r="AU192" s="842">
        <f t="shared" si="341"/>
        <v>0.64695447745244705</v>
      </c>
      <c r="AV192" s="842">
        <f t="shared" si="341"/>
        <v>0.61579934364744493</v>
      </c>
      <c r="AW192" s="842">
        <f t="shared" si="341"/>
        <v>0.61911061700944969</v>
      </c>
      <c r="AX192" s="842"/>
      <c r="AY192" s="1012">
        <f t="shared" si="334"/>
        <v>0.61579934364744493</v>
      </c>
      <c r="AZ192" s="1012">
        <f t="shared" si="335"/>
        <v>0.61911061700944969</v>
      </c>
      <c r="BA192" s="842">
        <f t="shared" ref="BA192:BE192" si="342">+BA182/BA167</f>
        <v>0.65247372236317502</v>
      </c>
      <c r="BB192" s="842">
        <f t="shared" si="342"/>
        <v>0.65901957200638894</v>
      </c>
      <c r="BC192" s="842">
        <f t="shared" si="342"/>
        <v>0.67781001992797962</v>
      </c>
      <c r="BD192" s="842">
        <f t="shared" si="342"/>
        <v>0.68925800771024703</v>
      </c>
      <c r="BE192" s="842">
        <f t="shared" si="342"/>
        <v>0.68401674484289099</v>
      </c>
      <c r="BF192" s="842"/>
    </row>
    <row r="193" spans="2:58">
      <c r="B193" s="19"/>
    </row>
    <row r="194" spans="2:58" ht="10.5" outlineLevel="1">
      <c r="B194" s="5" t="s">
        <v>368</v>
      </c>
      <c r="C194" s="4"/>
    </row>
    <row r="195" spans="2:58" outlineLevel="1"/>
    <row r="196" spans="2:58" outlineLevel="1">
      <c r="B196" t="s">
        <v>369</v>
      </c>
      <c r="H196" s="911">
        <v>0.18</v>
      </c>
      <c r="I196" s="911">
        <v>7.0000000000000007E-2</v>
      </c>
      <c r="J196" s="911">
        <v>0.12</v>
      </c>
      <c r="K196" s="911">
        <v>0.3</v>
      </c>
      <c r="L196" s="911">
        <v>0.14000000000000001</v>
      </c>
      <c r="M196" s="911">
        <v>7.0000000000000007E-2</v>
      </c>
      <c r="N196" s="911">
        <v>0.26</v>
      </c>
      <c r="O196" s="911">
        <v>0.18</v>
      </c>
      <c r="P196" s="911">
        <v>0.15</v>
      </c>
      <c r="Q196" s="911">
        <v>0.18</v>
      </c>
      <c r="R196" s="911">
        <v>0.3</v>
      </c>
      <c r="S196" s="911">
        <v>0.22</v>
      </c>
      <c r="T196" s="911">
        <v>0.3</v>
      </c>
      <c r="U196" s="911">
        <v>0.31</v>
      </c>
      <c r="V196" s="911">
        <v>7.0000000000000007E-2</v>
      </c>
      <c r="W196" s="911">
        <v>0.12</v>
      </c>
      <c r="X196" s="911">
        <v>0.23</v>
      </c>
      <c r="Y196" s="911">
        <v>0.19</v>
      </c>
      <c r="Z196" s="911">
        <v>0.39</v>
      </c>
      <c r="AA196" s="911">
        <v>0.3</v>
      </c>
      <c r="AB196" s="911">
        <v>0.11</v>
      </c>
      <c r="AC196" s="911">
        <v>0.32</v>
      </c>
      <c r="AD196" s="911">
        <v>0.28000000000000003</v>
      </c>
      <c r="AE196" s="911">
        <v>0.25</v>
      </c>
      <c r="AF196" s="911">
        <v>-0.03</v>
      </c>
      <c r="AG196" s="911"/>
      <c r="AH196" s="911"/>
      <c r="AI196" s="911"/>
      <c r="AZ196" s="912">
        <f>+AVERAGE(H196:K196)</f>
        <v>0.16749999999999998</v>
      </c>
      <c r="BA196" s="912">
        <f>+AVERAGE(L196:O196)</f>
        <v>0.16250000000000001</v>
      </c>
      <c r="BB196" s="912">
        <f>+AVERAGE(P196:S196)</f>
        <v>0.21249999999999997</v>
      </c>
      <c r="BC196" s="912">
        <f>AVERAGE(T196:W196)</f>
        <v>0.19999999999999998</v>
      </c>
      <c r="BD196" s="21">
        <f>AVERAGE(X196:AA196)</f>
        <v>0.27750000000000002</v>
      </c>
      <c r="BE196" s="21">
        <f>AVERAGE(AB196:AE196)</f>
        <v>0.24</v>
      </c>
      <c r="BF196" s="912"/>
    </row>
    <row r="197" spans="2:58" outlineLevel="1">
      <c r="B197" s="12" t="s">
        <v>370</v>
      </c>
      <c r="H197" s="911">
        <v>0.18</v>
      </c>
      <c r="I197" s="911">
        <v>0.12</v>
      </c>
      <c r="J197" s="911">
        <v>0.11</v>
      </c>
      <c r="K197" s="911">
        <v>0.3</v>
      </c>
      <c r="L197" s="911">
        <v>0.09</v>
      </c>
      <c r="M197" s="911">
        <v>0.04</v>
      </c>
      <c r="N197" s="911">
        <v>0.18</v>
      </c>
      <c r="O197" s="911">
        <v>0.18</v>
      </c>
      <c r="P197" s="911">
        <v>0.16</v>
      </c>
      <c r="Q197" s="911">
        <v>0.22</v>
      </c>
      <c r="R197" s="911">
        <v>0.34</v>
      </c>
      <c r="S197" s="911">
        <v>0.25</v>
      </c>
      <c r="T197" s="911">
        <v>0.35</v>
      </c>
      <c r="U197" s="911">
        <v>0.3</v>
      </c>
      <c r="V197" s="911">
        <v>0.12</v>
      </c>
      <c r="W197" s="911">
        <v>0.14000000000000001</v>
      </c>
      <c r="X197" s="911">
        <v>0.18</v>
      </c>
      <c r="Y197" s="911">
        <v>0.11</v>
      </c>
      <c r="Z197" s="911">
        <v>0.38</v>
      </c>
      <c r="AA197" s="911">
        <v>0.25</v>
      </c>
      <c r="AB197" s="911">
        <v>0.14000000000000001</v>
      </c>
      <c r="AC197" s="911">
        <v>0.37</v>
      </c>
      <c r="AD197" s="911">
        <v>0.35</v>
      </c>
      <c r="AE197" s="911">
        <v>0.35</v>
      </c>
      <c r="AF197" s="911">
        <v>0.16</v>
      </c>
      <c r="AG197" s="911"/>
      <c r="AH197" s="911"/>
      <c r="AI197" s="911"/>
      <c r="AZ197" s="912">
        <f>+AVERAGE(H197:K197)</f>
        <v>0.17749999999999999</v>
      </c>
      <c r="BA197" s="912">
        <f>+AVERAGE(L197:O197)</f>
        <v>0.1225</v>
      </c>
      <c r="BB197" s="912">
        <f>+AVERAGE(P197:S197)</f>
        <v>0.24249999999999999</v>
      </c>
      <c r="BC197" s="912">
        <f>AVERAGE(T197:W197)</f>
        <v>0.22749999999999998</v>
      </c>
      <c r="BD197" s="912">
        <f>AVERAGE(X197:AA197)</f>
        <v>0.22999999999999998</v>
      </c>
      <c r="BE197" s="912">
        <f>AVERAGE(AB197:AE197)</f>
        <v>0.30249999999999999</v>
      </c>
      <c r="BF197" s="912"/>
    </row>
    <row r="198" spans="2:58" outlineLevel="1">
      <c r="B198" s="13"/>
      <c r="H198" s="879"/>
      <c r="I198" s="879"/>
      <c r="J198" s="879"/>
      <c r="K198" s="879"/>
      <c r="L198" s="33"/>
      <c r="M198" s="33"/>
      <c r="N198" s="33"/>
      <c r="O198" s="33"/>
      <c r="P198" s="33"/>
      <c r="Q198" s="33"/>
      <c r="R198" s="33"/>
      <c r="S198" s="33"/>
      <c r="T198" s="33"/>
      <c r="U198" s="33"/>
      <c r="V198" s="33"/>
      <c r="W198" s="33"/>
      <c r="X198" s="33"/>
      <c r="Y198" s="33"/>
      <c r="Z198" s="33"/>
      <c r="AA198" s="33"/>
      <c r="AB198" s="33"/>
      <c r="AC198" s="33"/>
      <c r="AD198" s="33"/>
      <c r="AE198" s="33"/>
      <c r="AF198" s="33"/>
      <c r="AG198" s="33"/>
      <c r="AH198" s="33"/>
      <c r="AI198" s="33"/>
      <c r="AZ198" s="8"/>
      <c r="BA198" s="33"/>
      <c r="BB198" s="33"/>
      <c r="BC198" s="33"/>
      <c r="BD198" s="33"/>
      <c r="BE198" s="33"/>
      <c r="BF198" s="33"/>
    </row>
    <row r="199" spans="2:58" outlineLevel="1">
      <c r="B199" t="s">
        <v>371</v>
      </c>
      <c r="H199" s="911">
        <v>0.87</v>
      </c>
      <c r="I199" s="911">
        <v>0.83</v>
      </c>
      <c r="J199" s="911">
        <v>0.87</v>
      </c>
      <c r="K199" s="911">
        <v>0.86</v>
      </c>
      <c r="L199" s="911">
        <v>0.89</v>
      </c>
      <c r="M199" s="911">
        <v>0.86</v>
      </c>
      <c r="N199" s="911">
        <v>0.89</v>
      </c>
      <c r="O199" s="911">
        <v>0.89</v>
      </c>
      <c r="P199" s="911">
        <v>0.9</v>
      </c>
      <c r="Q199" s="911">
        <v>0.89</v>
      </c>
      <c r="R199" s="911">
        <v>0.9</v>
      </c>
      <c r="S199" s="911">
        <v>0.9</v>
      </c>
      <c r="T199" s="911">
        <v>0.91</v>
      </c>
      <c r="U199" s="911">
        <v>0.89</v>
      </c>
      <c r="V199" s="911">
        <v>0.92</v>
      </c>
      <c r="W199" s="911">
        <v>0.94</v>
      </c>
      <c r="X199" s="911">
        <v>0.93</v>
      </c>
      <c r="Y199" s="911">
        <v>0.93</v>
      </c>
      <c r="Z199" s="911">
        <v>0.94</v>
      </c>
      <c r="AA199" s="911">
        <v>0.95</v>
      </c>
      <c r="AB199" s="911">
        <v>0.95</v>
      </c>
      <c r="AC199" s="911">
        <v>0.94</v>
      </c>
      <c r="AD199" s="911">
        <v>0.96</v>
      </c>
      <c r="AE199" s="911">
        <v>0.96</v>
      </c>
      <c r="AF199" s="911">
        <v>0.96</v>
      </c>
      <c r="AG199" s="911"/>
      <c r="AH199" s="911"/>
      <c r="AI199" s="911"/>
      <c r="AZ199" s="912">
        <f>+AVERAGE(H199:K199)</f>
        <v>0.85749999999999993</v>
      </c>
      <c r="BA199" s="912">
        <f>+AVERAGE(L199:O199)</f>
        <v>0.88250000000000006</v>
      </c>
      <c r="BB199" s="912">
        <f>+AVERAGE(P199:S199)</f>
        <v>0.89749999999999996</v>
      </c>
      <c r="BC199" s="913">
        <f>+AVERAGE(T199:W199)</f>
        <v>0.91500000000000004</v>
      </c>
      <c r="BD199" s="913">
        <f>+AVERAGE(X199:AA199)</f>
        <v>0.9375</v>
      </c>
      <c r="BE199" s="912">
        <f>AVERAGE(AB199:AE199)</f>
        <v>0.9524999999999999</v>
      </c>
      <c r="BF199" s="912"/>
    </row>
    <row r="200" spans="2:58">
      <c r="H200" s="911"/>
      <c r="I200" s="911"/>
      <c r="J200" s="911"/>
      <c r="K200" s="911"/>
      <c r="L200" s="911"/>
      <c r="M200" s="911"/>
      <c r="N200" s="911"/>
      <c r="O200" s="911"/>
      <c r="P200" s="911"/>
      <c r="Q200" s="911"/>
      <c r="R200" s="911"/>
      <c r="S200" s="911"/>
      <c r="T200" s="911"/>
      <c r="U200" s="911"/>
      <c r="V200" s="911"/>
      <c r="W200" s="911"/>
      <c r="X200" s="911"/>
      <c r="Y200" s="911"/>
      <c r="Z200" s="911"/>
      <c r="AA200" s="911"/>
      <c r="AB200" s="911"/>
      <c r="AC200" s="911"/>
      <c r="AD200" s="911"/>
      <c r="AE200" s="911"/>
      <c r="AF200" s="911"/>
      <c r="AG200" s="911"/>
      <c r="AH200" s="911"/>
      <c r="AI200" s="911"/>
      <c r="AZ200" s="912"/>
      <c r="BA200" s="912"/>
      <c r="BB200" s="912"/>
      <c r="BC200" s="912"/>
      <c r="BD200" s="912"/>
      <c r="BE200" s="912"/>
      <c r="BF200" s="912"/>
    </row>
    <row r="201" spans="2:58" ht="10.5" hidden="1" outlineLevel="1">
      <c r="B201" s="45" t="s">
        <v>1288</v>
      </c>
      <c r="H201" s="911"/>
      <c r="I201" s="911"/>
      <c r="J201" s="911"/>
      <c r="K201" s="911"/>
      <c r="L201" s="911"/>
      <c r="M201" s="911"/>
      <c r="N201" s="911"/>
      <c r="O201" s="911"/>
      <c r="P201" s="911"/>
      <c r="Q201" s="911"/>
      <c r="R201" s="911"/>
      <c r="S201" s="911"/>
      <c r="T201" s="911"/>
      <c r="U201" s="911"/>
      <c r="V201" s="911"/>
      <c r="W201" s="911"/>
      <c r="X201" s="911"/>
      <c r="Y201" s="911"/>
      <c r="Z201" s="911"/>
      <c r="AA201" s="911"/>
      <c r="AB201" s="911"/>
      <c r="AC201" s="911"/>
      <c r="AD201" s="911"/>
      <c r="AE201" s="911"/>
      <c r="AF201" s="911"/>
      <c r="AG201" s="911"/>
      <c r="AH201" s="911"/>
      <c r="AI201" s="911"/>
      <c r="AZ201" s="912"/>
      <c r="BA201" s="912"/>
      <c r="BB201" s="912"/>
      <c r="BC201" s="912"/>
      <c r="BD201" s="912"/>
      <c r="BE201" s="912"/>
      <c r="BF201" s="912"/>
    </row>
    <row r="202" spans="2:58" hidden="1" outlineLevel="1">
      <c r="H202" s="911"/>
      <c r="I202" s="911"/>
      <c r="J202" s="911"/>
      <c r="K202" s="911"/>
      <c r="L202" s="911"/>
      <c r="M202" s="911"/>
      <c r="N202" s="911"/>
      <c r="O202" s="911"/>
      <c r="P202" s="911"/>
      <c r="Q202" s="911"/>
      <c r="R202" s="911"/>
      <c r="S202" s="911"/>
      <c r="T202" s="911"/>
      <c r="U202" s="911"/>
      <c r="V202" s="911"/>
      <c r="W202" s="911"/>
      <c r="X202" s="911"/>
      <c r="Y202" s="911"/>
      <c r="Z202" s="911"/>
      <c r="AA202" s="911"/>
      <c r="AB202" s="911"/>
      <c r="AC202" s="911"/>
      <c r="AD202" s="911"/>
      <c r="AE202" s="911"/>
      <c r="AF202" s="911"/>
      <c r="AG202" s="911"/>
      <c r="AH202" s="911"/>
      <c r="AI202" s="911"/>
      <c r="AZ202" s="912"/>
      <c r="BA202" s="912"/>
      <c r="BB202" s="912"/>
      <c r="BC202" s="912"/>
      <c r="BD202" s="912"/>
      <c r="BE202" s="912"/>
      <c r="BF202" s="912"/>
    </row>
    <row r="203" spans="2:58" hidden="1" outlineLevel="1">
      <c r="B203" t="s">
        <v>1289</v>
      </c>
      <c r="H203" s="911"/>
      <c r="I203" s="911"/>
      <c r="J203" s="911"/>
      <c r="K203" s="911"/>
      <c r="L203" s="911"/>
      <c r="M203" s="911"/>
      <c r="N203" s="911"/>
      <c r="O203" s="911"/>
      <c r="P203" s="911"/>
      <c r="Q203" s="911"/>
      <c r="R203" s="911"/>
      <c r="S203" s="911"/>
      <c r="T203" s="911"/>
      <c r="U203" s="911"/>
      <c r="V203" s="911"/>
      <c r="W203" s="911"/>
      <c r="X203" s="911"/>
      <c r="Y203" s="911"/>
      <c r="Z203" s="911"/>
      <c r="AA203" s="911"/>
      <c r="AB203" s="911"/>
      <c r="AC203" s="911"/>
      <c r="AD203" s="911"/>
      <c r="AE203" s="911"/>
      <c r="AF203" s="911"/>
      <c r="AG203" s="911"/>
      <c r="AH203" s="911"/>
      <c r="AI203" s="911"/>
      <c r="AZ203" s="912"/>
      <c r="BA203" s="912"/>
      <c r="BB203" s="912"/>
      <c r="BC203" s="912"/>
      <c r="BD203" s="912"/>
      <c r="BE203" s="912"/>
      <c r="BF203" s="912"/>
    </row>
    <row r="204" spans="2:58" hidden="1" outlineLevel="1">
      <c r="B204" s="914" t="s">
        <v>1290</v>
      </c>
      <c r="H204" s="911"/>
      <c r="I204" s="911"/>
      <c r="J204" s="911"/>
      <c r="K204" s="911"/>
      <c r="L204" s="911"/>
      <c r="M204" s="911"/>
      <c r="N204" s="911"/>
      <c r="O204" s="911"/>
      <c r="P204" s="911"/>
      <c r="Q204" s="911"/>
      <c r="R204" s="911"/>
      <c r="S204" s="911"/>
      <c r="T204" s="911"/>
      <c r="U204" s="911"/>
      <c r="V204" s="911"/>
      <c r="W204" s="911"/>
      <c r="X204" s="911"/>
      <c r="Y204" s="911"/>
      <c r="Z204" s="911"/>
      <c r="AA204" s="911"/>
      <c r="AB204" s="911"/>
      <c r="AC204" s="911"/>
      <c r="AD204" s="911"/>
      <c r="AE204" s="911"/>
      <c r="AF204" s="911"/>
      <c r="AG204" s="911"/>
      <c r="AH204" s="911"/>
      <c r="AI204" s="911"/>
      <c r="AR204" s="29">
        <v>19495</v>
      </c>
      <c r="AS204" s="29">
        <v>19427</v>
      </c>
      <c r="AT204" s="29">
        <v>19528</v>
      </c>
      <c r="AU204" s="29">
        <v>14969</v>
      </c>
      <c r="AZ204" s="912"/>
      <c r="BA204" s="912"/>
      <c r="BB204" s="912"/>
      <c r="BC204" s="912"/>
      <c r="BD204" s="912"/>
      <c r="BE204" s="912"/>
      <c r="BF204" s="912"/>
    </row>
    <row r="205" spans="2:58" hidden="1" outlineLevel="1">
      <c r="B205" s="915" t="s">
        <v>1291</v>
      </c>
      <c r="H205" s="911"/>
      <c r="I205" s="911"/>
      <c r="J205" s="911"/>
      <c r="K205" s="911"/>
      <c r="L205" s="911"/>
      <c r="M205" s="911"/>
      <c r="N205" s="911"/>
      <c r="O205" s="911"/>
      <c r="P205" s="911"/>
      <c r="Q205" s="911"/>
      <c r="R205" s="911"/>
      <c r="S205" s="911"/>
      <c r="T205" s="911"/>
      <c r="U205" s="911"/>
      <c r="V205" s="911"/>
      <c r="W205" s="911"/>
      <c r="X205" s="911"/>
      <c r="Y205" s="911"/>
      <c r="Z205" s="911"/>
      <c r="AA205" s="911"/>
      <c r="AB205" s="911"/>
      <c r="AC205" s="911"/>
      <c r="AD205" s="911"/>
      <c r="AE205" s="911"/>
      <c r="AF205" s="911"/>
      <c r="AG205" s="911"/>
      <c r="AH205" s="911"/>
      <c r="AI205" s="911"/>
      <c r="AR205" s="29">
        <v>6740</v>
      </c>
      <c r="AS205" s="29">
        <v>6149</v>
      </c>
      <c r="AT205" s="29">
        <v>9093</v>
      </c>
      <c r="AU205" s="29">
        <v>10183</v>
      </c>
      <c r="AZ205" s="912"/>
      <c r="BA205" s="912"/>
      <c r="BB205" s="912"/>
      <c r="BC205" s="912"/>
      <c r="BD205" s="912"/>
      <c r="BE205" s="912"/>
      <c r="BF205" s="912"/>
    </row>
    <row r="206" spans="2:58" ht="11.45" hidden="1" outlineLevel="1">
      <c r="B206" s="915" t="s">
        <v>1292</v>
      </c>
      <c r="H206" s="911"/>
      <c r="I206" s="911"/>
      <c r="J206" s="911"/>
      <c r="K206" s="911"/>
      <c r="L206" s="911"/>
      <c r="M206" s="911"/>
      <c r="N206" s="911"/>
      <c r="O206" s="911"/>
      <c r="P206" s="911"/>
      <c r="Q206" s="911"/>
      <c r="R206" s="911"/>
      <c r="S206" s="911"/>
      <c r="T206" s="911"/>
      <c r="U206" s="911"/>
      <c r="V206" s="911"/>
      <c r="W206" s="911"/>
      <c r="X206" s="911"/>
      <c r="Y206" s="911"/>
      <c r="Z206" s="911"/>
      <c r="AA206" s="911"/>
      <c r="AB206" s="911"/>
      <c r="AC206" s="911"/>
      <c r="AD206" s="911"/>
      <c r="AE206" s="911"/>
      <c r="AF206" s="911"/>
      <c r="AG206" s="911"/>
      <c r="AH206" s="911"/>
      <c r="AI206" s="911"/>
      <c r="AR206" s="30">
        <v>0</v>
      </c>
      <c r="AS206" s="30">
        <v>0</v>
      </c>
      <c r="AT206" s="30">
        <v>1982</v>
      </c>
      <c r="AU206" s="30">
        <v>7524</v>
      </c>
      <c r="AZ206" s="912"/>
      <c r="BA206" s="912"/>
      <c r="BB206" s="912"/>
      <c r="BC206" s="912"/>
      <c r="BD206" s="912"/>
      <c r="BE206" s="912"/>
      <c r="BF206" s="912"/>
    </row>
    <row r="207" spans="2:58" hidden="1" outlineLevel="1">
      <c r="B207" s="914" t="s">
        <v>1293</v>
      </c>
      <c r="H207" s="911"/>
      <c r="I207" s="911"/>
      <c r="J207" s="911"/>
      <c r="K207" s="911"/>
      <c r="L207" s="911"/>
      <c r="M207" s="911"/>
      <c r="N207" s="911"/>
      <c r="O207" s="911"/>
      <c r="P207" s="911"/>
      <c r="Q207" s="911"/>
      <c r="R207" s="911"/>
      <c r="S207" s="911"/>
      <c r="T207" s="911"/>
      <c r="U207" s="911"/>
      <c r="V207" s="911"/>
      <c r="W207" s="911"/>
      <c r="X207" s="911"/>
      <c r="Y207" s="911"/>
      <c r="Z207" s="911"/>
      <c r="AA207" s="911"/>
      <c r="AB207" s="911"/>
      <c r="AC207" s="911"/>
      <c r="AD207" s="911"/>
      <c r="AE207" s="911"/>
      <c r="AF207" s="911"/>
      <c r="AG207" s="911"/>
      <c r="AH207" s="911"/>
      <c r="AI207" s="911"/>
      <c r="AR207" s="11">
        <f>+SUM(AR205:AR206)</f>
        <v>6740</v>
      </c>
      <c r="AS207" s="11">
        <f>+SUM(AS205:AS206)</f>
        <v>6149</v>
      </c>
      <c r="AT207" s="11">
        <f>+SUM(AT205:AT206)</f>
        <v>11075</v>
      </c>
      <c r="AU207" s="11">
        <f>+SUM(AU205:AU206)</f>
        <v>17707</v>
      </c>
      <c r="AZ207" s="912"/>
      <c r="BA207" s="912"/>
      <c r="BB207" s="912"/>
      <c r="BC207" s="912"/>
      <c r="BD207" s="912"/>
      <c r="BE207" s="912"/>
      <c r="BF207" s="912"/>
    </row>
    <row r="208" spans="2:58" ht="11.45" hidden="1" outlineLevel="1">
      <c r="B208" s="914" t="s">
        <v>1294</v>
      </c>
      <c r="H208" s="911"/>
      <c r="I208" s="911"/>
      <c r="J208" s="911"/>
      <c r="K208" s="911"/>
      <c r="L208" s="911"/>
      <c r="M208" s="911"/>
      <c r="N208" s="911"/>
      <c r="O208" s="911"/>
      <c r="P208" s="911"/>
      <c r="Q208" s="911"/>
      <c r="R208" s="911"/>
      <c r="S208" s="911"/>
      <c r="T208" s="911"/>
      <c r="U208" s="911"/>
      <c r="V208" s="911"/>
      <c r="W208" s="911"/>
      <c r="X208" s="911"/>
      <c r="Y208" s="911"/>
      <c r="Z208" s="911"/>
      <c r="AA208" s="911"/>
      <c r="AB208" s="911"/>
      <c r="AC208" s="911"/>
      <c r="AD208" s="911"/>
      <c r="AE208" s="911"/>
      <c r="AF208" s="911"/>
      <c r="AG208" s="911"/>
      <c r="AH208" s="911"/>
      <c r="AI208" s="911"/>
      <c r="AR208" s="30">
        <v>6203</v>
      </c>
      <c r="AS208" s="30">
        <v>6431</v>
      </c>
      <c r="AT208" s="30">
        <v>7014</v>
      </c>
      <c r="AU208" s="30">
        <v>8825</v>
      </c>
      <c r="AZ208" s="912"/>
      <c r="BA208" s="912"/>
      <c r="BB208" s="912"/>
      <c r="BC208" s="912"/>
      <c r="BD208" s="912"/>
      <c r="BE208" s="912"/>
      <c r="BF208" s="912"/>
    </row>
    <row r="209" spans="2:58" hidden="1" outlineLevel="1">
      <c r="B209" s="916" t="s">
        <v>1295</v>
      </c>
      <c r="H209" s="911"/>
      <c r="I209" s="911"/>
      <c r="J209" s="911"/>
      <c r="K209" s="911"/>
      <c r="L209" s="911"/>
      <c r="M209" s="911"/>
      <c r="N209" s="911"/>
      <c r="O209" s="911"/>
      <c r="P209" s="911"/>
      <c r="Q209" s="911"/>
      <c r="R209" s="911"/>
      <c r="S209" s="911"/>
      <c r="T209" s="911"/>
      <c r="U209" s="911"/>
      <c r="V209" s="911"/>
      <c r="W209" s="911"/>
      <c r="X209" s="911"/>
      <c r="Y209" s="911"/>
      <c r="Z209" s="911"/>
      <c r="AA209" s="911"/>
      <c r="AB209" s="911"/>
      <c r="AC209" s="911"/>
      <c r="AD209" s="911"/>
      <c r="AE209" s="911"/>
      <c r="AF209" s="911"/>
      <c r="AG209" s="911"/>
      <c r="AH209" s="911"/>
      <c r="AI209" s="911"/>
      <c r="AR209" s="8">
        <f>+AR204+AR207+AR208</f>
        <v>32438</v>
      </c>
      <c r="AS209" s="8">
        <f t="shared" ref="AS209:AU209" si="343">+AS204+AS207+AS208</f>
        <v>32007</v>
      </c>
      <c r="AT209" s="8">
        <f t="shared" si="343"/>
        <v>37617</v>
      </c>
      <c r="AU209" s="8">
        <f t="shared" si="343"/>
        <v>41501</v>
      </c>
      <c r="AZ209" s="912"/>
      <c r="BA209" s="912"/>
      <c r="BB209" s="912"/>
      <c r="BC209" s="912"/>
      <c r="BD209" s="912"/>
      <c r="BE209" s="912"/>
      <c r="BF209" s="912"/>
    </row>
    <row r="210" spans="2:58" hidden="1" outlineLevel="1">
      <c r="B210" s="914" t="s">
        <v>1296</v>
      </c>
      <c r="H210" s="911"/>
      <c r="I210" s="911"/>
      <c r="J210" s="911"/>
      <c r="K210" s="911"/>
      <c r="L210" s="911"/>
      <c r="M210" s="911"/>
      <c r="N210" s="911"/>
      <c r="O210" s="911"/>
      <c r="P210" s="911"/>
      <c r="Q210" s="911"/>
      <c r="R210" s="911"/>
      <c r="S210" s="911"/>
      <c r="T210" s="911"/>
      <c r="U210" s="911"/>
      <c r="V210" s="911"/>
      <c r="W210" s="911"/>
      <c r="X210" s="911"/>
      <c r="Y210" s="911"/>
      <c r="Z210" s="911"/>
      <c r="AA210" s="911"/>
      <c r="AB210" s="911"/>
      <c r="AC210" s="911"/>
      <c r="AD210" s="911"/>
      <c r="AE210" s="911"/>
      <c r="AF210" s="911"/>
      <c r="AG210" s="911"/>
      <c r="AH210" s="911"/>
      <c r="AI210" s="911"/>
      <c r="AR210" s="29">
        <v>37126</v>
      </c>
      <c r="AS210" s="29">
        <v>39778</v>
      </c>
      <c r="AT210" s="29">
        <v>42085</v>
      </c>
      <c r="AU210" s="29">
        <v>41039</v>
      </c>
      <c r="AZ210" s="912"/>
      <c r="BA210" s="912"/>
      <c r="BB210" s="912"/>
      <c r="BC210" s="912"/>
      <c r="BD210" s="912"/>
      <c r="BE210" s="912"/>
      <c r="BF210" s="912"/>
    </row>
    <row r="211" spans="2:58" ht="11.45" hidden="1" outlineLevel="1">
      <c r="B211" s="914" t="s">
        <v>1297</v>
      </c>
      <c r="H211" s="911"/>
      <c r="I211" s="911"/>
      <c r="J211" s="911"/>
      <c r="K211" s="911"/>
      <c r="L211" s="911"/>
      <c r="M211" s="911"/>
      <c r="N211" s="911"/>
      <c r="O211" s="911"/>
      <c r="P211" s="911"/>
      <c r="Q211" s="911"/>
      <c r="R211" s="911"/>
      <c r="S211" s="911"/>
      <c r="T211" s="911"/>
      <c r="U211" s="911"/>
      <c r="V211" s="911"/>
      <c r="W211" s="911"/>
      <c r="X211" s="911"/>
      <c r="Y211" s="911"/>
      <c r="Z211" s="911"/>
      <c r="AA211" s="911"/>
      <c r="AB211" s="911"/>
      <c r="AC211" s="911"/>
      <c r="AD211" s="911"/>
      <c r="AE211" s="911"/>
      <c r="AF211" s="911"/>
      <c r="AG211" s="911"/>
      <c r="AH211" s="911"/>
      <c r="AI211" s="911"/>
      <c r="AR211" s="30">
        <v>4644</v>
      </c>
      <c r="AS211" s="30">
        <v>5661</v>
      </c>
      <c r="AT211" s="30">
        <v>7546</v>
      </c>
      <c r="AU211" s="30">
        <v>10836</v>
      </c>
      <c r="AZ211" s="912"/>
      <c r="BA211" s="912"/>
      <c r="BB211" s="912"/>
      <c r="BC211" s="912"/>
      <c r="BD211" s="912"/>
      <c r="BE211" s="912"/>
      <c r="BF211" s="912"/>
    </row>
    <row r="212" spans="2:58" hidden="1" outlineLevel="1">
      <c r="B212" s="916" t="s">
        <v>1298</v>
      </c>
      <c r="H212" s="911"/>
      <c r="I212" s="911"/>
      <c r="J212" s="911"/>
      <c r="K212" s="911"/>
      <c r="L212" s="911"/>
      <c r="M212" s="911"/>
      <c r="N212" s="911"/>
      <c r="O212" s="911"/>
      <c r="P212" s="911"/>
      <c r="Q212" s="911"/>
      <c r="R212" s="911"/>
      <c r="S212" s="911"/>
      <c r="T212" s="911"/>
      <c r="U212" s="911"/>
      <c r="V212" s="911"/>
      <c r="W212" s="911"/>
      <c r="X212" s="911"/>
      <c r="Y212" s="911"/>
      <c r="Z212" s="911"/>
      <c r="AA212" s="911"/>
      <c r="AB212" s="911"/>
      <c r="AC212" s="911"/>
      <c r="AD212" s="911"/>
      <c r="AE212" s="911"/>
      <c r="AF212" s="911"/>
      <c r="AG212" s="911"/>
      <c r="AH212" s="911"/>
      <c r="AI212" s="911"/>
      <c r="AR212" s="8">
        <f>+SUM(AR210:AR211)</f>
        <v>41770</v>
      </c>
      <c r="AS212" s="8">
        <f>+SUM(AS210:AS211)</f>
        <v>45439</v>
      </c>
      <c r="AT212" s="8">
        <f t="shared" ref="AT212:AU212" si="344">+SUM(AT210:AT211)</f>
        <v>49631</v>
      </c>
      <c r="AU212" s="8">
        <f t="shared" si="344"/>
        <v>51875</v>
      </c>
      <c r="AZ212" s="912"/>
      <c r="BA212" s="912"/>
      <c r="BB212" s="912"/>
      <c r="BC212" s="912"/>
      <c r="BD212" s="912"/>
      <c r="BE212" s="912"/>
      <c r="BF212" s="912"/>
    </row>
    <row r="213" spans="2:58" ht="11.45" hidden="1" outlineLevel="1">
      <c r="B213" s="916" t="s">
        <v>345</v>
      </c>
      <c r="H213" s="911"/>
      <c r="I213" s="911"/>
      <c r="J213" s="911"/>
      <c r="K213" s="911"/>
      <c r="L213" s="911"/>
      <c r="M213" s="911"/>
      <c r="N213" s="911"/>
      <c r="O213" s="911"/>
      <c r="P213" s="911"/>
      <c r="Q213" s="911"/>
      <c r="R213" s="911"/>
      <c r="S213" s="911"/>
      <c r="T213" s="911"/>
      <c r="U213" s="911"/>
      <c r="V213" s="911"/>
      <c r="W213" s="911"/>
      <c r="X213" s="911"/>
      <c r="Y213" s="911"/>
      <c r="Z213" s="911"/>
      <c r="AA213" s="911"/>
      <c r="AB213" s="911"/>
      <c r="AC213" s="911"/>
      <c r="AD213" s="911"/>
      <c r="AE213" s="911"/>
      <c r="AF213" s="911"/>
      <c r="AG213" s="911"/>
      <c r="AH213" s="911"/>
      <c r="AI213" s="911"/>
      <c r="AR213" s="30">
        <v>-485</v>
      </c>
      <c r="AS213" s="30">
        <v>403</v>
      </c>
      <c r="AT213" s="30">
        <v>-415</v>
      </c>
      <c r="AU213" s="30">
        <v>204</v>
      </c>
      <c r="AZ213" s="912"/>
      <c r="BA213" s="912"/>
      <c r="BB213" s="912"/>
      <c r="BC213" s="912"/>
      <c r="BD213" s="912"/>
      <c r="BE213" s="912"/>
      <c r="BF213" s="912"/>
    </row>
    <row r="214" spans="2:58" hidden="1" outlineLevel="1">
      <c r="B214" s="917" t="s">
        <v>576</v>
      </c>
      <c r="H214" s="911"/>
      <c r="I214" s="911"/>
      <c r="J214" s="911"/>
      <c r="K214" s="911"/>
      <c r="L214" s="911"/>
      <c r="M214" s="911"/>
      <c r="N214" s="911"/>
      <c r="O214" s="911"/>
      <c r="P214" s="911"/>
      <c r="Q214" s="911"/>
      <c r="R214" s="911"/>
      <c r="S214" s="911"/>
      <c r="T214" s="911"/>
      <c r="U214" s="911"/>
      <c r="V214" s="911"/>
      <c r="W214" s="911"/>
      <c r="X214" s="911"/>
      <c r="Y214" s="911"/>
      <c r="Z214" s="911"/>
      <c r="AA214" s="911"/>
      <c r="AB214" s="911"/>
      <c r="AC214" s="911"/>
      <c r="AD214" s="911"/>
      <c r="AE214" s="911"/>
      <c r="AF214" s="911"/>
      <c r="AG214" s="911"/>
      <c r="AH214" s="911"/>
      <c r="AI214" s="911"/>
      <c r="AR214" s="8">
        <f>+SUM(AR209,AR212:AR213)</f>
        <v>73723</v>
      </c>
      <c r="AS214" s="8">
        <f>+SUM(AS209,AS212:AS213)</f>
        <v>77849</v>
      </c>
      <c r="AT214" s="8">
        <f t="shared" ref="AT214:AU214" si="345">+SUM(AT209,AT212:AT213)</f>
        <v>86833</v>
      </c>
      <c r="AU214" s="8">
        <f t="shared" si="345"/>
        <v>93580</v>
      </c>
      <c r="AZ214" s="912"/>
      <c r="BA214" s="912"/>
      <c r="BB214" s="912"/>
      <c r="BC214" s="912"/>
      <c r="BD214" s="912"/>
      <c r="BE214" s="912"/>
      <c r="BF214" s="912"/>
    </row>
    <row r="215" spans="2:58" hidden="1" outlineLevel="1">
      <c r="H215" s="911"/>
      <c r="I215" s="911"/>
      <c r="J215" s="911"/>
      <c r="K215" s="911"/>
      <c r="L215" s="911"/>
      <c r="M215" s="911"/>
      <c r="N215" s="911"/>
      <c r="O215" s="911"/>
      <c r="P215" s="911"/>
      <c r="Q215" s="911"/>
      <c r="R215" s="911"/>
      <c r="S215" s="911"/>
      <c r="T215" s="911"/>
      <c r="U215" s="911"/>
      <c r="V215" s="911"/>
      <c r="W215" s="911"/>
      <c r="X215" s="911"/>
      <c r="Y215" s="911"/>
      <c r="Z215" s="911"/>
      <c r="AA215" s="911"/>
      <c r="AB215" s="911"/>
      <c r="AC215" s="911"/>
      <c r="AD215" s="911"/>
      <c r="AE215" s="911"/>
      <c r="AF215" s="911"/>
      <c r="AG215" s="911"/>
      <c r="AH215" s="911"/>
      <c r="AI215" s="911"/>
      <c r="AZ215" s="912"/>
      <c r="BA215" s="912"/>
      <c r="BB215" s="912"/>
      <c r="BC215" s="912"/>
      <c r="BD215" s="912"/>
      <c r="BE215" s="912"/>
      <c r="BF215" s="912"/>
    </row>
    <row r="216" spans="2:58" hidden="1" outlineLevel="1">
      <c r="B216" s="12" t="s">
        <v>1299</v>
      </c>
      <c r="H216" s="911"/>
      <c r="I216" s="911"/>
      <c r="J216" s="911"/>
      <c r="K216" s="911"/>
      <c r="L216" s="911"/>
      <c r="M216" s="911"/>
      <c r="N216" s="911"/>
      <c r="O216" s="911"/>
      <c r="P216" s="911"/>
      <c r="Q216" s="911"/>
      <c r="R216" s="911"/>
      <c r="S216" s="911"/>
      <c r="T216" s="911"/>
      <c r="U216" s="911"/>
      <c r="V216" s="911"/>
      <c r="W216" s="911"/>
      <c r="X216" s="911"/>
      <c r="Y216" s="911"/>
      <c r="Z216" s="911"/>
      <c r="AA216" s="911"/>
      <c r="AB216" s="911"/>
      <c r="AC216" s="911"/>
      <c r="AD216" s="911"/>
      <c r="AE216" s="911"/>
      <c r="AF216" s="911"/>
      <c r="AG216" s="911"/>
      <c r="AH216" s="911"/>
      <c r="AI216" s="911"/>
      <c r="AZ216" s="912"/>
      <c r="BA216" s="912"/>
      <c r="BB216" s="912"/>
      <c r="BC216" s="912"/>
      <c r="BD216" s="912"/>
      <c r="BE216" s="912"/>
      <c r="BF216" s="912"/>
    </row>
    <row r="217" spans="2:58" hidden="1" outlineLevel="1">
      <c r="B217" s="915" t="s">
        <v>1290</v>
      </c>
      <c r="H217" s="911"/>
      <c r="I217" s="911"/>
      <c r="J217" s="911"/>
      <c r="K217" s="911"/>
      <c r="L217" s="911"/>
      <c r="M217" s="911"/>
      <c r="N217" s="911"/>
      <c r="O217" s="911"/>
      <c r="P217" s="911"/>
      <c r="Q217" s="911"/>
      <c r="R217" s="911"/>
      <c r="S217" s="911"/>
      <c r="T217" s="911"/>
      <c r="U217" s="911"/>
      <c r="V217" s="911"/>
      <c r="W217" s="911"/>
      <c r="X217" s="911"/>
      <c r="Y217" s="911"/>
      <c r="Z217" s="911"/>
      <c r="AA217" s="911"/>
      <c r="AB217" s="911"/>
      <c r="AC217" s="911"/>
      <c r="AD217" s="911"/>
      <c r="AE217" s="911"/>
      <c r="AF217" s="911"/>
      <c r="AG217" s="911"/>
      <c r="AH217" s="911"/>
      <c r="AI217" s="911"/>
      <c r="AS217" s="35">
        <f>+IFERROR(AS204/AR204-1,"n/a ")</f>
        <v>-3.4880738650936438E-3</v>
      </c>
      <c r="AT217" s="35">
        <f t="shared" ref="AT217:AU217" si="346">+IFERROR(AT204/AS204-1,"n/a ")</f>
        <v>5.1989499150666418E-3</v>
      </c>
      <c r="AU217" s="35">
        <f t="shared" si="346"/>
        <v>-0.23345964768537486</v>
      </c>
      <c r="AZ217" s="912"/>
      <c r="BA217" s="912"/>
      <c r="BB217" s="912"/>
      <c r="BC217" s="912"/>
      <c r="BD217" s="912"/>
      <c r="BE217" s="912"/>
      <c r="BF217" s="912"/>
    </row>
    <row r="218" spans="2:58" hidden="1" outlineLevel="1">
      <c r="B218" s="918" t="s">
        <v>1291</v>
      </c>
      <c r="H218" s="911"/>
      <c r="I218" s="911"/>
      <c r="J218" s="911"/>
      <c r="K218" s="911"/>
      <c r="L218" s="911"/>
      <c r="M218" s="911"/>
      <c r="N218" s="911"/>
      <c r="O218" s="911"/>
      <c r="P218" s="911"/>
      <c r="Q218" s="911"/>
      <c r="R218" s="911"/>
      <c r="S218" s="911"/>
      <c r="T218" s="911"/>
      <c r="U218" s="911"/>
      <c r="V218" s="911"/>
      <c r="W218" s="911"/>
      <c r="X218" s="911"/>
      <c r="Y218" s="911"/>
      <c r="Z218" s="911"/>
      <c r="AA218" s="911"/>
      <c r="AB218" s="911"/>
      <c r="AC218" s="911"/>
      <c r="AD218" s="911"/>
      <c r="AE218" s="911"/>
      <c r="AF218" s="911"/>
      <c r="AG218" s="911"/>
      <c r="AH218" s="911"/>
      <c r="AI218" s="911"/>
      <c r="AS218" s="35">
        <f t="shared" ref="AS218:AU227" si="347">+IFERROR(AS205/AR205-1,"n/a ")</f>
        <v>-8.7685459940652799E-2</v>
      </c>
      <c r="AT218" s="35">
        <f t="shared" si="347"/>
        <v>0.47877703691657181</v>
      </c>
      <c r="AU218" s="35">
        <f t="shared" si="347"/>
        <v>0.11987242934125142</v>
      </c>
      <c r="AZ218" s="912"/>
      <c r="BA218" s="912"/>
      <c r="BB218" s="912"/>
      <c r="BC218" s="912"/>
      <c r="BD218" s="912"/>
      <c r="BE218" s="912"/>
      <c r="BF218" s="912"/>
    </row>
    <row r="219" spans="2:58" hidden="1" outlineLevel="1">
      <c r="B219" s="918" t="s">
        <v>1292</v>
      </c>
      <c r="H219" s="911"/>
      <c r="I219" s="911"/>
      <c r="J219" s="911"/>
      <c r="K219" s="911"/>
      <c r="L219" s="911"/>
      <c r="M219" s="911"/>
      <c r="N219" s="911"/>
      <c r="O219" s="911"/>
      <c r="P219" s="911"/>
      <c r="Q219" s="911"/>
      <c r="R219" s="911"/>
      <c r="S219" s="911"/>
      <c r="T219" s="911"/>
      <c r="U219" s="911"/>
      <c r="V219" s="911"/>
      <c r="W219" s="911"/>
      <c r="X219" s="911"/>
      <c r="Y219" s="911"/>
      <c r="Z219" s="911"/>
      <c r="AA219" s="911"/>
      <c r="AB219" s="911"/>
      <c r="AC219" s="911"/>
      <c r="AD219" s="911"/>
      <c r="AE219" s="911"/>
      <c r="AF219" s="911"/>
      <c r="AG219" s="911"/>
      <c r="AH219" s="911"/>
      <c r="AI219" s="911"/>
      <c r="AS219" s="35" t="str">
        <f t="shared" si="347"/>
        <v xml:space="preserve">n/a </v>
      </c>
      <c r="AT219" s="35" t="str">
        <f t="shared" si="347"/>
        <v xml:space="preserve">n/a </v>
      </c>
      <c r="AU219" s="35">
        <f t="shared" si="347"/>
        <v>2.7961654894046419</v>
      </c>
      <c r="AZ219" s="912"/>
      <c r="BA219" s="912"/>
      <c r="BB219" s="912"/>
      <c r="BC219" s="912"/>
      <c r="BD219" s="912"/>
      <c r="BE219" s="912"/>
      <c r="BF219" s="912"/>
    </row>
    <row r="220" spans="2:58" hidden="1" outlineLevel="1">
      <c r="B220" s="915" t="s">
        <v>1293</v>
      </c>
      <c r="H220" s="911"/>
      <c r="I220" s="911"/>
      <c r="J220" s="911"/>
      <c r="K220" s="911"/>
      <c r="L220" s="911"/>
      <c r="M220" s="911"/>
      <c r="N220" s="911"/>
      <c r="O220" s="911"/>
      <c r="P220" s="911"/>
      <c r="Q220" s="911"/>
      <c r="R220" s="911"/>
      <c r="S220" s="911"/>
      <c r="T220" s="911"/>
      <c r="U220" s="911"/>
      <c r="V220" s="911"/>
      <c r="W220" s="911"/>
      <c r="X220" s="911"/>
      <c r="Y220" s="911"/>
      <c r="Z220" s="911"/>
      <c r="AA220" s="911"/>
      <c r="AB220" s="911"/>
      <c r="AC220" s="911"/>
      <c r="AD220" s="911"/>
      <c r="AE220" s="911"/>
      <c r="AF220" s="911"/>
      <c r="AG220" s="911"/>
      <c r="AH220" s="911"/>
      <c r="AI220" s="911"/>
      <c r="AS220" s="35">
        <f t="shared" si="347"/>
        <v>-8.7685459940652799E-2</v>
      </c>
      <c r="AT220" s="35">
        <f t="shared" si="347"/>
        <v>0.80110587087331275</v>
      </c>
      <c r="AU220" s="35">
        <f t="shared" si="347"/>
        <v>0.59882618510158014</v>
      </c>
      <c r="AZ220" s="912"/>
      <c r="BA220" s="912"/>
      <c r="BB220" s="912"/>
      <c r="BC220" s="912"/>
      <c r="BD220" s="912"/>
      <c r="BE220" s="912"/>
      <c r="BF220" s="912"/>
    </row>
    <row r="221" spans="2:58" hidden="1" outlineLevel="1">
      <c r="B221" s="915" t="s">
        <v>1294</v>
      </c>
      <c r="H221" s="911"/>
      <c r="I221" s="911"/>
      <c r="J221" s="911"/>
      <c r="K221" s="911"/>
      <c r="L221" s="911"/>
      <c r="M221" s="911"/>
      <c r="N221" s="911"/>
      <c r="O221" s="911"/>
      <c r="P221" s="911"/>
      <c r="Q221" s="911"/>
      <c r="R221" s="911"/>
      <c r="S221" s="911"/>
      <c r="T221" s="911"/>
      <c r="U221" s="911"/>
      <c r="V221" s="911"/>
      <c r="W221" s="911"/>
      <c r="X221" s="911"/>
      <c r="Y221" s="911"/>
      <c r="Z221" s="911"/>
      <c r="AA221" s="911"/>
      <c r="AB221" s="911"/>
      <c r="AC221" s="911"/>
      <c r="AD221" s="911"/>
      <c r="AE221" s="911"/>
      <c r="AF221" s="911"/>
      <c r="AG221" s="911"/>
      <c r="AH221" s="911"/>
      <c r="AI221" s="911"/>
      <c r="AS221" s="35">
        <f t="shared" si="347"/>
        <v>3.6756408189585699E-2</v>
      </c>
      <c r="AT221" s="35">
        <f t="shared" si="347"/>
        <v>9.0654641579847706E-2</v>
      </c>
      <c r="AU221" s="35">
        <f t="shared" si="347"/>
        <v>0.25819788993441684</v>
      </c>
      <c r="AZ221" s="912"/>
      <c r="BA221" s="912"/>
      <c r="BB221" s="912"/>
      <c r="BC221" s="912"/>
      <c r="BD221" s="912"/>
      <c r="BE221" s="912"/>
      <c r="BF221" s="912"/>
    </row>
    <row r="222" spans="2:58" hidden="1" outlineLevel="1">
      <c r="B222" s="914" t="s">
        <v>1295</v>
      </c>
      <c r="H222" s="911"/>
      <c r="I222" s="911"/>
      <c r="J222" s="911"/>
      <c r="K222" s="911"/>
      <c r="L222" s="911"/>
      <c r="M222" s="911"/>
      <c r="N222" s="911"/>
      <c r="O222" s="911"/>
      <c r="P222" s="911"/>
      <c r="Q222" s="911"/>
      <c r="R222" s="911"/>
      <c r="S222" s="911"/>
      <c r="T222" s="911"/>
      <c r="U222" s="911"/>
      <c r="V222" s="911"/>
      <c r="W222" s="911"/>
      <c r="X222" s="911"/>
      <c r="Y222" s="911"/>
      <c r="Z222" s="911"/>
      <c r="AA222" s="911"/>
      <c r="AB222" s="911"/>
      <c r="AC222" s="911"/>
      <c r="AD222" s="911"/>
      <c r="AE222" s="911"/>
      <c r="AF222" s="911"/>
      <c r="AG222" s="911"/>
      <c r="AH222" s="911"/>
      <c r="AI222" s="911"/>
      <c r="AS222" s="35">
        <f t="shared" si="347"/>
        <v>-1.3286885751279343E-2</v>
      </c>
      <c r="AT222" s="35">
        <f t="shared" si="347"/>
        <v>0.17527415877776731</v>
      </c>
      <c r="AU222" s="35">
        <f t="shared" si="347"/>
        <v>0.10325118962171365</v>
      </c>
      <c r="AZ222" s="912"/>
      <c r="BA222" s="912"/>
      <c r="BB222" s="912"/>
      <c r="BC222" s="912"/>
      <c r="BD222" s="912"/>
      <c r="BE222" s="912"/>
      <c r="BF222" s="912"/>
    </row>
    <row r="223" spans="2:58" hidden="1" outlineLevel="1">
      <c r="B223" s="915" t="s">
        <v>1296</v>
      </c>
      <c r="H223" s="911"/>
      <c r="I223" s="911"/>
      <c r="J223" s="911"/>
      <c r="K223" s="911"/>
      <c r="L223" s="911"/>
      <c r="M223" s="911"/>
      <c r="N223" s="911"/>
      <c r="O223" s="911"/>
      <c r="P223" s="911"/>
      <c r="Q223" s="911"/>
      <c r="R223" s="911"/>
      <c r="S223" s="911"/>
      <c r="T223" s="911"/>
      <c r="U223" s="911"/>
      <c r="V223" s="911"/>
      <c r="W223" s="911"/>
      <c r="X223" s="911"/>
      <c r="Y223" s="911"/>
      <c r="Z223" s="911"/>
      <c r="AA223" s="911"/>
      <c r="AB223" s="911"/>
      <c r="AC223" s="911"/>
      <c r="AD223" s="911"/>
      <c r="AE223" s="911"/>
      <c r="AF223" s="911"/>
      <c r="AG223" s="911"/>
      <c r="AH223" s="911"/>
      <c r="AI223" s="911"/>
      <c r="AS223" s="35">
        <f t="shared" si="347"/>
        <v>7.1432419328772312E-2</v>
      </c>
      <c r="AT223" s="35">
        <f t="shared" si="347"/>
        <v>5.7996882698979402E-2</v>
      </c>
      <c r="AU223" s="35">
        <f t="shared" si="347"/>
        <v>-2.4854461209457002E-2</v>
      </c>
      <c r="AZ223" s="912"/>
      <c r="BA223" s="912"/>
      <c r="BB223" s="912"/>
      <c r="BC223" s="912"/>
      <c r="BD223" s="912"/>
      <c r="BE223" s="912"/>
      <c r="BF223" s="912"/>
    </row>
    <row r="224" spans="2:58" hidden="1" outlineLevel="1">
      <c r="B224" s="915" t="s">
        <v>1297</v>
      </c>
      <c r="H224" s="911"/>
      <c r="I224" s="911"/>
      <c r="J224" s="911"/>
      <c r="K224" s="911"/>
      <c r="L224" s="911"/>
      <c r="M224" s="911"/>
      <c r="N224" s="911"/>
      <c r="O224" s="911"/>
      <c r="P224" s="911"/>
      <c r="Q224" s="911"/>
      <c r="R224" s="911"/>
      <c r="S224" s="911"/>
      <c r="T224" s="911"/>
      <c r="U224" s="911"/>
      <c r="V224" s="911"/>
      <c r="W224" s="911"/>
      <c r="X224" s="911"/>
      <c r="Y224" s="911"/>
      <c r="Z224" s="911"/>
      <c r="AA224" s="911"/>
      <c r="AB224" s="911"/>
      <c r="AC224" s="911"/>
      <c r="AD224" s="911"/>
      <c r="AE224" s="911"/>
      <c r="AF224" s="911"/>
      <c r="AG224" s="911"/>
      <c r="AH224" s="911"/>
      <c r="AI224" s="911"/>
      <c r="AS224" s="35">
        <f t="shared" si="347"/>
        <v>0.21899224806201545</v>
      </c>
      <c r="AT224" s="35">
        <f t="shared" si="347"/>
        <v>0.3329800388623918</v>
      </c>
      <c r="AU224" s="35">
        <f t="shared" si="347"/>
        <v>0.43599257884972165</v>
      </c>
      <c r="AZ224" s="912"/>
      <c r="BA224" s="912"/>
      <c r="BB224" s="912"/>
      <c r="BC224" s="912"/>
      <c r="BD224" s="912"/>
      <c r="BE224" s="912"/>
      <c r="BF224" s="912"/>
    </row>
    <row r="225" spans="2:58" hidden="1" outlineLevel="1">
      <c r="B225" s="914" t="s">
        <v>1298</v>
      </c>
      <c r="H225" s="911"/>
      <c r="I225" s="911"/>
      <c r="J225" s="911"/>
      <c r="K225" s="911"/>
      <c r="L225" s="911"/>
      <c r="M225" s="911"/>
      <c r="N225" s="911"/>
      <c r="O225" s="911"/>
      <c r="P225" s="911"/>
      <c r="Q225" s="911"/>
      <c r="R225" s="911"/>
      <c r="S225" s="911"/>
      <c r="T225" s="911"/>
      <c r="U225" s="911"/>
      <c r="V225" s="911"/>
      <c r="W225" s="911"/>
      <c r="X225" s="911"/>
      <c r="Y225" s="911"/>
      <c r="Z225" s="911"/>
      <c r="AA225" s="911"/>
      <c r="AB225" s="911"/>
      <c r="AC225" s="911"/>
      <c r="AD225" s="911"/>
      <c r="AE225" s="911"/>
      <c r="AF225" s="911"/>
      <c r="AG225" s="911"/>
      <c r="AH225" s="911"/>
      <c r="AI225" s="911"/>
      <c r="AS225" s="35">
        <f t="shared" si="347"/>
        <v>8.7838161359827582E-2</v>
      </c>
      <c r="AT225" s="35">
        <f t="shared" si="347"/>
        <v>9.2255551398578328E-2</v>
      </c>
      <c r="AU225" s="35">
        <f t="shared" si="347"/>
        <v>4.521367693578604E-2</v>
      </c>
      <c r="AZ225" s="912"/>
      <c r="BA225" s="912"/>
      <c r="BB225" s="912"/>
      <c r="BC225" s="912"/>
      <c r="BD225" s="912"/>
      <c r="BE225" s="912"/>
      <c r="BF225" s="912"/>
    </row>
    <row r="226" spans="2:58" hidden="1" outlineLevel="1">
      <c r="B226" s="914" t="s">
        <v>345</v>
      </c>
      <c r="H226" s="911"/>
      <c r="I226" s="911"/>
      <c r="J226" s="911"/>
      <c r="K226" s="911"/>
      <c r="L226" s="911"/>
      <c r="M226" s="911"/>
      <c r="N226" s="911"/>
      <c r="O226" s="911"/>
      <c r="P226" s="911"/>
      <c r="Q226" s="911"/>
      <c r="R226" s="911"/>
      <c r="S226" s="911"/>
      <c r="T226" s="911"/>
      <c r="U226" s="911"/>
      <c r="V226" s="911"/>
      <c r="W226" s="911"/>
      <c r="X226" s="911"/>
      <c r="Y226" s="911"/>
      <c r="Z226" s="911"/>
      <c r="AA226" s="911"/>
      <c r="AB226" s="911"/>
      <c r="AC226" s="911"/>
      <c r="AD226" s="911"/>
      <c r="AE226" s="911"/>
      <c r="AF226" s="911"/>
      <c r="AG226" s="911"/>
      <c r="AH226" s="911"/>
      <c r="AI226" s="911"/>
      <c r="AS226" s="35">
        <f t="shared" si="347"/>
        <v>-1.8309278350515465</v>
      </c>
      <c r="AT226" s="35">
        <f t="shared" si="347"/>
        <v>-2.0297766749379651</v>
      </c>
      <c r="AU226" s="35">
        <f t="shared" si="347"/>
        <v>-1.491566265060241</v>
      </c>
      <c r="AZ226" s="912"/>
      <c r="BA226" s="912"/>
      <c r="BB226" s="912"/>
      <c r="BC226" s="912"/>
      <c r="BD226" s="912"/>
      <c r="BE226" s="912"/>
      <c r="BF226" s="912"/>
    </row>
    <row r="227" spans="2:58" hidden="1" outlineLevel="1">
      <c r="B227" s="916" t="s">
        <v>576</v>
      </c>
      <c r="H227" s="911"/>
      <c r="I227" s="911"/>
      <c r="J227" s="911"/>
      <c r="K227" s="911"/>
      <c r="L227" s="911"/>
      <c r="M227" s="911"/>
      <c r="N227" s="911"/>
      <c r="O227" s="911"/>
      <c r="P227" s="911"/>
      <c r="Q227" s="911"/>
      <c r="R227" s="911"/>
      <c r="S227" s="911"/>
      <c r="T227" s="911"/>
      <c r="U227" s="911"/>
      <c r="V227" s="911"/>
      <c r="W227" s="911"/>
      <c r="X227" s="911"/>
      <c r="Y227" s="911"/>
      <c r="Z227" s="911"/>
      <c r="AA227" s="911"/>
      <c r="AB227" s="911"/>
      <c r="AC227" s="911"/>
      <c r="AD227" s="911"/>
      <c r="AE227" s="911"/>
      <c r="AF227" s="911"/>
      <c r="AG227" s="911"/>
      <c r="AH227" s="911"/>
      <c r="AI227" s="911"/>
      <c r="AS227" s="35">
        <f t="shared" si="347"/>
        <v>5.5966252051598442E-2</v>
      </c>
      <c r="AT227" s="35">
        <f t="shared" si="347"/>
        <v>0.11540289534868786</v>
      </c>
      <c r="AU227" s="35">
        <f t="shared" si="347"/>
        <v>7.7700874091647165E-2</v>
      </c>
      <c r="AZ227" s="912"/>
      <c r="BA227" s="912"/>
      <c r="BB227" s="912"/>
      <c r="BC227" s="912"/>
      <c r="BD227" s="912"/>
      <c r="BE227" s="912"/>
      <c r="BF227" s="912"/>
    </row>
    <row r="228" spans="2:58" hidden="1" outlineLevel="1">
      <c r="H228" s="911"/>
      <c r="I228" s="911"/>
      <c r="J228" s="911"/>
      <c r="K228" s="911"/>
      <c r="L228" s="911"/>
      <c r="M228" s="911"/>
      <c r="N228" s="911"/>
      <c r="O228" s="911"/>
      <c r="P228" s="911"/>
      <c r="Q228" s="911"/>
      <c r="R228" s="911"/>
      <c r="S228" s="911"/>
      <c r="T228" s="911"/>
      <c r="U228" s="911"/>
      <c r="V228" s="911"/>
      <c r="W228" s="911"/>
      <c r="X228" s="911"/>
      <c r="Y228" s="911"/>
      <c r="Z228" s="911"/>
      <c r="AA228" s="911"/>
      <c r="AB228" s="911"/>
      <c r="AC228" s="911"/>
      <c r="AD228" s="911"/>
      <c r="AE228" s="911"/>
      <c r="AF228" s="911"/>
      <c r="AG228" s="911"/>
      <c r="AH228" s="911"/>
      <c r="AI228" s="911"/>
      <c r="AZ228" s="912"/>
      <c r="BA228" s="912"/>
      <c r="BB228" s="912"/>
      <c r="BC228" s="912"/>
      <c r="BD228" s="912"/>
      <c r="BE228" s="912"/>
      <c r="BF228" s="912"/>
    </row>
    <row r="229" spans="2:58" hidden="1" outlineLevel="1">
      <c r="B229" t="s">
        <v>1300</v>
      </c>
      <c r="H229" s="911"/>
      <c r="I229" s="911"/>
      <c r="J229" s="911"/>
      <c r="K229" s="911"/>
      <c r="L229" s="911"/>
      <c r="M229" s="911"/>
      <c r="N229" s="911"/>
      <c r="O229" s="911"/>
      <c r="P229" s="911"/>
      <c r="Q229" s="911"/>
      <c r="R229" s="911"/>
      <c r="S229" s="911"/>
      <c r="T229" s="911"/>
      <c r="U229" s="911"/>
      <c r="V229" s="911"/>
      <c r="W229" s="911"/>
      <c r="X229" s="911"/>
      <c r="Y229" s="911"/>
      <c r="Z229" s="911"/>
      <c r="AA229" s="911"/>
      <c r="AB229" s="911"/>
      <c r="AC229" s="911"/>
      <c r="AD229" s="911"/>
      <c r="AE229" s="911"/>
      <c r="AF229" s="911"/>
      <c r="AG229" s="911"/>
      <c r="AH229" s="911"/>
      <c r="AI229" s="911"/>
      <c r="AZ229" s="912"/>
      <c r="BA229" s="912"/>
      <c r="BB229" s="912"/>
      <c r="BC229" s="912"/>
      <c r="BD229" s="912"/>
      <c r="BE229" s="912"/>
      <c r="BF229" s="912"/>
    </row>
    <row r="230" spans="2:58" hidden="1" outlineLevel="1">
      <c r="B230" s="914" t="s">
        <v>1290</v>
      </c>
      <c r="H230" s="911"/>
      <c r="I230" s="911"/>
      <c r="J230" s="911"/>
      <c r="K230" s="911"/>
      <c r="L230" s="911"/>
      <c r="M230" s="911"/>
      <c r="N230" s="911"/>
      <c r="O230" s="911"/>
      <c r="P230" s="911"/>
      <c r="Q230" s="911"/>
      <c r="R230" s="911"/>
      <c r="S230" s="911"/>
      <c r="T230" s="911"/>
      <c r="U230" s="911"/>
      <c r="V230" s="911"/>
      <c r="W230" s="911"/>
      <c r="X230" s="911"/>
      <c r="Y230" s="911"/>
      <c r="Z230" s="911"/>
      <c r="AA230" s="911"/>
      <c r="AB230" s="911"/>
      <c r="AC230" s="911"/>
      <c r="AD230" s="911"/>
      <c r="AE230" s="911"/>
      <c r="AF230" s="911"/>
      <c r="AG230" s="911"/>
      <c r="AH230" s="911"/>
      <c r="AI230" s="911"/>
      <c r="AR230" s="29">
        <v>17240</v>
      </c>
      <c r="AS230" s="29">
        <v>16985</v>
      </c>
      <c r="AT230" s="29">
        <v>17439</v>
      </c>
      <c r="AU230" s="29">
        <v>13870</v>
      </c>
      <c r="AZ230" s="912"/>
      <c r="BA230" s="912"/>
      <c r="BB230" s="912"/>
      <c r="BC230" s="912"/>
      <c r="BD230" s="912"/>
      <c r="BE230" s="912"/>
      <c r="BF230" s="912"/>
    </row>
    <row r="231" spans="2:58" hidden="1" outlineLevel="1">
      <c r="B231" s="915" t="s">
        <v>1291</v>
      </c>
      <c r="H231" s="911"/>
      <c r="I231" s="911"/>
      <c r="J231" s="911"/>
      <c r="K231" s="911"/>
      <c r="L231" s="911"/>
      <c r="M231" s="911"/>
      <c r="N231" s="911"/>
      <c r="O231" s="911"/>
      <c r="P231" s="911"/>
      <c r="Q231" s="911"/>
      <c r="R231" s="911"/>
      <c r="S231" s="911"/>
      <c r="T231" s="911"/>
      <c r="U231" s="911"/>
      <c r="V231" s="911"/>
      <c r="W231" s="911"/>
      <c r="X231" s="911"/>
      <c r="Y231" s="911"/>
      <c r="Z231" s="911"/>
      <c r="AA231" s="911"/>
      <c r="AB231" s="911"/>
      <c r="AC231" s="911"/>
      <c r="AD231" s="911"/>
      <c r="AE231" s="911"/>
      <c r="AF231" s="911"/>
      <c r="AG231" s="911"/>
      <c r="AH231" s="911"/>
      <c r="AI231" s="911"/>
      <c r="AR231" s="29">
        <v>2495</v>
      </c>
      <c r="AS231" s="29">
        <v>956</v>
      </c>
      <c r="AT231" s="29">
        <v>892</v>
      </c>
      <c r="AU231" s="29">
        <v>1788</v>
      </c>
      <c r="AZ231" s="912"/>
      <c r="BA231" s="912"/>
      <c r="BB231" s="912"/>
      <c r="BC231" s="912"/>
      <c r="BD231" s="912"/>
      <c r="BE231" s="912"/>
      <c r="BF231" s="912"/>
    </row>
    <row r="232" spans="2:58" ht="11.45" hidden="1" outlineLevel="1">
      <c r="B232" s="915" t="s">
        <v>1292</v>
      </c>
      <c r="H232" s="911"/>
      <c r="I232" s="911"/>
      <c r="J232" s="911"/>
      <c r="K232" s="911"/>
      <c r="L232" s="911"/>
      <c r="M232" s="911"/>
      <c r="N232" s="911"/>
      <c r="O232" s="911"/>
      <c r="P232" s="911"/>
      <c r="Q232" s="911"/>
      <c r="R232" s="911"/>
      <c r="S232" s="911"/>
      <c r="T232" s="911"/>
      <c r="U232" s="911"/>
      <c r="V232" s="911"/>
      <c r="W232" s="911"/>
      <c r="X232" s="911"/>
      <c r="Y232" s="911"/>
      <c r="Z232" s="911"/>
      <c r="AA232" s="911"/>
      <c r="AB232" s="911"/>
      <c r="AC232" s="911"/>
      <c r="AD232" s="911"/>
      <c r="AE232" s="911"/>
      <c r="AF232" s="911"/>
      <c r="AG232" s="911"/>
      <c r="AH232" s="911"/>
      <c r="AI232" s="911"/>
      <c r="AR232" s="30">
        <v>0</v>
      </c>
      <c r="AS232" s="30">
        <v>0</v>
      </c>
      <c r="AT232" s="30">
        <v>54</v>
      </c>
      <c r="AU232" s="30">
        <v>701</v>
      </c>
      <c r="AZ232" s="912"/>
      <c r="BA232" s="912"/>
      <c r="BB232" s="912"/>
      <c r="BC232" s="912"/>
      <c r="BD232" s="912"/>
      <c r="BE232" s="912"/>
      <c r="BF232" s="912"/>
    </row>
    <row r="233" spans="2:58" hidden="1" outlineLevel="1">
      <c r="B233" s="914" t="s">
        <v>1293</v>
      </c>
      <c r="H233" s="911"/>
      <c r="I233" s="911"/>
      <c r="J233" s="911"/>
      <c r="K233" s="911"/>
      <c r="L233" s="911"/>
      <c r="M233" s="911"/>
      <c r="N233" s="911"/>
      <c r="O233" s="911"/>
      <c r="P233" s="911"/>
      <c r="Q233" s="911"/>
      <c r="R233" s="911"/>
      <c r="S233" s="911"/>
      <c r="T233" s="911"/>
      <c r="U233" s="911"/>
      <c r="V233" s="911"/>
      <c r="W233" s="911"/>
      <c r="X233" s="911"/>
      <c r="Y233" s="911"/>
      <c r="Z233" s="911"/>
      <c r="AA233" s="911"/>
      <c r="AB233" s="911"/>
      <c r="AC233" s="911"/>
      <c r="AD233" s="911"/>
      <c r="AE233" s="911"/>
      <c r="AF233" s="911"/>
      <c r="AG233" s="911"/>
      <c r="AH233" s="911"/>
      <c r="AI233" s="911"/>
      <c r="AR233" s="11">
        <f>+SUM(AR231:AR232)</f>
        <v>2495</v>
      </c>
      <c r="AS233" s="11">
        <f>+SUM(AS231:AS232)</f>
        <v>956</v>
      </c>
      <c r="AT233" s="11">
        <f t="shared" ref="AT233:AU233" si="348">+SUM(AT231:AT232)</f>
        <v>946</v>
      </c>
      <c r="AU233" s="11">
        <f t="shared" si="348"/>
        <v>2489</v>
      </c>
      <c r="AZ233" s="912"/>
      <c r="BA233" s="912"/>
      <c r="BB233" s="912"/>
      <c r="BC233" s="912"/>
      <c r="BD233" s="912"/>
      <c r="BE233" s="912"/>
      <c r="BF233" s="912"/>
    </row>
    <row r="234" spans="2:58" ht="11.45" hidden="1" outlineLevel="1">
      <c r="B234" s="914" t="s">
        <v>1294</v>
      </c>
      <c r="H234" s="911"/>
      <c r="I234" s="911"/>
      <c r="J234" s="911"/>
      <c r="K234" s="911"/>
      <c r="L234" s="911"/>
      <c r="M234" s="911"/>
      <c r="N234" s="911"/>
      <c r="O234" s="911"/>
      <c r="P234" s="911"/>
      <c r="Q234" s="911"/>
      <c r="R234" s="911"/>
      <c r="S234" s="911"/>
      <c r="T234" s="911"/>
      <c r="U234" s="911"/>
      <c r="V234" s="911"/>
      <c r="W234" s="911"/>
      <c r="X234" s="911"/>
      <c r="Y234" s="911"/>
      <c r="Z234" s="911"/>
      <c r="AA234" s="911"/>
      <c r="AB234" s="911"/>
      <c r="AC234" s="911"/>
      <c r="AD234" s="911"/>
      <c r="AE234" s="911"/>
      <c r="AF234" s="911"/>
      <c r="AG234" s="911"/>
      <c r="AH234" s="911"/>
      <c r="AI234" s="911"/>
      <c r="AR234" s="30">
        <v>1998</v>
      </c>
      <c r="AS234" s="30">
        <v>1951</v>
      </c>
      <c r="AT234" s="30">
        <v>1393</v>
      </c>
      <c r="AU234" s="30">
        <v>2022</v>
      </c>
      <c r="AZ234" s="912"/>
      <c r="BA234" s="912"/>
      <c r="BB234" s="912"/>
      <c r="BC234" s="912"/>
      <c r="BD234" s="912"/>
      <c r="BE234" s="912"/>
      <c r="BF234" s="912"/>
    </row>
    <row r="235" spans="2:58" hidden="1" outlineLevel="1">
      <c r="B235" s="916" t="s">
        <v>1295</v>
      </c>
      <c r="H235" s="911"/>
      <c r="I235" s="911"/>
      <c r="J235" s="911"/>
      <c r="K235" s="911"/>
      <c r="L235" s="911"/>
      <c r="M235" s="911"/>
      <c r="N235" s="911"/>
      <c r="O235" s="911"/>
      <c r="P235" s="911"/>
      <c r="Q235" s="911"/>
      <c r="R235" s="911"/>
      <c r="S235" s="911"/>
      <c r="T235" s="911"/>
      <c r="U235" s="911"/>
      <c r="V235" s="911"/>
      <c r="W235" s="911"/>
      <c r="X235" s="911"/>
      <c r="Y235" s="911"/>
      <c r="Z235" s="911"/>
      <c r="AA235" s="911"/>
      <c r="AB235" s="911"/>
      <c r="AC235" s="911"/>
      <c r="AD235" s="911"/>
      <c r="AE235" s="911"/>
      <c r="AF235" s="911"/>
      <c r="AG235" s="911"/>
      <c r="AH235" s="911"/>
      <c r="AI235" s="911"/>
      <c r="AR235" s="8">
        <f>+AR230+AR233+AR234</f>
        <v>21733</v>
      </c>
      <c r="AS235" s="8">
        <f>+AS230+AS233+AS234</f>
        <v>19892</v>
      </c>
      <c r="AT235" s="8">
        <f t="shared" ref="AT235:AU235" si="349">+AT230+AT233+AT234</f>
        <v>19778</v>
      </c>
      <c r="AU235" s="8">
        <f t="shared" si="349"/>
        <v>18381</v>
      </c>
      <c r="AZ235" s="912"/>
      <c r="BA235" s="912"/>
      <c r="BB235" s="912"/>
      <c r="BC235" s="912"/>
      <c r="BD235" s="912"/>
      <c r="BE235" s="912"/>
      <c r="BF235" s="912"/>
    </row>
    <row r="236" spans="2:58" hidden="1" outlineLevel="1">
      <c r="B236" s="914" t="s">
        <v>1296</v>
      </c>
      <c r="H236" s="911"/>
      <c r="I236" s="911"/>
      <c r="J236" s="911"/>
      <c r="K236" s="911"/>
      <c r="L236" s="911"/>
      <c r="M236" s="911"/>
      <c r="N236" s="911"/>
      <c r="O236" s="911"/>
      <c r="P236" s="911"/>
      <c r="Q236" s="911"/>
      <c r="R236" s="911"/>
      <c r="S236" s="911"/>
      <c r="T236" s="911"/>
      <c r="U236" s="911"/>
      <c r="V236" s="911"/>
      <c r="W236" s="911"/>
      <c r="X236" s="911"/>
      <c r="Y236" s="911"/>
      <c r="Z236" s="911"/>
      <c r="AA236" s="911"/>
      <c r="AB236" s="911"/>
      <c r="AC236" s="911"/>
      <c r="AD236" s="911"/>
      <c r="AE236" s="911"/>
      <c r="AF236" s="911"/>
      <c r="AG236" s="911"/>
      <c r="AH236" s="911"/>
      <c r="AI236" s="911"/>
      <c r="AR236" s="29">
        <v>34463</v>
      </c>
      <c r="AS236" s="29">
        <v>36280</v>
      </c>
      <c r="AT236" s="29">
        <v>38615</v>
      </c>
      <c r="AU236" s="29">
        <v>37830</v>
      </c>
      <c r="AZ236" s="912"/>
      <c r="BA236" s="912"/>
      <c r="BB236" s="912"/>
      <c r="BC236" s="912"/>
      <c r="BD236" s="912"/>
      <c r="BE236" s="912"/>
      <c r="BF236" s="912"/>
    </row>
    <row r="237" spans="2:58" ht="11.45" hidden="1" outlineLevel="1">
      <c r="B237" s="914" t="s">
        <v>1297</v>
      </c>
      <c r="H237" s="911"/>
      <c r="I237" s="911"/>
      <c r="J237" s="911"/>
      <c r="K237" s="911"/>
      <c r="L237" s="911"/>
      <c r="M237" s="911"/>
      <c r="N237" s="911"/>
      <c r="O237" s="911"/>
      <c r="P237" s="911"/>
      <c r="Q237" s="911"/>
      <c r="R237" s="911"/>
      <c r="S237" s="911"/>
      <c r="T237" s="911"/>
      <c r="U237" s="911"/>
      <c r="V237" s="911"/>
      <c r="W237" s="911"/>
      <c r="X237" s="911"/>
      <c r="Y237" s="911"/>
      <c r="Z237" s="911"/>
      <c r="AA237" s="911"/>
      <c r="AB237" s="911"/>
      <c r="AC237" s="911"/>
      <c r="AD237" s="911"/>
      <c r="AE237" s="911"/>
      <c r="AF237" s="911"/>
      <c r="AG237" s="911"/>
      <c r="AH237" s="911"/>
      <c r="AI237" s="911"/>
      <c r="AR237" s="30">
        <v>579</v>
      </c>
      <c r="AS237" s="30">
        <v>922</v>
      </c>
      <c r="AT237" s="30">
        <v>1855</v>
      </c>
      <c r="AU237" s="30">
        <v>4199</v>
      </c>
      <c r="AZ237" s="912"/>
      <c r="BA237" s="912"/>
      <c r="BB237" s="912"/>
      <c r="BC237" s="912"/>
      <c r="BD237" s="912"/>
      <c r="BE237" s="912"/>
      <c r="BF237" s="912"/>
    </row>
    <row r="238" spans="2:58" hidden="1" outlineLevel="1">
      <c r="B238" s="916" t="s">
        <v>1298</v>
      </c>
      <c r="H238" s="911"/>
      <c r="I238" s="911"/>
      <c r="J238" s="911"/>
      <c r="K238" s="911"/>
      <c r="L238" s="911"/>
      <c r="M238" s="911"/>
      <c r="N238" s="911"/>
      <c r="O238" s="911"/>
      <c r="P238" s="911"/>
      <c r="Q238" s="911"/>
      <c r="R238" s="911"/>
      <c r="S238" s="911"/>
      <c r="T238" s="911"/>
      <c r="U238" s="911"/>
      <c r="V238" s="911"/>
      <c r="W238" s="911"/>
      <c r="X238" s="911"/>
      <c r="Y238" s="911"/>
      <c r="Z238" s="911"/>
      <c r="AA238" s="911"/>
      <c r="AB238" s="911"/>
      <c r="AC238" s="911"/>
      <c r="AD238" s="911"/>
      <c r="AE238" s="911"/>
      <c r="AF238" s="911"/>
      <c r="AG238" s="911"/>
      <c r="AH238" s="911"/>
      <c r="AI238" s="911"/>
      <c r="AR238" s="8">
        <f>+SUM(AR236:AR237)</f>
        <v>35042</v>
      </c>
      <c r="AS238" s="8">
        <f>+SUM(AS236:AS237)</f>
        <v>37202</v>
      </c>
      <c r="AT238" s="8">
        <f t="shared" ref="AT238:AU238" si="350">+SUM(AT236:AT237)</f>
        <v>40470</v>
      </c>
      <c r="AU238" s="8">
        <f t="shared" si="350"/>
        <v>42029</v>
      </c>
      <c r="AZ238" s="912"/>
      <c r="BA238" s="912"/>
      <c r="BB238" s="912"/>
      <c r="BC238" s="912"/>
      <c r="BD238" s="912"/>
      <c r="BE238" s="912"/>
      <c r="BF238" s="912"/>
    </row>
    <row r="239" spans="2:58" ht="11.45" hidden="1" outlineLevel="1">
      <c r="B239" s="916" t="s">
        <v>345</v>
      </c>
      <c r="H239" s="911"/>
      <c r="I239" s="911"/>
      <c r="J239" s="911"/>
      <c r="K239" s="911"/>
      <c r="L239" s="911"/>
      <c r="M239" s="911"/>
      <c r="N239" s="911"/>
      <c r="O239" s="911"/>
      <c r="P239" s="911"/>
      <c r="Q239" s="911"/>
      <c r="R239" s="911"/>
      <c r="S239" s="911"/>
      <c r="T239" s="911"/>
      <c r="U239" s="911"/>
      <c r="V239" s="911"/>
      <c r="W239" s="911"/>
      <c r="X239" s="911"/>
      <c r="Y239" s="911"/>
      <c r="Z239" s="911"/>
      <c r="AA239" s="911"/>
      <c r="AB239" s="911"/>
      <c r="AC239" s="911"/>
      <c r="AD239" s="911"/>
      <c r="AE239" s="911"/>
      <c r="AF239" s="911"/>
      <c r="AG239" s="911"/>
      <c r="AH239" s="911"/>
      <c r="AI239" s="911"/>
      <c r="AR239" s="30">
        <v>-582</v>
      </c>
      <c r="AS239" s="30">
        <v>370</v>
      </c>
      <c r="AT239" s="30">
        <v>-493</v>
      </c>
      <c r="AU239" s="30">
        <v>132</v>
      </c>
      <c r="AZ239" s="912"/>
      <c r="BA239" s="912"/>
      <c r="BB239" s="912"/>
      <c r="BC239" s="912"/>
      <c r="BD239" s="912"/>
      <c r="BE239" s="912"/>
      <c r="BF239" s="912"/>
    </row>
    <row r="240" spans="2:58" hidden="1" outlineLevel="1">
      <c r="B240" s="917" t="s">
        <v>576</v>
      </c>
      <c r="H240" s="911"/>
      <c r="I240" s="911"/>
      <c r="J240" s="911"/>
      <c r="K240" s="911"/>
      <c r="L240" s="911"/>
      <c r="M240" s="911"/>
      <c r="N240" s="911"/>
      <c r="O240" s="911"/>
      <c r="P240" s="911"/>
      <c r="Q240" s="911"/>
      <c r="R240" s="911"/>
      <c r="S240" s="911"/>
      <c r="T240" s="911"/>
      <c r="U240" s="911"/>
      <c r="V240" s="911"/>
      <c r="W240" s="911"/>
      <c r="X240" s="911"/>
      <c r="Y240" s="911"/>
      <c r="Z240" s="911"/>
      <c r="AA240" s="911"/>
      <c r="AB240" s="911"/>
      <c r="AC240" s="911"/>
      <c r="AD240" s="911"/>
      <c r="AE240" s="911"/>
      <c r="AF240" s="911"/>
      <c r="AG240" s="911"/>
      <c r="AH240" s="911"/>
      <c r="AI240" s="911"/>
      <c r="AR240" s="8">
        <f>+SUM(AR235,AR238:AR239)</f>
        <v>56193</v>
      </c>
      <c r="AS240" s="8">
        <f>+SUM(AS235,AS238:AS239)</f>
        <v>57464</v>
      </c>
      <c r="AT240" s="8">
        <f t="shared" ref="AT240:AU240" si="351">+SUM(AT235,AT238:AT239)</f>
        <v>59755</v>
      </c>
      <c r="AU240" s="8">
        <f t="shared" si="351"/>
        <v>60542</v>
      </c>
      <c r="AZ240" s="912"/>
      <c r="BA240" s="912"/>
      <c r="BB240" s="912"/>
      <c r="BC240" s="912"/>
      <c r="BD240" s="912"/>
      <c r="BE240" s="912"/>
      <c r="BF240" s="912"/>
    </row>
    <row r="241" spans="2:58" hidden="1" outlineLevel="1">
      <c r="H241" s="911"/>
      <c r="I241" s="911"/>
      <c r="J241" s="911"/>
      <c r="K241" s="911"/>
      <c r="L241" s="911"/>
      <c r="M241" s="911"/>
      <c r="N241" s="911"/>
      <c r="O241" s="911"/>
      <c r="P241" s="911"/>
      <c r="Q241" s="911"/>
      <c r="R241" s="911"/>
      <c r="S241" s="911"/>
      <c r="T241" s="911"/>
      <c r="U241" s="911"/>
      <c r="V241" s="911"/>
      <c r="W241" s="911"/>
      <c r="X241" s="911"/>
      <c r="Y241" s="911"/>
      <c r="Z241" s="911"/>
      <c r="AA241" s="911"/>
      <c r="AB241" s="911"/>
      <c r="AC241" s="911"/>
      <c r="AD241" s="911"/>
      <c r="AE241" s="911"/>
      <c r="AF241" s="911"/>
      <c r="AG241" s="911"/>
      <c r="AH241" s="911"/>
      <c r="AI241" s="911"/>
      <c r="AZ241" s="912"/>
      <c r="BA241" s="912"/>
      <c r="BB241" s="912"/>
      <c r="BC241" s="912"/>
      <c r="BD241" s="912"/>
      <c r="BE241" s="912"/>
      <c r="BF241" s="912"/>
    </row>
    <row r="242" spans="2:58" hidden="1" outlineLevel="1">
      <c r="B242" s="12" t="s">
        <v>1299</v>
      </c>
      <c r="H242" s="911"/>
      <c r="I242" s="911"/>
      <c r="J242" s="911"/>
      <c r="K242" s="911"/>
      <c r="L242" s="911"/>
      <c r="M242" s="911"/>
      <c r="N242" s="911"/>
      <c r="O242" s="911"/>
      <c r="P242" s="911"/>
      <c r="Q242" s="911"/>
      <c r="R242" s="911"/>
      <c r="S242" s="911"/>
      <c r="T242" s="911"/>
      <c r="U242" s="911"/>
      <c r="V242" s="911"/>
      <c r="W242" s="911"/>
      <c r="X242" s="911"/>
      <c r="Y242" s="911"/>
      <c r="Z242" s="911"/>
      <c r="AA242" s="911"/>
      <c r="AB242" s="911"/>
      <c r="AC242" s="911"/>
      <c r="AD242" s="911"/>
      <c r="AE242" s="911"/>
      <c r="AF242" s="911"/>
      <c r="AG242" s="911"/>
      <c r="AH242" s="911"/>
      <c r="AI242" s="911"/>
      <c r="AZ242" s="912"/>
      <c r="BA242" s="912"/>
      <c r="BB242" s="912"/>
      <c r="BC242" s="912"/>
      <c r="BD242" s="912"/>
      <c r="BE242" s="912"/>
      <c r="BF242" s="912"/>
    </row>
    <row r="243" spans="2:58" hidden="1" outlineLevel="1">
      <c r="B243" s="915" t="s">
        <v>1290</v>
      </c>
      <c r="H243" s="911"/>
      <c r="I243" s="911"/>
      <c r="J243" s="911"/>
      <c r="K243" s="911"/>
      <c r="L243" s="911"/>
      <c r="M243" s="911"/>
      <c r="N243" s="911"/>
      <c r="O243" s="911"/>
      <c r="P243" s="911"/>
      <c r="Q243" s="911"/>
      <c r="R243" s="911"/>
      <c r="S243" s="911"/>
      <c r="T243" s="911"/>
      <c r="U243" s="911"/>
      <c r="V243" s="911"/>
      <c r="W243" s="911"/>
      <c r="X243" s="911"/>
      <c r="Y243" s="911"/>
      <c r="Z243" s="911"/>
      <c r="AA243" s="911"/>
      <c r="AB243" s="911"/>
      <c r="AC243" s="911"/>
      <c r="AD243" s="911"/>
      <c r="AE243" s="911"/>
      <c r="AF243" s="911"/>
      <c r="AG243" s="911"/>
      <c r="AH243" s="911"/>
      <c r="AI243" s="911"/>
      <c r="AS243" s="35">
        <f>+IFERROR(AS230/AR230-1,"n/a ")</f>
        <v>-1.4791183294663557E-2</v>
      </c>
      <c r="AT243" s="35">
        <f t="shared" ref="AT243:AU243" si="352">+IFERROR(AT230/AS230-1,"n/a ")</f>
        <v>2.6729467176920707E-2</v>
      </c>
      <c r="AU243" s="35">
        <f t="shared" si="352"/>
        <v>-0.20465623028843394</v>
      </c>
      <c r="AZ243" s="912"/>
      <c r="BA243" s="912"/>
      <c r="BB243" s="912"/>
      <c r="BC243" s="912"/>
      <c r="BD243" s="912"/>
      <c r="BE243" s="912"/>
      <c r="BF243" s="912"/>
    </row>
    <row r="244" spans="2:58" hidden="1" outlineLevel="1">
      <c r="B244" s="918" t="s">
        <v>1291</v>
      </c>
      <c r="H244" s="911"/>
      <c r="I244" s="911"/>
      <c r="J244" s="911"/>
      <c r="K244" s="911"/>
      <c r="L244" s="911"/>
      <c r="M244" s="911"/>
      <c r="N244" s="911"/>
      <c r="O244" s="911"/>
      <c r="P244" s="911"/>
      <c r="Q244" s="911"/>
      <c r="R244" s="911"/>
      <c r="S244" s="911"/>
      <c r="T244" s="911"/>
      <c r="U244" s="911"/>
      <c r="V244" s="911"/>
      <c r="W244" s="911"/>
      <c r="X244" s="911"/>
      <c r="Y244" s="911"/>
      <c r="Z244" s="911"/>
      <c r="AA244" s="911"/>
      <c r="AB244" s="911"/>
      <c r="AC244" s="911"/>
      <c r="AD244" s="911"/>
      <c r="AE244" s="911"/>
      <c r="AF244" s="911"/>
      <c r="AG244" s="911"/>
      <c r="AH244" s="911"/>
      <c r="AI244" s="911"/>
      <c r="AS244" s="35">
        <f t="shared" ref="AS244:AU253" si="353">+IFERROR(AS231/AR231-1,"n/a ")</f>
        <v>-0.61683366733466927</v>
      </c>
      <c r="AT244" s="35">
        <f t="shared" si="353"/>
        <v>-6.6945606694560622E-2</v>
      </c>
      <c r="AU244" s="35">
        <f t="shared" si="353"/>
        <v>1.0044843049327352</v>
      </c>
      <c r="AZ244" s="912"/>
      <c r="BA244" s="912"/>
      <c r="BB244" s="912"/>
      <c r="BC244" s="912"/>
      <c r="BD244" s="912"/>
      <c r="BE244" s="912"/>
      <c r="BF244" s="912"/>
    </row>
    <row r="245" spans="2:58" hidden="1" outlineLevel="1">
      <c r="B245" s="918" t="s">
        <v>1292</v>
      </c>
      <c r="H245" s="911"/>
      <c r="I245" s="911"/>
      <c r="J245" s="911"/>
      <c r="K245" s="911"/>
      <c r="L245" s="911"/>
      <c r="M245" s="911"/>
      <c r="N245" s="911"/>
      <c r="O245" s="911"/>
      <c r="P245" s="911"/>
      <c r="Q245" s="911"/>
      <c r="R245" s="911"/>
      <c r="S245" s="911"/>
      <c r="T245" s="911"/>
      <c r="U245" s="911"/>
      <c r="V245" s="911"/>
      <c r="W245" s="911"/>
      <c r="X245" s="911"/>
      <c r="Y245" s="911"/>
      <c r="Z245" s="911"/>
      <c r="AA245" s="911"/>
      <c r="AB245" s="911"/>
      <c r="AC245" s="911"/>
      <c r="AD245" s="911"/>
      <c r="AE245" s="911"/>
      <c r="AF245" s="911"/>
      <c r="AG245" s="911"/>
      <c r="AH245" s="911"/>
      <c r="AI245" s="911"/>
      <c r="AS245" s="35" t="str">
        <f t="shared" si="353"/>
        <v xml:space="preserve">n/a </v>
      </c>
      <c r="AT245" s="35" t="str">
        <f t="shared" si="353"/>
        <v xml:space="preserve">n/a </v>
      </c>
      <c r="AU245" s="35">
        <f t="shared" si="353"/>
        <v>11.981481481481481</v>
      </c>
      <c r="AZ245" s="912"/>
      <c r="BA245" s="912"/>
      <c r="BB245" s="912"/>
      <c r="BC245" s="912"/>
      <c r="BD245" s="912"/>
      <c r="BE245" s="912"/>
      <c r="BF245" s="912"/>
    </row>
    <row r="246" spans="2:58" hidden="1" outlineLevel="1">
      <c r="B246" s="915" t="s">
        <v>1293</v>
      </c>
      <c r="H246" s="911"/>
      <c r="I246" s="911"/>
      <c r="J246" s="911"/>
      <c r="K246" s="911"/>
      <c r="L246" s="911"/>
      <c r="M246" s="911"/>
      <c r="N246" s="911"/>
      <c r="O246" s="911"/>
      <c r="P246" s="911"/>
      <c r="Q246" s="911"/>
      <c r="R246" s="911"/>
      <c r="S246" s="911"/>
      <c r="T246" s="911"/>
      <c r="U246" s="911"/>
      <c r="V246" s="911"/>
      <c r="W246" s="911"/>
      <c r="X246" s="911"/>
      <c r="Y246" s="911"/>
      <c r="Z246" s="911"/>
      <c r="AA246" s="911"/>
      <c r="AB246" s="911"/>
      <c r="AC246" s="911"/>
      <c r="AD246" s="911"/>
      <c r="AE246" s="911"/>
      <c r="AF246" s="911"/>
      <c r="AG246" s="911"/>
      <c r="AH246" s="911"/>
      <c r="AI246" s="911"/>
      <c r="AS246" s="35">
        <f t="shared" si="353"/>
        <v>-0.61683366733466927</v>
      </c>
      <c r="AT246" s="35">
        <f t="shared" si="353"/>
        <v>-1.0460251046025104E-2</v>
      </c>
      <c r="AU246" s="35">
        <f t="shared" si="353"/>
        <v>1.6310782241014801</v>
      </c>
      <c r="AZ246" s="912"/>
      <c r="BA246" s="912"/>
      <c r="BB246" s="912"/>
      <c r="BC246" s="912"/>
      <c r="BD246" s="912"/>
      <c r="BE246" s="912"/>
      <c r="BF246" s="912"/>
    </row>
    <row r="247" spans="2:58" hidden="1" outlineLevel="1">
      <c r="B247" s="915" t="s">
        <v>1294</v>
      </c>
      <c r="H247" s="911"/>
      <c r="I247" s="911"/>
      <c r="J247" s="911"/>
      <c r="K247" s="911"/>
      <c r="L247" s="911"/>
      <c r="M247" s="911"/>
      <c r="N247" s="911"/>
      <c r="O247" s="911"/>
      <c r="P247" s="911"/>
      <c r="Q247" s="911"/>
      <c r="R247" s="911"/>
      <c r="S247" s="911"/>
      <c r="T247" s="911"/>
      <c r="U247" s="911"/>
      <c r="V247" s="911"/>
      <c r="W247" s="911"/>
      <c r="X247" s="911"/>
      <c r="Y247" s="911"/>
      <c r="Z247" s="911"/>
      <c r="AA247" s="911"/>
      <c r="AB247" s="911"/>
      <c r="AC247" s="911"/>
      <c r="AD247" s="911"/>
      <c r="AE247" s="911"/>
      <c r="AF247" s="911"/>
      <c r="AG247" s="911"/>
      <c r="AH247" s="911"/>
      <c r="AI247" s="911"/>
      <c r="AS247" s="35">
        <f t="shared" si="353"/>
        <v>-2.3523523523523493E-2</v>
      </c>
      <c r="AT247" s="35">
        <f t="shared" si="353"/>
        <v>-0.2860071758072783</v>
      </c>
      <c r="AU247" s="35">
        <f t="shared" si="353"/>
        <v>0.45154343144292897</v>
      </c>
      <c r="AZ247" s="912"/>
      <c r="BA247" s="912"/>
      <c r="BB247" s="912"/>
      <c r="BC247" s="912"/>
      <c r="BD247" s="912"/>
      <c r="BE247" s="912"/>
      <c r="BF247" s="912"/>
    </row>
    <row r="248" spans="2:58" hidden="1" outlineLevel="1">
      <c r="B248" s="914" t="s">
        <v>1295</v>
      </c>
      <c r="H248" s="911"/>
      <c r="I248" s="911"/>
      <c r="J248" s="911"/>
      <c r="K248" s="911"/>
      <c r="L248" s="911"/>
      <c r="M248" s="911"/>
      <c r="N248" s="911"/>
      <c r="O248" s="911"/>
      <c r="P248" s="911"/>
      <c r="Q248" s="911"/>
      <c r="R248" s="911"/>
      <c r="S248" s="911"/>
      <c r="T248" s="911"/>
      <c r="U248" s="911"/>
      <c r="V248" s="911"/>
      <c r="W248" s="911"/>
      <c r="X248" s="911"/>
      <c r="Y248" s="911"/>
      <c r="Z248" s="911"/>
      <c r="AA248" s="911"/>
      <c r="AB248" s="911"/>
      <c r="AC248" s="911"/>
      <c r="AD248" s="911"/>
      <c r="AE248" s="911"/>
      <c r="AF248" s="911"/>
      <c r="AG248" s="911"/>
      <c r="AH248" s="911"/>
      <c r="AI248" s="911"/>
      <c r="AS248" s="35">
        <f t="shared" si="353"/>
        <v>-8.470988818846914E-2</v>
      </c>
      <c r="AT248" s="35">
        <f t="shared" si="353"/>
        <v>-5.7309471144179058E-3</v>
      </c>
      <c r="AU248" s="35">
        <f t="shared" si="353"/>
        <v>-7.0634037819799822E-2</v>
      </c>
      <c r="AZ248" s="912"/>
      <c r="BA248" s="912"/>
      <c r="BB248" s="912"/>
      <c r="BC248" s="912"/>
      <c r="BD248" s="912"/>
      <c r="BE248" s="912"/>
      <c r="BF248" s="912"/>
    </row>
    <row r="249" spans="2:58" hidden="1" outlineLevel="1">
      <c r="B249" s="915" t="s">
        <v>1296</v>
      </c>
      <c r="H249" s="911"/>
      <c r="I249" s="911"/>
      <c r="J249" s="911"/>
      <c r="K249" s="911"/>
      <c r="L249" s="911"/>
      <c r="M249" s="911"/>
      <c r="N249" s="911"/>
      <c r="O249" s="911"/>
      <c r="P249" s="911"/>
      <c r="Q249" s="911"/>
      <c r="R249" s="911"/>
      <c r="S249" s="911"/>
      <c r="T249" s="911"/>
      <c r="U249" s="911"/>
      <c r="V249" s="911"/>
      <c r="W249" s="911"/>
      <c r="X249" s="911"/>
      <c r="Y249" s="911"/>
      <c r="Z249" s="911"/>
      <c r="AA249" s="911"/>
      <c r="AB249" s="911"/>
      <c r="AC249" s="911"/>
      <c r="AD249" s="911"/>
      <c r="AE249" s="911"/>
      <c r="AF249" s="911"/>
      <c r="AG249" s="911"/>
      <c r="AH249" s="911"/>
      <c r="AI249" s="911"/>
      <c r="AS249" s="35">
        <f t="shared" si="353"/>
        <v>5.2723210399558962E-2</v>
      </c>
      <c r="AT249" s="35">
        <f t="shared" si="353"/>
        <v>6.4360529217199591E-2</v>
      </c>
      <c r="AU249" s="35">
        <f t="shared" si="353"/>
        <v>-2.0328887737925627E-2</v>
      </c>
      <c r="AZ249" s="912"/>
      <c r="BA249" s="912"/>
      <c r="BB249" s="912"/>
      <c r="BC249" s="912"/>
      <c r="BD249" s="912"/>
      <c r="BE249" s="912"/>
      <c r="BF249" s="912"/>
    </row>
    <row r="250" spans="2:58" hidden="1" outlineLevel="1">
      <c r="B250" s="915" t="s">
        <v>1297</v>
      </c>
      <c r="H250" s="911"/>
      <c r="I250" s="911"/>
      <c r="J250" s="911"/>
      <c r="K250" s="911"/>
      <c r="L250" s="911"/>
      <c r="M250" s="911"/>
      <c r="N250" s="911"/>
      <c r="O250" s="911"/>
      <c r="P250" s="911"/>
      <c r="Q250" s="911"/>
      <c r="R250" s="911"/>
      <c r="S250" s="911"/>
      <c r="T250" s="911"/>
      <c r="U250" s="911"/>
      <c r="V250" s="911"/>
      <c r="W250" s="911"/>
      <c r="X250" s="911"/>
      <c r="Y250" s="911"/>
      <c r="Z250" s="911"/>
      <c r="AA250" s="911"/>
      <c r="AB250" s="911"/>
      <c r="AC250" s="911"/>
      <c r="AD250" s="911"/>
      <c r="AE250" s="911"/>
      <c r="AF250" s="911"/>
      <c r="AG250" s="911"/>
      <c r="AH250" s="911"/>
      <c r="AI250" s="911"/>
      <c r="AS250" s="35">
        <f t="shared" si="353"/>
        <v>0.59240069084628666</v>
      </c>
      <c r="AT250" s="35">
        <f t="shared" si="353"/>
        <v>1.011930585683297</v>
      </c>
      <c r="AU250" s="35">
        <f t="shared" si="353"/>
        <v>1.2636118598382748</v>
      </c>
      <c r="AZ250" s="912"/>
      <c r="BA250" s="912"/>
      <c r="BB250" s="912"/>
      <c r="BC250" s="912"/>
      <c r="BD250" s="912"/>
      <c r="BE250" s="912"/>
      <c r="BF250" s="912"/>
    </row>
    <row r="251" spans="2:58" hidden="1" outlineLevel="1">
      <c r="B251" s="914" t="s">
        <v>1298</v>
      </c>
      <c r="H251" s="911"/>
      <c r="I251" s="911"/>
      <c r="J251" s="911"/>
      <c r="K251" s="911"/>
      <c r="L251" s="911"/>
      <c r="M251" s="911"/>
      <c r="N251" s="911"/>
      <c r="O251" s="911"/>
      <c r="P251" s="911"/>
      <c r="Q251" s="911"/>
      <c r="R251" s="911"/>
      <c r="S251" s="911"/>
      <c r="T251" s="911"/>
      <c r="U251" s="911"/>
      <c r="V251" s="911"/>
      <c r="W251" s="911"/>
      <c r="X251" s="911"/>
      <c r="Y251" s="911"/>
      <c r="Z251" s="911"/>
      <c r="AA251" s="911"/>
      <c r="AB251" s="911"/>
      <c r="AC251" s="911"/>
      <c r="AD251" s="911"/>
      <c r="AE251" s="911"/>
      <c r="AF251" s="911"/>
      <c r="AG251" s="911"/>
      <c r="AH251" s="911"/>
      <c r="AI251" s="911"/>
      <c r="AS251" s="35">
        <f t="shared" si="353"/>
        <v>6.1640317333485628E-2</v>
      </c>
      <c r="AT251" s="35">
        <f t="shared" si="353"/>
        <v>8.7844739530132721E-2</v>
      </c>
      <c r="AU251" s="35">
        <f t="shared" si="353"/>
        <v>3.8522362243637254E-2</v>
      </c>
      <c r="AZ251" s="912"/>
      <c r="BA251" s="912"/>
      <c r="BB251" s="912"/>
      <c r="BC251" s="912"/>
      <c r="BD251" s="912"/>
      <c r="BE251" s="912"/>
      <c r="BF251" s="912"/>
    </row>
    <row r="252" spans="2:58" hidden="1" outlineLevel="1">
      <c r="B252" s="914" t="s">
        <v>345</v>
      </c>
      <c r="H252" s="911"/>
      <c r="I252" s="911"/>
      <c r="J252" s="911"/>
      <c r="K252" s="911"/>
      <c r="L252" s="911"/>
      <c r="M252" s="911"/>
      <c r="N252" s="911"/>
      <c r="O252" s="911"/>
      <c r="P252" s="911"/>
      <c r="Q252" s="911"/>
      <c r="R252" s="911"/>
      <c r="S252" s="911"/>
      <c r="T252" s="911"/>
      <c r="U252" s="911"/>
      <c r="V252" s="911"/>
      <c r="W252" s="911"/>
      <c r="X252" s="911"/>
      <c r="Y252" s="911"/>
      <c r="Z252" s="911"/>
      <c r="AA252" s="911"/>
      <c r="AB252" s="911"/>
      <c r="AC252" s="911"/>
      <c r="AD252" s="911"/>
      <c r="AE252" s="911"/>
      <c r="AF252" s="911"/>
      <c r="AG252" s="911"/>
      <c r="AH252" s="911"/>
      <c r="AI252" s="911"/>
      <c r="AS252" s="35">
        <f t="shared" si="353"/>
        <v>-1.6357388316151202</v>
      </c>
      <c r="AT252" s="35">
        <f t="shared" si="353"/>
        <v>-2.3324324324324324</v>
      </c>
      <c r="AU252" s="35">
        <f t="shared" si="353"/>
        <v>-1.2677484787018256</v>
      </c>
      <c r="AZ252" s="912"/>
      <c r="BA252" s="912"/>
      <c r="BB252" s="912"/>
      <c r="BC252" s="912"/>
      <c r="BD252" s="912"/>
      <c r="BE252" s="912"/>
      <c r="BF252" s="912"/>
    </row>
    <row r="253" spans="2:58" hidden="1" outlineLevel="1">
      <c r="B253" s="916" t="s">
        <v>576</v>
      </c>
      <c r="H253" s="911"/>
      <c r="I253" s="911"/>
      <c r="J253" s="911"/>
      <c r="K253" s="911"/>
      <c r="L253" s="911"/>
      <c r="M253" s="911"/>
      <c r="N253" s="911"/>
      <c r="O253" s="911"/>
      <c r="P253" s="911"/>
      <c r="Q253" s="911"/>
      <c r="R253" s="911"/>
      <c r="S253" s="911"/>
      <c r="T253" s="911"/>
      <c r="U253" s="911"/>
      <c r="V253" s="911"/>
      <c r="W253" s="911"/>
      <c r="X253" s="911"/>
      <c r="Y253" s="911"/>
      <c r="Z253" s="911"/>
      <c r="AA253" s="911"/>
      <c r="AB253" s="911"/>
      <c r="AC253" s="911"/>
      <c r="AD253" s="911"/>
      <c r="AE253" s="911"/>
      <c r="AF253" s="911"/>
      <c r="AG253" s="911"/>
      <c r="AH253" s="911"/>
      <c r="AI253" s="911"/>
      <c r="AS253" s="35">
        <f t="shared" si="353"/>
        <v>2.2618475610841182E-2</v>
      </c>
      <c r="AT253" s="35">
        <f t="shared" si="353"/>
        <v>3.9868439370736475E-2</v>
      </c>
      <c r="AU253" s="35">
        <f t="shared" si="353"/>
        <v>1.3170445987783497E-2</v>
      </c>
      <c r="AZ253" s="912"/>
      <c r="BA253" s="912"/>
      <c r="BB253" s="912"/>
      <c r="BC253" s="912"/>
      <c r="BD253" s="912"/>
      <c r="BE253" s="912"/>
      <c r="BF253" s="912"/>
    </row>
    <row r="254" spans="2:58" hidden="1" outlineLevel="1">
      <c r="B254" s="916"/>
      <c r="H254" s="911"/>
      <c r="I254" s="911"/>
      <c r="J254" s="911"/>
      <c r="K254" s="911"/>
      <c r="L254" s="911"/>
      <c r="M254" s="911"/>
      <c r="N254" s="911"/>
      <c r="O254" s="911"/>
      <c r="P254" s="911"/>
      <c r="Q254" s="911"/>
      <c r="R254" s="911"/>
      <c r="S254" s="911"/>
      <c r="T254" s="911"/>
      <c r="U254" s="911"/>
      <c r="V254" s="911"/>
      <c r="W254" s="911"/>
      <c r="X254" s="911"/>
      <c r="Y254" s="911"/>
      <c r="Z254" s="911"/>
      <c r="AA254" s="911"/>
      <c r="AB254" s="911"/>
      <c r="AC254" s="911"/>
      <c r="AD254" s="911"/>
      <c r="AE254" s="911"/>
      <c r="AF254" s="911"/>
      <c r="AG254" s="911"/>
      <c r="AH254" s="911"/>
      <c r="AI254" s="911"/>
      <c r="AS254" s="35"/>
      <c r="AT254" s="35"/>
      <c r="AU254" s="35"/>
      <c r="AZ254" s="912"/>
      <c r="BA254" s="912"/>
      <c r="BB254" s="912"/>
      <c r="BC254" s="912"/>
      <c r="BD254" s="912"/>
      <c r="BE254" s="912"/>
      <c r="BF254" s="912"/>
    </row>
    <row r="255" spans="2:58" hidden="1" outlineLevel="1">
      <c r="B255" s="12" t="s">
        <v>1301</v>
      </c>
      <c r="H255" s="911"/>
      <c r="I255" s="911"/>
      <c r="J255" s="911"/>
      <c r="K255" s="911"/>
      <c r="L255" s="911"/>
      <c r="M255" s="911"/>
      <c r="N255" s="911"/>
      <c r="O255" s="911"/>
      <c r="P255" s="911"/>
      <c r="Q255" s="911"/>
      <c r="R255" s="911"/>
      <c r="S255" s="911"/>
      <c r="T255" s="911"/>
      <c r="U255" s="911"/>
      <c r="V255" s="911"/>
      <c r="W255" s="911"/>
      <c r="X255" s="911"/>
      <c r="Y255" s="911"/>
      <c r="Z255" s="911"/>
      <c r="AA255" s="911"/>
      <c r="AB255" s="911"/>
      <c r="AC255" s="911"/>
      <c r="AD255" s="911"/>
      <c r="AE255" s="911"/>
      <c r="AF255" s="911"/>
      <c r="AG255" s="911"/>
      <c r="AH255" s="911"/>
      <c r="AI255" s="911"/>
      <c r="AS255" s="35"/>
      <c r="AT255" s="35"/>
      <c r="AU255" s="35"/>
      <c r="AZ255" s="912"/>
      <c r="BA255" s="912"/>
      <c r="BB255" s="912"/>
      <c r="BC255" s="912"/>
      <c r="BD255" s="912"/>
      <c r="BE255" s="912"/>
      <c r="BF255" s="912"/>
    </row>
    <row r="256" spans="2:58" hidden="1" outlineLevel="1">
      <c r="B256" s="915" t="s">
        <v>1290</v>
      </c>
      <c r="H256" s="911"/>
      <c r="I256" s="911"/>
      <c r="J256" s="911"/>
      <c r="K256" s="911"/>
      <c r="L256" s="911"/>
      <c r="M256" s="911"/>
      <c r="N256" s="911"/>
      <c r="O256" s="911"/>
      <c r="P256" s="911"/>
      <c r="Q256" s="911"/>
      <c r="R256" s="911"/>
      <c r="S256" s="911"/>
      <c r="T256" s="911"/>
      <c r="U256" s="911"/>
      <c r="V256" s="911"/>
      <c r="W256" s="911"/>
      <c r="X256" s="911"/>
      <c r="Y256" s="911"/>
      <c r="Z256" s="911"/>
      <c r="AA256" s="911"/>
      <c r="AB256" s="911"/>
      <c r="AC256" s="911"/>
      <c r="AD256" s="911"/>
      <c r="AE256" s="911"/>
      <c r="AF256" s="911"/>
      <c r="AG256" s="911"/>
      <c r="AH256" s="911"/>
      <c r="AI256" s="911"/>
      <c r="AR256" s="35">
        <f>+IFERROR(AR230/AR204,"n/a ")</f>
        <v>0.88432931520902791</v>
      </c>
      <c r="AS256" s="35">
        <f t="shared" ref="AS256:AU256" si="354">+IFERROR(AS230/AS204,"n/a ")</f>
        <v>0.87429865650898231</v>
      </c>
      <c r="AT256" s="35">
        <f t="shared" si="354"/>
        <v>0.89302539942646453</v>
      </c>
      <c r="AU256" s="35">
        <f t="shared" si="354"/>
        <v>0.92658160197742001</v>
      </c>
      <c r="AZ256" s="912"/>
      <c r="BA256" s="912"/>
      <c r="BB256" s="912"/>
      <c r="BC256" s="912"/>
      <c r="BD256" s="912"/>
      <c r="BE256" s="912"/>
      <c r="BF256" s="912"/>
    </row>
    <row r="257" spans="2:58" hidden="1" outlineLevel="1">
      <c r="B257" s="918" t="s">
        <v>1291</v>
      </c>
      <c r="H257" s="911"/>
      <c r="I257" s="911"/>
      <c r="J257" s="911"/>
      <c r="K257" s="911"/>
      <c r="L257" s="911"/>
      <c r="M257" s="911"/>
      <c r="N257" s="911"/>
      <c r="O257" s="911"/>
      <c r="P257" s="911"/>
      <c r="Q257" s="911"/>
      <c r="R257" s="911"/>
      <c r="S257" s="911"/>
      <c r="T257" s="911"/>
      <c r="U257" s="911"/>
      <c r="V257" s="911"/>
      <c r="W257" s="911"/>
      <c r="X257" s="911"/>
      <c r="Y257" s="911"/>
      <c r="Z257" s="911"/>
      <c r="AA257" s="911"/>
      <c r="AB257" s="911"/>
      <c r="AC257" s="911"/>
      <c r="AD257" s="911"/>
      <c r="AE257" s="911"/>
      <c r="AF257" s="911"/>
      <c r="AG257" s="911"/>
      <c r="AH257" s="911"/>
      <c r="AI257" s="911"/>
      <c r="AR257" s="35">
        <f t="shared" ref="AR257:AU266" si="355">+IFERROR(AR231/AR205,"n/a ")</f>
        <v>0.37017804154302669</v>
      </c>
      <c r="AS257" s="35">
        <f t="shared" si="355"/>
        <v>0.15547243454220197</v>
      </c>
      <c r="AT257" s="35">
        <f t="shared" si="355"/>
        <v>9.809743758935445E-2</v>
      </c>
      <c r="AU257" s="35">
        <f t="shared" si="355"/>
        <v>0.17558676225081019</v>
      </c>
      <c r="AZ257" s="912"/>
      <c r="BA257" s="912"/>
      <c r="BB257" s="912"/>
      <c r="BC257" s="912"/>
      <c r="BD257" s="912"/>
      <c r="BE257" s="912"/>
      <c r="BF257" s="912"/>
    </row>
    <row r="258" spans="2:58" hidden="1" outlineLevel="1">
      <c r="B258" s="918" t="s">
        <v>1292</v>
      </c>
      <c r="H258" s="911"/>
      <c r="I258" s="911"/>
      <c r="J258" s="911"/>
      <c r="K258" s="911"/>
      <c r="L258" s="911"/>
      <c r="M258" s="911"/>
      <c r="N258" s="911"/>
      <c r="O258" s="911"/>
      <c r="P258" s="911"/>
      <c r="Q258" s="911"/>
      <c r="R258" s="911"/>
      <c r="S258" s="911"/>
      <c r="T258" s="911"/>
      <c r="U258" s="911"/>
      <c r="V258" s="911"/>
      <c r="W258" s="911"/>
      <c r="X258" s="911"/>
      <c r="Y258" s="911"/>
      <c r="Z258" s="911"/>
      <c r="AA258" s="911"/>
      <c r="AB258" s="911"/>
      <c r="AC258" s="911"/>
      <c r="AD258" s="911"/>
      <c r="AE258" s="911"/>
      <c r="AF258" s="911"/>
      <c r="AG258" s="911"/>
      <c r="AH258" s="911"/>
      <c r="AI258" s="911"/>
      <c r="AR258" s="35" t="str">
        <f t="shared" si="355"/>
        <v xml:space="preserve">n/a </v>
      </c>
      <c r="AS258" s="35" t="str">
        <f t="shared" si="355"/>
        <v xml:space="preserve">n/a </v>
      </c>
      <c r="AT258" s="35">
        <f t="shared" si="355"/>
        <v>2.7245206861755803E-2</v>
      </c>
      <c r="AU258" s="35">
        <f t="shared" si="355"/>
        <v>9.3168527379053692E-2</v>
      </c>
      <c r="AZ258" s="912"/>
      <c r="BA258" s="912"/>
      <c r="BB258" s="912"/>
      <c r="BC258" s="912"/>
      <c r="BD258" s="912"/>
      <c r="BE258" s="912"/>
      <c r="BF258" s="912"/>
    </row>
    <row r="259" spans="2:58" hidden="1" outlineLevel="1">
      <c r="B259" s="915" t="s">
        <v>1293</v>
      </c>
      <c r="H259" s="911"/>
      <c r="I259" s="911"/>
      <c r="J259" s="911"/>
      <c r="K259" s="911"/>
      <c r="L259" s="911"/>
      <c r="M259" s="911"/>
      <c r="N259" s="911"/>
      <c r="O259" s="911"/>
      <c r="P259" s="911"/>
      <c r="Q259" s="911"/>
      <c r="R259" s="911"/>
      <c r="S259" s="911"/>
      <c r="T259" s="911"/>
      <c r="U259" s="911"/>
      <c r="V259" s="911"/>
      <c r="W259" s="911"/>
      <c r="X259" s="911"/>
      <c r="Y259" s="911"/>
      <c r="Z259" s="911"/>
      <c r="AA259" s="911"/>
      <c r="AB259" s="911"/>
      <c r="AC259" s="911"/>
      <c r="AD259" s="911"/>
      <c r="AE259" s="911"/>
      <c r="AF259" s="911"/>
      <c r="AG259" s="911"/>
      <c r="AH259" s="911"/>
      <c r="AI259" s="911"/>
      <c r="AR259" s="35">
        <f t="shared" si="355"/>
        <v>0.37017804154302669</v>
      </c>
      <c r="AS259" s="35">
        <f t="shared" si="355"/>
        <v>0.15547243454220197</v>
      </c>
      <c r="AT259" s="35">
        <f t="shared" si="355"/>
        <v>8.54176072234763E-2</v>
      </c>
      <c r="AU259" s="35">
        <f t="shared" si="355"/>
        <v>0.14056587790139494</v>
      </c>
      <c r="AZ259" s="912"/>
      <c r="BA259" s="912"/>
      <c r="BB259" s="912"/>
      <c r="BC259" s="912"/>
      <c r="BD259" s="912"/>
      <c r="BE259" s="912"/>
      <c r="BF259" s="912"/>
    </row>
    <row r="260" spans="2:58" hidden="1" outlineLevel="1">
      <c r="B260" s="915" t="s">
        <v>1294</v>
      </c>
      <c r="H260" s="911"/>
      <c r="I260" s="911"/>
      <c r="J260" s="911"/>
      <c r="K260" s="911"/>
      <c r="L260" s="911"/>
      <c r="M260" s="911"/>
      <c r="N260" s="911"/>
      <c r="O260" s="911"/>
      <c r="P260" s="911"/>
      <c r="Q260" s="911"/>
      <c r="R260" s="911"/>
      <c r="S260" s="911"/>
      <c r="T260" s="911"/>
      <c r="U260" s="911"/>
      <c r="V260" s="911"/>
      <c r="W260" s="911"/>
      <c r="X260" s="911"/>
      <c r="Y260" s="911"/>
      <c r="Z260" s="911"/>
      <c r="AA260" s="911"/>
      <c r="AB260" s="911"/>
      <c r="AC260" s="911"/>
      <c r="AD260" s="911"/>
      <c r="AE260" s="911"/>
      <c r="AF260" s="911"/>
      <c r="AG260" s="911"/>
      <c r="AH260" s="911"/>
      <c r="AI260" s="911"/>
      <c r="AR260" s="35">
        <f t="shared" si="355"/>
        <v>0.32210220860873773</v>
      </c>
      <c r="AS260" s="35">
        <f t="shared" si="355"/>
        <v>0.30337428082724305</v>
      </c>
      <c r="AT260" s="35">
        <f t="shared" si="355"/>
        <v>0.19860279441117765</v>
      </c>
      <c r="AU260" s="35">
        <f t="shared" si="355"/>
        <v>0.22912181303116147</v>
      </c>
      <c r="AZ260" s="912"/>
      <c r="BA260" s="912"/>
      <c r="BB260" s="912"/>
      <c r="BC260" s="912"/>
      <c r="BD260" s="912"/>
      <c r="BE260" s="912"/>
      <c r="BF260" s="912"/>
    </row>
    <row r="261" spans="2:58" hidden="1" outlineLevel="1">
      <c r="B261" s="914" t="s">
        <v>1295</v>
      </c>
      <c r="H261" s="911"/>
      <c r="I261" s="911"/>
      <c r="J261" s="911"/>
      <c r="K261" s="911"/>
      <c r="L261" s="911"/>
      <c r="M261" s="911"/>
      <c r="N261" s="911"/>
      <c r="O261" s="911"/>
      <c r="P261" s="911"/>
      <c r="Q261" s="911"/>
      <c r="R261" s="911"/>
      <c r="S261" s="911"/>
      <c r="T261" s="911"/>
      <c r="U261" s="911"/>
      <c r="V261" s="911"/>
      <c r="W261" s="911"/>
      <c r="X261" s="911"/>
      <c r="Y261" s="911"/>
      <c r="Z261" s="911"/>
      <c r="AA261" s="911"/>
      <c r="AB261" s="911"/>
      <c r="AC261" s="911"/>
      <c r="AD261" s="911"/>
      <c r="AE261" s="911"/>
      <c r="AF261" s="911"/>
      <c r="AG261" s="911"/>
      <c r="AH261" s="911"/>
      <c r="AI261" s="911"/>
      <c r="AR261" s="35">
        <f t="shared" si="355"/>
        <v>0.66998581910105437</v>
      </c>
      <c r="AS261" s="35">
        <f t="shared" si="355"/>
        <v>0.6214890492704721</v>
      </c>
      <c r="AT261" s="35">
        <f t="shared" si="355"/>
        <v>0.52577292181726343</v>
      </c>
      <c r="AU261" s="35">
        <f t="shared" si="355"/>
        <v>0.442904990241199</v>
      </c>
      <c r="AZ261" s="912"/>
      <c r="BA261" s="912"/>
      <c r="BB261" s="912"/>
      <c r="BC261" s="912"/>
      <c r="BD261" s="912"/>
      <c r="BE261" s="912"/>
      <c r="BF261" s="912"/>
    </row>
    <row r="262" spans="2:58" hidden="1" outlineLevel="1">
      <c r="B262" s="915" t="s">
        <v>1296</v>
      </c>
      <c r="H262" s="911"/>
      <c r="I262" s="911"/>
      <c r="J262" s="911"/>
      <c r="K262" s="911"/>
      <c r="L262" s="911"/>
      <c r="M262" s="911"/>
      <c r="N262" s="911"/>
      <c r="O262" s="911"/>
      <c r="P262" s="911"/>
      <c r="Q262" s="911"/>
      <c r="R262" s="911"/>
      <c r="S262" s="911"/>
      <c r="T262" s="911"/>
      <c r="U262" s="911"/>
      <c r="V262" s="911"/>
      <c r="W262" s="911"/>
      <c r="X262" s="911"/>
      <c r="Y262" s="911"/>
      <c r="Z262" s="911"/>
      <c r="AA262" s="911"/>
      <c r="AB262" s="911"/>
      <c r="AC262" s="911"/>
      <c r="AD262" s="911"/>
      <c r="AE262" s="911"/>
      <c r="AF262" s="911"/>
      <c r="AG262" s="911"/>
      <c r="AH262" s="911"/>
      <c r="AI262" s="911"/>
      <c r="AR262" s="35">
        <f t="shared" si="355"/>
        <v>0.92827129235576145</v>
      </c>
      <c r="AS262" s="35">
        <f t="shared" si="355"/>
        <v>0.91206194378802352</v>
      </c>
      <c r="AT262" s="35">
        <f t="shared" si="355"/>
        <v>0.91754781988832124</v>
      </c>
      <c r="AU262" s="35">
        <f t="shared" si="355"/>
        <v>0.92180608689295551</v>
      </c>
      <c r="AZ262" s="912"/>
      <c r="BA262" s="912"/>
      <c r="BB262" s="912"/>
      <c r="BC262" s="912"/>
      <c r="BD262" s="912"/>
      <c r="BE262" s="912"/>
      <c r="BF262" s="912"/>
    </row>
    <row r="263" spans="2:58" hidden="1" outlineLevel="1">
      <c r="B263" s="915" t="s">
        <v>1297</v>
      </c>
      <c r="H263" s="911"/>
      <c r="I263" s="911"/>
      <c r="J263" s="911"/>
      <c r="K263" s="911"/>
      <c r="L263" s="911"/>
      <c r="M263" s="911"/>
      <c r="N263" s="911"/>
      <c r="O263" s="911"/>
      <c r="P263" s="911"/>
      <c r="Q263" s="911"/>
      <c r="R263" s="911"/>
      <c r="S263" s="911"/>
      <c r="T263" s="911"/>
      <c r="U263" s="911"/>
      <c r="V263" s="911"/>
      <c r="W263" s="911"/>
      <c r="X263" s="911"/>
      <c r="Y263" s="911"/>
      <c r="Z263" s="911"/>
      <c r="AA263" s="911"/>
      <c r="AB263" s="911"/>
      <c r="AC263" s="911"/>
      <c r="AD263" s="911"/>
      <c r="AE263" s="911"/>
      <c r="AF263" s="911"/>
      <c r="AG263" s="911"/>
      <c r="AH263" s="911"/>
      <c r="AI263" s="911"/>
      <c r="AR263" s="35">
        <f t="shared" si="355"/>
        <v>0.12467700258397933</v>
      </c>
      <c r="AS263" s="35">
        <f t="shared" si="355"/>
        <v>0.16286875110404522</v>
      </c>
      <c r="AT263" s="35">
        <f t="shared" si="355"/>
        <v>0.24582560296846012</v>
      </c>
      <c r="AU263" s="35">
        <f t="shared" si="355"/>
        <v>0.38750461424880028</v>
      </c>
      <c r="AZ263" s="912"/>
      <c r="BA263" s="912"/>
      <c r="BB263" s="912"/>
      <c r="BC263" s="912"/>
      <c r="BD263" s="912"/>
      <c r="BE263" s="912"/>
      <c r="BF263" s="912"/>
    </row>
    <row r="264" spans="2:58" hidden="1" outlineLevel="1">
      <c r="B264" s="914" t="s">
        <v>1298</v>
      </c>
      <c r="H264" s="911"/>
      <c r="I264" s="911"/>
      <c r="J264" s="911"/>
      <c r="K264" s="911"/>
      <c r="L264" s="911"/>
      <c r="M264" s="911"/>
      <c r="N264" s="911"/>
      <c r="O264" s="911"/>
      <c r="P264" s="911"/>
      <c r="Q264" s="911"/>
      <c r="R264" s="911"/>
      <c r="S264" s="911"/>
      <c r="T264" s="911"/>
      <c r="U264" s="911"/>
      <c r="V264" s="911"/>
      <c r="W264" s="911"/>
      <c r="X264" s="911"/>
      <c r="Y264" s="911"/>
      <c r="Z264" s="911"/>
      <c r="AA264" s="911"/>
      <c r="AB264" s="911"/>
      <c r="AC264" s="911"/>
      <c r="AD264" s="911"/>
      <c r="AE264" s="911"/>
      <c r="AF264" s="911"/>
      <c r="AG264" s="911"/>
      <c r="AH264" s="911"/>
      <c r="AI264" s="911"/>
      <c r="AR264" s="35">
        <f t="shared" si="355"/>
        <v>0.83892745989944939</v>
      </c>
      <c r="AS264" s="35">
        <f t="shared" si="355"/>
        <v>0.81872400360923436</v>
      </c>
      <c r="AT264" s="35">
        <f t="shared" si="355"/>
        <v>0.81541778324031355</v>
      </c>
      <c r="AU264" s="35">
        <f t="shared" si="355"/>
        <v>0.81019759036144579</v>
      </c>
      <c r="AZ264" s="912"/>
      <c r="BA264" s="912"/>
      <c r="BB264" s="912"/>
      <c r="BC264" s="912"/>
      <c r="BD264" s="912"/>
      <c r="BE264" s="912"/>
      <c r="BF264" s="912"/>
    </row>
    <row r="265" spans="2:58" hidden="1" outlineLevel="1">
      <c r="B265" s="914" t="s">
        <v>345</v>
      </c>
      <c r="H265" s="911"/>
      <c r="I265" s="911"/>
      <c r="J265" s="911"/>
      <c r="K265" s="911"/>
      <c r="L265" s="911"/>
      <c r="M265" s="911"/>
      <c r="N265" s="911"/>
      <c r="O265" s="911"/>
      <c r="P265" s="911"/>
      <c r="Q265" s="911"/>
      <c r="R265" s="911"/>
      <c r="S265" s="911"/>
      <c r="T265" s="911"/>
      <c r="U265" s="911"/>
      <c r="V265" s="911"/>
      <c r="W265" s="911"/>
      <c r="X265" s="911"/>
      <c r="Y265" s="911"/>
      <c r="Z265" s="911"/>
      <c r="AA265" s="911"/>
      <c r="AB265" s="911"/>
      <c r="AC265" s="911"/>
      <c r="AD265" s="911"/>
      <c r="AE265" s="911"/>
      <c r="AF265" s="911"/>
      <c r="AG265" s="911"/>
      <c r="AH265" s="911"/>
      <c r="AI265" s="911"/>
      <c r="AR265" s="35">
        <f t="shared" si="355"/>
        <v>1.2</v>
      </c>
      <c r="AS265" s="35">
        <f t="shared" si="355"/>
        <v>0.91811414392059554</v>
      </c>
      <c r="AT265" s="35">
        <f t="shared" si="355"/>
        <v>1.1879518072289157</v>
      </c>
      <c r="AU265" s="35">
        <f t="shared" si="355"/>
        <v>0.6470588235294118</v>
      </c>
      <c r="AZ265" s="912"/>
      <c r="BA265" s="912"/>
      <c r="BB265" s="912"/>
      <c r="BC265" s="912"/>
      <c r="BD265" s="912"/>
      <c r="BE265" s="912"/>
      <c r="BF265" s="912"/>
    </row>
    <row r="266" spans="2:58" hidden="1" outlineLevel="1">
      <c r="B266" s="916" t="s">
        <v>576</v>
      </c>
      <c r="H266" s="911"/>
      <c r="I266" s="911"/>
      <c r="J266" s="911"/>
      <c r="K266" s="911"/>
      <c r="L266" s="911"/>
      <c r="M266" s="911"/>
      <c r="N266" s="911"/>
      <c r="O266" s="911"/>
      <c r="P266" s="911"/>
      <c r="Q266" s="911"/>
      <c r="R266" s="911"/>
      <c r="S266" s="911"/>
      <c r="T266" s="911"/>
      <c r="U266" s="911"/>
      <c r="V266" s="911"/>
      <c r="W266" s="911"/>
      <c r="X266" s="911"/>
      <c r="Y266" s="911"/>
      <c r="Z266" s="911"/>
      <c r="AA266" s="911"/>
      <c r="AB266" s="911"/>
      <c r="AC266" s="911"/>
      <c r="AD266" s="911"/>
      <c r="AE266" s="911"/>
      <c r="AF266" s="911"/>
      <c r="AG266" s="911"/>
      <c r="AH266" s="911"/>
      <c r="AI266" s="911"/>
      <c r="AR266" s="35">
        <f t="shared" si="355"/>
        <v>0.76221803236439101</v>
      </c>
      <c r="AS266" s="35">
        <f t="shared" si="355"/>
        <v>0.73814692545825888</v>
      </c>
      <c r="AT266" s="35">
        <f t="shared" si="355"/>
        <v>0.68816003132449644</v>
      </c>
      <c r="AU266" s="35">
        <f t="shared" si="355"/>
        <v>0.64695447745244705</v>
      </c>
      <c r="AZ266" s="912"/>
      <c r="BA266" s="912"/>
      <c r="BB266" s="912"/>
      <c r="BC266" s="912"/>
      <c r="BD266" s="912"/>
      <c r="BE266" s="912"/>
      <c r="BF266" s="912"/>
    </row>
    <row r="267" spans="2:58" hidden="1" outlineLevel="1">
      <c r="B267" s="916"/>
      <c r="H267" s="911"/>
      <c r="I267" s="911"/>
      <c r="J267" s="911"/>
      <c r="K267" s="911"/>
      <c r="L267" s="911"/>
      <c r="M267" s="911"/>
      <c r="N267" s="911"/>
      <c r="O267" s="911"/>
      <c r="P267" s="911"/>
      <c r="Q267" s="911"/>
      <c r="R267" s="911"/>
      <c r="S267" s="911"/>
      <c r="T267" s="911"/>
      <c r="U267" s="911"/>
      <c r="V267" s="911"/>
      <c r="W267" s="911"/>
      <c r="X267" s="911"/>
      <c r="Y267" s="911"/>
      <c r="Z267" s="911"/>
      <c r="AA267" s="911"/>
      <c r="AB267" s="911"/>
      <c r="AC267" s="911"/>
      <c r="AD267" s="911"/>
      <c r="AE267" s="911"/>
      <c r="AF267" s="911"/>
      <c r="AG267" s="911"/>
      <c r="AH267" s="911"/>
      <c r="AI267" s="911"/>
      <c r="AS267" s="35"/>
      <c r="AT267" s="35"/>
      <c r="AU267" s="35"/>
      <c r="AZ267" s="912"/>
      <c r="BA267" s="912"/>
      <c r="BB267" s="912"/>
      <c r="BC267" s="912"/>
      <c r="BD267" s="912"/>
      <c r="BE267" s="912"/>
      <c r="BF267" s="912"/>
    </row>
    <row r="268" spans="2:58" hidden="1" outlineLevel="1">
      <c r="B268" t="s">
        <v>1302</v>
      </c>
      <c r="H268" s="911"/>
      <c r="I268" s="911"/>
      <c r="J268" s="911"/>
      <c r="K268" s="911"/>
      <c r="L268" s="911"/>
      <c r="M268" s="911"/>
      <c r="N268" s="911"/>
      <c r="O268" s="911"/>
      <c r="P268" s="911"/>
      <c r="Q268" s="911"/>
      <c r="R268" s="911"/>
      <c r="S268" s="911"/>
      <c r="T268" s="911"/>
      <c r="U268" s="911"/>
      <c r="V268" s="911"/>
      <c r="W268" s="911"/>
      <c r="X268" s="911"/>
      <c r="Y268" s="911"/>
      <c r="Z268" s="911"/>
      <c r="AA268" s="911"/>
      <c r="AB268" s="911"/>
      <c r="AC268" s="911"/>
      <c r="AD268" s="911"/>
      <c r="AE268" s="911"/>
      <c r="AF268" s="911"/>
      <c r="AG268" s="911"/>
      <c r="AH268" s="911"/>
      <c r="AI268" s="911"/>
      <c r="AZ268" s="912"/>
      <c r="BA268" s="912"/>
      <c r="BB268" s="912"/>
      <c r="BC268" s="912"/>
      <c r="BD268" s="912"/>
      <c r="BE268" s="912"/>
      <c r="BF268" s="912"/>
    </row>
    <row r="269" spans="2:58" hidden="1" outlineLevel="1">
      <c r="B269" s="916" t="s">
        <v>1295</v>
      </c>
      <c r="H269" s="911"/>
      <c r="I269" s="911"/>
      <c r="J269" s="911"/>
      <c r="K269" s="911"/>
      <c r="L269" s="911"/>
      <c r="M269" s="911"/>
      <c r="N269" s="911"/>
      <c r="O269" s="911"/>
      <c r="P269" s="911"/>
      <c r="Q269" s="911"/>
      <c r="R269" s="911"/>
      <c r="S269" s="911"/>
      <c r="T269" s="911"/>
      <c r="U269" s="911"/>
      <c r="V269" s="911"/>
      <c r="W269" s="911"/>
      <c r="X269" s="911"/>
      <c r="Y269" s="911"/>
      <c r="Z269" s="911"/>
      <c r="AA269" s="911"/>
      <c r="AB269" s="911"/>
      <c r="AC269" s="911"/>
      <c r="AD269" s="911"/>
      <c r="AE269" s="911"/>
      <c r="AF269" s="911"/>
      <c r="AG269" s="911"/>
      <c r="AH269" s="911"/>
      <c r="AI269" s="911"/>
      <c r="AR269" s="29">
        <v>6051</v>
      </c>
      <c r="AS269" s="29">
        <v>9267</v>
      </c>
      <c r="AT269" s="29">
        <v>8559</v>
      </c>
      <c r="AU269" s="29">
        <v>6876</v>
      </c>
      <c r="AZ269" s="912"/>
      <c r="BA269" s="912"/>
      <c r="BB269" s="912"/>
      <c r="BC269" s="912"/>
      <c r="BD269" s="912"/>
      <c r="BE269" s="912"/>
      <c r="BF269" s="912"/>
    </row>
    <row r="270" spans="2:58" hidden="1" outlineLevel="1">
      <c r="B270" s="916" t="s">
        <v>1298</v>
      </c>
      <c r="H270" s="911"/>
      <c r="I270" s="911"/>
      <c r="J270" s="911"/>
      <c r="K270" s="911"/>
      <c r="L270" s="911"/>
      <c r="M270" s="911"/>
      <c r="N270" s="911"/>
      <c r="O270" s="911"/>
      <c r="P270" s="911"/>
      <c r="Q270" s="911"/>
      <c r="R270" s="911"/>
      <c r="S270" s="911"/>
      <c r="T270" s="911"/>
      <c r="U270" s="911"/>
      <c r="V270" s="911"/>
      <c r="W270" s="911"/>
      <c r="X270" s="911"/>
      <c r="Y270" s="911"/>
      <c r="Z270" s="911"/>
      <c r="AA270" s="911"/>
      <c r="AB270" s="911"/>
      <c r="AC270" s="911"/>
      <c r="AD270" s="911"/>
      <c r="AE270" s="911"/>
      <c r="AF270" s="911"/>
      <c r="AG270" s="911"/>
      <c r="AH270" s="911"/>
      <c r="AI270" s="911"/>
      <c r="AR270" s="29">
        <v>19978</v>
      </c>
      <c r="AS270" s="29">
        <v>21152</v>
      </c>
      <c r="AT270" s="29">
        <v>23477</v>
      </c>
      <c r="AU270" s="29">
        <v>24852</v>
      </c>
      <c r="AZ270" s="912"/>
      <c r="BA270" s="912"/>
      <c r="BB270" s="912"/>
      <c r="BC270" s="912"/>
      <c r="BD270" s="912"/>
      <c r="BE270" s="912"/>
      <c r="BF270" s="912"/>
    </row>
    <row r="271" spans="2:58" ht="11.45" hidden="1" outlineLevel="1">
      <c r="B271" s="916" t="s">
        <v>345</v>
      </c>
      <c r="H271" s="911"/>
      <c r="I271" s="911"/>
      <c r="J271" s="911"/>
      <c r="K271" s="911"/>
      <c r="L271" s="911"/>
      <c r="M271" s="911"/>
      <c r="N271" s="911"/>
      <c r="O271" s="911"/>
      <c r="P271" s="911"/>
      <c r="Q271" s="911"/>
      <c r="R271" s="911"/>
      <c r="S271" s="911"/>
      <c r="T271" s="911"/>
      <c r="U271" s="911"/>
      <c r="V271" s="911"/>
      <c r="W271" s="911"/>
      <c r="X271" s="911"/>
      <c r="Y271" s="911"/>
      <c r="Z271" s="911"/>
      <c r="AA271" s="911"/>
      <c r="AB271" s="911"/>
      <c r="AC271" s="911"/>
      <c r="AD271" s="911"/>
      <c r="AE271" s="911"/>
      <c r="AF271" s="911"/>
      <c r="AG271" s="911"/>
      <c r="AH271" s="911"/>
      <c r="AI271" s="911"/>
      <c r="AR271" s="30">
        <v>-4266</v>
      </c>
      <c r="AS271" s="30">
        <v>-3655</v>
      </c>
      <c r="AT271" s="30">
        <v>-4277</v>
      </c>
      <c r="AU271" s="30">
        <v>-13567</v>
      </c>
      <c r="AZ271" s="912"/>
      <c r="BA271" s="912"/>
      <c r="BB271" s="912"/>
      <c r="BC271" s="912"/>
      <c r="BD271" s="912"/>
      <c r="BE271" s="912"/>
      <c r="BF271" s="912"/>
    </row>
    <row r="272" spans="2:58" hidden="1" outlineLevel="1">
      <c r="B272" s="917" t="s">
        <v>576</v>
      </c>
      <c r="H272" s="911"/>
      <c r="I272" s="911"/>
      <c r="J272" s="911"/>
      <c r="K272" s="911"/>
      <c r="L272" s="911"/>
      <c r="M272" s="911"/>
      <c r="N272" s="911"/>
      <c r="O272" s="911"/>
      <c r="P272" s="911"/>
      <c r="Q272" s="911"/>
      <c r="R272" s="911"/>
      <c r="S272" s="911"/>
      <c r="T272" s="911"/>
      <c r="U272" s="911"/>
      <c r="V272" s="911"/>
      <c r="W272" s="911"/>
      <c r="X272" s="911"/>
      <c r="Y272" s="911"/>
      <c r="Z272" s="911"/>
      <c r="AA272" s="911"/>
      <c r="AB272" s="911"/>
      <c r="AC272" s="911"/>
      <c r="AD272" s="911"/>
      <c r="AE272" s="911"/>
      <c r="AF272" s="911"/>
      <c r="AG272" s="911"/>
      <c r="AH272" s="911"/>
      <c r="AI272" s="911"/>
      <c r="AR272" s="8">
        <f>SUM(AR269:AR271)</f>
        <v>21763</v>
      </c>
      <c r="AS272" s="8">
        <f>SUM(AS269:AS271)</f>
        <v>26764</v>
      </c>
      <c r="AT272" s="8">
        <f>SUM(AT269:AT271)</f>
        <v>27759</v>
      </c>
      <c r="AU272" s="8">
        <f>SUM(AU269:AU271)</f>
        <v>18161</v>
      </c>
      <c r="AZ272" s="912"/>
      <c r="BA272" s="912"/>
      <c r="BB272" s="912"/>
      <c r="BC272" s="912"/>
      <c r="BD272" s="912"/>
      <c r="BE272" s="912"/>
      <c r="BF272" s="912"/>
    </row>
    <row r="273" spans="2:58" hidden="1" outlineLevel="1">
      <c r="B273" s="917"/>
      <c r="H273" s="911"/>
      <c r="I273" s="911"/>
      <c r="J273" s="911"/>
      <c r="K273" s="911"/>
      <c r="L273" s="911"/>
      <c r="M273" s="911"/>
      <c r="N273" s="911"/>
      <c r="O273" s="911"/>
      <c r="P273" s="911"/>
      <c r="Q273" s="911"/>
      <c r="R273" s="911"/>
      <c r="S273" s="911"/>
      <c r="T273" s="911"/>
      <c r="U273" s="911"/>
      <c r="V273" s="911"/>
      <c r="W273" s="911"/>
      <c r="X273" s="911"/>
      <c r="Y273" s="911"/>
      <c r="Z273" s="911"/>
      <c r="AA273" s="911"/>
      <c r="AB273" s="911"/>
      <c r="AC273" s="911"/>
      <c r="AD273" s="911"/>
      <c r="AE273" s="911"/>
      <c r="AF273" s="911"/>
      <c r="AG273" s="911"/>
      <c r="AH273" s="911"/>
      <c r="AI273" s="911"/>
      <c r="AR273" s="8"/>
      <c r="AS273" s="8"/>
      <c r="AT273" s="8"/>
      <c r="AU273" s="8"/>
      <c r="AZ273" s="912"/>
      <c r="BA273" s="912"/>
      <c r="BB273" s="912"/>
      <c r="BC273" s="912"/>
      <c r="BD273" s="912"/>
      <c r="BE273" s="912"/>
      <c r="BF273" s="912"/>
    </row>
    <row r="274" spans="2:58" hidden="1" outlineLevel="1">
      <c r="B274" s="12" t="s">
        <v>1299</v>
      </c>
      <c r="H274" s="911"/>
      <c r="I274" s="911"/>
      <c r="J274" s="911"/>
      <c r="K274" s="911"/>
      <c r="L274" s="911"/>
      <c r="M274" s="911"/>
      <c r="N274" s="911"/>
      <c r="O274" s="911"/>
      <c r="P274" s="911"/>
      <c r="Q274" s="911"/>
      <c r="R274" s="911"/>
      <c r="S274" s="911"/>
      <c r="T274" s="911"/>
      <c r="U274" s="911"/>
      <c r="V274" s="911"/>
      <c r="W274" s="911"/>
      <c r="X274" s="911"/>
      <c r="Y274" s="911"/>
      <c r="Z274" s="911"/>
      <c r="AA274" s="911"/>
      <c r="AB274" s="911"/>
      <c r="AC274" s="911"/>
      <c r="AD274" s="911"/>
      <c r="AE274" s="911"/>
      <c r="AF274" s="911"/>
      <c r="AG274" s="911"/>
      <c r="AH274" s="911"/>
      <c r="AI274" s="911"/>
      <c r="AR274" s="8"/>
      <c r="AS274" s="8"/>
      <c r="AT274" s="8"/>
      <c r="AU274" s="8"/>
      <c r="AZ274" s="912"/>
      <c r="BA274" s="912"/>
      <c r="BB274" s="912"/>
      <c r="BC274" s="912"/>
      <c r="BD274" s="912"/>
      <c r="BE274" s="912"/>
      <c r="BF274" s="912"/>
    </row>
    <row r="275" spans="2:58" hidden="1" outlineLevel="1">
      <c r="B275" s="914" t="s">
        <v>1295</v>
      </c>
      <c r="H275" s="911"/>
      <c r="I275" s="911"/>
      <c r="J275" s="911"/>
      <c r="K275" s="911"/>
      <c r="L275" s="911"/>
      <c r="M275" s="911"/>
      <c r="N275" s="911"/>
      <c r="O275" s="911"/>
      <c r="P275" s="911"/>
      <c r="Q275" s="911"/>
      <c r="R275" s="911"/>
      <c r="S275" s="911"/>
      <c r="T275" s="911"/>
      <c r="U275" s="911"/>
      <c r="V275" s="911"/>
      <c r="W275" s="911"/>
      <c r="X275" s="911"/>
      <c r="Y275" s="911"/>
      <c r="Z275" s="911"/>
      <c r="AA275" s="911"/>
      <c r="AB275" s="911"/>
      <c r="AC275" s="911"/>
      <c r="AD275" s="911"/>
      <c r="AE275" s="911"/>
      <c r="AF275" s="911"/>
      <c r="AG275" s="911"/>
      <c r="AH275" s="911"/>
      <c r="AI275" s="911"/>
      <c r="AR275" s="8"/>
      <c r="AS275" s="35">
        <f t="shared" ref="AS275:AU278" si="356">+IFERROR(AS269/AR269-1,"n/a ")</f>
        <v>0.53148239960337129</v>
      </c>
      <c r="AT275" s="35">
        <f t="shared" si="356"/>
        <v>-7.6400129491744906E-2</v>
      </c>
      <c r="AU275" s="35">
        <f t="shared" si="356"/>
        <v>-0.19663512092534174</v>
      </c>
      <c r="AZ275" s="912"/>
      <c r="BA275" s="912"/>
      <c r="BB275" s="912"/>
      <c r="BC275" s="912"/>
      <c r="BD275" s="912"/>
      <c r="BE275" s="912"/>
      <c r="BF275" s="912"/>
    </row>
    <row r="276" spans="2:58" hidden="1" outlineLevel="1">
      <c r="B276" s="914" t="s">
        <v>1298</v>
      </c>
      <c r="H276" s="911"/>
      <c r="I276" s="911"/>
      <c r="J276" s="911"/>
      <c r="K276" s="911"/>
      <c r="L276" s="911"/>
      <c r="M276" s="911"/>
      <c r="N276" s="911"/>
      <c r="O276" s="911"/>
      <c r="P276" s="911"/>
      <c r="Q276" s="911"/>
      <c r="R276" s="911"/>
      <c r="S276" s="911"/>
      <c r="T276" s="911"/>
      <c r="U276" s="911"/>
      <c r="V276" s="911"/>
      <c r="W276" s="911"/>
      <c r="X276" s="911"/>
      <c r="Y276" s="911"/>
      <c r="Z276" s="911"/>
      <c r="AA276" s="911"/>
      <c r="AB276" s="911"/>
      <c r="AC276" s="911"/>
      <c r="AD276" s="911"/>
      <c r="AE276" s="911"/>
      <c r="AF276" s="911"/>
      <c r="AG276" s="911"/>
      <c r="AH276" s="911"/>
      <c r="AI276" s="911"/>
      <c r="AR276" s="8"/>
      <c r="AS276" s="35">
        <f t="shared" si="356"/>
        <v>5.8764641105215842E-2</v>
      </c>
      <c r="AT276" s="35">
        <f t="shared" si="356"/>
        <v>0.10991868381240555</v>
      </c>
      <c r="AU276" s="35">
        <f t="shared" si="356"/>
        <v>5.8567960131192143E-2</v>
      </c>
      <c r="AZ276" s="912"/>
      <c r="BA276" s="912"/>
      <c r="BB276" s="912"/>
      <c r="BC276" s="912"/>
      <c r="BD276" s="912"/>
      <c r="BE276" s="912"/>
      <c r="BF276" s="912"/>
    </row>
    <row r="277" spans="2:58" hidden="1" outlineLevel="1">
      <c r="B277" s="914" t="s">
        <v>345</v>
      </c>
      <c r="H277" s="911"/>
      <c r="I277" s="911"/>
      <c r="J277" s="911"/>
      <c r="K277" s="911"/>
      <c r="L277" s="911"/>
      <c r="M277" s="911"/>
      <c r="N277" s="911"/>
      <c r="O277" s="911"/>
      <c r="P277" s="911"/>
      <c r="Q277" s="911"/>
      <c r="R277" s="911"/>
      <c r="S277" s="911"/>
      <c r="T277" s="911"/>
      <c r="U277" s="911"/>
      <c r="V277" s="911"/>
      <c r="W277" s="911"/>
      <c r="X277" s="911"/>
      <c r="Y277" s="911"/>
      <c r="Z277" s="911"/>
      <c r="AA277" s="911"/>
      <c r="AB277" s="911"/>
      <c r="AC277" s="911"/>
      <c r="AD277" s="911"/>
      <c r="AE277" s="911"/>
      <c r="AF277" s="911"/>
      <c r="AG277" s="911"/>
      <c r="AH277" s="911"/>
      <c r="AI277" s="911"/>
      <c r="AR277" s="8"/>
      <c r="AS277" s="35">
        <f t="shared" si="356"/>
        <v>-0.14322550398499767</v>
      </c>
      <c r="AT277" s="35">
        <f t="shared" si="356"/>
        <v>0.17017783857729141</v>
      </c>
      <c r="AU277" s="35">
        <f t="shared" si="356"/>
        <v>2.1720832359130231</v>
      </c>
      <c r="AZ277" s="912"/>
      <c r="BA277" s="912"/>
      <c r="BB277" s="912"/>
      <c r="BC277" s="912"/>
      <c r="BD277" s="912"/>
      <c r="BE277" s="912"/>
      <c r="BF277" s="912"/>
    </row>
    <row r="278" spans="2:58" hidden="1" outlineLevel="1">
      <c r="B278" s="916" t="s">
        <v>576</v>
      </c>
      <c r="H278" s="911"/>
      <c r="I278" s="911"/>
      <c r="J278" s="911"/>
      <c r="K278" s="911"/>
      <c r="L278" s="911"/>
      <c r="M278" s="911"/>
      <c r="N278" s="911"/>
      <c r="O278" s="911"/>
      <c r="P278" s="911"/>
      <c r="Q278" s="911"/>
      <c r="R278" s="911"/>
      <c r="S278" s="911"/>
      <c r="T278" s="911"/>
      <c r="U278" s="911"/>
      <c r="V278" s="911"/>
      <c r="W278" s="911"/>
      <c r="X278" s="911"/>
      <c r="Y278" s="911"/>
      <c r="Z278" s="911"/>
      <c r="AA278" s="911"/>
      <c r="AB278" s="911"/>
      <c r="AC278" s="911"/>
      <c r="AD278" s="911"/>
      <c r="AE278" s="911"/>
      <c r="AF278" s="911"/>
      <c r="AG278" s="911"/>
      <c r="AH278" s="911"/>
      <c r="AI278" s="911"/>
      <c r="AR278" s="8"/>
      <c r="AS278" s="35">
        <f t="shared" si="356"/>
        <v>0.22979368653218768</v>
      </c>
      <c r="AT278" s="35">
        <f t="shared" si="356"/>
        <v>3.7176804662980123E-2</v>
      </c>
      <c r="AU278" s="35">
        <f t="shared" si="356"/>
        <v>-0.34576173493281459</v>
      </c>
      <c r="AZ278" s="912"/>
      <c r="BA278" s="912"/>
      <c r="BB278" s="912"/>
      <c r="BC278" s="912"/>
      <c r="BD278" s="912"/>
      <c r="BE278" s="912"/>
      <c r="BF278" s="912"/>
    </row>
    <row r="279" spans="2:58" hidden="1" outlineLevel="1">
      <c r="B279" s="917"/>
      <c r="H279" s="911"/>
      <c r="I279" s="911"/>
      <c r="J279" s="911"/>
      <c r="K279" s="911"/>
      <c r="L279" s="911"/>
      <c r="M279" s="911"/>
      <c r="N279" s="911"/>
      <c r="O279" s="911"/>
      <c r="P279" s="911"/>
      <c r="Q279" s="911"/>
      <c r="R279" s="911"/>
      <c r="S279" s="911"/>
      <c r="T279" s="911"/>
      <c r="U279" s="911"/>
      <c r="V279" s="911"/>
      <c r="W279" s="911"/>
      <c r="X279" s="911"/>
      <c r="Y279" s="911"/>
      <c r="Z279" s="911"/>
      <c r="AA279" s="911"/>
      <c r="AB279" s="911"/>
      <c r="AC279" s="911"/>
      <c r="AD279" s="911"/>
      <c r="AE279" s="911"/>
      <c r="AF279" s="911"/>
      <c r="AG279" s="911"/>
      <c r="AH279" s="911"/>
      <c r="AI279" s="911"/>
      <c r="AR279" s="8"/>
      <c r="AS279" s="8"/>
      <c r="AT279" s="8"/>
      <c r="AU279" s="8"/>
      <c r="AZ279" s="912"/>
      <c r="BA279" s="912"/>
      <c r="BB279" s="912"/>
      <c r="BC279" s="912"/>
      <c r="BD279" s="912"/>
      <c r="BE279" s="912"/>
      <c r="BF279" s="912"/>
    </row>
    <row r="280" spans="2:58" hidden="1" outlineLevel="1">
      <c r="B280" s="12" t="s">
        <v>1301</v>
      </c>
      <c r="H280" s="911"/>
      <c r="I280" s="911"/>
      <c r="J280" s="911"/>
      <c r="K280" s="911"/>
      <c r="L280" s="911"/>
      <c r="M280" s="911"/>
      <c r="N280" s="911"/>
      <c r="O280" s="911"/>
      <c r="P280" s="911"/>
      <c r="Q280" s="911"/>
      <c r="R280" s="911"/>
      <c r="S280" s="911"/>
      <c r="T280" s="911"/>
      <c r="U280" s="911"/>
      <c r="V280" s="911"/>
      <c r="W280" s="911"/>
      <c r="X280" s="911"/>
      <c r="Y280" s="911"/>
      <c r="Z280" s="911"/>
      <c r="AA280" s="911"/>
      <c r="AB280" s="911"/>
      <c r="AC280" s="911"/>
      <c r="AD280" s="911"/>
      <c r="AE280" s="911"/>
      <c r="AF280" s="911"/>
      <c r="AG280" s="911"/>
      <c r="AH280" s="911"/>
      <c r="AI280" s="911"/>
      <c r="AR280" s="8"/>
      <c r="AS280" s="8"/>
      <c r="AT280" s="8"/>
      <c r="AU280" s="8"/>
      <c r="AZ280" s="912"/>
      <c r="BA280" s="912"/>
      <c r="BB280" s="912"/>
      <c r="BC280" s="912"/>
      <c r="BD280" s="912"/>
      <c r="BE280" s="912"/>
      <c r="BF280" s="912"/>
    </row>
    <row r="281" spans="2:58" hidden="1" outlineLevel="1">
      <c r="B281" s="914" t="s">
        <v>1295</v>
      </c>
      <c r="H281" s="911"/>
      <c r="I281" s="911"/>
      <c r="J281" s="911"/>
      <c r="K281" s="911"/>
      <c r="L281" s="911"/>
      <c r="M281" s="911"/>
      <c r="N281" s="911"/>
      <c r="O281" s="911"/>
      <c r="P281" s="911"/>
      <c r="Q281" s="911"/>
      <c r="R281" s="911"/>
      <c r="S281" s="911"/>
      <c r="T281" s="911"/>
      <c r="U281" s="911"/>
      <c r="V281" s="911"/>
      <c r="W281" s="911"/>
      <c r="X281" s="911"/>
      <c r="Y281" s="911"/>
      <c r="Z281" s="911"/>
      <c r="AA281" s="911"/>
      <c r="AB281" s="911"/>
      <c r="AC281" s="911"/>
      <c r="AD281" s="911"/>
      <c r="AE281" s="911"/>
      <c r="AF281" s="911"/>
      <c r="AG281" s="911"/>
      <c r="AH281" s="911"/>
      <c r="AI281" s="911"/>
      <c r="AR281" s="35">
        <f>+IFERROR(AR269/AR209,"n/a ")</f>
        <v>0.18654047721807757</v>
      </c>
      <c r="AS281" s="35">
        <f>+IFERROR(AS269/AS209,"n/a ")</f>
        <v>0.28953041522167028</v>
      </c>
      <c r="AT281" s="35">
        <f>+IFERROR(AT269/AT209,"n/a ")</f>
        <v>0.22753010606906451</v>
      </c>
      <c r="AU281" s="35">
        <f>+IFERROR(AU269/AU209,"n/a ")</f>
        <v>0.16568275463241849</v>
      </c>
      <c r="AZ281" s="912"/>
      <c r="BA281" s="912"/>
      <c r="BB281" s="912"/>
      <c r="BC281" s="912"/>
      <c r="BD281" s="912"/>
      <c r="BE281" s="912"/>
      <c r="BF281" s="912"/>
    </row>
    <row r="282" spans="2:58" hidden="1" outlineLevel="1">
      <c r="B282" s="914" t="s">
        <v>1298</v>
      </c>
      <c r="H282" s="911"/>
      <c r="I282" s="911"/>
      <c r="J282" s="911"/>
      <c r="K282" s="911"/>
      <c r="L282" s="911"/>
      <c r="M282" s="911"/>
      <c r="N282" s="911"/>
      <c r="O282" s="911"/>
      <c r="P282" s="911"/>
      <c r="Q282" s="911"/>
      <c r="R282" s="911"/>
      <c r="S282" s="911"/>
      <c r="T282" s="911"/>
      <c r="U282" s="911"/>
      <c r="V282" s="911"/>
      <c r="W282" s="911"/>
      <c r="X282" s="911"/>
      <c r="Y282" s="911"/>
      <c r="Z282" s="911"/>
      <c r="AA282" s="911"/>
      <c r="AB282" s="911"/>
      <c r="AC282" s="911"/>
      <c r="AD282" s="911"/>
      <c r="AE282" s="911"/>
      <c r="AF282" s="911"/>
      <c r="AG282" s="911"/>
      <c r="AH282" s="911"/>
      <c r="AI282" s="911"/>
      <c r="AR282" s="35">
        <f>+IFERROR(AR270/AR212,"n/a ")</f>
        <v>0.47828585108929855</v>
      </c>
      <c r="AS282" s="35">
        <f>+IFERROR(AS270/AS212,"n/a ")</f>
        <v>0.46550320209511653</v>
      </c>
      <c r="AT282" s="35">
        <f>+IFERROR(AT270/AT212,"n/a ")</f>
        <v>0.4730309685478834</v>
      </c>
      <c r="AU282" s="35">
        <f>+IFERROR(AU270/AU212,"n/a ")</f>
        <v>0.47907469879518072</v>
      </c>
      <c r="AZ282" s="912"/>
      <c r="BA282" s="912"/>
      <c r="BB282" s="912"/>
      <c r="BC282" s="912"/>
      <c r="BD282" s="912"/>
      <c r="BE282" s="912"/>
      <c r="BF282" s="912"/>
    </row>
    <row r="283" spans="2:58" hidden="1" outlineLevel="1">
      <c r="B283" s="914" t="s">
        <v>1303</v>
      </c>
      <c r="H283" s="911"/>
      <c r="I283" s="911"/>
      <c r="J283" s="911"/>
      <c r="K283" s="911"/>
      <c r="L283" s="911"/>
      <c r="M283" s="911"/>
      <c r="N283" s="911"/>
      <c r="O283" s="911"/>
      <c r="P283" s="911"/>
      <c r="Q283" s="911"/>
      <c r="R283" s="911"/>
      <c r="S283" s="911"/>
      <c r="T283" s="911"/>
      <c r="U283" s="911"/>
      <c r="V283" s="911"/>
      <c r="W283" s="911"/>
      <c r="X283" s="911"/>
      <c r="Y283" s="911"/>
      <c r="Z283" s="911"/>
      <c r="AA283" s="911"/>
      <c r="AB283" s="911"/>
      <c r="AC283" s="911"/>
      <c r="AD283" s="911"/>
      <c r="AE283" s="911"/>
      <c r="AF283" s="911"/>
      <c r="AG283" s="911"/>
      <c r="AH283" s="911"/>
      <c r="AI283" s="911"/>
      <c r="AR283" s="35">
        <f>+IFERROR(AR271/AR214,"n/a ")</f>
        <v>-5.7865252363577174E-2</v>
      </c>
      <c r="AS283" s="35">
        <f>+IFERROR(AS271/AS214,"n/a ")</f>
        <v>-4.694986448123932E-2</v>
      </c>
      <c r="AT283" s="35">
        <f>+IFERROR(AT271/AT214,"n/a ")</f>
        <v>-4.9255467391429525E-2</v>
      </c>
      <c r="AU283" s="35">
        <f>+IFERROR(AU271/AU214,"n/a ")</f>
        <v>-0.14497755930754436</v>
      </c>
      <c r="AZ283" s="912"/>
      <c r="BA283" s="912"/>
      <c r="BB283" s="912"/>
      <c r="BC283" s="912"/>
      <c r="BD283" s="912"/>
      <c r="BE283" s="912"/>
      <c r="BF283" s="912"/>
    </row>
    <row r="284" spans="2:58" hidden="1" outlineLevel="1">
      <c r="B284" s="916" t="s">
        <v>576</v>
      </c>
      <c r="H284" s="911"/>
      <c r="I284" s="911"/>
      <c r="J284" s="911"/>
      <c r="K284" s="911"/>
      <c r="L284" s="911"/>
      <c r="M284" s="911"/>
      <c r="N284" s="911"/>
      <c r="O284" s="911"/>
      <c r="P284" s="911"/>
      <c r="Q284" s="911"/>
      <c r="R284" s="911"/>
      <c r="S284" s="911"/>
      <c r="T284" s="911"/>
      <c r="U284" s="911"/>
      <c r="V284" s="911"/>
      <c r="W284" s="911"/>
      <c r="X284" s="911"/>
      <c r="Y284" s="911"/>
      <c r="Z284" s="911"/>
      <c r="AA284" s="911"/>
      <c r="AB284" s="911"/>
      <c r="AC284" s="911"/>
      <c r="AD284" s="911"/>
      <c r="AE284" s="911"/>
      <c r="AF284" s="911"/>
      <c r="AG284" s="911"/>
      <c r="AH284" s="911"/>
      <c r="AI284" s="911"/>
      <c r="AR284" s="35">
        <f>+IFERROR(AR272/AR214,"n/a ")</f>
        <v>0.29519959849707689</v>
      </c>
      <c r="AS284" s="35">
        <f>+IFERROR(AS272/AS214,"n/a ")</f>
        <v>0.34379375457616668</v>
      </c>
      <c r="AT284" s="35">
        <f>+IFERROR(AT272/AT214,"n/a ")</f>
        <v>0.31968260914629232</v>
      </c>
      <c r="AU284" s="35">
        <f>+IFERROR(AU272/AU214,"n/a ")</f>
        <v>0.19406924556529173</v>
      </c>
      <c r="AZ284" s="912"/>
      <c r="BA284" s="912"/>
      <c r="BB284" s="912"/>
      <c r="BC284" s="912"/>
      <c r="BD284" s="912"/>
      <c r="BE284" s="912"/>
      <c r="BF284" s="912"/>
    </row>
    <row r="285" spans="2:58" hidden="1" outlineLevel="1"/>
    <row r="286" spans="2:58" ht="10.5" collapsed="1">
      <c r="B286" s="5" t="s">
        <v>1304</v>
      </c>
      <c r="C286" s="4"/>
    </row>
    <row r="287" spans="2:58" ht="10.5">
      <c r="B287" s="910"/>
    </row>
    <row r="288" spans="2:58" ht="10.5">
      <c r="B288" s="910" t="s">
        <v>86</v>
      </c>
      <c r="W288" s="919"/>
    </row>
    <row r="289" spans="2:62">
      <c r="B289" t="s">
        <v>525</v>
      </c>
      <c r="H289" s="879">
        <v>5982</v>
      </c>
      <c r="I289" s="879">
        <v>6439</v>
      </c>
      <c r="J289" s="879">
        <v>6234</v>
      </c>
      <c r="K289" s="8">
        <f t="shared" ref="K289:K297" si="357">+AZ289-SUM(H289:J289)</f>
        <v>6918</v>
      </c>
      <c r="L289" s="879">
        <v>6575</v>
      </c>
      <c r="M289" s="879">
        <v>7075</v>
      </c>
      <c r="N289" s="879">
        <v>7088</v>
      </c>
      <c r="O289" s="8">
        <f t="shared" ref="O289:O297" si="358">+BA289-SUM(L289:N289)</f>
        <v>7578</v>
      </c>
      <c r="P289" s="879">
        <v>7622</v>
      </c>
      <c r="Q289" s="879">
        <v>7747</v>
      </c>
      <c r="R289" s="879">
        <v>7889</v>
      </c>
      <c r="S289" s="8">
        <f t="shared" ref="S289:S297" si="359">+BB289-SUM(P289:R289)</f>
        <v>8511</v>
      </c>
      <c r="T289" s="879">
        <v>8466</v>
      </c>
      <c r="U289" s="879">
        <v>8983</v>
      </c>
      <c r="V289" s="879">
        <v>8920</v>
      </c>
      <c r="W289" s="880">
        <f t="shared" ref="W289:W297" si="360">+BC289-SUM(T289:V289)</f>
        <v>8947</v>
      </c>
      <c r="X289" s="879">
        <v>9278</v>
      </c>
      <c r="Y289" s="879">
        <v>9881</v>
      </c>
      <c r="Z289" s="879">
        <v>10016</v>
      </c>
      <c r="AA289" s="880">
        <f>+BD289-SUM(X289:Z289)</f>
        <v>10697</v>
      </c>
      <c r="AB289" s="879">
        <f>22059-AC289</f>
        <v>10808</v>
      </c>
      <c r="AC289" s="879">
        <v>11251</v>
      </c>
      <c r="AD289" s="879">
        <v>11164</v>
      </c>
      <c r="AE289" s="880">
        <f>BE289-SUM(AB289:AD289)</f>
        <v>11639</v>
      </c>
      <c r="AF289" s="879">
        <v>11548</v>
      </c>
      <c r="AG289" s="8"/>
      <c r="AH289" s="8"/>
      <c r="AI289" s="8"/>
      <c r="AN289" s="879">
        <v>18083</v>
      </c>
      <c r="AO289" s="879">
        <v>17998</v>
      </c>
      <c r="AP289" s="879">
        <v>17754</v>
      </c>
      <c r="AQ289" s="879">
        <v>20730</v>
      </c>
      <c r="AR289" s="879">
        <v>22299</v>
      </c>
      <c r="AS289" s="879">
        <v>22995</v>
      </c>
      <c r="AT289" s="879">
        <v>24323</v>
      </c>
      <c r="AU289" s="879">
        <v>23538</v>
      </c>
      <c r="AV289" s="879">
        <v>23588</v>
      </c>
      <c r="AW289" s="879">
        <v>25389</v>
      </c>
      <c r="AX289" s="879"/>
      <c r="AY289" s="879">
        <v>23868</v>
      </c>
      <c r="AZ289" s="879">
        <v>25573</v>
      </c>
      <c r="BA289" s="879">
        <v>28316</v>
      </c>
      <c r="BB289" s="879">
        <v>31769</v>
      </c>
      <c r="BC289" s="879">
        <v>35316</v>
      </c>
      <c r="BD289" s="879">
        <v>39872</v>
      </c>
      <c r="BE289" s="879">
        <v>44862</v>
      </c>
      <c r="BF289" s="879"/>
    </row>
    <row r="290" spans="2:62">
      <c r="B290" t="s">
        <v>515</v>
      </c>
      <c r="H290" s="879">
        <v>4689</v>
      </c>
      <c r="I290" s="879">
        <v>5332</v>
      </c>
      <c r="J290" s="879">
        <v>5297</v>
      </c>
      <c r="K290" s="8">
        <f t="shared" si="357"/>
        <v>6331</v>
      </c>
      <c r="L290" s="879">
        <v>5496</v>
      </c>
      <c r="M290" s="879">
        <v>6299</v>
      </c>
      <c r="N290" s="879">
        <v>6343</v>
      </c>
      <c r="O290" s="8">
        <f t="shared" si="358"/>
        <v>7991</v>
      </c>
      <c r="P290" s="879">
        <v>7058</v>
      </c>
      <c r="Q290" s="879">
        <v>7791</v>
      </c>
      <c r="R290" s="879">
        <v>8053</v>
      </c>
      <c r="S290" s="8">
        <f t="shared" si="359"/>
        <v>9720</v>
      </c>
      <c r="T290" s="879">
        <v>9192</v>
      </c>
      <c r="U290" s="879">
        <v>10119</v>
      </c>
      <c r="V290" s="879">
        <v>10490</v>
      </c>
      <c r="W290" s="880">
        <f t="shared" si="360"/>
        <v>11578</v>
      </c>
      <c r="X290" s="879">
        <v>11195</v>
      </c>
      <c r="Y290" s="879">
        <v>12729</v>
      </c>
      <c r="Z290" s="879">
        <v>13204</v>
      </c>
      <c r="AA290" s="880">
        <f t="shared" ref="AA290:AA297" si="361">+BD290-SUM(X290:Z290)</f>
        <v>15461</v>
      </c>
      <c r="AB290" s="879">
        <f>31444-AC290</f>
        <v>15069</v>
      </c>
      <c r="AC290" s="879">
        <v>16375</v>
      </c>
      <c r="AD290" s="879">
        <v>17038</v>
      </c>
      <c r="AE290" s="880">
        <f t="shared" ref="AE290:AE297" si="362">BE290-SUM(AB290:AD290)</f>
        <v>18839</v>
      </c>
      <c r="AF290" s="879">
        <v>18388</v>
      </c>
      <c r="AG290" s="8"/>
      <c r="AH290" s="8"/>
      <c r="AI290" s="8"/>
      <c r="AN290" s="879">
        <v>10611</v>
      </c>
      <c r="AO290" s="879">
        <v>11344</v>
      </c>
      <c r="AP290" s="879">
        <v>12007</v>
      </c>
      <c r="AQ290" s="879">
        <v>13251</v>
      </c>
      <c r="AR290" s="879">
        <v>14232</v>
      </c>
      <c r="AS290" s="879">
        <v>15408</v>
      </c>
      <c r="AT290" s="879">
        <v>17055</v>
      </c>
      <c r="AU290" s="879">
        <v>18612</v>
      </c>
      <c r="AV290" s="879">
        <v>19177</v>
      </c>
      <c r="AW290" s="879">
        <v>21758</v>
      </c>
      <c r="AX290" s="879"/>
      <c r="AY290" s="879">
        <v>19062</v>
      </c>
      <c r="AZ290" s="879">
        <v>21649</v>
      </c>
      <c r="BA290" s="879">
        <v>26129</v>
      </c>
      <c r="BB290" s="879">
        <v>32622</v>
      </c>
      <c r="BC290" s="879">
        <v>41379</v>
      </c>
      <c r="BD290" s="879">
        <v>52589</v>
      </c>
      <c r="BE290" s="879">
        <v>67321</v>
      </c>
      <c r="BF290" s="879"/>
    </row>
    <row r="291" spans="2:62">
      <c r="B291" t="s">
        <v>494</v>
      </c>
      <c r="H291" s="879">
        <v>1885</v>
      </c>
      <c r="I291" s="879">
        <v>3617</v>
      </c>
      <c r="J291" s="879">
        <v>1906</v>
      </c>
      <c r="K291" s="8">
        <f t="shared" si="357"/>
        <v>1643</v>
      </c>
      <c r="L291" s="879">
        <v>1896</v>
      </c>
      <c r="M291" s="879">
        <v>3920</v>
      </c>
      <c r="N291" s="879">
        <v>2251</v>
      </c>
      <c r="O291" s="8">
        <f t="shared" si="358"/>
        <v>2286</v>
      </c>
      <c r="P291" s="879">
        <v>2738</v>
      </c>
      <c r="Q291" s="879">
        <v>4232</v>
      </c>
      <c r="R291" s="879">
        <v>2363</v>
      </c>
      <c r="S291" s="8">
        <f t="shared" si="359"/>
        <v>2053</v>
      </c>
      <c r="T291" s="879">
        <v>2542</v>
      </c>
      <c r="U291" s="879">
        <v>3327</v>
      </c>
      <c r="V291" s="879">
        <v>2349</v>
      </c>
      <c r="W291" s="880">
        <f t="shared" si="360"/>
        <v>3357</v>
      </c>
      <c r="X291" s="879">
        <v>3092</v>
      </c>
      <c r="Y291" s="879">
        <v>5031</v>
      </c>
      <c r="Z291" s="879">
        <v>3533</v>
      </c>
      <c r="AA291" s="880">
        <f t="shared" si="361"/>
        <v>3714</v>
      </c>
      <c r="AB291" s="879">
        <f>9035-AC291</f>
        <v>3593</v>
      </c>
      <c r="AC291" s="879">
        <v>5442</v>
      </c>
      <c r="AD291" s="879">
        <v>3740</v>
      </c>
      <c r="AE291" s="880">
        <f t="shared" si="362"/>
        <v>3455</v>
      </c>
      <c r="AF291" s="879">
        <v>3610</v>
      </c>
      <c r="AG291" s="8"/>
      <c r="AH291" s="8"/>
      <c r="AI291" s="8"/>
      <c r="AN291" s="879">
        <v>5598</v>
      </c>
      <c r="AO291" s="879">
        <v>5475</v>
      </c>
      <c r="AP291" s="879">
        <v>5456</v>
      </c>
      <c r="AQ291" s="879">
        <v>8103</v>
      </c>
      <c r="AR291" s="879">
        <v>8045</v>
      </c>
      <c r="AS291" s="879">
        <v>7100</v>
      </c>
      <c r="AT291" s="879">
        <v>8643</v>
      </c>
      <c r="AU291" s="879">
        <v>9121</v>
      </c>
      <c r="AV291" s="879">
        <v>9395</v>
      </c>
      <c r="AW291" s="879">
        <v>9256</v>
      </c>
      <c r="AX291" s="879"/>
      <c r="AY291" s="879">
        <v>9202</v>
      </c>
      <c r="AZ291" s="879">
        <v>9051</v>
      </c>
      <c r="BA291" s="879">
        <v>10353</v>
      </c>
      <c r="BB291" s="879">
        <v>11386</v>
      </c>
      <c r="BC291" s="879">
        <v>11575</v>
      </c>
      <c r="BD291" s="879">
        <v>15370</v>
      </c>
      <c r="BE291" s="879">
        <v>16230</v>
      </c>
      <c r="BF291" s="879"/>
    </row>
    <row r="292" spans="2:62">
      <c r="B292" t="s">
        <v>460</v>
      </c>
      <c r="H292" s="879">
        <v>4643</v>
      </c>
      <c r="I292" s="879">
        <v>4805</v>
      </c>
      <c r="J292" s="879">
        <v>4253</v>
      </c>
      <c r="K292" s="8">
        <f t="shared" si="357"/>
        <v>4892</v>
      </c>
      <c r="L292" s="879">
        <v>4643</v>
      </c>
      <c r="M292" s="879">
        <v>4839</v>
      </c>
      <c r="N292" s="879">
        <v>4612</v>
      </c>
      <c r="O292" s="8">
        <f t="shared" si="358"/>
        <v>5424</v>
      </c>
      <c r="P292" s="879">
        <v>4901</v>
      </c>
      <c r="Q292" s="879">
        <v>4758</v>
      </c>
      <c r="R292" s="879">
        <v>4944</v>
      </c>
      <c r="S292" s="8">
        <f t="shared" si="359"/>
        <v>5792</v>
      </c>
      <c r="T292" s="879">
        <v>5353</v>
      </c>
      <c r="U292" s="879">
        <v>5593</v>
      </c>
      <c r="V292" s="879">
        <v>5220</v>
      </c>
      <c r="W292" s="880">
        <f t="shared" si="360"/>
        <v>6128</v>
      </c>
      <c r="X292" s="879">
        <v>5305</v>
      </c>
      <c r="Y292" s="879">
        <v>5716</v>
      </c>
      <c r="Z292" s="879">
        <v>5646</v>
      </c>
      <c r="AA292" s="880">
        <f t="shared" si="361"/>
        <v>6560</v>
      </c>
      <c r="AB292" s="879">
        <f>12276-AC292</f>
        <v>5676</v>
      </c>
      <c r="AC292" s="879">
        <v>6600</v>
      </c>
      <c r="AD292" s="879">
        <v>6077</v>
      </c>
      <c r="AE292" s="880">
        <f t="shared" si="362"/>
        <v>6408</v>
      </c>
      <c r="AF292" s="879">
        <v>5313</v>
      </c>
      <c r="AG292" s="8"/>
      <c r="AH292" s="8"/>
      <c r="AI292" s="8"/>
      <c r="AN292" s="879">
        <v>16838</v>
      </c>
      <c r="AO292" s="879">
        <v>14653</v>
      </c>
      <c r="AP292" s="879">
        <v>18225</v>
      </c>
      <c r="AQ292" s="879">
        <v>17825</v>
      </c>
      <c r="AR292" s="879">
        <v>17320</v>
      </c>
      <c r="AS292" s="879">
        <v>17529</v>
      </c>
      <c r="AT292" s="879">
        <v>16856</v>
      </c>
      <c r="AU292" s="879">
        <v>14826</v>
      </c>
      <c r="AV292" s="879">
        <v>8104</v>
      </c>
      <c r="AW292" s="879">
        <v>8625</v>
      </c>
      <c r="AX292" s="879"/>
      <c r="AY292" s="879">
        <v>17548</v>
      </c>
      <c r="AZ292" s="879">
        <v>18593</v>
      </c>
      <c r="BA292" s="879">
        <v>19518</v>
      </c>
      <c r="BB292" s="879">
        <v>20395</v>
      </c>
      <c r="BC292" s="879">
        <v>22294</v>
      </c>
      <c r="BD292" s="879">
        <v>23227</v>
      </c>
      <c r="BE292" s="879">
        <v>24761</v>
      </c>
      <c r="BF292" s="879"/>
    </row>
    <row r="293" spans="2:62">
      <c r="B293" t="s">
        <v>526</v>
      </c>
      <c r="H293" s="879">
        <v>1429</v>
      </c>
      <c r="I293" s="879">
        <v>1605</v>
      </c>
      <c r="J293" s="879">
        <v>1599</v>
      </c>
      <c r="K293" s="8">
        <f t="shared" si="357"/>
        <v>1586</v>
      </c>
      <c r="L293" s="879">
        <v>1639</v>
      </c>
      <c r="M293" s="879">
        <v>1820</v>
      </c>
      <c r="N293" s="879">
        <v>1784</v>
      </c>
      <c r="O293" s="8">
        <f t="shared" si="358"/>
        <v>1769</v>
      </c>
      <c r="P293" s="879">
        <v>1788</v>
      </c>
      <c r="Q293" s="879">
        <v>1976</v>
      </c>
      <c r="R293" s="879">
        <v>1911</v>
      </c>
      <c r="S293" s="8">
        <f t="shared" si="359"/>
        <v>1953</v>
      </c>
      <c r="T293" s="879">
        <v>1991</v>
      </c>
      <c r="U293" s="879">
        <v>2163</v>
      </c>
      <c r="V293" s="879">
        <v>1986</v>
      </c>
      <c r="W293" s="880">
        <f t="shared" si="360"/>
        <v>1600</v>
      </c>
      <c r="X293" s="879">
        <v>1789</v>
      </c>
      <c r="Y293" s="879">
        <v>2184</v>
      </c>
      <c r="Z293" s="879">
        <v>2218</v>
      </c>
      <c r="AA293" s="880">
        <f t="shared" si="361"/>
        <v>2337</v>
      </c>
      <c r="AB293" s="879">
        <f>5720-AC293</f>
        <v>2656</v>
      </c>
      <c r="AC293" s="879">
        <v>3064</v>
      </c>
      <c r="AD293" s="879">
        <v>2945</v>
      </c>
      <c r="AE293" s="880">
        <f t="shared" si="362"/>
        <v>2926</v>
      </c>
      <c r="AF293" s="879">
        <v>2928</v>
      </c>
      <c r="AG293" s="8"/>
      <c r="AH293" s="8"/>
      <c r="AI293" s="8"/>
      <c r="AN293" s="879">
        <v>2425</v>
      </c>
      <c r="AO293" s="879">
        <v>2345</v>
      </c>
      <c r="AP293" s="879">
        <v>2528</v>
      </c>
      <c r="AQ293" s="879">
        <v>2913</v>
      </c>
      <c r="AR293" s="879">
        <v>3181</v>
      </c>
      <c r="AS293" s="879">
        <v>3387</v>
      </c>
      <c r="AT293" s="879">
        <v>4016</v>
      </c>
      <c r="AU293" s="879">
        <v>4557</v>
      </c>
      <c r="AV293" s="879">
        <v>6098</v>
      </c>
      <c r="AW293" s="879">
        <v>6971</v>
      </c>
      <c r="AX293" s="879"/>
      <c r="AY293" s="879">
        <v>5428</v>
      </c>
      <c r="AZ293" s="879">
        <v>6219</v>
      </c>
      <c r="BA293" s="879">
        <v>7012</v>
      </c>
      <c r="BB293" s="879">
        <v>7628</v>
      </c>
      <c r="BC293" s="879">
        <v>7740</v>
      </c>
      <c r="BD293" s="879">
        <v>8528</v>
      </c>
      <c r="BE293" s="879">
        <v>11591</v>
      </c>
      <c r="BF293" s="879"/>
    </row>
    <row r="294" spans="2:62">
      <c r="B294" t="s">
        <v>444</v>
      </c>
      <c r="H294" s="879">
        <v>1355</v>
      </c>
      <c r="I294" s="879">
        <v>1371</v>
      </c>
      <c r="J294" s="879">
        <v>1383</v>
      </c>
      <c r="K294" s="8">
        <f t="shared" si="357"/>
        <v>1433</v>
      </c>
      <c r="L294" s="879">
        <v>1371</v>
      </c>
      <c r="M294" s="879">
        <v>1435</v>
      </c>
      <c r="N294" s="879">
        <v>1489</v>
      </c>
      <c r="O294" s="8">
        <f t="shared" si="358"/>
        <v>1551</v>
      </c>
      <c r="P294" s="879">
        <v>1450</v>
      </c>
      <c r="Q294" s="879">
        <v>1521</v>
      </c>
      <c r="R294" s="879">
        <v>1542</v>
      </c>
      <c r="S294" s="8">
        <f t="shared" si="359"/>
        <v>1611</v>
      </c>
      <c r="T294" s="879">
        <v>1545</v>
      </c>
      <c r="U294" s="879">
        <v>1612</v>
      </c>
      <c r="V294" s="879">
        <v>1633</v>
      </c>
      <c r="W294" s="880">
        <f t="shared" si="360"/>
        <v>1619</v>
      </c>
      <c r="X294" s="879">
        <v>1637</v>
      </c>
      <c r="Y294" s="879">
        <v>1695</v>
      </c>
      <c r="Z294" s="879">
        <v>1803</v>
      </c>
      <c r="AA294" s="880">
        <f t="shared" si="361"/>
        <v>1808</v>
      </c>
      <c r="AB294" s="879">
        <f>3614-AC294</f>
        <v>1791</v>
      </c>
      <c r="AC294" s="879">
        <v>1823</v>
      </c>
      <c r="AD294" s="879">
        <v>1891</v>
      </c>
      <c r="AE294" s="880">
        <f t="shared" si="362"/>
        <v>1902</v>
      </c>
      <c r="AF294" s="879">
        <v>1876</v>
      </c>
      <c r="AG294" s="8"/>
      <c r="AH294" s="8"/>
      <c r="AI294" s="8"/>
      <c r="AN294" s="879">
        <v>2743</v>
      </c>
      <c r="AO294" s="879">
        <v>3024</v>
      </c>
      <c r="AP294" s="879">
        <v>3036</v>
      </c>
      <c r="AQ294" s="879">
        <v>3372</v>
      </c>
      <c r="AR294" s="879">
        <v>3976</v>
      </c>
      <c r="AS294" s="879">
        <v>4372</v>
      </c>
      <c r="AT294" s="879">
        <v>4767</v>
      </c>
      <c r="AU294" s="879">
        <v>5090</v>
      </c>
      <c r="AV294" s="879">
        <v>5641</v>
      </c>
      <c r="AW294" s="879">
        <v>5588</v>
      </c>
      <c r="AX294" s="879"/>
      <c r="AY294" s="879">
        <v>5659</v>
      </c>
      <c r="AZ294" s="879">
        <v>5542</v>
      </c>
      <c r="BA294" s="879">
        <v>5846</v>
      </c>
      <c r="BB294" s="879">
        <v>6124</v>
      </c>
      <c r="BC294" s="879">
        <v>6409</v>
      </c>
      <c r="BD294" s="879">
        <v>6943</v>
      </c>
      <c r="BE294" s="879">
        <v>7407</v>
      </c>
      <c r="BF294" s="879"/>
    </row>
    <row r="295" spans="2:62">
      <c r="B295" t="s">
        <v>527</v>
      </c>
      <c r="H295" s="879">
        <v>1362</v>
      </c>
      <c r="I295" s="879">
        <v>1697</v>
      </c>
      <c r="J295" s="879">
        <v>958</v>
      </c>
      <c r="K295" s="8">
        <f t="shared" si="357"/>
        <v>1045</v>
      </c>
      <c r="L295" s="879">
        <v>1154</v>
      </c>
      <c r="M295" s="879">
        <v>1478</v>
      </c>
      <c r="N295" s="879">
        <v>1219</v>
      </c>
      <c r="O295" s="8">
        <f t="shared" si="358"/>
        <v>1283</v>
      </c>
      <c r="P295" s="879">
        <v>1261</v>
      </c>
      <c r="Q295" s="879">
        <v>1948</v>
      </c>
      <c r="R295" s="879">
        <v>1423</v>
      </c>
      <c r="S295" s="8">
        <f t="shared" si="359"/>
        <v>1463</v>
      </c>
      <c r="T295" s="879">
        <v>1202</v>
      </c>
      <c r="U295" s="879">
        <v>2048</v>
      </c>
      <c r="V295" s="879">
        <v>1412</v>
      </c>
      <c r="W295" s="880">
        <f t="shared" si="360"/>
        <v>1795</v>
      </c>
      <c r="X295" s="879">
        <v>1620</v>
      </c>
      <c r="Y295" s="879">
        <v>2120</v>
      </c>
      <c r="Z295" s="879">
        <v>1599</v>
      </c>
      <c r="AA295" s="880">
        <f t="shared" si="361"/>
        <v>1452</v>
      </c>
      <c r="AB295" s="879">
        <f>3646-AC295</f>
        <v>1361</v>
      </c>
      <c r="AC295" s="879">
        <v>2285</v>
      </c>
      <c r="AD295" s="879">
        <v>1764</v>
      </c>
      <c r="AE295" s="880">
        <f t="shared" si="362"/>
        <v>1581</v>
      </c>
      <c r="AF295" s="879">
        <v>1448</v>
      </c>
      <c r="AG295" s="8"/>
      <c r="AH295" s="8"/>
      <c r="AI295" s="8"/>
      <c r="AN295" s="879">
        <v>0</v>
      </c>
      <c r="AO295" s="879">
        <v>0</v>
      </c>
      <c r="AP295" s="879">
        <v>0</v>
      </c>
      <c r="AQ295" s="879">
        <v>0</v>
      </c>
      <c r="AR295" s="879">
        <f>162+0</f>
        <v>162</v>
      </c>
      <c r="AS295" s="879">
        <f>615+853</f>
        <v>1468</v>
      </c>
      <c r="AT295" s="879">
        <f>1883+3073</f>
        <v>4956</v>
      </c>
      <c r="AU295" s="879">
        <v>11602</v>
      </c>
      <c r="AV295" s="879">
        <v>7466</v>
      </c>
      <c r="AW295" s="879">
        <v>4557</v>
      </c>
      <c r="AX295" s="879"/>
      <c r="AY295" s="879">
        <v>7888</v>
      </c>
      <c r="AZ295" s="879">
        <v>5062</v>
      </c>
      <c r="BA295" s="879">
        <v>5134</v>
      </c>
      <c r="BB295" s="879">
        <v>6095</v>
      </c>
      <c r="BC295" s="879">
        <v>6457</v>
      </c>
      <c r="BD295" s="879">
        <v>6791</v>
      </c>
      <c r="BE295" s="879">
        <v>6991</v>
      </c>
      <c r="BF295" s="879"/>
    </row>
    <row r="296" spans="2:62">
      <c r="B296" t="s">
        <v>388</v>
      </c>
      <c r="H296" s="879">
        <v>0</v>
      </c>
      <c r="I296" s="879">
        <v>228</v>
      </c>
      <c r="J296" s="879">
        <v>976</v>
      </c>
      <c r="K296" s="8">
        <f t="shared" si="357"/>
        <v>1067</v>
      </c>
      <c r="L296" s="879">
        <v>1148</v>
      </c>
      <c r="M296" s="879">
        <v>1312</v>
      </c>
      <c r="N296" s="879">
        <v>1335</v>
      </c>
      <c r="O296" s="8">
        <f t="shared" si="358"/>
        <v>1464</v>
      </c>
      <c r="P296" s="879">
        <v>1530</v>
      </c>
      <c r="Q296" s="879">
        <v>1693</v>
      </c>
      <c r="R296" s="879">
        <v>1696</v>
      </c>
      <c r="S296" s="8">
        <f t="shared" si="359"/>
        <v>1835</v>
      </c>
      <c r="T296" s="879">
        <v>1909</v>
      </c>
      <c r="U296" s="879">
        <v>2102</v>
      </c>
      <c r="V296" s="879">
        <v>2050</v>
      </c>
      <c r="W296" s="880">
        <f t="shared" si="360"/>
        <v>2016</v>
      </c>
      <c r="X296" s="879">
        <v>2206</v>
      </c>
      <c r="Y296" s="879">
        <v>2577</v>
      </c>
      <c r="Z296" s="879">
        <v>2562</v>
      </c>
      <c r="AA296" s="880">
        <f t="shared" si="361"/>
        <v>2944</v>
      </c>
      <c r="AB296" s="879">
        <f>6667-AC296</f>
        <v>3136</v>
      </c>
      <c r="AC296" s="879">
        <v>3531</v>
      </c>
      <c r="AD296" s="879">
        <v>3437</v>
      </c>
      <c r="AE296" s="880">
        <f t="shared" si="362"/>
        <v>3712</v>
      </c>
      <c r="AF296" s="879">
        <v>3663</v>
      </c>
      <c r="AG296" s="8"/>
      <c r="AH296" s="8"/>
      <c r="AI296" s="8"/>
      <c r="AN296" s="879">
        <v>0</v>
      </c>
      <c r="AO296" s="879">
        <v>0</v>
      </c>
      <c r="AP296" s="879">
        <v>0</v>
      </c>
      <c r="AQ296" s="879">
        <v>0</v>
      </c>
      <c r="AR296" s="879">
        <v>0</v>
      </c>
      <c r="AS296" s="879">
        <v>0</v>
      </c>
      <c r="AT296" s="879">
        <v>0</v>
      </c>
      <c r="AU296" s="879">
        <v>0</v>
      </c>
      <c r="AV296" s="879">
        <v>0</v>
      </c>
      <c r="AW296" s="879">
        <v>2268</v>
      </c>
      <c r="AX296" s="879"/>
      <c r="AY296" s="879">
        <v>0</v>
      </c>
      <c r="AZ296" s="879">
        <v>2271</v>
      </c>
      <c r="BA296" s="879">
        <v>5259</v>
      </c>
      <c r="BB296" s="879">
        <v>6754</v>
      </c>
      <c r="BC296" s="879">
        <v>8077</v>
      </c>
      <c r="BD296" s="879">
        <v>10289</v>
      </c>
      <c r="BE296" s="879">
        <v>13816</v>
      </c>
      <c r="BF296" s="879"/>
    </row>
    <row r="297" spans="2:62" ht="11.45">
      <c r="B297" t="s">
        <v>200</v>
      </c>
      <c r="H297" s="905">
        <v>583</v>
      </c>
      <c r="I297" s="905">
        <v>732</v>
      </c>
      <c r="J297" s="905">
        <v>606</v>
      </c>
      <c r="K297" s="10">
        <f t="shared" si="357"/>
        <v>690</v>
      </c>
      <c r="L297" s="905">
        <v>616</v>
      </c>
      <c r="M297" s="905">
        <v>740</v>
      </c>
      <c r="N297" s="905">
        <v>698</v>
      </c>
      <c r="O297" s="10">
        <f t="shared" si="358"/>
        <v>739</v>
      </c>
      <c r="P297" s="905">
        <v>736</v>
      </c>
      <c r="Q297" s="905">
        <v>805</v>
      </c>
      <c r="R297" s="905">
        <v>750</v>
      </c>
      <c r="S297" s="10">
        <f t="shared" si="359"/>
        <v>779</v>
      </c>
      <c r="T297" s="905">
        <v>855</v>
      </c>
      <c r="U297" s="905">
        <v>959</v>
      </c>
      <c r="V297" s="905">
        <v>961</v>
      </c>
      <c r="W297" s="906">
        <f t="shared" si="360"/>
        <v>993</v>
      </c>
      <c r="X297" s="905">
        <v>1032</v>
      </c>
      <c r="Y297" s="905">
        <v>1143</v>
      </c>
      <c r="Z297" s="905">
        <v>1125</v>
      </c>
      <c r="AA297" s="906">
        <f t="shared" si="361"/>
        <v>1179</v>
      </c>
      <c r="AB297" s="905">
        <f>2584-AC297</f>
        <v>1227</v>
      </c>
      <c r="AC297" s="905">
        <v>1357</v>
      </c>
      <c r="AD297" s="905">
        <v>1304</v>
      </c>
      <c r="AE297" s="906">
        <f t="shared" si="362"/>
        <v>1403</v>
      </c>
      <c r="AF297" s="905">
        <v>1348</v>
      </c>
      <c r="AG297" s="10"/>
      <c r="AH297" s="10"/>
      <c r="AI297" s="10"/>
      <c r="AN297" s="905">
        <v>4122</v>
      </c>
      <c r="AO297" s="905">
        <v>3598</v>
      </c>
      <c r="AP297" s="905">
        <v>3478</v>
      </c>
      <c r="AQ297" s="905">
        <v>3749</v>
      </c>
      <c r="AR297" s="905">
        <v>4508</v>
      </c>
      <c r="AS297" s="905">
        <v>5590</v>
      </c>
      <c r="AT297" s="905">
        <v>6217</v>
      </c>
      <c r="AU297" s="905">
        <v>6234</v>
      </c>
      <c r="AV297" s="905">
        <v>5851</v>
      </c>
      <c r="AW297" s="905">
        <v>5538</v>
      </c>
      <c r="AX297" s="905"/>
      <c r="AY297" s="905">
        <v>2499</v>
      </c>
      <c r="AZ297" s="905">
        <v>2611</v>
      </c>
      <c r="BA297" s="905">
        <v>2793</v>
      </c>
      <c r="BB297" s="905">
        <v>3070</v>
      </c>
      <c r="BC297" s="905">
        <v>3768</v>
      </c>
      <c r="BD297" s="905">
        <v>4479</v>
      </c>
      <c r="BE297" s="905">
        <v>5291</v>
      </c>
      <c r="BF297" s="905"/>
    </row>
    <row r="298" spans="2:62" s="1" customFormat="1" ht="10.5">
      <c r="B298" s="837" t="s">
        <v>523</v>
      </c>
      <c r="H298" s="838">
        <f t="shared" ref="H298:Q298" si="363">SUM(H289:H297)</f>
        <v>21928</v>
      </c>
      <c r="I298" s="838">
        <f t="shared" si="363"/>
        <v>25826</v>
      </c>
      <c r="J298" s="838">
        <f t="shared" si="363"/>
        <v>23212</v>
      </c>
      <c r="K298" s="838">
        <f t="shared" si="363"/>
        <v>25605</v>
      </c>
      <c r="L298" s="838">
        <f t="shared" si="363"/>
        <v>24538</v>
      </c>
      <c r="M298" s="838">
        <f t="shared" si="363"/>
        <v>28918</v>
      </c>
      <c r="N298" s="838">
        <f t="shared" si="363"/>
        <v>26819</v>
      </c>
      <c r="O298" s="838">
        <f t="shared" si="363"/>
        <v>30085</v>
      </c>
      <c r="P298" s="838">
        <f t="shared" si="363"/>
        <v>29084</v>
      </c>
      <c r="Q298" s="838">
        <f t="shared" si="363"/>
        <v>32471</v>
      </c>
      <c r="R298" s="838">
        <f t="shared" ref="R298:AF298" si="364">SUM(R289:R297)</f>
        <v>30571</v>
      </c>
      <c r="S298" s="838">
        <f t="shared" si="364"/>
        <v>33717</v>
      </c>
      <c r="T298" s="838">
        <f t="shared" si="364"/>
        <v>33055</v>
      </c>
      <c r="U298" s="838">
        <f t="shared" si="364"/>
        <v>36906</v>
      </c>
      <c r="V298" s="838">
        <f t="shared" si="364"/>
        <v>35021</v>
      </c>
      <c r="W298" s="849">
        <f t="shared" si="364"/>
        <v>38033</v>
      </c>
      <c r="X298" s="838">
        <f t="shared" si="364"/>
        <v>37154</v>
      </c>
      <c r="Y298" s="838">
        <f t="shared" si="364"/>
        <v>43076</v>
      </c>
      <c r="Z298" s="838">
        <f t="shared" si="364"/>
        <v>41706</v>
      </c>
      <c r="AA298" s="849">
        <f t="shared" si="364"/>
        <v>46152</v>
      </c>
      <c r="AB298" s="838">
        <f t="shared" si="364"/>
        <v>45317</v>
      </c>
      <c r="AC298" s="838">
        <f t="shared" si="364"/>
        <v>51728</v>
      </c>
      <c r="AD298" s="838">
        <f t="shared" si="364"/>
        <v>49360</v>
      </c>
      <c r="AE298" s="849">
        <f t="shared" si="364"/>
        <v>51865</v>
      </c>
      <c r="AF298" s="838">
        <f t="shared" si="364"/>
        <v>50122</v>
      </c>
      <c r="AG298" s="838"/>
      <c r="AH298" s="838"/>
      <c r="AI298" s="838"/>
      <c r="AN298" s="838">
        <f t="shared" ref="AN298:AW298" si="365">SUM(AN289:AN297)</f>
        <v>60420</v>
      </c>
      <c r="AO298" s="838">
        <f t="shared" si="365"/>
        <v>58437</v>
      </c>
      <c r="AP298" s="838">
        <f t="shared" si="365"/>
        <v>62484</v>
      </c>
      <c r="AQ298" s="838">
        <f t="shared" si="365"/>
        <v>69943</v>
      </c>
      <c r="AR298" s="838">
        <f t="shared" si="365"/>
        <v>73723</v>
      </c>
      <c r="AS298" s="838">
        <f t="shared" si="365"/>
        <v>77849</v>
      </c>
      <c r="AT298" s="838">
        <f t="shared" si="365"/>
        <v>86833</v>
      </c>
      <c r="AU298" s="838">
        <f t="shared" si="365"/>
        <v>93580</v>
      </c>
      <c r="AV298" s="838">
        <f t="shared" si="365"/>
        <v>85320</v>
      </c>
      <c r="AW298" s="838">
        <f t="shared" si="365"/>
        <v>89950</v>
      </c>
      <c r="AX298" s="838"/>
      <c r="AY298" s="838">
        <f>SUM(AY289:AY297)</f>
        <v>91154</v>
      </c>
      <c r="AZ298" s="838">
        <f t="shared" ref="AZ298:BE298" si="366">SUM(AZ289:AZ297)</f>
        <v>96571</v>
      </c>
      <c r="BA298" s="838">
        <f t="shared" si="366"/>
        <v>110360</v>
      </c>
      <c r="BB298" s="838">
        <f t="shared" si="366"/>
        <v>125843</v>
      </c>
      <c r="BC298" s="838">
        <f t="shared" si="366"/>
        <v>143015</v>
      </c>
      <c r="BD298" s="838">
        <f t="shared" si="366"/>
        <v>168088</v>
      </c>
      <c r="BE298" s="838">
        <f t="shared" si="366"/>
        <v>198270</v>
      </c>
      <c r="BF298" s="838"/>
      <c r="BJ298"/>
    </row>
    <row r="299" spans="2:62">
      <c r="B299" s="18"/>
      <c r="AF299" s="228"/>
      <c r="AN299" s="8"/>
      <c r="AO299" s="8"/>
      <c r="AP299" s="8"/>
      <c r="AQ299" s="8"/>
      <c r="AR299" s="8"/>
      <c r="AS299" s="900"/>
      <c r="AT299" s="900"/>
      <c r="AU299" s="900"/>
      <c r="AV299" s="900"/>
      <c r="AW299" s="900"/>
    </row>
    <row r="300" spans="2:62" s="3" customFormat="1">
      <c r="B300" s="24" t="s">
        <v>113</v>
      </c>
      <c r="AF300" s="228"/>
      <c r="AR300" s="92"/>
      <c r="AS300" s="92"/>
      <c r="AT300" s="92"/>
      <c r="AU300" s="92"/>
      <c r="AV300" s="92"/>
      <c r="AW300" s="92"/>
      <c r="AX300" s="92"/>
      <c r="AY300" s="92"/>
      <c r="AZ300" s="92"/>
      <c r="BJ300"/>
    </row>
    <row r="301" spans="2:62" s="3" customFormat="1">
      <c r="B301" s="13" t="str">
        <f>+B289</f>
        <v>Office products and cloud services</v>
      </c>
      <c r="L301" s="228">
        <f t="shared" ref="L301:AF310" si="367">+IFERROR(L289/H289-1,"n/a ")</f>
        <v>9.9130725509863016E-2</v>
      </c>
      <c r="M301" s="228">
        <f t="shared" si="367"/>
        <v>9.8773101413262898E-2</v>
      </c>
      <c r="N301" s="228">
        <f t="shared" si="367"/>
        <v>0.13699069618222648</v>
      </c>
      <c r="O301" s="228">
        <f t="shared" si="367"/>
        <v>9.5403295750216888E-2</v>
      </c>
      <c r="P301" s="228">
        <f t="shared" si="367"/>
        <v>0.15923954372623572</v>
      </c>
      <c r="Q301" s="228">
        <f t="shared" si="367"/>
        <v>9.4982332155477023E-2</v>
      </c>
      <c r="R301" s="228">
        <f t="shared" si="367"/>
        <v>0.1130079006772009</v>
      </c>
      <c r="S301" s="228">
        <f t="shared" si="367"/>
        <v>0.12311955661124308</v>
      </c>
      <c r="T301" s="228">
        <f t="shared" si="367"/>
        <v>0.11073209131461548</v>
      </c>
      <c r="U301" s="228">
        <f t="shared" si="367"/>
        <v>0.15954563056667093</v>
      </c>
      <c r="V301" s="228">
        <f t="shared" si="367"/>
        <v>0.1306883001647865</v>
      </c>
      <c r="W301" s="228">
        <f t="shared" si="367"/>
        <v>5.1227822817530244E-2</v>
      </c>
      <c r="X301" s="228">
        <f t="shared" si="367"/>
        <v>9.5913064020789029E-2</v>
      </c>
      <c r="Y301" s="228">
        <f t="shared" si="367"/>
        <v>9.9966603584548563E-2</v>
      </c>
      <c r="Z301" s="228">
        <f t="shared" si="367"/>
        <v>0.12286995515695076</v>
      </c>
      <c r="AA301" s="228">
        <f t="shared" si="367"/>
        <v>0.19559628925896955</v>
      </c>
      <c r="AB301" s="228">
        <f t="shared" si="367"/>
        <v>0.16490622979090319</v>
      </c>
      <c r="AC301" s="228">
        <f t="shared" si="367"/>
        <v>0.13864993421718452</v>
      </c>
      <c r="AD301" s="228">
        <f t="shared" si="367"/>
        <v>0.11461661341853024</v>
      </c>
      <c r="AE301" s="228">
        <f t="shared" si="367"/>
        <v>8.8062073478545333E-2</v>
      </c>
      <c r="AF301" s="228">
        <f t="shared" si="367"/>
        <v>6.8467801628423475E-2</v>
      </c>
      <c r="AG301" s="228"/>
      <c r="AH301" s="228"/>
      <c r="AI301" s="228"/>
      <c r="AJ301" s="228"/>
      <c r="AK301" s="228"/>
      <c r="AL301" s="228"/>
      <c r="AM301" s="228"/>
      <c r="AN301" s="228"/>
      <c r="AO301" s="228">
        <f t="shared" ref="AO301:AW310" si="368">+IFERROR(AO289/AN289-1,"n/a ")</f>
        <v>-4.700547475529504E-3</v>
      </c>
      <c r="AP301" s="228">
        <f t="shared" si="368"/>
        <v>-1.355706189576622E-2</v>
      </c>
      <c r="AQ301" s="228">
        <f t="shared" si="368"/>
        <v>0.16762419736397427</v>
      </c>
      <c r="AR301" s="228">
        <f t="shared" si="368"/>
        <v>7.5687409551374873E-2</v>
      </c>
      <c r="AS301" s="228">
        <f t="shared" si="368"/>
        <v>3.1212161980357811E-2</v>
      </c>
      <c r="AT301" s="228">
        <f t="shared" si="368"/>
        <v>5.7751685148945464E-2</v>
      </c>
      <c r="AU301" s="228">
        <f t="shared" si="368"/>
        <v>-3.2273979361098548E-2</v>
      </c>
      <c r="AV301" s="228">
        <f t="shared" si="368"/>
        <v>2.1242246579997737E-3</v>
      </c>
      <c r="AW301" s="228">
        <f t="shared" si="368"/>
        <v>7.6352382567407062E-2</v>
      </c>
      <c r="AX301" s="228"/>
      <c r="AY301" s="904">
        <f t="shared" ref="AY301" si="369">+AV301</f>
        <v>2.1242246579997737E-3</v>
      </c>
      <c r="AZ301" s="904">
        <f t="shared" ref="AZ301" si="370">+AW301</f>
        <v>7.6352382567407062E-2</v>
      </c>
      <c r="BA301" s="228">
        <f t="shared" ref="BA301:BE310" si="371">+IFERROR(BA289/AZ289-1,"n/a ")</f>
        <v>0.10726156493176386</v>
      </c>
      <c r="BB301" s="228">
        <f t="shared" si="371"/>
        <v>0.12194518999858728</v>
      </c>
      <c r="BC301" s="228">
        <f t="shared" si="371"/>
        <v>0.11164972142654794</v>
      </c>
      <c r="BD301" s="228">
        <f t="shared" si="371"/>
        <v>0.12900668252350211</v>
      </c>
      <c r="BE301" s="228">
        <f t="shared" si="371"/>
        <v>0.125150481540931</v>
      </c>
      <c r="BF301" s="23"/>
      <c r="BJ301"/>
    </row>
    <row r="302" spans="2:62" s="3" customFormat="1">
      <c r="B302" s="13" t="str">
        <f t="shared" ref="B302:B310" si="372">+B290</f>
        <v>Server products and cloud services</v>
      </c>
      <c r="L302" s="228">
        <f t="shared" si="367"/>
        <v>0.17210492642354436</v>
      </c>
      <c r="M302" s="228">
        <f t="shared" si="367"/>
        <v>0.18135783945986494</v>
      </c>
      <c r="N302" s="228">
        <f t="shared" si="367"/>
        <v>0.19747026618840846</v>
      </c>
      <c r="O302" s="228">
        <f t="shared" si="367"/>
        <v>0.26220186384457422</v>
      </c>
      <c r="P302" s="228">
        <f t="shared" si="367"/>
        <v>0.28420669577874813</v>
      </c>
      <c r="Q302" s="228">
        <f t="shared" si="367"/>
        <v>0.23686299412605183</v>
      </c>
      <c r="R302" s="228">
        <f t="shared" si="367"/>
        <v>0.26958852278101841</v>
      </c>
      <c r="S302" s="228">
        <f t="shared" si="367"/>
        <v>0.21636841446627453</v>
      </c>
      <c r="T302" s="228">
        <f t="shared" si="367"/>
        <v>0.30235194105979035</v>
      </c>
      <c r="U302" s="228">
        <f t="shared" si="367"/>
        <v>0.29880631497882182</v>
      </c>
      <c r="V302" s="228">
        <f t="shared" si="367"/>
        <v>0.30262014156215078</v>
      </c>
      <c r="W302" s="228">
        <f t="shared" si="367"/>
        <v>0.19115226337448554</v>
      </c>
      <c r="X302" s="228">
        <f t="shared" si="367"/>
        <v>0.21790687554395127</v>
      </c>
      <c r="Y302" s="228">
        <f t="shared" si="367"/>
        <v>0.25793062555588486</v>
      </c>
      <c r="Z302" s="228">
        <f t="shared" si="367"/>
        <v>0.25872259294566247</v>
      </c>
      <c r="AA302" s="228">
        <f t="shared" si="367"/>
        <v>0.33537743997236147</v>
      </c>
      <c r="AB302" s="228">
        <f t="shared" si="367"/>
        <v>0.34604734256364456</v>
      </c>
      <c r="AC302" s="228">
        <f t="shared" si="367"/>
        <v>0.28643255558174241</v>
      </c>
      <c r="AD302" s="228">
        <f t="shared" si="367"/>
        <v>0.29036655558921542</v>
      </c>
      <c r="AE302" s="228">
        <f t="shared" si="367"/>
        <v>0.21848522087833899</v>
      </c>
      <c r="AF302" s="228">
        <f t="shared" si="367"/>
        <v>0.220253500564072</v>
      </c>
      <c r="AG302" s="228"/>
      <c r="AH302" s="228"/>
      <c r="AI302" s="228"/>
      <c r="AJ302" s="228"/>
      <c r="AK302" s="228"/>
      <c r="AL302" s="228"/>
      <c r="AM302" s="228"/>
      <c r="AN302" s="228"/>
      <c r="AO302" s="228">
        <f t="shared" si="368"/>
        <v>6.9079257374422776E-2</v>
      </c>
      <c r="AP302" s="228">
        <f t="shared" si="368"/>
        <v>5.8444992947813912E-2</v>
      </c>
      <c r="AQ302" s="228">
        <f t="shared" si="368"/>
        <v>0.10360622969934208</v>
      </c>
      <c r="AR302" s="228">
        <f t="shared" si="368"/>
        <v>7.4032148517092944E-2</v>
      </c>
      <c r="AS302" s="228">
        <f t="shared" si="368"/>
        <v>8.2630691399662837E-2</v>
      </c>
      <c r="AT302" s="228">
        <f t="shared" si="368"/>
        <v>0.10689252336448596</v>
      </c>
      <c r="AU302" s="228">
        <f t="shared" si="368"/>
        <v>9.1292875989446021E-2</v>
      </c>
      <c r="AV302" s="228">
        <f t="shared" si="368"/>
        <v>3.0356759080163442E-2</v>
      </c>
      <c r="AW302" s="228">
        <f t="shared" si="368"/>
        <v>0.13458830891171725</v>
      </c>
      <c r="AX302" s="228"/>
      <c r="AY302" s="1010">
        <f t="shared" ref="AY302:AY310" si="373">+AV302</f>
        <v>3.0356759080163442E-2</v>
      </c>
      <c r="AZ302" s="1010">
        <f t="shared" ref="AZ302:AZ310" si="374">+AW302</f>
        <v>0.13458830891171725</v>
      </c>
      <c r="BA302" s="228">
        <f t="shared" si="371"/>
        <v>0.20693796480206927</v>
      </c>
      <c r="BB302" s="228">
        <f t="shared" si="371"/>
        <v>0.24849783765165134</v>
      </c>
      <c r="BC302" s="228">
        <f t="shared" si="371"/>
        <v>0.26843847710134261</v>
      </c>
      <c r="BD302" s="228">
        <f t="shared" si="371"/>
        <v>0.27091036516107203</v>
      </c>
      <c r="BE302" s="228">
        <f t="shared" si="371"/>
        <v>0.28013462891479213</v>
      </c>
      <c r="BF302" s="23"/>
    </row>
    <row r="303" spans="2:62" s="3" customFormat="1">
      <c r="B303" s="13" t="str">
        <f t="shared" si="372"/>
        <v>Gaming</v>
      </c>
      <c r="L303" s="228">
        <f t="shared" si="367"/>
        <v>5.8355437665782439E-3</v>
      </c>
      <c r="M303" s="228">
        <f t="shared" si="367"/>
        <v>8.3771081006358772E-2</v>
      </c>
      <c r="N303" s="228">
        <f t="shared" si="367"/>
        <v>0.18100734522560336</v>
      </c>
      <c r="O303" s="228">
        <f t="shared" si="367"/>
        <v>0.39135727328058434</v>
      </c>
      <c r="P303" s="228">
        <f t="shared" si="367"/>
        <v>0.44409282700421948</v>
      </c>
      <c r="Q303" s="228">
        <f t="shared" si="367"/>
        <v>7.9591836734693944E-2</v>
      </c>
      <c r="R303" s="228">
        <f t="shared" si="367"/>
        <v>4.9755664149266909E-2</v>
      </c>
      <c r="S303" s="228">
        <f t="shared" si="367"/>
        <v>-0.10192475940507439</v>
      </c>
      <c r="T303" s="228">
        <f t="shared" si="367"/>
        <v>-7.1585098612125586E-2</v>
      </c>
      <c r="U303" s="228">
        <f t="shared" si="367"/>
        <v>-0.21384688090737236</v>
      </c>
      <c r="V303" s="228">
        <f t="shared" si="367"/>
        <v>-5.9246720270842435E-3</v>
      </c>
      <c r="W303" s="228">
        <f t="shared" si="367"/>
        <v>0.63516804676083782</v>
      </c>
      <c r="X303" s="228">
        <f t="shared" si="367"/>
        <v>0.21636506687647517</v>
      </c>
      <c r="Y303" s="228">
        <f t="shared" si="367"/>
        <v>0.51217312894499556</v>
      </c>
      <c r="Z303" s="228">
        <f t="shared" si="367"/>
        <v>0.5040442741592166</v>
      </c>
      <c r="AA303" s="228">
        <f t="shared" si="367"/>
        <v>0.10634495084897222</v>
      </c>
      <c r="AB303" s="228">
        <f t="shared" si="367"/>
        <v>0.16203104786545919</v>
      </c>
      <c r="AC303" s="228">
        <f t="shared" si="367"/>
        <v>8.1693500298151367E-2</v>
      </c>
      <c r="AD303" s="228">
        <f t="shared" si="367"/>
        <v>5.8590433059722669E-2</v>
      </c>
      <c r="AE303" s="228">
        <f t="shared" si="367"/>
        <v>-6.9736133548734536E-2</v>
      </c>
      <c r="AF303" s="228">
        <f t="shared" si="367"/>
        <v>4.7314222098524539E-3</v>
      </c>
      <c r="AG303" s="228"/>
      <c r="AH303" s="228"/>
      <c r="AI303" s="228"/>
      <c r="AJ303" s="228"/>
      <c r="AK303" s="228"/>
      <c r="AL303" s="228"/>
      <c r="AM303" s="228"/>
      <c r="AN303" s="228"/>
      <c r="AO303" s="228">
        <f t="shared" si="368"/>
        <v>-2.1972132904608754E-2</v>
      </c>
      <c r="AP303" s="228">
        <f t="shared" si="368"/>
        <v>-3.4703196347032339E-3</v>
      </c>
      <c r="AQ303" s="228">
        <f t="shared" si="368"/>
        <v>0.48515395894428148</v>
      </c>
      <c r="AR303" s="228">
        <f t="shared" si="368"/>
        <v>-7.157842774281109E-3</v>
      </c>
      <c r="AS303" s="228">
        <f t="shared" si="368"/>
        <v>-0.11746426351771289</v>
      </c>
      <c r="AT303" s="228">
        <f t="shared" si="368"/>
        <v>0.21732394366197183</v>
      </c>
      <c r="AU303" s="228">
        <f t="shared" si="368"/>
        <v>5.5304870993867938E-2</v>
      </c>
      <c r="AV303" s="228">
        <f t="shared" si="368"/>
        <v>3.004056572744207E-2</v>
      </c>
      <c r="AW303" s="228">
        <f t="shared" si="368"/>
        <v>-1.4795103778605601E-2</v>
      </c>
      <c r="AX303" s="228"/>
      <c r="AY303" s="1010">
        <f t="shared" si="373"/>
        <v>3.004056572744207E-2</v>
      </c>
      <c r="AZ303" s="1010">
        <f t="shared" si="374"/>
        <v>-1.4795103778605601E-2</v>
      </c>
      <c r="BA303" s="228">
        <f t="shared" si="371"/>
        <v>0.14385150812064973</v>
      </c>
      <c r="BB303" s="228">
        <f t="shared" si="371"/>
        <v>9.9777842171351327E-2</v>
      </c>
      <c r="BC303" s="228">
        <f t="shared" si="371"/>
        <v>1.6599332513613119E-2</v>
      </c>
      <c r="BD303" s="228">
        <f t="shared" si="371"/>
        <v>0.32786177105831538</v>
      </c>
      <c r="BE303" s="228">
        <f t="shared" si="371"/>
        <v>5.595315549772284E-2</v>
      </c>
      <c r="BF303" s="23"/>
    </row>
    <row r="304" spans="2:62" s="3" customFormat="1">
      <c r="B304" s="13" t="str">
        <f t="shared" si="372"/>
        <v>Windows</v>
      </c>
      <c r="L304" s="228">
        <f t="shared" si="367"/>
        <v>0</v>
      </c>
      <c r="M304" s="228">
        <f t="shared" si="367"/>
        <v>7.0759625390217629E-3</v>
      </c>
      <c r="N304" s="228">
        <f t="shared" si="367"/>
        <v>8.441100399717838E-2</v>
      </c>
      <c r="O304" s="228">
        <f t="shared" si="367"/>
        <v>0.10874897792313987</v>
      </c>
      <c r="P304" s="228">
        <f t="shared" si="367"/>
        <v>5.5567520999353803E-2</v>
      </c>
      <c r="Q304" s="228">
        <f t="shared" si="367"/>
        <v>-1.6738995660260381E-2</v>
      </c>
      <c r="R304" s="228">
        <f t="shared" si="367"/>
        <v>7.1986123156981829E-2</v>
      </c>
      <c r="S304" s="228">
        <f t="shared" si="367"/>
        <v>6.7846607669616477E-2</v>
      </c>
      <c r="T304" s="228">
        <f t="shared" si="367"/>
        <v>9.2226076310957028E-2</v>
      </c>
      <c r="U304" s="228">
        <f t="shared" si="367"/>
        <v>0.17549390500210182</v>
      </c>
      <c r="V304" s="228">
        <f t="shared" si="367"/>
        <v>5.5825242718446688E-2</v>
      </c>
      <c r="W304" s="228">
        <f t="shared" si="367"/>
        <v>5.8011049723756924E-2</v>
      </c>
      <c r="X304" s="228">
        <f t="shared" si="367"/>
        <v>-8.9669344292919728E-3</v>
      </c>
      <c r="Y304" s="228">
        <f t="shared" si="367"/>
        <v>2.1991775433577665E-2</v>
      </c>
      <c r="Z304" s="228">
        <f t="shared" si="367"/>
        <v>8.1609195402298829E-2</v>
      </c>
      <c r="AA304" s="228">
        <f t="shared" si="367"/>
        <v>7.0496083550913857E-2</v>
      </c>
      <c r="AB304" s="228">
        <f t="shared" si="367"/>
        <v>6.9934024505183823E-2</v>
      </c>
      <c r="AC304" s="228">
        <f t="shared" si="367"/>
        <v>0.15465360391882443</v>
      </c>
      <c r="AD304" s="228">
        <f t="shared" si="367"/>
        <v>7.6337229897272429E-2</v>
      </c>
      <c r="AE304" s="228">
        <f t="shared" si="367"/>
        <v>-2.3170731707317094E-2</v>
      </c>
      <c r="AF304" s="228">
        <f t="shared" si="367"/>
        <v>-6.3953488372093026E-2</v>
      </c>
      <c r="AG304" s="228"/>
      <c r="AH304" s="228"/>
      <c r="AI304" s="228"/>
      <c r="AJ304" s="228"/>
      <c r="AK304" s="228"/>
      <c r="AL304" s="228"/>
      <c r="AM304" s="228"/>
      <c r="AN304" s="228"/>
      <c r="AO304" s="228">
        <f t="shared" si="368"/>
        <v>-0.12976600546383177</v>
      </c>
      <c r="AP304" s="228">
        <f t="shared" si="368"/>
        <v>0.24377260629222675</v>
      </c>
      <c r="AQ304" s="228">
        <f t="shared" si="368"/>
        <v>-2.1947873799725626E-2</v>
      </c>
      <c r="AR304" s="228">
        <f t="shared" si="368"/>
        <v>-2.8330995792426372E-2</v>
      </c>
      <c r="AS304" s="228">
        <f t="shared" si="368"/>
        <v>1.206697459584305E-2</v>
      </c>
      <c r="AT304" s="228">
        <f t="shared" si="368"/>
        <v>-3.8393519310856328E-2</v>
      </c>
      <c r="AU304" s="228">
        <f t="shared" si="368"/>
        <v>-0.12043189368770768</v>
      </c>
      <c r="AV304" s="228">
        <f t="shared" si="368"/>
        <v>-0.45339268852016723</v>
      </c>
      <c r="AW304" s="228">
        <f t="shared" si="368"/>
        <v>6.4289239881540006E-2</v>
      </c>
      <c r="AX304" s="228"/>
      <c r="AY304" s="1010">
        <f t="shared" si="373"/>
        <v>-0.45339268852016723</v>
      </c>
      <c r="AZ304" s="1010">
        <f t="shared" si="374"/>
        <v>6.4289239881540006E-2</v>
      </c>
      <c r="BA304" s="228">
        <f t="shared" si="371"/>
        <v>4.9749905878556433E-2</v>
      </c>
      <c r="BB304" s="228">
        <f t="shared" si="371"/>
        <v>4.4932882467465962E-2</v>
      </c>
      <c r="BC304" s="228">
        <f t="shared" si="371"/>
        <v>9.3111056631527411E-2</v>
      </c>
      <c r="BD304" s="228">
        <f t="shared" si="371"/>
        <v>4.184982506503987E-2</v>
      </c>
      <c r="BE304" s="228">
        <f t="shared" si="371"/>
        <v>6.6043828303267826E-2</v>
      </c>
      <c r="BF304" s="23"/>
    </row>
    <row r="305" spans="2:58" s="3" customFormat="1">
      <c r="B305" s="13" t="str">
        <f t="shared" si="372"/>
        <v xml:space="preserve">Search and news advertising </v>
      </c>
      <c r="L305" s="228">
        <f t="shared" si="367"/>
        <v>0.1469559132260323</v>
      </c>
      <c r="M305" s="228">
        <f t="shared" si="367"/>
        <v>0.13395638629283479</v>
      </c>
      <c r="N305" s="228">
        <f t="shared" si="367"/>
        <v>0.11569731081926204</v>
      </c>
      <c r="O305" s="228">
        <f t="shared" si="367"/>
        <v>0.11538461538461542</v>
      </c>
      <c r="P305" s="228">
        <f t="shared" si="367"/>
        <v>9.0909090909090828E-2</v>
      </c>
      <c r="Q305" s="228">
        <f t="shared" si="367"/>
        <v>8.5714285714285632E-2</v>
      </c>
      <c r="R305" s="228">
        <f t="shared" si="367"/>
        <v>7.1188340807174955E-2</v>
      </c>
      <c r="S305" s="228">
        <f t="shared" si="367"/>
        <v>0.10401356698699837</v>
      </c>
      <c r="T305" s="228">
        <f t="shared" si="367"/>
        <v>0.11353467561521247</v>
      </c>
      <c r="U305" s="228">
        <f t="shared" si="367"/>
        <v>9.4635627530364363E-2</v>
      </c>
      <c r="V305" s="228">
        <f t="shared" si="367"/>
        <v>3.9246467817896313E-2</v>
      </c>
      <c r="W305" s="228">
        <f t="shared" si="367"/>
        <v>-0.18074756784434198</v>
      </c>
      <c r="X305" s="228">
        <f t="shared" si="367"/>
        <v>-0.1014565544952285</v>
      </c>
      <c r="Y305" s="228">
        <f t="shared" si="367"/>
        <v>9.7087378640776656E-3</v>
      </c>
      <c r="Z305" s="228">
        <f t="shared" si="367"/>
        <v>0.11681772406847934</v>
      </c>
      <c r="AA305" s="228">
        <f t="shared" si="367"/>
        <v>0.46062500000000006</v>
      </c>
      <c r="AB305" s="228">
        <f t="shared" si="367"/>
        <v>0.48462828395751822</v>
      </c>
      <c r="AC305" s="228">
        <f t="shared" si="367"/>
        <v>0.40293040293040283</v>
      </c>
      <c r="AD305" s="228">
        <f t="shared" si="367"/>
        <v>0.32777276825969337</v>
      </c>
      <c r="AE305" s="228">
        <f t="shared" si="367"/>
        <v>0.25203252032520318</v>
      </c>
      <c r="AF305" s="228">
        <f t="shared" si="367"/>
        <v>0.10240963855421681</v>
      </c>
      <c r="AG305" s="228"/>
      <c r="AH305" s="228"/>
      <c r="AI305" s="228"/>
      <c r="AJ305" s="228"/>
      <c r="AK305" s="228"/>
      <c r="AL305" s="228"/>
      <c r="AM305" s="228"/>
      <c r="AN305" s="228"/>
      <c r="AO305" s="228">
        <f t="shared" si="368"/>
        <v>-3.2989690721649478E-2</v>
      </c>
      <c r="AP305" s="228">
        <f t="shared" si="368"/>
        <v>7.8038379530916746E-2</v>
      </c>
      <c r="AQ305" s="228">
        <f t="shared" si="368"/>
        <v>0.15229430379746844</v>
      </c>
      <c r="AR305" s="228">
        <f t="shared" si="368"/>
        <v>9.2001373154823263E-2</v>
      </c>
      <c r="AS305" s="228">
        <f t="shared" si="368"/>
        <v>6.4759509588179887E-2</v>
      </c>
      <c r="AT305" s="228">
        <f t="shared" si="368"/>
        <v>0.18571006790670208</v>
      </c>
      <c r="AU305" s="228">
        <f t="shared" si="368"/>
        <v>0.1347111553784861</v>
      </c>
      <c r="AV305" s="228">
        <f t="shared" si="368"/>
        <v>0.33816107087996494</v>
      </c>
      <c r="AW305" s="228">
        <f t="shared" si="368"/>
        <v>0.14316169235815024</v>
      </c>
      <c r="AX305" s="228"/>
      <c r="AY305" s="1010">
        <f t="shared" si="373"/>
        <v>0.33816107087996494</v>
      </c>
      <c r="AZ305" s="1010">
        <f t="shared" si="374"/>
        <v>0.14316169235815024</v>
      </c>
      <c r="BA305" s="228">
        <f t="shared" si="371"/>
        <v>0.12751246181058051</v>
      </c>
      <c r="BB305" s="228">
        <f t="shared" si="371"/>
        <v>8.7849401026811158E-2</v>
      </c>
      <c r="BC305" s="228">
        <f t="shared" si="371"/>
        <v>1.4682747771368687E-2</v>
      </c>
      <c r="BD305" s="228">
        <f t="shared" si="371"/>
        <v>0.10180878552971584</v>
      </c>
      <c r="BE305" s="228">
        <f t="shared" si="371"/>
        <v>0.3591697936210132</v>
      </c>
      <c r="BF305" s="23"/>
    </row>
    <row r="306" spans="2:58" s="3" customFormat="1">
      <c r="B306" s="13" t="str">
        <f t="shared" si="372"/>
        <v>Enterprise Services</v>
      </c>
      <c r="L306" s="228">
        <f t="shared" si="367"/>
        <v>1.1808118081180874E-2</v>
      </c>
      <c r="M306" s="228">
        <f t="shared" si="367"/>
        <v>4.6681254558716301E-2</v>
      </c>
      <c r="N306" s="228">
        <f t="shared" si="367"/>
        <v>7.6644974692696932E-2</v>
      </c>
      <c r="O306" s="228">
        <f t="shared" si="367"/>
        <v>8.2344731332868015E-2</v>
      </c>
      <c r="P306" s="228">
        <f t="shared" si="367"/>
        <v>5.7622173595915482E-2</v>
      </c>
      <c r="Q306" s="228">
        <f t="shared" si="367"/>
        <v>5.9930313588850259E-2</v>
      </c>
      <c r="R306" s="228">
        <f t="shared" si="367"/>
        <v>3.5594358629952971E-2</v>
      </c>
      <c r="S306" s="228">
        <f t="shared" si="367"/>
        <v>3.8684719535783341E-2</v>
      </c>
      <c r="T306" s="228">
        <f t="shared" si="367"/>
        <v>6.5517241379310365E-2</v>
      </c>
      <c r="U306" s="228">
        <f t="shared" si="367"/>
        <v>5.9829059829059839E-2</v>
      </c>
      <c r="V306" s="228">
        <f t="shared" si="367"/>
        <v>5.9014267185473424E-2</v>
      </c>
      <c r="W306" s="228">
        <f t="shared" si="367"/>
        <v>4.9658597144630612E-3</v>
      </c>
      <c r="X306" s="228">
        <f t="shared" si="367"/>
        <v>5.9546925566343001E-2</v>
      </c>
      <c r="Y306" s="228">
        <f t="shared" si="367"/>
        <v>5.1488833746898166E-2</v>
      </c>
      <c r="Z306" s="228">
        <f t="shared" si="367"/>
        <v>0.10410287813839569</v>
      </c>
      <c r="AA306" s="228">
        <f t="shared" si="367"/>
        <v>0.11673872760963566</v>
      </c>
      <c r="AB306" s="228">
        <f t="shared" si="367"/>
        <v>9.4074526572999417E-2</v>
      </c>
      <c r="AC306" s="228">
        <f t="shared" si="367"/>
        <v>7.5516224188790559E-2</v>
      </c>
      <c r="AD306" s="228">
        <f t="shared" si="367"/>
        <v>4.8807542983915653E-2</v>
      </c>
      <c r="AE306" s="228">
        <f t="shared" si="367"/>
        <v>5.1991150442477929E-2</v>
      </c>
      <c r="AF306" s="228">
        <f t="shared" si="367"/>
        <v>4.7459519821328788E-2</v>
      </c>
      <c r="AG306" s="228"/>
      <c r="AH306" s="228"/>
      <c r="AI306" s="228"/>
      <c r="AJ306" s="228"/>
      <c r="AK306" s="228"/>
      <c r="AL306" s="228"/>
      <c r="AM306" s="228"/>
      <c r="AN306" s="228"/>
      <c r="AO306" s="228">
        <f t="shared" si="368"/>
        <v>0.10244258111556692</v>
      </c>
      <c r="AP306" s="228">
        <f t="shared" si="368"/>
        <v>3.9682539682539542E-3</v>
      </c>
      <c r="AQ306" s="228">
        <f t="shared" si="368"/>
        <v>0.11067193675889331</v>
      </c>
      <c r="AR306" s="228">
        <f t="shared" si="368"/>
        <v>0.17912218268090152</v>
      </c>
      <c r="AS306" s="228">
        <f t="shared" si="368"/>
        <v>9.9597585513078402E-2</v>
      </c>
      <c r="AT306" s="228">
        <f t="shared" si="368"/>
        <v>9.0347666971637652E-2</v>
      </c>
      <c r="AU306" s="228">
        <f t="shared" si="368"/>
        <v>6.77574994755612E-2</v>
      </c>
      <c r="AV306" s="228">
        <f t="shared" si="368"/>
        <v>0.10825147347740671</v>
      </c>
      <c r="AW306" s="228">
        <f t="shared" si="368"/>
        <v>-9.3954972522601876E-3</v>
      </c>
      <c r="AX306" s="228"/>
      <c r="AY306" s="1010">
        <f t="shared" si="373"/>
        <v>0.10825147347740671</v>
      </c>
      <c r="AZ306" s="1010">
        <f t="shared" si="374"/>
        <v>-9.3954972522601876E-3</v>
      </c>
      <c r="BA306" s="228">
        <f t="shared" si="371"/>
        <v>5.4853843377841827E-2</v>
      </c>
      <c r="BB306" s="228">
        <f t="shared" si="371"/>
        <v>4.7553882996920871E-2</v>
      </c>
      <c r="BC306" s="228">
        <f t="shared" si="371"/>
        <v>4.6538210320052231E-2</v>
      </c>
      <c r="BD306" s="228">
        <f t="shared" si="371"/>
        <v>8.3320330784833807E-2</v>
      </c>
      <c r="BE306" s="228">
        <f t="shared" si="371"/>
        <v>6.6829900619328919E-2</v>
      </c>
      <c r="BF306" s="23"/>
    </row>
    <row r="307" spans="2:58" s="3" customFormat="1">
      <c r="B307" s="13" t="str">
        <f t="shared" si="372"/>
        <v>Devices</v>
      </c>
      <c r="L307" s="228">
        <f t="shared" si="367"/>
        <v>-0.15271659324522757</v>
      </c>
      <c r="M307" s="228">
        <f t="shared" si="367"/>
        <v>-0.1290512669416618</v>
      </c>
      <c r="N307" s="228">
        <f t="shared" si="367"/>
        <v>0.27244258872651361</v>
      </c>
      <c r="O307" s="228">
        <f t="shared" si="367"/>
        <v>0.2277511961722487</v>
      </c>
      <c r="P307" s="228">
        <f t="shared" si="367"/>
        <v>9.2720970537261804E-2</v>
      </c>
      <c r="Q307" s="228">
        <f t="shared" si="367"/>
        <v>0.31799729364005414</v>
      </c>
      <c r="R307" s="228">
        <f t="shared" si="367"/>
        <v>0.16735028712059075</v>
      </c>
      <c r="S307" s="228">
        <f t="shared" si="367"/>
        <v>0.14029618082618867</v>
      </c>
      <c r="T307" s="228">
        <f t="shared" si="367"/>
        <v>-4.6788263283108589E-2</v>
      </c>
      <c r="U307" s="228">
        <f t="shared" si="367"/>
        <v>5.1334702258726939E-2</v>
      </c>
      <c r="V307" s="228">
        <f t="shared" si="367"/>
        <v>-7.730147575544577E-3</v>
      </c>
      <c r="W307" s="228">
        <f t="shared" si="367"/>
        <v>0.22693096377306898</v>
      </c>
      <c r="X307" s="228">
        <f t="shared" si="367"/>
        <v>0.34775374376039925</v>
      </c>
      <c r="Y307" s="228">
        <f t="shared" si="367"/>
        <v>3.515625E-2</v>
      </c>
      <c r="Z307" s="228">
        <f t="shared" si="367"/>
        <v>0.13243626062322944</v>
      </c>
      <c r="AA307" s="228">
        <f t="shared" si="367"/>
        <v>-0.19108635097493032</v>
      </c>
      <c r="AB307" s="228">
        <f t="shared" si="367"/>
        <v>-0.15987654320987654</v>
      </c>
      <c r="AC307" s="228">
        <f t="shared" si="367"/>
        <v>7.7830188679245182E-2</v>
      </c>
      <c r="AD307" s="228">
        <f t="shared" si="367"/>
        <v>0.1031894934333959</v>
      </c>
      <c r="AE307" s="228">
        <f t="shared" si="367"/>
        <v>8.8842975206611552E-2</v>
      </c>
      <c r="AF307" s="228">
        <f t="shared" si="367"/>
        <v>6.3923585598824495E-2</v>
      </c>
      <c r="AG307" s="228"/>
      <c r="AH307" s="228"/>
      <c r="AI307" s="228"/>
      <c r="AJ307" s="228"/>
      <c r="AK307" s="228"/>
      <c r="AL307" s="228"/>
      <c r="AM307" s="228"/>
      <c r="AN307" s="228"/>
      <c r="AO307" s="228" t="str">
        <f t="shared" si="368"/>
        <v xml:space="preserve">n/a </v>
      </c>
      <c r="AP307" s="228" t="str">
        <f t="shared" si="368"/>
        <v xml:space="preserve">n/a </v>
      </c>
      <c r="AQ307" s="228" t="str">
        <f t="shared" si="368"/>
        <v xml:space="preserve">n/a </v>
      </c>
      <c r="AR307" s="228" t="str">
        <f t="shared" si="368"/>
        <v xml:space="preserve">n/a </v>
      </c>
      <c r="AS307" s="228">
        <f t="shared" si="368"/>
        <v>8.0617283950617278</v>
      </c>
      <c r="AT307" s="228">
        <f t="shared" si="368"/>
        <v>2.3760217983651226</v>
      </c>
      <c r="AU307" s="228">
        <f t="shared" si="368"/>
        <v>1.3410008071025019</v>
      </c>
      <c r="AV307" s="228">
        <f t="shared" si="368"/>
        <v>-0.35649026029994824</v>
      </c>
      <c r="AW307" s="228">
        <f t="shared" si="368"/>
        <v>-0.38963300294669168</v>
      </c>
      <c r="AX307" s="228"/>
      <c r="AY307" s="1010">
        <f t="shared" si="373"/>
        <v>-0.35649026029994824</v>
      </c>
      <c r="AZ307" s="1010">
        <f t="shared" si="374"/>
        <v>-0.38963300294669168</v>
      </c>
      <c r="BA307" s="228">
        <f t="shared" si="371"/>
        <v>1.4223627024891439E-2</v>
      </c>
      <c r="BB307" s="228">
        <f t="shared" si="371"/>
        <v>0.18718348266458906</v>
      </c>
      <c r="BC307" s="228">
        <f t="shared" si="371"/>
        <v>5.9392945036915501E-2</v>
      </c>
      <c r="BD307" s="228">
        <f t="shared" si="371"/>
        <v>5.1726808115223788E-2</v>
      </c>
      <c r="BE307" s="228">
        <f t="shared" si="371"/>
        <v>2.9450743631276755E-2</v>
      </c>
      <c r="BF307" s="23"/>
    </row>
    <row r="308" spans="2:58" s="3" customFormat="1">
      <c r="B308" s="13" t="str">
        <f t="shared" si="372"/>
        <v>LinkedIn</v>
      </c>
      <c r="L308" s="228" t="str">
        <f t="shared" si="367"/>
        <v xml:space="preserve">n/a </v>
      </c>
      <c r="M308" s="228">
        <f t="shared" si="367"/>
        <v>4.7543859649122808</v>
      </c>
      <c r="N308" s="228">
        <f t="shared" si="367"/>
        <v>0.36782786885245899</v>
      </c>
      <c r="O308" s="228">
        <f t="shared" si="367"/>
        <v>0.37207122774133072</v>
      </c>
      <c r="P308" s="228">
        <f t="shared" si="367"/>
        <v>0.33275261324041816</v>
      </c>
      <c r="Q308" s="228">
        <f t="shared" si="367"/>
        <v>0.29039634146341453</v>
      </c>
      <c r="R308" s="228">
        <f t="shared" si="367"/>
        <v>0.27041198501872654</v>
      </c>
      <c r="S308" s="228">
        <f t="shared" si="367"/>
        <v>0.25341530054644812</v>
      </c>
      <c r="T308" s="228">
        <f t="shared" si="367"/>
        <v>0.2477124183006536</v>
      </c>
      <c r="U308" s="228">
        <f t="shared" si="367"/>
        <v>0.24158298877731843</v>
      </c>
      <c r="V308" s="228">
        <f t="shared" si="367"/>
        <v>0.20872641509433953</v>
      </c>
      <c r="W308" s="228">
        <f t="shared" si="367"/>
        <v>9.8637602179836525E-2</v>
      </c>
      <c r="X308" s="228">
        <f t="shared" si="367"/>
        <v>0.15557883708748044</v>
      </c>
      <c r="Y308" s="228">
        <f t="shared" si="367"/>
        <v>0.22597526165556614</v>
      </c>
      <c r="Z308" s="228">
        <f t="shared" si="367"/>
        <v>0.24975609756097561</v>
      </c>
      <c r="AA308" s="228">
        <f t="shared" si="367"/>
        <v>0.46031746031746024</v>
      </c>
      <c r="AB308" s="228">
        <f t="shared" si="367"/>
        <v>0.4215775158658206</v>
      </c>
      <c r="AC308" s="228">
        <f t="shared" si="367"/>
        <v>0.37019790454016288</v>
      </c>
      <c r="AD308" s="228">
        <f t="shared" si="367"/>
        <v>0.34153005464480879</v>
      </c>
      <c r="AE308" s="228">
        <f t="shared" si="367"/>
        <v>0.26086956521739135</v>
      </c>
      <c r="AF308" s="228">
        <f t="shared" si="367"/>
        <v>0.16804846938775508</v>
      </c>
      <c r="AG308" s="228"/>
      <c r="AH308" s="228"/>
      <c r="AI308" s="228"/>
      <c r="AJ308" s="228"/>
      <c r="AK308" s="228"/>
      <c r="AL308" s="228"/>
      <c r="AM308" s="228"/>
      <c r="AN308" s="228"/>
      <c r="AO308" s="228" t="str">
        <f t="shared" si="368"/>
        <v xml:space="preserve">n/a </v>
      </c>
      <c r="AP308" s="228" t="str">
        <f t="shared" si="368"/>
        <v xml:space="preserve">n/a </v>
      </c>
      <c r="AQ308" s="228" t="str">
        <f t="shared" si="368"/>
        <v xml:space="preserve">n/a </v>
      </c>
      <c r="AR308" s="228" t="str">
        <f t="shared" si="368"/>
        <v xml:space="preserve">n/a </v>
      </c>
      <c r="AS308" s="228" t="str">
        <f t="shared" si="368"/>
        <v xml:space="preserve">n/a </v>
      </c>
      <c r="AT308" s="228" t="str">
        <f t="shared" si="368"/>
        <v xml:space="preserve">n/a </v>
      </c>
      <c r="AU308" s="228" t="str">
        <f t="shared" si="368"/>
        <v xml:space="preserve">n/a </v>
      </c>
      <c r="AV308" s="228" t="str">
        <f t="shared" si="368"/>
        <v xml:space="preserve">n/a </v>
      </c>
      <c r="AW308" s="228" t="str">
        <f t="shared" si="368"/>
        <v xml:space="preserve">n/a </v>
      </c>
      <c r="AX308" s="228"/>
      <c r="AY308" s="1010" t="str">
        <f t="shared" si="373"/>
        <v xml:space="preserve">n/a </v>
      </c>
      <c r="AZ308" s="1010" t="str">
        <f t="shared" si="374"/>
        <v xml:space="preserve">n/a </v>
      </c>
      <c r="BA308" s="228">
        <f t="shared" si="371"/>
        <v>1.3157199471598413</v>
      </c>
      <c r="BB308" s="228">
        <f t="shared" si="371"/>
        <v>0.28427457691576352</v>
      </c>
      <c r="BC308" s="228">
        <f t="shared" si="371"/>
        <v>0.19588392063962101</v>
      </c>
      <c r="BD308" s="228">
        <f t="shared" si="371"/>
        <v>0.27386405843753869</v>
      </c>
      <c r="BE308" s="228">
        <f t="shared" si="371"/>
        <v>0.34279327437068718</v>
      </c>
      <c r="BF308" s="23"/>
    </row>
    <row r="309" spans="2:58" s="839" customFormat="1" ht="11.45">
      <c r="B309" s="13" t="str">
        <f t="shared" si="372"/>
        <v>Other</v>
      </c>
      <c r="L309" s="840">
        <f t="shared" si="367"/>
        <v>5.6603773584905648E-2</v>
      </c>
      <c r="M309" s="840">
        <f t="shared" si="367"/>
        <v>1.0928961748633892E-2</v>
      </c>
      <c r="N309" s="840">
        <f t="shared" si="367"/>
        <v>0.15181518151815188</v>
      </c>
      <c r="O309" s="840">
        <f t="shared" si="367"/>
        <v>7.1014492753623149E-2</v>
      </c>
      <c r="P309" s="840">
        <f t="shared" si="367"/>
        <v>0.19480519480519476</v>
      </c>
      <c r="Q309" s="840">
        <f t="shared" si="367"/>
        <v>8.783783783783794E-2</v>
      </c>
      <c r="R309" s="840">
        <f t="shared" si="367"/>
        <v>7.4498567335243626E-2</v>
      </c>
      <c r="S309" s="840">
        <f t="shared" si="367"/>
        <v>5.4127198917456099E-2</v>
      </c>
      <c r="T309" s="840">
        <f t="shared" si="367"/>
        <v>0.16168478260869557</v>
      </c>
      <c r="U309" s="840">
        <f t="shared" si="367"/>
        <v>0.19130434782608696</v>
      </c>
      <c r="V309" s="840">
        <f t="shared" si="367"/>
        <v>0.28133333333333344</v>
      </c>
      <c r="W309" s="840">
        <f t="shared" si="367"/>
        <v>0.27471116816431329</v>
      </c>
      <c r="X309" s="840">
        <f t="shared" si="367"/>
        <v>0.2070175438596491</v>
      </c>
      <c r="Y309" s="840">
        <f t="shared" si="367"/>
        <v>0.19186652763295098</v>
      </c>
      <c r="Z309" s="840">
        <f t="shared" si="367"/>
        <v>0.17065556711758578</v>
      </c>
      <c r="AA309" s="840">
        <f t="shared" si="367"/>
        <v>0.18731117824773413</v>
      </c>
      <c r="AB309" s="840">
        <f t="shared" si="367"/>
        <v>0.18895348837209291</v>
      </c>
      <c r="AC309" s="840">
        <f t="shared" si="367"/>
        <v>0.18722659667541564</v>
      </c>
      <c r="AD309" s="840">
        <f t="shared" si="367"/>
        <v>0.1591111111111112</v>
      </c>
      <c r="AE309" s="840">
        <f t="shared" si="367"/>
        <v>0.18999151823579297</v>
      </c>
      <c r="AF309" s="840">
        <f t="shared" si="367"/>
        <v>9.8614506927465317E-2</v>
      </c>
      <c r="AG309" s="840"/>
      <c r="AH309" s="840"/>
      <c r="AI309" s="840"/>
      <c r="AJ309" s="840"/>
      <c r="AK309" s="840"/>
      <c r="AL309" s="840"/>
      <c r="AM309" s="840"/>
      <c r="AN309" s="840"/>
      <c r="AO309" s="840">
        <f t="shared" si="368"/>
        <v>-0.12712275594371669</v>
      </c>
      <c r="AP309" s="840">
        <f t="shared" si="368"/>
        <v>-3.3351862145636457E-2</v>
      </c>
      <c r="AQ309" s="840">
        <f t="shared" si="368"/>
        <v>7.7918343875790663E-2</v>
      </c>
      <c r="AR309" s="840">
        <f t="shared" si="368"/>
        <v>0.20245398773006129</v>
      </c>
      <c r="AS309" s="840">
        <f t="shared" si="368"/>
        <v>0.24001774622892635</v>
      </c>
      <c r="AT309" s="840">
        <f t="shared" si="368"/>
        <v>0.11216457960644011</v>
      </c>
      <c r="AU309" s="840">
        <f t="shared" si="368"/>
        <v>2.734437831751757E-3</v>
      </c>
      <c r="AV309" s="840">
        <f t="shared" si="368"/>
        <v>-6.1437279435354486E-2</v>
      </c>
      <c r="AW309" s="840">
        <f t="shared" si="368"/>
        <v>-5.3495129037771316E-2</v>
      </c>
      <c r="AX309" s="840"/>
      <c r="AY309" s="1011">
        <f t="shared" si="373"/>
        <v>-6.1437279435354486E-2</v>
      </c>
      <c r="AZ309" s="1011">
        <f t="shared" si="374"/>
        <v>-5.3495129037771316E-2</v>
      </c>
      <c r="BA309" s="840">
        <f t="shared" si="371"/>
        <v>6.9705093833780207E-2</v>
      </c>
      <c r="BB309" s="840">
        <f t="shared" si="371"/>
        <v>9.917651271034722E-2</v>
      </c>
      <c r="BC309" s="840">
        <f t="shared" si="371"/>
        <v>0.22736156351791537</v>
      </c>
      <c r="BD309" s="840">
        <f t="shared" si="371"/>
        <v>0.18869426751592355</v>
      </c>
      <c r="BE309" s="840">
        <f t="shared" si="371"/>
        <v>0.18129046662201387</v>
      </c>
      <c r="BF309" s="920"/>
    </row>
    <row r="310" spans="2:58" s="7" customFormat="1">
      <c r="B310" s="841" t="str">
        <f t="shared" si="372"/>
        <v>Total revenue</v>
      </c>
      <c r="L310" s="842">
        <f t="shared" si="367"/>
        <v>0.11902590295512594</v>
      </c>
      <c r="M310" s="842">
        <f t="shared" si="367"/>
        <v>0.11972430883605667</v>
      </c>
      <c r="N310" s="842">
        <f t="shared" si="367"/>
        <v>0.15539376184732046</v>
      </c>
      <c r="O310" s="842">
        <f t="shared" si="367"/>
        <v>0.17496582698691654</v>
      </c>
      <c r="P310" s="842">
        <f t="shared" si="367"/>
        <v>0.18526367267095933</v>
      </c>
      <c r="Q310" s="842">
        <f t="shared" si="367"/>
        <v>0.12286465177398154</v>
      </c>
      <c r="R310" s="842">
        <f t="shared" si="367"/>
        <v>0.13990081658525666</v>
      </c>
      <c r="S310" s="842">
        <f t="shared" si="367"/>
        <v>0.12072461359481479</v>
      </c>
      <c r="T310" s="842">
        <f t="shared" si="367"/>
        <v>0.13653555219364599</v>
      </c>
      <c r="U310" s="842">
        <f t="shared" si="367"/>
        <v>0.13658341289150311</v>
      </c>
      <c r="V310" s="842">
        <f t="shared" si="367"/>
        <v>0.14556278826338698</v>
      </c>
      <c r="W310" s="842">
        <f t="shared" si="367"/>
        <v>0.12800664353293589</v>
      </c>
      <c r="X310" s="842">
        <f t="shared" si="367"/>
        <v>0.12400544546967174</v>
      </c>
      <c r="Y310" s="842">
        <f t="shared" si="367"/>
        <v>0.16718148810491518</v>
      </c>
      <c r="Z310" s="842">
        <f t="shared" si="367"/>
        <v>0.19088546871876866</v>
      </c>
      <c r="AA310" s="842">
        <f t="shared" si="367"/>
        <v>0.21347251071437956</v>
      </c>
      <c r="AB310" s="842">
        <f t="shared" si="367"/>
        <v>0.21970716477364483</v>
      </c>
      <c r="AC310" s="842">
        <f t="shared" si="367"/>
        <v>0.2008543040208004</v>
      </c>
      <c r="AD310" s="842">
        <f t="shared" si="367"/>
        <v>0.18352275451973332</v>
      </c>
      <c r="AE310" s="842">
        <f t="shared" si="367"/>
        <v>0.12378661813139202</v>
      </c>
      <c r="AF310" s="842">
        <f t="shared" si="367"/>
        <v>0.1060308493501334</v>
      </c>
      <c r="AG310" s="842"/>
      <c r="AH310" s="842"/>
      <c r="AI310" s="842"/>
      <c r="AJ310" s="842"/>
      <c r="AK310" s="842"/>
      <c r="AL310" s="842"/>
      <c r="AM310" s="842"/>
      <c r="AN310" s="842"/>
      <c r="AO310" s="842">
        <f t="shared" si="368"/>
        <v>-3.2820258192651441E-2</v>
      </c>
      <c r="AP310" s="842">
        <f t="shared" si="368"/>
        <v>6.9254068484008391E-2</v>
      </c>
      <c r="AQ310" s="842">
        <f t="shared" si="368"/>
        <v>0.11937455988733126</v>
      </c>
      <c r="AR310" s="842">
        <f t="shared" si="368"/>
        <v>5.4044007263057026E-2</v>
      </c>
      <c r="AS310" s="842">
        <f t="shared" si="368"/>
        <v>5.5966252051598442E-2</v>
      </c>
      <c r="AT310" s="842">
        <f t="shared" si="368"/>
        <v>0.11540289534868786</v>
      </c>
      <c r="AU310" s="842">
        <f t="shared" si="368"/>
        <v>7.7700874091647165E-2</v>
      </c>
      <c r="AV310" s="842">
        <f t="shared" si="368"/>
        <v>-8.8266723658901425E-2</v>
      </c>
      <c r="AW310" s="842">
        <f t="shared" si="368"/>
        <v>5.4266291608063844E-2</v>
      </c>
      <c r="AX310" s="842"/>
      <c r="AY310" s="1012">
        <f t="shared" si="373"/>
        <v>-8.8266723658901425E-2</v>
      </c>
      <c r="AZ310" s="1012">
        <f t="shared" si="374"/>
        <v>5.4266291608063844E-2</v>
      </c>
      <c r="BA310" s="842">
        <f t="shared" si="371"/>
        <v>0.14278613662486661</v>
      </c>
      <c r="BB310" s="842">
        <f t="shared" si="371"/>
        <v>0.14029539688292858</v>
      </c>
      <c r="BC310" s="842">
        <f t="shared" si="371"/>
        <v>0.13645574247276371</v>
      </c>
      <c r="BD310" s="842">
        <f t="shared" si="371"/>
        <v>0.17531727441177503</v>
      </c>
      <c r="BE310" s="842">
        <f t="shared" si="371"/>
        <v>0.17956070629670173</v>
      </c>
      <c r="BF310" s="895"/>
    </row>
    <row r="311" spans="2:58" s="3" customFormat="1">
      <c r="B311" s="921"/>
    </row>
    <row r="312" spans="2:58" s="3" customFormat="1">
      <c r="B312" s="24" t="s">
        <v>173</v>
      </c>
    </row>
    <row r="313" spans="2:58" s="3" customFormat="1">
      <c r="B313" s="13" t="s">
        <v>528</v>
      </c>
      <c r="H313" s="21">
        <f t="shared" ref="H313:AF313" si="375">+H289/H$298</f>
        <v>0.2728018971178402</v>
      </c>
      <c r="I313" s="21">
        <f t="shared" si="375"/>
        <v>0.24932238829086967</v>
      </c>
      <c r="J313" s="21">
        <f t="shared" si="375"/>
        <v>0.2685679820782354</v>
      </c>
      <c r="K313" s="21">
        <f t="shared" si="375"/>
        <v>0.27018160515524314</v>
      </c>
      <c r="L313" s="21">
        <f t="shared" si="375"/>
        <v>0.26795174830874563</v>
      </c>
      <c r="M313" s="21">
        <f t="shared" si="375"/>
        <v>0.24465730686769485</v>
      </c>
      <c r="N313" s="21">
        <f t="shared" si="375"/>
        <v>0.26429024199261719</v>
      </c>
      <c r="O313" s="21">
        <f t="shared" si="375"/>
        <v>0.25188632208741896</v>
      </c>
      <c r="P313" s="21">
        <f t="shared" si="375"/>
        <v>0.26206849126667586</v>
      </c>
      <c r="Q313" s="21">
        <f t="shared" si="375"/>
        <v>0.23858211942964491</v>
      </c>
      <c r="R313" s="21">
        <f t="shared" si="375"/>
        <v>0.25805501946288967</v>
      </c>
      <c r="S313" s="21">
        <f t="shared" si="375"/>
        <v>0.25242459293531455</v>
      </c>
      <c r="T313" s="21">
        <f t="shared" si="375"/>
        <v>0.25611859022840722</v>
      </c>
      <c r="U313" s="21">
        <f t="shared" si="375"/>
        <v>0.24340215683086761</v>
      </c>
      <c r="V313" s="21">
        <f t="shared" si="375"/>
        <v>0.25470432026498385</v>
      </c>
      <c r="W313" s="21">
        <f t="shared" si="375"/>
        <v>0.2352430783793022</v>
      </c>
      <c r="X313" s="21">
        <f t="shared" si="375"/>
        <v>0.24971739247456531</v>
      </c>
      <c r="Y313" s="21">
        <f t="shared" si="375"/>
        <v>0.22938527254155447</v>
      </c>
      <c r="Z313" s="21">
        <f t="shared" si="375"/>
        <v>0.24015729151680815</v>
      </c>
      <c r="AA313" s="21">
        <f t="shared" si="375"/>
        <v>0.23177760443751083</v>
      </c>
      <c r="AB313" s="21">
        <f t="shared" si="375"/>
        <v>0.23849769402211091</v>
      </c>
      <c r="AC313" s="21">
        <f t="shared" si="375"/>
        <v>0.21750309310238169</v>
      </c>
      <c r="AD313" s="21">
        <f t="shared" si="375"/>
        <v>0.22617504051863857</v>
      </c>
      <c r="AE313" s="21">
        <f t="shared" si="375"/>
        <v>0.22440952472765835</v>
      </c>
      <c r="AF313" s="21">
        <f t="shared" si="375"/>
        <v>0.2303978292965165</v>
      </c>
      <c r="AG313" s="21"/>
      <c r="AH313" s="21"/>
      <c r="AI313" s="21"/>
      <c r="AJ313" s="21"/>
      <c r="AK313" s="21"/>
      <c r="AL313" s="21"/>
      <c r="AM313" s="21"/>
      <c r="AN313" s="21">
        <f t="shared" ref="AN313:AW313" si="376">+AN289/AN$298</f>
        <v>0.29928831512744125</v>
      </c>
      <c r="AO313" s="21">
        <f t="shared" si="376"/>
        <v>0.30798980098225437</v>
      </c>
      <c r="AP313" s="21">
        <f t="shared" si="376"/>
        <v>0.28413673900518532</v>
      </c>
      <c r="AQ313" s="21">
        <f t="shared" si="376"/>
        <v>0.29638419856168596</v>
      </c>
      <c r="AR313" s="21">
        <f t="shared" si="376"/>
        <v>0.30247005683436651</v>
      </c>
      <c r="AS313" s="21">
        <f t="shared" si="376"/>
        <v>0.29537951675679841</v>
      </c>
      <c r="AT313" s="21">
        <f t="shared" si="376"/>
        <v>0.28011239966372231</v>
      </c>
      <c r="AU313" s="21">
        <f t="shared" si="376"/>
        <v>0.2515281042957897</v>
      </c>
      <c r="AV313" s="21">
        <f t="shared" si="376"/>
        <v>0.27646507266760434</v>
      </c>
      <c r="AW313" s="21">
        <f t="shared" si="376"/>
        <v>0.28225680933852137</v>
      </c>
      <c r="AX313" s="21"/>
      <c r="AY313" s="21">
        <f t="shared" ref="AY313:BE322" si="377">+AY289/AY$298</f>
        <v>0.26184259604625137</v>
      </c>
      <c r="AZ313" s="21">
        <f t="shared" si="377"/>
        <v>0.26481034679147986</v>
      </c>
      <c r="BA313" s="21">
        <f t="shared" si="377"/>
        <v>0.25657847046031168</v>
      </c>
      <c r="BB313" s="21">
        <f t="shared" si="377"/>
        <v>0.25244948070214474</v>
      </c>
      <c r="BC313" s="21">
        <f t="shared" si="377"/>
        <v>0.24693913225885397</v>
      </c>
      <c r="BD313" s="21">
        <f t="shared" si="377"/>
        <v>0.23720908095759363</v>
      </c>
      <c r="BE313" s="21">
        <f t="shared" si="377"/>
        <v>0.22626721137842337</v>
      </c>
      <c r="BF313" s="21"/>
    </row>
    <row r="314" spans="2:58" s="3" customFormat="1">
      <c r="B314" s="13" t="s">
        <v>529</v>
      </c>
      <c r="H314" s="21">
        <f t="shared" ref="H314:AF314" si="378">+H290/H$298</f>
        <v>0.21383619117110544</v>
      </c>
      <c r="I314" s="21">
        <f t="shared" si="378"/>
        <v>0.20645860760473941</v>
      </c>
      <c r="J314" s="21">
        <f t="shared" si="378"/>
        <v>0.22820093055316215</v>
      </c>
      <c r="K314" s="21">
        <f t="shared" si="378"/>
        <v>0.2472563952353056</v>
      </c>
      <c r="L314" s="21">
        <f t="shared" si="378"/>
        <v>0.22397913440378189</v>
      </c>
      <c r="M314" s="21">
        <f t="shared" si="378"/>
        <v>0.21782280932291306</v>
      </c>
      <c r="N314" s="21">
        <f t="shared" si="378"/>
        <v>0.23651142846489429</v>
      </c>
      <c r="O314" s="21">
        <f t="shared" si="378"/>
        <v>0.26561409340202757</v>
      </c>
      <c r="P314" s="21">
        <f t="shared" si="378"/>
        <v>0.24267638564158989</v>
      </c>
      <c r="Q314" s="21">
        <f t="shared" si="378"/>
        <v>0.23993717470974099</v>
      </c>
      <c r="R314" s="21">
        <f t="shared" si="378"/>
        <v>0.26341958064832682</v>
      </c>
      <c r="S314" s="21">
        <f t="shared" si="378"/>
        <v>0.2882818756117092</v>
      </c>
      <c r="T314" s="21">
        <f t="shared" si="378"/>
        <v>0.27808198457116928</v>
      </c>
      <c r="U314" s="21">
        <f t="shared" si="378"/>
        <v>0.2741830596650951</v>
      </c>
      <c r="V314" s="21">
        <f t="shared" si="378"/>
        <v>0.29953456497530051</v>
      </c>
      <c r="W314" s="21">
        <f t="shared" si="378"/>
        <v>0.30441984592327714</v>
      </c>
      <c r="X314" s="21">
        <f t="shared" si="378"/>
        <v>0.3013134521182107</v>
      </c>
      <c r="Y314" s="21">
        <f t="shared" si="378"/>
        <v>0.29550097502089329</v>
      </c>
      <c r="Z314" s="21">
        <f t="shared" si="378"/>
        <v>0.31659713230710207</v>
      </c>
      <c r="AA314" s="21">
        <f t="shared" si="378"/>
        <v>0.33500173340266942</v>
      </c>
      <c r="AB314" s="21">
        <f t="shared" si="378"/>
        <v>0.33252421828452899</v>
      </c>
      <c r="AC314" s="21">
        <f t="shared" si="378"/>
        <v>0.31655969687596658</v>
      </c>
      <c r="AD314" s="21">
        <f t="shared" si="378"/>
        <v>0.34517828200972445</v>
      </c>
      <c r="AE314" s="21">
        <f t="shared" si="378"/>
        <v>0.36323146630675796</v>
      </c>
      <c r="AF314" s="21">
        <f t="shared" si="378"/>
        <v>0.36686484976656958</v>
      </c>
      <c r="AG314" s="21"/>
      <c r="AH314" s="21"/>
      <c r="AI314" s="21"/>
      <c r="AJ314" s="21"/>
      <c r="AK314" s="21"/>
      <c r="AL314" s="21"/>
      <c r="AM314" s="21"/>
      <c r="AN314" s="21">
        <f t="shared" ref="AN314:AW314" si="379">+AN290/AN$298</f>
        <v>0.17562065541211519</v>
      </c>
      <c r="AO314" s="21">
        <f t="shared" si="379"/>
        <v>0.194123586084159</v>
      </c>
      <c r="AP314" s="21">
        <f t="shared" si="379"/>
        <v>0.19216119326547595</v>
      </c>
      <c r="AQ314" s="21">
        <f t="shared" si="379"/>
        <v>0.18945426990549447</v>
      </c>
      <c r="AR314" s="21">
        <f t="shared" si="379"/>
        <v>0.19304694600056971</v>
      </c>
      <c r="AS314" s="21">
        <f t="shared" si="379"/>
        <v>0.19792161749026962</v>
      </c>
      <c r="AT314" s="21">
        <f t="shared" si="379"/>
        <v>0.19641150253935716</v>
      </c>
      <c r="AU314" s="21">
        <f t="shared" si="379"/>
        <v>0.19888865142124384</v>
      </c>
      <c r="AV314" s="21">
        <f t="shared" si="379"/>
        <v>0.22476558837318331</v>
      </c>
      <c r="AW314" s="21">
        <f t="shared" si="379"/>
        <v>0.24188993885491941</v>
      </c>
      <c r="AX314" s="21"/>
      <c r="AY314" s="21">
        <f t="shared" si="377"/>
        <v>0.20911863439892928</v>
      </c>
      <c r="AZ314" s="21">
        <f t="shared" si="377"/>
        <v>0.22417703037143655</v>
      </c>
      <c r="BA314" s="21">
        <f t="shared" si="377"/>
        <v>0.23676150779267852</v>
      </c>
      <c r="BB314" s="21">
        <f t="shared" si="377"/>
        <v>0.25922776793305946</v>
      </c>
      <c r="BC314" s="21">
        <f t="shared" si="377"/>
        <v>0.28933328671817643</v>
      </c>
      <c r="BD314" s="21">
        <f t="shared" si="377"/>
        <v>0.31286587977725955</v>
      </c>
      <c r="BE314" s="21">
        <f t="shared" si="377"/>
        <v>0.33954203863418569</v>
      </c>
      <c r="BF314" s="21"/>
    </row>
    <row r="315" spans="2:58" s="3" customFormat="1">
      <c r="B315" s="13" t="s">
        <v>530</v>
      </c>
      <c r="H315" s="21">
        <f t="shared" ref="H315:AF315" si="380">+H291/H$298</f>
        <v>8.5963152134257564E-2</v>
      </c>
      <c r="I315" s="21">
        <f t="shared" si="380"/>
        <v>0.1400526601099667</v>
      </c>
      <c r="J315" s="21">
        <f t="shared" si="380"/>
        <v>8.2112700327416854E-2</v>
      </c>
      <c r="K315" s="21">
        <f t="shared" si="380"/>
        <v>6.4167154852567854E-2</v>
      </c>
      <c r="L315" s="21">
        <f t="shared" si="380"/>
        <v>7.7267910995191133E-2</v>
      </c>
      <c r="M315" s="21">
        <f t="shared" si="380"/>
        <v>0.13555570924683588</v>
      </c>
      <c r="N315" s="21">
        <f t="shared" si="380"/>
        <v>8.3933032551549269E-2</v>
      </c>
      <c r="O315" s="21">
        <f t="shared" si="380"/>
        <v>7.5984709988366289E-2</v>
      </c>
      <c r="P315" s="21">
        <f t="shared" si="380"/>
        <v>9.4141108513271898E-2</v>
      </c>
      <c r="Q315" s="21">
        <f t="shared" si="380"/>
        <v>0.13033168057651442</v>
      </c>
      <c r="R315" s="21">
        <f t="shared" si="380"/>
        <v>7.7295476104805208E-2</v>
      </c>
      <c r="S315" s="21">
        <f t="shared" si="380"/>
        <v>6.0889165702761219E-2</v>
      </c>
      <c r="T315" s="21">
        <f t="shared" si="380"/>
        <v>7.6902132808954776E-2</v>
      </c>
      <c r="U315" s="21">
        <f t="shared" si="380"/>
        <v>9.0147943423833518E-2</v>
      </c>
      <c r="V315" s="21">
        <f t="shared" si="380"/>
        <v>6.7074041289512012E-2</v>
      </c>
      <c r="W315" s="21">
        <f t="shared" si="380"/>
        <v>8.8265453684957806E-2</v>
      </c>
      <c r="X315" s="21">
        <f t="shared" si="380"/>
        <v>8.3221187489906881E-2</v>
      </c>
      <c r="Y315" s="21">
        <f t="shared" si="380"/>
        <v>0.11679357414801746</v>
      </c>
      <c r="Z315" s="21">
        <f t="shared" si="380"/>
        <v>8.4712031841941204E-2</v>
      </c>
      <c r="AA315" s="21">
        <f t="shared" si="380"/>
        <v>8.0473218928757154E-2</v>
      </c>
      <c r="AB315" s="21">
        <f t="shared" si="380"/>
        <v>7.9285919191473403E-2</v>
      </c>
      <c r="AC315" s="21">
        <f t="shared" si="380"/>
        <v>0.10520414475719146</v>
      </c>
      <c r="AD315" s="21">
        <f t="shared" si="380"/>
        <v>7.5769854132901132E-2</v>
      </c>
      <c r="AE315" s="21">
        <f t="shared" si="380"/>
        <v>6.6615251132748479E-2</v>
      </c>
      <c r="AF315" s="21">
        <f t="shared" si="380"/>
        <v>7.202426080363912E-2</v>
      </c>
      <c r="AG315" s="21"/>
      <c r="AH315" s="21"/>
      <c r="AI315" s="21"/>
      <c r="AJ315" s="21"/>
      <c r="AK315" s="21"/>
      <c r="AL315" s="21"/>
      <c r="AM315" s="21"/>
      <c r="AN315" s="21">
        <f t="shared" ref="AN315:AW315" si="381">+AN291/AN$298</f>
        <v>9.2651439920556106E-2</v>
      </c>
      <c r="AO315" s="21">
        <f t="shared" si="381"/>
        <v>9.3690641203347191E-2</v>
      </c>
      <c r="AP315" s="21">
        <f t="shared" si="381"/>
        <v>8.7318353498495621E-2</v>
      </c>
      <c r="AQ315" s="21">
        <f t="shared" si="381"/>
        <v>0.11585147906152153</v>
      </c>
      <c r="AR315" s="21">
        <f t="shared" si="381"/>
        <v>0.10912469649905729</v>
      </c>
      <c r="AS315" s="21">
        <f t="shared" si="381"/>
        <v>9.1202199129083228E-2</v>
      </c>
      <c r="AT315" s="21">
        <f t="shared" si="381"/>
        <v>9.9535890732785917E-2</v>
      </c>
      <c r="AU315" s="21">
        <f t="shared" si="381"/>
        <v>9.7467407565719172E-2</v>
      </c>
      <c r="AV315" s="21">
        <f t="shared" si="381"/>
        <v>0.11011486169714017</v>
      </c>
      <c r="AW315" s="21">
        <f t="shared" si="381"/>
        <v>0.10290161200667038</v>
      </c>
      <c r="AX315" s="21"/>
      <c r="AY315" s="21">
        <f t="shared" si="377"/>
        <v>0.1009500405906488</v>
      </c>
      <c r="AZ315" s="21">
        <f t="shared" si="377"/>
        <v>9.3723788715038669E-2</v>
      </c>
      <c r="BA315" s="21">
        <f t="shared" si="377"/>
        <v>9.3811163465023564E-2</v>
      </c>
      <c r="BB315" s="21">
        <f t="shared" si="377"/>
        <v>9.0477817598118293E-2</v>
      </c>
      <c r="BC315" s="21">
        <f t="shared" si="377"/>
        <v>8.0935566199349718E-2</v>
      </c>
      <c r="BD315" s="21">
        <f t="shared" si="377"/>
        <v>9.1440197991528249E-2</v>
      </c>
      <c r="BE315" s="21">
        <f t="shared" si="377"/>
        <v>8.1858072325616579E-2</v>
      </c>
      <c r="BF315" s="21"/>
    </row>
    <row r="316" spans="2:58" s="3" customFormat="1">
      <c r="B316" s="13" t="s">
        <v>531</v>
      </c>
      <c r="H316" s="21">
        <f t="shared" ref="H316:AF316" si="382">+H292/H$298</f>
        <v>0.21173841663626414</v>
      </c>
      <c r="I316" s="21">
        <f t="shared" si="382"/>
        <v>0.18605281499264306</v>
      </c>
      <c r="J316" s="21">
        <f t="shared" si="382"/>
        <v>0.1832241943822161</v>
      </c>
      <c r="K316" s="21">
        <f t="shared" si="382"/>
        <v>0.19105643429017771</v>
      </c>
      <c r="L316" s="21">
        <f t="shared" si="382"/>
        <v>0.18921672507946857</v>
      </c>
      <c r="M316" s="21">
        <f t="shared" si="382"/>
        <v>0.16733522373608134</v>
      </c>
      <c r="N316" s="21">
        <f t="shared" si="382"/>
        <v>0.17196763488571534</v>
      </c>
      <c r="O316" s="21">
        <f t="shared" si="382"/>
        <v>0.18028918065481137</v>
      </c>
      <c r="P316" s="21">
        <f t="shared" si="382"/>
        <v>0.16851189657543666</v>
      </c>
      <c r="Q316" s="21">
        <f t="shared" si="382"/>
        <v>0.14653075051584491</v>
      </c>
      <c r="R316" s="21">
        <f t="shared" si="382"/>
        <v>0.16172189329756959</v>
      </c>
      <c r="S316" s="21">
        <f t="shared" si="382"/>
        <v>0.17178278019989915</v>
      </c>
      <c r="T316" s="21">
        <f t="shared" si="382"/>
        <v>0.16194221751626078</v>
      </c>
      <c r="U316" s="21">
        <f t="shared" si="382"/>
        <v>0.15154717390126266</v>
      </c>
      <c r="V316" s="21">
        <f t="shared" si="382"/>
        <v>0.14905342508780445</v>
      </c>
      <c r="W316" s="21">
        <f t="shared" si="382"/>
        <v>0.16112323508532064</v>
      </c>
      <c r="X316" s="21">
        <f t="shared" si="382"/>
        <v>0.1427840878505679</v>
      </c>
      <c r="Y316" s="21">
        <f t="shared" si="382"/>
        <v>0.13269570062215619</v>
      </c>
      <c r="Z316" s="21">
        <f t="shared" si="382"/>
        <v>0.13537620486260971</v>
      </c>
      <c r="AA316" s="21">
        <f t="shared" si="382"/>
        <v>0.14213901889408909</v>
      </c>
      <c r="AB316" s="21">
        <f t="shared" si="382"/>
        <v>0.12525100955491317</v>
      </c>
      <c r="AC316" s="21">
        <f t="shared" si="382"/>
        <v>0.12759047324466441</v>
      </c>
      <c r="AD316" s="21">
        <f t="shared" si="382"/>
        <v>0.12311588330632091</v>
      </c>
      <c r="AE316" s="21">
        <f t="shared" si="382"/>
        <v>0.12355152800539863</v>
      </c>
      <c r="AF316" s="21">
        <f t="shared" si="382"/>
        <v>0.10600135668967718</v>
      </c>
      <c r="AG316" s="21"/>
      <c r="AH316" s="21"/>
      <c r="AI316" s="21"/>
      <c r="AJ316" s="21"/>
      <c r="AK316" s="21"/>
      <c r="AL316" s="21"/>
      <c r="AM316" s="21"/>
      <c r="AN316" s="21">
        <f t="shared" ref="AN316:AW316" si="383">+AN292/AN$298</f>
        <v>0.27868255544521681</v>
      </c>
      <c r="AO316" s="21">
        <f t="shared" si="383"/>
        <v>0.25074866950733266</v>
      </c>
      <c r="AP316" s="21">
        <f t="shared" si="383"/>
        <v>0.2916746687151911</v>
      </c>
      <c r="AQ316" s="21">
        <f t="shared" si="383"/>
        <v>0.25485037816507727</v>
      </c>
      <c r="AR316" s="21">
        <f t="shared" si="383"/>
        <v>0.23493346716764105</v>
      </c>
      <c r="AS316" s="21">
        <f t="shared" si="383"/>
        <v>0.22516666880756336</v>
      </c>
      <c r="AT316" s="21">
        <f t="shared" si="383"/>
        <v>0.19411974710075663</v>
      </c>
      <c r="AU316" s="21">
        <f t="shared" si="383"/>
        <v>0.15843128873690959</v>
      </c>
      <c r="AV316" s="21">
        <f t="shared" si="383"/>
        <v>9.4983591186122832E-2</v>
      </c>
      <c r="AW316" s="21">
        <f t="shared" si="383"/>
        <v>9.5886603668704842E-2</v>
      </c>
      <c r="AX316" s="21"/>
      <c r="AY316" s="21">
        <f t="shared" si="377"/>
        <v>0.19250937973100468</v>
      </c>
      <c r="AZ316" s="21">
        <f t="shared" si="377"/>
        <v>0.1925319195203529</v>
      </c>
      <c r="BA316" s="21">
        <f t="shared" si="377"/>
        <v>0.1768575570859007</v>
      </c>
      <c r="BB316" s="21">
        <f t="shared" si="377"/>
        <v>0.16206702001700532</v>
      </c>
      <c r="BC316" s="21">
        <f t="shared" si="377"/>
        <v>0.15588574625039331</v>
      </c>
      <c r="BD316" s="21">
        <f t="shared" si="377"/>
        <v>0.13818357051068489</v>
      </c>
      <c r="BE316" s="21">
        <f t="shared" si="377"/>
        <v>0.12488525747717759</v>
      </c>
      <c r="BF316" s="21"/>
    </row>
    <row r="317" spans="2:58" s="3" customFormat="1">
      <c r="B317" s="13" t="s">
        <v>532</v>
      </c>
      <c r="H317" s="21">
        <f t="shared" ref="H317:AF317" si="384">+H293/H$298</f>
        <v>6.5167821962787309E-2</v>
      </c>
      <c r="I317" s="21">
        <f t="shared" si="384"/>
        <v>6.2146673894524898E-2</v>
      </c>
      <c r="J317" s="21">
        <f t="shared" si="384"/>
        <v>6.8886782698604168E-2</v>
      </c>
      <c r="K317" s="21">
        <f t="shared" si="384"/>
        <v>6.1941027143136103E-2</v>
      </c>
      <c r="L317" s="21">
        <f t="shared" si="384"/>
        <v>6.6794359768522285E-2</v>
      </c>
      <c r="M317" s="21">
        <f t="shared" si="384"/>
        <v>6.2936579293173797E-2</v>
      </c>
      <c r="N317" s="21">
        <f t="shared" si="384"/>
        <v>6.6520004474439759E-2</v>
      </c>
      <c r="O317" s="21">
        <f t="shared" si="384"/>
        <v>5.8800066478311451E-2</v>
      </c>
      <c r="P317" s="21">
        <f t="shared" si="384"/>
        <v>6.1477100811442718E-2</v>
      </c>
      <c r="Q317" s="21">
        <f t="shared" si="384"/>
        <v>6.0854300760678756E-2</v>
      </c>
      <c r="R317" s="21">
        <f t="shared" si="384"/>
        <v>6.2510222105917376E-2</v>
      </c>
      <c r="S317" s="21">
        <f t="shared" si="384"/>
        <v>5.7923302784945278E-2</v>
      </c>
      <c r="T317" s="21">
        <f t="shared" si="384"/>
        <v>6.0232945091514146E-2</v>
      </c>
      <c r="U317" s="21">
        <f t="shared" si="384"/>
        <v>5.8608356364818731E-2</v>
      </c>
      <c r="V317" s="21">
        <f t="shared" si="384"/>
        <v>5.670883184375089E-2</v>
      </c>
      <c r="W317" s="21">
        <f t="shared" si="384"/>
        <v>4.2068729787289982E-2</v>
      </c>
      <c r="X317" s="21">
        <f t="shared" si="384"/>
        <v>4.8150939333584539E-2</v>
      </c>
      <c r="Y317" s="21">
        <f t="shared" si="384"/>
        <v>5.0701086451852541E-2</v>
      </c>
      <c r="Z317" s="21">
        <f t="shared" si="384"/>
        <v>5.3181796384213303E-2</v>
      </c>
      <c r="AA317" s="21">
        <f t="shared" si="384"/>
        <v>5.0637025481019241E-2</v>
      </c>
      <c r="AB317" s="21">
        <f t="shared" si="384"/>
        <v>5.8609351898845904E-2</v>
      </c>
      <c r="AC317" s="21">
        <f t="shared" si="384"/>
        <v>5.9232910609341168E-2</v>
      </c>
      <c r="AD317" s="21">
        <f t="shared" si="384"/>
        <v>5.9663695299837928E-2</v>
      </c>
      <c r="AE317" s="21">
        <f t="shared" si="384"/>
        <v>5.6415694591728523E-2</v>
      </c>
      <c r="AF317" s="21">
        <f t="shared" si="384"/>
        <v>5.8417461394198157E-2</v>
      </c>
      <c r="AG317" s="21"/>
      <c r="AH317" s="21"/>
      <c r="AI317" s="21"/>
      <c r="AJ317" s="21"/>
      <c r="AK317" s="21"/>
      <c r="AL317" s="21"/>
      <c r="AM317" s="21"/>
      <c r="AN317" s="21">
        <f t="shared" ref="AN317:AW317" si="385">+AN293/AN$298</f>
        <v>4.0135716650115859E-2</v>
      </c>
      <c r="AO317" s="21">
        <f t="shared" si="385"/>
        <v>4.0128685593031815E-2</v>
      </c>
      <c r="AP317" s="21">
        <f t="shared" si="385"/>
        <v>4.0458357339478904E-2</v>
      </c>
      <c r="AQ317" s="21">
        <f t="shared" si="385"/>
        <v>4.1648199247959053E-2</v>
      </c>
      <c r="AR317" s="21">
        <f t="shared" si="385"/>
        <v>4.3147999945742851E-2</v>
      </c>
      <c r="AS317" s="21">
        <f t="shared" si="385"/>
        <v>4.3507302598620408E-2</v>
      </c>
      <c r="AT317" s="21">
        <f t="shared" si="385"/>
        <v>4.6249697695576568E-2</v>
      </c>
      <c r="AU317" s="21">
        <f t="shared" si="385"/>
        <v>4.8696302628766827E-2</v>
      </c>
      <c r="AV317" s="21">
        <f t="shared" si="385"/>
        <v>7.1472105016408813E-2</v>
      </c>
      <c r="AW317" s="21">
        <f t="shared" si="385"/>
        <v>7.7498610339077262E-2</v>
      </c>
      <c r="AX317" s="21"/>
      <c r="AY317" s="21">
        <f t="shared" si="377"/>
        <v>5.9547578822651777E-2</v>
      </c>
      <c r="AZ317" s="21">
        <f t="shared" si="377"/>
        <v>6.4398214784976857E-2</v>
      </c>
      <c r="BA317" s="21">
        <f t="shared" si="377"/>
        <v>6.3537513591881117E-2</v>
      </c>
      <c r="BB317" s="21">
        <f t="shared" si="377"/>
        <v>6.061521101690201E-2</v>
      </c>
      <c r="BC317" s="21">
        <f t="shared" si="377"/>
        <v>5.4120197182113763E-2</v>
      </c>
      <c r="BD317" s="21">
        <f t="shared" si="377"/>
        <v>5.0735329113321591E-2</v>
      </c>
      <c r="BE317" s="21">
        <f t="shared" si="377"/>
        <v>5.8460684924597772E-2</v>
      </c>
      <c r="BF317" s="21"/>
    </row>
    <row r="318" spans="2:58" s="3" customFormat="1">
      <c r="B318" s="13" t="s">
        <v>533</v>
      </c>
      <c r="H318" s="21">
        <f t="shared" ref="H318:AF318" si="386">+H294/H$298</f>
        <v>6.1793141189346951E-2</v>
      </c>
      <c r="I318" s="21">
        <f t="shared" si="386"/>
        <v>5.3086037326725004E-2</v>
      </c>
      <c r="J318" s="21">
        <f t="shared" si="386"/>
        <v>5.9581251077029121E-2</v>
      </c>
      <c r="K318" s="21">
        <f t="shared" si="386"/>
        <v>5.5965631712556141E-2</v>
      </c>
      <c r="L318" s="21">
        <f t="shared" si="386"/>
        <v>5.5872524248104981E-2</v>
      </c>
      <c r="M318" s="21">
        <f t="shared" si="386"/>
        <v>4.9623072135002423E-2</v>
      </c>
      <c r="N318" s="21">
        <f t="shared" si="386"/>
        <v>5.5520340057421978E-2</v>
      </c>
      <c r="O318" s="21">
        <f t="shared" si="386"/>
        <v>5.1553930530164535E-2</v>
      </c>
      <c r="P318" s="21">
        <f t="shared" si="386"/>
        <v>4.9855590702791913E-2</v>
      </c>
      <c r="Q318" s="21">
        <f t="shared" si="386"/>
        <v>4.684179729604878E-2</v>
      </c>
      <c r="R318" s="21">
        <f t="shared" si="386"/>
        <v>5.0439959438683721E-2</v>
      </c>
      <c r="S318" s="21">
        <f t="shared" si="386"/>
        <v>4.778005160601477E-2</v>
      </c>
      <c r="T318" s="21">
        <f t="shared" si="386"/>
        <v>4.6740281349266374E-2</v>
      </c>
      <c r="U318" s="21">
        <f t="shared" si="386"/>
        <v>4.3678534655611556E-2</v>
      </c>
      <c r="V318" s="21">
        <f t="shared" si="386"/>
        <v>4.6629165357928097E-2</v>
      </c>
      <c r="W318" s="21">
        <f t="shared" si="386"/>
        <v>4.2568295953514051E-2</v>
      </c>
      <c r="X318" s="21">
        <f t="shared" si="386"/>
        <v>4.4059858965387305E-2</v>
      </c>
      <c r="Y318" s="21">
        <f t="shared" si="386"/>
        <v>3.9349057479803141E-2</v>
      </c>
      <c r="Z318" s="21">
        <f t="shared" si="386"/>
        <v>4.3231189756869515E-2</v>
      </c>
      <c r="AA318" s="21">
        <f t="shared" si="386"/>
        <v>3.9174900329346507E-2</v>
      </c>
      <c r="AB318" s="21">
        <f t="shared" si="386"/>
        <v>3.9521592338416046E-2</v>
      </c>
      <c r="AC318" s="21">
        <f t="shared" si="386"/>
        <v>3.5242035261367148E-2</v>
      </c>
      <c r="AD318" s="21">
        <f t="shared" si="386"/>
        <v>3.8310372771474879E-2</v>
      </c>
      <c r="AE318" s="21">
        <f t="shared" si="386"/>
        <v>3.6672129567145474E-2</v>
      </c>
      <c r="AF318" s="21">
        <f t="shared" si="386"/>
        <v>3.7428674035353736E-2</v>
      </c>
      <c r="AG318" s="21"/>
      <c r="AH318" s="21"/>
      <c r="AI318" s="21"/>
      <c r="AJ318" s="21"/>
      <c r="AK318" s="21"/>
      <c r="AL318" s="21"/>
      <c r="AM318" s="21"/>
      <c r="AN318" s="21">
        <f t="shared" ref="AN318:AW318" si="387">+AN294/AN$298</f>
        <v>4.5398874544852696E-2</v>
      </c>
      <c r="AO318" s="21">
        <f t="shared" si="387"/>
        <v>5.1748036346835051E-2</v>
      </c>
      <c r="AP318" s="21">
        <f t="shared" si="387"/>
        <v>4.8588438640291914E-2</v>
      </c>
      <c r="AQ318" s="21">
        <f t="shared" si="387"/>
        <v>4.8210685844187411E-2</v>
      </c>
      <c r="AR318" s="21">
        <f t="shared" si="387"/>
        <v>5.3931608860192881E-2</v>
      </c>
      <c r="AS318" s="21">
        <f t="shared" si="387"/>
        <v>5.6160002055260824E-2</v>
      </c>
      <c r="AT318" s="21">
        <f t="shared" si="387"/>
        <v>5.4898483295521286E-2</v>
      </c>
      <c r="AU318" s="21">
        <f t="shared" si="387"/>
        <v>5.4391964094892074E-2</v>
      </c>
      <c r="AV318" s="21">
        <f t="shared" si="387"/>
        <v>6.6115799343647447E-2</v>
      </c>
      <c r="AW318" s="21">
        <f t="shared" si="387"/>
        <v>6.2123401889938853E-2</v>
      </c>
      <c r="AX318" s="21"/>
      <c r="AY318" s="21">
        <f t="shared" si="377"/>
        <v>6.2081751760756525E-2</v>
      </c>
      <c r="AZ318" s="21">
        <f t="shared" si="377"/>
        <v>5.7387828644209958E-2</v>
      </c>
      <c r="BA318" s="21">
        <f t="shared" si="377"/>
        <v>5.2972091337441102E-2</v>
      </c>
      <c r="BB318" s="21">
        <f t="shared" si="377"/>
        <v>4.8663811256883578E-2</v>
      </c>
      <c r="BC318" s="21">
        <f t="shared" si="377"/>
        <v>4.4813481103380765E-2</v>
      </c>
      <c r="BD318" s="21">
        <f t="shared" si="377"/>
        <v>4.1305744609966208E-2</v>
      </c>
      <c r="BE318" s="21">
        <f t="shared" si="377"/>
        <v>3.7358147980027234E-2</v>
      </c>
      <c r="BF318" s="21"/>
    </row>
    <row r="319" spans="2:58" s="3" customFormat="1">
      <c r="B319" s="13" t="s">
        <v>527</v>
      </c>
      <c r="H319" s="21">
        <f t="shared" ref="H319:AF319" si="388">+H295/H$298</f>
        <v>6.2112367748996714E-2</v>
      </c>
      <c r="I319" s="21">
        <f t="shared" si="388"/>
        <v>6.5708975451095789E-2</v>
      </c>
      <c r="J319" s="21">
        <f t="shared" si="388"/>
        <v>4.1271755988281922E-2</v>
      </c>
      <c r="K319" s="21">
        <f t="shared" si="388"/>
        <v>4.0812341339582114E-2</v>
      </c>
      <c r="L319" s="21">
        <f t="shared" si="388"/>
        <v>4.7029097725976035E-2</v>
      </c>
      <c r="M319" s="21">
        <f t="shared" si="388"/>
        <v>5.1110035272148836E-2</v>
      </c>
      <c r="N319" s="21">
        <f t="shared" si="388"/>
        <v>4.5452850590998919E-2</v>
      </c>
      <c r="O319" s="21">
        <f t="shared" si="388"/>
        <v>4.2645836795745386E-2</v>
      </c>
      <c r="P319" s="21">
        <f t="shared" si="388"/>
        <v>4.3357172328427999E-2</v>
      </c>
      <c r="Q319" s="21">
        <f t="shared" si="388"/>
        <v>5.9991992855163066E-2</v>
      </c>
      <c r="R319" s="21">
        <f t="shared" si="388"/>
        <v>4.6547381505348207E-2</v>
      </c>
      <c r="S319" s="21">
        <f t="shared" si="388"/>
        <v>4.3390574487647181E-2</v>
      </c>
      <c r="T319" s="21">
        <f t="shared" si="388"/>
        <v>3.6363636363636362E-2</v>
      </c>
      <c r="U319" s="21">
        <f t="shared" si="388"/>
        <v>5.5492331870156612E-2</v>
      </c>
      <c r="V319" s="21">
        <f t="shared" si="388"/>
        <v>4.0318665943291171E-2</v>
      </c>
      <c r="W319" s="21">
        <f t="shared" si="388"/>
        <v>4.7195856230115955E-2</v>
      </c>
      <c r="X319" s="21">
        <f t="shared" si="388"/>
        <v>4.3602303924207352E-2</v>
      </c>
      <c r="Y319" s="21">
        <f t="shared" si="388"/>
        <v>4.9215340328721331E-2</v>
      </c>
      <c r="Z319" s="21">
        <f t="shared" si="388"/>
        <v>3.833980722198245E-2</v>
      </c>
      <c r="AA319" s="21">
        <f t="shared" si="388"/>
        <v>3.1461258450338016E-2</v>
      </c>
      <c r="AB319" s="21">
        <f t="shared" si="388"/>
        <v>3.0032879493346869E-2</v>
      </c>
      <c r="AC319" s="21">
        <f t="shared" si="388"/>
        <v>4.4173368388493658E-2</v>
      </c>
      <c r="AD319" s="21">
        <f t="shared" si="388"/>
        <v>3.5737439222042137E-2</v>
      </c>
      <c r="AE319" s="21">
        <f t="shared" si="388"/>
        <v>3.048298467174395E-2</v>
      </c>
      <c r="AF319" s="21">
        <f t="shared" si="388"/>
        <v>2.8889509596584335E-2</v>
      </c>
      <c r="AG319" s="21"/>
      <c r="AH319" s="21"/>
      <c r="AI319" s="21"/>
      <c r="AJ319" s="21"/>
      <c r="AK319" s="21"/>
      <c r="AL319" s="21"/>
      <c r="AM319" s="21"/>
      <c r="AN319" s="21">
        <f t="shared" ref="AN319:AW319" si="389">+AN295/AN$298</f>
        <v>0</v>
      </c>
      <c r="AO319" s="21">
        <f t="shared" si="389"/>
        <v>0</v>
      </c>
      <c r="AP319" s="21">
        <f t="shared" si="389"/>
        <v>0</v>
      </c>
      <c r="AQ319" s="21">
        <f t="shared" si="389"/>
        <v>0</v>
      </c>
      <c r="AR319" s="21">
        <f t="shared" si="389"/>
        <v>2.1974146467181204E-3</v>
      </c>
      <c r="AS319" s="21">
        <f t="shared" si="389"/>
        <v>1.8857018073449885E-2</v>
      </c>
      <c r="AT319" s="21">
        <f t="shared" si="389"/>
        <v>5.7075075144242399E-2</v>
      </c>
      <c r="AU319" s="21">
        <f t="shared" si="389"/>
        <v>0.12397948279546912</v>
      </c>
      <c r="AV319" s="21">
        <f t="shared" si="389"/>
        <v>8.7505860290670423E-2</v>
      </c>
      <c r="AW319" s="21">
        <f t="shared" si="389"/>
        <v>5.0661478599221793E-2</v>
      </c>
      <c r="AX319" s="21"/>
      <c r="AY319" s="21">
        <f t="shared" si="377"/>
        <v>8.6534875046624396E-2</v>
      </c>
      <c r="AZ319" s="21">
        <f t="shared" si="377"/>
        <v>5.241739238487745E-2</v>
      </c>
      <c r="BA319" s="21">
        <f t="shared" si="377"/>
        <v>4.6520478434215293E-2</v>
      </c>
      <c r="BB319" s="21">
        <f t="shared" si="377"/>
        <v>4.8433365383851304E-2</v>
      </c>
      <c r="BC319" s="21">
        <f t="shared" si="377"/>
        <v>4.5149110233192326E-2</v>
      </c>
      <c r="BD319" s="21">
        <f t="shared" si="377"/>
        <v>4.0401456379991436E-2</v>
      </c>
      <c r="BE319" s="21">
        <f t="shared" si="377"/>
        <v>3.5259998991274522E-2</v>
      </c>
      <c r="BF319" s="21"/>
    </row>
    <row r="320" spans="2:58" s="3" customFormat="1">
      <c r="B320" s="13" t="s">
        <v>388</v>
      </c>
      <c r="H320" s="228">
        <f t="shared" ref="H320:AF320" si="390">+H296/H$298</f>
        <v>0</v>
      </c>
      <c r="I320" s="228">
        <f t="shared" si="390"/>
        <v>8.8283125532409197E-3</v>
      </c>
      <c r="J320" s="228">
        <f t="shared" si="390"/>
        <v>4.2047216956746514E-2</v>
      </c>
      <c r="K320" s="228">
        <f t="shared" si="390"/>
        <v>4.167154852567858E-2</v>
      </c>
      <c r="L320" s="228">
        <f t="shared" si="390"/>
        <v>4.678457902029505E-2</v>
      </c>
      <c r="M320" s="228">
        <f t="shared" si="390"/>
        <v>4.536966595200221E-2</v>
      </c>
      <c r="N320" s="228">
        <f t="shared" si="390"/>
        <v>4.9778142361758454E-2</v>
      </c>
      <c r="O320" s="228">
        <f t="shared" si="390"/>
        <v>4.8662123982050859E-2</v>
      </c>
      <c r="P320" s="228">
        <f t="shared" si="390"/>
        <v>5.2606243982945951E-2</v>
      </c>
      <c r="Q320" s="228">
        <f t="shared" si="390"/>
        <v>5.2138831572788029E-2</v>
      </c>
      <c r="R320" s="228">
        <f t="shared" si="390"/>
        <v>5.5477413234764975E-2</v>
      </c>
      <c r="S320" s="228">
        <f t="shared" si="390"/>
        <v>5.4423584541922469E-2</v>
      </c>
      <c r="T320" s="228">
        <f t="shared" si="390"/>
        <v>5.775223112993496E-2</v>
      </c>
      <c r="U320" s="228">
        <f t="shared" si="390"/>
        <v>5.6955508589389262E-2</v>
      </c>
      <c r="V320" s="228">
        <f t="shared" si="390"/>
        <v>5.8536306787356156E-2</v>
      </c>
      <c r="W320" s="228">
        <f t="shared" si="390"/>
        <v>5.3006599531985381E-2</v>
      </c>
      <c r="X320" s="228">
        <f t="shared" si="390"/>
        <v>5.9374495343704578E-2</v>
      </c>
      <c r="Y320" s="228">
        <f t="shared" si="390"/>
        <v>5.9824496239205126E-2</v>
      </c>
      <c r="Z320" s="228">
        <f t="shared" si="390"/>
        <v>6.1430010070493452E-2</v>
      </c>
      <c r="AA320" s="228">
        <f t="shared" si="390"/>
        <v>6.3789218235396086E-2</v>
      </c>
      <c r="AB320" s="228">
        <f t="shared" si="390"/>
        <v>6.9201403446830109E-2</v>
      </c>
      <c r="AC320" s="228">
        <f t="shared" si="390"/>
        <v>6.826090318589545E-2</v>
      </c>
      <c r="AD320" s="228">
        <f t="shared" si="390"/>
        <v>6.9631280388978936E-2</v>
      </c>
      <c r="AE320" s="228">
        <f t="shared" si="390"/>
        <v>7.1570423214113568E-2</v>
      </c>
      <c r="AF320" s="228">
        <f t="shared" si="390"/>
        <v>7.3081680699094209E-2</v>
      </c>
      <c r="AG320" s="228"/>
      <c r="AH320" s="228"/>
      <c r="AI320" s="228"/>
      <c r="AJ320" s="228"/>
      <c r="AK320" s="228"/>
      <c r="AL320" s="228"/>
      <c r="AM320" s="228"/>
      <c r="AN320" s="228">
        <f t="shared" ref="AN320:AW320" si="391">+AN296/AN$298</f>
        <v>0</v>
      </c>
      <c r="AO320" s="228">
        <f t="shared" si="391"/>
        <v>0</v>
      </c>
      <c r="AP320" s="228">
        <f t="shared" si="391"/>
        <v>0</v>
      </c>
      <c r="AQ320" s="228">
        <f t="shared" si="391"/>
        <v>0</v>
      </c>
      <c r="AR320" s="228">
        <f t="shared" si="391"/>
        <v>0</v>
      </c>
      <c r="AS320" s="228">
        <f t="shared" si="391"/>
        <v>0</v>
      </c>
      <c r="AT320" s="228">
        <f t="shared" si="391"/>
        <v>0</v>
      </c>
      <c r="AU320" s="228">
        <f t="shared" si="391"/>
        <v>0</v>
      </c>
      <c r="AV320" s="228">
        <f t="shared" si="391"/>
        <v>0</v>
      </c>
      <c r="AW320" s="228">
        <f t="shared" si="391"/>
        <v>2.5214007782101169E-2</v>
      </c>
      <c r="AX320" s="228"/>
      <c r="AY320" s="228">
        <f t="shared" si="377"/>
        <v>0</v>
      </c>
      <c r="AZ320" s="228">
        <f t="shared" si="377"/>
        <v>2.3516376551966946E-2</v>
      </c>
      <c r="BA320" s="228">
        <f t="shared" si="377"/>
        <v>4.7653135193910838E-2</v>
      </c>
      <c r="BB320" s="228">
        <f t="shared" si="377"/>
        <v>5.3670049188274276E-2</v>
      </c>
      <c r="BC320" s="228">
        <f t="shared" si="377"/>
        <v>5.647659336433241E-2</v>
      </c>
      <c r="BD320" s="228">
        <f t="shared" si="377"/>
        <v>6.1211984198753032E-2</v>
      </c>
      <c r="BE320" s="228">
        <f t="shared" si="377"/>
        <v>6.9682755837998683E-2</v>
      </c>
      <c r="BF320" s="23"/>
    </row>
    <row r="321" spans="2:58" s="839" customFormat="1" ht="11.45">
      <c r="B321" s="13" t="s">
        <v>200</v>
      </c>
      <c r="H321" s="840">
        <f t="shared" ref="H321:AF321" si="392">+H297/H$298</f>
        <v>2.6587012039401677E-2</v>
      </c>
      <c r="I321" s="840">
        <f t="shared" si="392"/>
        <v>2.8343529776194532E-2</v>
      </c>
      <c r="J321" s="840">
        <f t="shared" si="392"/>
        <v>2.6107185938307773E-2</v>
      </c>
      <c r="K321" s="840">
        <f t="shared" si="392"/>
        <v>2.6947861745752782E-2</v>
      </c>
      <c r="L321" s="840">
        <f t="shared" si="392"/>
        <v>2.510392044991442E-2</v>
      </c>
      <c r="M321" s="840">
        <f t="shared" si="392"/>
        <v>2.558959817414759E-2</v>
      </c>
      <c r="N321" s="840">
        <f t="shared" si="392"/>
        <v>2.6026324620604797E-2</v>
      </c>
      <c r="O321" s="840">
        <f t="shared" si="392"/>
        <v>2.456373608110354E-2</v>
      </c>
      <c r="P321" s="840">
        <f t="shared" si="392"/>
        <v>2.5306010177417137E-2</v>
      </c>
      <c r="Q321" s="840">
        <f t="shared" si="392"/>
        <v>2.4791352283576113E-2</v>
      </c>
      <c r="R321" s="840">
        <f t="shared" si="392"/>
        <v>2.4533054201694417E-2</v>
      </c>
      <c r="S321" s="840">
        <f t="shared" si="392"/>
        <v>2.3104072129786161E-2</v>
      </c>
      <c r="T321" s="840">
        <f t="shared" si="392"/>
        <v>2.586598094085615E-2</v>
      </c>
      <c r="U321" s="840">
        <f t="shared" si="392"/>
        <v>2.5984934698964939E-2</v>
      </c>
      <c r="V321" s="840">
        <f t="shared" si="392"/>
        <v>2.7440678450072812E-2</v>
      </c>
      <c r="W321" s="840">
        <f t="shared" si="392"/>
        <v>2.6108905424236845E-2</v>
      </c>
      <c r="X321" s="840">
        <f t="shared" si="392"/>
        <v>2.7776282499865426E-2</v>
      </c>
      <c r="Y321" s="840">
        <f t="shared" si="392"/>
        <v>2.6534497167796454E-2</v>
      </c>
      <c r="Z321" s="840">
        <f t="shared" si="392"/>
        <v>2.6974536037980147E-2</v>
      </c>
      <c r="AA321" s="840">
        <f t="shared" si="392"/>
        <v>2.5546021840873633E-2</v>
      </c>
      <c r="AB321" s="840">
        <f t="shared" si="392"/>
        <v>2.7075931769534611E-2</v>
      </c>
      <c r="AC321" s="840">
        <f t="shared" si="392"/>
        <v>2.6233374574698421E-2</v>
      </c>
      <c r="AD321" s="840">
        <f t="shared" si="392"/>
        <v>2.6418152350081037E-2</v>
      </c>
      <c r="AE321" s="840">
        <f t="shared" si="392"/>
        <v>2.7050997782705099E-2</v>
      </c>
      <c r="AF321" s="840">
        <f t="shared" si="392"/>
        <v>2.6894377718367186E-2</v>
      </c>
      <c r="AG321" s="840"/>
      <c r="AH321" s="840"/>
      <c r="AI321" s="840"/>
      <c r="AJ321" s="840"/>
      <c r="AK321" s="840"/>
      <c r="AL321" s="840"/>
      <c r="AM321" s="840"/>
      <c r="AN321" s="840">
        <f t="shared" ref="AN321:AW321" si="393">+AN297/AN$298</f>
        <v>6.8222442899702085E-2</v>
      </c>
      <c r="AO321" s="840">
        <f t="shared" si="393"/>
        <v>6.1570580283039855E-2</v>
      </c>
      <c r="AP321" s="840">
        <f t="shared" si="393"/>
        <v>5.5662249535881184E-2</v>
      </c>
      <c r="AQ321" s="840">
        <f t="shared" si="393"/>
        <v>5.3600789214074317E-2</v>
      </c>
      <c r="AR321" s="840">
        <f t="shared" si="393"/>
        <v>6.1147810045711654E-2</v>
      </c>
      <c r="AS321" s="840">
        <f t="shared" si="393"/>
        <v>7.180567508895426E-2</v>
      </c>
      <c r="AT321" s="840">
        <f t="shared" si="393"/>
        <v>7.1597203828037734E-2</v>
      </c>
      <c r="AU321" s="840">
        <f t="shared" si="393"/>
        <v>6.6616798461209659E-2</v>
      </c>
      <c r="AV321" s="840">
        <f t="shared" si="393"/>
        <v>6.8577121425222695E-2</v>
      </c>
      <c r="AW321" s="840">
        <f t="shared" si="393"/>
        <v>6.1567537520844914E-2</v>
      </c>
      <c r="AX321" s="840"/>
      <c r="AY321" s="840">
        <f t="shared" si="377"/>
        <v>2.7415143603133161E-2</v>
      </c>
      <c r="AZ321" s="840">
        <f t="shared" si="377"/>
        <v>2.7037102235660811E-2</v>
      </c>
      <c r="BA321" s="840">
        <f t="shared" si="377"/>
        <v>2.5308082638637187E-2</v>
      </c>
      <c r="BB321" s="840">
        <f t="shared" si="377"/>
        <v>2.4395476903761034E-2</v>
      </c>
      <c r="BC321" s="840">
        <f t="shared" si="377"/>
        <v>2.6346886690207322E-2</v>
      </c>
      <c r="BD321" s="840">
        <f t="shared" si="377"/>
        <v>2.6646756460901432E-2</v>
      </c>
      <c r="BE321" s="840">
        <f t="shared" si="377"/>
        <v>2.6685832450698544E-2</v>
      </c>
      <c r="BF321" s="920"/>
    </row>
    <row r="322" spans="2:58" s="7" customFormat="1">
      <c r="B322" s="841" t="s">
        <v>523</v>
      </c>
      <c r="H322" s="842">
        <f t="shared" ref="H322:AF322" si="394">+H298/H$298</f>
        <v>1</v>
      </c>
      <c r="I322" s="842">
        <f t="shared" si="394"/>
        <v>1</v>
      </c>
      <c r="J322" s="842">
        <f t="shared" si="394"/>
        <v>1</v>
      </c>
      <c r="K322" s="842">
        <f t="shared" si="394"/>
        <v>1</v>
      </c>
      <c r="L322" s="842">
        <f t="shared" si="394"/>
        <v>1</v>
      </c>
      <c r="M322" s="842">
        <f t="shared" si="394"/>
        <v>1</v>
      </c>
      <c r="N322" s="842">
        <f t="shared" si="394"/>
        <v>1</v>
      </c>
      <c r="O322" s="842">
        <f t="shared" si="394"/>
        <v>1</v>
      </c>
      <c r="P322" s="842">
        <f t="shared" si="394"/>
        <v>1</v>
      </c>
      <c r="Q322" s="842">
        <f t="shared" si="394"/>
        <v>1</v>
      </c>
      <c r="R322" s="842">
        <f t="shared" si="394"/>
        <v>1</v>
      </c>
      <c r="S322" s="842">
        <f t="shared" si="394"/>
        <v>1</v>
      </c>
      <c r="T322" s="842">
        <f t="shared" si="394"/>
        <v>1</v>
      </c>
      <c r="U322" s="842">
        <f t="shared" si="394"/>
        <v>1</v>
      </c>
      <c r="V322" s="842">
        <f t="shared" si="394"/>
        <v>1</v>
      </c>
      <c r="W322" s="842">
        <f t="shared" si="394"/>
        <v>1</v>
      </c>
      <c r="X322" s="842">
        <f t="shared" si="394"/>
        <v>1</v>
      </c>
      <c r="Y322" s="842">
        <f t="shared" si="394"/>
        <v>1</v>
      </c>
      <c r="Z322" s="842">
        <f t="shared" si="394"/>
        <v>1</v>
      </c>
      <c r="AA322" s="842">
        <f t="shared" si="394"/>
        <v>1</v>
      </c>
      <c r="AB322" s="842">
        <f t="shared" si="394"/>
        <v>1</v>
      </c>
      <c r="AC322" s="842">
        <f t="shared" si="394"/>
        <v>1</v>
      </c>
      <c r="AD322" s="842">
        <f t="shared" si="394"/>
        <v>1</v>
      </c>
      <c r="AE322" s="842">
        <f t="shared" si="394"/>
        <v>1</v>
      </c>
      <c r="AF322" s="842">
        <f t="shared" si="394"/>
        <v>1</v>
      </c>
      <c r="AG322" s="842"/>
      <c r="AH322" s="842"/>
      <c r="AI322" s="842"/>
      <c r="AJ322" s="842"/>
      <c r="AK322" s="842"/>
      <c r="AL322" s="842"/>
      <c r="AM322" s="842"/>
      <c r="AN322" s="842">
        <f t="shared" ref="AN322:AW322" si="395">+AN298/AN$298</f>
        <v>1</v>
      </c>
      <c r="AO322" s="842">
        <f t="shared" si="395"/>
        <v>1</v>
      </c>
      <c r="AP322" s="842">
        <f t="shared" si="395"/>
        <v>1</v>
      </c>
      <c r="AQ322" s="842">
        <f t="shared" si="395"/>
        <v>1</v>
      </c>
      <c r="AR322" s="842">
        <f t="shared" si="395"/>
        <v>1</v>
      </c>
      <c r="AS322" s="842">
        <f t="shared" si="395"/>
        <v>1</v>
      </c>
      <c r="AT322" s="842">
        <f t="shared" si="395"/>
        <v>1</v>
      </c>
      <c r="AU322" s="842">
        <f t="shared" si="395"/>
        <v>1</v>
      </c>
      <c r="AV322" s="842">
        <f t="shared" si="395"/>
        <v>1</v>
      </c>
      <c r="AW322" s="842">
        <f t="shared" si="395"/>
        <v>1</v>
      </c>
      <c r="AX322" s="842"/>
      <c r="AY322" s="842">
        <f t="shared" si="377"/>
        <v>1</v>
      </c>
      <c r="AZ322" s="842">
        <f t="shared" si="377"/>
        <v>1</v>
      </c>
      <c r="BA322" s="842">
        <f t="shared" si="377"/>
        <v>1</v>
      </c>
      <c r="BB322" s="842">
        <f t="shared" si="377"/>
        <v>1</v>
      </c>
      <c r="BC322" s="842">
        <f t="shared" si="377"/>
        <v>1</v>
      </c>
      <c r="BD322" s="842">
        <f t="shared" si="377"/>
        <v>1</v>
      </c>
      <c r="BE322" s="842">
        <f t="shared" si="377"/>
        <v>1</v>
      </c>
      <c r="BF322" s="895"/>
    </row>
    <row r="323" spans="2:58" hidden="1" outlineLevel="1">
      <c r="B323" s="843"/>
    </row>
    <row r="324" spans="2:58" s="3" customFormat="1" hidden="1" outlineLevel="1">
      <c r="B324" s="15" t="s">
        <v>534</v>
      </c>
      <c r="AO324" s="21">
        <f t="shared" ref="AO324:AW324" si="396">+AO329/AO$332</f>
        <v>0.25074866950733266</v>
      </c>
      <c r="AP324" s="21">
        <f t="shared" si="396"/>
        <v>0.2916746687151911</v>
      </c>
      <c r="AQ324" s="21">
        <f t="shared" si="396"/>
        <v>0.25485037816507727</v>
      </c>
      <c r="AR324" s="21">
        <f t="shared" si="396"/>
        <v>0.24049661338755504</v>
      </c>
      <c r="AS324" s="21">
        <f t="shared" si="396"/>
        <v>0.2197544917150655</v>
      </c>
      <c r="AT324" s="21">
        <f t="shared" si="396"/>
        <v>0.19411974710075663</v>
      </c>
      <c r="AU324" s="21">
        <f t="shared" si="396"/>
        <v>0.15843128873690959</v>
      </c>
      <c r="AV324" s="21">
        <f t="shared" si="396"/>
        <v>0.16035797005317357</v>
      </c>
      <c r="AW324" s="21">
        <f t="shared" si="396"/>
        <v>0.1586227588276069</v>
      </c>
      <c r="AY324" s="21"/>
      <c r="AZ324" s="21"/>
    </row>
    <row r="325" spans="2:58" hidden="1" outlineLevel="1">
      <c r="B325" s="843"/>
    </row>
    <row r="326" spans="2:58" hidden="1" outlineLevel="1">
      <c r="B326" s="922" t="s">
        <v>127</v>
      </c>
    </row>
    <row r="327" spans="2:58" hidden="1" outlineLevel="1">
      <c r="B327" s="12" t="str">
        <f>"Revenue from "&amp;B292</f>
        <v>Revenue from Windows</v>
      </c>
      <c r="AN327" s="8">
        <f t="shared" ref="AN327:AW327" si="397">+AN292</f>
        <v>16838</v>
      </c>
      <c r="AO327" s="8">
        <f t="shared" si="397"/>
        <v>14653</v>
      </c>
      <c r="AP327" s="8">
        <f t="shared" si="397"/>
        <v>18225</v>
      </c>
      <c r="AQ327" s="8">
        <f t="shared" si="397"/>
        <v>17825</v>
      </c>
      <c r="AR327" s="8">
        <f t="shared" si="397"/>
        <v>17320</v>
      </c>
      <c r="AS327" s="8">
        <f t="shared" si="397"/>
        <v>17529</v>
      </c>
      <c r="AT327" s="8">
        <f t="shared" si="397"/>
        <v>16856</v>
      </c>
      <c r="AU327" s="8">
        <f t="shared" si="397"/>
        <v>14826</v>
      </c>
      <c r="AV327" s="8">
        <f t="shared" si="397"/>
        <v>8104</v>
      </c>
      <c r="AW327" s="8">
        <f t="shared" si="397"/>
        <v>8625</v>
      </c>
    </row>
    <row r="328" spans="2:58" ht="11.45" hidden="1" outlineLevel="1">
      <c r="B328" s="12" t="s">
        <v>276</v>
      </c>
      <c r="AN328" s="10">
        <f t="shared" ref="AN328:AW328" si="398">+AN17</f>
        <v>0</v>
      </c>
      <c r="AO328" s="10">
        <f t="shared" si="398"/>
        <v>0</v>
      </c>
      <c r="AP328" s="10">
        <f t="shared" si="398"/>
        <v>0</v>
      </c>
      <c r="AQ328" s="10">
        <f t="shared" si="398"/>
        <v>0</v>
      </c>
      <c r="AR328" s="10">
        <f t="shared" si="398"/>
        <v>540</v>
      </c>
      <c r="AS328" s="10">
        <f t="shared" si="398"/>
        <v>-540</v>
      </c>
      <c r="AT328" s="10">
        <f t="shared" si="398"/>
        <v>0</v>
      </c>
      <c r="AU328" s="10">
        <f t="shared" si="398"/>
        <v>0</v>
      </c>
      <c r="AV328" s="10">
        <f t="shared" si="398"/>
        <v>6643</v>
      </c>
      <c r="AW328" s="10">
        <f t="shared" si="398"/>
        <v>6707</v>
      </c>
    </row>
    <row r="329" spans="2:58" hidden="1" outlineLevel="1">
      <c r="B329" s="17" t="s">
        <v>535</v>
      </c>
      <c r="AN329" s="8">
        <f t="shared" ref="AN329:AV329" si="399">+AN328+AN327</f>
        <v>16838</v>
      </c>
      <c r="AO329" s="8">
        <f t="shared" si="399"/>
        <v>14653</v>
      </c>
      <c r="AP329" s="8">
        <f t="shared" si="399"/>
        <v>18225</v>
      </c>
      <c r="AQ329" s="8">
        <f t="shared" si="399"/>
        <v>17825</v>
      </c>
      <c r="AR329" s="8">
        <f t="shared" si="399"/>
        <v>17860</v>
      </c>
      <c r="AS329" s="8">
        <f t="shared" si="399"/>
        <v>16989</v>
      </c>
      <c r="AT329" s="8">
        <f t="shared" si="399"/>
        <v>16856</v>
      </c>
      <c r="AU329" s="8">
        <f t="shared" si="399"/>
        <v>14826</v>
      </c>
      <c r="AV329" s="8">
        <f t="shared" si="399"/>
        <v>14747</v>
      </c>
      <c r="AW329" s="8">
        <f>+AW328+AW327</f>
        <v>15332</v>
      </c>
    </row>
    <row r="330" spans="2:58" s="33" customFormat="1" hidden="1" outlineLevel="1">
      <c r="B330" s="923" t="s">
        <v>113</v>
      </c>
      <c r="AO330" s="14">
        <f t="shared" ref="AO330:AW330" si="400">+IFERROR(AO329/AN329-1,"n/a ")</f>
        <v>-0.12976600546383177</v>
      </c>
      <c r="AP330" s="14">
        <f t="shared" si="400"/>
        <v>0.24377260629222675</v>
      </c>
      <c r="AQ330" s="14">
        <f t="shared" si="400"/>
        <v>-2.1947873799725626E-2</v>
      </c>
      <c r="AR330" s="14">
        <f t="shared" si="400"/>
        <v>1.9635343618513712E-3</v>
      </c>
      <c r="AS330" s="14">
        <f t="shared" si="400"/>
        <v>-4.8768197088465803E-2</v>
      </c>
      <c r="AT330" s="14">
        <f t="shared" si="400"/>
        <v>-7.8285949732179727E-3</v>
      </c>
      <c r="AU330" s="14">
        <f t="shared" si="400"/>
        <v>-0.12043189368770768</v>
      </c>
      <c r="AV330" s="14">
        <f t="shared" si="400"/>
        <v>-5.3284769998650505E-3</v>
      </c>
      <c r="AW330" s="14">
        <f t="shared" si="400"/>
        <v>3.9669085237675539E-2</v>
      </c>
    </row>
    <row r="331" spans="2:58" hidden="1" outlineLevel="1">
      <c r="B331" s="17"/>
      <c r="AN331" s="8"/>
      <c r="AO331" s="8"/>
      <c r="AP331" s="8"/>
      <c r="AQ331" s="8"/>
      <c r="AR331" s="8"/>
      <c r="AS331" s="8"/>
      <c r="AT331" s="8"/>
      <c r="AU331" s="8"/>
      <c r="AV331" s="8"/>
      <c r="AW331" s="8"/>
    </row>
    <row r="332" spans="2:58" hidden="1" outlineLevel="1">
      <c r="B332" s="12" t="s">
        <v>536</v>
      </c>
      <c r="AN332" s="8">
        <f t="shared" ref="AN332:AW332" si="401">+AN298+AN328</f>
        <v>60420</v>
      </c>
      <c r="AO332" s="8">
        <f t="shared" si="401"/>
        <v>58437</v>
      </c>
      <c r="AP332" s="8">
        <f t="shared" si="401"/>
        <v>62484</v>
      </c>
      <c r="AQ332" s="8">
        <f t="shared" si="401"/>
        <v>69943</v>
      </c>
      <c r="AR332" s="8">
        <f t="shared" si="401"/>
        <v>74263</v>
      </c>
      <c r="AS332" s="8">
        <f t="shared" si="401"/>
        <v>77309</v>
      </c>
      <c r="AT332" s="8">
        <f t="shared" si="401"/>
        <v>86833</v>
      </c>
      <c r="AU332" s="8">
        <f t="shared" si="401"/>
        <v>93580</v>
      </c>
      <c r="AV332" s="8">
        <f t="shared" si="401"/>
        <v>91963</v>
      </c>
      <c r="AW332" s="8">
        <f t="shared" si="401"/>
        <v>96657</v>
      </c>
    </row>
    <row r="333" spans="2:58" ht="11.45" hidden="1" outlineLevel="1">
      <c r="B333" s="12" t="s">
        <v>537</v>
      </c>
      <c r="AN333" s="905">
        <v>0</v>
      </c>
      <c r="AO333" s="905">
        <v>0</v>
      </c>
      <c r="AP333" s="905">
        <v>0</v>
      </c>
      <c r="AQ333" s="905">
        <v>0</v>
      </c>
      <c r="AR333" s="905">
        <f>-162+0</f>
        <v>-162</v>
      </c>
      <c r="AS333" s="905">
        <v>-615</v>
      </c>
      <c r="AT333" s="905">
        <v>-3073</v>
      </c>
      <c r="AU333" s="905">
        <v>-7702</v>
      </c>
      <c r="AV333" s="905">
        <v>-3358</v>
      </c>
      <c r="AW333" s="924">
        <v>-500</v>
      </c>
    </row>
    <row r="334" spans="2:58" hidden="1" outlineLevel="1">
      <c r="B334" s="17" t="s">
        <v>538</v>
      </c>
      <c r="AN334" s="8">
        <f t="shared" ref="AN334:AW334" si="402">+AN332+AN333</f>
        <v>60420</v>
      </c>
      <c r="AO334" s="8">
        <f t="shared" si="402"/>
        <v>58437</v>
      </c>
      <c r="AP334" s="8">
        <f t="shared" si="402"/>
        <v>62484</v>
      </c>
      <c r="AQ334" s="8">
        <f t="shared" si="402"/>
        <v>69943</v>
      </c>
      <c r="AR334" s="8">
        <f t="shared" si="402"/>
        <v>74101</v>
      </c>
      <c r="AS334" s="8">
        <f t="shared" si="402"/>
        <v>76694</v>
      </c>
      <c r="AT334" s="8">
        <f t="shared" si="402"/>
        <v>83760</v>
      </c>
      <c r="AU334" s="8">
        <f t="shared" si="402"/>
        <v>85878</v>
      </c>
      <c r="AV334" s="8">
        <f t="shared" si="402"/>
        <v>88605</v>
      </c>
      <c r="AW334" s="8">
        <f t="shared" si="402"/>
        <v>96157</v>
      </c>
    </row>
    <row r="335" spans="2:58" s="33" customFormat="1" hidden="1" outlineLevel="1">
      <c r="B335" s="923" t="s">
        <v>113</v>
      </c>
      <c r="AO335" s="14">
        <f t="shared" ref="AO335:AW335" si="403">+IFERROR(AO334/AN334-1,"n/a ")</f>
        <v>-3.2820258192651441E-2</v>
      </c>
      <c r="AP335" s="14">
        <f t="shared" si="403"/>
        <v>6.9254068484008391E-2</v>
      </c>
      <c r="AQ335" s="14">
        <f t="shared" si="403"/>
        <v>0.11937455988733126</v>
      </c>
      <c r="AR335" s="14">
        <f t="shared" si="403"/>
        <v>5.9448407989362684E-2</v>
      </c>
      <c r="AS335" s="14">
        <f t="shared" si="403"/>
        <v>3.4992780124424749E-2</v>
      </c>
      <c r="AT335" s="14">
        <f t="shared" si="403"/>
        <v>9.2132370198450886E-2</v>
      </c>
      <c r="AU335" s="14">
        <f t="shared" si="403"/>
        <v>2.5286532951289464E-2</v>
      </c>
      <c r="AV335" s="14">
        <f t="shared" si="403"/>
        <v>3.1754349193041209E-2</v>
      </c>
      <c r="AW335" s="14">
        <f t="shared" si="403"/>
        <v>8.5232210371875228E-2</v>
      </c>
    </row>
    <row r="336" spans="2:58" hidden="1" outlineLevel="1">
      <c r="B336" s="17"/>
      <c r="AN336" s="8"/>
      <c r="AO336" s="8"/>
      <c r="AP336" s="8"/>
      <c r="AQ336" s="8"/>
      <c r="AR336" s="8"/>
      <c r="AS336" s="8"/>
      <c r="AT336" s="8"/>
      <c r="AU336" s="8"/>
      <c r="AV336" s="8"/>
      <c r="AW336" s="8"/>
    </row>
    <row r="337" spans="2:58" ht="11.45" hidden="1" outlineLevel="1">
      <c r="B337" s="12" t="s">
        <v>539</v>
      </c>
      <c r="AN337" s="10">
        <f t="shared" ref="AN337:AW337" si="404">-AN296</f>
        <v>0</v>
      </c>
      <c r="AO337" s="10">
        <f t="shared" si="404"/>
        <v>0</v>
      </c>
      <c r="AP337" s="10">
        <f t="shared" si="404"/>
        <v>0</v>
      </c>
      <c r="AQ337" s="10">
        <f t="shared" si="404"/>
        <v>0</v>
      </c>
      <c r="AR337" s="10">
        <f t="shared" si="404"/>
        <v>0</v>
      </c>
      <c r="AS337" s="10">
        <f t="shared" si="404"/>
        <v>0</v>
      </c>
      <c r="AT337" s="10">
        <f t="shared" si="404"/>
        <v>0</v>
      </c>
      <c r="AU337" s="10">
        <f t="shared" si="404"/>
        <v>0</v>
      </c>
      <c r="AV337" s="10">
        <f t="shared" si="404"/>
        <v>0</v>
      </c>
      <c r="AW337" s="10">
        <f t="shared" si="404"/>
        <v>-2268</v>
      </c>
    </row>
    <row r="338" spans="2:58" hidden="1" outlineLevel="1">
      <c r="B338" s="17" t="s">
        <v>540</v>
      </c>
      <c r="AN338" s="8">
        <f t="shared" ref="AN338:AW338" si="405">+AN334+AN337</f>
        <v>60420</v>
      </c>
      <c r="AO338" s="8">
        <f t="shared" si="405"/>
        <v>58437</v>
      </c>
      <c r="AP338" s="8">
        <f t="shared" si="405"/>
        <v>62484</v>
      </c>
      <c r="AQ338" s="8">
        <f t="shared" si="405"/>
        <v>69943</v>
      </c>
      <c r="AR338" s="8">
        <f t="shared" si="405"/>
        <v>74101</v>
      </c>
      <c r="AS338" s="8">
        <f t="shared" si="405"/>
        <v>76694</v>
      </c>
      <c r="AT338" s="8">
        <f t="shared" si="405"/>
        <v>83760</v>
      </c>
      <c r="AU338" s="8">
        <f t="shared" si="405"/>
        <v>85878</v>
      </c>
      <c r="AV338" s="8">
        <f t="shared" si="405"/>
        <v>88605</v>
      </c>
      <c r="AW338" s="8">
        <f t="shared" si="405"/>
        <v>93889</v>
      </c>
    </row>
    <row r="339" spans="2:58" s="33" customFormat="1" hidden="1" outlineLevel="1">
      <c r="B339" s="923" t="s">
        <v>113</v>
      </c>
      <c r="AO339" s="14">
        <f t="shared" ref="AO339:AW339" si="406">+IFERROR(AO338/AN338-1,"n/a ")</f>
        <v>-3.2820258192651441E-2</v>
      </c>
      <c r="AP339" s="14">
        <f t="shared" si="406"/>
        <v>6.9254068484008391E-2</v>
      </c>
      <c r="AQ339" s="14">
        <f t="shared" si="406"/>
        <v>0.11937455988733126</v>
      </c>
      <c r="AR339" s="14">
        <f t="shared" si="406"/>
        <v>5.9448407989362684E-2</v>
      </c>
      <c r="AS339" s="14">
        <f t="shared" si="406"/>
        <v>3.4992780124424749E-2</v>
      </c>
      <c r="AT339" s="14">
        <f t="shared" si="406"/>
        <v>9.2132370198450886E-2</v>
      </c>
      <c r="AU339" s="14">
        <f t="shared" si="406"/>
        <v>2.5286532951289464E-2</v>
      </c>
      <c r="AV339" s="14">
        <f t="shared" si="406"/>
        <v>3.1754349193041209E-2</v>
      </c>
      <c r="AW339" s="14">
        <f t="shared" si="406"/>
        <v>5.9635460752779146E-2</v>
      </c>
    </row>
    <row r="340" spans="2:58" hidden="1" outlineLevel="1">
      <c r="B340" s="18"/>
      <c r="AN340" s="8"/>
      <c r="AO340" s="8"/>
      <c r="AP340" s="8"/>
      <c r="AQ340" s="8"/>
      <c r="AR340" s="8"/>
      <c r="AS340" s="900"/>
      <c r="AT340" s="900"/>
      <c r="AU340" s="900"/>
      <c r="AV340" s="900"/>
      <c r="AW340" s="900"/>
    </row>
    <row r="341" spans="2:58" ht="11.45" hidden="1" outlineLevel="1">
      <c r="B341" s="12" t="s">
        <v>541</v>
      </c>
      <c r="AN341" s="10">
        <f t="shared" ref="AN341:AW341" si="407">-AN329</f>
        <v>-16838</v>
      </c>
      <c r="AO341" s="10">
        <f t="shared" si="407"/>
        <v>-14653</v>
      </c>
      <c r="AP341" s="10">
        <f t="shared" si="407"/>
        <v>-18225</v>
      </c>
      <c r="AQ341" s="10">
        <f t="shared" si="407"/>
        <v>-17825</v>
      </c>
      <c r="AR341" s="10">
        <f t="shared" si="407"/>
        <v>-17860</v>
      </c>
      <c r="AS341" s="10">
        <f t="shared" si="407"/>
        <v>-16989</v>
      </c>
      <c r="AT341" s="10">
        <f t="shared" si="407"/>
        <v>-16856</v>
      </c>
      <c r="AU341" s="10">
        <f t="shared" si="407"/>
        <v>-14826</v>
      </c>
      <c r="AV341" s="10">
        <f t="shared" si="407"/>
        <v>-14747</v>
      </c>
      <c r="AW341" s="10">
        <f t="shared" si="407"/>
        <v>-15332</v>
      </c>
    </row>
    <row r="342" spans="2:58" hidden="1" outlineLevel="1">
      <c r="B342" s="17" t="s">
        <v>542</v>
      </c>
      <c r="AN342" s="8">
        <f>+AN338+AN341</f>
        <v>43582</v>
      </c>
      <c r="AO342" s="8">
        <f t="shared" ref="AO342:AW342" si="408">+AO338+AO341</f>
        <v>43784</v>
      </c>
      <c r="AP342" s="8">
        <f t="shared" si="408"/>
        <v>44259</v>
      </c>
      <c r="AQ342" s="8">
        <f t="shared" si="408"/>
        <v>52118</v>
      </c>
      <c r="AR342" s="8">
        <f t="shared" si="408"/>
        <v>56241</v>
      </c>
      <c r="AS342" s="8">
        <f t="shared" si="408"/>
        <v>59705</v>
      </c>
      <c r="AT342" s="8">
        <f t="shared" si="408"/>
        <v>66904</v>
      </c>
      <c r="AU342" s="8">
        <f t="shared" si="408"/>
        <v>71052</v>
      </c>
      <c r="AV342" s="8">
        <f t="shared" si="408"/>
        <v>73858</v>
      </c>
      <c r="AW342" s="8">
        <f t="shared" si="408"/>
        <v>78557</v>
      </c>
    </row>
    <row r="343" spans="2:58" s="33" customFormat="1" hidden="1" outlineLevel="1">
      <c r="B343" s="923" t="s">
        <v>113</v>
      </c>
      <c r="AO343" s="14">
        <f t="shared" ref="AO343:AW343" si="409">+IFERROR(AO342/AN342-1,"n/a ")</f>
        <v>4.6349410307007233E-3</v>
      </c>
      <c r="AP343" s="14">
        <f t="shared" si="409"/>
        <v>1.0848711858213012E-2</v>
      </c>
      <c r="AQ343" s="14">
        <f t="shared" si="409"/>
        <v>0.17756840416638431</v>
      </c>
      <c r="AR343" s="14">
        <f t="shared" si="409"/>
        <v>7.9108945086150628E-2</v>
      </c>
      <c r="AS343" s="14">
        <f t="shared" si="409"/>
        <v>6.1592076954535058E-2</v>
      </c>
      <c r="AT343" s="14">
        <f t="shared" si="409"/>
        <v>0.12057616615023869</v>
      </c>
      <c r="AU343" s="14">
        <f t="shared" si="409"/>
        <v>6.199928255410736E-2</v>
      </c>
      <c r="AV343" s="14">
        <f t="shared" si="409"/>
        <v>3.9492202893655293E-2</v>
      </c>
      <c r="AW343" s="14">
        <f t="shared" si="409"/>
        <v>6.362208562376459E-2</v>
      </c>
    </row>
    <row r="344" spans="2:58" s="3" customFormat="1" hidden="1" outlineLevel="2">
      <c r="B344" s="20" t="s">
        <v>543</v>
      </c>
      <c r="AU344" s="33">
        <f>+ROUND(AU133-AU125,2)</f>
        <v>0.02</v>
      </c>
      <c r="AV344" s="33">
        <f>+ROUND(AV133-AV125,2)</f>
        <v>0.04</v>
      </c>
      <c r="AW344" s="33">
        <f>+ROUND(AW133-AW125,2)</f>
        <v>0.02</v>
      </c>
    </row>
    <row r="345" spans="2:58" s="3" customFormat="1" hidden="1" outlineLevel="1" collapsed="1">
      <c r="B345" s="19" t="s">
        <v>272</v>
      </c>
      <c r="AU345" s="33">
        <f t="shared" ref="AU345:AV345" si="410">AU343+AU344</f>
        <v>8.1999282554107364E-2</v>
      </c>
      <c r="AV345" s="33">
        <f t="shared" si="410"/>
        <v>7.94922028936553E-2</v>
      </c>
      <c r="AW345" s="33">
        <f>AW343+AW344</f>
        <v>8.3622085623764594E-2</v>
      </c>
    </row>
    <row r="346" spans="2:58" collapsed="1">
      <c r="B346" s="843"/>
    </row>
    <row r="347" spans="2:58" ht="10.5">
      <c r="B347" s="5" t="s">
        <v>340</v>
      </c>
      <c r="C347" s="4"/>
    </row>
    <row r="348" spans="2:58" ht="10.5">
      <c r="B348" s="1"/>
    </row>
    <row r="349" spans="2:58" ht="10.5">
      <c r="B349" s="45" t="s">
        <v>544</v>
      </c>
    </row>
    <row r="351" spans="2:58">
      <c r="B351" t="s">
        <v>86</v>
      </c>
      <c r="H351" s="8">
        <f t="shared" ref="H351:AF351" si="411">+H114</f>
        <v>6436</v>
      </c>
      <c r="I351" s="8">
        <f t="shared" si="411"/>
        <v>7179</v>
      </c>
      <c r="J351" s="8">
        <f t="shared" si="411"/>
        <v>7707</v>
      </c>
      <c r="K351" s="8">
        <f t="shared" si="411"/>
        <v>8548</v>
      </c>
      <c r="L351" s="8">
        <f t="shared" si="411"/>
        <v>8238</v>
      </c>
      <c r="M351" s="8">
        <f t="shared" si="411"/>
        <v>8953</v>
      </c>
      <c r="N351" s="8">
        <f t="shared" si="411"/>
        <v>9006</v>
      </c>
      <c r="O351" s="8">
        <f t="shared" si="411"/>
        <v>9668</v>
      </c>
      <c r="P351" s="8">
        <f t="shared" si="411"/>
        <v>9771</v>
      </c>
      <c r="Q351" s="8">
        <f t="shared" si="411"/>
        <v>10100</v>
      </c>
      <c r="R351" s="8">
        <f t="shared" si="411"/>
        <v>10242</v>
      </c>
      <c r="S351" s="8">
        <f t="shared" si="411"/>
        <v>11047</v>
      </c>
      <c r="T351" s="8">
        <f t="shared" si="411"/>
        <v>11077</v>
      </c>
      <c r="U351" s="8">
        <f t="shared" si="411"/>
        <v>11826</v>
      </c>
      <c r="V351" s="8">
        <f t="shared" si="411"/>
        <v>11743</v>
      </c>
      <c r="W351" s="8">
        <f t="shared" si="411"/>
        <v>11752</v>
      </c>
      <c r="X351" s="8">
        <f t="shared" si="411"/>
        <v>12319</v>
      </c>
      <c r="Y351" s="8">
        <f t="shared" si="411"/>
        <v>13353</v>
      </c>
      <c r="Z351" s="8">
        <f t="shared" si="411"/>
        <v>13552</v>
      </c>
      <c r="AA351" s="8">
        <f t="shared" si="411"/>
        <v>14691</v>
      </c>
      <c r="AB351" s="8">
        <f t="shared" si="411"/>
        <v>15039</v>
      </c>
      <c r="AC351" s="8">
        <f t="shared" si="411"/>
        <v>15936</v>
      </c>
      <c r="AD351" s="8">
        <f t="shared" si="411"/>
        <v>15789</v>
      </c>
      <c r="AE351" s="8">
        <f t="shared" si="411"/>
        <v>16600</v>
      </c>
      <c r="AF351" s="8">
        <f t="shared" si="411"/>
        <v>16465</v>
      </c>
      <c r="AG351" s="8"/>
      <c r="AH351" s="8"/>
      <c r="AI351" s="8"/>
      <c r="AT351" s="8">
        <f>+AT114</f>
        <v>26976</v>
      </c>
      <c r="AU351" s="8">
        <f>+AU114</f>
        <v>26430</v>
      </c>
      <c r="AV351" s="8">
        <f>+AV114</f>
        <v>26487</v>
      </c>
      <c r="AW351" s="8">
        <f>+AW114</f>
        <v>30444</v>
      </c>
      <c r="AY351" s="8">
        <f>+AZ351/(1+AZ352)</f>
        <v>25987.606424911311</v>
      </c>
      <c r="AZ351" s="8">
        <f t="shared" ref="AZ351:BE351" si="412">+AZ114</f>
        <v>29870</v>
      </c>
      <c r="BA351" s="8">
        <f t="shared" si="412"/>
        <v>35865</v>
      </c>
      <c r="BB351" s="8">
        <f t="shared" si="412"/>
        <v>41160</v>
      </c>
      <c r="BC351" s="8">
        <f t="shared" si="412"/>
        <v>46398</v>
      </c>
      <c r="BD351" s="8">
        <f t="shared" si="412"/>
        <v>53915</v>
      </c>
      <c r="BE351" s="8">
        <f t="shared" si="412"/>
        <v>63364</v>
      </c>
      <c r="BF351" s="8"/>
    </row>
    <row r="352" spans="2:58" s="3" customFormat="1">
      <c r="B352" s="13" t="s">
        <v>113</v>
      </c>
      <c r="L352" s="14">
        <f>+IFERROR(L351/H351-1,"n/a ")</f>
        <v>0.27998756991920448</v>
      </c>
      <c r="M352" s="14">
        <f t="shared" ref="M352:AF352" si="413">+IFERROR(M351/I351-1,"n/a ")</f>
        <v>0.24710962529600233</v>
      </c>
      <c r="N352" s="14">
        <f t="shared" si="413"/>
        <v>0.1685480731802258</v>
      </c>
      <c r="O352" s="14">
        <f t="shared" si="413"/>
        <v>0.13102480112306969</v>
      </c>
      <c r="P352" s="14">
        <f t="shared" si="413"/>
        <v>0.18608885651857254</v>
      </c>
      <c r="Q352" s="14">
        <f t="shared" si="413"/>
        <v>0.12811348151457613</v>
      </c>
      <c r="R352" s="14">
        <f t="shared" si="413"/>
        <v>0.13724183877415053</v>
      </c>
      <c r="S352" s="14">
        <f t="shared" si="413"/>
        <v>0.14263549855192381</v>
      </c>
      <c r="T352" s="14">
        <f t="shared" si="413"/>
        <v>0.13366083307747423</v>
      </c>
      <c r="U352" s="14">
        <f t="shared" si="413"/>
        <v>0.17089108910891082</v>
      </c>
      <c r="V352" s="14">
        <f t="shared" si="413"/>
        <v>0.14655340753759027</v>
      </c>
      <c r="W352" s="14">
        <f t="shared" si="413"/>
        <v>6.3818231193989217E-2</v>
      </c>
      <c r="X352" s="14">
        <f t="shared" si="413"/>
        <v>0.11212422135957389</v>
      </c>
      <c r="Y352" s="14">
        <f t="shared" si="413"/>
        <v>0.12912227295788936</v>
      </c>
      <c r="Z352" s="14">
        <f t="shared" si="413"/>
        <v>0.15404922081239891</v>
      </c>
      <c r="AA352" s="14">
        <f t="shared" si="413"/>
        <v>0.25008509189925121</v>
      </c>
      <c r="AB352" s="14">
        <f t="shared" si="413"/>
        <v>0.22079714262521311</v>
      </c>
      <c r="AC352" s="14">
        <f t="shared" si="413"/>
        <v>0.19343967647719618</v>
      </c>
      <c r="AD352" s="14">
        <f t="shared" si="413"/>
        <v>0.16506788665879579</v>
      </c>
      <c r="AE352" s="14">
        <f t="shared" si="413"/>
        <v>0.12994350282485878</v>
      </c>
      <c r="AF352" s="14">
        <f t="shared" si="413"/>
        <v>9.4820134317441296E-2</v>
      </c>
      <c r="AG352" s="14"/>
      <c r="AH352" s="14"/>
      <c r="AI352" s="14"/>
      <c r="AU352" s="14">
        <f t="shared" ref="AU352:AW352" si="414">+IFERROR(AU351/AT351-1,"n/a ")</f>
        <v>-2.0240213523131656E-2</v>
      </c>
      <c r="AV352" s="14">
        <f t="shared" si="414"/>
        <v>2.1566401816117686E-3</v>
      </c>
      <c r="AW352" s="14">
        <f t="shared" si="414"/>
        <v>0.14939404236040321</v>
      </c>
      <c r="AY352" s="1010">
        <f t="shared" ref="AY352" si="415">+AV352</f>
        <v>2.1566401816117686E-3</v>
      </c>
      <c r="AZ352" s="1010">
        <f t="shared" ref="AZ352" si="416">+AW352</f>
        <v>0.14939404236040321</v>
      </c>
      <c r="BA352" s="14">
        <f>+IFERROR(BA351/AZ351-1,"n/a ")</f>
        <v>0.20070304653498483</v>
      </c>
      <c r="BB352" s="14">
        <f>+IFERROR(BB351/BA351-1,"n/a ")</f>
        <v>0.14763697197825176</v>
      </c>
      <c r="BC352" s="14">
        <f t="shared" ref="BC352:BE352" si="417">+IFERROR(BC351/BB351-1,"n/a ")</f>
        <v>0.12725947521865888</v>
      </c>
      <c r="BD352" s="14">
        <f t="shared" si="417"/>
        <v>0.16201129359024091</v>
      </c>
      <c r="BE352" s="14">
        <f t="shared" si="417"/>
        <v>0.17525734953167027</v>
      </c>
      <c r="BF352" s="14"/>
    </row>
    <row r="353" spans="2:61" s="3" customFormat="1">
      <c r="B353" s="13" t="s">
        <v>272</v>
      </c>
      <c r="L353" s="22">
        <v>0.28000000000000003</v>
      </c>
      <c r="M353" s="22">
        <v>0.24</v>
      </c>
      <c r="N353" s="22">
        <v>0.14000000000000001</v>
      </c>
      <c r="O353" s="22">
        <v>0.1</v>
      </c>
      <c r="P353" s="22">
        <v>0.18</v>
      </c>
      <c r="Q353" s="22">
        <v>0.13</v>
      </c>
      <c r="R353" s="22">
        <v>0.15</v>
      </c>
      <c r="S353" s="22">
        <v>0.17</v>
      </c>
      <c r="T353" s="22">
        <v>0.15</v>
      </c>
      <c r="U353" s="22">
        <v>0.19</v>
      </c>
      <c r="V353" s="22">
        <v>0.16</v>
      </c>
      <c r="W353" s="22">
        <v>0.08</v>
      </c>
      <c r="X353" s="22">
        <v>0.11</v>
      </c>
      <c r="Y353" s="22">
        <v>0.11</v>
      </c>
      <c r="Z353" s="22">
        <v>0.12</v>
      </c>
      <c r="AA353" s="22">
        <v>0.20499999999999999</v>
      </c>
      <c r="AB353" s="22">
        <v>0.2</v>
      </c>
      <c r="AC353" s="22">
        <v>0.19</v>
      </c>
      <c r="AD353" s="22">
        <v>0.19</v>
      </c>
      <c r="AE353" s="22">
        <v>0.17</v>
      </c>
      <c r="AF353" s="22">
        <v>0.15</v>
      </c>
      <c r="AG353" s="22"/>
      <c r="AH353" s="22"/>
      <c r="AI353" s="22"/>
      <c r="AY353" s="1010"/>
      <c r="AZ353" s="1010"/>
      <c r="BA353" s="23">
        <f>+SUMPRODUCT(L353:O353,H351:K351)/AZ351</f>
        <v>0.18275259457649817</v>
      </c>
      <c r="BB353" s="23">
        <f>+SUMPRODUCT(P353:S353,L351:O351)/BA351</f>
        <v>0.15728955806496586</v>
      </c>
      <c r="BC353" s="23">
        <f>+SUMPRODUCT(T353:W353,P351:S351)/BB351</f>
        <v>0.14351627793974733</v>
      </c>
      <c r="BD353" s="23">
        <f>+SUMPRODUCT(X353:AA353,T351:W351)/BC351</f>
        <v>0.1365931721194879</v>
      </c>
      <c r="BE353" s="23">
        <f>+SUMPRODUCT(AB353:AE353,X351:AA351)/BD351</f>
        <v>0.1868352035611611</v>
      </c>
      <c r="BF353" s="23"/>
    </row>
    <row r="354" spans="2:61" s="3" customFormat="1">
      <c r="B354" s="921"/>
      <c r="L354" s="14"/>
      <c r="M354" s="14"/>
      <c r="N354" s="904"/>
      <c r="O354" s="14"/>
      <c r="P354" s="14"/>
      <c r="Q354" s="14"/>
      <c r="R354" s="14"/>
      <c r="S354" s="14"/>
      <c r="T354" s="14"/>
      <c r="U354" s="14"/>
      <c r="V354" s="14"/>
      <c r="W354" s="14"/>
      <c r="X354" s="14"/>
      <c r="Y354" s="14"/>
      <c r="Z354" s="14"/>
      <c r="AA354" s="14"/>
      <c r="AB354" s="14"/>
      <c r="AC354" s="14"/>
      <c r="AD354" s="14"/>
      <c r="AE354" s="14"/>
      <c r="AF354" s="14"/>
      <c r="AG354" s="14"/>
      <c r="AH354" s="14"/>
      <c r="AI354" s="14"/>
      <c r="BA354" s="14"/>
      <c r="BB354" s="14"/>
      <c r="BC354" s="14"/>
      <c r="BD354" s="14"/>
      <c r="BE354" s="14"/>
      <c r="BF354" s="14"/>
    </row>
    <row r="355" spans="2:61" s="3" customFormat="1">
      <c r="B355" s="922" t="s">
        <v>127</v>
      </c>
      <c r="L355" s="14"/>
      <c r="M355" s="14"/>
      <c r="N355" s="904"/>
      <c r="O355" s="14"/>
      <c r="P355" s="14"/>
      <c r="Q355" s="14"/>
      <c r="R355" s="14"/>
      <c r="S355" s="14"/>
      <c r="T355" s="14"/>
      <c r="U355" s="14"/>
      <c r="V355" s="14"/>
      <c r="W355" s="14"/>
      <c r="X355" s="14"/>
      <c r="Y355" s="14"/>
      <c r="Z355" s="14"/>
      <c r="AA355" s="14"/>
      <c r="AB355" s="14"/>
      <c r="AC355" s="14"/>
      <c r="AD355" s="14"/>
      <c r="AE355" s="14"/>
      <c r="AF355" s="14"/>
      <c r="AG355" s="14"/>
      <c r="AH355" s="14"/>
      <c r="AI355" s="14"/>
      <c r="BA355" s="14"/>
      <c r="BB355" s="14"/>
      <c r="BC355" s="14"/>
      <c r="BD355" s="14"/>
      <c r="BE355" s="14"/>
      <c r="BF355" s="14"/>
    </row>
    <row r="356" spans="2:61" s="3" customFormat="1">
      <c r="B356" s="12" t="s">
        <v>372</v>
      </c>
      <c r="H356" s="8">
        <f t="shared" ref="H356:AF356" si="418">+H351-H412</f>
        <v>6436</v>
      </c>
      <c r="I356" s="8">
        <f t="shared" si="418"/>
        <v>6951</v>
      </c>
      <c r="J356" s="8">
        <f t="shared" si="418"/>
        <v>6731</v>
      </c>
      <c r="K356" s="8">
        <f t="shared" si="418"/>
        <v>7481</v>
      </c>
      <c r="L356" s="8">
        <f t="shared" si="418"/>
        <v>7090</v>
      </c>
      <c r="M356" s="8">
        <f t="shared" si="418"/>
        <v>7641</v>
      </c>
      <c r="N356" s="8">
        <f t="shared" si="418"/>
        <v>7671</v>
      </c>
      <c r="O356" s="8">
        <f t="shared" si="418"/>
        <v>8204</v>
      </c>
      <c r="P356" s="8">
        <f t="shared" si="418"/>
        <v>8241</v>
      </c>
      <c r="Q356" s="8">
        <f t="shared" si="418"/>
        <v>8407</v>
      </c>
      <c r="R356" s="8">
        <f t="shared" si="418"/>
        <v>8546</v>
      </c>
      <c r="S356" s="8">
        <f t="shared" si="418"/>
        <v>9212</v>
      </c>
      <c r="T356" s="8">
        <f t="shared" si="418"/>
        <v>9168</v>
      </c>
      <c r="U356" s="8">
        <f t="shared" si="418"/>
        <v>9724</v>
      </c>
      <c r="V356" s="8">
        <f t="shared" si="418"/>
        <v>9693</v>
      </c>
      <c r="W356" s="8">
        <f t="shared" si="418"/>
        <v>9733.5</v>
      </c>
      <c r="X356" s="8">
        <f t="shared" si="418"/>
        <v>10104.56</v>
      </c>
      <c r="Y356" s="8">
        <f t="shared" si="418"/>
        <v>10767.54</v>
      </c>
      <c r="Z356" s="8">
        <f t="shared" si="418"/>
        <v>10989.5</v>
      </c>
      <c r="AA356" s="8">
        <f t="shared" si="418"/>
        <v>11743.99</v>
      </c>
      <c r="AB356" s="8">
        <f t="shared" si="418"/>
        <v>11894.495200000001</v>
      </c>
      <c r="AC356" s="8">
        <f t="shared" si="418"/>
        <v>12393.9198</v>
      </c>
      <c r="AD356" s="8">
        <f t="shared" si="418"/>
        <v>12355.25</v>
      </c>
      <c r="AE356" s="8">
        <f t="shared" si="418"/>
        <v>12886.767400000001</v>
      </c>
      <c r="AF356" s="8">
        <f t="shared" si="418"/>
        <v>12785.929384000001</v>
      </c>
      <c r="AG356" s="8"/>
      <c r="AH356" s="8"/>
      <c r="AI356" s="8"/>
      <c r="AV356" s="8"/>
      <c r="AW356" s="8"/>
      <c r="AY356" s="8"/>
      <c r="AZ356" s="8">
        <f>+AZ351-AZ412</f>
        <v>27599</v>
      </c>
      <c r="BA356" s="8">
        <f>+BA351-BA412</f>
        <v>30606</v>
      </c>
      <c r="BB356" s="8">
        <f>+BB351-BB412</f>
        <v>34406</v>
      </c>
      <c r="BC356" s="8">
        <f t="shared" ref="BC356:BE356" si="419">+BC351-BC412</f>
        <v>38318.5</v>
      </c>
      <c r="BD356" s="8">
        <f t="shared" si="419"/>
        <v>43605.59</v>
      </c>
      <c r="BE356" s="8">
        <f t="shared" si="419"/>
        <v>49530.432400000005</v>
      </c>
      <c r="BF356" s="8"/>
    </row>
    <row r="357" spans="2:61" s="3" customFormat="1">
      <c r="B357" s="15" t="s">
        <v>113</v>
      </c>
      <c r="L357" s="14">
        <f>+IFERROR(L356/H356-1,"n/a ")</f>
        <v>0.10161591050341823</v>
      </c>
      <c r="M357" s="14">
        <f t="shared" ref="M357:AF357" si="420">+IFERROR(M356/I356-1,"n/a ")</f>
        <v>9.9266292619766938E-2</v>
      </c>
      <c r="N357" s="14">
        <f t="shared" si="420"/>
        <v>0.13965235477640769</v>
      </c>
      <c r="O357" s="14">
        <f t="shared" si="420"/>
        <v>9.6644833578398703E-2</v>
      </c>
      <c r="P357" s="14">
        <f t="shared" si="420"/>
        <v>0.16234132581100136</v>
      </c>
      <c r="Q357" s="14">
        <f t="shared" si="420"/>
        <v>0.1002486585525455</v>
      </c>
      <c r="R357" s="14">
        <f t="shared" si="420"/>
        <v>0.11406596271672531</v>
      </c>
      <c r="S357" s="14">
        <f t="shared" si="420"/>
        <v>0.12286689419795227</v>
      </c>
      <c r="T357" s="14">
        <f t="shared" si="420"/>
        <v>0.11248634874408436</v>
      </c>
      <c r="U357" s="14">
        <f t="shared" si="420"/>
        <v>0.1566551683121209</v>
      </c>
      <c r="V357" s="14">
        <f t="shared" si="420"/>
        <v>0.13421483735080741</v>
      </c>
      <c r="W357" s="14">
        <f t="shared" si="420"/>
        <v>5.6610942249240015E-2</v>
      </c>
      <c r="X357" s="14">
        <f t="shared" si="420"/>
        <v>0.10215532286212903</v>
      </c>
      <c r="Y357" s="14">
        <f t="shared" si="420"/>
        <v>0.10731591937474305</v>
      </c>
      <c r="Z357" s="14">
        <f t="shared" si="420"/>
        <v>0.13375631899308771</v>
      </c>
      <c r="AA357" s="14">
        <f t="shared" si="420"/>
        <v>0.20655365490316946</v>
      </c>
      <c r="AB357" s="14">
        <f t="shared" si="420"/>
        <v>0.17714133025089684</v>
      </c>
      <c r="AC357" s="14">
        <f t="shared" si="420"/>
        <v>0.15104469544575627</v>
      </c>
      <c r="AD357" s="14">
        <f t="shared" si="420"/>
        <v>0.12427771964147594</v>
      </c>
      <c r="AE357" s="14">
        <f t="shared" si="420"/>
        <v>9.7307422775394059E-2</v>
      </c>
      <c r="AF357" s="14">
        <f t="shared" si="420"/>
        <v>7.4945104353818959E-2</v>
      </c>
      <c r="AG357" s="14"/>
      <c r="AH357" s="14"/>
      <c r="AI357" s="14"/>
      <c r="AZ357" s="14" t="str">
        <f>+IFERROR(AZ356/AY356-1,"n/a ")</f>
        <v xml:space="preserve">n/a </v>
      </c>
      <c r="BA357" s="14">
        <f>+IFERROR(BA356/AZ356-1,"n/a ")</f>
        <v>0.10895322294286025</v>
      </c>
      <c r="BB357" s="14">
        <f t="shared" ref="BB357:BE357" si="421">+IFERROR(BB356/BA356-1,"n/a ")</f>
        <v>0.12415866170032031</v>
      </c>
      <c r="BC357" s="14">
        <f t="shared" si="421"/>
        <v>0.11371563099459392</v>
      </c>
      <c r="BD357" s="14">
        <f t="shared" si="421"/>
        <v>0.13797747824158035</v>
      </c>
      <c r="BE357" s="14">
        <f t="shared" si="421"/>
        <v>0.13587346026048519</v>
      </c>
      <c r="BF357" s="14"/>
    </row>
    <row r="358" spans="2:61" s="3" customFormat="1">
      <c r="B358" s="15" t="s">
        <v>272</v>
      </c>
      <c r="L358" s="14">
        <f>+(H351*(1+L353)-L412)/H356-1</f>
        <v>0.10162834058421377</v>
      </c>
      <c r="M358" s="14">
        <f>+(I351*(1+M353)-M412)/I356-1</f>
        <v>9.1923464249748177E-2</v>
      </c>
      <c r="N358" s="14">
        <f t="shared" ref="N358:AF358" si="422">+(J351*(1+N353)-J412*(1+N414))/J356-1</f>
        <v>0.112449858861982</v>
      </c>
      <c r="O358" s="14">
        <f t="shared" si="422"/>
        <v>6.5769282181526778E-2</v>
      </c>
      <c r="P358" s="14">
        <f t="shared" si="422"/>
        <v>0.15571227080394912</v>
      </c>
      <c r="Q358" s="14">
        <f t="shared" si="422"/>
        <v>0.1008101033896085</v>
      </c>
      <c r="R358" s="14">
        <f t="shared" si="422"/>
        <v>0.12563551036370746</v>
      </c>
      <c r="S358" s="14">
        <f t="shared" si="422"/>
        <v>0.15037055095075558</v>
      </c>
      <c r="T358" s="14">
        <f t="shared" si="422"/>
        <v>0.12957772115034594</v>
      </c>
      <c r="U358" s="14">
        <f t="shared" si="422"/>
        <v>0.17590341382181518</v>
      </c>
      <c r="V358" s="14">
        <f t="shared" si="422"/>
        <v>0.14809267493564215</v>
      </c>
      <c r="W358" s="14">
        <f t="shared" si="422"/>
        <v>7.4024099001302579E-2</v>
      </c>
      <c r="X358" s="14">
        <f t="shared" si="422"/>
        <v>9.9588787085514996E-2</v>
      </c>
      <c r="Y358" s="14">
        <f t="shared" si="422"/>
        <v>8.6221719457013624E-2</v>
      </c>
      <c r="Z358" s="14">
        <f t="shared" si="422"/>
        <v>9.6735788713504745E-2</v>
      </c>
      <c r="AA358" s="14">
        <f t="shared" si="422"/>
        <v>0.16041403400626719</v>
      </c>
      <c r="AB358" s="14">
        <f t="shared" si="422"/>
        <v>0.15836101720411389</v>
      </c>
      <c r="AC358" s="14">
        <f t="shared" si="422"/>
        <v>0.14918025844343274</v>
      </c>
      <c r="AD358" s="14">
        <f t="shared" si="422"/>
        <v>0.15269166022112013</v>
      </c>
      <c r="AE358" s="14">
        <f t="shared" si="422"/>
        <v>0.13988747435922511</v>
      </c>
      <c r="AF358" s="14">
        <f t="shared" si="422"/>
        <v>0.13413801638256984</v>
      </c>
      <c r="AG358" s="14"/>
      <c r="AH358" s="14"/>
      <c r="AI358" s="14"/>
      <c r="AZ358" s="14" t="s">
        <v>1305</v>
      </c>
      <c r="BA358" s="14">
        <f>+SUMPRODUCT(L358:O358,H356:K356)/AZ356</f>
        <v>9.2103337077430431E-2</v>
      </c>
      <c r="BB358" s="14">
        <f>+SUMPRODUCT(P358:S358,L356:O356)/BA356</f>
        <v>0.13303535254525245</v>
      </c>
      <c r="BC358" s="14">
        <f>+SUMPRODUCT(T358:W358,P356:S356)/BB356</f>
        <v>0.13062198453758062</v>
      </c>
      <c r="BD358" s="23">
        <f>+SUMPRODUCT(X358:AA358,T356:W356)/BC356</f>
        <v>0.11092553205370788</v>
      </c>
      <c r="BE358" s="23">
        <f>+SUMPRODUCT(AB358:AE358,X356:AA356)/BD356</f>
        <v>0.14968986545073687</v>
      </c>
      <c r="BF358" s="14"/>
    </row>
    <row r="360" spans="2:61">
      <c r="B360" t="s">
        <v>1306</v>
      </c>
      <c r="H360" s="911"/>
      <c r="I360" s="911"/>
      <c r="J360" s="911"/>
      <c r="K360" s="911"/>
      <c r="L360" s="911">
        <v>0.25</v>
      </c>
      <c r="M360" s="911">
        <v>0.24</v>
      </c>
      <c r="N360" s="911">
        <v>0.18</v>
      </c>
      <c r="O360" s="911">
        <v>0.13</v>
      </c>
      <c r="P360" s="911">
        <v>0.18</v>
      </c>
      <c r="Q360" s="911">
        <v>0.11</v>
      </c>
      <c r="R360" s="911">
        <v>0.15</v>
      </c>
      <c r="S360" s="911">
        <v>0.16</v>
      </c>
      <c r="T360" s="911">
        <v>0.16</v>
      </c>
      <c r="U360" s="911">
        <v>0.21</v>
      </c>
      <c r="V360" s="911">
        <v>0.16</v>
      </c>
      <c r="W360" s="911">
        <v>0</v>
      </c>
      <c r="X360" s="911">
        <v>0.13</v>
      </c>
      <c r="Y360" s="911">
        <v>0.13</v>
      </c>
      <c r="Z360" s="911">
        <v>0.15</v>
      </c>
      <c r="AA360" s="911">
        <v>0.33</v>
      </c>
      <c r="AB360" s="911">
        <v>0.22</v>
      </c>
      <c r="AC360" s="911">
        <v>0.2</v>
      </c>
      <c r="AD360" s="911">
        <v>0.16</v>
      </c>
      <c r="AE360" s="911">
        <v>0.12</v>
      </c>
      <c r="AF360" s="911">
        <v>0.11</v>
      </c>
      <c r="AG360" s="911"/>
      <c r="AH360" s="911"/>
      <c r="AI360" s="911"/>
      <c r="AZ360" s="912"/>
      <c r="BA360" s="912">
        <f>+AVERAGE(L360:O360)</f>
        <v>0.19999999999999998</v>
      </c>
      <c r="BB360" s="912">
        <f>+AVERAGE(P360:S360)</f>
        <v>0.15</v>
      </c>
      <c r="BC360" s="912">
        <f>AVERAGE(T360:W360)</f>
        <v>0.13250000000000001</v>
      </c>
      <c r="BD360" s="912">
        <f>AVERAGE(X360:AA360)</f>
        <v>0.185</v>
      </c>
      <c r="BE360" s="912">
        <f>AVERAGE(AB360:AE360)</f>
        <v>0.17500000000000002</v>
      </c>
      <c r="BF360" s="912"/>
      <c r="BI360" s="912"/>
    </row>
    <row r="361" spans="2:61">
      <c r="B361" s="12" t="s">
        <v>272</v>
      </c>
      <c r="H361" s="911"/>
      <c r="I361" s="911"/>
      <c r="J361" s="911"/>
      <c r="K361" s="911"/>
      <c r="L361" s="911">
        <v>0.24</v>
      </c>
      <c r="M361" s="911">
        <v>0.23</v>
      </c>
      <c r="N361" s="911">
        <v>0.15</v>
      </c>
      <c r="O361" s="911">
        <v>0.1</v>
      </c>
      <c r="P361" s="911">
        <v>0.17</v>
      </c>
      <c r="Q361" s="911">
        <v>0.11</v>
      </c>
      <c r="R361" s="911">
        <v>0.17</v>
      </c>
      <c r="S361" s="911">
        <v>0.2</v>
      </c>
      <c r="T361" s="911">
        <v>0.19</v>
      </c>
      <c r="U361" s="911">
        <v>0.23</v>
      </c>
      <c r="V361" s="911">
        <v>0.18</v>
      </c>
      <c r="W361" s="911">
        <v>0.03</v>
      </c>
      <c r="X361" s="911">
        <v>0.12</v>
      </c>
      <c r="Y361" s="911">
        <v>0.11</v>
      </c>
      <c r="Z361" s="911">
        <v>0.12</v>
      </c>
      <c r="AA361" s="911">
        <v>0.27</v>
      </c>
      <c r="AB361" s="911">
        <v>0.2</v>
      </c>
      <c r="AC361" s="911">
        <v>0.19</v>
      </c>
      <c r="AD361" s="911">
        <v>0.19</v>
      </c>
      <c r="AE361" s="911">
        <v>0.17</v>
      </c>
      <c r="AF361" s="911">
        <v>0.18</v>
      </c>
      <c r="AG361" s="911"/>
      <c r="AH361" s="911"/>
      <c r="AI361" s="911"/>
      <c r="AZ361" s="912"/>
      <c r="BA361" s="912">
        <f>+AVERAGE(L361:O361)</f>
        <v>0.18</v>
      </c>
      <c r="BB361" s="912">
        <f>+AVERAGE(P361:S361)</f>
        <v>0.16250000000000003</v>
      </c>
      <c r="BC361" s="912">
        <f>AVERAGE(T361:W361)</f>
        <v>0.15750000000000003</v>
      </c>
      <c r="BD361" s="912">
        <f>AVERAGE(X361:AA361)</f>
        <v>0.155</v>
      </c>
      <c r="BE361" s="912">
        <f>AVERAGE(AB361:AE361)</f>
        <v>0.18750000000000003</v>
      </c>
      <c r="BF361" s="912"/>
      <c r="BI361" s="912"/>
    </row>
    <row r="362" spans="2:61">
      <c r="B362" s="921"/>
      <c r="M362" t="s">
        <v>401</v>
      </c>
    </row>
    <row r="363" spans="2:61">
      <c r="B363" t="s">
        <v>352</v>
      </c>
      <c r="H363" s="8">
        <f t="shared" ref="H363:AF363" si="423">+H142</f>
        <v>2905</v>
      </c>
      <c r="I363" s="8">
        <f t="shared" si="423"/>
        <v>3053</v>
      </c>
      <c r="J363" s="8">
        <f t="shared" si="423"/>
        <v>2540</v>
      </c>
      <c r="K363" s="8">
        <f t="shared" si="423"/>
        <v>2891</v>
      </c>
      <c r="L363" s="8">
        <f t="shared" si="423"/>
        <v>3006</v>
      </c>
      <c r="M363" s="8">
        <f t="shared" si="423"/>
        <v>3337</v>
      </c>
      <c r="N363" s="8">
        <f t="shared" si="423"/>
        <v>3115</v>
      </c>
      <c r="O363" s="8">
        <f t="shared" si="423"/>
        <v>3466</v>
      </c>
      <c r="P363" s="8">
        <f t="shared" si="423"/>
        <v>3881</v>
      </c>
      <c r="Q363" s="8">
        <f t="shared" si="423"/>
        <v>4015</v>
      </c>
      <c r="R363" s="8">
        <f t="shared" si="423"/>
        <v>3979</v>
      </c>
      <c r="S363" s="8">
        <f t="shared" si="423"/>
        <v>4344</v>
      </c>
      <c r="T363" s="8">
        <f t="shared" si="423"/>
        <v>4782</v>
      </c>
      <c r="U363" s="8">
        <f t="shared" si="423"/>
        <v>5182</v>
      </c>
      <c r="V363" s="8">
        <f t="shared" si="423"/>
        <v>4788</v>
      </c>
      <c r="W363" s="8">
        <f t="shared" si="423"/>
        <v>3972</v>
      </c>
      <c r="X363" s="8">
        <f t="shared" si="423"/>
        <v>5706</v>
      </c>
      <c r="Y363" s="8">
        <f t="shared" si="423"/>
        <v>6181</v>
      </c>
      <c r="Z363" s="8">
        <f t="shared" si="423"/>
        <v>6029</v>
      </c>
      <c r="AA363" s="8">
        <f t="shared" si="423"/>
        <v>6435</v>
      </c>
      <c r="AB363" s="8">
        <f t="shared" si="423"/>
        <v>7581</v>
      </c>
      <c r="AC363" s="8">
        <f t="shared" si="423"/>
        <v>7688</v>
      </c>
      <c r="AD363" s="8">
        <f t="shared" si="423"/>
        <v>7184</v>
      </c>
      <c r="AE363" s="8">
        <f t="shared" si="423"/>
        <v>7234</v>
      </c>
      <c r="AF363" s="8">
        <f t="shared" si="423"/>
        <v>8323</v>
      </c>
      <c r="AG363" s="8"/>
      <c r="AH363" s="8"/>
      <c r="AI363" s="8"/>
      <c r="AT363" s="8">
        <f>+AT142</f>
        <v>14173</v>
      </c>
      <c r="AU363" s="8">
        <f>+AU142</f>
        <v>13274</v>
      </c>
      <c r="AV363" s="8">
        <f>+AV142</f>
        <v>12418</v>
      </c>
      <c r="AW363" s="8">
        <f>+AW142</f>
        <v>11913</v>
      </c>
      <c r="AY363" s="8">
        <f>+AZ363/(1+AZ364)</f>
        <v>11871.787291194494</v>
      </c>
      <c r="AZ363" s="8">
        <f t="shared" ref="AZ363:BE363" si="424">+AZ142</f>
        <v>11389</v>
      </c>
      <c r="BA363" s="8">
        <f t="shared" si="424"/>
        <v>12924</v>
      </c>
      <c r="BB363" s="8">
        <f t="shared" si="424"/>
        <v>16219</v>
      </c>
      <c r="BC363" s="8">
        <f t="shared" si="424"/>
        <v>18724</v>
      </c>
      <c r="BD363" s="8">
        <f t="shared" si="424"/>
        <v>24351</v>
      </c>
      <c r="BE363" s="8">
        <f t="shared" si="424"/>
        <v>29687</v>
      </c>
      <c r="BF363" s="8"/>
    </row>
    <row r="364" spans="2:61">
      <c r="B364" s="13" t="s">
        <v>113</v>
      </c>
      <c r="L364" s="14">
        <f>+IFERROR(L363/H363-1,"n/a ")</f>
        <v>3.4767641996557686E-2</v>
      </c>
      <c r="M364" s="14">
        <f t="shared" ref="M364:AF364" si="425">+IFERROR(M363/I363-1,"n/a ")</f>
        <v>9.3023255813953432E-2</v>
      </c>
      <c r="N364" s="14">
        <f t="shared" si="425"/>
        <v>0.22637795275590555</v>
      </c>
      <c r="O364" s="14">
        <f t="shared" si="425"/>
        <v>0.19889311656866138</v>
      </c>
      <c r="P364" s="14">
        <f t="shared" si="425"/>
        <v>0.29108449767132405</v>
      </c>
      <c r="Q364" s="14">
        <f t="shared" si="425"/>
        <v>0.20317650584357216</v>
      </c>
      <c r="R364" s="14">
        <f t="shared" si="425"/>
        <v>0.27736757624398067</v>
      </c>
      <c r="S364" s="14">
        <f t="shared" si="425"/>
        <v>0.25331794575879973</v>
      </c>
      <c r="T364" s="14">
        <f t="shared" si="425"/>
        <v>0.23215666065447049</v>
      </c>
      <c r="U364" s="14">
        <f t="shared" si="425"/>
        <v>0.29066002490660026</v>
      </c>
      <c r="V364" s="14">
        <f t="shared" si="425"/>
        <v>0.20331741643629053</v>
      </c>
      <c r="W364" s="14">
        <f t="shared" si="425"/>
        <v>-8.5635359116022047E-2</v>
      </c>
      <c r="X364" s="14">
        <f t="shared" si="425"/>
        <v>0.193224592220828</v>
      </c>
      <c r="Y364" s="14">
        <f t="shared" si="425"/>
        <v>0.1927827093786183</v>
      </c>
      <c r="Z364" s="14">
        <f t="shared" si="425"/>
        <v>0.25918964076858808</v>
      </c>
      <c r="AA364" s="14">
        <f t="shared" si="425"/>
        <v>0.6200906344410877</v>
      </c>
      <c r="AB364" s="14">
        <f t="shared" si="425"/>
        <v>0.32860147213459512</v>
      </c>
      <c r="AC364" s="14">
        <f t="shared" si="425"/>
        <v>0.24381168095777372</v>
      </c>
      <c r="AD364" s="14">
        <f t="shared" si="425"/>
        <v>0.19157405871620492</v>
      </c>
      <c r="AE364" s="14">
        <f t="shared" si="425"/>
        <v>0.12416472416472413</v>
      </c>
      <c r="AF364" s="14">
        <f t="shared" si="425"/>
        <v>9.787626962142193E-2</v>
      </c>
      <c r="AG364" s="14"/>
      <c r="AH364" s="14"/>
      <c r="AI364" s="14"/>
      <c r="AU364" s="14">
        <f t="shared" ref="AU364:AW364" si="426">+IFERROR(AU363/AT363-1,"n/a ")</f>
        <v>-6.343046637973615E-2</v>
      </c>
      <c r="AV364" s="14">
        <f t="shared" si="426"/>
        <v>-6.4486967003164031E-2</v>
      </c>
      <c r="AW364" s="14">
        <f t="shared" si="426"/>
        <v>-4.0666774037687259E-2</v>
      </c>
      <c r="AY364" s="1010">
        <f t="shared" ref="AY364" si="427">+AV364</f>
        <v>-6.4486967003164031E-2</v>
      </c>
      <c r="AZ364" s="1010">
        <f t="shared" ref="AZ364" si="428">+AW364</f>
        <v>-4.0666774037687259E-2</v>
      </c>
      <c r="BA364" s="14">
        <f>+IFERROR(BA363/AZ363-1,"n/a ")</f>
        <v>0.13477917288611829</v>
      </c>
      <c r="BB364" s="14">
        <f>+IFERROR(BB363/BA363-1,"n/a ")</f>
        <v>0.25495202723614985</v>
      </c>
      <c r="BC364" s="14">
        <f>+IFERROR(BC363/BB363-1,"n/a ")</f>
        <v>0.15444848634317765</v>
      </c>
      <c r="BD364" s="14">
        <f t="shared" ref="BD364:BE364" si="429">+IFERROR(BD363/BC363-1,"n/a ")</f>
        <v>0.30052339243751325</v>
      </c>
      <c r="BE364" s="14">
        <f t="shared" si="429"/>
        <v>0.21912857788181173</v>
      </c>
      <c r="BF364" s="14"/>
    </row>
    <row r="365" spans="2:61">
      <c r="B365" s="13" t="s">
        <v>272</v>
      </c>
      <c r="L365" s="22">
        <v>0.04</v>
      </c>
      <c r="M365" s="22">
        <v>0.1</v>
      </c>
      <c r="N365" s="22">
        <v>0.19</v>
      </c>
      <c r="O365" s="22">
        <v>0.13</v>
      </c>
      <c r="P365" s="22">
        <v>0.27</v>
      </c>
      <c r="Q365" s="22">
        <v>0.19</v>
      </c>
      <c r="R365" s="22">
        <v>0.3</v>
      </c>
      <c r="S365" s="22">
        <v>0.31</v>
      </c>
      <c r="T365" s="22">
        <v>0.27</v>
      </c>
      <c r="U365" s="22">
        <v>0.33</v>
      </c>
      <c r="V365" s="22">
        <v>0.23</v>
      </c>
      <c r="W365" s="22">
        <v>-0.05</v>
      </c>
      <c r="X365" s="22">
        <v>0.19</v>
      </c>
      <c r="Y365" s="22">
        <v>0.17</v>
      </c>
      <c r="Z365" s="22">
        <v>0.2</v>
      </c>
      <c r="AA365" s="22">
        <v>0.53</v>
      </c>
      <c r="AB365" s="22">
        <v>0.28999999999999998</v>
      </c>
      <c r="AC365" s="22">
        <v>0.24</v>
      </c>
      <c r="AD365" s="22">
        <v>0.23</v>
      </c>
      <c r="AE365" s="22">
        <v>0.19</v>
      </c>
      <c r="AF365" s="22">
        <v>0.19</v>
      </c>
      <c r="AG365" s="22"/>
      <c r="AH365" s="22"/>
      <c r="AI365" s="22"/>
      <c r="AY365" s="14" t="s">
        <v>1305</v>
      </c>
      <c r="AZ365" s="14" t="s">
        <v>1305</v>
      </c>
      <c r="BA365" s="23">
        <f>+SUMPRODUCT(L365:O365,H363:K363)/AZ363</f>
        <v>0.11238300114145229</v>
      </c>
      <c r="BB365" s="23">
        <f>+SUMPRODUCT(P365:S365,L363:O363)/BA363</f>
        <v>0.26730191891055399</v>
      </c>
      <c r="BC365" s="23">
        <f>+SUMPRODUCT(T365:W365,P363:S363)/BB363</f>
        <v>0.18933288118872929</v>
      </c>
      <c r="BD365" s="23">
        <f>+SUMPRODUCT(X365:AA365,T363:W363)/BC363</f>
        <v>0.25914761803033542</v>
      </c>
      <c r="BE365" s="23">
        <f>+SUMPRODUCT(AB365:AE365,X363:AA363)/BD363</f>
        <v>0.23602726787400929</v>
      </c>
      <c r="BF365" s="23"/>
    </row>
    <row r="366" spans="2:61">
      <c r="B366" s="13" t="s">
        <v>123</v>
      </c>
      <c r="H366" s="14">
        <f t="shared" ref="H366:AF366" si="430">+IFERROR(H363/H351,"n/a ")</f>
        <v>0.45136730888750776</v>
      </c>
      <c r="I366" s="14">
        <f t="shared" si="430"/>
        <v>0.4252681431954311</v>
      </c>
      <c r="J366" s="14">
        <f t="shared" si="430"/>
        <v>0.32957052030621514</v>
      </c>
      <c r="K366" s="14">
        <f t="shared" si="430"/>
        <v>0.33820776789892371</v>
      </c>
      <c r="L366" s="14">
        <f t="shared" si="430"/>
        <v>0.36489439184268024</v>
      </c>
      <c r="M366" s="14">
        <f t="shared" si="430"/>
        <v>0.37272422651625153</v>
      </c>
      <c r="N366" s="14">
        <f t="shared" si="430"/>
        <v>0.34588052409504777</v>
      </c>
      <c r="O366" s="14">
        <f t="shared" si="430"/>
        <v>0.35850227554820024</v>
      </c>
      <c r="P366" s="14">
        <f t="shared" si="430"/>
        <v>0.3971957834407942</v>
      </c>
      <c r="Q366" s="14">
        <f t="shared" si="430"/>
        <v>0.39752475247524754</v>
      </c>
      <c r="R366" s="14">
        <f t="shared" si="430"/>
        <v>0.38849834016793594</v>
      </c>
      <c r="S366" s="14">
        <f t="shared" si="430"/>
        <v>0.3932289309314746</v>
      </c>
      <c r="T366" s="14">
        <f t="shared" si="430"/>
        <v>0.43170533537961542</v>
      </c>
      <c r="U366" s="14">
        <f t="shared" si="430"/>
        <v>0.43818704549298154</v>
      </c>
      <c r="V366" s="14">
        <f t="shared" si="430"/>
        <v>0.40773226603082685</v>
      </c>
      <c r="W366" s="14">
        <f t="shared" si="430"/>
        <v>0.33798502382573181</v>
      </c>
      <c r="X366" s="14">
        <f t="shared" si="430"/>
        <v>0.46318694699245067</v>
      </c>
      <c r="Y366" s="14">
        <f t="shared" si="430"/>
        <v>0.46289223395491652</v>
      </c>
      <c r="Z366" s="14">
        <f t="shared" si="430"/>
        <v>0.44487898465171194</v>
      </c>
      <c r="AA366" s="14">
        <f t="shared" si="430"/>
        <v>0.43802327955891363</v>
      </c>
      <c r="AB366" s="14">
        <f t="shared" si="430"/>
        <v>0.50408936764412526</v>
      </c>
      <c r="AC366" s="14">
        <f t="shared" si="430"/>
        <v>0.48242971887550201</v>
      </c>
      <c r="AD366" s="14">
        <f t="shared" si="430"/>
        <v>0.45500031667616697</v>
      </c>
      <c r="AE366" s="14">
        <f t="shared" si="430"/>
        <v>0.43578313253012047</v>
      </c>
      <c r="AF366" s="14">
        <f t="shared" si="430"/>
        <v>0.50549650774369881</v>
      </c>
      <c r="AG366" s="14"/>
      <c r="AH366" s="14"/>
      <c r="AI366" s="14"/>
      <c r="AT366" s="14">
        <f>+IFERROR(AT363/AT351,"n/a ")</f>
        <v>0.52539294187425856</v>
      </c>
      <c r="AU366" s="14">
        <f>+IFERROR(AU363/AU351,"n/a ")</f>
        <v>0.50223231176693151</v>
      </c>
      <c r="AV366" s="14">
        <f>+IFERROR(AV363/AV351,"n/a ")</f>
        <v>0.46883376750858913</v>
      </c>
      <c r="AW366" s="14">
        <f>+IFERROR(AW363/AW351,"n/a ")</f>
        <v>0.39130863224280649</v>
      </c>
      <c r="AY366" s="14">
        <f>+IFERROR(AY363/AY351,"n/a ")</f>
        <v>0.45682496098657188</v>
      </c>
      <c r="AZ366" s="14">
        <f>+IFERROR(AZ363/AZ351,"n/a ")</f>
        <v>0.38128557080682962</v>
      </c>
      <c r="BA366" s="14">
        <f>+IFERROR(BA363/BA351,"n/a ")</f>
        <v>0.3603513174404015</v>
      </c>
      <c r="BB366" s="14">
        <f>+IFERROR(BB363/BB351,"n/a ")</f>
        <v>0.39404761904761904</v>
      </c>
      <c r="BC366" s="14">
        <f>+IFERROR(BC363/BC351,"n/a ")</f>
        <v>0.40355187723608776</v>
      </c>
      <c r="BD366" s="14">
        <f t="shared" ref="BD366:BE366" si="431">+IFERROR(BD363/BD351,"n/a ")</f>
        <v>0.45165538347398682</v>
      </c>
      <c r="BE366" s="14">
        <f t="shared" si="431"/>
        <v>0.46851524524966859</v>
      </c>
      <c r="BF366" s="14"/>
    </row>
    <row r="367" spans="2:61">
      <c r="B367" s="921"/>
    </row>
    <row r="368" spans="2:61">
      <c r="B368" s="24" t="s">
        <v>127</v>
      </c>
    </row>
    <row r="369" spans="2:58">
      <c r="B369" s="12" t="s">
        <v>402</v>
      </c>
      <c r="H369" s="8">
        <f>+H363-H430</f>
        <v>2905</v>
      </c>
      <c r="I369" s="8">
        <f t="shared" ref="I369:O369" si="432">+I363-I430</f>
        <v>3249</v>
      </c>
      <c r="J369" s="8">
        <f t="shared" si="432"/>
        <v>2915</v>
      </c>
      <c r="K369" s="8">
        <f t="shared" si="432"/>
        <v>3244</v>
      </c>
      <c r="L369" s="8">
        <f t="shared" si="432"/>
        <v>3300</v>
      </c>
      <c r="M369" s="8">
        <f t="shared" si="432"/>
        <v>3602</v>
      </c>
      <c r="N369" s="8">
        <f t="shared" si="432"/>
        <v>3361</v>
      </c>
      <c r="O369" s="8">
        <f t="shared" si="432"/>
        <v>3648</v>
      </c>
      <c r="P369" s="925"/>
      <c r="Q369" s="925"/>
      <c r="R369" s="925"/>
      <c r="S369" s="925"/>
      <c r="T369" s="925"/>
      <c r="U369" s="925"/>
      <c r="V369" s="925"/>
      <c r="W369" s="925"/>
      <c r="X369" s="925"/>
      <c r="Y369" s="925"/>
      <c r="Z369" s="925"/>
      <c r="AA369" s="925"/>
      <c r="AB369" s="925"/>
      <c r="AC369" s="925"/>
      <c r="AD369" s="925"/>
      <c r="AE369" s="925"/>
      <c r="AF369" s="925"/>
      <c r="AG369" s="8"/>
      <c r="AH369" s="8"/>
      <c r="AI369" s="8"/>
      <c r="AZ369" s="8">
        <f t="shared" ref="AZ369:BA369" si="433">+AZ363-AZ430</f>
        <v>12313</v>
      </c>
      <c r="BA369" s="8">
        <f t="shared" si="433"/>
        <v>13911</v>
      </c>
      <c r="BB369" s="926"/>
      <c r="BC369" s="926"/>
      <c r="BD369" s="926"/>
      <c r="BE369" s="926"/>
    </row>
    <row r="370" spans="2:58" ht="11.45">
      <c r="B370" s="15" t="s">
        <v>113</v>
      </c>
      <c r="L370" s="14">
        <f>+IFERROR(L369/H369-1,"n/a ")</f>
        <v>0.13597246127366613</v>
      </c>
      <c r="M370" s="14">
        <f t="shared" ref="M370:O370" si="434">+IFERROR(M369/I369-1,"n/a ")</f>
        <v>0.10864881502000623</v>
      </c>
      <c r="N370" s="14">
        <f t="shared" si="434"/>
        <v>0.15300171526586626</v>
      </c>
      <c r="O370" s="14">
        <f t="shared" si="434"/>
        <v>0.12453760789149193</v>
      </c>
      <c r="P370" s="927"/>
      <c r="Q370" s="928"/>
      <c r="R370" s="928" t="s">
        <v>403</v>
      </c>
      <c r="S370" s="927"/>
      <c r="T370" s="927"/>
      <c r="U370" s="927"/>
      <c r="V370" s="927"/>
      <c r="W370" s="927"/>
      <c r="X370" s="927"/>
      <c r="Y370" s="927"/>
      <c r="Z370" s="927"/>
      <c r="AA370" s="927"/>
      <c r="AB370" s="927"/>
      <c r="AC370" s="927"/>
      <c r="AD370" s="927"/>
      <c r="AE370" s="927"/>
      <c r="AF370" s="927"/>
      <c r="AG370" s="14"/>
      <c r="AH370" s="14"/>
      <c r="AI370" s="14"/>
      <c r="BA370" s="14">
        <f>+IFERROR(BA369/AZ369-1,"n/a ")</f>
        <v>0.12978153171444817</v>
      </c>
      <c r="BB370" s="926"/>
      <c r="BC370" s="926"/>
      <c r="BD370" s="926"/>
      <c r="BE370" s="926"/>
    </row>
    <row r="371" spans="2:58">
      <c r="B371" s="15" t="s">
        <v>272</v>
      </c>
      <c r="L371" s="14">
        <f>+(H363*(L365)-(L430-H430))/H369</f>
        <v>0.14120481927710843</v>
      </c>
      <c r="M371" s="14">
        <f t="shared" ref="M371:O371" si="435">+(I363*(M365)-(M430-I430))/I369</f>
        <v>0.1152046783625731</v>
      </c>
      <c r="N371" s="14">
        <f t="shared" si="435"/>
        <v>0.12130360205831904</v>
      </c>
      <c r="O371" s="14">
        <f t="shared" si="435"/>
        <v>6.3141183723797789E-2</v>
      </c>
      <c r="P371" s="926"/>
      <c r="Q371" s="926"/>
      <c r="R371" s="926"/>
      <c r="S371" s="926"/>
      <c r="T371" s="926"/>
      <c r="U371" s="926"/>
      <c r="V371" s="926"/>
      <c r="W371" s="926"/>
      <c r="X371" s="926"/>
      <c r="Y371" s="926"/>
      <c r="Z371" s="926"/>
      <c r="AA371" s="926"/>
      <c r="AB371" s="926"/>
      <c r="AC371" s="926"/>
      <c r="AD371" s="926"/>
      <c r="AE371" s="926"/>
      <c r="AF371" s="926"/>
      <c r="AG371" s="14"/>
      <c r="AH371" s="14"/>
      <c r="AI371" s="14"/>
      <c r="BA371" s="14">
        <f>+SUMPRODUCT(L371:O371,H369:K369)/AZ369</f>
        <v>0.1090660277755218</v>
      </c>
      <c r="BB371" s="926"/>
      <c r="BC371" s="926"/>
      <c r="BD371" s="926"/>
      <c r="BE371" s="926"/>
    </row>
    <row r="372" spans="2:58">
      <c r="B372" s="15" t="s">
        <v>123</v>
      </c>
      <c r="H372" s="14">
        <f t="shared" ref="H372:O372" si="436">+IFERROR(H369/H356,"n/a ")</f>
        <v>0.45136730888750776</v>
      </c>
      <c r="I372" s="14">
        <f t="shared" si="436"/>
        <v>0.46741476046611996</v>
      </c>
      <c r="J372" s="14">
        <f t="shared" si="436"/>
        <v>0.43307086614173229</v>
      </c>
      <c r="K372" s="14">
        <f t="shared" si="436"/>
        <v>0.43363186739740678</v>
      </c>
      <c r="L372" s="14">
        <f t="shared" si="436"/>
        <v>0.46544428772919605</v>
      </c>
      <c r="M372" s="14">
        <f t="shared" si="436"/>
        <v>0.47140426645727002</v>
      </c>
      <c r="N372" s="14">
        <f t="shared" si="436"/>
        <v>0.43814365793247295</v>
      </c>
      <c r="O372" s="14">
        <f t="shared" si="436"/>
        <v>0.4446611409068747</v>
      </c>
      <c r="P372" s="926"/>
      <c r="Q372" s="926"/>
      <c r="R372" s="926"/>
      <c r="S372" s="926"/>
      <c r="T372" s="926"/>
      <c r="U372" s="926"/>
      <c r="V372" s="926"/>
      <c r="W372" s="926"/>
      <c r="X372" s="926"/>
      <c r="Y372" s="926"/>
      <c r="Z372" s="926"/>
      <c r="AA372" s="926"/>
      <c r="AB372" s="926"/>
      <c r="AC372" s="926"/>
      <c r="AD372" s="926"/>
      <c r="AE372" s="926"/>
      <c r="AF372" s="926"/>
      <c r="AG372" s="14"/>
      <c r="AH372" s="14"/>
      <c r="AI372" s="14"/>
      <c r="AZ372" s="14">
        <f>+IFERROR(AZ369/AZ356,"n/a ")</f>
        <v>0.44613935287510414</v>
      </c>
      <c r="BA372" s="14">
        <f>+IFERROR(BA369/BA356,"n/a ")</f>
        <v>0.45451872181925113</v>
      </c>
      <c r="BB372" s="926"/>
      <c r="BC372" s="926"/>
      <c r="BD372" s="926"/>
      <c r="BE372" s="926"/>
    </row>
    <row r="373" spans="2:58">
      <c r="B373" s="921"/>
    </row>
    <row r="374" spans="2:58" ht="10.5">
      <c r="B374" s="45" t="s">
        <v>1307</v>
      </c>
    </row>
    <row r="375" spans="2:58" ht="10.5">
      <c r="B375" s="45"/>
      <c r="D375" s="876" t="s">
        <v>404</v>
      </c>
      <c r="E375" s="876"/>
      <c r="F375" s="876"/>
      <c r="G375" s="876"/>
    </row>
    <row r="376" spans="2:58">
      <c r="B376" s="852" t="s">
        <v>1308</v>
      </c>
    </row>
    <row r="377" spans="2:58">
      <c r="B377" t="s">
        <v>1309</v>
      </c>
      <c r="D377" s="911">
        <v>-0.02</v>
      </c>
      <c r="E377" s="911">
        <v>-0.01</v>
      </c>
      <c r="F377" s="911">
        <v>0</v>
      </c>
      <c r="G377" s="911">
        <v>0.05</v>
      </c>
      <c r="H377" s="911">
        <v>0.09</v>
      </c>
      <c r="I377" s="911">
        <v>7.0000000000000007E-2</v>
      </c>
      <c r="J377" s="911">
        <v>0.09</v>
      </c>
      <c r="K377" s="911">
        <v>0.05</v>
      </c>
      <c r="L377" s="911">
        <v>0.1</v>
      </c>
      <c r="M377" s="911">
        <v>0.1</v>
      </c>
      <c r="N377" s="911">
        <v>0.14000000000000001</v>
      </c>
      <c r="O377" s="911">
        <v>0.1</v>
      </c>
      <c r="P377" s="911">
        <v>0.17</v>
      </c>
      <c r="Q377" s="911">
        <v>0.11</v>
      </c>
      <c r="R377" s="911">
        <v>0.12</v>
      </c>
      <c r="S377" s="911">
        <v>0.14000000000000001</v>
      </c>
      <c r="T377" s="911">
        <v>0.13</v>
      </c>
      <c r="U377" s="911">
        <v>0.16</v>
      </c>
      <c r="V377" s="911">
        <v>0.13</v>
      </c>
      <c r="W377" s="911">
        <v>0.05</v>
      </c>
      <c r="X377" s="911">
        <v>0.09</v>
      </c>
      <c r="Y377" s="911">
        <v>0.11</v>
      </c>
      <c r="Z377" s="911">
        <v>0.14000000000000001</v>
      </c>
      <c r="AA377" s="911">
        <v>0.2</v>
      </c>
      <c r="AB377" s="911">
        <v>0.18</v>
      </c>
      <c r="AC377" s="911">
        <v>0.14000000000000001</v>
      </c>
      <c r="AD377" s="911">
        <v>0.12</v>
      </c>
      <c r="AE377" s="911">
        <v>0.09</v>
      </c>
      <c r="AF377" s="911">
        <v>7.0000000000000007E-2</v>
      </c>
      <c r="AG377" s="911"/>
      <c r="AH377" s="911"/>
      <c r="AI377" s="911"/>
      <c r="AZ377" s="912">
        <f>+AVERAGE(H377:K377)</f>
        <v>7.4999999999999997E-2</v>
      </c>
      <c r="BA377" s="912">
        <f>+AVERAGE(L377:O377)</f>
        <v>0.11000000000000001</v>
      </c>
      <c r="BB377" s="912">
        <f>+AVERAGE(P377:S377)</f>
        <v>0.13500000000000001</v>
      </c>
      <c r="BC377" s="912">
        <f>+AVERAGE(T377:W377)</f>
        <v>0.11750000000000001</v>
      </c>
      <c r="BD377" s="912">
        <f>+AVERAGE(X377:AA377)</f>
        <v>0.13500000000000001</v>
      </c>
      <c r="BE377" s="912">
        <f>+AVERAGE(AB377:AE377)</f>
        <v>0.13250000000000001</v>
      </c>
      <c r="BF377" s="912"/>
    </row>
    <row r="378" spans="2:58">
      <c r="B378" s="12" t="s">
        <v>272</v>
      </c>
      <c r="D378" s="911">
        <v>0.05</v>
      </c>
      <c r="E378" s="911">
        <v>0.05</v>
      </c>
      <c r="F378" s="911">
        <v>7.0000000000000007E-2</v>
      </c>
      <c r="G378" s="911">
        <v>0.09</v>
      </c>
      <c r="H378" s="911">
        <v>0.11</v>
      </c>
      <c r="I378" s="911">
        <v>0.08</v>
      </c>
      <c r="J378" s="911">
        <v>0.1</v>
      </c>
      <c r="K378" s="911">
        <v>0.06</v>
      </c>
      <c r="L378" s="911">
        <v>0.1</v>
      </c>
      <c r="M378" s="911">
        <v>0.1</v>
      </c>
      <c r="N378" s="911">
        <v>0.12</v>
      </c>
      <c r="O378" s="911">
        <v>0.08</v>
      </c>
      <c r="P378" s="911">
        <v>0.16</v>
      </c>
      <c r="Q378" s="911">
        <v>0.11</v>
      </c>
      <c r="R378" s="911">
        <v>0.14000000000000001</v>
      </c>
      <c r="S378" s="911">
        <v>0.16</v>
      </c>
      <c r="T378" s="911">
        <v>0.15</v>
      </c>
      <c r="U378" s="911">
        <v>0.18</v>
      </c>
      <c r="V378" s="911">
        <v>0.15</v>
      </c>
      <c r="W378" s="911">
        <v>7.0000000000000007E-2</v>
      </c>
      <c r="X378" s="911">
        <v>0.09</v>
      </c>
      <c r="Y378" s="911">
        <v>0.09</v>
      </c>
      <c r="Z378" s="911">
        <v>0.1</v>
      </c>
      <c r="AA378" s="911">
        <v>0.15</v>
      </c>
      <c r="AB378" s="911">
        <v>0.16</v>
      </c>
      <c r="AC378" s="911">
        <v>0.14000000000000001</v>
      </c>
      <c r="AD378" s="911">
        <v>0.14000000000000001</v>
      </c>
      <c r="AE378" s="911">
        <v>0.13</v>
      </c>
      <c r="AF378" s="911">
        <v>0.13</v>
      </c>
      <c r="AG378" s="911"/>
      <c r="AH378" s="911"/>
      <c r="AI378" s="911"/>
      <c r="AZ378" s="912">
        <f>+AVERAGE(H378:K378)</f>
        <v>8.7500000000000008E-2</v>
      </c>
      <c r="BA378" s="912">
        <f>+AVERAGE(L378:O378)</f>
        <v>0.1</v>
      </c>
      <c r="BB378" s="912">
        <f>+AVERAGE(P378:S378)</f>
        <v>0.14250000000000002</v>
      </c>
      <c r="BC378" s="912">
        <f>+AVERAGE(T378:W378)</f>
        <v>0.13750000000000001</v>
      </c>
      <c r="BD378" s="912">
        <f>+AVERAGE(X378:AA378)</f>
        <v>0.10750000000000001</v>
      </c>
      <c r="BE378" s="912">
        <f>+AVERAGE(AB378:AE378)</f>
        <v>0.14250000000000002</v>
      </c>
      <c r="BF378" s="912"/>
    </row>
    <row r="379" spans="2:58">
      <c r="B379" s="12"/>
      <c r="D379" s="911"/>
      <c r="E379" s="911"/>
      <c r="F379" s="911"/>
      <c r="G379" s="911"/>
      <c r="H379" s="911"/>
      <c r="I379" s="911"/>
      <c r="J379" s="911"/>
      <c r="K379" s="911"/>
      <c r="L379" s="911"/>
      <c r="M379" s="911"/>
      <c r="N379" s="911"/>
      <c r="O379" s="911"/>
      <c r="P379" s="911"/>
      <c r="Q379" s="911"/>
      <c r="R379" s="911"/>
      <c r="S379" s="911"/>
      <c r="T379" s="911"/>
      <c r="U379" s="911"/>
      <c r="V379" s="911"/>
      <c r="W379" s="911"/>
      <c r="X379" s="911"/>
      <c r="Y379" s="911"/>
      <c r="Z379" s="911"/>
      <c r="AA379" s="911"/>
      <c r="AB379" s="911"/>
      <c r="AC379" s="911"/>
      <c r="AD379" s="911"/>
      <c r="AE379" s="911"/>
      <c r="AF379" s="911"/>
      <c r="AG379" s="911"/>
      <c r="AH379" s="911"/>
      <c r="AI379" s="911"/>
      <c r="AZ379" s="912"/>
      <c r="BA379" s="912"/>
      <c r="BB379" s="912"/>
      <c r="BC379" s="912"/>
      <c r="BD379" s="912"/>
      <c r="BE379" s="912"/>
      <c r="BF379" s="912"/>
    </row>
    <row r="380" spans="2:58">
      <c r="B380" t="s">
        <v>1310</v>
      </c>
      <c r="D380" s="911"/>
      <c r="E380" s="911"/>
      <c r="F380" s="911"/>
      <c r="G380" s="911">
        <v>0.54</v>
      </c>
      <c r="H380" s="911">
        <v>0.51</v>
      </c>
      <c r="I380" s="911">
        <v>0.47</v>
      </c>
      <c r="J380" s="911">
        <v>0.45</v>
      </c>
      <c r="K380" s="911">
        <v>0.43</v>
      </c>
      <c r="L380" s="911">
        <v>0.42</v>
      </c>
      <c r="M380" s="911">
        <v>0.41</v>
      </c>
      <c r="N380" s="911">
        <v>0.42</v>
      </c>
      <c r="O380" s="911">
        <v>0.38</v>
      </c>
      <c r="P380" s="911">
        <v>0.36</v>
      </c>
      <c r="Q380" s="911">
        <v>0.34</v>
      </c>
      <c r="R380" s="911">
        <v>0.3</v>
      </c>
      <c r="S380" s="911">
        <v>0.31</v>
      </c>
      <c r="T380" s="911">
        <v>0.25</v>
      </c>
      <c r="U380" s="911">
        <v>0.16</v>
      </c>
      <c r="V380" s="911">
        <v>0.25</v>
      </c>
      <c r="W380" s="911">
        <v>0.19</v>
      </c>
      <c r="X380" s="911">
        <v>0.21</v>
      </c>
      <c r="Y380" s="911">
        <v>0.21</v>
      </c>
      <c r="Z380" s="911">
        <v>0.22</v>
      </c>
      <c r="AA380" s="911">
        <v>0.25</v>
      </c>
      <c r="AB380" s="911">
        <v>0.23</v>
      </c>
      <c r="AC380" s="911">
        <v>0.19</v>
      </c>
      <c r="AD380" s="911">
        <v>0.11</v>
      </c>
      <c r="AE380" s="911">
        <v>0.09</v>
      </c>
      <c r="AF380" s="911">
        <v>7.0000000000000007E-2</v>
      </c>
      <c r="AG380" s="911"/>
      <c r="AH380" s="911"/>
      <c r="AI380" s="911"/>
      <c r="AZ380" s="912">
        <f>+AVERAGE(H380:K380)</f>
        <v>0.46499999999999997</v>
      </c>
      <c r="BA380" s="912">
        <f>+AVERAGE(L380:O380)</f>
        <v>0.40749999999999997</v>
      </c>
      <c r="BB380" s="912">
        <f>+AVERAGE(P380:S380)</f>
        <v>0.32750000000000001</v>
      </c>
      <c r="BC380" s="912">
        <f>+AVERAGE(T380:W380)</f>
        <v>0.21250000000000002</v>
      </c>
      <c r="BD380" s="912">
        <f>+AVERAGE(X380:AA380)</f>
        <v>0.2225</v>
      </c>
      <c r="BE380" s="912">
        <f>+AVERAGE(AB380:AE380)</f>
        <v>0.155</v>
      </c>
      <c r="BF380" s="912"/>
    </row>
    <row r="381" spans="2:58">
      <c r="B381" s="12" t="s">
        <v>272</v>
      </c>
      <c r="D381" s="911">
        <v>0.7</v>
      </c>
      <c r="E381" s="911">
        <v>0.7</v>
      </c>
      <c r="F381" s="911">
        <v>0.63</v>
      </c>
      <c r="G381" s="911">
        <v>0.59</v>
      </c>
      <c r="H381" s="911">
        <v>0.54</v>
      </c>
      <c r="I381" s="911">
        <v>0.49</v>
      </c>
      <c r="J381" s="911">
        <v>0.45</v>
      </c>
      <c r="K381" s="911">
        <v>0.44</v>
      </c>
      <c r="L381" s="911">
        <v>0.42</v>
      </c>
      <c r="M381" s="911">
        <v>0.41</v>
      </c>
      <c r="N381" s="911">
        <v>0.4</v>
      </c>
      <c r="O381" s="911">
        <v>0.35</v>
      </c>
      <c r="P381" s="911">
        <v>0.35</v>
      </c>
      <c r="Q381" s="911">
        <v>0.33</v>
      </c>
      <c r="R381" s="911">
        <v>0.31</v>
      </c>
      <c r="S381" s="911">
        <v>0.34</v>
      </c>
      <c r="T381" s="911">
        <v>0.28000000000000003</v>
      </c>
      <c r="U381" s="911">
        <v>0.18</v>
      </c>
      <c r="V381" s="911">
        <v>0.27</v>
      </c>
      <c r="W381" s="911">
        <v>0.22</v>
      </c>
      <c r="X381" s="911">
        <v>0.2</v>
      </c>
      <c r="Y381" s="911">
        <v>0.2</v>
      </c>
      <c r="Z381" s="911">
        <v>0.19</v>
      </c>
      <c r="AA381" s="911">
        <v>0.2</v>
      </c>
      <c r="AB381" s="911">
        <v>0.21</v>
      </c>
      <c r="AC381" s="911">
        <v>0.19</v>
      </c>
      <c r="AD381" s="911">
        <v>0.12</v>
      </c>
      <c r="AE381" s="911">
        <v>0.12</v>
      </c>
      <c r="AF381" s="911">
        <v>0.11</v>
      </c>
      <c r="AG381" s="911"/>
      <c r="AH381" s="911"/>
      <c r="AI381" s="911"/>
      <c r="AZ381" s="912">
        <f>+AVERAGE(H381:K381)</f>
        <v>0.48</v>
      </c>
      <c r="BA381" s="912">
        <f>+AVERAGE(L381:O381)</f>
        <v>0.39500000000000002</v>
      </c>
      <c r="BB381" s="912">
        <f>+AVERAGE(P381:S381)</f>
        <v>0.33250000000000002</v>
      </c>
      <c r="BC381" s="912">
        <f>+AVERAGE(T381:W381)</f>
        <v>0.23749999999999999</v>
      </c>
      <c r="BD381" s="912">
        <f>+AVERAGE(X381:AA381)</f>
        <v>0.19750000000000001</v>
      </c>
      <c r="BE381" s="912">
        <f>+AVERAGE(AB381:AE381)</f>
        <v>0.16</v>
      </c>
      <c r="BF381" s="912"/>
    </row>
    <row r="382" spans="2:58">
      <c r="B382" s="12"/>
      <c r="D382" s="911"/>
      <c r="E382" s="911"/>
      <c r="F382" s="911"/>
      <c r="G382" s="911"/>
      <c r="H382" s="911"/>
      <c r="I382" s="911"/>
      <c r="J382" s="911"/>
      <c r="K382" s="911"/>
      <c r="L382" s="911"/>
      <c r="M382" s="911"/>
      <c r="N382" s="911"/>
      <c r="O382" s="911"/>
      <c r="P382" s="911"/>
      <c r="Q382" s="911"/>
      <c r="R382" s="911"/>
      <c r="S382" s="911"/>
      <c r="T382" s="911"/>
      <c r="U382" s="911"/>
      <c r="V382" s="911"/>
      <c r="W382" s="911"/>
      <c r="X382" s="911"/>
      <c r="Y382" s="911"/>
      <c r="Z382" s="911"/>
      <c r="AA382" s="911"/>
      <c r="AB382" s="911"/>
      <c r="AC382" s="911"/>
      <c r="AD382" s="911"/>
      <c r="AE382" s="911"/>
      <c r="AF382" s="911"/>
      <c r="AG382" s="911"/>
      <c r="AH382" s="911"/>
      <c r="AI382" s="911"/>
      <c r="AZ382" s="912"/>
      <c r="BA382" s="912"/>
      <c r="BB382" s="912"/>
      <c r="BC382" s="912"/>
      <c r="BD382" s="912"/>
      <c r="BE382" s="912"/>
      <c r="BF382" s="912"/>
    </row>
    <row r="383" spans="2:58" hidden="1" outlineLevel="1">
      <c r="B383" t="s">
        <v>409</v>
      </c>
      <c r="D383" s="911"/>
      <c r="E383" s="911"/>
      <c r="F383" s="911"/>
      <c r="G383" s="911">
        <v>-0.12</v>
      </c>
      <c r="H383" s="911">
        <v>-0.14000000000000001</v>
      </c>
      <c r="I383" s="911">
        <v>-0.13</v>
      </c>
      <c r="J383" s="911">
        <v>-0.13</v>
      </c>
      <c r="K383" s="911">
        <v>-0.17</v>
      </c>
      <c r="L383" s="911">
        <v>-0.17</v>
      </c>
      <c r="M383" s="911">
        <v>-0.16</v>
      </c>
      <c r="N383" s="911">
        <v>-0.15</v>
      </c>
      <c r="O383" s="911">
        <v>-0.19</v>
      </c>
      <c r="P383" s="911">
        <v>-0.12</v>
      </c>
      <c r="Q383" s="911">
        <v>-0.21</v>
      </c>
      <c r="R383" s="911">
        <v>-0.19</v>
      </c>
      <c r="S383" s="911">
        <v>-0.17</v>
      </c>
      <c r="T383" s="911">
        <v>-0.17</v>
      </c>
      <c r="U383" s="911">
        <v>-0.11</v>
      </c>
      <c r="V383" s="911">
        <v>-0.21</v>
      </c>
      <c r="W383" s="911">
        <v>-0.34</v>
      </c>
      <c r="X383" s="911">
        <v>-0.3</v>
      </c>
      <c r="Y383" s="911">
        <v>-0.26</v>
      </c>
      <c r="Z383" s="911">
        <v>-0.25</v>
      </c>
      <c r="AA383" s="911">
        <v>-0.08</v>
      </c>
      <c r="AB383" s="911">
        <v>-0.13</v>
      </c>
      <c r="AC383" s="911">
        <v>0.17</v>
      </c>
      <c r="AD383" s="911">
        <v>0.17</v>
      </c>
      <c r="AE383" s="911">
        <v>0.15</v>
      </c>
      <c r="AF383" s="926"/>
      <c r="AG383" s="911"/>
      <c r="AH383" s="911"/>
      <c r="AI383" s="911"/>
      <c r="AZ383" s="912">
        <f>+AVERAGE(H383:K383)</f>
        <v>-0.14250000000000002</v>
      </c>
      <c r="BA383" s="912">
        <f>+AVERAGE(L383:O383)</f>
        <v>-0.16749999999999998</v>
      </c>
      <c r="BB383" s="912">
        <f>+AVERAGE(P383:S383)</f>
        <v>-0.17250000000000001</v>
      </c>
      <c r="BC383" s="912">
        <f>+AVERAGE(T383:W383)</f>
        <v>-0.20750000000000002</v>
      </c>
      <c r="BD383" s="912">
        <f>+AVERAGE(X383:AA383)</f>
        <v>-0.2225</v>
      </c>
      <c r="BE383" s="912">
        <f>+AVERAGE(AB383:AE383)</f>
        <v>0.09</v>
      </c>
      <c r="BF383" s="912"/>
    </row>
    <row r="384" spans="2:58" hidden="1" outlineLevel="1">
      <c r="B384" s="12" t="s">
        <v>272</v>
      </c>
      <c r="D384" s="911">
        <v>-0.08</v>
      </c>
      <c r="E384" s="911">
        <v>-0.08</v>
      </c>
      <c r="F384" s="911">
        <v>-0.11</v>
      </c>
      <c r="G384" s="911">
        <v>-0.09</v>
      </c>
      <c r="H384" s="911">
        <v>-0.13</v>
      </c>
      <c r="I384" s="911">
        <v>-0.12</v>
      </c>
      <c r="J384" s="911">
        <v>-0.13</v>
      </c>
      <c r="K384" s="911">
        <v>-0.16</v>
      </c>
      <c r="L384" s="911">
        <v>-0.17</v>
      </c>
      <c r="M384" s="911">
        <v>-0.16</v>
      </c>
      <c r="N384" s="911">
        <v>-0.16</v>
      </c>
      <c r="O384" s="911">
        <v>-0.2</v>
      </c>
      <c r="P384" s="911">
        <v>-0.13</v>
      </c>
      <c r="Q384" s="911">
        <v>-0.21</v>
      </c>
      <c r="R384" s="911">
        <v>-0.18</v>
      </c>
      <c r="S384" s="911">
        <f>--15%</f>
        <v>0.15</v>
      </c>
      <c r="T384" s="911">
        <v>-0.15</v>
      </c>
      <c r="U384" s="911">
        <v>-0.1</v>
      </c>
      <c r="V384" s="911">
        <v>-0.2</v>
      </c>
      <c r="W384" s="911">
        <v>-0.33</v>
      </c>
      <c r="X384" s="911">
        <v>-0.3</v>
      </c>
      <c r="Y384" s="911">
        <v>-0.27</v>
      </c>
      <c r="Z384" s="911">
        <v>-0.27</v>
      </c>
      <c r="AA384" s="911">
        <v>-0.11</v>
      </c>
      <c r="AB384" s="911">
        <v>-0.14000000000000001</v>
      </c>
      <c r="AC384" s="911">
        <v>0.17</v>
      </c>
      <c r="AD384" s="911">
        <v>0.2</v>
      </c>
      <c r="AE384" s="911">
        <v>0.19</v>
      </c>
      <c r="AF384" s="926"/>
      <c r="AG384" s="911"/>
      <c r="AH384" s="911"/>
      <c r="AI384" s="911"/>
      <c r="AZ384" s="912">
        <f>+AVERAGE(H384:K384)</f>
        <v>-0.13500000000000001</v>
      </c>
      <c r="BA384" s="912">
        <f>+AVERAGE(L384:O384)</f>
        <v>-0.17249999999999999</v>
      </c>
      <c r="BB384" s="912">
        <f>+AVERAGE(P384:S384)</f>
        <v>-9.2499999999999999E-2</v>
      </c>
      <c r="BC384" s="912">
        <f>+AVERAGE(T384:W384)</f>
        <v>-0.19500000000000001</v>
      </c>
      <c r="BD384" s="912">
        <f>+AVERAGE(X384:AA384)</f>
        <v>-0.23750000000000002</v>
      </c>
      <c r="BE384" s="912">
        <f>+AVERAGE(AB384:AE384)</f>
        <v>0.10500000000000001</v>
      </c>
      <c r="BF384" s="912"/>
    </row>
    <row r="385" spans="2:58" hidden="1" outlineLevel="1">
      <c r="B385" s="843"/>
      <c r="J385" s="929"/>
      <c r="K385" s="929"/>
      <c r="L385" s="929"/>
      <c r="M385" s="929"/>
      <c r="N385" s="929"/>
      <c r="AE385" s="911"/>
      <c r="AZ385" s="912"/>
      <c r="BA385" s="912"/>
      <c r="BB385" s="912"/>
      <c r="BC385" s="912"/>
      <c r="BD385" s="912"/>
      <c r="BE385" s="912"/>
      <c r="BF385" s="912"/>
    </row>
    <row r="386" spans="2:58" hidden="1" outlineLevel="1">
      <c r="B386" t="s">
        <v>410</v>
      </c>
      <c r="J386" s="929"/>
      <c r="K386" s="929"/>
      <c r="L386" s="929"/>
      <c r="M386" s="929"/>
      <c r="N386" s="929"/>
      <c r="R386">
        <f>+V386/(1+V387)</f>
        <v>215</v>
      </c>
      <c r="V386">
        <v>258</v>
      </c>
      <c r="AZ386" s="912"/>
      <c r="BA386" s="912"/>
      <c r="BB386" s="912"/>
      <c r="BC386" s="912"/>
      <c r="BD386" s="912"/>
      <c r="BE386" s="912"/>
      <c r="BF386" s="912"/>
    </row>
    <row r="387" spans="2:58" collapsed="1">
      <c r="B387" t="s">
        <v>386</v>
      </c>
      <c r="D387" s="911">
        <v>0.66</v>
      </c>
      <c r="E387" s="911">
        <v>0.59</v>
      </c>
      <c r="F387" s="911">
        <v>0.56999999999999995</v>
      </c>
      <c r="G387" s="911">
        <v>0.45</v>
      </c>
      <c r="H387" s="911">
        <v>0.4</v>
      </c>
      <c r="I387" s="911">
        <v>0.37</v>
      </c>
      <c r="J387" s="911">
        <v>0.35</v>
      </c>
      <c r="K387" s="911">
        <v>0.31</v>
      </c>
      <c r="L387" s="911">
        <v>0.32</v>
      </c>
      <c r="M387" s="911">
        <v>0.3</v>
      </c>
      <c r="N387" s="911">
        <v>0.28000000000000003</v>
      </c>
      <c r="O387" s="911">
        <v>0.28999999999999998</v>
      </c>
      <c r="P387" s="911">
        <v>0.28999999999999998</v>
      </c>
      <c r="Q387" s="911">
        <v>0.27</v>
      </c>
      <c r="R387" s="911" t="s">
        <v>273</v>
      </c>
      <c r="S387" s="911">
        <v>0.23</v>
      </c>
      <c r="T387" s="911">
        <v>0.21</v>
      </c>
      <c r="U387" s="911">
        <v>0.21</v>
      </c>
      <c r="V387" s="911">
        <v>0.2</v>
      </c>
      <c r="W387" s="911">
        <v>0.15</v>
      </c>
      <c r="X387" s="911">
        <v>0.15</v>
      </c>
      <c r="Y387" s="911">
        <v>0.15</v>
      </c>
      <c r="Z387" s="911">
        <v>0.15</v>
      </c>
      <c r="AA387" s="911">
        <v>0.17</v>
      </c>
      <c r="AB387" s="911">
        <v>0.17</v>
      </c>
      <c r="AC387" s="911">
        <v>0.16</v>
      </c>
      <c r="AD387" s="911">
        <v>0.16</v>
      </c>
      <c r="AE387" s="911">
        <v>0.14000000000000001</v>
      </c>
      <c r="AF387" s="911">
        <v>0.14000000000000001</v>
      </c>
      <c r="AG387" s="911"/>
      <c r="AH387" s="911"/>
      <c r="AI387" s="911"/>
      <c r="AZ387" s="912">
        <f>+AVERAGE(H387:K387)</f>
        <v>0.35750000000000004</v>
      </c>
      <c r="BA387" s="912">
        <f>+AVERAGE(L387:O387)</f>
        <v>0.29749999999999999</v>
      </c>
      <c r="BB387" s="912">
        <f>AVERAGE(P387:S387)</f>
        <v>0.26333333333333336</v>
      </c>
      <c r="BC387" s="912">
        <f>+AVERAGE(T387:W387)</f>
        <v>0.1925</v>
      </c>
      <c r="BD387" s="912">
        <f>+AVERAGE(X387:AA387)</f>
        <v>0.155</v>
      </c>
      <c r="BE387" s="912">
        <f>+AVERAGE(AB387:AE387)</f>
        <v>0.1575</v>
      </c>
      <c r="BF387" s="912"/>
    </row>
    <row r="388" spans="2:58">
      <c r="J388" s="929"/>
      <c r="K388" s="929"/>
      <c r="L388" s="929"/>
      <c r="M388" s="929"/>
      <c r="N388" s="929"/>
      <c r="AZ388" s="912"/>
      <c r="BA388" s="912"/>
      <c r="BB388" s="912"/>
      <c r="BC388" s="912"/>
      <c r="BD388" s="912"/>
      <c r="BE388" s="912"/>
      <c r="BF388" s="912"/>
    </row>
    <row r="389" spans="2:58" ht="11.45">
      <c r="B389" s="852" t="s">
        <v>1311</v>
      </c>
      <c r="J389" s="929"/>
      <c r="K389" s="929"/>
      <c r="L389" s="929"/>
      <c r="M389" s="929"/>
      <c r="N389" s="929"/>
      <c r="X389" s="1004" t="s">
        <v>1312</v>
      </c>
      <c r="Y389" s="1005"/>
      <c r="Z389" s="1005"/>
      <c r="AA389" s="1005"/>
      <c r="AZ389" s="912"/>
      <c r="BA389" s="912"/>
      <c r="BB389" s="912"/>
      <c r="BC389" s="912"/>
      <c r="BD389" s="912"/>
      <c r="BE389" s="912"/>
      <c r="BF389" s="912"/>
    </row>
    <row r="390" spans="2:58">
      <c r="B390" t="s">
        <v>1313</v>
      </c>
      <c r="D390" s="911">
        <v>-0.13</v>
      </c>
      <c r="E390" s="911">
        <v>-0.14000000000000001</v>
      </c>
      <c r="F390" s="911">
        <v>0.03</v>
      </c>
      <c r="G390" s="911">
        <v>0.19</v>
      </c>
      <c r="H390" s="911">
        <v>0.03</v>
      </c>
      <c r="I390" s="911">
        <v>0.2</v>
      </c>
      <c r="J390" s="911">
        <v>0.11</v>
      </c>
      <c r="K390" s="911">
        <v>0.11</v>
      </c>
      <c r="L390" s="911">
        <v>0.12</v>
      </c>
      <c r="M390" s="911">
        <v>0.12</v>
      </c>
      <c r="N390" s="911">
        <v>0.12</v>
      </c>
      <c r="O390" s="911">
        <v>0.08</v>
      </c>
      <c r="P390" s="911">
        <v>0.16</v>
      </c>
      <c r="Q390" s="911">
        <v>0.01</v>
      </c>
      <c r="R390" s="911">
        <v>0.08</v>
      </c>
      <c r="S390" s="911">
        <v>0.06</v>
      </c>
      <c r="T390" s="911">
        <v>0.05</v>
      </c>
      <c r="U390" s="911">
        <v>0.19</v>
      </c>
      <c r="V390" s="911">
        <v>0.15</v>
      </c>
      <c r="W390" s="911">
        <v>0.06</v>
      </c>
      <c r="X390" s="911">
        <v>0.11</v>
      </c>
      <c r="Y390" s="911">
        <v>7.0000000000000007E-2</v>
      </c>
      <c r="Z390" s="911">
        <v>0.05</v>
      </c>
      <c r="AA390" s="911">
        <v>0.18</v>
      </c>
      <c r="AB390" s="911">
        <v>0.1</v>
      </c>
      <c r="AC390" s="911">
        <v>0.15</v>
      </c>
      <c r="AD390" s="911">
        <v>0.12</v>
      </c>
      <c r="AE390" s="911">
        <v>0.09</v>
      </c>
      <c r="AF390" s="911">
        <v>7.0000000000000007E-2</v>
      </c>
      <c r="AG390" s="911"/>
      <c r="AH390" s="911"/>
      <c r="AI390" s="911"/>
      <c r="AZ390" s="912">
        <f>+AVERAGE(H390:K390)</f>
        <v>0.1125</v>
      </c>
      <c r="BA390" s="912">
        <f>+AVERAGE(L390:O390)</f>
        <v>0.11</v>
      </c>
      <c r="BB390" s="912">
        <f>AVERAGE(P390:S390)</f>
        <v>7.7499999999999999E-2</v>
      </c>
      <c r="BC390" s="912">
        <f>+AVERAGE(T390:W390)</f>
        <v>0.1125</v>
      </c>
      <c r="BD390" s="912">
        <f>+AVERAGE(X390:AA390)</f>
        <v>0.10249999999999999</v>
      </c>
      <c r="BE390" s="912">
        <f t="shared" ref="BE390:BE391" si="437">+AVERAGE(AB390:AE390)</f>
        <v>0.11499999999999999</v>
      </c>
      <c r="BF390" s="912"/>
    </row>
    <row r="391" spans="2:58">
      <c r="B391" s="12" t="s">
        <v>272</v>
      </c>
      <c r="D391" s="911">
        <v>-0.04</v>
      </c>
      <c r="E391" s="911">
        <v>-0.08</v>
      </c>
      <c r="F391" s="911">
        <v>0.06</v>
      </c>
      <c r="G391" s="911">
        <v>0.18</v>
      </c>
      <c r="H391" s="911">
        <v>0.03</v>
      </c>
      <c r="I391" s="911">
        <v>0.19</v>
      </c>
      <c r="J391" s="911">
        <v>0.11</v>
      </c>
      <c r="K391" s="911">
        <v>0.11</v>
      </c>
      <c r="L391" s="911">
        <v>0.1</v>
      </c>
      <c r="M391" s="911">
        <v>0.11</v>
      </c>
      <c r="N391" s="911">
        <v>0.09</v>
      </c>
      <c r="O391" s="911">
        <v>0.06</v>
      </c>
      <c r="P391" s="911">
        <v>0.17</v>
      </c>
      <c r="Q391" s="911">
        <v>0.02</v>
      </c>
      <c r="R391" s="911">
        <v>0.1</v>
      </c>
      <c r="S391" s="911">
        <v>0.08</v>
      </c>
      <c r="T391" s="911">
        <v>0.06</v>
      </c>
      <c r="U391" s="911">
        <v>0.2</v>
      </c>
      <c r="V391" s="911">
        <v>0.17</v>
      </c>
      <c r="W391" s="911">
        <v>7.0000000000000007E-2</v>
      </c>
      <c r="X391" s="911">
        <v>0.12</v>
      </c>
      <c r="Y391" s="911">
        <v>0.06</v>
      </c>
      <c r="Z391" s="911">
        <v>0.03</v>
      </c>
      <c r="AA391" s="911">
        <v>0.15</v>
      </c>
      <c r="AB391" s="911">
        <v>0.08</v>
      </c>
      <c r="AC391" s="911">
        <v>0.15</v>
      </c>
      <c r="AD391" s="911">
        <v>0.14000000000000001</v>
      </c>
      <c r="AE391" s="911">
        <v>0.12</v>
      </c>
      <c r="AF391" s="911">
        <v>0.11</v>
      </c>
      <c r="AG391" s="911"/>
      <c r="AH391" s="911"/>
      <c r="AI391" s="911"/>
      <c r="AZ391" s="912">
        <f>+AVERAGE(H391:K391)</f>
        <v>0.11</v>
      </c>
      <c r="BA391" s="912">
        <f>+AVERAGE(L391:O391)</f>
        <v>9.0000000000000011E-2</v>
      </c>
      <c r="BB391" s="912">
        <f>AVERAGE(P391:S391)</f>
        <v>9.2500000000000013E-2</v>
      </c>
      <c r="BC391" s="912">
        <f>+AVERAGE(T391:W391)</f>
        <v>0.125</v>
      </c>
      <c r="BD391" s="912">
        <f>+AVERAGE(X391:AA391)</f>
        <v>0.09</v>
      </c>
      <c r="BE391" s="912">
        <f t="shared" si="437"/>
        <v>0.1225</v>
      </c>
      <c r="BF391" s="912"/>
    </row>
    <row r="392" spans="2:58">
      <c r="B392" s="843"/>
      <c r="J392" s="929"/>
      <c r="K392" s="929"/>
      <c r="L392" s="929"/>
      <c r="M392" s="929"/>
      <c r="N392" s="929"/>
    </row>
    <row r="393" spans="2:58">
      <c r="B393" t="s">
        <v>387</v>
      </c>
      <c r="D393" s="879">
        <v>18.2</v>
      </c>
      <c r="E393" s="879">
        <v>20.6</v>
      </c>
      <c r="F393" s="879">
        <v>22.2</v>
      </c>
      <c r="G393" s="879">
        <v>23.1</v>
      </c>
      <c r="H393" s="879">
        <v>24</v>
      </c>
      <c r="I393" s="879">
        <v>24.9</v>
      </c>
      <c r="J393" s="879">
        <v>26.2</v>
      </c>
      <c r="K393" s="879">
        <v>27</v>
      </c>
      <c r="L393" s="879">
        <v>28</v>
      </c>
      <c r="M393" s="879">
        <v>29.2</v>
      </c>
      <c r="N393" s="879">
        <v>30.6</v>
      </c>
      <c r="O393" s="879">
        <v>31.4</v>
      </c>
      <c r="P393" s="879">
        <v>32.5</v>
      </c>
      <c r="Q393" s="879">
        <v>33.299999999999997</v>
      </c>
      <c r="R393" s="879">
        <v>34.200000000000003</v>
      </c>
      <c r="S393" s="879">
        <v>34.799999999999997</v>
      </c>
      <c r="T393" s="879">
        <v>35.6</v>
      </c>
      <c r="U393" s="879">
        <v>37.200000000000003</v>
      </c>
      <c r="V393" s="879">
        <v>39.6</v>
      </c>
      <c r="W393" s="879">
        <v>42.7</v>
      </c>
      <c r="X393" s="879">
        <v>45.3</v>
      </c>
      <c r="Y393" s="879">
        <v>47.5</v>
      </c>
      <c r="Z393" s="879">
        <v>50.2</v>
      </c>
      <c r="AA393" s="879">
        <v>51.9</v>
      </c>
      <c r="AB393" s="879">
        <v>54.1</v>
      </c>
      <c r="AC393" s="879">
        <v>56.4</v>
      </c>
      <c r="AD393" s="879">
        <v>58.4</v>
      </c>
      <c r="AE393" s="879">
        <v>59.7</v>
      </c>
      <c r="AF393" s="879">
        <v>61.3</v>
      </c>
      <c r="AG393" s="879"/>
      <c r="AH393" s="879"/>
      <c r="AI393" s="879"/>
      <c r="AY393" s="8">
        <f>+G393</f>
        <v>23.1</v>
      </c>
      <c r="AZ393" s="8">
        <f>+K393</f>
        <v>27</v>
      </c>
      <c r="BA393" s="8">
        <f>+O393</f>
        <v>31.4</v>
      </c>
      <c r="BB393" s="8">
        <f>+S393</f>
        <v>34.799999999999997</v>
      </c>
      <c r="BC393" s="8">
        <f>+W393</f>
        <v>42.7</v>
      </c>
      <c r="BD393" s="8">
        <f t="shared" ref="BD393" si="438">+X393</f>
        <v>45.3</v>
      </c>
      <c r="BE393" s="8">
        <f>+AE393</f>
        <v>59.7</v>
      </c>
      <c r="BF393" s="8"/>
    </row>
    <row r="394" spans="2:58">
      <c r="B394" s="12" t="s">
        <v>113</v>
      </c>
      <c r="H394" s="1006">
        <f>+H393/D393-1</f>
        <v>0.31868131868131866</v>
      </c>
      <c r="I394" s="1006">
        <f t="shared" ref="I394:L394" si="439">+I393/E393-1</f>
        <v>0.20873786407766981</v>
      </c>
      <c r="J394" s="1006">
        <f t="shared" si="439"/>
        <v>0.18018018018018012</v>
      </c>
      <c r="K394" s="1006">
        <f t="shared" si="439"/>
        <v>0.16883116883116878</v>
      </c>
      <c r="L394" s="1006">
        <f t="shared" si="439"/>
        <v>0.16666666666666674</v>
      </c>
      <c r="M394" s="1006">
        <f>+M393/I393-1</f>
        <v>0.17269076305220898</v>
      </c>
      <c r="N394" s="1006">
        <f>+N393/J393-1</f>
        <v>0.16793893129770998</v>
      </c>
      <c r="O394" s="1006">
        <f t="shared" ref="O394:AF394" si="440">+O393/K393-1</f>
        <v>0.16296296296296298</v>
      </c>
      <c r="P394" s="1006">
        <f t="shared" si="440"/>
        <v>0.16071428571428581</v>
      </c>
      <c r="Q394" s="1006">
        <f t="shared" si="440"/>
        <v>0.1404109589041096</v>
      </c>
      <c r="R394" s="1006">
        <f t="shared" si="440"/>
        <v>0.11764705882352944</v>
      </c>
      <c r="S394" s="1006">
        <f t="shared" si="440"/>
        <v>0.10828025477707004</v>
      </c>
      <c r="T394" s="1006">
        <f t="shared" si="440"/>
        <v>9.5384615384615401E-2</v>
      </c>
      <c r="U394" s="1006">
        <f t="shared" si="440"/>
        <v>0.11711711711711725</v>
      </c>
      <c r="V394" s="1006">
        <f t="shared" si="440"/>
        <v>0.15789473684210531</v>
      </c>
      <c r="W394" s="1006">
        <f t="shared" si="440"/>
        <v>0.22701149425287381</v>
      </c>
      <c r="X394" s="1006">
        <f t="shared" si="440"/>
        <v>0.27247191011235938</v>
      </c>
      <c r="Y394" s="1006">
        <f t="shared" si="440"/>
        <v>0.2768817204301075</v>
      </c>
      <c r="Z394" s="1006">
        <f t="shared" si="440"/>
        <v>0.26767676767676774</v>
      </c>
      <c r="AA394" s="1006">
        <f t="shared" si="440"/>
        <v>0.21545667447306771</v>
      </c>
      <c r="AB394" s="1006">
        <f t="shared" si="440"/>
        <v>0.19426048565121423</v>
      </c>
      <c r="AC394" s="1006">
        <f t="shared" si="440"/>
        <v>0.18736842105263163</v>
      </c>
      <c r="AD394" s="1006">
        <f t="shared" si="440"/>
        <v>0.16334661354581659</v>
      </c>
      <c r="AE394" s="1006">
        <f t="shared" si="440"/>
        <v>0.1502890173410405</v>
      </c>
      <c r="AF394" s="1006">
        <f t="shared" si="440"/>
        <v>0.13308687615526793</v>
      </c>
      <c r="AG394" s="1006"/>
      <c r="AH394" s="1006"/>
      <c r="AI394" s="1006"/>
      <c r="AZ394" s="1007">
        <f>+AZ393/AY393-1</f>
        <v>0.16883116883116878</v>
      </c>
      <c r="BA394" s="1007">
        <f t="shared" ref="BA394:BE394" si="441">+BA393/AZ393-1</f>
        <v>0.16296296296296298</v>
      </c>
      <c r="BB394" s="1007">
        <f t="shared" si="441"/>
        <v>0.10828025477707004</v>
      </c>
      <c r="BC394" s="1007">
        <f t="shared" si="441"/>
        <v>0.22701149425287381</v>
      </c>
      <c r="BD394" s="1007">
        <f t="shared" si="441"/>
        <v>6.0889929742388604E-2</v>
      </c>
      <c r="BE394" s="1007">
        <f t="shared" si="441"/>
        <v>0.31788079470198682</v>
      </c>
      <c r="BF394" s="1007"/>
    </row>
    <row r="395" spans="2:58">
      <c r="B395" s="843"/>
      <c r="J395" s="879"/>
      <c r="K395" s="879"/>
      <c r="L395" s="879"/>
      <c r="M395" s="879"/>
      <c r="N395" s="1008"/>
    </row>
    <row r="396" spans="2:58">
      <c r="B396" s="852" t="s">
        <v>388</v>
      </c>
      <c r="J396" s="879"/>
      <c r="K396" s="879"/>
      <c r="L396" s="879"/>
      <c r="M396" s="879"/>
      <c r="N396" s="1008"/>
    </row>
    <row r="397" spans="2:58">
      <c r="B397" t="s">
        <v>1314</v>
      </c>
      <c r="H397" s="911"/>
      <c r="I397" s="911"/>
      <c r="J397" s="911"/>
      <c r="K397" s="911"/>
      <c r="L397" s="911"/>
      <c r="M397" s="911"/>
      <c r="N397" s="911">
        <v>0.37</v>
      </c>
      <c r="O397" s="911">
        <v>0.37</v>
      </c>
      <c r="P397" s="911">
        <v>0.33</v>
      </c>
      <c r="Q397" s="911">
        <v>0.28999999999999998</v>
      </c>
      <c r="R397" s="911">
        <v>0.27</v>
      </c>
      <c r="S397" s="911">
        <v>0.25</v>
      </c>
      <c r="T397" s="911">
        <v>0.25</v>
      </c>
      <c r="U397" s="911">
        <v>0.24</v>
      </c>
      <c r="V397" s="911">
        <v>0.21</v>
      </c>
      <c r="W397" s="911">
        <v>0.1</v>
      </c>
      <c r="X397" s="911">
        <v>0.16</v>
      </c>
      <c r="Y397" s="911">
        <v>0.23</v>
      </c>
      <c r="Z397" s="911">
        <v>0.25</v>
      </c>
      <c r="AA397" s="911">
        <v>0.46</v>
      </c>
      <c r="AB397" s="911">
        <v>0.42</v>
      </c>
      <c r="AC397" s="911">
        <v>0.37</v>
      </c>
      <c r="AD397" s="911">
        <v>0.34</v>
      </c>
      <c r="AE397" s="911">
        <v>0.26</v>
      </c>
      <c r="AF397" s="911">
        <v>0.17</v>
      </c>
      <c r="AG397" s="911"/>
      <c r="AH397" s="911"/>
      <c r="AI397" s="911"/>
      <c r="AZ397" s="912"/>
      <c r="BA397" s="25" t="s">
        <v>273</v>
      </c>
      <c r="BB397" s="912">
        <f>AVERAGE(P397:S397)</f>
        <v>0.28500000000000003</v>
      </c>
      <c r="BC397" s="912">
        <f>+AVERAGE(T397:W397)</f>
        <v>0.19999999999999998</v>
      </c>
      <c r="BD397" s="912">
        <f>+AVERAGE(X397:AA397)</f>
        <v>0.27500000000000002</v>
      </c>
      <c r="BE397" s="912">
        <f t="shared" ref="BE397:BE398" si="442">+AVERAGE(AB397:AE397)</f>
        <v>0.34750000000000003</v>
      </c>
      <c r="BF397" s="912"/>
    </row>
    <row r="398" spans="2:58">
      <c r="B398" s="12" t="s">
        <v>272</v>
      </c>
      <c r="H398" s="911"/>
      <c r="I398" s="911"/>
      <c r="J398" s="911"/>
      <c r="K398" s="911"/>
      <c r="L398" s="911"/>
      <c r="M398" s="911"/>
      <c r="N398" s="911">
        <v>0.33</v>
      </c>
      <c r="O398" s="911">
        <v>0.34</v>
      </c>
      <c r="P398" s="911">
        <v>0.33</v>
      </c>
      <c r="Q398" s="911">
        <v>0.3</v>
      </c>
      <c r="R398" s="911">
        <v>0.28999999999999998</v>
      </c>
      <c r="S398" s="911">
        <v>0.28000000000000003</v>
      </c>
      <c r="T398" s="911">
        <v>0.26</v>
      </c>
      <c r="U398" s="911">
        <v>0.26</v>
      </c>
      <c r="V398" s="911">
        <v>0.22</v>
      </c>
      <c r="W398" s="911">
        <v>0.11</v>
      </c>
      <c r="X398" s="911">
        <v>0.16</v>
      </c>
      <c r="Y398" s="911">
        <v>0.22</v>
      </c>
      <c r="Z398" s="911">
        <v>0.23</v>
      </c>
      <c r="AA398" s="911">
        <v>0.42</v>
      </c>
      <c r="AB398" s="911">
        <v>0.39</v>
      </c>
      <c r="AC398" s="911">
        <v>0.36</v>
      </c>
      <c r="AD398" s="911">
        <v>0.35</v>
      </c>
      <c r="AE398" s="911">
        <v>0.28999999999999998</v>
      </c>
      <c r="AF398" s="911">
        <v>0.21</v>
      </c>
      <c r="AG398" s="911"/>
      <c r="AH398" s="911"/>
      <c r="AI398" s="911"/>
      <c r="AZ398" s="912"/>
      <c r="BA398" s="25" t="s">
        <v>273</v>
      </c>
      <c r="BB398" s="912">
        <f>AVERAGE(P398:S398)</f>
        <v>0.3</v>
      </c>
      <c r="BC398" s="912">
        <f>+AVERAGE(T398:W398)</f>
        <v>0.21249999999999999</v>
      </c>
      <c r="BD398" s="912">
        <f>+AVERAGE(X398:AA398)</f>
        <v>0.25750000000000001</v>
      </c>
      <c r="BE398" s="912">
        <f t="shared" si="442"/>
        <v>0.34750000000000003</v>
      </c>
      <c r="BF398" s="912"/>
    </row>
    <row r="399" spans="2:58" s="3" customFormat="1">
      <c r="B399" s="921"/>
      <c r="J399" s="931"/>
      <c r="K399" s="931"/>
      <c r="L399" s="931"/>
      <c r="M399" s="931"/>
      <c r="N399" s="890"/>
      <c r="BA399" s="932"/>
    </row>
    <row r="400" spans="2:58">
      <c r="B400" t="s">
        <v>390</v>
      </c>
      <c r="J400" s="879"/>
      <c r="K400" s="879"/>
      <c r="L400" s="879"/>
      <c r="M400" s="929" t="s">
        <v>391</v>
      </c>
      <c r="N400" s="929" t="s">
        <v>392</v>
      </c>
      <c r="O400" s="911">
        <v>0.41</v>
      </c>
      <c r="P400" s="911">
        <v>0.34</v>
      </c>
      <c r="Q400" s="911">
        <v>0.3</v>
      </c>
      <c r="R400" s="911">
        <v>0.24</v>
      </c>
      <c r="S400" s="911">
        <v>0.22</v>
      </c>
      <c r="T400" s="911">
        <v>0.22</v>
      </c>
      <c r="U400" s="911">
        <v>0.25</v>
      </c>
      <c r="V400" s="911">
        <v>0.26</v>
      </c>
      <c r="W400" s="929">
        <v>0.27</v>
      </c>
      <c r="X400" s="929">
        <v>0.31</v>
      </c>
      <c r="Y400" s="929">
        <v>0.3</v>
      </c>
      <c r="Z400" s="929">
        <v>0.28999999999999998</v>
      </c>
      <c r="AA400" s="929">
        <v>0.3</v>
      </c>
      <c r="AB400" s="929">
        <v>0.19</v>
      </c>
      <c r="AC400" s="929">
        <v>0.22</v>
      </c>
      <c r="AD400" s="929">
        <v>0.22</v>
      </c>
      <c r="AE400" s="929">
        <v>0.22</v>
      </c>
      <c r="AF400" s="929">
        <v>0.24</v>
      </c>
      <c r="AG400" s="929"/>
      <c r="AH400" s="929"/>
      <c r="AI400" s="929"/>
      <c r="BA400" s="41" t="s">
        <v>273</v>
      </c>
      <c r="BB400" s="900">
        <f>AVERAGE(P400:S400)</f>
        <v>0.27500000000000002</v>
      </c>
      <c r="BC400" s="912">
        <f>+AVERAGE(T400:W400)</f>
        <v>0.25</v>
      </c>
      <c r="BD400" s="912">
        <f>+AVERAGE(X400:AA400)</f>
        <v>0.3</v>
      </c>
      <c r="BE400" s="900">
        <f>+AVERAGE(AB400:AE400)</f>
        <v>0.21249999999999999</v>
      </c>
      <c r="BF400" s="900"/>
    </row>
    <row r="401" spans="2:58" s="3" customFormat="1">
      <c r="B401" s="921"/>
      <c r="J401" s="931"/>
      <c r="K401" s="931"/>
      <c r="L401" s="931"/>
      <c r="M401" s="931"/>
      <c r="N401" s="890"/>
    </row>
    <row r="402" spans="2:58" s="3" customFormat="1">
      <c r="B402" s="852" t="s">
        <v>1315</v>
      </c>
      <c r="J402" s="931"/>
      <c r="K402" s="931"/>
      <c r="L402" s="931"/>
      <c r="M402" s="931"/>
      <c r="N402" s="890"/>
    </row>
    <row r="403" spans="2:58">
      <c r="B403" t="s">
        <v>1316</v>
      </c>
      <c r="D403">
        <v>0.03</v>
      </c>
      <c r="E403">
        <v>0.03</v>
      </c>
      <c r="F403">
        <v>0.04</v>
      </c>
      <c r="G403">
        <v>0.06</v>
      </c>
      <c r="H403" s="911">
        <v>0.1</v>
      </c>
      <c r="I403" s="911">
        <v>0.01</v>
      </c>
      <c r="J403" s="911">
        <v>0.1</v>
      </c>
      <c r="K403" s="911">
        <v>0.02</v>
      </c>
      <c r="L403" s="911">
        <v>0.13</v>
      </c>
      <c r="M403" s="911">
        <v>0.1</v>
      </c>
      <c r="N403" s="911">
        <v>0.17</v>
      </c>
      <c r="O403" s="911">
        <v>0.11</v>
      </c>
      <c r="P403" s="911">
        <v>0.2</v>
      </c>
      <c r="Q403" s="911">
        <v>0.17</v>
      </c>
      <c r="R403" s="911">
        <v>0.13</v>
      </c>
      <c r="S403" s="911">
        <v>0.12</v>
      </c>
      <c r="T403" s="911">
        <v>0.14000000000000001</v>
      </c>
      <c r="U403" s="911">
        <v>0.12</v>
      </c>
      <c r="V403" s="911">
        <v>0.17</v>
      </c>
      <c r="W403" s="911">
        <v>0.13</v>
      </c>
      <c r="X403" s="911">
        <v>0.19</v>
      </c>
      <c r="Y403" s="911">
        <v>0.21</v>
      </c>
      <c r="Z403" s="911">
        <v>0.26</v>
      </c>
      <c r="AA403" s="911">
        <v>0.33</v>
      </c>
      <c r="AB403" s="911">
        <v>0.31</v>
      </c>
      <c r="AC403" s="911">
        <v>0.28999999999999998</v>
      </c>
      <c r="AD403" s="911">
        <v>0.22</v>
      </c>
      <c r="AE403" s="911">
        <v>0.19</v>
      </c>
      <c r="AF403" s="911">
        <v>0.15</v>
      </c>
      <c r="AG403" s="911"/>
      <c r="AH403" s="911"/>
      <c r="AI403" s="911"/>
      <c r="AZ403" s="912">
        <f>+AVERAGE(H403:K403)</f>
        <v>5.7500000000000002E-2</v>
      </c>
      <c r="BA403" s="912">
        <f>+AVERAGE(L403:O403)</f>
        <v>0.1275</v>
      </c>
      <c r="BB403" s="912">
        <f>AVERAGE(P403:S403)</f>
        <v>0.155</v>
      </c>
      <c r="BC403" s="912">
        <f>+AVERAGE(T403:W403)</f>
        <v>0.14000000000000001</v>
      </c>
      <c r="BD403" s="912">
        <f>+AVERAGE(X403:AA403)</f>
        <v>0.2475</v>
      </c>
      <c r="BE403" s="912">
        <f t="shared" ref="BE403:BE404" si="443">+AVERAGE(AB403:AE403)</f>
        <v>0.2525</v>
      </c>
      <c r="BF403" s="912"/>
    </row>
    <row r="404" spans="2:58">
      <c r="B404" s="12" t="s">
        <v>272</v>
      </c>
      <c r="D404">
        <v>0.12</v>
      </c>
      <c r="E404">
        <v>0.11</v>
      </c>
      <c r="F404">
        <v>0.09</v>
      </c>
      <c r="G404">
        <v>7.0000000000000007E-2</v>
      </c>
      <c r="H404" s="911">
        <v>0.12</v>
      </c>
      <c r="I404" s="911">
        <v>0.02</v>
      </c>
      <c r="J404" s="911">
        <v>0.12</v>
      </c>
      <c r="K404" s="911">
        <v>0.04</v>
      </c>
      <c r="L404" s="911">
        <v>0.12</v>
      </c>
      <c r="M404" s="911">
        <v>0.09</v>
      </c>
      <c r="N404" s="911">
        <v>0.14000000000000001</v>
      </c>
      <c r="O404" s="911">
        <v>0.08</v>
      </c>
      <c r="P404" s="911">
        <v>0.2</v>
      </c>
      <c r="Q404" s="911">
        <v>0.17</v>
      </c>
      <c r="R404" s="911">
        <v>0.15</v>
      </c>
      <c r="S404" s="911">
        <v>0.15</v>
      </c>
      <c r="T404" s="911">
        <v>0.16</v>
      </c>
      <c r="U404" s="911">
        <v>0.15</v>
      </c>
      <c r="V404" s="911">
        <v>0.2</v>
      </c>
      <c r="W404" s="911">
        <v>0.15</v>
      </c>
      <c r="X404" s="911">
        <v>0.18</v>
      </c>
      <c r="Y404" s="911">
        <v>0.18</v>
      </c>
      <c r="Z404" s="911">
        <v>0.22</v>
      </c>
      <c r="AA404" s="911">
        <v>0.26</v>
      </c>
      <c r="AB404" s="911">
        <v>0.28999999999999998</v>
      </c>
      <c r="AC404" s="911">
        <v>0.28999999999999998</v>
      </c>
      <c r="AD404" s="911">
        <v>0.25</v>
      </c>
      <c r="AE404" s="911">
        <v>0.24</v>
      </c>
      <c r="AF404" s="911">
        <v>0.22</v>
      </c>
      <c r="AG404" s="911"/>
      <c r="AH404" s="911"/>
      <c r="AI404" s="911"/>
      <c r="AZ404" s="912">
        <f>+AVERAGE(H404:K404)</f>
        <v>7.4999999999999997E-2</v>
      </c>
      <c r="BA404" s="912">
        <f>+AVERAGE(L404:O404)</f>
        <v>0.1075</v>
      </c>
      <c r="BB404" s="912">
        <f>AVERAGE(P404:S404)</f>
        <v>0.16750000000000001</v>
      </c>
      <c r="BC404" s="912">
        <f>+AVERAGE(T404:W404)</f>
        <v>0.16500000000000001</v>
      </c>
      <c r="BD404" s="912">
        <f>+AVERAGE(X404:AA404)</f>
        <v>0.21</v>
      </c>
      <c r="BE404" s="912">
        <f t="shared" si="443"/>
        <v>0.26749999999999996</v>
      </c>
      <c r="BF404" s="912"/>
    </row>
    <row r="405" spans="2:58">
      <c r="B405" s="12"/>
      <c r="D405" s="911"/>
      <c r="E405" s="911"/>
      <c r="F405" s="911"/>
      <c r="G405" s="911"/>
      <c r="H405" s="911"/>
      <c r="I405" s="911"/>
      <c r="J405" s="911"/>
      <c r="K405" s="911"/>
      <c r="L405" s="911"/>
      <c r="M405" s="911"/>
      <c r="N405" s="911"/>
      <c r="O405" s="911"/>
      <c r="P405" s="911"/>
      <c r="Q405" s="911"/>
      <c r="R405" s="911"/>
      <c r="S405" s="911"/>
      <c r="T405" s="911"/>
      <c r="U405" s="911"/>
      <c r="V405" s="911"/>
      <c r="W405" s="911"/>
      <c r="X405" s="911"/>
      <c r="Y405" s="911"/>
      <c r="Z405" s="911"/>
      <c r="AA405" s="911"/>
      <c r="AB405" s="911"/>
      <c r="AC405" s="911"/>
      <c r="AD405" s="911"/>
      <c r="AE405" s="911"/>
      <c r="AF405" s="911"/>
      <c r="AG405" s="911"/>
      <c r="AH405" s="911"/>
      <c r="AI405" s="911"/>
      <c r="AZ405" s="912"/>
      <c r="BA405" s="912"/>
      <c r="BB405" s="912"/>
      <c r="BC405" s="912"/>
      <c r="BD405" s="912"/>
      <c r="BE405" s="912"/>
      <c r="BF405" s="912"/>
    </row>
    <row r="406" spans="2:58">
      <c r="B406" t="s">
        <v>1317</v>
      </c>
      <c r="H406" s="911"/>
      <c r="I406" s="911"/>
      <c r="J406" s="911"/>
      <c r="K406" s="911"/>
      <c r="L406" s="911">
        <v>0.69</v>
      </c>
      <c r="M406" s="911">
        <v>0.67</v>
      </c>
      <c r="N406" s="911">
        <v>0.65</v>
      </c>
      <c r="O406" s="911">
        <v>0.61</v>
      </c>
      <c r="P406" s="911">
        <v>0.51</v>
      </c>
      <c r="Q406" s="911">
        <v>0.51</v>
      </c>
      <c r="R406" s="911">
        <v>0.43</v>
      </c>
      <c r="S406" s="911">
        <v>0.45</v>
      </c>
      <c r="T406" s="911">
        <v>0.41</v>
      </c>
      <c r="U406" s="911">
        <v>0.42</v>
      </c>
      <c r="V406" s="911">
        <v>0.47</v>
      </c>
      <c r="W406" s="911">
        <v>0.38</v>
      </c>
      <c r="X406" s="911">
        <v>0.38</v>
      </c>
      <c r="Y406" s="911">
        <v>0.39</v>
      </c>
      <c r="Z406" s="911">
        <v>0.45</v>
      </c>
      <c r="AA406" s="911">
        <v>0.49</v>
      </c>
      <c r="AB406" s="911">
        <v>0.48</v>
      </c>
      <c r="AC406" s="911">
        <v>0.45</v>
      </c>
      <c r="AD406" s="911">
        <v>0.35</v>
      </c>
      <c r="AE406" s="911">
        <v>0.31</v>
      </c>
      <c r="AF406" s="911">
        <v>0.24</v>
      </c>
      <c r="AG406" s="911"/>
      <c r="AH406" s="911"/>
      <c r="AI406" s="911"/>
      <c r="AZ406" s="912"/>
      <c r="BA406" s="912">
        <f>+AVERAGE(L406:O406)</f>
        <v>0.65499999999999992</v>
      </c>
      <c r="BB406" s="912">
        <f>AVERAGE(P406:S406)</f>
        <v>0.47499999999999998</v>
      </c>
      <c r="BC406" s="912">
        <f>+AVERAGE(T406:W406)</f>
        <v>0.41999999999999993</v>
      </c>
      <c r="BD406" s="912">
        <f>+AVERAGE(X406:AA406)</f>
        <v>0.42749999999999999</v>
      </c>
      <c r="BE406" s="912">
        <f t="shared" ref="BE406:BE407" si="444">+AVERAGE(AB406:AE406)</f>
        <v>0.39749999999999996</v>
      </c>
      <c r="BF406" s="912"/>
    </row>
    <row r="407" spans="2:58">
      <c r="B407" s="12" t="s">
        <v>272</v>
      </c>
      <c r="H407" s="911"/>
      <c r="I407" s="911"/>
      <c r="J407" s="911"/>
      <c r="K407" s="911"/>
      <c r="L407" s="911">
        <v>0.69</v>
      </c>
      <c r="M407" s="911">
        <v>0.68</v>
      </c>
      <c r="N407" s="911">
        <v>0.62</v>
      </c>
      <c r="O407" s="911">
        <v>0.56000000000000005</v>
      </c>
      <c r="P407" s="911">
        <v>0.49</v>
      </c>
      <c r="Q407" s="911">
        <v>0.5</v>
      </c>
      <c r="R407" s="911">
        <v>0.44</v>
      </c>
      <c r="S407" s="911">
        <v>0.48</v>
      </c>
      <c r="T407" s="911">
        <v>0.44</v>
      </c>
      <c r="U407" s="911">
        <v>0.45</v>
      </c>
      <c r="V407" s="911">
        <v>0.49</v>
      </c>
      <c r="W407" s="911">
        <v>0.4</v>
      </c>
      <c r="X407" s="911">
        <v>0.37</v>
      </c>
      <c r="Y407" s="911">
        <v>0.37</v>
      </c>
      <c r="Z407" s="911">
        <v>0.4</v>
      </c>
      <c r="AA407" s="911">
        <v>0.42</v>
      </c>
      <c r="AB407" s="911">
        <v>0.45</v>
      </c>
      <c r="AC407" s="911">
        <v>0.44</v>
      </c>
      <c r="AD407" s="911">
        <v>0.38</v>
      </c>
      <c r="AE407" s="911">
        <v>0.36</v>
      </c>
      <c r="AF407" s="911">
        <v>0.32</v>
      </c>
      <c r="AG407" s="911"/>
      <c r="AH407" s="911"/>
      <c r="AI407" s="911"/>
      <c r="AZ407" s="912"/>
      <c r="BA407" s="912">
        <f>+AVERAGE(L407:O407)</f>
        <v>0.63750000000000007</v>
      </c>
      <c r="BB407" s="912">
        <f>AVERAGE(P407:S407)</f>
        <v>0.47749999999999998</v>
      </c>
      <c r="BC407" s="912">
        <f>+AVERAGE(T407:W407)</f>
        <v>0.44499999999999995</v>
      </c>
      <c r="BD407" s="912">
        <f>+AVERAGE(X407:AA407)</f>
        <v>0.39</v>
      </c>
      <c r="BE407" s="912">
        <f t="shared" si="444"/>
        <v>0.40749999999999997</v>
      </c>
      <c r="BF407" s="912"/>
    </row>
    <row r="409" spans="2:58" ht="10.5">
      <c r="B409" s="45" t="s">
        <v>388</v>
      </c>
    </row>
    <row r="410" spans="2:58">
      <c r="B410" s="3" t="s">
        <v>389</v>
      </c>
    </row>
    <row r="411" spans="2:58">
      <c r="B411" s="3"/>
    </row>
    <row r="412" spans="2:58">
      <c r="B412" t="s">
        <v>86</v>
      </c>
      <c r="H412" s="879"/>
      <c r="I412" s="879">
        <v>228</v>
      </c>
      <c r="J412" s="879">
        <v>976</v>
      </c>
      <c r="K412" s="879">
        <v>1067</v>
      </c>
      <c r="L412" s="879">
        <v>1148</v>
      </c>
      <c r="M412" s="879">
        <v>1312</v>
      </c>
      <c r="N412" s="879">
        <v>1335</v>
      </c>
      <c r="O412" s="879">
        <v>1464</v>
      </c>
      <c r="P412" s="879">
        <f t="shared" ref="P412:V412" si="445">+P296</f>
        <v>1530</v>
      </c>
      <c r="Q412" s="879">
        <f t="shared" si="445"/>
        <v>1693</v>
      </c>
      <c r="R412" s="879">
        <f t="shared" si="445"/>
        <v>1696</v>
      </c>
      <c r="S412" s="879">
        <f t="shared" si="445"/>
        <v>1835</v>
      </c>
      <c r="T412" s="879">
        <f t="shared" si="445"/>
        <v>1909</v>
      </c>
      <c r="U412" s="879">
        <f t="shared" si="445"/>
        <v>2102</v>
      </c>
      <c r="V412" s="879">
        <f t="shared" si="445"/>
        <v>2050</v>
      </c>
      <c r="W412" s="880">
        <f>+S412*(1+W413)</f>
        <v>2018.5000000000002</v>
      </c>
      <c r="X412" s="880">
        <f t="shared" ref="X412:AF412" si="446">+T412*(1+X413)</f>
        <v>2214.44</v>
      </c>
      <c r="Y412" s="880">
        <f t="shared" si="446"/>
        <v>2585.46</v>
      </c>
      <c r="Z412" s="880">
        <f t="shared" si="446"/>
        <v>2562.5</v>
      </c>
      <c r="AA412" s="880">
        <f t="shared" si="446"/>
        <v>2947.01</v>
      </c>
      <c r="AB412" s="880">
        <f t="shared" si="446"/>
        <v>3144.5047999999997</v>
      </c>
      <c r="AC412" s="880">
        <f t="shared" si="446"/>
        <v>3542.0802000000003</v>
      </c>
      <c r="AD412" s="880">
        <f t="shared" si="446"/>
        <v>3433.75</v>
      </c>
      <c r="AE412" s="880">
        <f t="shared" si="446"/>
        <v>3713.2326000000003</v>
      </c>
      <c r="AF412" s="880">
        <f t="shared" si="446"/>
        <v>3679.0706159999995</v>
      </c>
      <c r="AG412" s="879"/>
      <c r="AH412" s="879"/>
      <c r="AI412" s="879"/>
      <c r="AZ412" s="8">
        <f>+SUM(H412:K412)</f>
        <v>2271</v>
      </c>
      <c r="BA412" s="8">
        <f>+SUM(L412:O412)</f>
        <v>5259</v>
      </c>
      <c r="BB412" s="8">
        <f>+SUM(P412:S412)</f>
        <v>6754</v>
      </c>
      <c r="BC412" s="8">
        <f>SUM(T412:W412)</f>
        <v>8079.5</v>
      </c>
      <c r="BD412" s="8">
        <f>SUM(X412:AA412)</f>
        <v>10309.41</v>
      </c>
      <c r="BE412" s="8">
        <f>SUM(AB412:AE412)</f>
        <v>13833.567599999998</v>
      </c>
      <c r="BF412" s="8"/>
    </row>
    <row r="413" spans="2:58" s="3" customFormat="1">
      <c r="B413" s="15" t="s">
        <v>113</v>
      </c>
      <c r="H413" s="931"/>
      <c r="I413" s="931"/>
      <c r="J413" s="931"/>
      <c r="K413" s="931"/>
      <c r="L413" s="931"/>
      <c r="M413" s="14" t="s">
        <v>273</v>
      </c>
      <c r="N413" s="14">
        <f>+N412/J412-1</f>
        <v>0.36782786885245899</v>
      </c>
      <c r="O413" s="14">
        <f>+O412/K412-1</f>
        <v>0.37207122774133072</v>
      </c>
      <c r="P413" s="14">
        <f>+P412/L412-1</f>
        <v>0.33275261324041816</v>
      </c>
      <c r="Q413" s="14">
        <f t="shared" ref="Q413:V413" si="447">+Q412/M412-1</f>
        <v>0.29039634146341453</v>
      </c>
      <c r="R413" s="14">
        <f t="shared" si="447"/>
        <v>0.27041198501872654</v>
      </c>
      <c r="S413" s="14">
        <f t="shared" si="447"/>
        <v>0.25341530054644812</v>
      </c>
      <c r="T413" s="14">
        <f t="shared" si="447"/>
        <v>0.2477124183006536</v>
      </c>
      <c r="U413" s="14">
        <f t="shared" si="447"/>
        <v>0.24158298877731843</v>
      </c>
      <c r="V413" s="14">
        <f t="shared" si="447"/>
        <v>0.20872641509433953</v>
      </c>
      <c r="W413" s="904">
        <f>+W397</f>
        <v>0.1</v>
      </c>
      <c r="X413" s="904">
        <f t="shared" ref="X413:X414" si="448">+X397</f>
        <v>0.16</v>
      </c>
      <c r="Y413" s="904">
        <v>0.23</v>
      </c>
      <c r="Z413" s="904">
        <v>0.25</v>
      </c>
      <c r="AA413" s="904">
        <v>0.46</v>
      </c>
      <c r="AB413" s="904">
        <v>0.42</v>
      </c>
      <c r="AC413" s="904">
        <v>0.37</v>
      </c>
      <c r="AD413" s="904">
        <v>0.34</v>
      </c>
      <c r="AE413" s="904">
        <v>0.26</v>
      </c>
      <c r="AF413" s="904">
        <v>0.17</v>
      </c>
      <c r="AG413" s="14"/>
      <c r="AH413" s="14"/>
      <c r="AI413" s="14"/>
      <c r="BA413" s="14">
        <f>+IFERROR(BA412/AZ412-1,"n/a ")</f>
        <v>1.3157199471598413</v>
      </c>
      <c r="BB413" s="14">
        <f>+IFERROR(BB412/BA412-1,"n/a ")</f>
        <v>0.28427457691576352</v>
      </c>
      <c r="BC413" s="14">
        <f>+IFERROR(BC412/BB412-1,"n/a ")</f>
        <v>0.19625407166123776</v>
      </c>
      <c r="BD413" s="14">
        <f t="shared" ref="BD413:BE413" si="449">+IFERROR(BD412/BC412-1,"n/a ")</f>
        <v>0.27599603935887118</v>
      </c>
      <c r="BE413" s="14">
        <f t="shared" si="449"/>
        <v>0.34183892191696708</v>
      </c>
      <c r="BF413" s="14"/>
    </row>
    <row r="414" spans="2:58" s="3" customFormat="1">
      <c r="B414" s="15" t="s">
        <v>272</v>
      </c>
      <c r="H414" s="931"/>
      <c r="I414" s="931"/>
      <c r="J414" s="931"/>
      <c r="K414" s="931"/>
      <c r="L414" s="931"/>
      <c r="M414" s="933" t="s">
        <v>273</v>
      </c>
      <c r="N414" s="904">
        <f>+N398</f>
        <v>0.33</v>
      </c>
      <c r="O414" s="904">
        <f t="shared" ref="O414:V414" si="450">+O398</f>
        <v>0.34</v>
      </c>
      <c r="P414" s="904">
        <f t="shared" si="450"/>
        <v>0.33</v>
      </c>
      <c r="Q414" s="904">
        <f t="shared" si="450"/>
        <v>0.3</v>
      </c>
      <c r="R414" s="904">
        <f t="shared" si="450"/>
        <v>0.28999999999999998</v>
      </c>
      <c r="S414" s="904">
        <f t="shared" si="450"/>
        <v>0.28000000000000003</v>
      </c>
      <c r="T414" s="904">
        <f t="shared" si="450"/>
        <v>0.26</v>
      </c>
      <c r="U414" s="904">
        <f t="shared" si="450"/>
        <v>0.26</v>
      </c>
      <c r="V414" s="904">
        <f t="shared" si="450"/>
        <v>0.22</v>
      </c>
      <c r="W414" s="904">
        <f>+W398</f>
        <v>0.11</v>
      </c>
      <c r="X414" s="904">
        <f t="shared" si="448"/>
        <v>0.16</v>
      </c>
      <c r="Y414" s="904">
        <v>0.22</v>
      </c>
      <c r="Z414" s="904">
        <v>0.23</v>
      </c>
      <c r="AA414" s="904">
        <v>0.42</v>
      </c>
      <c r="AB414" s="904">
        <v>0.39</v>
      </c>
      <c r="AC414" s="904">
        <v>0.36</v>
      </c>
      <c r="AD414" s="904">
        <v>0.35</v>
      </c>
      <c r="AE414" s="904">
        <v>0.28999999999999998</v>
      </c>
      <c r="AF414" s="904">
        <v>0.21</v>
      </c>
      <c r="AG414" s="904"/>
      <c r="AH414" s="904"/>
      <c r="AI414" s="904"/>
      <c r="BA414" s="23" t="s">
        <v>273</v>
      </c>
      <c r="BB414" s="21">
        <f>+AVERAGE(P414:S414)</f>
        <v>0.3</v>
      </c>
      <c r="BC414" s="21">
        <f>+AVERAGE(T414:W414)</f>
        <v>0.21249999999999999</v>
      </c>
      <c r="BD414" s="21">
        <f>SUMPRODUCT(X414:AA414,T412:W412)/BC412</f>
        <v>0.25832662912308929</v>
      </c>
      <c r="BE414" s="21">
        <f>SUMPRODUCT(AB414:AE414,X412:AA412)/BD412</f>
        <v>0.34394840247890035</v>
      </c>
    </row>
    <row r="416" spans="2:58" ht="11.45">
      <c r="B416" t="s">
        <v>411</v>
      </c>
      <c r="I416" s="879">
        <v>72</v>
      </c>
      <c r="J416" s="879">
        <v>218</v>
      </c>
      <c r="K416" s="879">
        <v>217</v>
      </c>
      <c r="L416" s="879">
        <v>218</v>
      </c>
      <c r="M416" s="879">
        <v>222</v>
      </c>
      <c r="N416" s="879">
        <v>224</v>
      </c>
      <c r="O416" s="879">
        <v>224</v>
      </c>
      <c r="P416" s="925"/>
      <c r="Q416" s="925"/>
      <c r="R416" s="925"/>
      <c r="S416" s="925"/>
      <c r="T416" s="925"/>
      <c r="U416" s="925"/>
      <c r="V416" s="925"/>
      <c r="W416" s="925"/>
      <c r="X416" s="925"/>
      <c r="Y416" s="925"/>
      <c r="Z416" s="925"/>
      <c r="AA416" s="925"/>
      <c r="AB416" s="925"/>
      <c r="AC416" s="925"/>
      <c r="AD416" s="925"/>
      <c r="AE416" s="925"/>
      <c r="AF416" s="925"/>
      <c r="AG416" s="879"/>
      <c r="AH416" s="879"/>
      <c r="AI416" s="879"/>
      <c r="AZ416" s="8">
        <f>+SUM(H416:K416)</f>
        <v>507</v>
      </c>
      <c r="BA416" s="8">
        <f>+SUM(L416:O416)</f>
        <v>888</v>
      </c>
      <c r="BB416" s="927"/>
      <c r="BC416" s="927"/>
      <c r="BD416" s="927"/>
      <c r="BE416" s="927"/>
    </row>
    <row r="417" spans="2:59" ht="11.45">
      <c r="B417" t="s">
        <v>412</v>
      </c>
      <c r="I417" s="905">
        <v>47</v>
      </c>
      <c r="J417" s="905">
        <v>178</v>
      </c>
      <c r="K417" s="905">
        <v>186</v>
      </c>
      <c r="L417" s="905">
        <v>193</v>
      </c>
      <c r="M417" s="905">
        <v>210</v>
      </c>
      <c r="N417" s="905">
        <v>216</v>
      </c>
      <c r="O417" s="905">
        <v>229</v>
      </c>
      <c r="P417" s="927"/>
      <c r="Q417" s="928"/>
      <c r="R417" s="928" t="s">
        <v>403</v>
      </c>
      <c r="S417" s="927"/>
      <c r="T417" s="927"/>
      <c r="U417" s="927"/>
      <c r="V417" s="927"/>
      <c r="W417" s="927"/>
      <c r="X417" s="927"/>
      <c r="Y417" s="927"/>
      <c r="Z417" s="927"/>
      <c r="AA417" s="927"/>
      <c r="AB417" s="927"/>
      <c r="AC417" s="927"/>
      <c r="AD417" s="927"/>
      <c r="AE417" s="927"/>
      <c r="AF417" s="927"/>
      <c r="AG417" s="905"/>
      <c r="AH417" s="905"/>
      <c r="AI417" s="905"/>
      <c r="AZ417" s="10">
        <f>+SUM(H417:K417)</f>
        <v>411</v>
      </c>
      <c r="BA417" s="10">
        <f>+SUM(L417:O417)</f>
        <v>848</v>
      </c>
      <c r="BB417" s="927"/>
      <c r="BC417" s="927"/>
      <c r="BD417" s="927"/>
      <c r="BE417" s="927"/>
    </row>
    <row r="418" spans="2:59" ht="11.45">
      <c r="B418" s="12" t="s">
        <v>413</v>
      </c>
      <c r="I418" s="8">
        <f>SUM(I416:I417)</f>
        <v>119</v>
      </c>
      <c r="J418" s="8">
        <f>SUM(J416:J417)</f>
        <v>396</v>
      </c>
      <c r="K418" s="8">
        <f t="shared" ref="K418:O418" si="451">SUM(K416:K417)</f>
        <v>403</v>
      </c>
      <c r="L418" s="8">
        <f t="shared" si="451"/>
        <v>411</v>
      </c>
      <c r="M418" s="8">
        <f t="shared" si="451"/>
        <v>432</v>
      </c>
      <c r="N418" s="8">
        <f t="shared" si="451"/>
        <v>440</v>
      </c>
      <c r="O418" s="8">
        <f t="shared" si="451"/>
        <v>453</v>
      </c>
      <c r="P418" s="926"/>
      <c r="Q418" s="926"/>
      <c r="R418" s="926"/>
      <c r="S418" s="926"/>
      <c r="T418" s="926"/>
      <c r="U418" s="926"/>
      <c r="V418" s="926"/>
      <c r="W418" s="926"/>
      <c r="X418" s="926"/>
      <c r="Y418" s="926"/>
      <c r="Z418" s="926"/>
      <c r="AA418" s="926"/>
      <c r="AB418" s="926"/>
      <c r="AC418" s="926"/>
      <c r="AD418" s="926"/>
      <c r="AE418" s="926"/>
      <c r="AF418" s="926"/>
      <c r="AG418" s="8"/>
      <c r="AH418" s="8"/>
      <c r="AI418" s="8"/>
      <c r="AZ418" s="8">
        <f>+SUM(H418:K418)</f>
        <v>918</v>
      </c>
      <c r="BA418" s="8">
        <f>+SUM(L418:O418)</f>
        <v>1736</v>
      </c>
      <c r="BB418" s="927"/>
      <c r="BC418" s="927"/>
      <c r="BD418" s="927"/>
      <c r="BE418" s="927"/>
    </row>
    <row r="419" spans="2:59" ht="11.45">
      <c r="P419" s="934"/>
      <c r="Q419" s="934"/>
      <c r="R419" s="934"/>
      <c r="S419" s="934"/>
      <c r="T419" s="934"/>
      <c r="U419" s="934"/>
      <c r="V419" s="934"/>
      <c r="W419" s="934"/>
      <c r="X419" s="934"/>
      <c r="Y419" s="934"/>
      <c r="Z419" s="934"/>
      <c r="AA419" s="934"/>
      <c r="AB419" s="934"/>
      <c r="AC419" s="934"/>
      <c r="AD419" s="934"/>
      <c r="AE419" s="934"/>
      <c r="AF419" s="934"/>
      <c r="BB419" s="927"/>
      <c r="BC419" s="927"/>
      <c r="BD419" s="927"/>
      <c r="BE419" s="927"/>
    </row>
    <row r="420" spans="2:59" ht="11.45">
      <c r="B420" t="s">
        <v>414</v>
      </c>
      <c r="I420" s="8">
        <f>+I412-I418</f>
        <v>109</v>
      </c>
      <c r="J420" s="8">
        <f>+J412-J418</f>
        <v>580</v>
      </c>
      <c r="K420" s="8">
        <f t="shared" ref="K420:O420" si="452">+K412-K418</f>
        <v>664</v>
      </c>
      <c r="L420" s="8">
        <f t="shared" si="452"/>
        <v>737</v>
      </c>
      <c r="M420" s="8">
        <f t="shared" si="452"/>
        <v>880</v>
      </c>
      <c r="N420" s="8">
        <f t="shared" si="452"/>
        <v>895</v>
      </c>
      <c r="O420" s="8">
        <f t="shared" si="452"/>
        <v>1011</v>
      </c>
      <c r="P420" s="926"/>
      <c r="Q420" s="926"/>
      <c r="R420" s="926"/>
      <c r="S420" s="926"/>
      <c r="T420" s="926"/>
      <c r="U420" s="926"/>
      <c r="V420" s="926"/>
      <c r="W420" s="926"/>
      <c r="X420" s="926"/>
      <c r="Y420" s="926"/>
      <c r="Z420" s="926"/>
      <c r="AA420" s="926"/>
      <c r="AB420" s="926"/>
      <c r="AC420" s="926"/>
      <c r="AD420" s="926"/>
      <c r="AE420" s="926"/>
      <c r="AF420" s="926"/>
      <c r="AG420" s="8"/>
      <c r="AH420" s="8"/>
      <c r="AI420" s="8"/>
      <c r="AZ420" s="8">
        <f>+SUM(H420:K420)</f>
        <v>1353</v>
      </c>
      <c r="BA420" s="8">
        <f>+SUM(L420:O420)</f>
        <v>3523</v>
      </c>
      <c r="BB420" s="927"/>
      <c r="BC420" s="927"/>
      <c r="BD420" s="927"/>
      <c r="BE420" s="927"/>
    </row>
    <row r="421" spans="2:59" s="3" customFormat="1" ht="11.45">
      <c r="B421" s="13" t="s">
        <v>123</v>
      </c>
      <c r="I421" s="14">
        <f>+I420/I412</f>
        <v>0.47807017543859648</v>
      </c>
      <c r="J421" s="14">
        <f>+J420/J412</f>
        <v>0.59426229508196726</v>
      </c>
      <c r="K421" s="14">
        <f t="shared" ref="K421:O421" si="453">+K420/K412</f>
        <v>0.62230552952202434</v>
      </c>
      <c r="L421" s="14">
        <f t="shared" si="453"/>
        <v>0.64198606271777003</v>
      </c>
      <c r="M421" s="14">
        <f t="shared" si="453"/>
        <v>0.67073170731707321</v>
      </c>
      <c r="N421" s="14">
        <f t="shared" si="453"/>
        <v>0.67041198501872656</v>
      </c>
      <c r="O421" s="14">
        <f t="shared" si="453"/>
        <v>0.69057377049180324</v>
      </c>
      <c r="P421" s="935"/>
      <c r="Q421" s="935"/>
      <c r="R421" s="935"/>
      <c r="S421" s="935"/>
      <c r="T421" s="935"/>
      <c r="U421" s="935"/>
      <c r="V421" s="935"/>
      <c r="W421" s="935"/>
      <c r="X421" s="935"/>
      <c r="Y421" s="935"/>
      <c r="Z421" s="935"/>
      <c r="AA421" s="935"/>
      <c r="AB421" s="935"/>
      <c r="AC421" s="935"/>
      <c r="AD421" s="935"/>
      <c r="AE421" s="935"/>
      <c r="AF421" s="935"/>
      <c r="AG421" s="14"/>
      <c r="AH421" s="14"/>
      <c r="AI421" s="14"/>
      <c r="AZ421" s="14">
        <f t="shared" ref="AZ421:BA421" si="454">+AZ420/AZ412</f>
        <v>0.59577278731836192</v>
      </c>
      <c r="BA421" s="14">
        <f t="shared" si="454"/>
        <v>0.66989922038410343</v>
      </c>
      <c r="BB421" s="927"/>
      <c r="BC421" s="927"/>
      <c r="BD421" s="927"/>
      <c r="BE421" s="927"/>
      <c r="BF421"/>
    </row>
    <row r="422" spans="2:59" s="3" customFormat="1" ht="11.45">
      <c r="B422" s="13"/>
      <c r="I422" s="14"/>
      <c r="J422" s="14"/>
      <c r="K422" s="14"/>
      <c r="L422" s="14"/>
      <c r="M422" s="14"/>
      <c r="N422" s="14"/>
      <c r="O422" s="14"/>
      <c r="P422" s="935"/>
      <c r="Q422" s="935"/>
      <c r="R422" s="935"/>
      <c r="S422" s="935"/>
      <c r="T422" s="935"/>
      <c r="U422" s="935"/>
      <c r="V422" s="935"/>
      <c r="W422" s="935"/>
      <c r="X422" s="935"/>
      <c r="Y422" s="935"/>
      <c r="Z422" s="935"/>
      <c r="AA422" s="935"/>
      <c r="AB422" s="935"/>
      <c r="AC422" s="935"/>
      <c r="AD422" s="935"/>
      <c r="AE422" s="935"/>
      <c r="AF422" s="935"/>
      <c r="AG422" s="14"/>
      <c r="AH422" s="14"/>
      <c r="AI422" s="14"/>
      <c r="AZ422" s="14"/>
      <c r="BA422" s="14"/>
      <c r="BB422" s="927"/>
      <c r="BC422" s="927"/>
      <c r="BD422" s="927"/>
      <c r="BE422" s="927"/>
      <c r="BF422"/>
    </row>
    <row r="423" spans="2:59" ht="11.45">
      <c r="B423" t="s">
        <v>415</v>
      </c>
      <c r="I423" s="8">
        <f>+I412-I417</f>
        <v>181</v>
      </c>
      <c r="J423" s="8">
        <f>+J412-J417</f>
        <v>798</v>
      </c>
      <c r="K423" s="8">
        <f t="shared" ref="K423:O423" si="455">+K412-K417</f>
        <v>881</v>
      </c>
      <c r="L423" s="8">
        <f t="shared" si="455"/>
        <v>955</v>
      </c>
      <c r="M423" s="8">
        <f t="shared" si="455"/>
        <v>1102</v>
      </c>
      <c r="N423" s="8">
        <f t="shared" si="455"/>
        <v>1119</v>
      </c>
      <c r="O423" s="8">
        <f t="shared" si="455"/>
        <v>1235</v>
      </c>
      <c r="P423" s="926"/>
      <c r="Q423" s="926"/>
      <c r="R423" s="926"/>
      <c r="S423" s="926"/>
      <c r="T423" s="926"/>
      <c r="U423" s="926"/>
      <c r="V423" s="926"/>
      <c r="W423" s="926"/>
      <c r="X423" s="926"/>
      <c r="Y423" s="926"/>
      <c r="Z423" s="926"/>
      <c r="AA423" s="926"/>
      <c r="AB423" s="926"/>
      <c r="AC423" s="926"/>
      <c r="AD423" s="926"/>
      <c r="AE423" s="926"/>
      <c r="AF423" s="926"/>
      <c r="AG423" s="8"/>
      <c r="AH423" s="8"/>
      <c r="AI423" s="8"/>
      <c r="AZ423" s="8">
        <f>+SUM(H423:K423)</f>
        <v>1860</v>
      </c>
      <c r="BA423" s="8">
        <f>+SUM(L423:O423)</f>
        <v>4411</v>
      </c>
      <c r="BB423" s="927"/>
      <c r="BC423" s="927"/>
      <c r="BD423" s="927"/>
      <c r="BE423" s="927"/>
    </row>
    <row r="424" spans="2:59" ht="11.45">
      <c r="B424" s="13" t="s">
        <v>123</v>
      </c>
      <c r="I424" s="14">
        <f>+I423/I412</f>
        <v>0.79385964912280704</v>
      </c>
      <c r="J424" s="14">
        <f>+J423/J412</f>
        <v>0.81762295081967218</v>
      </c>
      <c r="K424" s="14">
        <f t="shared" ref="K424:O424" si="456">+K423/K412</f>
        <v>0.8256794751640113</v>
      </c>
      <c r="L424" s="14">
        <f t="shared" si="456"/>
        <v>0.83188153310104529</v>
      </c>
      <c r="M424" s="14">
        <f t="shared" si="456"/>
        <v>0.83993902439024393</v>
      </c>
      <c r="N424" s="14">
        <f t="shared" si="456"/>
        <v>0.83820224719101122</v>
      </c>
      <c r="O424" s="14">
        <f t="shared" si="456"/>
        <v>0.84357923497267762</v>
      </c>
      <c r="P424" s="935"/>
      <c r="Q424" s="935"/>
      <c r="R424" s="935"/>
      <c r="S424" s="935"/>
      <c r="T424" s="935"/>
      <c r="U424" s="935"/>
      <c r="V424" s="935"/>
      <c r="W424" s="935"/>
      <c r="X424" s="935"/>
      <c r="Y424" s="935"/>
      <c r="Z424" s="935"/>
      <c r="AA424" s="935"/>
      <c r="AB424" s="935"/>
      <c r="AC424" s="935"/>
      <c r="AD424" s="935"/>
      <c r="AE424" s="935"/>
      <c r="AF424" s="935"/>
      <c r="AG424" s="14"/>
      <c r="AH424" s="14"/>
      <c r="AI424" s="14"/>
      <c r="AZ424" s="14">
        <f t="shared" ref="AZ424:BA424" si="457">+AZ423/AZ412</f>
        <v>0.8190224570673712</v>
      </c>
      <c r="BA424" s="14">
        <f t="shared" si="457"/>
        <v>0.83875261456550676</v>
      </c>
      <c r="BB424" s="927"/>
      <c r="BC424" s="927"/>
      <c r="BD424" s="927"/>
      <c r="BE424" s="927"/>
    </row>
    <row r="425" spans="2:59" ht="11.45">
      <c r="B425" s="921"/>
      <c r="P425" s="934"/>
      <c r="Q425" s="934"/>
      <c r="R425" s="934"/>
      <c r="S425" s="934"/>
      <c r="T425" s="934"/>
      <c r="U425" s="934"/>
      <c r="V425" s="934"/>
      <c r="W425" s="934"/>
      <c r="X425" s="934"/>
      <c r="Y425" s="934"/>
      <c r="Z425" s="934"/>
      <c r="AA425" s="934"/>
      <c r="AB425" s="934"/>
      <c r="AC425" s="934"/>
      <c r="AD425" s="934"/>
      <c r="AE425" s="934"/>
      <c r="AF425" s="934"/>
      <c r="BB425" s="927"/>
      <c r="BC425" s="927"/>
      <c r="BD425" s="927"/>
      <c r="BE425" s="927"/>
    </row>
    <row r="426" spans="2:59" ht="11.45">
      <c r="B426" t="s">
        <v>411</v>
      </c>
      <c r="I426" s="879">
        <v>52</v>
      </c>
      <c r="J426" s="879">
        <v>153</v>
      </c>
      <c r="K426" s="879">
        <v>154</v>
      </c>
      <c r="L426" s="879">
        <v>154</v>
      </c>
      <c r="M426" s="879">
        <v>154</v>
      </c>
      <c r="N426" s="879">
        <v>155</v>
      </c>
      <c r="O426" s="879">
        <v>154</v>
      </c>
      <c r="P426" s="925"/>
      <c r="Q426" s="925"/>
      <c r="R426" s="925"/>
      <c r="S426" s="925"/>
      <c r="T426" s="925"/>
      <c r="U426" s="925"/>
      <c r="V426" s="925"/>
      <c r="W426" s="925"/>
      <c r="X426" s="925"/>
      <c r="Y426" s="925"/>
      <c r="Z426" s="925"/>
      <c r="AA426" s="925"/>
      <c r="AB426" s="925"/>
      <c r="AC426" s="925"/>
      <c r="AD426" s="925"/>
      <c r="AE426" s="925"/>
      <c r="AF426" s="925"/>
      <c r="AG426" s="879"/>
      <c r="AH426" s="879"/>
      <c r="AI426" s="879"/>
      <c r="AZ426" s="8">
        <f>+SUM(H426:K426)</f>
        <v>359</v>
      </c>
      <c r="BA426" s="8">
        <f>+SUM(L426:O426)</f>
        <v>617</v>
      </c>
      <c r="BB426" s="927"/>
      <c r="BC426" s="927"/>
      <c r="BD426" s="927"/>
      <c r="BE426" s="927"/>
    </row>
    <row r="427" spans="2:59" ht="11.45">
      <c r="B427" t="s">
        <v>416</v>
      </c>
      <c r="I427" s="905">
        <v>253</v>
      </c>
      <c r="J427" s="905">
        <v>802</v>
      </c>
      <c r="K427" s="905">
        <v>863</v>
      </c>
      <c r="L427" s="905">
        <v>877</v>
      </c>
      <c r="M427" s="905">
        <v>991</v>
      </c>
      <c r="N427" s="905">
        <v>986</v>
      </c>
      <c r="O427" s="905">
        <v>1039</v>
      </c>
      <c r="P427" s="927"/>
      <c r="Q427" s="927"/>
      <c r="R427" s="927"/>
      <c r="S427" s="927"/>
      <c r="T427" s="927"/>
      <c r="U427" s="927"/>
      <c r="V427" s="927"/>
      <c r="W427" s="927"/>
      <c r="X427" s="927"/>
      <c r="Y427" s="927"/>
      <c r="Z427" s="927"/>
      <c r="AA427" s="927"/>
      <c r="AB427" s="927"/>
      <c r="AC427" s="927"/>
      <c r="AD427" s="927"/>
      <c r="AE427" s="927"/>
      <c r="AF427" s="927"/>
      <c r="AG427" s="905"/>
      <c r="AH427" s="905"/>
      <c r="AI427" s="905"/>
      <c r="AZ427" s="10">
        <f>+SUM(H427:K427)</f>
        <v>1918</v>
      </c>
      <c r="BA427" s="10">
        <f>+SUM(L427:O427)</f>
        <v>3893</v>
      </c>
      <c r="BB427" s="927"/>
      <c r="BC427" s="927"/>
      <c r="BD427" s="927"/>
      <c r="BE427" s="927"/>
    </row>
    <row r="428" spans="2:59" ht="11.45">
      <c r="B428" s="12" t="s">
        <v>417</v>
      </c>
      <c r="I428" s="8">
        <f>SUM(I426:I427)</f>
        <v>305</v>
      </c>
      <c r="J428" s="8">
        <f>SUM(J426:J427)</f>
        <v>955</v>
      </c>
      <c r="K428" s="8">
        <f t="shared" ref="K428:O428" si="458">SUM(K426:K427)</f>
        <v>1017</v>
      </c>
      <c r="L428" s="8">
        <f t="shared" si="458"/>
        <v>1031</v>
      </c>
      <c r="M428" s="8">
        <f t="shared" si="458"/>
        <v>1145</v>
      </c>
      <c r="N428" s="8">
        <f t="shared" si="458"/>
        <v>1141</v>
      </c>
      <c r="O428" s="8">
        <f t="shared" si="458"/>
        <v>1193</v>
      </c>
      <c r="P428" s="926"/>
      <c r="Q428" s="926"/>
      <c r="R428" s="926"/>
      <c r="S428" s="926"/>
      <c r="T428" s="926"/>
      <c r="U428" s="926"/>
      <c r="V428" s="926"/>
      <c r="W428" s="926"/>
      <c r="X428" s="926"/>
      <c r="Y428" s="926"/>
      <c r="Z428" s="926"/>
      <c r="AA428" s="926"/>
      <c r="AB428" s="926"/>
      <c r="AC428" s="926"/>
      <c r="AD428" s="926"/>
      <c r="AE428" s="926"/>
      <c r="AF428" s="926"/>
      <c r="AG428" s="8"/>
      <c r="AH428" s="8"/>
      <c r="AI428" s="8"/>
      <c r="AZ428" s="8">
        <f>+SUM(H428:K428)</f>
        <v>2277</v>
      </c>
      <c r="BA428" s="8">
        <f>+SUM(L428:O428)</f>
        <v>4510</v>
      </c>
      <c r="BB428" s="927"/>
      <c r="BC428" s="927"/>
      <c r="BD428" s="927"/>
      <c r="BE428" s="927"/>
    </row>
    <row r="429" spans="2:59" ht="11.45">
      <c r="P429" s="934"/>
      <c r="Q429" s="934"/>
      <c r="R429" s="934"/>
      <c r="S429" s="934"/>
      <c r="T429" s="934"/>
      <c r="U429" s="934"/>
      <c r="V429" s="934"/>
      <c r="W429" s="934"/>
      <c r="X429" s="934"/>
      <c r="Y429" s="934"/>
      <c r="Z429" s="934"/>
      <c r="AA429" s="934"/>
      <c r="AB429" s="934"/>
      <c r="AC429" s="934"/>
      <c r="AD429" s="934"/>
      <c r="AE429" s="934"/>
      <c r="AF429" s="934"/>
      <c r="BB429" s="927"/>
      <c r="BC429" s="927"/>
      <c r="BD429" s="927"/>
      <c r="BE429" s="927"/>
    </row>
    <row r="430" spans="2:59" ht="11.45">
      <c r="B430" t="s">
        <v>418</v>
      </c>
      <c r="I430" s="8">
        <f>+I412-I418-I428</f>
        <v>-196</v>
      </c>
      <c r="J430" s="8">
        <f>+J412-J418-J428</f>
        <v>-375</v>
      </c>
      <c r="K430" s="8">
        <f t="shared" ref="K430:O430" si="459">+K412-K418-K428</f>
        <v>-353</v>
      </c>
      <c r="L430" s="8">
        <f t="shared" si="459"/>
        <v>-294</v>
      </c>
      <c r="M430" s="8">
        <f t="shared" si="459"/>
        <v>-265</v>
      </c>
      <c r="N430" s="8">
        <f t="shared" si="459"/>
        <v>-246</v>
      </c>
      <c r="O430" s="8">
        <f t="shared" si="459"/>
        <v>-182</v>
      </c>
      <c r="P430" s="926"/>
      <c r="Q430" s="926"/>
      <c r="R430" s="926"/>
      <c r="S430" s="926"/>
      <c r="T430" s="926"/>
      <c r="U430" s="926"/>
      <c r="V430" s="926"/>
      <c r="W430" s="926"/>
      <c r="X430" s="926"/>
      <c r="Y430" s="926"/>
      <c r="Z430" s="926"/>
      <c r="AA430" s="926"/>
      <c r="AB430" s="926"/>
      <c r="AC430" s="926"/>
      <c r="AD430" s="926"/>
      <c r="AE430" s="926"/>
      <c r="AF430" s="926"/>
      <c r="AG430" s="8"/>
      <c r="AH430" s="8"/>
      <c r="AI430" s="8"/>
      <c r="AZ430" s="8">
        <f>+SUM(H430:K430)</f>
        <v>-924</v>
      </c>
      <c r="BA430" s="8">
        <f>+SUM(L430:O430)</f>
        <v>-987</v>
      </c>
      <c r="BB430" s="927"/>
      <c r="BC430" s="927"/>
      <c r="BD430" s="927"/>
      <c r="BE430" s="927"/>
    </row>
    <row r="431" spans="2:59" ht="11.45">
      <c r="B431" s="13" t="s">
        <v>123</v>
      </c>
      <c r="I431" s="14">
        <f>+I430/I412</f>
        <v>-0.85964912280701755</v>
      </c>
      <c r="J431" s="14">
        <f>+J430/J412</f>
        <v>-0.38422131147540983</v>
      </c>
      <c r="K431" s="14">
        <f t="shared" ref="K431:O431" si="460">+K430/K412</f>
        <v>-0.33083411433926896</v>
      </c>
      <c r="L431" s="14">
        <f t="shared" si="460"/>
        <v>-0.25609756097560976</v>
      </c>
      <c r="M431" s="14">
        <f t="shared" si="460"/>
        <v>-0.20198170731707318</v>
      </c>
      <c r="N431" s="14">
        <f t="shared" si="460"/>
        <v>-0.1842696629213483</v>
      </c>
      <c r="O431" s="14">
        <f t="shared" si="460"/>
        <v>-0.12431693989071038</v>
      </c>
      <c r="P431" s="935"/>
      <c r="Q431" s="935"/>
      <c r="R431" s="935"/>
      <c r="S431" s="935"/>
      <c r="T431" s="935"/>
      <c r="U431" s="935"/>
      <c r="V431" s="935"/>
      <c r="W431" s="935"/>
      <c r="X431" s="935"/>
      <c r="Y431" s="935"/>
      <c r="Z431" s="935"/>
      <c r="AA431" s="935"/>
      <c r="AB431" s="935"/>
      <c r="AC431" s="935"/>
      <c r="AD431" s="935"/>
      <c r="AE431" s="935"/>
      <c r="AF431" s="935"/>
      <c r="AG431" s="14"/>
      <c r="AH431" s="14"/>
      <c r="AI431" s="14"/>
      <c r="AZ431" s="14">
        <f t="shared" ref="AZ431:BA431" si="461">+AZ430/AZ412</f>
        <v>-0.40686922060766184</v>
      </c>
      <c r="BA431" s="14">
        <f t="shared" si="461"/>
        <v>-0.18767826583000571</v>
      </c>
      <c r="BB431" s="927"/>
      <c r="BC431" s="927"/>
      <c r="BD431" s="927"/>
      <c r="BE431" s="927"/>
      <c r="BG431" s="14"/>
    </row>
    <row r="432" spans="2:59" ht="11.45">
      <c r="B432" s="13"/>
      <c r="I432" s="14"/>
      <c r="J432" s="14"/>
      <c r="K432" s="14"/>
      <c r="L432" s="14"/>
      <c r="M432" s="14"/>
      <c r="N432" s="14"/>
      <c r="O432" s="14"/>
      <c r="P432" s="935"/>
      <c r="Q432" s="935"/>
      <c r="R432" s="935"/>
      <c r="S432" s="935"/>
      <c r="T432" s="935"/>
      <c r="U432" s="935"/>
      <c r="V432" s="935"/>
      <c r="W432" s="935"/>
      <c r="X432" s="935"/>
      <c r="Y432" s="935"/>
      <c r="Z432" s="935"/>
      <c r="AA432" s="935"/>
      <c r="AB432" s="935"/>
      <c r="AC432" s="935"/>
      <c r="AD432" s="935"/>
      <c r="AE432" s="935"/>
      <c r="AF432" s="935"/>
      <c r="AG432" s="14"/>
      <c r="AH432" s="14"/>
      <c r="AI432" s="14"/>
      <c r="AZ432" s="14"/>
      <c r="BA432" s="14"/>
      <c r="BB432" s="927"/>
      <c r="BC432" s="927"/>
      <c r="BD432" s="927"/>
      <c r="BE432" s="927"/>
      <c r="BG432" s="14"/>
    </row>
    <row r="433" spans="2:58" ht="11.45">
      <c r="B433" t="s">
        <v>419</v>
      </c>
      <c r="I433" s="8">
        <f>+I412-I417-I427</f>
        <v>-72</v>
      </c>
      <c r="J433" s="8">
        <f>+J412-J417-J427</f>
        <v>-4</v>
      </c>
      <c r="K433" s="8">
        <f t="shared" ref="K433:O433" si="462">+K412-K417-K427</f>
        <v>18</v>
      </c>
      <c r="L433" s="8">
        <f t="shared" si="462"/>
        <v>78</v>
      </c>
      <c r="M433" s="8">
        <f t="shared" si="462"/>
        <v>111</v>
      </c>
      <c r="N433" s="8">
        <f t="shared" si="462"/>
        <v>133</v>
      </c>
      <c r="O433" s="8">
        <f t="shared" si="462"/>
        <v>196</v>
      </c>
      <c r="P433" s="926"/>
      <c r="Q433" s="926"/>
      <c r="R433" s="926"/>
      <c r="S433" s="926"/>
      <c r="T433" s="926"/>
      <c r="U433" s="926"/>
      <c r="V433" s="926"/>
      <c r="W433" s="926"/>
      <c r="X433" s="926"/>
      <c r="Y433" s="926"/>
      <c r="Z433" s="926"/>
      <c r="AA433" s="926"/>
      <c r="AB433" s="926"/>
      <c r="AC433" s="926"/>
      <c r="AD433" s="926"/>
      <c r="AE433" s="926"/>
      <c r="AF433" s="926"/>
      <c r="AG433" s="8"/>
      <c r="AH433" s="8"/>
      <c r="AI433" s="8"/>
      <c r="AZ433" s="8">
        <f>+SUM(H433:K433)</f>
        <v>-58</v>
      </c>
      <c r="BA433" s="8">
        <f>+SUM(L433:O433)</f>
        <v>518</v>
      </c>
      <c r="BB433" s="927"/>
      <c r="BC433" s="927"/>
      <c r="BD433" s="927"/>
      <c r="BE433" s="927"/>
    </row>
    <row r="434" spans="2:58" ht="11.45">
      <c r="B434" s="13" t="s">
        <v>123</v>
      </c>
      <c r="I434" s="14">
        <f>+I433/I412</f>
        <v>-0.31578947368421051</v>
      </c>
      <c r="J434" s="14">
        <f>+J433/J412</f>
        <v>-4.0983606557377051E-3</v>
      </c>
      <c r="K434" s="14">
        <f t="shared" ref="K434:O434" si="463">+K433/K412</f>
        <v>1.6869728209934397E-2</v>
      </c>
      <c r="L434" s="14">
        <f t="shared" si="463"/>
        <v>6.7944250871080136E-2</v>
      </c>
      <c r="M434" s="14">
        <f t="shared" si="463"/>
        <v>8.4603658536585372E-2</v>
      </c>
      <c r="N434" s="14">
        <f t="shared" si="463"/>
        <v>9.9625468164794007E-2</v>
      </c>
      <c r="O434" s="14">
        <f t="shared" si="463"/>
        <v>0.13387978142076504</v>
      </c>
      <c r="P434" s="935"/>
      <c r="Q434" s="935"/>
      <c r="R434" s="935"/>
      <c r="S434" s="935"/>
      <c r="T434" s="935"/>
      <c r="U434" s="935"/>
      <c r="V434" s="935"/>
      <c r="W434" s="935"/>
      <c r="X434" s="935"/>
      <c r="Y434" s="935"/>
      <c r="Z434" s="935"/>
      <c r="AA434" s="935"/>
      <c r="AB434" s="935"/>
      <c r="AC434" s="935"/>
      <c r="AD434" s="935"/>
      <c r="AE434" s="935"/>
      <c r="AF434" s="935"/>
      <c r="AG434" s="14"/>
      <c r="AH434" s="14"/>
      <c r="AI434" s="14"/>
      <c r="AZ434" s="14">
        <f t="shared" ref="AZ434:BA434" si="464">+AZ433/AZ412</f>
        <v>-2.5539409951563188E-2</v>
      </c>
      <c r="BA434" s="14">
        <f t="shared" si="464"/>
        <v>9.849781327248526E-2</v>
      </c>
      <c r="BB434" s="927"/>
      <c r="BC434" s="927"/>
      <c r="BD434" s="927"/>
      <c r="BE434" s="927"/>
    </row>
    <row r="436" spans="2:58" ht="10.5">
      <c r="B436" s="5" t="s">
        <v>342</v>
      </c>
      <c r="C436" s="4"/>
    </row>
    <row r="438" spans="2:58">
      <c r="B438" t="s">
        <v>86</v>
      </c>
      <c r="H438" s="8">
        <f t="shared" ref="H438:AF438" si="465">+H115</f>
        <v>6097</v>
      </c>
      <c r="I438" s="8">
        <f t="shared" si="465"/>
        <v>6758</v>
      </c>
      <c r="J438" s="8">
        <f t="shared" si="465"/>
        <v>6730</v>
      </c>
      <c r="K438" s="8">
        <f t="shared" si="465"/>
        <v>7822</v>
      </c>
      <c r="L438" s="8">
        <f t="shared" si="465"/>
        <v>6922</v>
      </c>
      <c r="M438" s="8">
        <f t="shared" si="465"/>
        <v>7795</v>
      </c>
      <c r="N438" s="8">
        <f t="shared" si="465"/>
        <v>7896</v>
      </c>
      <c r="O438" s="8">
        <f t="shared" si="465"/>
        <v>9606</v>
      </c>
      <c r="P438" s="8">
        <f t="shared" si="465"/>
        <v>8567</v>
      </c>
      <c r="Q438" s="8">
        <f t="shared" si="465"/>
        <v>9378</v>
      </c>
      <c r="R438" s="8">
        <f t="shared" si="465"/>
        <v>9649</v>
      </c>
      <c r="S438" s="8">
        <f t="shared" si="465"/>
        <v>11391</v>
      </c>
      <c r="T438" s="8">
        <f t="shared" si="465"/>
        <v>10845</v>
      </c>
      <c r="U438" s="8">
        <f t="shared" si="465"/>
        <v>11869</v>
      </c>
      <c r="V438" s="8">
        <f t="shared" si="465"/>
        <v>12281</v>
      </c>
      <c r="W438" s="8">
        <f t="shared" si="465"/>
        <v>13371</v>
      </c>
      <c r="X438" s="8">
        <f t="shared" si="465"/>
        <v>12986</v>
      </c>
      <c r="Y438" s="8">
        <f t="shared" si="465"/>
        <v>14601</v>
      </c>
      <c r="Z438" s="8">
        <f t="shared" si="465"/>
        <v>15118</v>
      </c>
      <c r="AA438" s="8">
        <f t="shared" si="465"/>
        <v>17375</v>
      </c>
      <c r="AB438" s="8">
        <f t="shared" si="465"/>
        <v>16964</v>
      </c>
      <c r="AC438" s="8">
        <f t="shared" si="465"/>
        <v>18327</v>
      </c>
      <c r="AD438" s="8">
        <f t="shared" si="465"/>
        <v>19051</v>
      </c>
      <c r="AE438" s="8">
        <f t="shared" si="465"/>
        <v>20909</v>
      </c>
      <c r="AF438" s="8">
        <f t="shared" si="465"/>
        <v>20325</v>
      </c>
      <c r="AG438" s="8"/>
      <c r="AH438" s="8"/>
      <c r="AI438" s="8"/>
      <c r="AT438" s="8">
        <f>+AT115</f>
        <v>21735</v>
      </c>
      <c r="AU438" s="8">
        <f>+AU115</f>
        <v>23715</v>
      </c>
      <c r="AV438" s="8">
        <f>+AV115</f>
        <v>25042</v>
      </c>
      <c r="AW438" s="8">
        <f>+AW115</f>
        <v>27440</v>
      </c>
      <c r="AY438" s="8">
        <f>+AZ438/(1+AZ439)</f>
        <v>25011.883892128284</v>
      </c>
      <c r="AZ438" s="8">
        <f t="shared" ref="AZ438:BE438" si="466">+AZ115</f>
        <v>27407</v>
      </c>
      <c r="BA438" s="8">
        <f t="shared" si="466"/>
        <v>32219</v>
      </c>
      <c r="BB438" s="8">
        <f t="shared" si="466"/>
        <v>38985</v>
      </c>
      <c r="BC438" s="8">
        <f t="shared" si="466"/>
        <v>48366</v>
      </c>
      <c r="BD438" s="8">
        <f t="shared" si="466"/>
        <v>60080</v>
      </c>
      <c r="BE438" s="8">
        <f t="shared" si="466"/>
        <v>75251</v>
      </c>
      <c r="BF438" s="8"/>
    </row>
    <row r="439" spans="2:58">
      <c r="B439" s="13" t="s">
        <v>113</v>
      </c>
      <c r="L439" s="14">
        <f t="shared" ref="L439:M439" si="467">+L438/H438-1</f>
        <v>0.13531244874528459</v>
      </c>
      <c r="M439" s="14">
        <f t="shared" si="467"/>
        <v>0.1534477656111275</v>
      </c>
      <c r="N439" s="14">
        <f>+N438/J438-1</f>
        <v>0.17325408618127791</v>
      </c>
      <c r="O439" s="14">
        <f>+O438/K438-1</f>
        <v>0.22807466121196618</v>
      </c>
      <c r="P439" s="14">
        <f t="shared" ref="P439:V439" si="468">+P438/L438-1</f>
        <v>0.23764807859000281</v>
      </c>
      <c r="Q439" s="14">
        <f t="shared" si="468"/>
        <v>0.2030788967286723</v>
      </c>
      <c r="R439" s="14">
        <f t="shared" si="468"/>
        <v>0.22201114488348539</v>
      </c>
      <c r="S439" s="14">
        <f t="shared" si="468"/>
        <v>0.18582136164896945</v>
      </c>
      <c r="T439" s="14">
        <f t="shared" si="468"/>
        <v>0.26590405042605347</v>
      </c>
      <c r="U439" s="14">
        <f t="shared" si="468"/>
        <v>0.26562166773299212</v>
      </c>
      <c r="V439" s="14">
        <f t="shared" si="468"/>
        <v>0.27277438076484617</v>
      </c>
      <c r="W439" s="14">
        <f>+W438/S438-1</f>
        <v>0.17382143797735061</v>
      </c>
      <c r="X439" s="14">
        <f>+X438/T438-1</f>
        <v>0.19741816505301979</v>
      </c>
      <c r="Y439" s="14">
        <f t="shared" ref="Y439:AF439" si="469">+Y438/U438-1</f>
        <v>0.23017945909512183</v>
      </c>
      <c r="Z439" s="14">
        <f t="shared" si="469"/>
        <v>0.23100724696685937</v>
      </c>
      <c r="AA439" s="14">
        <f t="shared" si="469"/>
        <v>0.29945404233041661</v>
      </c>
      <c r="AB439" s="14">
        <f t="shared" si="469"/>
        <v>0.30632989373171116</v>
      </c>
      <c r="AC439" s="14">
        <f t="shared" si="469"/>
        <v>0.25518800082186144</v>
      </c>
      <c r="AD439" s="14">
        <f t="shared" si="469"/>
        <v>0.2601534594523085</v>
      </c>
      <c r="AE439" s="14">
        <f t="shared" si="469"/>
        <v>0.20339568345323733</v>
      </c>
      <c r="AF439" s="14">
        <f t="shared" si="469"/>
        <v>0.19812544211270922</v>
      </c>
      <c r="AG439" s="14"/>
      <c r="AH439" s="14"/>
      <c r="AI439" s="14"/>
      <c r="AU439" s="14">
        <f t="shared" ref="AU439:AW439" si="470">+AU438/AT438-1</f>
        <v>9.109730848861286E-2</v>
      </c>
      <c r="AV439" s="14">
        <f t="shared" si="470"/>
        <v>5.5956145899219933E-2</v>
      </c>
      <c r="AW439" s="14">
        <f t="shared" si="470"/>
        <v>9.5759124670553364E-2</v>
      </c>
      <c r="AY439" s="1010">
        <f t="shared" ref="AY439" si="471">+AV439</f>
        <v>5.5956145899219933E-2</v>
      </c>
      <c r="AZ439" s="1010">
        <f t="shared" ref="AZ439" si="472">+AW439</f>
        <v>9.5759124670553364E-2</v>
      </c>
      <c r="BA439" s="14">
        <f>+BA438/AZ438-1</f>
        <v>0.17557558288028607</v>
      </c>
      <c r="BB439" s="14">
        <f t="shared" ref="BB439:BE439" si="473">+BB438/BA438-1</f>
        <v>0.2100003103758652</v>
      </c>
      <c r="BC439" s="14">
        <f t="shared" si="473"/>
        <v>0.24063101192766445</v>
      </c>
      <c r="BD439" s="14">
        <f t="shared" si="473"/>
        <v>0.24219493032295425</v>
      </c>
      <c r="BE439" s="14">
        <f t="shared" si="473"/>
        <v>0.25251331557922763</v>
      </c>
      <c r="BF439" s="14"/>
    </row>
    <row r="440" spans="2:58">
      <c r="B440" s="13" t="s">
        <v>272</v>
      </c>
      <c r="L440" s="22">
        <v>0.13</v>
      </c>
      <c r="M440" s="22">
        <v>0.15</v>
      </c>
      <c r="N440" s="22">
        <v>0.15</v>
      </c>
      <c r="O440" s="22">
        <v>0.2</v>
      </c>
      <c r="P440" s="22">
        <v>0.24</v>
      </c>
      <c r="Q440" s="22">
        <v>0.21</v>
      </c>
      <c r="R440" s="22">
        <v>0.24</v>
      </c>
      <c r="S440" s="22">
        <v>0.21</v>
      </c>
      <c r="T440" s="22">
        <v>0.28999999999999998</v>
      </c>
      <c r="U440" s="22">
        <v>0.28000000000000003</v>
      </c>
      <c r="V440" s="22">
        <v>0.28999999999999998</v>
      </c>
      <c r="W440" s="22">
        <v>0.19</v>
      </c>
      <c r="X440" s="22">
        <v>0.19</v>
      </c>
      <c r="Y440" s="22">
        <v>0.22</v>
      </c>
      <c r="Z440" s="22">
        <v>0.2</v>
      </c>
      <c r="AA440" s="22">
        <v>0.255</v>
      </c>
      <c r="AB440" s="22">
        <v>0.28999999999999998</v>
      </c>
      <c r="AC440" s="22">
        <v>0.26</v>
      </c>
      <c r="AD440" s="22">
        <v>0.28999999999999998</v>
      </c>
      <c r="AE440" s="22">
        <v>0.25</v>
      </c>
      <c r="AF440" s="22">
        <v>0.26</v>
      </c>
      <c r="AG440" s="22"/>
      <c r="AH440" s="22"/>
      <c r="AI440" s="22"/>
      <c r="BA440" s="23">
        <f>+SUMPRODUCT(L440:O440,H438:K438)/AZ438</f>
        <v>0.1598208486882913</v>
      </c>
      <c r="BB440" s="23">
        <f>+SUMPRODUCT(P440:S440,L438:O438)/BA438</f>
        <v>0.22379744871038831</v>
      </c>
      <c r="BC440" s="23">
        <f>+SUMPRODUCT(T440:W440,P438:S438)/BB438</f>
        <v>0.25837552904963451</v>
      </c>
      <c r="BD440" s="23">
        <f>+SUMPRODUCT(X440:AA440,T438:W438)/BC438</f>
        <v>0.21787071496505808</v>
      </c>
      <c r="BE440" s="23">
        <f>+SUMPRODUCT(AB440:AE440,X438:AA438)/BD438</f>
        <v>0.2711413115845539</v>
      </c>
      <c r="BF440" s="23"/>
    </row>
    <row r="442" spans="2:58">
      <c r="B442" t="s">
        <v>1306</v>
      </c>
      <c r="L442" s="911">
        <v>0.1</v>
      </c>
      <c r="M442" s="911">
        <v>0.13</v>
      </c>
      <c r="N442" s="911">
        <v>0.16</v>
      </c>
      <c r="O442" s="911">
        <v>0.23</v>
      </c>
      <c r="P442" s="911">
        <v>0.28000000000000003</v>
      </c>
      <c r="Q442" s="911">
        <v>0.2</v>
      </c>
      <c r="R442" s="911">
        <v>0.21</v>
      </c>
      <c r="S442" s="911">
        <v>0.19</v>
      </c>
      <c r="T442" s="911">
        <v>0.27</v>
      </c>
      <c r="U442" s="911">
        <v>0.28000000000000003</v>
      </c>
      <c r="V442" s="911">
        <v>0.3</v>
      </c>
      <c r="W442" s="911">
        <v>0.19</v>
      </c>
      <c r="X442" s="911">
        <v>0.26</v>
      </c>
      <c r="Y442" s="911">
        <v>0.28999999999999998</v>
      </c>
      <c r="Z442" s="911">
        <v>0.27</v>
      </c>
      <c r="AA442" s="911">
        <v>0.32</v>
      </c>
      <c r="AB442" s="911">
        <v>0.28000000000000003</v>
      </c>
      <c r="AC442" s="911">
        <v>0.21</v>
      </c>
      <c r="AD442" s="911">
        <v>0.24</v>
      </c>
      <c r="AE442" s="911">
        <v>0.15</v>
      </c>
      <c r="AF442" s="911">
        <v>0.2</v>
      </c>
      <c r="AG442" s="911"/>
      <c r="AH442" s="911"/>
      <c r="AI442" s="911"/>
      <c r="BA442" s="912">
        <f>+AVERAGE(L442:O442)</f>
        <v>0.155</v>
      </c>
      <c r="BB442" s="912">
        <f>+AVERAGE(P442:S442)</f>
        <v>0.22000000000000003</v>
      </c>
      <c r="BC442" s="912">
        <f>+AVERAGE(T442:W442)</f>
        <v>0.26</v>
      </c>
      <c r="BD442" s="912">
        <f>+AVERAGE(X442:AA442)</f>
        <v>0.28500000000000003</v>
      </c>
      <c r="BE442" s="912">
        <f>+AVERAGE(AB442:AE442)</f>
        <v>0.22</v>
      </c>
      <c r="BF442" s="912"/>
    </row>
    <row r="443" spans="2:58">
      <c r="B443" s="13" t="s">
        <v>272</v>
      </c>
      <c r="L443" s="22">
        <v>0.1</v>
      </c>
      <c r="M443" s="22">
        <v>0.13</v>
      </c>
      <c r="N443" s="22">
        <v>0.14000000000000001</v>
      </c>
      <c r="O443" s="22">
        <v>0.2</v>
      </c>
      <c r="P443" s="22">
        <v>0.27</v>
      </c>
      <c r="Q443" s="22">
        <v>0.2</v>
      </c>
      <c r="R443" s="22">
        <v>0.23</v>
      </c>
      <c r="S443" s="22">
        <v>0.21</v>
      </c>
      <c r="T443" s="22">
        <v>0.3</v>
      </c>
      <c r="U443" s="22">
        <v>0.31</v>
      </c>
      <c r="V443" s="22">
        <v>0.32</v>
      </c>
      <c r="W443" s="22">
        <v>0.21</v>
      </c>
      <c r="X443" s="22">
        <v>0.25</v>
      </c>
      <c r="Y443" s="22">
        <v>0.27</v>
      </c>
      <c r="Z443" s="22">
        <v>0.24</v>
      </c>
      <c r="AA443" s="22">
        <v>0.27</v>
      </c>
      <c r="AB443" s="22">
        <v>0.26</v>
      </c>
      <c r="AC443" s="22">
        <v>0.22</v>
      </c>
      <c r="AD443" s="22">
        <v>0.27</v>
      </c>
      <c r="AE443" s="22">
        <v>0.19</v>
      </c>
      <c r="AF443" s="22">
        <v>0.26</v>
      </c>
      <c r="AG443" s="22"/>
      <c r="AH443" s="22"/>
      <c r="AI443" s="22"/>
      <c r="BA443" s="21">
        <f>+AVERAGE(L443:O443)</f>
        <v>0.14250000000000002</v>
      </c>
      <c r="BB443" s="21">
        <f>+AVERAGE(P443:S443)</f>
        <v>0.22750000000000001</v>
      </c>
      <c r="BC443" s="21">
        <f>+AVERAGE(T443:W443)</f>
        <v>0.28499999999999998</v>
      </c>
      <c r="BD443" s="21">
        <f>+AVERAGE(X443:AA443)</f>
        <v>0.25750000000000001</v>
      </c>
      <c r="BE443" s="21">
        <f>+AVERAGE(AB443:AE443)</f>
        <v>0.23499999999999999</v>
      </c>
      <c r="BF443" s="21"/>
    </row>
    <row r="444" spans="2:58">
      <c r="B444" s="921"/>
    </row>
    <row r="445" spans="2:58">
      <c r="B445" t="s">
        <v>352</v>
      </c>
      <c r="H445" s="8">
        <f t="shared" ref="H445:AF445" si="474">+H143</f>
        <v>1777</v>
      </c>
      <c r="I445" s="8">
        <f t="shared" si="474"/>
        <v>2291</v>
      </c>
      <c r="J445" s="8">
        <f t="shared" si="474"/>
        <v>2148</v>
      </c>
      <c r="K445" s="8">
        <f t="shared" si="474"/>
        <v>2911</v>
      </c>
      <c r="L445" s="8">
        <f t="shared" si="474"/>
        <v>2137</v>
      </c>
      <c r="M445" s="8">
        <f t="shared" si="474"/>
        <v>2832</v>
      </c>
      <c r="N445" s="8">
        <f t="shared" si="474"/>
        <v>2654</v>
      </c>
      <c r="O445" s="8">
        <f t="shared" si="474"/>
        <v>3901</v>
      </c>
      <c r="P445" s="8">
        <f t="shared" si="474"/>
        <v>2931</v>
      </c>
      <c r="Q445" s="8">
        <f t="shared" si="474"/>
        <v>3279</v>
      </c>
      <c r="R445" s="8">
        <f t="shared" si="474"/>
        <v>3208</v>
      </c>
      <c r="S445" s="8">
        <f t="shared" si="474"/>
        <v>4502</v>
      </c>
      <c r="T445" s="8">
        <f t="shared" si="474"/>
        <v>3889</v>
      </c>
      <c r="U445" s="8">
        <f t="shared" si="474"/>
        <v>4531</v>
      </c>
      <c r="V445" s="8">
        <f t="shared" si="474"/>
        <v>4560</v>
      </c>
      <c r="W445" s="8">
        <f t="shared" si="474"/>
        <v>5344</v>
      </c>
      <c r="X445" s="8">
        <f t="shared" si="474"/>
        <v>5422</v>
      </c>
      <c r="Y445" s="8">
        <f t="shared" si="474"/>
        <v>6492</v>
      </c>
      <c r="Z445" s="8">
        <f t="shared" si="474"/>
        <v>6425</v>
      </c>
      <c r="AA445" s="8">
        <f t="shared" si="474"/>
        <v>7787</v>
      </c>
      <c r="AB445" s="8">
        <f t="shared" si="474"/>
        <v>7562</v>
      </c>
      <c r="AC445" s="8">
        <f t="shared" si="474"/>
        <v>8197</v>
      </c>
      <c r="AD445" s="8">
        <f t="shared" si="474"/>
        <v>8281</v>
      </c>
      <c r="AE445" s="8">
        <f t="shared" si="474"/>
        <v>8681</v>
      </c>
      <c r="AF445" s="8">
        <f t="shared" si="474"/>
        <v>8978</v>
      </c>
      <c r="AG445" s="8"/>
      <c r="AH445" s="8"/>
      <c r="AI445" s="8"/>
      <c r="AT445" s="8">
        <f>+AT143</f>
        <v>8446</v>
      </c>
      <c r="AU445" s="8">
        <f>+AU143</f>
        <v>9803</v>
      </c>
      <c r="AV445" s="8">
        <f>+AV143</f>
        <v>9315</v>
      </c>
      <c r="AW445" s="8">
        <f>+AW143</f>
        <v>9138</v>
      </c>
      <c r="AY445" s="8">
        <f>+AZ445/(1+AZ446)</f>
        <v>9303.7869336835192</v>
      </c>
      <c r="AZ445" s="8">
        <f t="shared" ref="AZ445:BE445" si="475">+AZ143</f>
        <v>9127</v>
      </c>
      <c r="BA445" s="8">
        <f t="shared" si="475"/>
        <v>11524</v>
      </c>
      <c r="BB445" s="8">
        <f t="shared" si="475"/>
        <v>13920</v>
      </c>
      <c r="BC445" s="8">
        <f t="shared" si="475"/>
        <v>18324</v>
      </c>
      <c r="BD445" s="8">
        <f t="shared" si="475"/>
        <v>26126</v>
      </c>
      <c r="BE445" s="8">
        <f t="shared" si="475"/>
        <v>32721</v>
      </c>
      <c r="BF445" s="8"/>
    </row>
    <row r="446" spans="2:58">
      <c r="B446" s="13" t="s">
        <v>113</v>
      </c>
      <c r="L446" s="14">
        <f t="shared" ref="L446:M446" si="476">+L445/H445-1</f>
        <v>0.20258863252673054</v>
      </c>
      <c r="M446" s="14">
        <f t="shared" si="476"/>
        <v>0.23614142295940632</v>
      </c>
      <c r="N446" s="14">
        <f>+N445/J445-1</f>
        <v>0.23556797020484166</v>
      </c>
      <c r="O446" s="14">
        <f>+O445/K445-1</f>
        <v>0.34008931638612161</v>
      </c>
      <c r="P446" s="14">
        <f t="shared" ref="P446:AF446" si="477">+P445/L445-1</f>
        <v>0.37154890032756205</v>
      </c>
      <c r="Q446" s="14">
        <f t="shared" si="477"/>
        <v>0.15783898305084754</v>
      </c>
      <c r="R446" s="14">
        <f t="shared" si="477"/>
        <v>0.20874152223059528</v>
      </c>
      <c r="S446" s="14">
        <f t="shared" si="477"/>
        <v>0.15406306075365284</v>
      </c>
      <c r="T446" s="14">
        <f t="shared" si="477"/>
        <v>0.32685090412828388</v>
      </c>
      <c r="U446" s="14">
        <f t="shared" si="477"/>
        <v>0.38182372674595921</v>
      </c>
      <c r="V446" s="14">
        <f t="shared" si="477"/>
        <v>0.42144638403990031</v>
      </c>
      <c r="W446" s="14">
        <f t="shared" si="477"/>
        <v>0.18702798756108385</v>
      </c>
      <c r="X446" s="14">
        <f t="shared" si="477"/>
        <v>0.39418873746464378</v>
      </c>
      <c r="Y446" s="14">
        <f t="shared" si="477"/>
        <v>0.43279629220922544</v>
      </c>
      <c r="Z446" s="14">
        <f t="shared" si="477"/>
        <v>0.40899122807017552</v>
      </c>
      <c r="AA446" s="14">
        <f t="shared" si="477"/>
        <v>0.45714820359281427</v>
      </c>
      <c r="AB446" s="14">
        <f t="shared" si="477"/>
        <v>0.39468830689782375</v>
      </c>
      <c r="AC446" s="14">
        <f t="shared" si="477"/>
        <v>0.26263093037584717</v>
      </c>
      <c r="AD446" s="14">
        <f t="shared" si="477"/>
        <v>0.28887159533073925</v>
      </c>
      <c r="AE446" s="14">
        <f t="shared" si="477"/>
        <v>0.11480672916399137</v>
      </c>
      <c r="AF446" s="14">
        <f t="shared" si="477"/>
        <v>0.18725204972229559</v>
      </c>
      <c r="AG446" s="14"/>
      <c r="AH446" s="14"/>
      <c r="AI446" s="14"/>
      <c r="AU446" s="14">
        <f t="shared" ref="AU446:AW446" si="478">+AU445/AT445-1</f>
        <v>0.16066777172626101</v>
      </c>
      <c r="AV446" s="14">
        <f t="shared" si="478"/>
        <v>-4.9780679383862103E-2</v>
      </c>
      <c r="AW446" s="14">
        <f t="shared" si="478"/>
        <v>-1.900161030595815E-2</v>
      </c>
      <c r="AY446" s="1010">
        <f t="shared" ref="AY446" si="479">+AV446</f>
        <v>-4.9780679383862103E-2</v>
      </c>
      <c r="AZ446" s="1010">
        <f t="shared" ref="AZ446" si="480">+AW446</f>
        <v>-1.900161030595815E-2</v>
      </c>
      <c r="BA446" s="14">
        <f>+BA445/AZ445-1</f>
        <v>0.26262736934370556</v>
      </c>
      <c r="BB446" s="14">
        <f t="shared" ref="BB446:BE446" si="481">+BB445/BA445-1</f>
        <v>0.20791391877820198</v>
      </c>
      <c r="BC446" s="14">
        <f t="shared" si="481"/>
        <v>0.31637931034482758</v>
      </c>
      <c r="BD446" s="14">
        <f t="shared" si="481"/>
        <v>0.42578039729316752</v>
      </c>
      <c r="BE446" s="14">
        <f t="shared" si="481"/>
        <v>0.25243052897496754</v>
      </c>
      <c r="BF446" s="14"/>
    </row>
    <row r="447" spans="2:58">
      <c r="B447" s="13" t="s">
        <v>272</v>
      </c>
      <c r="L447" s="22">
        <v>0.2</v>
      </c>
      <c r="M447" s="22">
        <v>0.24</v>
      </c>
      <c r="N447" s="22">
        <v>0.21</v>
      </c>
      <c r="O447" s="22">
        <v>0.3</v>
      </c>
      <c r="P447" s="22">
        <v>0.35</v>
      </c>
      <c r="Q447" s="22">
        <v>0.15</v>
      </c>
      <c r="R447" s="22">
        <v>0.23</v>
      </c>
      <c r="S447" s="22">
        <v>0.19</v>
      </c>
      <c r="T447" s="22">
        <v>0.38</v>
      </c>
      <c r="U447" s="22">
        <v>0.42</v>
      </c>
      <c r="V447" s="22">
        <v>0.46</v>
      </c>
      <c r="W447" s="22">
        <v>0.22</v>
      </c>
      <c r="X447" s="22">
        <v>0.38</v>
      </c>
      <c r="Y447" s="22">
        <v>0.41</v>
      </c>
      <c r="Z447" s="22">
        <v>0.36</v>
      </c>
      <c r="AA447" s="22">
        <v>0.39</v>
      </c>
      <c r="AB447" s="22">
        <v>0.37</v>
      </c>
      <c r="AC447" s="22">
        <v>0.26</v>
      </c>
      <c r="AD447" s="22">
        <v>0.33</v>
      </c>
      <c r="AE447" s="22">
        <v>0.18</v>
      </c>
      <c r="AF447" s="22">
        <v>0.25</v>
      </c>
      <c r="AG447" s="22"/>
      <c r="AH447" s="22"/>
      <c r="AI447" s="22"/>
      <c r="BA447" s="23">
        <f>+SUMPRODUCT(L447:O447,H445:K445)/AZ445</f>
        <v>0.24428837515065191</v>
      </c>
      <c r="BB447" s="23">
        <f>+SUMPRODUCT(P447:S447,L445:O445)/BA445</f>
        <v>0.21905241235682055</v>
      </c>
      <c r="BC447" s="23">
        <f>+SUMPRODUCT(T447:W447,P445:S445)/BB445</f>
        <v>0.35611206896551723</v>
      </c>
      <c r="BD447" s="23">
        <f>+SUMPRODUCT(X447:AA447,T445:W445)/BC445</f>
        <v>0.38535745470421301</v>
      </c>
      <c r="BE447" s="23">
        <f>+SUMPRODUCT(AB447:AE447,X445:AA445)/BD445</f>
        <v>0.27619880578733824</v>
      </c>
      <c r="BF447" s="23"/>
    </row>
    <row r="448" spans="2:58">
      <c r="B448" s="13" t="s">
        <v>123</v>
      </c>
      <c r="H448" s="14">
        <f>+IFERROR(H445/H438,"n/a ")</f>
        <v>0.29145481384287353</v>
      </c>
      <c r="I448" s="14">
        <f t="shared" ref="I448:V448" si="482">+IFERROR(I445/I438,"n/a ")</f>
        <v>0.3390056229653744</v>
      </c>
      <c r="J448" s="14">
        <f t="shared" si="482"/>
        <v>0.31916790490341751</v>
      </c>
      <c r="K448" s="14">
        <f t="shared" si="482"/>
        <v>0.37215545896190233</v>
      </c>
      <c r="L448" s="14">
        <f t="shared" si="482"/>
        <v>0.30872580179138975</v>
      </c>
      <c r="M448" s="14">
        <f t="shared" si="482"/>
        <v>0.36330981398332263</v>
      </c>
      <c r="N448" s="14">
        <f t="shared" si="482"/>
        <v>0.33611955420466061</v>
      </c>
      <c r="O448" s="14">
        <f t="shared" si="482"/>
        <v>0.40610035394545074</v>
      </c>
      <c r="P448" s="14">
        <f t="shared" si="482"/>
        <v>0.34212676549550602</v>
      </c>
      <c r="Q448" s="14">
        <f t="shared" si="482"/>
        <v>0.34964811260396672</v>
      </c>
      <c r="R448" s="14">
        <f t="shared" si="482"/>
        <v>0.33246968597782156</v>
      </c>
      <c r="S448" s="14">
        <f t="shared" si="482"/>
        <v>0.39522429988587482</v>
      </c>
      <c r="T448" s="14">
        <f t="shared" si="482"/>
        <v>0.35859843245735362</v>
      </c>
      <c r="U448" s="14">
        <f t="shared" si="482"/>
        <v>0.38175077934114077</v>
      </c>
      <c r="V448" s="14">
        <f t="shared" si="482"/>
        <v>0.37130526830062699</v>
      </c>
      <c r="W448" s="14">
        <f>+IFERROR(W445/W438,"n/a ")</f>
        <v>0.39967092962381273</v>
      </c>
      <c r="X448" s="14">
        <f>+IFERROR(X445/X438,"n/a ")</f>
        <v>0.41752656707223162</v>
      </c>
      <c r="Y448" s="14">
        <f t="shared" ref="Y448:AF448" si="483">+IFERROR(Y445/Y438,"n/a ")</f>
        <v>0.44462708033696324</v>
      </c>
      <c r="Z448" s="14">
        <f t="shared" si="483"/>
        <v>0.42499007805265249</v>
      </c>
      <c r="AA448" s="14">
        <f t="shared" si="483"/>
        <v>0.44817266187050359</v>
      </c>
      <c r="AB448" s="14">
        <f t="shared" si="483"/>
        <v>0.44576750766328699</v>
      </c>
      <c r="AC448" s="14">
        <f t="shared" si="483"/>
        <v>0.44726360015278005</v>
      </c>
      <c r="AD448" s="14">
        <f t="shared" si="483"/>
        <v>0.43467534512624006</v>
      </c>
      <c r="AE448" s="14">
        <f t="shared" si="483"/>
        <v>0.41518006600028695</v>
      </c>
      <c r="AF448" s="14">
        <f t="shared" si="483"/>
        <v>0.44172201722017218</v>
      </c>
      <c r="AG448" s="14"/>
      <c r="AH448" s="14"/>
      <c r="AI448" s="14"/>
      <c r="AT448" s="14">
        <f t="shared" ref="AT448:AW448" si="484">+IFERROR(AT445/AT438,"n/a ")</f>
        <v>0.38858983206809294</v>
      </c>
      <c r="AU448" s="14">
        <f t="shared" si="484"/>
        <v>0.41336706725701033</v>
      </c>
      <c r="AV448" s="14">
        <f t="shared" si="484"/>
        <v>0.37197508186247102</v>
      </c>
      <c r="AW448" s="14">
        <f t="shared" si="484"/>
        <v>0.33301749271137027</v>
      </c>
      <c r="AY448" s="14">
        <f t="shared" ref="AY448:BE448" si="485">+IFERROR(AY445/AY438,"n/a ")</f>
        <v>0.37197465707937333</v>
      </c>
      <c r="AZ448" s="14">
        <f t="shared" si="485"/>
        <v>0.33301711241653592</v>
      </c>
      <c r="BA448" s="14">
        <f t="shared" si="485"/>
        <v>0.35767714702504733</v>
      </c>
      <c r="BB448" s="14">
        <f t="shared" si="485"/>
        <v>0.35706040784917276</v>
      </c>
      <c r="BC448" s="14">
        <f t="shared" si="485"/>
        <v>0.37886118347599551</v>
      </c>
      <c r="BD448" s="14">
        <f t="shared" si="485"/>
        <v>0.43485352862849536</v>
      </c>
      <c r="BE448" s="14">
        <f t="shared" si="485"/>
        <v>0.43482478638157634</v>
      </c>
      <c r="BF448" s="14"/>
    </row>
    <row r="450" spans="2:58" ht="10.5">
      <c r="B450" s="45" t="s">
        <v>1318</v>
      </c>
    </row>
    <row r="451" spans="2:58">
      <c r="D451" s="876" t="s">
        <v>404</v>
      </c>
      <c r="E451" s="876"/>
      <c r="F451" s="876"/>
      <c r="G451" s="876"/>
    </row>
    <row r="452" spans="2:58">
      <c r="B452" t="s">
        <v>1319</v>
      </c>
      <c r="D452" s="911">
        <v>0.06</v>
      </c>
      <c r="E452" s="911">
        <v>0.03</v>
      </c>
      <c r="F452" s="911">
        <v>0</v>
      </c>
      <c r="G452" s="911">
        <v>0.05</v>
      </c>
      <c r="H452" s="911">
        <v>0.13</v>
      </c>
      <c r="I452" s="911">
        <v>0.12</v>
      </c>
      <c r="J452" s="911">
        <v>0.18</v>
      </c>
      <c r="K452" s="911">
        <v>0.12</v>
      </c>
      <c r="L452" s="911">
        <v>0.17</v>
      </c>
      <c r="M452" s="911">
        <v>0.18</v>
      </c>
      <c r="N452" s="911">
        <v>0.2</v>
      </c>
      <c r="O452" s="911">
        <v>0.26</v>
      </c>
      <c r="P452" s="911">
        <v>0.28000000000000003</v>
      </c>
      <c r="Q452" s="911">
        <v>0.24</v>
      </c>
      <c r="R452" s="911">
        <v>0.27</v>
      </c>
      <c r="S452" s="911">
        <v>0.22</v>
      </c>
      <c r="T452" s="911">
        <v>0.3</v>
      </c>
      <c r="U452" s="911">
        <v>0.3</v>
      </c>
      <c r="V452" s="911">
        <v>0.3</v>
      </c>
      <c r="W452" s="911">
        <v>0.19</v>
      </c>
      <c r="X452" s="911">
        <v>0.22</v>
      </c>
      <c r="Y452" s="911">
        <v>0.26</v>
      </c>
      <c r="Z452" s="911">
        <v>0.26</v>
      </c>
      <c r="AA452" s="911">
        <v>0.34</v>
      </c>
      <c r="AB452" s="911">
        <v>0.35</v>
      </c>
      <c r="AC452" s="911">
        <v>0.28999999999999998</v>
      </c>
      <c r="AD452" s="911">
        <v>0.28999999999999998</v>
      </c>
      <c r="AE452" s="911">
        <v>0.22</v>
      </c>
      <c r="AF452" s="911">
        <v>0.22</v>
      </c>
      <c r="AG452" s="911"/>
      <c r="AH452" s="911"/>
      <c r="AI452" s="911"/>
      <c r="AZ452" s="912">
        <f>+AVERAGE(H452:K452)</f>
        <v>0.13750000000000001</v>
      </c>
      <c r="BA452" s="912">
        <f>+AVERAGE(L452:O452)</f>
        <v>0.20250000000000001</v>
      </c>
      <c r="BB452" s="912">
        <f>+AVERAGE(P452:S452)</f>
        <v>0.2525</v>
      </c>
      <c r="BC452" s="912">
        <f>+AVERAGE(T452:W452)</f>
        <v>0.27249999999999996</v>
      </c>
      <c r="BD452" s="912">
        <f>+AVERAGE(X452:AA452)</f>
        <v>0.27</v>
      </c>
      <c r="BE452" s="912">
        <f>+AVERAGE(AB452:AE452)</f>
        <v>0.28749999999999998</v>
      </c>
      <c r="BF452" s="912"/>
    </row>
    <row r="453" spans="2:58">
      <c r="B453" s="12" t="s">
        <v>272</v>
      </c>
      <c r="D453" s="911">
        <v>0.13</v>
      </c>
      <c r="E453" s="911">
        <v>0.1</v>
      </c>
      <c r="F453" s="911">
        <v>0.05</v>
      </c>
      <c r="G453" s="911">
        <v>0.08</v>
      </c>
      <c r="H453" s="911">
        <v>0.14000000000000001</v>
      </c>
      <c r="I453" s="911">
        <v>0.13</v>
      </c>
      <c r="J453" s="911">
        <v>0.2</v>
      </c>
      <c r="K453" s="911">
        <v>0.13</v>
      </c>
      <c r="L453" s="911">
        <v>0.17</v>
      </c>
      <c r="M453" s="911">
        <v>0.18</v>
      </c>
      <c r="N453" s="911">
        <v>0.17</v>
      </c>
      <c r="O453" s="911">
        <v>0.24</v>
      </c>
      <c r="P453" s="911">
        <v>0.28000000000000003</v>
      </c>
      <c r="Q453" s="911">
        <v>0.24</v>
      </c>
      <c r="R453" s="911">
        <v>0.28999999999999998</v>
      </c>
      <c r="S453" s="911">
        <v>0.24</v>
      </c>
      <c r="T453" s="911">
        <v>0.33</v>
      </c>
      <c r="U453" s="911">
        <v>0.32</v>
      </c>
      <c r="V453" s="911">
        <v>0.32</v>
      </c>
      <c r="W453" s="911">
        <v>0.21</v>
      </c>
      <c r="X453" s="911">
        <v>0.21</v>
      </c>
      <c r="Y453" s="911">
        <v>0.24</v>
      </c>
      <c r="Z453" s="911">
        <v>0.23</v>
      </c>
      <c r="AA453" s="911">
        <v>0.28999999999999998</v>
      </c>
      <c r="AB453" s="911">
        <v>0.33</v>
      </c>
      <c r="AC453" s="911">
        <v>0.28999999999999998</v>
      </c>
      <c r="AD453" s="911">
        <v>0.32</v>
      </c>
      <c r="AE453" s="911">
        <v>0.26</v>
      </c>
      <c r="AF453" s="911">
        <v>0.28000000000000003</v>
      </c>
      <c r="AG453" s="911"/>
      <c r="AH453" s="911"/>
      <c r="AI453" s="911"/>
      <c r="AZ453" s="912">
        <f>+AVERAGE(H453:K453)</f>
        <v>0.15000000000000002</v>
      </c>
      <c r="BA453" s="912">
        <f>+AVERAGE(L453:O453)</f>
        <v>0.19</v>
      </c>
      <c r="BB453" s="912">
        <f>+AVERAGE(P453:S453)</f>
        <v>0.26250000000000001</v>
      </c>
      <c r="BC453" s="912">
        <f>+AVERAGE(T453:W453)</f>
        <v>0.29499999999999998</v>
      </c>
      <c r="BD453" s="912">
        <f>+AVERAGE(X453:AA453)</f>
        <v>0.24249999999999999</v>
      </c>
      <c r="BE453" s="912">
        <f>+AVERAGE(AB453:AE453)</f>
        <v>0.3</v>
      </c>
      <c r="BF453" s="912"/>
    </row>
    <row r="454" spans="2:58">
      <c r="B454" s="843"/>
      <c r="H454" s="911"/>
      <c r="I454" s="911"/>
      <c r="J454" s="911"/>
      <c r="K454" s="911"/>
      <c r="L454" s="911"/>
    </row>
    <row r="455" spans="2:58">
      <c r="B455" s="843" t="s">
        <v>1320</v>
      </c>
      <c r="D455" s="911"/>
      <c r="E455" s="911"/>
      <c r="F455" s="911"/>
      <c r="G455" s="911">
        <v>1.02</v>
      </c>
      <c r="H455" s="911">
        <v>1.1599999999999999</v>
      </c>
      <c r="I455" s="911">
        <v>0.93</v>
      </c>
      <c r="J455" s="911">
        <v>0.93</v>
      </c>
      <c r="K455" s="911">
        <v>0.97</v>
      </c>
      <c r="L455" s="911">
        <v>0.9</v>
      </c>
      <c r="M455" s="911">
        <v>0.98</v>
      </c>
      <c r="N455" s="911">
        <v>0.93</v>
      </c>
      <c r="O455" s="911">
        <v>0.89</v>
      </c>
      <c r="P455" s="911">
        <v>0.76</v>
      </c>
      <c r="Q455" s="911">
        <v>0.76</v>
      </c>
      <c r="R455" s="911">
        <v>0.73</v>
      </c>
      <c r="S455" s="911">
        <v>0.64</v>
      </c>
      <c r="T455" s="911">
        <v>0.59</v>
      </c>
      <c r="U455" s="911">
        <v>0.62</v>
      </c>
      <c r="V455" s="911">
        <v>0.59</v>
      </c>
      <c r="W455" s="911">
        <v>0.47</v>
      </c>
      <c r="X455" s="911">
        <v>0.48</v>
      </c>
      <c r="Y455" s="911">
        <v>0.5</v>
      </c>
      <c r="Z455" s="911">
        <v>0.5</v>
      </c>
      <c r="AA455" s="911">
        <v>0.51</v>
      </c>
      <c r="AB455" s="911">
        <v>0.5</v>
      </c>
      <c r="AC455" s="911">
        <v>0.46</v>
      </c>
      <c r="AD455" s="911">
        <v>0.46</v>
      </c>
      <c r="AE455" s="911">
        <v>0.4</v>
      </c>
      <c r="AF455" s="911">
        <v>0.35</v>
      </c>
      <c r="AG455" s="911"/>
      <c r="AH455" s="911"/>
      <c r="AI455" s="911"/>
      <c r="AZ455" s="912">
        <f>+AVERAGE(H455:K455)</f>
        <v>0.99750000000000005</v>
      </c>
      <c r="BA455" s="912">
        <f>+AVERAGE(L455:O455)</f>
        <v>0.92500000000000004</v>
      </c>
      <c r="BB455" s="912">
        <f>+AVERAGE(P455:S455)</f>
        <v>0.72250000000000003</v>
      </c>
      <c r="BC455" s="912">
        <f>+AVERAGE(T455:W455)</f>
        <v>0.56749999999999989</v>
      </c>
      <c r="BD455" s="912">
        <f>+AVERAGE(X455:AA455)</f>
        <v>0.4975</v>
      </c>
      <c r="BE455" s="912">
        <f>+AVERAGE(AB455:AE455)</f>
        <v>0.45499999999999996</v>
      </c>
      <c r="BF455" s="912"/>
    </row>
    <row r="456" spans="2:58">
      <c r="B456" s="12" t="s">
        <v>272</v>
      </c>
      <c r="D456" s="911">
        <v>1.35</v>
      </c>
      <c r="E456" s="911">
        <v>1.4</v>
      </c>
      <c r="F456" s="911">
        <v>1.2</v>
      </c>
      <c r="G456" s="911">
        <v>1.08</v>
      </c>
      <c r="H456" s="911">
        <v>1.21</v>
      </c>
      <c r="I456" s="911">
        <v>0.95</v>
      </c>
      <c r="J456" s="911">
        <v>0.94</v>
      </c>
      <c r="K456" s="911">
        <v>0.98</v>
      </c>
      <c r="L456" s="911">
        <v>0.89</v>
      </c>
      <c r="M456" s="911">
        <v>0.98</v>
      </c>
      <c r="N456" s="911">
        <v>0.89</v>
      </c>
      <c r="O456" s="911">
        <v>0.85</v>
      </c>
      <c r="P456" s="911">
        <v>0.76</v>
      </c>
      <c r="Q456" s="911">
        <v>0.76</v>
      </c>
      <c r="R456" s="911">
        <v>0.75</v>
      </c>
      <c r="S456" s="911">
        <v>0.68</v>
      </c>
      <c r="T456" s="911">
        <v>0.63</v>
      </c>
      <c r="U456" s="911">
        <v>0.64</v>
      </c>
      <c r="V456" s="911">
        <v>0.61</v>
      </c>
      <c r="W456" s="911">
        <v>0.5</v>
      </c>
      <c r="X456" s="911">
        <v>0.47</v>
      </c>
      <c r="Y456" s="911">
        <v>0.48</v>
      </c>
      <c r="Z456" s="911">
        <v>0.46</v>
      </c>
      <c r="AA456" s="911">
        <v>0.45</v>
      </c>
      <c r="AB456" s="911">
        <v>0.48</v>
      </c>
      <c r="AC456" s="911">
        <v>0.46</v>
      </c>
      <c r="AD456" s="911">
        <v>0.49</v>
      </c>
      <c r="AE456" s="911">
        <v>0.46</v>
      </c>
      <c r="AF456" s="911">
        <v>0.42</v>
      </c>
      <c r="AG456" s="911"/>
      <c r="AH456" s="911"/>
      <c r="AI456" s="911"/>
      <c r="AZ456" s="912">
        <f>+AVERAGE(H456:K456)</f>
        <v>1.02</v>
      </c>
      <c r="BA456" s="912">
        <f>+AVERAGE(L456:O456)</f>
        <v>0.90250000000000008</v>
      </c>
      <c r="BB456" s="912">
        <f>+AVERAGE(P456:S456)</f>
        <v>0.73750000000000004</v>
      </c>
      <c r="BC456" s="912">
        <f>+AVERAGE(T456:W456)</f>
        <v>0.59499999999999997</v>
      </c>
      <c r="BD456" s="912">
        <f>+AVERAGE(X456:AA456)</f>
        <v>0.46499999999999997</v>
      </c>
      <c r="BE456" s="912">
        <f>+AVERAGE(AB456:AE456)</f>
        <v>0.47249999999999998</v>
      </c>
      <c r="BF456" s="912"/>
    </row>
    <row r="457" spans="2:58">
      <c r="B457" s="12"/>
      <c r="D457" s="911"/>
      <c r="E457" s="911"/>
      <c r="F457" s="911"/>
      <c r="G457" s="911"/>
      <c r="H457" s="911"/>
      <c r="I457" s="911"/>
      <c r="J457" s="911"/>
      <c r="K457" s="911"/>
      <c r="L457" s="911"/>
      <c r="M457" s="911"/>
      <c r="N457" s="911"/>
      <c r="O457" s="911"/>
      <c r="P457" s="911"/>
      <c r="Q457" s="911"/>
      <c r="R457" s="911"/>
      <c r="S457" s="911"/>
      <c r="T457" s="911"/>
      <c r="U457" s="911"/>
      <c r="V457" s="911"/>
      <c r="W457" s="911"/>
      <c r="X457" s="911"/>
      <c r="Y457" s="911"/>
      <c r="Z457" s="911"/>
      <c r="AA457" s="911"/>
      <c r="AB457" s="911"/>
      <c r="AC457" s="911"/>
      <c r="AD457" s="911"/>
      <c r="AE457" s="911"/>
      <c r="AF457" s="911"/>
      <c r="AG457" s="911"/>
      <c r="AH457" s="911"/>
      <c r="AI457" s="911"/>
      <c r="AZ457" s="912"/>
      <c r="BA457" s="912"/>
      <c r="BB457" s="912"/>
      <c r="BC457" s="912"/>
      <c r="BD457" s="912"/>
      <c r="BE457" s="912"/>
      <c r="BF457" s="912"/>
    </row>
    <row r="458" spans="2:58">
      <c r="B458" s="843" t="s">
        <v>1321</v>
      </c>
      <c r="D458" s="911"/>
      <c r="E458" s="911"/>
      <c r="F458" s="911"/>
      <c r="G458" s="911">
        <v>0</v>
      </c>
      <c r="H458" s="911">
        <v>0.03</v>
      </c>
      <c r="I458" s="911">
        <v>0.05</v>
      </c>
      <c r="J458" s="911">
        <v>0.1</v>
      </c>
      <c r="K458" s="911">
        <v>0.02</v>
      </c>
      <c r="L458" s="911">
        <v>0.02</v>
      </c>
      <c r="M458" s="911">
        <v>0.04</v>
      </c>
      <c r="N458" s="911">
        <v>0.03</v>
      </c>
      <c r="O458" s="911">
        <v>0.08</v>
      </c>
      <c r="P458" s="911">
        <v>0.1</v>
      </c>
      <c r="Q458" s="911">
        <v>0.03</v>
      </c>
      <c r="R458" s="911">
        <v>7.0000000000000007E-2</v>
      </c>
      <c r="S458" s="911">
        <v>0.05</v>
      </c>
      <c r="T458" s="911">
        <v>0.12</v>
      </c>
      <c r="U458" s="911">
        <v>0.1</v>
      </c>
      <c r="V458" s="911">
        <v>0.11</v>
      </c>
      <c r="W458" s="911">
        <v>0</v>
      </c>
      <c r="X458" s="911">
        <v>-0.01</v>
      </c>
      <c r="Y458" s="911">
        <v>0.04</v>
      </c>
      <c r="Z458" s="911">
        <v>0.03</v>
      </c>
      <c r="AA458" s="911">
        <v>0.16</v>
      </c>
      <c r="AB458" s="911">
        <v>0.14000000000000001</v>
      </c>
      <c r="AC458" s="911">
        <v>0.06</v>
      </c>
      <c r="AD458" s="911">
        <v>0.05</v>
      </c>
      <c r="AE458" s="911">
        <v>-0.03</v>
      </c>
      <c r="AF458" s="911">
        <v>0</v>
      </c>
      <c r="AG458" s="911"/>
      <c r="AH458" s="911"/>
      <c r="AI458" s="911"/>
      <c r="AZ458" s="912">
        <f>+AVERAGE(H458:K458)</f>
        <v>4.9999999999999996E-2</v>
      </c>
      <c r="BA458" s="912">
        <f>+AVERAGE(L458:O458)</f>
        <v>4.2499999999999996E-2</v>
      </c>
      <c r="BB458" s="912">
        <f>+AVERAGE(P458:S458)</f>
        <v>6.25E-2</v>
      </c>
      <c r="BC458" s="912">
        <f>+AVERAGE(T458:W458)</f>
        <v>8.2500000000000004E-2</v>
      </c>
      <c r="BD458" s="912">
        <f>+AVERAGE(X458:AA458)</f>
        <v>5.5E-2</v>
      </c>
      <c r="BE458" s="912">
        <f>+AVERAGE(AB458:AE458)</f>
        <v>5.5E-2</v>
      </c>
      <c r="BF458" s="912"/>
    </row>
    <row r="459" spans="2:58">
      <c r="B459" s="12" t="s">
        <v>272</v>
      </c>
      <c r="D459" s="911"/>
      <c r="E459" s="911"/>
      <c r="F459" s="911"/>
      <c r="G459" s="911">
        <v>0.03</v>
      </c>
      <c r="H459" s="911">
        <v>0.05</v>
      </c>
      <c r="I459" s="911">
        <v>0.06</v>
      </c>
      <c r="J459" s="911">
        <v>0.11</v>
      </c>
      <c r="K459" s="911">
        <v>0.03</v>
      </c>
      <c r="L459" s="911">
        <v>0.02</v>
      </c>
      <c r="M459" s="911">
        <v>0.03</v>
      </c>
      <c r="N459" s="911">
        <v>0.01</v>
      </c>
      <c r="O459" s="911">
        <v>0.06</v>
      </c>
      <c r="P459" s="911">
        <v>0.09</v>
      </c>
      <c r="Q459" s="911">
        <v>0.04</v>
      </c>
      <c r="R459" s="911">
        <v>0.09</v>
      </c>
      <c r="S459" s="911">
        <v>7.0000000000000007E-2</v>
      </c>
      <c r="T459" s="911">
        <v>0.14000000000000001</v>
      </c>
      <c r="U459" s="911">
        <v>0.12</v>
      </c>
      <c r="V459" s="911">
        <v>0.12</v>
      </c>
      <c r="W459" s="911">
        <v>0.01</v>
      </c>
      <c r="X459" s="911">
        <v>-0.01</v>
      </c>
      <c r="Y459" s="911">
        <v>0.03</v>
      </c>
      <c r="Z459" s="911">
        <v>0</v>
      </c>
      <c r="AA459" s="911">
        <v>0.12</v>
      </c>
      <c r="AB459" s="911">
        <v>0.13</v>
      </c>
      <c r="AC459" s="911">
        <v>0.06</v>
      </c>
      <c r="AD459" s="911">
        <v>7.0000000000000007E-2</v>
      </c>
      <c r="AE459" s="911">
        <v>0.01</v>
      </c>
      <c r="AF459" s="911">
        <v>0.04</v>
      </c>
      <c r="AG459" s="911"/>
      <c r="AH459" s="911"/>
      <c r="AI459" s="911"/>
      <c r="AZ459" s="912">
        <f>+AVERAGE(H459:K459)</f>
        <v>6.25E-2</v>
      </c>
      <c r="BA459" s="912">
        <f>+AVERAGE(L459:O459)</f>
        <v>0.03</v>
      </c>
      <c r="BB459" s="912">
        <f>+AVERAGE(P459:S459)</f>
        <v>7.2500000000000009E-2</v>
      </c>
      <c r="BC459" s="912">
        <f>+AVERAGE(T459:W459)</f>
        <v>9.7500000000000003E-2</v>
      </c>
      <c r="BD459" s="912">
        <f>+AVERAGE(X459:AA459)</f>
        <v>3.4999999999999996E-2</v>
      </c>
      <c r="BE459" s="912">
        <f>+AVERAGE(AB459:AE459)</f>
        <v>6.7500000000000004E-2</v>
      </c>
      <c r="BF459" s="912"/>
    </row>
    <row r="460" spans="2:58">
      <c r="B460" s="843"/>
      <c r="H460" s="911"/>
      <c r="I460" s="911"/>
      <c r="J460" s="911"/>
      <c r="K460" s="911"/>
      <c r="L460" s="911"/>
    </row>
    <row r="461" spans="2:58">
      <c r="B461" t="s">
        <v>1322</v>
      </c>
      <c r="D461" s="911">
        <v>0.09</v>
      </c>
      <c r="E461" s="911">
        <v>0.1</v>
      </c>
      <c r="F461" s="911">
        <v>0.11</v>
      </c>
      <c r="G461" s="911">
        <v>0.12</v>
      </c>
      <c r="H461" s="911">
        <v>0.01</v>
      </c>
      <c r="I461" s="911">
        <v>-0.04</v>
      </c>
      <c r="J461" s="911">
        <v>-0.01</v>
      </c>
      <c r="K461" s="911">
        <v>-0.03</v>
      </c>
      <c r="L461" s="911">
        <v>0.01</v>
      </c>
      <c r="M461" s="911">
        <v>0.05</v>
      </c>
      <c r="N461" s="911">
        <v>0.08</v>
      </c>
      <c r="O461" s="911">
        <v>0.08</v>
      </c>
      <c r="P461" s="911">
        <v>0.06</v>
      </c>
      <c r="Q461" s="911">
        <v>0.06</v>
      </c>
      <c r="R461" s="911">
        <v>0.04</v>
      </c>
      <c r="S461" s="911">
        <v>0.04</v>
      </c>
      <c r="T461" s="911">
        <v>7.0000000000000007E-2</v>
      </c>
      <c r="U461" s="911">
        <v>0.06</v>
      </c>
      <c r="V461" s="911">
        <v>0.06</v>
      </c>
      <c r="W461" s="911">
        <v>0</v>
      </c>
      <c r="X461" s="911">
        <v>0.06</v>
      </c>
      <c r="Y461" s="911">
        <v>0.05</v>
      </c>
      <c r="Z461" s="911">
        <v>0.1</v>
      </c>
      <c r="AA461" s="911">
        <v>0.12</v>
      </c>
      <c r="AB461" s="911">
        <v>0.09</v>
      </c>
      <c r="AC461" s="911">
        <v>0.08</v>
      </c>
      <c r="AD461" s="911">
        <v>0.05</v>
      </c>
      <c r="AE461" s="911">
        <v>0.05</v>
      </c>
      <c r="AF461" s="911">
        <v>0.05</v>
      </c>
      <c r="AG461" s="911"/>
      <c r="AH461" s="911"/>
      <c r="AI461" s="911"/>
      <c r="AZ461" s="912">
        <f>+AVERAGE(H461:K461)</f>
        <v>-1.7500000000000002E-2</v>
      </c>
      <c r="BA461" s="912">
        <f>+AVERAGE(L461:O461)</f>
        <v>5.5000000000000007E-2</v>
      </c>
      <c r="BB461" s="912">
        <f>+AVERAGE(P461:S461)</f>
        <v>0.05</v>
      </c>
      <c r="BC461" s="912">
        <f>+AVERAGE(T461:W461)</f>
        <v>4.7500000000000001E-2</v>
      </c>
      <c r="BD461" s="912">
        <f>+AVERAGE(X461:AA461)</f>
        <v>8.2500000000000004E-2</v>
      </c>
      <c r="BE461" s="912">
        <f>+AVERAGE(AB461:AE461)</f>
        <v>6.7499999999999991E-2</v>
      </c>
      <c r="BF461" s="912"/>
    </row>
    <row r="462" spans="2:58">
      <c r="B462" s="12" t="s">
        <v>272</v>
      </c>
      <c r="D462" s="911">
        <v>0.16</v>
      </c>
      <c r="E462" s="911">
        <v>0.16</v>
      </c>
      <c r="F462" s="911">
        <v>0.15</v>
      </c>
      <c r="G462" s="911">
        <v>0.14000000000000001</v>
      </c>
      <c r="H462" s="911">
        <v>0.02</v>
      </c>
      <c r="I462" s="911">
        <v>-0.02</v>
      </c>
      <c r="J462" s="911">
        <v>0</v>
      </c>
      <c r="K462" s="911">
        <v>-0.01</v>
      </c>
      <c r="L462" s="911">
        <v>0</v>
      </c>
      <c r="M462" s="911">
        <v>0.03</v>
      </c>
      <c r="N462" s="911">
        <v>0.05</v>
      </c>
      <c r="O462" s="911">
        <v>7.0000000000000007E-2</v>
      </c>
      <c r="P462" s="911">
        <v>0.06</v>
      </c>
      <c r="Q462" s="911">
        <v>7.0000000000000007E-2</v>
      </c>
      <c r="R462" s="911">
        <v>0.05</v>
      </c>
      <c r="S462" s="911">
        <v>0.06</v>
      </c>
      <c r="T462" s="911">
        <v>0.08</v>
      </c>
      <c r="U462" s="911">
        <v>7.0000000000000007E-2</v>
      </c>
      <c r="V462" s="911">
        <v>7.0000000000000007E-2</v>
      </c>
      <c r="W462" s="911">
        <v>0.02</v>
      </c>
      <c r="X462" s="911">
        <v>0.05</v>
      </c>
      <c r="Y462" s="911">
        <v>0.04</v>
      </c>
      <c r="Z462" s="911">
        <v>0.08</v>
      </c>
      <c r="AA462" s="911">
        <v>0.09</v>
      </c>
      <c r="AB462" s="911">
        <v>0.08</v>
      </c>
      <c r="AC462" s="911">
        <v>7.0000000000000007E-2</v>
      </c>
      <c r="AD462" s="911">
        <v>0.06</v>
      </c>
      <c r="AE462" s="911">
        <v>0.08</v>
      </c>
      <c r="AF462" s="911">
        <v>0.1</v>
      </c>
      <c r="AG462" s="911"/>
      <c r="AH462" s="911"/>
      <c r="AI462" s="911"/>
      <c r="AZ462" s="912">
        <f>+AVERAGE(H462:K462)</f>
        <v>-2.5000000000000001E-3</v>
      </c>
      <c r="BA462" s="912">
        <f>+AVERAGE(L462:O462)</f>
        <v>3.7500000000000006E-2</v>
      </c>
      <c r="BB462" s="912">
        <f>+AVERAGE(P462:S462)</f>
        <v>0.06</v>
      </c>
      <c r="BC462" s="912">
        <f>+AVERAGE(T462:W462)</f>
        <v>6.0000000000000005E-2</v>
      </c>
      <c r="BD462" s="912">
        <f>+AVERAGE(X462:AA462)</f>
        <v>6.5000000000000002E-2</v>
      </c>
      <c r="BE462" s="912">
        <f>+AVERAGE(AB462:AE462)</f>
        <v>7.2500000000000009E-2</v>
      </c>
      <c r="BF462" s="912"/>
    </row>
    <row r="464" spans="2:58" ht="10.5">
      <c r="B464" s="5" t="s">
        <v>344</v>
      </c>
      <c r="C464" s="4"/>
    </row>
    <row r="466" spans="2:58">
      <c r="B466" t="s">
        <v>86</v>
      </c>
      <c r="H466" s="8">
        <f t="shared" ref="H466:AF466" si="486">+H116</f>
        <v>9395</v>
      </c>
      <c r="I466" s="8">
        <f t="shared" si="486"/>
        <v>11889</v>
      </c>
      <c r="J466" s="8">
        <f t="shared" si="486"/>
        <v>8775</v>
      </c>
      <c r="K466" s="8">
        <f t="shared" si="486"/>
        <v>9235</v>
      </c>
      <c r="L466" s="8">
        <f t="shared" si="486"/>
        <v>9378</v>
      </c>
      <c r="M466" s="8">
        <f t="shared" si="486"/>
        <v>12170</v>
      </c>
      <c r="N466" s="8">
        <f t="shared" si="486"/>
        <v>9917</v>
      </c>
      <c r="O466" s="8">
        <f t="shared" si="486"/>
        <v>10811</v>
      </c>
      <c r="P466" s="8">
        <f t="shared" si="486"/>
        <v>10746</v>
      </c>
      <c r="Q466" s="8">
        <f t="shared" si="486"/>
        <v>12993</v>
      </c>
      <c r="R466" s="8">
        <f t="shared" si="486"/>
        <v>10680</v>
      </c>
      <c r="S466" s="8">
        <f t="shared" si="486"/>
        <v>11279</v>
      </c>
      <c r="T466" s="8">
        <f t="shared" si="486"/>
        <v>11133</v>
      </c>
      <c r="U466" s="8">
        <f t="shared" si="486"/>
        <v>13211</v>
      </c>
      <c r="V466" s="8">
        <f t="shared" si="486"/>
        <v>10997</v>
      </c>
      <c r="W466" s="8">
        <f t="shared" si="486"/>
        <v>12910</v>
      </c>
      <c r="X466" s="8">
        <f t="shared" si="486"/>
        <v>11849</v>
      </c>
      <c r="Y466" s="8">
        <f t="shared" si="486"/>
        <v>15122</v>
      </c>
      <c r="Z466" s="8">
        <f t="shared" si="486"/>
        <v>13036</v>
      </c>
      <c r="AA466" s="8">
        <f t="shared" si="486"/>
        <v>14086</v>
      </c>
      <c r="AB466" s="8">
        <f t="shared" si="486"/>
        <v>13314</v>
      </c>
      <c r="AC466" s="8">
        <f t="shared" si="486"/>
        <v>17465</v>
      </c>
      <c r="AD466" s="8">
        <f t="shared" si="486"/>
        <v>14520</v>
      </c>
      <c r="AE466" s="8">
        <f t="shared" si="486"/>
        <v>14356</v>
      </c>
      <c r="AF466" s="8">
        <f t="shared" si="486"/>
        <v>13332</v>
      </c>
      <c r="AG466" s="8"/>
      <c r="AH466" s="8"/>
      <c r="AI466" s="8"/>
      <c r="AT466" s="8">
        <f>+AT116</f>
        <v>38460</v>
      </c>
      <c r="AU466" s="8">
        <f>+AU116</f>
        <v>43435</v>
      </c>
      <c r="AV466" s="8">
        <f>+AV116</f>
        <v>40434</v>
      </c>
      <c r="AW466" s="8">
        <f>+AW116</f>
        <v>38773</v>
      </c>
      <c r="AY466" s="8">
        <f>+AZ466/(1+AZ467)</f>
        <v>40977.3191653986</v>
      </c>
      <c r="AZ466" s="8">
        <f t="shared" ref="AZ466:BE466" si="487">+AZ116</f>
        <v>39294</v>
      </c>
      <c r="BA466" s="8">
        <f t="shared" si="487"/>
        <v>42276</v>
      </c>
      <c r="BB466" s="8">
        <f t="shared" si="487"/>
        <v>45698</v>
      </c>
      <c r="BC466" s="8">
        <f t="shared" si="487"/>
        <v>48251</v>
      </c>
      <c r="BD466" s="8">
        <f t="shared" si="487"/>
        <v>54093</v>
      </c>
      <c r="BE466" s="8">
        <f t="shared" si="487"/>
        <v>59655</v>
      </c>
      <c r="BF466" s="8"/>
    </row>
    <row r="467" spans="2:58">
      <c r="B467" s="13" t="s">
        <v>113</v>
      </c>
      <c r="L467" s="14">
        <f t="shared" ref="L467:M467" si="488">+L466/H466-1</f>
        <v>-1.8094731240021478E-3</v>
      </c>
      <c r="M467" s="14">
        <f t="shared" si="488"/>
        <v>2.3635293128101642E-2</v>
      </c>
      <c r="N467" s="14">
        <f>+N466/J466-1</f>
        <v>0.13014245014245018</v>
      </c>
      <c r="O467" s="14">
        <f>+O466/K466-1</f>
        <v>0.17065511640498099</v>
      </c>
      <c r="P467" s="14">
        <f t="shared" ref="P467:AF467" si="489">+P466/L466-1</f>
        <v>0.14587332053742808</v>
      </c>
      <c r="Q467" s="14">
        <f t="shared" si="489"/>
        <v>6.7625308134757534E-2</v>
      </c>
      <c r="R467" s="14">
        <f t="shared" si="489"/>
        <v>7.6938590299485687E-2</v>
      </c>
      <c r="S467" s="14">
        <f t="shared" si="489"/>
        <v>4.328924243825738E-2</v>
      </c>
      <c r="T467" s="14">
        <f t="shared" si="489"/>
        <v>3.6013400335008328E-2</v>
      </c>
      <c r="U467" s="14">
        <f t="shared" si="489"/>
        <v>1.677826521973369E-2</v>
      </c>
      <c r="V467" s="14">
        <f t="shared" si="489"/>
        <v>2.9681647940074996E-2</v>
      </c>
      <c r="W467" s="14">
        <f t="shared" si="489"/>
        <v>0.14460501817537019</v>
      </c>
      <c r="X467" s="14">
        <f t="shared" si="489"/>
        <v>6.4313302793496785E-2</v>
      </c>
      <c r="Y467" s="14">
        <f t="shared" si="489"/>
        <v>0.14465218378623868</v>
      </c>
      <c r="Z467" s="14">
        <f t="shared" si="489"/>
        <v>0.18541420387378382</v>
      </c>
      <c r="AA467" s="14">
        <f t="shared" si="489"/>
        <v>9.1092176607281194E-2</v>
      </c>
      <c r="AB467" s="14">
        <f t="shared" si="489"/>
        <v>0.12363912566461299</v>
      </c>
      <c r="AC467" s="14">
        <f t="shared" si="489"/>
        <v>0.15493982277476515</v>
      </c>
      <c r="AD467" s="14">
        <f t="shared" si="489"/>
        <v>0.11383860079779073</v>
      </c>
      <c r="AE467" s="14">
        <f t="shared" si="489"/>
        <v>1.9167968195371365E-2</v>
      </c>
      <c r="AF467" s="14">
        <f t="shared" si="489"/>
        <v>1.3519603424965165E-3</v>
      </c>
      <c r="AG467" s="14"/>
      <c r="AH467" s="14"/>
      <c r="AI467" s="14"/>
      <c r="AU467" s="14">
        <f t="shared" ref="AU467:AW467" si="490">+AU466/AT466-1</f>
        <v>0.12935517420696829</v>
      </c>
      <c r="AV467" s="14">
        <f t="shared" si="490"/>
        <v>-6.9091746287556099E-2</v>
      </c>
      <c r="AW467" s="14">
        <f t="shared" si="490"/>
        <v>-4.1079289706682509E-2</v>
      </c>
      <c r="AY467" s="1010">
        <f t="shared" ref="AY467" si="491">+AV467</f>
        <v>-6.9091746287556099E-2</v>
      </c>
      <c r="AZ467" s="1010">
        <f t="shared" ref="AZ467" si="492">+AW467</f>
        <v>-4.1079289706682509E-2</v>
      </c>
      <c r="BA467" s="14">
        <f>+BA466/AZ466-1</f>
        <v>7.5889448770804613E-2</v>
      </c>
      <c r="BB467" s="14">
        <f t="shared" ref="BB467:BE467" si="493">+BB466/BA466-1</f>
        <v>8.0944270981171407E-2</v>
      </c>
      <c r="BC467" s="14">
        <f t="shared" si="493"/>
        <v>5.5866777539498536E-2</v>
      </c>
      <c r="BD467" s="14">
        <f t="shared" si="493"/>
        <v>0.12107521087645856</v>
      </c>
      <c r="BE467" s="14">
        <f t="shared" si="493"/>
        <v>0.10282291608895799</v>
      </c>
      <c r="BF467" s="14"/>
    </row>
    <row r="468" spans="2:58">
      <c r="B468" s="13" t="s">
        <v>272</v>
      </c>
      <c r="L468" s="22">
        <v>-0.01</v>
      </c>
      <c r="M468" s="22">
        <v>0.02</v>
      </c>
      <c r="N468" s="22">
        <v>0.11</v>
      </c>
      <c r="O468" s="22">
        <v>0.16</v>
      </c>
      <c r="P468" s="22">
        <v>0.15</v>
      </c>
      <c r="Q468" s="22">
        <v>7.0000000000000007E-2</v>
      </c>
      <c r="R468" s="22">
        <v>0.09</v>
      </c>
      <c r="S468" s="22">
        <v>0.06</v>
      </c>
      <c r="T468" s="22">
        <v>0.05</v>
      </c>
      <c r="U468" s="22">
        <v>0.03</v>
      </c>
      <c r="V468" s="22">
        <v>0.04</v>
      </c>
      <c r="W468" s="22">
        <v>0.16</v>
      </c>
      <c r="X468" s="22">
        <v>0.06</v>
      </c>
      <c r="Y468" s="22">
        <v>0.13</v>
      </c>
      <c r="Z468" s="22">
        <v>0.16</v>
      </c>
      <c r="AA468" s="22">
        <v>0.06</v>
      </c>
      <c r="AB468" s="22">
        <v>0.11</v>
      </c>
      <c r="AC468" s="22">
        <v>0.15</v>
      </c>
      <c r="AD468" s="22">
        <v>0.13</v>
      </c>
      <c r="AE468" s="22">
        <v>0.05</v>
      </c>
      <c r="AF468" s="22">
        <v>0.03</v>
      </c>
      <c r="AG468" s="22"/>
      <c r="AH468" s="22"/>
      <c r="AI468" s="22"/>
      <c r="BA468" s="23">
        <f>+SUMPRODUCT(L468:O468,H466:K466)/AZ466</f>
        <v>6.5828879727184819E-2</v>
      </c>
      <c r="BB468" s="23">
        <f>+SUMPRODUCT(P468:S468,L466:O466)/BA466</f>
        <v>8.9880546882391901E-2</v>
      </c>
      <c r="BC468" s="23">
        <f>+SUMPRODUCT(T468:W468,P466:S466)/BB466</f>
        <v>6.9126219965862851E-2</v>
      </c>
      <c r="BD468" s="23">
        <f>+SUMPRODUCT(X468:AA468,T466:W466)/BC466</f>
        <v>0.10195705788481069</v>
      </c>
      <c r="BE468" s="23">
        <f>+SUMPRODUCT(AB468:AE468,X466:AA466)/BD466</f>
        <v>0.1103778677462888</v>
      </c>
      <c r="BF468" s="23"/>
    </row>
    <row r="470" spans="2:58">
      <c r="B470" t="s">
        <v>1306</v>
      </c>
      <c r="L470" s="911">
        <v>0.1</v>
      </c>
      <c r="M470" s="911">
        <v>0.13</v>
      </c>
      <c r="N470" s="911">
        <v>0.16</v>
      </c>
      <c r="O470" s="911">
        <v>0.23</v>
      </c>
      <c r="P470" s="911">
        <v>0.1</v>
      </c>
      <c r="Q470" s="911">
        <v>0.06</v>
      </c>
      <c r="R470" s="911">
        <v>0.13</v>
      </c>
      <c r="S470" s="911">
        <v>0.08</v>
      </c>
      <c r="T470" s="911">
        <v>0.12</v>
      </c>
      <c r="U470" s="911">
        <v>0.18</v>
      </c>
      <c r="V470" s="911">
        <v>0.06</v>
      </c>
      <c r="W470" s="911">
        <v>0.12</v>
      </c>
      <c r="X470" s="911">
        <v>0.08</v>
      </c>
      <c r="Y470" s="911">
        <v>0.11</v>
      </c>
      <c r="Z470" s="911">
        <v>0.14000000000000001</v>
      </c>
      <c r="AA470" s="911">
        <v>0.08</v>
      </c>
      <c r="AB470" s="911">
        <v>0.1</v>
      </c>
      <c r="AC470" s="911">
        <v>0.2</v>
      </c>
      <c r="AD470" s="911">
        <v>0.13</v>
      </c>
      <c r="AE470" s="911">
        <v>0</v>
      </c>
      <c r="AF470" s="911">
        <v>-0.09</v>
      </c>
      <c r="AG470" s="911"/>
      <c r="AH470" s="911"/>
      <c r="AI470" s="911"/>
      <c r="BA470" s="912">
        <f>+SUMPRODUCT(L470:O470,H466:K466)/AZ466</f>
        <v>0.15302896116455442</v>
      </c>
      <c r="BB470" s="912">
        <f>+SUMPRODUCT(P470:S470,L466:O466)/BA466</f>
        <v>9.0408032926483112E-2</v>
      </c>
      <c r="BC470" s="912">
        <f>+SUMPRODUCT(T470:W470,P466:S466)/BB466</f>
        <v>0.12303689439362771</v>
      </c>
      <c r="BD470" s="912">
        <f>+SUMPRODUCT(X470:AA470,T466:W466)/BC466</f>
        <v>0.10188866551988561</v>
      </c>
      <c r="BE470" s="912">
        <f>+SUMPRODUCT(AB470:AE470,X466:AA466)/BD466</f>
        <v>0.10914499103396004</v>
      </c>
      <c r="BF470" s="912"/>
    </row>
    <row r="471" spans="2:58">
      <c r="B471" s="13" t="s">
        <v>272</v>
      </c>
      <c r="L471" s="22">
        <v>0.1</v>
      </c>
      <c r="M471" s="22">
        <v>0.13</v>
      </c>
      <c r="N471" s="22">
        <v>0.14000000000000001</v>
      </c>
      <c r="O471" s="22">
        <v>0.2</v>
      </c>
      <c r="P471" s="22">
        <v>0.1</v>
      </c>
      <c r="Q471" s="22">
        <v>7.0000000000000007E-2</v>
      </c>
      <c r="R471" s="22">
        <v>0.15</v>
      </c>
      <c r="S471" s="22">
        <v>0.12</v>
      </c>
      <c r="T471" s="22">
        <v>0.13</v>
      </c>
      <c r="U471" s="22">
        <v>0.2</v>
      </c>
      <c r="V471" s="22">
        <v>0.08</v>
      </c>
      <c r="W471" s="22">
        <v>0.15</v>
      </c>
      <c r="X471" s="22">
        <v>0.08</v>
      </c>
      <c r="Y471" s="22">
        <v>0.09</v>
      </c>
      <c r="Z471" s="22">
        <v>0.11</v>
      </c>
      <c r="AA471" s="22">
        <v>0.04</v>
      </c>
      <c r="AB471" s="22">
        <v>0.08</v>
      </c>
      <c r="AC471" s="22">
        <v>0.2</v>
      </c>
      <c r="AD471" s="22">
        <v>0.13</v>
      </c>
      <c r="AE471" s="22">
        <v>0.04</v>
      </c>
      <c r="AF471" s="22">
        <v>-0.04</v>
      </c>
      <c r="AG471" s="22"/>
      <c r="AH471" s="22"/>
      <c r="AI471" s="22"/>
      <c r="BA471" s="21">
        <f>+SUMPRODUCT(L471:O471,H466:K466)/AZ466</f>
        <v>0.14151193566447806</v>
      </c>
      <c r="BB471" s="23">
        <f>+SUMPRODUCT(P471:S471,L466:O466)/BA466</f>
        <v>0.10820725707257071</v>
      </c>
      <c r="BC471" s="23">
        <f>+SUMPRODUCT(T471:W471,P466:S466)/BB466</f>
        <v>0.14315352969495382</v>
      </c>
      <c r="BD471" s="23">
        <f>+SUMPRODUCT(X471:AA471,T466:W466)/BC466</f>
        <v>7.8872976725870972E-2</v>
      </c>
      <c r="BE471" s="23">
        <f>+SUMPRODUCT(AB471:AE471,X466:AA466)/BD466</f>
        <v>0.11518015269997968</v>
      </c>
      <c r="BF471" s="23"/>
    </row>
    <row r="472" spans="2:58">
      <c r="B472" s="921"/>
    </row>
    <row r="473" spans="2:58">
      <c r="B473" t="s">
        <v>352</v>
      </c>
      <c r="H473" s="8">
        <f t="shared" ref="H473:AF473" si="494">+H144</f>
        <v>2033</v>
      </c>
      <c r="I473" s="8">
        <f t="shared" si="494"/>
        <v>2561</v>
      </c>
      <c r="J473" s="8">
        <f t="shared" si="494"/>
        <v>2035</v>
      </c>
      <c r="K473" s="8">
        <f t="shared" si="494"/>
        <v>2186</v>
      </c>
      <c r="L473" s="8">
        <f t="shared" si="494"/>
        <v>2565</v>
      </c>
      <c r="M473" s="8">
        <f t="shared" si="494"/>
        <v>2510</v>
      </c>
      <c r="N473" s="8">
        <f t="shared" si="494"/>
        <v>2523</v>
      </c>
      <c r="O473" s="8">
        <f t="shared" si="494"/>
        <v>3012</v>
      </c>
      <c r="P473" s="8">
        <f t="shared" si="494"/>
        <v>3143</v>
      </c>
      <c r="Q473" s="8">
        <f t="shared" si="494"/>
        <v>2964</v>
      </c>
      <c r="R473" s="8">
        <f t="shared" si="494"/>
        <v>3154</v>
      </c>
      <c r="S473" s="8">
        <f t="shared" si="494"/>
        <v>3559</v>
      </c>
      <c r="T473" s="8">
        <f t="shared" si="494"/>
        <v>4015</v>
      </c>
      <c r="U473" s="8">
        <f t="shared" si="494"/>
        <v>4178</v>
      </c>
      <c r="V473" s="8">
        <f t="shared" si="494"/>
        <v>3627</v>
      </c>
      <c r="W473" s="8">
        <f t="shared" si="494"/>
        <v>4091</v>
      </c>
      <c r="X473" s="8">
        <f t="shared" si="494"/>
        <v>4748</v>
      </c>
      <c r="Y473" s="8">
        <f t="shared" si="494"/>
        <v>5224</v>
      </c>
      <c r="Z473" s="8">
        <f t="shared" si="494"/>
        <v>4594</v>
      </c>
      <c r="AA473" s="8">
        <f t="shared" si="494"/>
        <v>4873</v>
      </c>
      <c r="AB473" s="8">
        <f t="shared" si="494"/>
        <v>5095</v>
      </c>
      <c r="AC473" s="8">
        <f t="shared" si="494"/>
        <v>6362</v>
      </c>
      <c r="AD473" s="8">
        <f t="shared" si="494"/>
        <v>4899</v>
      </c>
      <c r="AE473" s="8">
        <f t="shared" si="494"/>
        <v>4619</v>
      </c>
      <c r="AF473" s="8">
        <f t="shared" si="494"/>
        <v>4217</v>
      </c>
      <c r="AG473" s="8"/>
      <c r="AH473" s="8"/>
      <c r="AI473" s="8"/>
      <c r="AT473" s="8">
        <f>+AT144</f>
        <v>5605</v>
      </c>
      <c r="AU473" s="8">
        <f>+AU144</f>
        <v>5095</v>
      </c>
      <c r="AV473" s="8">
        <f>+AV144</f>
        <v>6202</v>
      </c>
      <c r="AW473" s="8">
        <f>+AW144</f>
        <v>8288</v>
      </c>
      <c r="AY473" s="8">
        <f>+AZ473/(1+AZ474)</f>
        <v>6596.3597972972966</v>
      </c>
      <c r="AZ473" s="8">
        <f t="shared" ref="AZ473:BE473" si="495">+AZ144</f>
        <v>8815</v>
      </c>
      <c r="BA473" s="8">
        <f t="shared" si="495"/>
        <v>10610</v>
      </c>
      <c r="BB473" s="8">
        <f t="shared" si="495"/>
        <v>12820</v>
      </c>
      <c r="BC473" s="8">
        <f t="shared" si="495"/>
        <v>15911</v>
      </c>
      <c r="BD473" s="8">
        <f t="shared" si="495"/>
        <v>19439</v>
      </c>
      <c r="BE473" s="8">
        <f t="shared" si="495"/>
        <v>20975</v>
      </c>
      <c r="BF473" s="8"/>
    </row>
    <row r="474" spans="2:58">
      <c r="B474" s="13" t="s">
        <v>113</v>
      </c>
      <c r="L474" s="14">
        <f t="shared" ref="L474:M474" si="496">+L473/H473-1</f>
        <v>0.26168224299065423</v>
      </c>
      <c r="M474" s="14">
        <f t="shared" si="496"/>
        <v>-1.991409605622807E-2</v>
      </c>
      <c r="N474" s="14">
        <f>+N473/J473-1</f>
        <v>0.23980343980343988</v>
      </c>
      <c r="O474" s="14">
        <f>+O473/K473-1</f>
        <v>0.37785910338517836</v>
      </c>
      <c r="P474" s="14">
        <f t="shared" ref="P474:AF474" si="497">+P473/L473-1</f>
        <v>0.22534113060428851</v>
      </c>
      <c r="Q474" s="14">
        <f t="shared" si="497"/>
        <v>0.18087649402390449</v>
      </c>
      <c r="R474" s="14">
        <f t="shared" si="497"/>
        <v>0.25009908838684103</v>
      </c>
      <c r="S474" s="14">
        <f t="shared" si="497"/>
        <v>0.18160690571049143</v>
      </c>
      <c r="T474" s="14">
        <f t="shared" si="497"/>
        <v>0.27744193445752474</v>
      </c>
      <c r="U474" s="14">
        <f t="shared" si="497"/>
        <v>0.40958164642375161</v>
      </c>
      <c r="V474" s="14">
        <f t="shared" si="497"/>
        <v>0.14996829422954971</v>
      </c>
      <c r="W474" s="14">
        <f t="shared" si="497"/>
        <v>0.14948019106490595</v>
      </c>
      <c r="X474" s="14">
        <f t="shared" si="497"/>
        <v>0.18256537982565391</v>
      </c>
      <c r="Y474" s="14">
        <f t="shared" si="497"/>
        <v>0.2503590234561992</v>
      </c>
      <c r="Z474" s="14">
        <f t="shared" si="497"/>
        <v>0.26661152467604077</v>
      </c>
      <c r="AA474" s="14">
        <f t="shared" si="497"/>
        <v>0.1911513077487168</v>
      </c>
      <c r="AB474" s="14">
        <f t="shared" si="497"/>
        <v>7.308340353833187E-2</v>
      </c>
      <c r="AC474" s="14">
        <f t="shared" si="497"/>
        <v>0.21784073506891266</v>
      </c>
      <c r="AD474" s="14">
        <f t="shared" si="497"/>
        <v>6.6390944710492006E-2</v>
      </c>
      <c r="AE474" s="14">
        <f t="shared" si="497"/>
        <v>-5.2123948286476485E-2</v>
      </c>
      <c r="AF474" s="14">
        <f t="shared" si="497"/>
        <v>-0.17232580961727184</v>
      </c>
      <c r="AG474" s="14"/>
      <c r="AH474" s="14"/>
      <c r="AI474" s="14"/>
      <c r="AU474" s="14">
        <f t="shared" ref="AU474:AW474" si="498">+AU473/AT473-1</f>
        <v>-9.099018733273867E-2</v>
      </c>
      <c r="AV474" s="14">
        <f t="shared" si="498"/>
        <v>0.21727183513248272</v>
      </c>
      <c r="AW474" s="14">
        <f t="shared" si="498"/>
        <v>0.3363431151241536</v>
      </c>
      <c r="AY474" s="1010">
        <f t="shared" ref="AY474" si="499">+AV474</f>
        <v>0.21727183513248272</v>
      </c>
      <c r="AZ474" s="1010">
        <f t="shared" ref="AZ474" si="500">+AW474</f>
        <v>0.3363431151241536</v>
      </c>
      <c r="BA474" s="14">
        <f>+BA473/AZ473-1</f>
        <v>0.20363017583664211</v>
      </c>
      <c r="BB474" s="14">
        <f>+BB473/BA473-1</f>
        <v>0.20829406220546653</v>
      </c>
      <c r="BC474" s="14">
        <f t="shared" ref="BC474:BE474" si="501">+BC473/BB473-1</f>
        <v>0.24110764430577225</v>
      </c>
      <c r="BD474" s="14">
        <f t="shared" si="501"/>
        <v>0.22173339199296094</v>
      </c>
      <c r="BE474" s="14">
        <f t="shared" si="501"/>
        <v>7.9016410309172391E-2</v>
      </c>
      <c r="BF474" s="14"/>
    </row>
    <row r="475" spans="2:58">
      <c r="B475" s="13" t="s">
        <v>272</v>
      </c>
      <c r="L475" s="22">
        <v>0.2</v>
      </c>
      <c r="M475" s="22">
        <v>0.24</v>
      </c>
      <c r="N475" s="22">
        <v>0.21</v>
      </c>
      <c r="O475" s="22">
        <v>0.3</v>
      </c>
      <c r="P475" s="22">
        <v>0.23</v>
      </c>
      <c r="Q475" s="22">
        <v>0.19</v>
      </c>
      <c r="R475" s="22">
        <v>0.28000000000000003</v>
      </c>
      <c r="S475" s="22">
        <v>0.22</v>
      </c>
      <c r="T475" s="22">
        <v>0.31</v>
      </c>
      <c r="U475" s="22">
        <v>0.45</v>
      </c>
      <c r="V475" s="22">
        <v>0.17</v>
      </c>
      <c r="W475" s="22">
        <v>0.19</v>
      </c>
      <c r="X475" s="22">
        <v>0.18</v>
      </c>
      <c r="Y475" s="22">
        <v>0.22</v>
      </c>
      <c r="Z475" s="22">
        <v>0.22</v>
      </c>
      <c r="AA475" s="22">
        <v>0.13</v>
      </c>
      <c r="AB475" s="22">
        <v>0.05</v>
      </c>
      <c r="AC475" s="22">
        <v>0.21</v>
      </c>
      <c r="AD475" s="22">
        <v>0.1</v>
      </c>
      <c r="AE475" s="22">
        <v>0</v>
      </c>
      <c r="AF475" s="22">
        <v>-0.09</v>
      </c>
      <c r="AG475" s="22"/>
      <c r="AH475" s="22"/>
      <c r="AI475" s="22"/>
      <c r="BA475" s="23">
        <f>+SUMPRODUCT(L475:O475,H473:K473)/AZ473</f>
        <v>0.23872830402722631</v>
      </c>
      <c r="BB475" s="23">
        <f>+SUMPRODUCT(P475:S475,L473:O473)/BA473</f>
        <v>0.22958812441093307</v>
      </c>
      <c r="BC475" s="23">
        <f>+SUMPRODUCT(T475:W475,P473:S473)/BB473</f>
        <v>0.27461154446177849</v>
      </c>
      <c r="BD475" s="23">
        <f>+SUMPRODUCT(X475:AA475,T473:W473)/BC473</f>
        <v>0.18676575953742694</v>
      </c>
      <c r="BE475" s="23">
        <f>+SUMPRODUCT(AB475:AE475,X473:AA473)/BD473</f>
        <v>9.2280467102217198E-2</v>
      </c>
      <c r="BF475" s="23"/>
    </row>
    <row r="476" spans="2:58">
      <c r="B476" s="13" t="s">
        <v>123</v>
      </c>
      <c r="H476" s="14">
        <f>+IFERROR(H473/H466,"n/a ")</f>
        <v>0.2163916977115487</v>
      </c>
      <c r="I476" s="14">
        <f t="shared" ref="I476:AF476" si="502">+IFERROR(I473/I466,"n/a ")</f>
        <v>0.21540920178316089</v>
      </c>
      <c r="J476" s="14">
        <f t="shared" si="502"/>
        <v>0.23190883190883191</v>
      </c>
      <c r="K476" s="14">
        <f t="shared" si="502"/>
        <v>0.23670817541959935</v>
      </c>
      <c r="L476" s="14">
        <f t="shared" si="502"/>
        <v>0.27351247600767753</v>
      </c>
      <c r="M476" s="14">
        <f t="shared" si="502"/>
        <v>0.20624486442070666</v>
      </c>
      <c r="N476" s="14">
        <f t="shared" si="502"/>
        <v>0.25441161641625493</v>
      </c>
      <c r="O476" s="14">
        <f t="shared" si="502"/>
        <v>0.27860512441032281</v>
      </c>
      <c r="P476" s="14">
        <f t="shared" si="502"/>
        <v>0.29248092313418944</v>
      </c>
      <c r="Q476" s="14">
        <f t="shared" si="502"/>
        <v>0.2281228353728931</v>
      </c>
      <c r="R476" s="14">
        <f t="shared" si="502"/>
        <v>0.29531835205992507</v>
      </c>
      <c r="S476" s="14">
        <f t="shared" si="502"/>
        <v>0.31554215799272983</v>
      </c>
      <c r="T476" s="14">
        <f t="shared" si="502"/>
        <v>0.3606395401059912</v>
      </c>
      <c r="U476" s="14">
        <f t="shared" si="502"/>
        <v>0.31625160850806144</v>
      </c>
      <c r="V476" s="14">
        <f t="shared" si="502"/>
        <v>0.32981722287896698</v>
      </c>
      <c r="W476" s="14">
        <f t="shared" si="502"/>
        <v>0.31688613477924088</v>
      </c>
      <c r="X476" s="14">
        <f t="shared" si="502"/>
        <v>0.40070892058401553</v>
      </c>
      <c r="Y476" s="14">
        <f t="shared" si="502"/>
        <v>0.34545695013887051</v>
      </c>
      <c r="Z476" s="14">
        <f t="shared" si="502"/>
        <v>0.35240871432954896</v>
      </c>
      <c r="AA476" s="14">
        <f t="shared" si="502"/>
        <v>0.34594632968905298</v>
      </c>
      <c r="AB476" s="14">
        <f t="shared" si="502"/>
        <v>0.38267988583445994</v>
      </c>
      <c r="AC476" s="14">
        <f t="shared" si="502"/>
        <v>0.3642713999427426</v>
      </c>
      <c r="AD476" s="14">
        <f t="shared" si="502"/>
        <v>0.33739669421487606</v>
      </c>
      <c r="AE476" s="14">
        <f t="shared" si="502"/>
        <v>0.32174700473669549</v>
      </c>
      <c r="AF476" s="14">
        <f t="shared" si="502"/>
        <v>0.3163066306630663</v>
      </c>
      <c r="AG476" s="14"/>
      <c r="AH476" s="14"/>
      <c r="AI476" s="14"/>
      <c r="AS476" s="14"/>
      <c r="AT476" s="14">
        <f t="shared" ref="AT476:AW476" si="503">+IFERROR(AT473/AT466,"n/a ")</f>
        <v>0.14573582943317734</v>
      </c>
      <c r="AU476" s="14">
        <f t="shared" si="503"/>
        <v>0.1173017152066306</v>
      </c>
      <c r="AV476" s="14">
        <f t="shared" si="503"/>
        <v>0.15338576445565613</v>
      </c>
      <c r="AW476" s="14">
        <f t="shared" si="503"/>
        <v>0.21375699584762592</v>
      </c>
      <c r="AY476" s="14">
        <f t="shared" ref="AY476:BE476" si="504">+IFERROR(AY473/AY466,"n/a ")</f>
        <v>0.16097587474358954</v>
      </c>
      <c r="AZ476" s="14">
        <f t="shared" si="504"/>
        <v>0.22433450399552093</v>
      </c>
      <c r="BA476" s="14">
        <f t="shared" si="504"/>
        <v>0.25096981739048158</v>
      </c>
      <c r="BB476" s="14">
        <f t="shared" si="504"/>
        <v>0.28053744146352139</v>
      </c>
      <c r="BC476" s="14">
        <f t="shared" si="504"/>
        <v>0.3297548237342231</v>
      </c>
      <c r="BD476" s="14">
        <f t="shared" si="504"/>
        <v>0.359362579261642</v>
      </c>
      <c r="BE476" s="14">
        <f t="shared" si="504"/>
        <v>0.35160506244237699</v>
      </c>
      <c r="BF476" s="14"/>
    </row>
    <row r="478" spans="2:58" ht="10.5">
      <c r="B478" s="45" t="s">
        <v>1318</v>
      </c>
    </row>
    <row r="479" spans="2:58">
      <c r="D479" s="876" t="s">
        <v>404</v>
      </c>
      <c r="E479" s="876"/>
      <c r="F479" s="876"/>
      <c r="G479" s="876"/>
    </row>
    <row r="480" spans="2:58">
      <c r="B480" t="s">
        <v>1323</v>
      </c>
      <c r="D480" s="911"/>
      <c r="E480" s="911"/>
      <c r="F480" s="911"/>
      <c r="G480" s="911"/>
      <c r="H480" s="911"/>
      <c r="I480" s="911"/>
      <c r="J480" s="911"/>
      <c r="K480" s="911"/>
      <c r="L480" s="911"/>
      <c r="M480" s="911"/>
      <c r="N480" s="911"/>
      <c r="O480" s="911"/>
      <c r="P480" s="911"/>
      <c r="Q480" s="911"/>
      <c r="R480" s="911"/>
      <c r="S480" s="911"/>
      <c r="T480" s="911"/>
      <c r="U480" s="911"/>
      <c r="V480" s="911"/>
      <c r="W480" s="911"/>
      <c r="X480" s="911">
        <v>-0.05</v>
      </c>
      <c r="Y480" s="911">
        <v>0.01</v>
      </c>
      <c r="Z480" s="911">
        <v>0.1</v>
      </c>
      <c r="AA480" s="911">
        <v>-0.03</v>
      </c>
      <c r="AB480" s="911">
        <v>0.1</v>
      </c>
      <c r="AC480" s="911">
        <v>0.25</v>
      </c>
      <c r="AD480" s="911">
        <v>0.11</v>
      </c>
      <c r="AE480" s="911">
        <v>-0.02</v>
      </c>
      <c r="AF480" s="911">
        <v>-0.15</v>
      </c>
      <c r="AG480" s="911"/>
      <c r="AH480" s="911"/>
      <c r="AI480" s="911"/>
      <c r="AZ480" s="912"/>
      <c r="BA480" s="912"/>
      <c r="BB480" s="912"/>
      <c r="BC480" s="912"/>
      <c r="BD480" s="912">
        <f>AVERAGE(X480:AA480)</f>
        <v>7.5000000000000015E-3</v>
      </c>
      <c r="BE480" s="912">
        <f>AVERAGE(AB480:AE480)</f>
        <v>0.10999999999999999</v>
      </c>
      <c r="BF480" s="912"/>
    </row>
    <row r="481" spans="2:58">
      <c r="B481" t="s">
        <v>1324</v>
      </c>
      <c r="D481" s="911">
        <v>-7.0000000000000007E-2</v>
      </c>
      <c r="E481" s="911">
        <v>-0.06</v>
      </c>
      <c r="F481" s="911">
        <v>-0.11</v>
      </c>
      <c r="G481" s="911">
        <v>0.02</v>
      </c>
      <c r="H481" s="911">
        <v>-0.02</v>
      </c>
      <c r="I481" s="911">
        <v>0.04</v>
      </c>
      <c r="J481" s="911">
        <v>0.09</v>
      </c>
      <c r="K481" s="911">
        <v>0.04</v>
      </c>
      <c r="L481" s="911">
        <v>7.0000000000000007E-2</v>
      </c>
      <c r="M481" s="911">
        <v>0.11</v>
      </c>
      <c r="N481" s="911">
        <v>0.11</v>
      </c>
      <c r="O481" s="911">
        <v>0.14000000000000001</v>
      </c>
      <c r="P481" s="911">
        <v>0.08</v>
      </c>
      <c r="Q481" s="911">
        <v>-0.02</v>
      </c>
      <c r="R481" s="911">
        <v>0.15</v>
      </c>
      <c r="S481" s="911">
        <v>0.18</v>
      </c>
      <c r="T481" s="911">
        <v>0.19</v>
      </c>
      <c r="U481" s="911">
        <v>0.26</v>
      </c>
      <c r="V481" s="911">
        <v>0.05</v>
      </c>
      <c r="W481" s="911">
        <v>-0.04</v>
      </c>
      <c r="X481" s="911">
        <v>-0.22</v>
      </c>
      <c r="Y481" s="911">
        <v>-0.09</v>
      </c>
      <c r="Z481" s="911">
        <v>-0.02</v>
      </c>
      <c r="AA481" s="911">
        <v>-0.02</v>
      </c>
      <c r="AB481" s="911"/>
      <c r="AC481" s="911"/>
      <c r="AD481" s="911"/>
      <c r="AE481" s="911"/>
      <c r="AF481" s="911"/>
      <c r="AG481" s="911"/>
      <c r="AH481" s="911"/>
      <c r="AI481" s="911"/>
      <c r="AZ481" s="912">
        <f>+AVERAGE(H481:K481)</f>
        <v>3.7499999999999999E-2</v>
      </c>
      <c r="BA481" s="912">
        <f>+AVERAGE(L481:O481)</f>
        <v>0.1075</v>
      </c>
      <c r="BB481" s="912">
        <f>+AVERAGE(P481:S481)</f>
        <v>9.7500000000000003E-2</v>
      </c>
      <c r="BC481" s="912">
        <f>AVERAGE(T481:W481)</f>
        <v>0.115</v>
      </c>
      <c r="BD481" s="912">
        <f>AVERAGE(X481:AA481)</f>
        <v>-8.7500000000000008E-2</v>
      </c>
      <c r="BE481" s="912"/>
      <c r="BF481" s="912"/>
    </row>
    <row r="482" spans="2:58">
      <c r="B482" t="s">
        <v>1325</v>
      </c>
      <c r="D482" s="911">
        <v>-0.04</v>
      </c>
      <c r="E482" s="911">
        <v>-0.03</v>
      </c>
      <c r="F482" s="911">
        <v>0.15</v>
      </c>
      <c r="G482" s="911">
        <v>0.27</v>
      </c>
      <c r="H482" s="911">
        <v>0</v>
      </c>
      <c r="I482" s="911">
        <v>0.08</v>
      </c>
      <c r="J482" s="911">
        <v>0.01</v>
      </c>
      <c r="K482" s="911">
        <v>0.02</v>
      </c>
      <c r="L482" s="911">
        <v>-0.01</v>
      </c>
      <c r="M482" s="911">
        <v>-0.05</v>
      </c>
      <c r="N482" s="911">
        <v>-0.08</v>
      </c>
      <c r="O482" s="911">
        <v>-0.03</v>
      </c>
      <c r="P482" s="911">
        <v>-0.05</v>
      </c>
      <c r="Q482" s="911">
        <v>-0.11</v>
      </c>
      <c r="R482" s="911">
        <v>-0.01</v>
      </c>
      <c r="S482" s="911">
        <v>-0.08</v>
      </c>
      <c r="T482" s="911">
        <v>-7.0000000000000007E-2</v>
      </c>
      <c r="U482" s="911">
        <v>0.04</v>
      </c>
      <c r="V482" s="911">
        <v>-0.1</v>
      </c>
      <c r="W482" s="911">
        <v>0.34</v>
      </c>
      <c r="X482" s="911">
        <v>0.31</v>
      </c>
      <c r="Y482" s="911">
        <v>0.24</v>
      </c>
      <c r="Z482" s="911">
        <v>0.44</v>
      </c>
      <c r="AA482" s="911">
        <v>-0.04</v>
      </c>
      <c r="AB482" s="911"/>
      <c r="AC482" s="911"/>
      <c r="AD482" s="911"/>
      <c r="AE482" s="911"/>
      <c r="AF482" s="911"/>
      <c r="AG482" s="911"/>
      <c r="AH482" s="911"/>
      <c r="AI482" s="911"/>
      <c r="AZ482" s="912">
        <f>+AVERAGE(H482:K482)</f>
        <v>2.75E-2</v>
      </c>
      <c r="BA482" s="912">
        <f>+AVERAGE(L482:O482)</f>
        <v>-4.2500000000000003E-2</v>
      </c>
      <c r="BB482" s="912">
        <f>+AVERAGE(P482:S482)</f>
        <v>-6.25E-2</v>
      </c>
      <c r="BC482" s="912">
        <f>AVERAGE(T482:W482)</f>
        <v>5.2500000000000005E-2</v>
      </c>
      <c r="BD482" s="912">
        <f>AVERAGE(X482:AA482)</f>
        <v>0.23749999999999999</v>
      </c>
      <c r="BE482" s="912"/>
      <c r="BF482" s="912"/>
    </row>
    <row r="483" spans="2:58">
      <c r="D483" s="911"/>
      <c r="E483" s="911"/>
      <c r="F483" s="911"/>
      <c r="G483" s="911"/>
      <c r="H483" s="911"/>
      <c r="I483" s="911"/>
      <c r="J483" s="911"/>
      <c r="K483" s="911"/>
      <c r="L483" s="911"/>
      <c r="M483" s="911"/>
      <c r="N483" s="911"/>
      <c r="O483" s="911"/>
      <c r="P483" s="911"/>
      <c r="Q483" s="911"/>
      <c r="R483" s="911"/>
      <c r="S483" s="911"/>
      <c r="T483" s="911"/>
      <c r="U483" s="911"/>
      <c r="V483" s="911"/>
      <c r="W483" s="911"/>
      <c r="X483" s="911"/>
      <c r="Y483" s="911"/>
      <c r="Z483" s="911"/>
      <c r="AA483" s="911"/>
      <c r="AB483" s="911"/>
      <c r="AC483" s="911"/>
      <c r="AD483" s="911"/>
      <c r="AE483" s="911"/>
      <c r="AF483" s="911"/>
      <c r="AG483" s="911"/>
      <c r="AH483" s="911"/>
      <c r="AI483" s="911"/>
      <c r="AZ483" s="912"/>
      <c r="BA483" s="912"/>
      <c r="BB483" s="912"/>
      <c r="BC483" s="912"/>
      <c r="BD483" s="912"/>
      <c r="BE483" s="912"/>
      <c r="BF483" s="912"/>
    </row>
    <row r="484" spans="2:58">
      <c r="B484" t="s">
        <v>1326</v>
      </c>
      <c r="D484" s="911">
        <v>-0.03</v>
      </c>
      <c r="E484" s="911">
        <v>-0.04</v>
      </c>
      <c r="F484" s="911">
        <v>-0.02</v>
      </c>
      <c r="G484" s="911">
        <v>0.03</v>
      </c>
      <c r="H484" s="911">
        <v>0.11</v>
      </c>
      <c r="I484" s="911">
        <v>0.2</v>
      </c>
      <c r="J484" s="911">
        <v>0.08</v>
      </c>
      <c r="K484" s="911">
        <v>0.16</v>
      </c>
      <c r="L484" s="911">
        <v>7.0000000000000007E-2</v>
      </c>
      <c r="M484" s="911">
        <v>-0.04</v>
      </c>
      <c r="N484" s="911">
        <v>0.21</v>
      </c>
      <c r="O484" s="911">
        <v>0.23</v>
      </c>
      <c r="P484" s="911">
        <v>0.12</v>
      </c>
      <c r="Q484" s="911">
        <v>0.13</v>
      </c>
      <c r="R484" s="911">
        <v>0.18</v>
      </c>
      <c r="S484" s="911">
        <v>0.13</v>
      </c>
      <c r="T484" s="911">
        <v>0.26</v>
      </c>
      <c r="U484" s="911">
        <v>0.25</v>
      </c>
      <c r="V484" s="911">
        <v>0.17</v>
      </c>
      <c r="W484" s="911">
        <v>0.09</v>
      </c>
      <c r="X484" s="911">
        <v>0.13</v>
      </c>
      <c r="Y484" s="911">
        <v>0.1</v>
      </c>
      <c r="Z484" s="911">
        <v>0.1</v>
      </c>
      <c r="AA484" s="911">
        <v>0.2</v>
      </c>
      <c r="AB484" s="911">
        <v>0.12</v>
      </c>
      <c r="AC484" s="911">
        <v>0.13</v>
      </c>
      <c r="AD484" s="911">
        <v>0.14000000000000001</v>
      </c>
      <c r="AE484" s="911">
        <v>0.06</v>
      </c>
      <c r="AF484" s="911">
        <v>0.08</v>
      </c>
      <c r="AG484" s="911"/>
      <c r="AH484" s="911"/>
      <c r="AI484" s="911"/>
      <c r="AZ484" s="912">
        <f>+AVERAGE(H484:K484)</f>
        <v>0.13750000000000001</v>
      </c>
      <c r="BA484" s="912">
        <f>+AVERAGE(L484:O484)</f>
        <v>0.11749999999999999</v>
      </c>
      <c r="BB484" s="912">
        <f>+AVERAGE(P484:S484)</f>
        <v>0.14000000000000001</v>
      </c>
      <c r="BC484" s="912">
        <f>AVERAGE(T484:W484)</f>
        <v>0.1925</v>
      </c>
      <c r="BD484" s="912">
        <f>AVERAGE(X484:AA484)</f>
        <v>0.13250000000000001</v>
      </c>
      <c r="BE484" s="912">
        <f>+AVERAGE(AB484:AE484)</f>
        <v>0.1125</v>
      </c>
      <c r="BF484" s="912"/>
    </row>
    <row r="485" spans="2:58">
      <c r="B485" s="12" t="s">
        <v>272</v>
      </c>
      <c r="D485" s="911">
        <v>0.04</v>
      </c>
      <c r="E485" s="911">
        <v>0.03</v>
      </c>
      <c r="F485" s="911">
        <v>0.06</v>
      </c>
      <c r="G485" s="911">
        <v>0.09</v>
      </c>
      <c r="H485" s="911">
        <v>0.13</v>
      </c>
      <c r="I485" s="911">
        <v>0.22</v>
      </c>
      <c r="J485" s="911">
        <v>0.08</v>
      </c>
      <c r="K485" s="911">
        <v>0.16</v>
      </c>
      <c r="L485" s="911">
        <v>0.06</v>
      </c>
      <c r="M485" s="911">
        <v>-0.05</v>
      </c>
      <c r="N485" s="911">
        <v>0.17</v>
      </c>
      <c r="O485" s="911">
        <v>0.19</v>
      </c>
      <c r="P485" s="911">
        <v>0.12</v>
      </c>
      <c r="Q485" s="911">
        <v>0.14000000000000001</v>
      </c>
      <c r="R485" s="911">
        <v>0.2</v>
      </c>
      <c r="S485" s="911">
        <v>0.16</v>
      </c>
      <c r="T485" s="911">
        <v>0.28999999999999998</v>
      </c>
      <c r="U485" s="911">
        <v>0.27</v>
      </c>
      <c r="V485" s="911">
        <v>0.18</v>
      </c>
      <c r="W485" s="911">
        <v>0.11</v>
      </c>
      <c r="X485" s="911">
        <v>0.12</v>
      </c>
      <c r="Y485" s="911">
        <v>0.08</v>
      </c>
      <c r="Z485" s="911">
        <v>7.0000000000000007E-2</v>
      </c>
      <c r="AA485" s="911">
        <v>0.14000000000000001</v>
      </c>
      <c r="AB485" s="911">
        <v>0.1</v>
      </c>
      <c r="AC485" s="911">
        <v>0.14000000000000001</v>
      </c>
      <c r="AD485" s="911">
        <v>0.19</v>
      </c>
      <c r="AE485" s="911">
        <v>0.12</v>
      </c>
      <c r="AF485" s="911">
        <v>0.15</v>
      </c>
      <c r="AG485" s="911"/>
      <c r="AH485" s="911"/>
      <c r="AI485" s="911"/>
      <c r="AZ485" s="912">
        <f>+AVERAGE(H485:K485)</f>
        <v>0.14749999999999999</v>
      </c>
      <c r="BA485" s="912">
        <f>+AVERAGE(L485:O485)</f>
        <v>9.2499999999999999E-2</v>
      </c>
      <c r="BB485" s="912">
        <f>+AVERAGE(P485:S485)</f>
        <v>0.155</v>
      </c>
      <c r="BC485" s="912">
        <f>AVERAGE(T485:W485)</f>
        <v>0.21249999999999999</v>
      </c>
      <c r="BD485" s="912">
        <f>AVERAGE(X485:AA485)</f>
        <v>0.10250000000000001</v>
      </c>
      <c r="BE485" s="912">
        <f>+AVERAGE(AB485:AE485)</f>
        <v>0.13750000000000001</v>
      </c>
      <c r="BF485" s="912"/>
    </row>
    <row r="486" spans="2:58">
      <c r="B486" s="13"/>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Z486" s="21"/>
      <c r="BA486" s="21"/>
      <c r="BB486" s="21"/>
      <c r="BC486" s="21"/>
      <c r="BD486" s="21"/>
      <c r="BE486" s="21"/>
      <c r="BF486" s="21"/>
    </row>
    <row r="487" spans="2:58">
      <c r="B487" t="s">
        <v>489</v>
      </c>
      <c r="D487" s="879">
        <v>672</v>
      </c>
      <c r="E487" s="879">
        <v>1352</v>
      </c>
      <c r="F487" s="879">
        <v>1111</v>
      </c>
      <c r="G487" s="879">
        <v>965</v>
      </c>
      <c r="H487" s="879">
        <v>926</v>
      </c>
      <c r="I487" s="879">
        <v>1321</v>
      </c>
      <c r="J487" s="879">
        <v>831</v>
      </c>
      <c r="K487" s="879">
        <v>948</v>
      </c>
      <c r="L487" s="879">
        <v>1037</v>
      </c>
      <c r="M487" s="879">
        <v>1335</v>
      </c>
      <c r="N487" s="879">
        <v>1094</v>
      </c>
      <c r="O487" s="879">
        <v>1185</v>
      </c>
      <c r="P487" s="879">
        <v>1180</v>
      </c>
      <c r="Q487" s="879">
        <v>1860</v>
      </c>
      <c r="R487" s="879">
        <v>1329</v>
      </c>
      <c r="S487" s="879">
        <v>1350</v>
      </c>
      <c r="T487" s="879">
        <v>1136</v>
      </c>
      <c r="U487" s="879">
        <v>1976</v>
      </c>
      <c r="V487" s="879">
        <v>1340</v>
      </c>
      <c r="W487" s="879">
        <v>1724</v>
      </c>
      <c r="X487" s="879">
        <v>1553</v>
      </c>
      <c r="Y487" s="879">
        <v>2045</v>
      </c>
      <c r="Z487" s="879">
        <v>1504</v>
      </c>
      <c r="AA487" s="879">
        <f>+W487*0.8</f>
        <v>1379.2</v>
      </c>
      <c r="AB487" s="879">
        <f>+X487*(1+AB488)</f>
        <v>1273.46</v>
      </c>
      <c r="AC487" s="879">
        <f>+Y487*(1+AC488)</f>
        <v>2147.25</v>
      </c>
      <c r="AD487" s="879">
        <f>+Z487*(1+AD488)</f>
        <v>1654.4</v>
      </c>
      <c r="AE487" s="879">
        <f t="shared" ref="AE487:AF487" si="505">+AA487*(1+AE488)</f>
        <v>1544.7040000000002</v>
      </c>
      <c r="AF487" s="879">
        <f t="shared" si="505"/>
        <v>1298.9292</v>
      </c>
      <c r="AG487" s="879"/>
      <c r="AH487" s="879"/>
      <c r="AI487" s="879"/>
      <c r="AZ487" s="8">
        <f>+SUM(H487:K487)</f>
        <v>4026</v>
      </c>
      <c r="BA487" s="8">
        <f>+SUM(L487:O487)</f>
        <v>4651</v>
      </c>
      <c r="BB487" s="8">
        <f>SUM(P487:S487)</f>
        <v>5719</v>
      </c>
      <c r="BC487" s="8">
        <f>SUM(T487:W487)</f>
        <v>6176</v>
      </c>
      <c r="BD487" s="8">
        <f>SUM(X487:AA487)</f>
        <v>6481.2</v>
      </c>
      <c r="BE487" s="8">
        <f>SUM(AB487:AE487)</f>
        <v>6619.8140000000003</v>
      </c>
      <c r="BF487" s="8"/>
    </row>
    <row r="488" spans="2:58" s="3" customFormat="1">
      <c r="B488" s="13" t="s">
        <v>113</v>
      </c>
      <c r="D488" s="931"/>
      <c r="E488" s="931"/>
      <c r="F488" s="931"/>
      <c r="G488" s="931"/>
      <c r="H488" s="23">
        <f>+H487/D487-1</f>
        <v>0.37797619047619047</v>
      </c>
      <c r="I488" s="23">
        <f t="shared" ref="I488:K488" si="506">+I487/E487-1</f>
        <v>-2.2928994082840215E-2</v>
      </c>
      <c r="J488" s="23">
        <f t="shared" si="506"/>
        <v>-0.25202520252025207</v>
      </c>
      <c r="K488" s="23">
        <f t="shared" si="506"/>
        <v>-1.7616580310880869E-2</v>
      </c>
      <c r="L488" s="23">
        <f>+L487/H487-1</f>
        <v>0.11987041036717061</v>
      </c>
      <c r="M488" s="23">
        <f t="shared" ref="M488:Y488" si="507">+M487/I487-1</f>
        <v>1.0598031794095464E-2</v>
      </c>
      <c r="N488" s="23">
        <f t="shared" si="507"/>
        <v>0.31648616125150419</v>
      </c>
      <c r="O488" s="23">
        <f t="shared" si="507"/>
        <v>0.25</v>
      </c>
      <c r="P488" s="23">
        <f t="shared" si="507"/>
        <v>0.13789778206364511</v>
      </c>
      <c r="Q488" s="23">
        <f t="shared" si="507"/>
        <v>0.39325842696629221</v>
      </c>
      <c r="R488" s="23">
        <f t="shared" si="507"/>
        <v>0.21480804387568564</v>
      </c>
      <c r="S488" s="23">
        <f t="shared" si="507"/>
        <v>0.139240506329114</v>
      </c>
      <c r="T488" s="23">
        <f t="shared" si="507"/>
        <v>-3.7288135593220306E-2</v>
      </c>
      <c r="U488" s="23">
        <f t="shared" si="507"/>
        <v>6.2365591397849363E-2</v>
      </c>
      <c r="V488" s="23">
        <f t="shared" si="507"/>
        <v>8.2768999247555541E-3</v>
      </c>
      <c r="W488" s="23">
        <f t="shared" si="507"/>
        <v>0.27703703703703697</v>
      </c>
      <c r="X488" s="23">
        <f t="shared" si="507"/>
        <v>0.36707746478873249</v>
      </c>
      <c r="Y488" s="23">
        <f t="shared" si="507"/>
        <v>3.4919028340080871E-2</v>
      </c>
      <c r="Z488" s="23">
        <f>+Z487/V487-1</f>
        <v>0.12238805970149258</v>
      </c>
      <c r="AA488" s="23">
        <f t="shared" ref="AA488" si="508">+AA487/W487-1</f>
        <v>-0.19999999999999996</v>
      </c>
      <c r="AB488" s="23">
        <v>-0.18</v>
      </c>
      <c r="AC488" s="23">
        <v>0.05</v>
      </c>
      <c r="AD488" s="23">
        <v>0.1</v>
      </c>
      <c r="AE488" s="23">
        <v>0.12</v>
      </c>
      <c r="AF488" s="23">
        <v>0.02</v>
      </c>
      <c r="AG488" s="23"/>
      <c r="AH488" s="23"/>
      <c r="AI488" s="23"/>
      <c r="BA488" s="23">
        <f>+BA487/AZ487-1</f>
        <v>0.15524093392945848</v>
      </c>
      <c r="BB488" s="23">
        <f>+BB487/BA487-1</f>
        <v>0.22962803698129441</v>
      </c>
      <c r="BC488" s="23">
        <f>+BC487/BB487-1</f>
        <v>7.9909075013114172E-2</v>
      </c>
      <c r="BD488" s="23">
        <f>+BD487/BC487-1</f>
        <v>4.941709844559572E-2</v>
      </c>
      <c r="BE488" s="23">
        <v>0.02</v>
      </c>
      <c r="BF488" s="23"/>
    </row>
    <row r="489" spans="2:58" s="3" customFormat="1">
      <c r="B489" s="13"/>
      <c r="D489" s="931"/>
      <c r="E489" s="931"/>
      <c r="F489" s="931"/>
      <c r="G489" s="931"/>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BA489" s="23"/>
      <c r="BB489" s="23"/>
      <c r="BC489" s="23"/>
      <c r="BD489" s="23"/>
      <c r="BE489" s="23"/>
      <c r="BF489" s="23"/>
    </row>
    <row r="490" spans="2:58">
      <c r="B490" t="s">
        <v>1327</v>
      </c>
      <c r="D490" s="879">
        <v>39</v>
      </c>
      <c r="E490" s="879">
        <v>48</v>
      </c>
      <c r="F490" s="879">
        <v>46</v>
      </c>
      <c r="G490" s="879">
        <v>49</v>
      </c>
      <c r="H490" s="879">
        <v>47</v>
      </c>
      <c r="I490" s="879">
        <v>55</v>
      </c>
      <c r="J490" s="879">
        <v>52</v>
      </c>
      <c r="K490" s="879">
        <v>53</v>
      </c>
      <c r="L490" s="879">
        <v>53</v>
      </c>
      <c r="M490" s="879">
        <v>59</v>
      </c>
      <c r="N490" s="879">
        <v>59</v>
      </c>
      <c r="O490" s="879">
        <v>57</v>
      </c>
      <c r="P490" s="879">
        <v>57</v>
      </c>
      <c r="Q490" s="879">
        <v>64</v>
      </c>
      <c r="R490" s="879">
        <v>63</v>
      </c>
      <c r="S490" s="879">
        <v>65</v>
      </c>
      <c r="T490" s="856" t="s">
        <v>273</v>
      </c>
      <c r="U490" s="856" t="s">
        <v>273</v>
      </c>
      <c r="V490" s="856" t="s">
        <v>273</v>
      </c>
      <c r="W490" s="856" t="s">
        <v>273</v>
      </c>
      <c r="X490" s="856" t="s">
        <v>273</v>
      </c>
      <c r="Y490" s="856" t="s">
        <v>273</v>
      </c>
      <c r="Z490" s="856" t="s">
        <v>273</v>
      </c>
      <c r="AA490" s="856" t="s">
        <v>273</v>
      </c>
      <c r="AB490" s="856" t="s">
        <v>273</v>
      </c>
      <c r="AC490" s="856" t="s">
        <v>273</v>
      </c>
      <c r="AD490" s="856" t="s">
        <v>273</v>
      </c>
      <c r="AE490" s="856" t="s">
        <v>273</v>
      </c>
      <c r="AF490" s="856" t="s">
        <v>273</v>
      </c>
      <c r="AG490" s="879"/>
      <c r="AH490" s="879"/>
      <c r="AI490" s="879"/>
      <c r="AZ490" s="8">
        <f>+K490</f>
        <v>53</v>
      </c>
      <c r="BA490" s="8">
        <f>+O490</f>
        <v>57</v>
      </c>
      <c r="BB490" s="8">
        <f>+S490</f>
        <v>65</v>
      </c>
      <c r="BC490" s="859" t="s">
        <v>273</v>
      </c>
      <c r="BD490" s="859" t="s">
        <v>273</v>
      </c>
      <c r="BE490" s="859" t="s">
        <v>273</v>
      </c>
      <c r="BF490" s="8"/>
    </row>
    <row r="491" spans="2:58" s="3" customFormat="1">
      <c r="B491" s="13" t="s">
        <v>113</v>
      </c>
      <c r="D491" s="931"/>
      <c r="E491" s="931"/>
      <c r="F491" s="931"/>
      <c r="G491" s="931"/>
      <c r="H491" s="23">
        <f>+H490/D490-1</f>
        <v>0.20512820512820507</v>
      </c>
      <c r="I491" s="23">
        <f t="shared" ref="I491:K491" si="509">+I490/E490-1</f>
        <v>0.14583333333333326</v>
      </c>
      <c r="J491" s="23">
        <f t="shared" si="509"/>
        <v>0.13043478260869557</v>
      </c>
      <c r="K491" s="23">
        <f t="shared" si="509"/>
        <v>8.163265306122458E-2</v>
      </c>
      <c r="L491" s="23">
        <f>+L490/H490-1</f>
        <v>0.12765957446808507</v>
      </c>
      <c r="M491" s="23">
        <f t="shared" ref="M491:S491" si="510">+M490/I490-1</f>
        <v>7.2727272727272751E-2</v>
      </c>
      <c r="N491" s="23">
        <f t="shared" si="510"/>
        <v>0.13461538461538458</v>
      </c>
      <c r="O491" s="23">
        <f t="shared" si="510"/>
        <v>7.547169811320753E-2</v>
      </c>
      <c r="P491" s="23">
        <f t="shared" si="510"/>
        <v>7.547169811320753E-2</v>
      </c>
      <c r="Q491" s="23">
        <f t="shared" si="510"/>
        <v>8.4745762711864403E-2</v>
      </c>
      <c r="R491" s="23">
        <f t="shared" si="510"/>
        <v>6.7796610169491567E-2</v>
      </c>
      <c r="S491" s="23">
        <f t="shared" si="510"/>
        <v>0.14035087719298245</v>
      </c>
      <c r="T491" s="991" t="s">
        <v>273</v>
      </c>
      <c r="U491" s="991" t="s">
        <v>273</v>
      </c>
      <c r="V491" s="991" t="s">
        <v>273</v>
      </c>
      <c r="W491" s="991" t="s">
        <v>273</v>
      </c>
      <c r="X491" s="991" t="s">
        <v>273</v>
      </c>
      <c r="Y491" s="991" t="s">
        <v>273</v>
      </c>
      <c r="Z491" s="991" t="s">
        <v>273</v>
      </c>
      <c r="AA491" s="991" t="s">
        <v>273</v>
      </c>
      <c r="AB491" s="991" t="s">
        <v>273</v>
      </c>
      <c r="AC491" s="991" t="s">
        <v>273</v>
      </c>
      <c r="AD491" s="991" t="s">
        <v>273</v>
      </c>
      <c r="AE491" s="991" t="s">
        <v>273</v>
      </c>
      <c r="AF491" s="991" t="s">
        <v>273</v>
      </c>
      <c r="AG491" s="23"/>
      <c r="AH491" s="23"/>
      <c r="AI491" s="23"/>
      <c r="BA491" s="23">
        <f>+BA490/AZ490-1</f>
        <v>7.547169811320753E-2</v>
      </c>
      <c r="BB491" s="23">
        <f t="shared" ref="BB491" si="511">+BB490/BA490-1</f>
        <v>0.14035087719298245</v>
      </c>
      <c r="BC491" s="23" t="s">
        <v>273</v>
      </c>
      <c r="BD491" s="23" t="s">
        <v>273</v>
      </c>
      <c r="BE491" s="23" t="s">
        <v>273</v>
      </c>
      <c r="BF491" s="23"/>
    </row>
    <row r="492" spans="2:58">
      <c r="D492" s="879"/>
      <c r="E492" s="879"/>
      <c r="F492" s="879"/>
      <c r="G492" s="879"/>
      <c r="H492" s="879"/>
      <c r="I492" s="879"/>
      <c r="J492" s="879"/>
      <c r="K492" s="879"/>
      <c r="L492" s="879"/>
      <c r="M492" s="879"/>
      <c r="N492" s="879"/>
      <c r="O492" s="879"/>
      <c r="P492" s="879"/>
      <c r="Q492" s="879"/>
      <c r="R492" s="879"/>
      <c r="S492" s="879"/>
      <c r="T492" s="879"/>
      <c r="U492" s="879"/>
      <c r="V492" s="879"/>
      <c r="W492" s="879"/>
      <c r="X492" s="879"/>
      <c r="Y492" s="879"/>
      <c r="Z492" s="879"/>
      <c r="AA492" s="879"/>
      <c r="AB492" s="879"/>
      <c r="AC492" s="879"/>
      <c r="AD492" s="879"/>
      <c r="AE492" s="879"/>
      <c r="AF492" s="879"/>
      <c r="AG492" s="879"/>
      <c r="AH492" s="879"/>
      <c r="AI492" s="879"/>
      <c r="AZ492" s="8"/>
      <c r="BA492" s="8"/>
      <c r="BB492" s="8"/>
      <c r="BC492" s="8"/>
      <c r="BD492" s="8"/>
      <c r="BE492" s="8"/>
      <c r="BF492" s="8"/>
    </row>
    <row r="493" spans="2:58">
      <c r="B493" t="s">
        <v>458</v>
      </c>
      <c r="H493" s="879">
        <v>1885</v>
      </c>
      <c r="I493" s="879">
        <v>3617</v>
      </c>
      <c r="J493" s="879">
        <v>1906</v>
      </c>
      <c r="K493" s="879">
        <v>1643</v>
      </c>
      <c r="L493" s="879">
        <v>1896</v>
      </c>
      <c r="M493" s="879">
        <v>3920</v>
      </c>
      <c r="N493" s="879">
        <v>2251</v>
      </c>
      <c r="O493" s="879">
        <v>2286</v>
      </c>
      <c r="P493" s="880">
        <f>+L493*(1+P494)</f>
        <v>2730.24</v>
      </c>
      <c r="Q493" s="880">
        <f t="shared" ref="Q493:AF493" si="512">+M493*(1+Q494)</f>
        <v>4233.6000000000004</v>
      </c>
      <c r="R493" s="880">
        <f t="shared" si="512"/>
        <v>2363.5500000000002</v>
      </c>
      <c r="S493" s="880">
        <f t="shared" si="512"/>
        <v>2057.4</v>
      </c>
      <c r="T493" s="880">
        <f t="shared" si="512"/>
        <v>2539.1231999999995</v>
      </c>
      <c r="U493" s="880">
        <f t="shared" si="512"/>
        <v>3344.5440000000003</v>
      </c>
      <c r="V493" s="880">
        <f t="shared" si="512"/>
        <v>2339.9145000000003</v>
      </c>
      <c r="W493" s="880">
        <f t="shared" si="512"/>
        <v>3374.1360000000004</v>
      </c>
      <c r="X493" s="880">
        <f t="shared" si="512"/>
        <v>3097.7303039999993</v>
      </c>
      <c r="Y493" s="880">
        <f t="shared" si="512"/>
        <v>5050.2614400000002</v>
      </c>
      <c r="Z493" s="880">
        <f t="shared" si="512"/>
        <v>3509.8717500000002</v>
      </c>
      <c r="AA493" s="880">
        <f t="shared" si="512"/>
        <v>3745.2909600000007</v>
      </c>
      <c r="AB493" s="880">
        <f t="shared" si="512"/>
        <v>3593.3671526399989</v>
      </c>
      <c r="AC493" s="880">
        <f t="shared" si="512"/>
        <v>5454.2823552000009</v>
      </c>
      <c r="AD493" s="880">
        <f t="shared" si="512"/>
        <v>3720.4640550000004</v>
      </c>
      <c r="AE493" s="880">
        <f t="shared" si="512"/>
        <v>3483.1205928000004</v>
      </c>
      <c r="AF493" s="880">
        <f t="shared" si="512"/>
        <v>3737.1018387455993</v>
      </c>
      <c r="AG493" s="879"/>
      <c r="AH493" s="879"/>
      <c r="AI493" s="879"/>
      <c r="AZ493" s="8">
        <f>+SUM(H493:K493)</f>
        <v>9051</v>
      </c>
      <c r="BA493" s="8">
        <f>+SUM(L493:O493)</f>
        <v>10353</v>
      </c>
      <c r="BB493" s="8">
        <f>SUM(P493:S493)</f>
        <v>11384.789999999999</v>
      </c>
      <c r="BC493" s="8">
        <f>SUM(T493:W493)</f>
        <v>11597.717700000001</v>
      </c>
      <c r="BD493" s="8">
        <f>SUM(X493:AA493)</f>
        <v>15403.154454</v>
      </c>
      <c r="BE493" s="8">
        <f>SUM(AB493:AE493)</f>
        <v>16251.234155640001</v>
      </c>
      <c r="BF493" s="8"/>
    </row>
    <row r="494" spans="2:58">
      <c r="B494" s="13" t="s">
        <v>113</v>
      </c>
      <c r="G494" s="22"/>
      <c r="H494" s="22">
        <v>-0.05</v>
      </c>
      <c r="I494" s="22">
        <v>-0.03</v>
      </c>
      <c r="J494" s="22">
        <v>0.04</v>
      </c>
      <c r="K494" s="22">
        <v>0.03</v>
      </c>
      <c r="L494" s="23">
        <f>+L493/H493-1</f>
        <v>5.8355437665782439E-3</v>
      </c>
      <c r="M494" s="23">
        <f t="shared" ref="M494:O494" si="513">+M493/I493-1</f>
        <v>8.3771081006358772E-2</v>
      </c>
      <c r="N494" s="23">
        <f t="shared" si="513"/>
        <v>0.18100734522560336</v>
      </c>
      <c r="O494" s="23">
        <f t="shared" si="513"/>
        <v>0.39135727328058434</v>
      </c>
      <c r="P494" s="22">
        <v>0.44</v>
      </c>
      <c r="Q494" s="22">
        <v>0.08</v>
      </c>
      <c r="R494" s="22">
        <v>0.05</v>
      </c>
      <c r="S494" s="22">
        <v>-0.1</v>
      </c>
      <c r="T494" s="22">
        <v>-7.0000000000000007E-2</v>
      </c>
      <c r="U494" s="22">
        <v>-0.21</v>
      </c>
      <c r="V494" s="22">
        <v>-0.01</v>
      </c>
      <c r="W494" s="22">
        <v>0.64</v>
      </c>
      <c r="X494" s="22">
        <v>0.22</v>
      </c>
      <c r="Y494" s="22">
        <v>0.51</v>
      </c>
      <c r="Z494" s="22">
        <v>0.5</v>
      </c>
      <c r="AA494" s="22">
        <v>0.11</v>
      </c>
      <c r="AB494" s="22">
        <v>0.16</v>
      </c>
      <c r="AC494" s="22">
        <v>0.08</v>
      </c>
      <c r="AD494" s="22">
        <v>0.06</v>
      </c>
      <c r="AE494" s="22">
        <v>-7.0000000000000007E-2</v>
      </c>
      <c r="AF494" s="22">
        <v>0.04</v>
      </c>
      <c r="AG494" s="23"/>
      <c r="AH494" s="23"/>
      <c r="AI494" s="23"/>
      <c r="AZ494" s="8"/>
      <c r="BA494" s="23">
        <f>+BA493/AZ493-1</f>
        <v>0.14385150812064973</v>
      </c>
      <c r="BB494" s="23">
        <f>+BB493/BA493-1</f>
        <v>9.9660967835409897E-2</v>
      </c>
      <c r="BC494" s="23">
        <f>+BC493/BB493-1</f>
        <v>1.8702821922934154E-2</v>
      </c>
      <c r="BD494" s="23">
        <f>+BD493/BC493-1</f>
        <v>0.32811945008801158</v>
      </c>
      <c r="BE494" s="23">
        <f t="shared" ref="BE494" si="514">+BE493/BD493-1</f>
        <v>5.5058832538017244E-2</v>
      </c>
      <c r="BF494" s="23"/>
    </row>
    <row r="495" spans="2:58">
      <c r="B495" s="13"/>
      <c r="G495" s="22"/>
      <c r="H495" s="22"/>
      <c r="I495" s="22"/>
      <c r="J495" s="22"/>
      <c r="K495" s="22"/>
      <c r="L495" s="23"/>
      <c r="M495" s="23"/>
      <c r="N495" s="23"/>
      <c r="O495" s="23"/>
      <c r="P495" s="22"/>
      <c r="Q495" s="22"/>
      <c r="R495" s="22"/>
      <c r="S495" s="22"/>
      <c r="T495" s="22"/>
      <c r="U495" s="22"/>
      <c r="V495" s="22"/>
      <c r="W495" s="22"/>
      <c r="X495" s="22"/>
      <c r="Y495" s="22"/>
      <c r="Z495" s="22"/>
      <c r="AA495" s="22"/>
      <c r="AB495" s="23"/>
      <c r="AC495" s="23"/>
      <c r="AD495" s="23"/>
      <c r="AE495" s="23"/>
      <c r="AF495" s="23"/>
      <c r="AG495" s="23"/>
      <c r="AH495" s="23"/>
      <c r="AI495" s="23"/>
      <c r="AZ495" s="8"/>
      <c r="BA495" s="23"/>
      <c r="BB495" s="23"/>
      <c r="BC495" s="23"/>
      <c r="BD495" s="23"/>
      <c r="BE495" s="23"/>
      <c r="BF495" s="23"/>
    </row>
    <row r="496" spans="2:58" ht="11.45">
      <c r="B496" s="13"/>
      <c r="G496" s="22"/>
      <c r="H496" s="22"/>
      <c r="I496" s="22"/>
      <c r="J496" s="22"/>
      <c r="K496" s="22"/>
      <c r="L496" s="23"/>
      <c r="M496" s="23"/>
      <c r="N496" s="23"/>
      <c r="O496" s="23"/>
      <c r="P496" s="23"/>
      <c r="Q496" s="23"/>
      <c r="R496" s="23"/>
      <c r="S496" s="23"/>
      <c r="T496" s="23"/>
      <c r="U496" s="23"/>
      <c r="V496" s="23"/>
      <c r="W496" s="23"/>
      <c r="X496" s="930" t="s">
        <v>1312</v>
      </c>
      <c r="Y496" s="31"/>
      <c r="Z496" s="31"/>
      <c r="AA496" s="31"/>
      <c r="AB496" s="23"/>
      <c r="AC496" s="23"/>
      <c r="AD496" s="23"/>
      <c r="AE496" s="23"/>
      <c r="AF496" s="23"/>
      <c r="AG496" s="23"/>
      <c r="AH496" s="23"/>
      <c r="AI496" s="23"/>
      <c r="AZ496" s="8"/>
      <c r="BA496" s="23"/>
      <c r="BB496" s="23"/>
      <c r="BC496" s="23"/>
      <c r="BD496" s="23"/>
      <c r="BE496" s="23"/>
      <c r="BF496" s="23"/>
    </row>
    <row r="497" spans="2:61">
      <c r="B497" t="s">
        <v>1328</v>
      </c>
      <c r="D497" s="911">
        <v>0.23</v>
      </c>
      <c r="E497" s="911">
        <v>0.17</v>
      </c>
      <c r="F497" s="911">
        <v>0.14000000000000001</v>
      </c>
      <c r="G497" s="911">
        <v>0.16</v>
      </c>
      <c r="H497" s="911">
        <v>0.09</v>
      </c>
      <c r="I497" s="911">
        <v>0.1</v>
      </c>
      <c r="J497" s="911">
        <v>0.08</v>
      </c>
      <c r="K497" s="911">
        <v>0.1</v>
      </c>
      <c r="L497" s="911">
        <v>0.15</v>
      </c>
      <c r="M497" s="911">
        <v>0.15</v>
      </c>
      <c r="N497" s="911">
        <v>0.16</v>
      </c>
      <c r="O497" s="911">
        <v>0.17</v>
      </c>
      <c r="P497" s="911">
        <v>0.17</v>
      </c>
      <c r="Q497" s="911">
        <v>0.14000000000000001</v>
      </c>
      <c r="R497" s="911">
        <v>0.12</v>
      </c>
      <c r="S497" s="911">
        <v>0.09</v>
      </c>
      <c r="T497" s="911">
        <v>0.11</v>
      </c>
      <c r="U497" s="911">
        <v>0.06</v>
      </c>
      <c r="V497" s="911">
        <v>0.01</v>
      </c>
      <c r="W497" s="911">
        <v>-0.18</v>
      </c>
      <c r="X497" s="911">
        <v>-0.12</v>
      </c>
      <c r="Y497" s="911">
        <v>0</v>
      </c>
      <c r="Z497" s="911">
        <v>0.13</v>
      </c>
      <c r="AA497" s="911">
        <v>0.48</v>
      </c>
      <c r="AB497" s="911">
        <v>0.4</v>
      </c>
      <c r="AC497" s="911">
        <v>0.32</v>
      </c>
      <c r="AD497" s="911">
        <v>0.23</v>
      </c>
      <c r="AE497" s="911">
        <v>0.18</v>
      </c>
      <c r="AF497" s="911">
        <v>0.16</v>
      </c>
      <c r="AG497" s="911"/>
      <c r="AH497" s="911"/>
      <c r="AI497" s="911"/>
      <c r="AZ497" s="912">
        <f>+AVERAGE(H497:K497)</f>
        <v>9.2499999999999999E-2</v>
      </c>
      <c r="BA497" s="912">
        <f>+AVERAGE(L497:O497)</f>
        <v>0.1575</v>
      </c>
      <c r="BB497" s="912">
        <f>+AVERAGE(P497:S497)</f>
        <v>0.13</v>
      </c>
      <c r="BC497" s="912">
        <f>+AVERAGE(T497:W497)</f>
        <v>0</v>
      </c>
      <c r="BD497" s="912">
        <v>0.1</v>
      </c>
      <c r="BE497" s="912">
        <f>+AVERAGE(AB497:AE497)</f>
        <v>0.28249999999999997</v>
      </c>
      <c r="BF497" s="912"/>
      <c r="BI497" s="912"/>
    </row>
    <row r="498" spans="2:61">
      <c r="B498" s="12" t="s">
        <v>272</v>
      </c>
      <c r="D498" s="911">
        <v>0.28999999999999998</v>
      </c>
      <c r="E498" s="911">
        <v>0.21</v>
      </c>
      <c r="F498" s="911">
        <v>0.18</v>
      </c>
      <c r="G498" s="911">
        <v>0.17</v>
      </c>
      <c r="H498" s="911">
        <v>0.1</v>
      </c>
      <c r="I498" s="911">
        <v>0.11</v>
      </c>
      <c r="J498" s="911">
        <v>0.09</v>
      </c>
      <c r="K498" s="911">
        <v>0.11</v>
      </c>
      <c r="L498" s="911">
        <v>0.15</v>
      </c>
      <c r="M498" s="911">
        <v>0.15</v>
      </c>
      <c r="N498" s="911">
        <v>0.14000000000000001</v>
      </c>
      <c r="O498" s="911">
        <v>0.16</v>
      </c>
      <c r="P498" s="911">
        <v>0.17</v>
      </c>
      <c r="Q498" s="911">
        <v>0.14000000000000001</v>
      </c>
      <c r="R498" s="911">
        <v>0.14000000000000001</v>
      </c>
      <c r="S498" s="911">
        <v>0.1</v>
      </c>
      <c r="T498" s="911">
        <v>0.13</v>
      </c>
      <c r="U498" s="911">
        <v>7.0000000000000007E-2</v>
      </c>
      <c r="V498" s="911">
        <v>0.01</v>
      </c>
      <c r="W498" s="911">
        <v>-0.17</v>
      </c>
      <c r="X498" s="911">
        <v>-0.13</v>
      </c>
      <c r="Y498" s="911">
        <v>-0.01</v>
      </c>
      <c r="Z498" s="911">
        <v>0.11</v>
      </c>
      <c r="AA498" s="911">
        <v>0.45</v>
      </c>
      <c r="AB498" s="911">
        <v>0.39</v>
      </c>
      <c r="AC498" s="911">
        <v>0.32</v>
      </c>
      <c r="AD498" s="911">
        <v>0.25</v>
      </c>
      <c r="AE498" s="911">
        <v>0.21</v>
      </c>
      <c r="AF498" s="911">
        <v>0.21</v>
      </c>
      <c r="AG498" s="911"/>
      <c r="AH498" s="911"/>
      <c r="AI498" s="911"/>
      <c r="AZ498" s="912">
        <f>+AVERAGE(H498:K498)</f>
        <v>0.10250000000000001</v>
      </c>
      <c r="BA498" s="912">
        <f>+AVERAGE(L498:O498)</f>
        <v>0.15</v>
      </c>
      <c r="BB498" s="912">
        <f>+AVERAGE(P498:S498)</f>
        <v>0.13750000000000001</v>
      </c>
      <c r="BC498" s="912">
        <f>+AVERAGE(T498:W498)</f>
        <v>1.0000000000000002E-2</v>
      </c>
      <c r="BD498" s="912">
        <v>0.1</v>
      </c>
      <c r="BE498" s="912">
        <f>+AVERAGE(AB498:AE498)</f>
        <v>0.29249999999999998</v>
      </c>
      <c r="BF498" s="912"/>
      <c r="BI498" s="912"/>
    </row>
    <row r="500" spans="2:61" ht="10.5">
      <c r="B500" s="5" t="s">
        <v>544</v>
      </c>
      <c r="C500" s="4"/>
    </row>
    <row r="501" spans="2:61">
      <c r="AY501" s="31"/>
      <c r="AZ501" s="31"/>
    </row>
    <row r="502" spans="2:61" ht="10.5">
      <c r="B502" s="910" t="s">
        <v>86</v>
      </c>
    </row>
    <row r="503" spans="2:61">
      <c r="B503" s="878" t="s">
        <v>545</v>
      </c>
      <c r="D503" s="879">
        <v>15750</v>
      </c>
      <c r="E503" s="879">
        <v>19431</v>
      </c>
      <c r="F503" s="879">
        <v>15307</v>
      </c>
      <c r="G503" s="879">
        <v>16848</v>
      </c>
      <c r="H503" s="879">
        <v>14968</v>
      </c>
      <c r="I503" s="879">
        <v>18273</v>
      </c>
      <c r="J503" s="879">
        <v>14513</v>
      </c>
      <c r="K503" s="879">
        <v>16057</v>
      </c>
      <c r="L503" s="879">
        <v>14298</v>
      </c>
      <c r="M503" s="879">
        <v>17926</v>
      </c>
      <c r="N503" s="879">
        <v>15114</v>
      </c>
      <c r="O503" s="879">
        <v>17159</v>
      </c>
      <c r="P503" s="879">
        <v>17299</v>
      </c>
      <c r="Q503" s="879">
        <v>16219</v>
      </c>
      <c r="R503" s="879">
        <v>15448</v>
      </c>
      <c r="S503" s="879">
        <v>17103</v>
      </c>
      <c r="T503" s="879">
        <v>15768</v>
      </c>
      <c r="U503" s="879">
        <v>18255</v>
      </c>
      <c r="V503" s="879">
        <v>15871</v>
      </c>
      <c r="W503" s="879">
        <v>18147</v>
      </c>
      <c r="X503" s="879">
        <v>15803</v>
      </c>
      <c r="Y503" s="879">
        <v>19460</v>
      </c>
      <c r="Z503" s="879">
        <v>16873</v>
      </c>
      <c r="AA503" s="879">
        <v>18938</v>
      </c>
      <c r="AB503" s="879">
        <v>16631</v>
      </c>
      <c r="AC503" s="879">
        <v>20779</v>
      </c>
      <c r="AD503" s="879">
        <v>17366</v>
      </c>
      <c r="AE503" s="879">
        <v>17956</v>
      </c>
      <c r="AF503" s="879">
        <v>15741</v>
      </c>
      <c r="AG503" s="879"/>
      <c r="AH503" s="879"/>
      <c r="AI503" s="879"/>
      <c r="AK503" s="879"/>
      <c r="AL503" s="879"/>
      <c r="AM503" s="879"/>
      <c r="AN503" s="879"/>
      <c r="AO503" s="879"/>
      <c r="AP503" s="879"/>
      <c r="AQ503" s="879"/>
      <c r="AR503" s="879"/>
      <c r="AS503" s="879"/>
      <c r="AT503" s="29">
        <v>72948</v>
      </c>
      <c r="AU503" s="29">
        <v>75956</v>
      </c>
      <c r="AV503" s="29">
        <v>61502</v>
      </c>
      <c r="AW503" s="29">
        <v>57190</v>
      </c>
      <c r="AX503" s="29"/>
      <c r="AY503" s="880">
        <f>+SUM(D503:G503)</f>
        <v>67336</v>
      </c>
      <c r="AZ503" s="880">
        <f>+SUM(H503:K503)</f>
        <v>63811</v>
      </c>
      <c r="BA503" s="880">
        <f>+SUM(L503:O503)</f>
        <v>64497</v>
      </c>
      <c r="BB503" s="880">
        <v>66069</v>
      </c>
      <c r="BC503" s="880">
        <f>SUM(T503:W503)</f>
        <v>68041</v>
      </c>
      <c r="BD503" s="880">
        <f t="shared" ref="BD503:BD504" si="515">SUM(X503:AA503)</f>
        <v>71074</v>
      </c>
      <c r="BE503" s="880">
        <f t="shared" ref="BE503:BE504" si="516">SUM(AB503:AE503)</f>
        <v>72732</v>
      </c>
      <c r="BF503" s="880"/>
    </row>
    <row r="504" spans="2:61" ht="11.45">
      <c r="B504" s="878" t="s">
        <v>546</v>
      </c>
      <c r="D504" s="905">
        <v>5160</v>
      </c>
      <c r="E504" s="905">
        <v>5822</v>
      </c>
      <c r="F504" s="905">
        <v>6210</v>
      </c>
      <c r="G504" s="905">
        <v>6626</v>
      </c>
      <c r="H504" s="905">
        <v>6960</v>
      </c>
      <c r="I504" s="905">
        <v>7553</v>
      </c>
      <c r="J504" s="905">
        <v>8699</v>
      </c>
      <c r="K504" s="905">
        <v>9548</v>
      </c>
      <c r="L504" s="905">
        <v>10240</v>
      </c>
      <c r="M504" s="905">
        <v>10992</v>
      </c>
      <c r="N504" s="905">
        <v>11705</v>
      </c>
      <c r="O504" s="905">
        <v>12926</v>
      </c>
      <c r="P504" s="905">
        <v>11785</v>
      </c>
      <c r="Q504" s="905">
        <v>16252</v>
      </c>
      <c r="R504" s="905">
        <v>15123</v>
      </c>
      <c r="S504" s="905">
        <v>16614</v>
      </c>
      <c r="T504" s="905">
        <v>17287</v>
      </c>
      <c r="U504" s="905">
        <v>18651</v>
      </c>
      <c r="V504" s="905">
        <v>19150</v>
      </c>
      <c r="W504" s="905">
        <v>19886</v>
      </c>
      <c r="X504" s="905">
        <v>21351</v>
      </c>
      <c r="Y504" s="905">
        <v>23616</v>
      </c>
      <c r="Z504" s="905">
        <v>24833</v>
      </c>
      <c r="AA504" s="905">
        <v>27214</v>
      </c>
      <c r="AB504" s="905">
        <v>28686</v>
      </c>
      <c r="AC504" s="905">
        <v>30949</v>
      </c>
      <c r="AD504" s="905">
        <v>31994</v>
      </c>
      <c r="AE504" s="905">
        <v>33909</v>
      </c>
      <c r="AF504" s="905">
        <v>34381</v>
      </c>
      <c r="AG504" s="905"/>
      <c r="AH504" s="905"/>
      <c r="AI504" s="905"/>
      <c r="AK504" s="905"/>
      <c r="AL504" s="905"/>
      <c r="AM504" s="905"/>
      <c r="AN504" s="905"/>
      <c r="AO504" s="905"/>
      <c r="AP504" s="905"/>
      <c r="AQ504" s="905"/>
      <c r="AR504" s="905"/>
      <c r="AS504" s="905"/>
      <c r="AT504" s="30">
        <v>13885</v>
      </c>
      <c r="AU504" s="30">
        <v>17624</v>
      </c>
      <c r="AV504" s="30">
        <v>23818</v>
      </c>
      <c r="AW504" s="30">
        <v>32760</v>
      </c>
      <c r="AX504" s="30"/>
      <c r="AY504" s="906">
        <f>+SUM(D504:G504)</f>
        <v>23818</v>
      </c>
      <c r="AZ504" s="906">
        <f>+SUM(H504:K504)</f>
        <v>32760</v>
      </c>
      <c r="BA504" s="906">
        <f>+SUM(L504:O504)</f>
        <v>45863</v>
      </c>
      <c r="BB504" s="906">
        <v>59774</v>
      </c>
      <c r="BC504" s="906">
        <f>SUM(T504:W504)</f>
        <v>74974</v>
      </c>
      <c r="BD504" s="906">
        <f t="shared" si="515"/>
        <v>97014</v>
      </c>
      <c r="BE504" s="906">
        <f t="shared" si="516"/>
        <v>125538</v>
      </c>
      <c r="BF504" s="906"/>
    </row>
    <row r="505" spans="2:61" s="1" customFormat="1" ht="10.5">
      <c r="B505" s="882" t="s">
        <v>523</v>
      </c>
      <c r="D505" s="838">
        <f>SUM(D503:D504)</f>
        <v>20910</v>
      </c>
      <c r="E505" s="838">
        <f t="shared" ref="E505:X505" si="517">SUM(E503:E504)</f>
        <v>25253</v>
      </c>
      <c r="F505" s="838">
        <f t="shared" si="517"/>
        <v>21517</v>
      </c>
      <c r="G505" s="838">
        <f t="shared" si="517"/>
        <v>23474</v>
      </c>
      <c r="H505" s="838">
        <f t="shared" si="517"/>
        <v>21928</v>
      </c>
      <c r="I505" s="838">
        <f t="shared" si="517"/>
        <v>25826</v>
      </c>
      <c r="J505" s="838">
        <f t="shared" si="517"/>
        <v>23212</v>
      </c>
      <c r="K505" s="838">
        <f t="shared" si="517"/>
        <v>25605</v>
      </c>
      <c r="L505" s="838">
        <f t="shared" si="517"/>
        <v>24538</v>
      </c>
      <c r="M505" s="838">
        <f t="shared" si="517"/>
        <v>28918</v>
      </c>
      <c r="N505" s="838">
        <f t="shared" si="517"/>
        <v>26819</v>
      </c>
      <c r="O505" s="838">
        <f t="shared" si="517"/>
        <v>30085</v>
      </c>
      <c r="P505" s="838">
        <f t="shared" si="517"/>
        <v>29084</v>
      </c>
      <c r="Q505" s="838">
        <f t="shared" si="517"/>
        <v>32471</v>
      </c>
      <c r="R505" s="838">
        <f t="shared" si="517"/>
        <v>30571</v>
      </c>
      <c r="S505" s="838">
        <f t="shared" si="517"/>
        <v>33717</v>
      </c>
      <c r="T505" s="838">
        <f t="shared" si="517"/>
        <v>33055</v>
      </c>
      <c r="U505" s="838">
        <f t="shared" si="517"/>
        <v>36906</v>
      </c>
      <c r="V505" s="838">
        <f t="shared" si="517"/>
        <v>35021</v>
      </c>
      <c r="W505" s="838">
        <f t="shared" si="517"/>
        <v>38033</v>
      </c>
      <c r="X505" s="838">
        <f t="shared" si="517"/>
        <v>37154</v>
      </c>
      <c r="Y505" s="838">
        <f t="shared" ref="Y505:AI505" si="518">+Y12</f>
        <v>43076</v>
      </c>
      <c r="Z505" s="838">
        <f t="shared" si="518"/>
        <v>41706</v>
      </c>
      <c r="AA505" s="838">
        <f t="shared" si="518"/>
        <v>46152</v>
      </c>
      <c r="AB505" s="838">
        <f t="shared" si="518"/>
        <v>45317</v>
      </c>
      <c r="AC505" s="838">
        <f t="shared" si="518"/>
        <v>51728</v>
      </c>
      <c r="AD505" s="838">
        <f t="shared" si="518"/>
        <v>49360</v>
      </c>
      <c r="AE505" s="838">
        <f t="shared" si="518"/>
        <v>51865</v>
      </c>
      <c r="AF505" s="838">
        <f t="shared" si="518"/>
        <v>50122</v>
      </c>
      <c r="AG505" s="838">
        <f t="shared" si="518"/>
        <v>53588.734970439065</v>
      </c>
      <c r="AH505" s="838">
        <f t="shared" si="518"/>
        <v>51569.768876460585</v>
      </c>
      <c r="AI505" s="838">
        <f t="shared" si="518"/>
        <v>55382.846663871453</v>
      </c>
      <c r="AK505" s="936">
        <v>39788</v>
      </c>
      <c r="AL505" s="936">
        <v>44282</v>
      </c>
      <c r="AM505" s="936">
        <v>51122</v>
      </c>
      <c r="AN505" s="936">
        <v>60420</v>
      </c>
      <c r="AO505" s="936">
        <v>58437</v>
      </c>
      <c r="AP505" s="936">
        <v>62484</v>
      </c>
      <c r="AQ505" s="936">
        <v>69943</v>
      </c>
      <c r="AR505" s="936">
        <v>73723</v>
      </c>
      <c r="AS505" s="936">
        <v>77849</v>
      </c>
      <c r="AT505" s="849">
        <f>SUM(AT503:AT504)</f>
        <v>86833</v>
      </c>
      <c r="AU505" s="849">
        <f>SUM(AU503:AU504)</f>
        <v>93580</v>
      </c>
      <c r="AV505" s="849">
        <f t="shared" ref="AV505:AW505" si="519">SUM(AV503:AV504)</f>
        <v>85320</v>
      </c>
      <c r="AW505" s="849">
        <f t="shared" si="519"/>
        <v>89950</v>
      </c>
      <c r="AX505" s="849"/>
      <c r="AY505" s="849">
        <f>+SUM(D505:G505)</f>
        <v>91154</v>
      </c>
      <c r="AZ505" s="849">
        <f>+SUM(H505:K505)</f>
        <v>96571</v>
      </c>
      <c r="BA505" s="849">
        <f>+SUM(L505:O505)</f>
        <v>110360</v>
      </c>
      <c r="BB505" s="849">
        <f>SUM(BB503:BB504)</f>
        <v>125843</v>
      </c>
      <c r="BC505" s="849">
        <f>SUM(BC503:BC504)</f>
        <v>143015</v>
      </c>
      <c r="BD505" s="849">
        <f>SUM(X505:AA505)</f>
        <v>168088</v>
      </c>
      <c r="BE505" s="849">
        <f>SUM(AB505:AE505)</f>
        <v>198270</v>
      </c>
      <c r="BF505" s="849">
        <f>SUM(AF505:AI505)</f>
        <v>210663.35051077112</v>
      </c>
    </row>
    <row r="506" spans="2:61" s="1" customFormat="1" ht="10.5">
      <c r="B506" s="882"/>
      <c r="D506" s="838"/>
      <c r="E506" s="838"/>
      <c r="F506" s="838"/>
      <c r="G506" s="838"/>
      <c r="H506" s="838"/>
      <c r="I506" s="838"/>
      <c r="J506" s="838"/>
      <c r="K506" s="838"/>
      <c r="L506" s="838"/>
      <c r="M506" s="838"/>
      <c r="N506" s="838"/>
      <c r="O506" s="838"/>
      <c r="P506" s="838"/>
      <c r="Q506" s="838"/>
      <c r="R506" s="838"/>
      <c r="S506" s="838"/>
      <c r="T506" s="838"/>
      <c r="U506" s="838"/>
      <c r="V506" s="838"/>
      <c r="W506" s="838"/>
      <c r="X506" s="838"/>
      <c r="Y506" s="838"/>
      <c r="Z506" s="838"/>
      <c r="AA506" s="838"/>
      <c r="AB506" s="838"/>
      <c r="AC506" s="838"/>
      <c r="AD506" s="838"/>
      <c r="AE506" s="838"/>
      <c r="AF506" s="838"/>
      <c r="AG506" s="838"/>
      <c r="AH506" s="838"/>
      <c r="AI506" s="838"/>
      <c r="AK506" s="936"/>
      <c r="AL506" s="936"/>
      <c r="AM506" s="936"/>
      <c r="AN506" s="936"/>
      <c r="AO506" s="936"/>
      <c r="AP506" s="936"/>
      <c r="AQ506" s="936"/>
      <c r="AR506" s="936"/>
      <c r="AS506" s="936"/>
      <c r="AT506" s="849"/>
      <c r="AU506" s="849"/>
      <c r="AV506" s="849"/>
      <c r="AW506" s="849"/>
      <c r="AX506" s="849"/>
      <c r="AY506" s="849"/>
      <c r="AZ506" s="849"/>
      <c r="BA506" s="849"/>
      <c r="BB506" s="849"/>
      <c r="BC506" s="849"/>
      <c r="BD506" s="849"/>
      <c r="BE506" s="849"/>
      <c r="BF506" s="849"/>
    </row>
    <row r="507" spans="2:61" s="7" customFormat="1">
      <c r="B507" s="883" t="s">
        <v>113</v>
      </c>
      <c r="D507" s="862"/>
      <c r="E507" s="862"/>
      <c r="F507" s="862"/>
      <c r="G507" s="862"/>
      <c r="H507" s="862"/>
      <c r="I507" s="862"/>
      <c r="J507" s="862"/>
      <c r="K507" s="862"/>
      <c r="L507" s="862"/>
      <c r="M507" s="862"/>
      <c r="N507" s="862"/>
      <c r="O507" s="862"/>
      <c r="P507" s="862"/>
      <c r="Q507" s="862"/>
      <c r="R507" s="862"/>
      <c r="S507" s="862"/>
      <c r="T507" s="862"/>
      <c r="U507" s="862"/>
      <c r="V507" s="862"/>
      <c r="W507" s="862"/>
      <c r="X507" s="862"/>
      <c r="Y507" s="862"/>
      <c r="Z507" s="862"/>
      <c r="AA507" s="862"/>
      <c r="AB507" s="862"/>
      <c r="AC507" s="862"/>
      <c r="AD507" s="862"/>
      <c r="AE507" s="862"/>
      <c r="AF507" s="862"/>
      <c r="AG507" s="862"/>
      <c r="AH507" s="862"/>
      <c r="AI507" s="862"/>
      <c r="AK507" s="937"/>
      <c r="AL507" s="937"/>
      <c r="AM507" s="937"/>
      <c r="AN507" s="937"/>
      <c r="AO507" s="937"/>
      <c r="AP507" s="937"/>
      <c r="AQ507" s="937"/>
      <c r="AR507" s="937"/>
      <c r="AS507" s="937"/>
      <c r="AT507" s="938"/>
      <c r="AU507" s="938"/>
      <c r="AV507" s="938"/>
      <c r="AW507" s="938"/>
      <c r="AX507" s="938"/>
      <c r="AY507" s="938"/>
      <c r="AZ507" s="938"/>
      <c r="BA507" s="938"/>
      <c r="BB507" s="938"/>
      <c r="BC507" s="938"/>
      <c r="BD507" s="938"/>
      <c r="BE507" s="938"/>
      <c r="BF507" s="938"/>
    </row>
    <row r="508" spans="2:61" s="7" customFormat="1">
      <c r="B508" s="884" t="str">
        <f>+B503</f>
        <v>Product</v>
      </c>
      <c r="D508" s="14"/>
      <c r="E508" s="14"/>
      <c r="F508" s="14"/>
      <c r="G508" s="14"/>
      <c r="H508" s="14">
        <f>+H503/D503-1</f>
        <v>-4.9650793650793612E-2</v>
      </c>
      <c r="I508" s="14">
        <f t="shared" ref="I508:AF510" si="520">+I503/E503-1</f>
        <v>-5.9595491740003115E-2</v>
      </c>
      <c r="J508" s="14">
        <f t="shared" si="520"/>
        <v>-5.1871692689619109E-2</v>
      </c>
      <c r="K508" s="14">
        <f t="shared" si="520"/>
        <v>-4.6949192782526072E-2</v>
      </c>
      <c r="L508" s="14">
        <f t="shared" si="520"/>
        <v>-4.4762159273115998E-2</v>
      </c>
      <c r="M508" s="14">
        <f t="shared" si="520"/>
        <v>-1.898976632189564E-2</v>
      </c>
      <c r="N508" s="14">
        <f t="shared" si="520"/>
        <v>4.141114862537032E-2</v>
      </c>
      <c r="O508" s="14">
        <f t="shared" si="520"/>
        <v>6.8630503830105161E-2</v>
      </c>
      <c r="P508" s="14">
        <f t="shared" si="520"/>
        <v>0.20988949503427046</v>
      </c>
      <c r="Q508" s="14">
        <f t="shared" si="520"/>
        <v>-9.5224813120606933E-2</v>
      </c>
      <c r="R508" s="14">
        <f t="shared" si="520"/>
        <v>2.2098716421860454E-2</v>
      </c>
      <c r="S508" s="14">
        <f t="shared" si="520"/>
        <v>-3.2635934495016672E-3</v>
      </c>
      <c r="T508" s="14">
        <f t="shared" si="520"/>
        <v>-8.8502225562171244E-2</v>
      </c>
      <c r="U508" s="14">
        <f t="shared" si="520"/>
        <v>0.12553178371046303</v>
      </c>
      <c r="V508" s="14">
        <f t="shared" si="520"/>
        <v>2.7382185396167769E-2</v>
      </c>
      <c r="W508" s="14">
        <f t="shared" si="520"/>
        <v>6.1041922469742049E-2</v>
      </c>
      <c r="X508" s="14">
        <f t="shared" si="520"/>
        <v>2.2196854388634168E-3</v>
      </c>
      <c r="Y508" s="14">
        <f t="shared" si="520"/>
        <v>6.6009312517118612E-2</v>
      </c>
      <c r="Z508" s="14">
        <f t="shared" si="520"/>
        <v>6.3134018020288618E-2</v>
      </c>
      <c r="AA508" s="14">
        <f t="shared" si="520"/>
        <v>4.3588471923734051E-2</v>
      </c>
      <c r="AB508" s="14">
        <f t="shared" si="520"/>
        <v>5.2395114851610414E-2</v>
      </c>
      <c r="AC508" s="14">
        <f t="shared" si="520"/>
        <v>6.7780061664953761E-2</v>
      </c>
      <c r="AD508" s="14">
        <f t="shared" si="520"/>
        <v>2.9218277721803965E-2</v>
      </c>
      <c r="AE508" s="14">
        <f t="shared" si="520"/>
        <v>-5.1853416411447917E-2</v>
      </c>
      <c r="AF508" s="14">
        <f t="shared" si="520"/>
        <v>-5.3514521075100685E-2</v>
      </c>
      <c r="AG508" s="14"/>
      <c r="AH508" s="14"/>
      <c r="AI508" s="14"/>
      <c r="AJ508" s="14"/>
      <c r="AK508" s="14"/>
      <c r="AL508" s="14"/>
      <c r="AM508" s="14"/>
      <c r="AN508" s="14"/>
      <c r="AO508" s="14"/>
      <c r="AP508" s="14"/>
      <c r="AQ508" s="14"/>
      <c r="AR508" s="14"/>
      <c r="AS508" s="14"/>
      <c r="AT508" s="14"/>
      <c r="AU508" s="14">
        <f>+AU503/AT503-1</f>
        <v>4.1234852223501761E-2</v>
      </c>
      <c r="AV508" s="14">
        <f t="shared" ref="AV508:BF510" si="521">+AV503/AU503-1</f>
        <v>-0.19029438095739637</v>
      </c>
      <c r="AW508" s="14">
        <f t="shared" si="521"/>
        <v>-7.0111541088094698E-2</v>
      </c>
      <c r="AX508" s="14"/>
      <c r="AY508" s="1010">
        <f t="shared" ref="AY508" si="522">+AV508</f>
        <v>-0.19029438095739637</v>
      </c>
      <c r="AZ508" s="1010">
        <f t="shared" ref="AZ508" si="523">+AW508</f>
        <v>-7.0111541088094698E-2</v>
      </c>
      <c r="BA508" s="14">
        <f t="shared" si="521"/>
        <v>1.0750497563116079E-2</v>
      </c>
      <c r="BB508" s="14">
        <f t="shared" si="521"/>
        <v>2.4373226661705161E-2</v>
      </c>
      <c r="BC508" s="14">
        <f t="shared" si="521"/>
        <v>2.984758358685613E-2</v>
      </c>
      <c r="BD508" s="14">
        <f t="shared" si="521"/>
        <v>4.457606443173967E-2</v>
      </c>
      <c r="BE508" s="14">
        <f t="shared" si="521"/>
        <v>2.3327799195205001E-2</v>
      </c>
      <c r="BF508" s="14"/>
    </row>
    <row r="509" spans="2:61" s="7" customFormat="1" ht="11.45">
      <c r="B509" s="884" t="str">
        <f t="shared" ref="B509:B510" si="524">+B504</f>
        <v>Service and other</v>
      </c>
      <c r="D509" s="840"/>
      <c r="E509" s="840"/>
      <c r="F509" s="840"/>
      <c r="G509" s="840"/>
      <c r="H509" s="840">
        <f t="shared" ref="H509:V510" si="525">+H504/D504-1</f>
        <v>0.34883720930232553</v>
      </c>
      <c r="I509" s="840">
        <f t="shared" si="525"/>
        <v>0.29732050841635171</v>
      </c>
      <c r="J509" s="840">
        <f t="shared" si="525"/>
        <v>0.40080515297906594</v>
      </c>
      <c r="K509" s="840">
        <f t="shared" si="525"/>
        <v>0.4409900392393602</v>
      </c>
      <c r="L509" s="840">
        <f t="shared" si="525"/>
        <v>0.47126436781609193</v>
      </c>
      <c r="M509" s="840">
        <f t="shared" si="525"/>
        <v>0.45531576856878053</v>
      </c>
      <c r="N509" s="840">
        <f t="shared" si="525"/>
        <v>0.34555696057018048</v>
      </c>
      <c r="O509" s="840">
        <f t="shared" si="525"/>
        <v>0.35379136992040228</v>
      </c>
      <c r="P509" s="840">
        <f t="shared" si="525"/>
        <v>0.15087890625</v>
      </c>
      <c r="Q509" s="840">
        <f t="shared" si="525"/>
        <v>0.47852983988355158</v>
      </c>
      <c r="R509" s="840">
        <f t="shared" si="525"/>
        <v>0.29201196070055535</v>
      </c>
      <c r="S509" s="840">
        <f t="shared" si="525"/>
        <v>0.28531641652483364</v>
      </c>
      <c r="T509" s="840">
        <f t="shared" si="525"/>
        <v>0.46686465846414937</v>
      </c>
      <c r="U509" s="840">
        <f t="shared" si="525"/>
        <v>0.147612601525966</v>
      </c>
      <c r="V509" s="840">
        <f t="shared" si="525"/>
        <v>0.26628314487866156</v>
      </c>
      <c r="W509" s="840">
        <f t="shared" si="520"/>
        <v>0.19694233778740822</v>
      </c>
      <c r="X509" s="840">
        <f t="shared" si="520"/>
        <v>0.23508995198704219</v>
      </c>
      <c r="Y509" s="840">
        <f t="shared" si="520"/>
        <v>0.26620556538523399</v>
      </c>
      <c r="Z509" s="840">
        <f t="shared" si="520"/>
        <v>0.29676240208877291</v>
      </c>
      <c r="AA509" s="840">
        <f t="shared" si="520"/>
        <v>0.36850045257970421</v>
      </c>
      <c r="AB509" s="840">
        <f t="shared" si="520"/>
        <v>0.34354362793311788</v>
      </c>
      <c r="AC509" s="840">
        <f t="shared" si="520"/>
        <v>0.31050982384823844</v>
      </c>
      <c r="AD509" s="840">
        <f t="shared" si="520"/>
        <v>0.2883662867957959</v>
      </c>
      <c r="AE509" s="840">
        <f t="shared" si="520"/>
        <v>0.24601308150216794</v>
      </c>
      <c r="AF509" s="840">
        <f t="shared" si="520"/>
        <v>0.19852889911455063</v>
      </c>
      <c r="AG509" s="840"/>
      <c r="AH509" s="840"/>
      <c r="AI509" s="840"/>
      <c r="AJ509" s="840"/>
      <c r="AK509" s="840"/>
      <c r="AL509" s="840"/>
      <c r="AM509" s="840"/>
      <c r="AN509" s="840"/>
      <c r="AO509" s="840"/>
      <c r="AP509" s="840"/>
      <c r="AQ509" s="840"/>
      <c r="AR509" s="840"/>
      <c r="AS509" s="840"/>
      <c r="AT509" s="840"/>
      <c r="AU509" s="840">
        <f t="shared" ref="AU509:BB510" si="526">+AU504/AT504-1</f>
        <v>0.26928339935181844</v>
      </c>
      <c r="AV509" s="840">
        <f t="shared" si="526"/>
        <v>0.35145256468452102</v>
      </c>
      <c r="AW509" s="840">
        <f t="shared" si="526"/>
        <v>0.37543034679654053</v>
      </c>
      <c r="AX509" s="840"/>
      <c r="AY509" s="1011">
        <f t="shared" ref="AY509:AY510" si="527">+AV509</f>
        <v>0.35145256468452102</v>
      </c>
      <c r="AZ509" s="1011">
        <f t="shared" ref="AZ509:AZ510" si="528">+AW509</f>
        <v>0.37543034679654053</v>
      </c>
      <c r="BA509" s="840">
        <f t="shared" si="526"/>
        <v>0.39996947496947488</v>
      </c>
      <c r="BB509" s="840">
        <f t="shared" si="526"/>
        <v>0.30331639884002359</v>
      </c>
      <c r="BC509" s="840">
        <f t="shared" si="521"/>
        <v>0.25429116338207258</v>
      </c>
      <c r="BD509" s="840">
        <f t="shared" si="521"/>
        <v>0.29396857577293467</v>
      </c>
      <c r="BE509" s="840">
        <f t="shared" si="521"/>
        <v>0.29401941987754343</v>
      </c>
      <c r="BF509" s="840"/>
    </row>
    <row r="510" spans="2:61" s="7" customFormat="1">
      <c r="B510" s="887" t="str">
        <f t="shared" si="524"/>
        <v>Total revenue</v>
      </c>
      <c r="D510" s="855"/>
      <c r="E510" s="855"/>
      <c r="F510" s="855"/>
      <c r="G510" s="855"/>
      <c r="H510" s="855">
        <f t="shared" si="525"/>
        <v>4.8684839789574275E-2</v>
      </c>
      <c r="I510" s="855">
        <f t="shared" si="525"/>
        <v>2.2690373420979792E-2</v>
      </c>
      <c r="J510" s="855">
        <f t="shared" si="525"/>
        <v>7.8774922154575489E-2</v>
      </c>
      <c r="K510" s="855">
        <f t="shared" si="525"/>
        <v>9.0781289937803544E-2</v>
      </c>
      <c r="L510" s="855">
        <f t="shared" si="525"/>
        <v>0.11902590295512594</v>
      </c>
      <c r="M510" s="855">
        <f t="shared" si="525"/>
        <v>0.11972430883605667</v>
      </c>
      <c r="N510" s="855">
        <f t="shared" si="525"/>
        <v>0.15539376184732046</v>
      </c>
      <c r="O510" s="855">
        <f t="shared" si="525"/>
        <v>0.17496582698691654</v>
      </c>
      <c r="P510" s="855">
        <f t="shared" si="525"/>
        <v>0.18526367267095933</v>
      </c>
      <c r="Q510" s="855">
        <f t="shared" si="525"/>
        <v>0.12286465177398154</v>
      </c>
      <c r="R510" s="855">
        <f t="shared" si="525"/>
        <v>0.13990081658525666</v>
      </c>
      <c r="S510" s="855">
        <f t="shared" si="525"/>
        <v>0.12072461359481479</v>
      </c>
      <c r="T510" s="855">
        <f t="shared" si="525"/>
        <v>0.13653555219364599</v>
      </c>
      <c r="U510" s="855">
        <f t="shared" si="525"/>
        <v>0.13658341289150311</v>
      </c>
      <c r="V510" s="855">
        <f t="shared" si="525"/>
        <v>0.14556278826338698</v>
      </c>
      <c r="W510" s="855">
        <f t="shared" si="520"/>
        <v>0.12800664353293589</v>
      </c>
      <c r="X510" s="855">
        <f t="shared" si="520"/>
        <v>0.12400544546967174</v>
      </c>
      <c r="Y510" s="855">
        <f t="shared" si="520"/>
        <v>0.16718148810491518</v>
      </c>
      <c r="Z510" s="855">
        <f t="shared" si="520"/>
        <v>0.19088546871876866</v>
      </c>
      <c r="AA510" s="855">
        <f t="shared" si="520"/>
        <v>0.21347251071437956</v>
      </c>
      <c r="AB510" s="855">
        <f t="shared" si="520"/>
        <v>0.21970716477364483</v>
      </c>
      <c r="AC510" s="855">
        <f t="shared" si="520"/>
        <v>0.2008543040208004</v>
      </c>
      <c r="AD510" s="855">
        <f t="shared" si="520"/>
        <v>0.18352275451973332</v>
      </c>
      <c r="AE510" s="855">
        <f t="shared" si="520"/>
        <v>0.12378661813139202</v>
      </c>
      <c r="AF510" s="855">
        <f t="shared" si="520"/>
        <v>0.1060308493501334</v>
      </c>
      <c r="AG510" s="855">
        <f t="shared" ref="AG510:AI510" si="529">+AG505/AC505-1</f>
        <v>3.5971523554729767E-2</v>
      </c>
      <c r="AH510" s="855">
        <f t="shared" si="529"/>
        <v>4.476841321840741E-2</v>
      </c>
      <c r="AI510" s="855">
        <f t="shared" si="529"/>
        <v>6.7826986674471179E-2</v>
      </c>
      <c r="AJ510" s="855"/>
      <c r="AK510" s="855"/>
      <c r="AL510" s="855">
        <f t="shared" ref="AL510:AT510" si="530">+AL505/AK505-1</f>
        <v>0.11294862772695291</v>
      </c>
      <c r="AM510" s="855">
        <f t="shared" si="530"/>
        <v>0.15446456799602548</v>
      </c>
      <c r="AN510" s="855">
        <f t="shared" si="530"/>
        <v>0.18187864324556946</v>
      </c>
      <c r="AO510" s="855">
        <f t="shared" si="530"/>
        <v>-3.2820258192651441E-2</v>
      </c>
      <c r="AP510" s="855">
        <f t="shared" si="530"/>
        <v>6.9254068484008391E-2</v>
      </c>
      <c r="AQ510" s="855">
        <f t="shared" si="530"/>
        <v>0.11937455988733126</v>
      </c>
      <c r="AR510" s="855">
        <f t="shared" si="530"/>
        <v>5.4044007263057026E-2</v>
      </c>
      <c r="AS510" s="855">
        <f t="shared" si="530"/>
        <v>5.5966252051598442E-2</v>
      </c>
      <c r="AT510" s="855">
        <f t="shared" si="530"/>
        <v>0.11540289534868786</v>
      </c>
      <c r="AU510" s="855">
        <f t="shared" si="526"/>
        <v>7.7700874091647165E-2</v>
      </c>
      <c r="AV510" s="855">
        <f t="shared" si="526"/>
        <v>-8.8266723658901425E-2</v>
      </c>
      <c r="AW510" s="855">
        <f t="shared" si="526"/>
        <v>5.4266291608063844E-2</v>
      </c>
      <c r="AX510" s="855"/>
      <c r="AY510" s="1013">
        <f t="shared" si="527"/>
        <v>-8.8266723658901425E-2</v>
      </c>
      <c r="AZ510" s="1013">
        <f t="shared" si="528"/>
        <v>5.4266291608063844E-2</v>
      </c>
      <c r="BA510" s="855">
        <f t="shared" si="526"/>
        <v>0.14278613662486661</v>
      </c>
      <c r="BB510" s="855">
        <f t="shared" si="526"/>
        <v>0.14029539688292858</v>
      </c>
      <c r="BC510" s="855">
        <f t="shared" si="521"/>
        <v>0.13645574247276371</v>
      </c>
      <c r="BD510" s="855">
        <f t="shared" si="521"/>
        <v>0.17531727441177503</v>
      </c>
      <c r="BE510" s="855">
        <f t="shared" si="521"/>
        <v>0.17956070629670173</v>
      </c>
      <c r="BF510" s="855">
        <f t="shared" si="521"/>
        <v>6.2507441926519913E-2</v>
      </c>
    </row>
    <row r="511" spans="2:61" s="1" customFormat="1" ht="10.5">
      <c r="B511" s="882"/>
      <c r="D511" s="838"/>
      <c r="E511" s="838"/>
      <c r="F511" s="838"/>
      <c r="G511" s="838"/>
      <c r="H511" s="838"/>
      <c r="I511" s="838"/>
      <c r="J511" s="838"/>
      <c r="K511" s="838"/>
      <c r="L511" s="838"/>
      <c r="M511" s="838"/>
      <c r="N511" s="838"/>
      <c r="O511" s="838"/>
      <c r="P511" s="838"/>
      <c r="Q511" s="838"/>
      <c r="R511" s="838"/>
      <c r="S511" s="838"/>
      <c r="T511" s="838"/>
      <c r="U511" s="838"/>
      <c r="V511" s="838"/>
      <c r="W511" s="838"/>
      <c r="X511" s="838"/>
      <c r="Y511" s="838"/>
      <c r="Z511" s="838"/>
      <c r="AA511" s="838"/>
      <c r="AB511" s="838"/>
      <c r="AC511" s="838"/>
      <c r="AD511" s="838"/>
      <c r="AE511" s="838"/>
      <c r="AF511" s="838"/>
      <c r="AG511" s="838"/>
      <c r="AH511" s="838"/>
      <c r="AI511" s="838"/>
      <c r="AK511" s="936"/>
      <c r="AL511" s="936"/>
      <c r="AM511" s="936"/>
      <c r="AN511" s="936"/>
      <c r="AO511" s="936"/>
      <c r="AP511" s="936"/>
      <c r="AQ511" s="936"/>
      <c r="AR511" s="936"/>
      <c r="AS511" s="936"/>
      <c r="AT511" s="849"/>
      <c r="AU511" s="849"/>
      <c r="AV511" s="849"/>
      <c r="AW511" s="849"/>
      <c r="AX511" s="849"/>
      <c r="AY511" s="849"/>
      <c r="AZ511" s="849"/>
      <c r="BA511" s="849"/>
      <c r="BB511" s="849"/>
      <c r="BC511" s="849"/>
      <c r="BD511" s="849"/>
      <c r="BE511" s="849"/>
      <c r="BF511" s="849"/>
    </row>
    <row r="512" spans="2:61" ht="10.5">
      <c r="B512" s="910" t="s">
        <v>278</v>
      </c>
    </row>
    <row r="513" spans="2:58" hidden="1" outlineLevel="1">
      <c r="B513" s="878" t="s">
        <v>545</v>
      </c>
      <c r="D513" s="879">
        <v>4035</v>
      </c>
      <c r="E513" s="879">
        <v>6268</v>
      </c>
      <c r="F513" s="879">
        <v>3801</v>
      </c>
      <c r="G513" s="879">
        <v>3776</v>
      </c>
      <c r="H513" s="879">
        <v>3581</v>
      </c>
      <c r="I513" s="879">
        <v>5378</v>
      </c>
      <c r="J513" s="879">
        <v>3075</v>
      </c>
      <c r="K513" s="879">
        <v>3141</v>
      </c>
      <c r="L513" s="879">
        <v>2980</v>
      </c>
      <c r="M513" s="879">
        <v>5498</v>
      </c>
      <c r="N513" s="879">
        <v>3425</v>
      </c>
      <c r="O513" s="879">
        <v>3517</v>
      </c>
      <c r="P513" s="879">
        <v>3649</v>
      </c>
      <c r="Q513" s="879">
        <v>5885</v>
      </c>
      <c r="R513" s="879">
        <v>3441</v>
      </c>
      <c r="S513" s="879">
        <v>3298</v>
      </c>
      <c r="T513" s="879">
        <v>3305</v>
      </c>
      <c r="U513" s="879">
        <v>4966</v>
      </c>
      <c r="V513" s="879">
        <v>3376</v>
      </c>
      <c r="W513" s="879">
        <v>4370</v>
      </c>
      <c r="X513" s="879">
        <v>3597</v>
      </c>
      <c r="Y513" s="879">
        <v>6058</v>
      </c>
      <c r="Z513" s="879">
        <v>4277</v>
      </c>
      <c r="AA513" s="879">
        <v>4287</v>
      </c>
      <c r="AB513" s="879">
        <v>3792</v>
      </c>
      <c r="AC513" s="879">
        <v>6331</v>
      </c>
      <c r="AD513" s="879">
        <v>4584</v>
      </c>
      <c r="AE513" s="879">
        <v>4357</v>
      </c>
      <c r="AF513" s="879">
        <v>4302</v>
      </c>
      <c r="AG513" s="879"/>
      <c r="AH513" s="879"/>
      <c r="AI513" s="879"/>
      <c r="AK513" s="879">
        <v>3517</v>
      </c>
      <c r="AL513" s="879">
        <v>3517</v>
      </c>
      <c r="AM513" s="879"/>
      <c r="AN513" s="879"/>
      <c r="AO513" s="879"/>
      <c r="AP513" s="879"/>
      <c r="AQ513" s="879"/>
      <c r="AR513" s="879"/>
      <c r="AS513" s="879"/>
      <c r="AT513" s="29">
        <v>16681</v>
      </c>
      <c r="AU513" s="29">
        <v>21410</v>
      </c>
      <c r="AV513" s="29">
        <v>17880</v>
      </c>
      <c r="AW513" s="29">
        <v>15175</v>
      </c>
      <c r="AX513" s="29"/>
      <c r="AY513" s="880">
        <f>+SUM(D513:G513)</f>
        <v>17880</v>
      </c>
      <c r="AZ513" s="880">
        <f>+SUM(H513:K513)</f>
        <v>15175</v>
      </c>
      <c r="BA513" s="880">
        <f>+SUM(L513:O513)</f>
        <v>15420</v>
      </c>
      <c r="BB513" s="880">
        <v>16273</v>
      </c>
      <c r="BC513" s="880">
        <f>SUM(T513:W513)</f>
        <v>16017</v>
      </c>
      <c r="BD513" s="880">
        <f t="shared" ref="BD513:BD515" si="531">SUM(X513:AA513)</f>
        <v>18219</v>
      </c>
      <c r="BE513" s="880">
        <f t="shared" ref="BE513:BE514" si="532">SUM(AB513:AE513)</f>
        <v>19064</v>
      </c>
      <c r="BF513" s="880"/>
    </row>
    <row r="514" spans="2:58" ht="11.45" hidden="1" outlineLevel="1">
      <c r="B514" s="878" t="s">
        <v>546</v>
      </c>
      <c r="D514" s="905">
        <v>3172</v>
      </c>
      <c r="E514" s="905">
        <v>3604</v>
      </c>
      <c r="F514" s="905">
        <v>3921</v>
      </c>
      <c r="G514" s="905">
        <v>4203</v>
      </c>
      <c r="H514" s="905">
        <v>4263</v>
      </c>
      <c r="I514" s="905">
        <v>4523</v>
      </c>
      <c r="J514" s="905">
        <v>4985</v>
      </c>
      <c r="K514" s="905">
        <v>5315</v>
      </c>
      <c r="L514" s="905">
        <v>5298</v>
      </c>
      <c r="M514" s="905">
        <v>5566</v>
      </c>
      <c r="N514" s="905">
        <v>5844</v>
      </c>
      <c r="O514" s="905">
        <v>6225</v>
      </c>
      <c r="P514" s="905">
        <v>6256</v>
      </c>
      <c r="Q514" s="905">
        <v>6538</v>
      </c>
      <c r="R514" s="905">
        <v>6729</v>
      </c>
      <c r="S514" s="905">
        <v>7114</v>
      </c>
      <c r="T514" s="905">
        <v>7101</v>
      </c>
      <c r="U514" s="905">
        <v>7392</v>
      </c>
      <c r="V514" s="905">
        <v>7599</v>
      </c>
      <c r="W514" s="905">
        <v>7969</v>
      </c>
      <c r="X514" s="905">
        <v>7405</v>
      </c>
      <c r="Y514" s="905">
        <v>8136</v>
      </c>
      <c r="Z514" s="905">
        <v>8768</v>
      </c>
      <c r="AA514" s="905">
        <v>9704</v>
      </c>
      <c r="AB514" s="905">
        <v>9854</v>
      </c>
      <c r="AC514" s="905">
        <v>10629</v>
      </c>
      <c r="AD514" s="905">
        <v>11031</v>
      </c>
      <c r="AE514" s="905">
        <v>12072</v>
      </c>
      <c r="AF514" s="905">
        <v>11150</v>
      </c>
      <c r="AG514" s="905"/>
      <c r="AH514" s="905"/>
      <c r="AI514" s="905"/>
      <c r="AK514" s="905">
        <v>6225</v>
      </c>
      <c r="AL514" s="905">
        <v>6225</v>
      </c>
      <c r="AM514" s="905"/>
      <c r="AN514" s="905"/>
      <c r="AO514" s="905"/>
      <c r="AP514" s="905"/>
      <c r="AQ514" s="905"/>
      <c r="AR514" s="905"/>
      <c r="AS514" s="905"/>
      <c r="AT514" s="30">
        <v>10397</v>
      </c>
      <c r="AU514" s="30">
        <v>11628</v>
      </c>
      <c r="AV514" s="30">
        <v>14900</v>
      </c>
      <c r="AW514" s="30">
        <v>19086</v>
      </c>
      <c r="AX514" s="30"/>
      <c r="AY514" s="906">
        <f>+SUM(D514:G514)</f>
        <v>14900</v>
      </c>
      <c r="AZ514" s="906">
        <f>+SUM(H514:K514)</f>
        <v>19086</v>
      </c>
      <c r="BA514" s="906">
        <f>+SUM(L514:O514)</f>
        <v>22933</v>
      </c>
      <c r="BB514" s="906">
        <v>26637</v>
      </c>
      <c r="BC514" s="906">
        <f>SUM(T514:W514)</f>
        <v>30061</v>
      </c>
      <c r="BD514" s="906">
        <f t="shared" si="531"/>
        <v>34013</v>
      </c>
      <c r="BE514" s="906">
        <f t="shared" si="532"/>
        <v>43586</v>
      </c>
      <c r="BF514" s="906"/>
    </row>
    <row r="515" spans="2:58" hidden="1" outlineLevel="1">
      <c r="B515" s="916" t="s">
        <v>547</v>
      </c>
      <c r="D515" s="8">
        <f>SUM(D513:D514)</f>
        <v>7207</v>
      </c>
      <c r="E515" s="8">
        <f t="shared" ref="E515:AF515" si="533">SUM(E513:E514)</f>
        <v>9872</v>
      </c>
      <c r="F515" s="8">
        <f t="shared" si="533"/>
        <v>7722</v>
      </c>
      <c r="G515" s="8">
        <f t="shared" si="533"/>
        <v>7979</v>
      </c>
      <c r="H515" s="8">
        <f t="shared" si="533"/>
        <v>7844</v>
      </c>
      <c r="I515" s="8">
        <f t="shared" si="533"/>
        <v>9901</v>
      </c>
      <c r="J515" s="8">
        <f t="shared" si="533"/>
        <v>8060</v>
      </c>
      <c r="K515" s="8">
        <f t="shared" si="533"/>
        <v>8456</v>
      </c>
      <c r="L515" s="8">
        <f t="shared" si="533"/>
        <v>8278</v>
      </c>
      <c r="M515" s="8">
        <f t="shared" si="533"/>
        <v>11064</v>
      </c>
      <c r="N515" s="8">
        <f t="shared" si="533"/>
        <v>9269</v>
      </c>
      <c r="O515" s="8">
        <f t="shared" si="533"/>
        <v>9742</v>
      </c>
      <c r="P515" s="8">
        <f t="shared" si="533"/>
        <v>9905</v>
      </c>
      <c r="Q515" s="8">
        <f t="shared" si="533"/>
        <v>12423</v>
      </c>
      <c r="R515" s="8">
        <f t="shared" si="533"/>
        <v>10170</v>
      </c>
      <c r="S515" s="8">
        <f t="shared" si="533"/>
        <v>10412</v>
      </c>
      <c r="T515" s="8">
        <f t="shared" si="533"/>
        <v>10406</v>
      </c>
      <c r="U515" s="8">
        <f t="shared" si="533"/>
        <v>12358</v>
      </c>
      <c r="V515" s="8">
        <f t="shared" si="533"/>
        <v>10975</v>
      </c>
      <c r="W515" s="8">
        <f t="shared" si="533"/>
        <v>12339</v>
      </c>
      <c r="X515" s="8">
        <f t="shared" si="533"/>
        <v>11002</v>
      </c>
      <c r="Y515" s="8">
        <f t="shared" si="533"/>
        <v>14194</v>
      </c>
      <c r="Z515" s="8">
        <f t="shared" si="533"/>
        <v>13045</v>
      </c>
      <c r="AA515" s="8">
        <f t="shared" si="533"/>
        <v>13991</v>
      </c>
      <c r="AB515" s="8">
        <f t="shared" si="533"/>
        <v>13646</v>
      </c>
      <c r="AC515" s="8">
        <f t="shared" si="533"/>
        <v>16960</v>
      </c>
      <c r="AD515" s="8">
        <f t="shared" si="533"/>
        <v>15615</v>
      </c>
      <c r="AE515" s="8">
        <f t="shared" si="533"/>
        <v>16429</v>
      </c>
      <c r="AF515" s="8">
        <f t="shared" si="533"/>
        <v>15452</v>
      </c>
      <c r="AG515" s="8"/>
      <c r="AH515" s="8"/>
      <c r="AI515" s="8"/>
      <c r="AK515" s="29">
        <v>6031</v>
      </c>
      <c r="AL515" s="29">
        <v>7650</v>
      </c>
      <c r="AM515" s="29">
        <v>10693</v>
      </c>
      <c r="AN515" s="29">
        <v>11598</v>
      </c>
      <c r="AO515" s="29">
        <v>12155</v>
      </c>
      <c r="AP515" s="29">
        <v>12395</v>
      </c>
      <c r="AQ515" s="29">
        <v>15577</v>
      </c>
      <c r="AR515" s="29">
        <v>17530</v>
      </c>
      <c r="AS515" s="29">
        <v>20385</v>
      </c>
      <c r="AT515" s="11">
        <f>SUM(AT513:AT514)</f>
        <v>27078</v>
      </c>
      <c r="AU515" s="11">
        <f>SUM(AU513:AU514)</f>
        <v>33038</v>
      </c>
      <c r="AV515" s="11">
        <f t="shared" ref="AV515:AW515" si="534">SUM(AV513:AV514)</f>
        <v>32780</v>
      </c>
      <c r="AW515" s="11">
        <f t="shared" si="534"/>
        <v>34261</v>
      </c>
      <c r="AX515" s="11"/>
      <c r="AY515" s="11">
        <f>+SUM(D515:G515)</f>
        <v>32780</v>
      </c>
      <c r="AZ515" s="11">
        <f>+SUM(H515:K515)</f>
        <v>34261</v>
      </c>
      <c r="BA515" s="11">
        <f>+SUM(L515:O515)</f>
        <v>38353</v>
      </c>
      <c r="BB515" s="11">
        <f>+SUM(BB513:BB514)</f>
        <v>42910</v>
      </c>
      <c r="BC515" s="11">
        <f>+SUM(BC513:BC514)</f>
        <v>46078</v>
      </c>
      <c r="BD515" s="11">
        <f t="shared" si="531"/>
        <v>52232</v>
      </c>
      <c r="BE515" s="11">
        <f>SUM(AB515:AE515)</f>
        <v>62650</v>
      </c>
      <c r="BF515" s="11"/>
    </row>
    <row r="516" spans="2:58" hidden="1" outlineLevel="1">
      <c r="B516" s="916"/>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K516" s="29"/>
      <c r="AL516" s="29"/>
      <c r="AM516" s="29"/>
      <c r="AN516" s="29"/>
      <c r="AO516" s="29"/>
      <c r="AP516" s="29"/>
      <c r="AQ516" s="29"/>
      <c r="AR516" s="29"/>
      <c r="AS516" s="29"/>
      <c r="AT516" s="11"/>
      <c r="AU516" s="11"/>
      <c r="AV516" s="11"/>
      <c r="AW516" s="11"/>
      <c r="AX516" s="11"/>
      <c r="AY516" s="11"/>
      <c r="AZ516" s="11"/>
      <c r="BA516" s="11"/>
      <c r="BB516" s="11"/>
      <c r="BC516" s="11"/>
      <c r="BD516" s="11"/>
      <c r="BE516" s="11"/>
      <c r="BF516" s="11"/>
    </row>
    <row r="517" spans="2:58" collapsed="1">
      <c r="B517" s="878" t="s">
        <v>545</v>
      </c>
      <c r="D517" s="8">
        <f t="shared" ref="D517:S519" si="535">+D503-D513</f>
        <v>11715</v>
      </c>
      <c r="E517" s="8">
        <f t="shared" si="535"/>
        <v>13163</v>
      </c>
      <c r="F517" s="8">
        <f t="shared" si="535"/>
        <v>11506</v>
      </c>
      <c r="G517" s="8">
        <f t="shared" si="535"/>
        <v>13072</v>
      </c>
      <c r="H517" s="8">
        <f>+H503-H513</f>
        <v>11387</v>
      </c>
      <c r="I517" s="8">
        <f t="shared" ref="I517:BE519" si="536">+I503-I513</f>
        <v>12895</v>
      </c>
      <c r="J517" s="8">
        <f t="shared" si="536"/>
        <v>11438</v>
      </c>
      <c r="K517" s="8">
        <f t="shared" si="536"/>
        <v>12916</v>
      </c>
      <c r="L517" s="8">
        <f t="shared" si="536"/>
        <v>11318</v>
      </c>
      <c r="M517" s="8">
        <f t="shared" si="536"/>
        <v>12428</v>
      </c>
      <c r="N517" s="8">
        <f t="shared" si="536"/>
        <v>11689</v>
      </c>
      <c r="O517" s="8">
        <f t="shared" si="536"/>
        <v>13642</v>
      </c>
      <c r="P517" s="8">
        <f t="shared" si="536"/>
        <v>13650</v>
      </c>
      <c r="Q517" s="8">
        <f t="shared" si="536"/>
        <v>10334</v>
      </c>
      <c r="R517" s="8">
        <f t="shared" si="536"/>
        <v>12007</v>
      </c>
      <c r="S517" s="8">
        <f t="shared" si="536"/>
        <v>13805</v>
      </c>
      <c r="T517" s="8">
        <f t="shared" si="536"/>
        <v>12463</v>
      </c>
      <c r="U517" s="8">
        <f t="shared" si="536"/>
        <v>13289</v>
      </c>
      <c r="V517" s="8">
        <f t="shared" si="536"/>
        <v>12495</v>
      </c>
      <c r="W517" s="8">
        <f t="shared" si="536"/>
        <v>13777</v>
      </c>
      <c r="X517" s="8">
        <f t="shared" si="536"/>
        <v>12206</v>
      </c>
      <c r="Y517" s="8">
        <f t="shared" si="536"/>
        <v>13402</v>
      </c>
      <c r="Z517" s="8">
        <f t="shared" si="536"/>
        <v>12596</v>
      </c>
      <c r="AA517" s="8">
        <f t="shared" si="536"/>
        <v>14651</v>
      </c>
      <c r="AB517" s="8">
        <f t="shared" si="536"/>
        <v>12839</v>
      </c>
      <c r="AC517" s="8">
        <f t="shared" si="536"/>
        <v>14448</v>
      </c>
      <c r="AD517" s="8">
        <f t="shared" si="536"/>
        <v>12782</v>
      </c>
      <c r="AE517" s="8">
        <f t="shared" si="536"/>
        <v>13599</v>
      </c>
      <c r="AF517" s="8">
        <f t="shared" si="536"/>
        <v>11439</v>
      </c>
      <c r="AG517" s="8"/>
      <c r="AH517" s="8"/>
      <c r="AI517" s="8"/>
      <c r="AK517" s="29"/>
      <c r="AL517" s="29"/>
      <c r="AM517" s="29"/>
      <c r="AN517" s="29"/>
      <c r="AO517" s="29"/>
      <c r="AP517" s="29"/>
      <c r="AQ517" s="29"/>
      <c r="AR517" s="29"/>
      <c r="AS517" s="29"/>
      <c r="AT517" s="11">
        <f t="shared" si="536"/>
        <v>56267</v>
      </c>
      <c r="AU517" s="11">
        <f t="shared" si="536"/>
        <v>54546</v>
      </c>
      <c r="AV517" s="11">
        <f t="shared" si="536"/>
        <v>43622</v>
      </c>
      <c r="AW517" s="11">
        <f t="shared" si="536"/>
        <v>42015</v>
      </c>
      <c r="AX517" s="11"/>
      <c r="AY517" s="11">
        <f t="shared" si="536"/>
        <v>49456</v>
      </c>
      <c r="AZ517" s="11">
        <f t="shared" si="536"/>
        <v>48636</v>
      </c>
      <c r="BA517" s="11">
        <f t="shared" si="536"/>
        <v>49077</v>
      </c>
      <c r="BB517" s="11">
        <f t="shared" si="536"/>
        <v>49796</v>
      </c>
      <c r="BC517" s="11">
        <f t="shared" si="536"/>
        <v>52024</v>
      </c>
      <c r="BD517" s="11">
        <f t="shared" si="536"/>
        <v>52855</v>
      </c>
      <c r="BE517" s="11">
        <f t="shared" si="536"/>
        <v>53668</v>
      </c>
      <c r="BF517" s="11"/>
    </row>
    <row r="518" spans="2:58" s="852" customFormat="1">
      <c r="B518" s="878" t="s">
        <v>546</v>
      </c>
      <c r="D518" s="853">
        <f t="shared" si="535"/>
        <v>1988</v>
      </c>
      <c r="E518" s="853">
        <f t="shared" si="535"/>
        <v>2218</v>
      </c>
      <c r="F518" s="853">
        <f t="shared" si="535"/>
        <v>2289</v>
      </c>
      <c r="G518" s="853">
        <f t="shared" si="535"/>
        <v>2423</v>
      </c>
      <c r="H518" s="853">
        <f t="shared" si="535"/>
        <v>2697</v>
      </c>
      <c r="I518" s="853">
        <f t="shared" si="535"/>
        <v>3030</v>
      </c>
      <c r="J518" s="853">
        <f t="shared" si="535"/>
        <v>3714</v>
      </c>
      <c r="K518" s="853">
        <f t="shared" si="535"/>
        <v>4233</v>
      </c>
      <c r="L518" s="853">
        <f t="shared" si="535"/>
        <v>4942</v>
      </c>
      <c r="M518" s="853">
        <f t="shared" si="535"/>
        <v>5426</v>
      </c>
      <c r="N518" s="853">
        <f t="shared" si="535"/>
        <v>5861</v>
      </c>
      <c r="O518" s="853">
        <f t="shared" si="535"/>
        <v>6701</v>
      </c>
      <c r="P518" s="853">
        <f t="shared" si="535"/>
        <v>5529</v>
      </c>
      <c r="Q518" s="853">
        <f t="shared" si="535"/>
        <v>9714</v>
      </c>
      <c r="R518" s="853">
        <f t="shared" si="535"/>
        <v>8394</v>
      </c>
      <c r="S518" s="853">
        <f t="shared" si="535"/>
        <v>9500</v>
      </c>
      <c r="T518" s="853">
        <f t="shared" si="536"/>
        <v>10186</v>
      </c>
      <c r="U518" s="853">
        <f t="shared" si="536"/>
        <v>11259</v>
      </c>
      <c r="V518" s="853">
        <f t="shared" si="536"/>
        <v>11551</v>
      </c>
      <c r="W518" s="853">
        <f t="shared" si="536"/>
        <v>11917</v>
      </c>
      <c r="X518" s="853">
        <f t="shared" si="536"/>
        <v>13946</v>
      </c>
      <c r="Y518" s="853">
        <f t="shared" si="536"/>
        <v>15480</v>
      </c>
      <c r="Z518" s="853">
        <f t="shared" si="536"/>
        <v>16065</v>
      </c>
      <c r="AA518" s="853">
        <f t="shared" si="536"/>
        <v>17510</v>
      </c>
      <c r="AB518" s="853">
        <f t="shared" si="536"/>
        <v>18832</v>
      </c>
      <c r="AC518" s="853">
        <f t="shared" si="536"/>
        <v>20320</v>
      </c>
      <c r="AD518" s="853">
        <f t="shared" si="536"/>
        <v>20963</v>
      </c>
      <c r="AE518" s="853">
        <f t="shared" si="536"/>
        <v>21837</v>
      </c>
      <c r="AF518" s="853">
        <f t="shared" si="536"/>
        <v>23231</v>
      </c>
      <c r="AG518" s="853"/>
      <c r="AH518" s="853"/>
      <c r="AI518" s="853"/>
      <c r="AK518" s="939"/>
      <c r="AL518" s="939"/>
      <c r="AM518" s="939"/>
      <c r="AN518" s="939"/>
      <c r="AO518" s="939"/>
      <c r="AP518" s="939"/>
      <c r="AQ518" s="939"/>
      <c r="AR518" s="939"/>
      <c r="AS518" s="939"/>
      <c r="AT518" s="940">
        <f t="shared" si="536"/>
        <v>3488</v>
      </c>
      <c r="AU518" s="940">
        <f t="shared" si="536"/>
        <v>5996</v>
      </c>
      <c r="AV518" s="940">
        <f t="shared" si="536"/>
        <v>8918</v>
      </c>
      <c r="AW518" s="940">
        <f t="shared" si="536"/>
        <v>13674</v>
      </c>
      <c r="AX518" s="940"/>
      <c r="AY518" s="940">
        <f t="shared" si="536"/>
        <v>8918</v>
      </c>
      <c r="AZ518" s="940">
        <f t="shared" si="536"/>
        <v>13674</v>
      </c>
      <c r="BA518" s="940">
        <f t="shared" si="536"/>
        <v>22930</v>
      </c>
      <c r="BB518" s="940">
        <f t="shared" si="536"/>
        <v>33137</v>
      </c>
      <c r="BC518" s="940">
        <f t="shared" si="536"/>
        <v>44913</v>
      </c>
      <c r="BD518" s="940">
        <f t="shared" si="536"/>
        <v>63001</v>
      </c>
      <c r="BE518" s="940">
        <f t="shared" si="536"/>
        <v>81952</v>
      </c>
      <c r="BF518" s="940"/>
    </row>
    <row r="519" spans="2:58" s="1" customFormat="1" ht="10.5">
      <c r="B519" s="882" t="s">
        <v>548</v>
      </c>
      <c r="D519" s="838">
        <f t="shared" si="535"/>
        <v>13703</v>
      </c>
      <c r="E519" s="838">
        <f t="shared" si="535"/>
        <v>15381</v>
      </c>
      <c r="F519" s="838">
        <f t="shared" si="535"/>
        <v>13795</v>
      </c>
      <c r="G519" s="838">
        <f t="shared" si="535"/>
        <v>15495</v>
      </c>
      <c r="H519" s="838">
        <f t="shared" si="535"/>
        <v>14084</v>
      </c>
      <c r="I519" s="838">
        <f t="shared" si="535"/>
        <v>15925</v>
      </c>
      <c r="J519" s="838">
        <f t="shared" si="535"/>
        <v>15152</v>
      </c>
      <c r="K519" s="838">
        <f t="shared" si="535"/>
        <v>17149</v>
      </c>
      <c r="L519" s="838">
        <f t="shared" si="535"/>
        <v>16260</v>
      </c>
      <c r="M519" s="838">
        <f t="shared" si="535"/>
        <v>17854</v>
      </c>
      <c r="N519" s="838">
        <f t="shared" si="535"/>
        <v>17550</v>
      </c>
      <c r="O519" s="838">
        <f t="shared" si="535"/>
        <v>20343</v>
      </c>
      <c r="P519" s="838">
        <f t="shared" si="535"/>
        <v>19179</v>
      </c>
      <c r="Q519" s="838">
        <f t="shared" si="535"/>
        <v>20048</v>
      </c>
      <c r="R519" s="838">
        <f t="shared" si="535"/>
        <v>20401</v>
      </c>
      <c r="S519" s="838">
        <f t="shared" si="535"/>
        <v>23305</v>
      </c>
      <c r="T519" s="838">
        <f t="shared" si="536"/>
        <v>22649</v>
      </c>
      <c r="U519" s="838">
        <f t="shared" si="536"/>
        <v>24548</v>
      </c>
      <c r="V519" s="838">
        <f t="shared" si="536"/>
        <v>24046</v>
      </c>
      <c r="W519" s="838">
        <f t="shared" si="536"/>
        <v>25694</v>
      </c>
      <c r="X519" s="838">
        <f t="shared" si="536"/>
        <v>26152</v>
      </c>
      <c r="Y519" s="838">
        <f t="shared" si="536"/>
        <v>28882</v>
      </c>
      <c r="Z519" s="838">
        <f t="shared" si="536"/>
        <v>28661</v>
      </c>
      <c r="AA519" s="838">
        <f t="shared" si="536"/>
        <v>32161</v>
      </c>
      <c r="AB519" s="838">
        <f t="shared" si="536"/>
        <v>31671</v>
      </c>
      <c r="AC519" s="838">
        <f t="shared" si="536"/>
        <v>34768</v>
      </c>
      <c r="AD519" s="838">
        <f t="shared" si="536"/>
        <v>33745</v>
      </c>
      <c r="AE519" s="838">
        <f t="shared" si="536"/>
        <v>35436</v>
      </c>
      <c r="AF519" s="838">
        <f t="shared" si="536"/>
        <v>34670</v>
      </c>
      <c r="AG519" s="838"/>
      <c r="AH519" s="838"/>
      <c r="AI519" s="838"/>
      <c r="AK519" s="838">
        <f t="shared" si="536"/>
        <v>33757</v>
      </c>
      <c r="AL519" s="838">
        <f t="shared" si="536"/>
        <v>36632</v>
      </c>
      <c r="AM519" s="838">
        <f t="shared" si="536"/>
        <v>40429</v>
      </c>
      <c r="AN519" s="838">
        <f t="shared" si="536"/>
        <v>48822</v>
      </c>
      <c r="AO519" s="838">
        <f t="shared" si="536"/>
        <v>46282</v>
      </c>
      <c r="AP519" s="838">
        <f t="shared" si="536"/>
        <v>50089</v>
      </c>
      <c r="AQ519" s="838">
        <f t="shared" si="536"/>
        <v>54366</v>
      </c>
      <c r="AR519" s="838">
        <f t="shared" si="536"/>
        <v>56193</v>
      </c>
      <c r="AS519" s="838">
        <f t="shared" si="536"/>
        <v>57464</v>
      </c>
      <c r="AT519" s="838">
        <f t="shared" si="536"/>
        <v>59755</v>
      </c>
      <c r="AU519" s="838">
        <f t="shared" si="536"/>
        <v>60542</v>
      </c>
      <c r="AV519" s="838">
        <f t="shared" si="536"/>
        <v>52540</v>
      </c>
      <c r="AW519" s="838">
        <f t="shared" si="536"/>
        <v>55689</v>
      </c>
      <c r="AX519" s="838"/>
      <c r="AY519" s="849">
        <f>+SUM(D519:G519)</f>
        <v>58374</v>
      </c>
      <c r="AZ519" s="849">
        <f>+SUM(H519:K519)</f>
        <v>62310</v>
      </c>
      <c r="BA519" s="849">
        <f>+SUM(L519:O519)</f>
        <v>72007</v>
      </c>
      <c r="BB519" s="849">
        <f>+BB505-BB515</f>
        <v>82933</v>
      </c>
      <c r="BC519" s="849">
        <f t="shared" si="536"/>
        <v>96937</v>
      </c>
      <c r="BD519" s="849">
        <f t="shared" si="536"/>
        <v>115856</v>
      </c>
      <c r="BE519" s="849">
        <f t="shared" si="536"/>
        <v>135620</v>
      </c>
      <c r="BF519" s="849"/>
    </row>
    <row r="520" spans="2:58" s="1" customFormat="1" ht="10.5">
      <c r="B520" s="941"/>
      <c r="D520" s="838"/>
      <c r="E520" s="838"/>
      <c r="F520" s="838"/>
      <c r="G520" s="838"/>
      <c r="H520" s="838"/>
      <c r="I520" s="838"/>
      <c r="J520" s="838"/>
      <c r="K520" s="838"/>
      <c r="L520" s="838"/>
      <c r="M520" s="838"/>
      <c r="N520" s="838"/>
      <c r="O520" s="838"/>
      <c r="P520" s="838"/>
      <c r="Q520" s="838"/>
      <c r="R520" s="838"/>
      <c r="S520" s="838"/>
      <c r="T520" s="838"/>
      <c r="U520" s="838"/>
      <c r="V520" s="838"/>
      <c r="W520" s="228"/>
      <c r="X520" s="228"/>
      <c r="Y520" s="228"/>
      <c r="Z520" s="838"/>
      <c r="AA520" s="838"/>
      <c r="AB520" s="838"/>
      <c r="AC520" s="838"/>
      <c r="AD520" s="838"/>
      <c r="AE520" s="838"/>
      <c r="AF520" s="838"/>
      <c r="AG520" s="838"/>
      <c r="AH520" s="838"/>
      <c r="AI520" s="838"/>
      <c r="AK520" s="838"/>
      <c r="AL520" s="838"/>
      <c r="AM520" s="838"/>
      <c r="AN520" s="838"/>
      <c r="AO520" s="838"/>
      <c r="AP520" s="838"/>
      <c r="AQ520" s="838"/>
      <c r="AR520" s="838"/>
      <c r="AS520" s="838"/>
      <c r="AT520" s="838"/>
      <c r="AU520" s="838"/>
      <c r="AV520" s="838"/>
      <c r="AW520" s="838"/>
      <c r="AX520" s="838"/>
      <c r="AY520" s="849"/>
      <c r="AZ520" s="849"/>
      <c r="BA520" s="849"/>
      <c r="BB520" s="849"/>
      <c r="BC520" s="849"/>
      <c r="BD520" s="849"/>
      <c r="BE520" s="849"/>
      <c r="BF520" s="849"/>
    </row>
    <row r="521" spans="2:58" s="1" customFormat="1" ht="10.5">
      <c r="B521" s="847" t="s">
        <v>123</v>
      </c>
      <c r="D521" s="838"/>
      <c r="E521" s="838"/>
      <c r="F521" s="838"/>
      <c r="G521" s="838"/>
      <c r="H521" s="838"/>
      <c r="I521" s="838"/>
      <c r="J521" s="838"/>
      <c r="K521" s="838"/>
      <c r="L521" s="838"/>
      <c r="M521" s="838"/>
      <c r="N521" s="838"/>
      <c r="O521" s="838"/>
      <c r="P521" s="838"/>
      <c r="Q521" s="838"/>
      <c r="R521" s="838"/>
      <c r="S521" s="838"/>
      <c r="T521" s="838"/>
      <c r="U521" s="838"/>
      <c r="V521" s="838"/>
      <c r="W521" s="838"/>
      <c r="X521" s="838"/>
      <c r="Y521" s="838"/>
      <c r="Z521" s="838"/>
      <c r="AA521" s="838"/>
      <c r="AB521" s="838"/>
      <c r="AC521" s="838"/>
      <c r="AD521" s="838"/>
      <c r="AE521" s="838"/>
      <c r="AF521" s="838"/>
      <c r="AG521" s="838"/>
      <c r="AH521" s="838"/>
      <c r="AI521" s="838"/>
      <c r="AK521" s="838"/>
      <c r="AL521" s="838"/>
      <c r="AM521" s="838"/>
      <c r="AN521" s="838"/>
      <c r="AO521" s="838"/>
      <c r="AP521" s="838"/>
      <c r="AQ521" s="838"/>
      <c r="AR521" s="838"/>
      <c r="AS521" s="838"/>
      <c r="AT521" s="838"/>
      <c r="AU521" s="838"/>
      <c r="AV521" s="838"/>
      <c r="AW521" s="838"/>
      <c r="AX521" s="838"/>
      <c r="AY521" s="849"/>
      <c r="AZ521" s="849"/>
      <c r="BA521" s="849"/>
      <c r="BB521" s="849"/>
      <c r="BC521" s="849"/>
      <c r="BD521" s="849"/>
      <c r="BE521" s="849"/>
      <c r="BF521" s="849"/>
    </row>
    <row r="522" spans="2:58" s="3" customFormat="1">
      <c r="B522" s="884" t="str">
        <f>+B517</f>
        <v>Product</v>
      </c>
      <c r="D522" s="92"/>
      <c r="E522" s="92"/>
      <c r="F522" s="92"/>
      <c r="G522" s="92"/>
      <c r="H522" s="228">
        <f t="shared" ref="H522:AF524" si="537">+H517/H503</f>
        <v>0.76075628006413687</v>
      </c>
      <c r="I522" s="228">
        <f t="shared" si="537"/>
        <v>0.70568598478629674</v>
      </c>
      <c r="J522" s="228">
        <f t="shared" si="537"/>
        <v>0.78812099497002686</v>
      </c>
      <c r="K522" s="228">
        <f t="shared" si="537"/>
        <v>0.8043843806439559</v>
      </c>
      <c r="L522" s="228">
        <f t="shared" si="537"/>
        <v>0.79157924185200723</v>
      </c>
      <c r="M522" s="228">
        <f t="shared" si="537"/>
        <v>0.69329465580720739</v>
      </c>
      <c r="N522" s="228">
        <f t="shared" si="537"/>
        <v>0.77338891094349604</v>
      </c>
      <c r="O522" s="228">
        <f t="shared" si="537"/>
        <v>0.79503467568040098</v>
      </c>
      <c r="P522" s="228">
        <f t="shared" si="537"/>
        <v>0.78906295161570028</v>
      </c>
      <c r="Q522" s="228">
        <f t="shared" si="537"/>
        <v>0.63715395523768414</v>
      </c>
      <c r="R522" s="228">
        <f t="shared" si="537"/>
        <v>0.77725271879854996</v>
      </c>
      <c r="S522" s="228">
        <f t="shared" si="537"/>
        <v>0.80716833304098701</v>
      </c>
      <c r="T522" s="228">
        <f t="shared" si="537"/>
        <v>0.79039827498731607</v>
      </c>
      <c r="U522" s="228">
        <f t="shared" si="537"/>
        <v>0.72796494111202414</v>
      </c>
      <c r="V522" s="228">
        <f t="shared" si="537"/>
        <v>0.78728498519311951</v>
      </c>
      <c r="W522" s="228">
        <f t="shared" si="537"/>
        <v>0.75918884664131814</v>
      </c>
      <c r="X522" s="228">
        <f t="shared" si="537"/>
        <v>0.77238499019173579</v>
      </c>
      <c r="Y522" s="228">
        <f t="shared" si="537"/>
        <v>0.68869475847893113</v>
      </c>
      <c r="Z522" s="228">
        <f t="shared" si="537"/>
        <v>0.74651810584958223</v>
      </c>
      <c r="AA522" s="228">
        <f t="shared" si="537"/>
        <v>0.7736297391488014</v>
      </c>
      <c r="AB522" s="228">
        <f t="shared" si="537"/>
        <v>0.77199206301485179</v>
      </c>
      <c r="AC522" s="228">
        <f t="shared" si="537"/>
        <v>0.69531738774724483</v>
      </c>
      <c r="AD522" s="228">
        <f t="shared" si="537"/>
        <v>0.73603593228146957</v>
      </c>
      <c r="AE522" s="228">
        <f t="shared" si="537"/>
        <v>0.75735130318556476</v>
      </c>
      <c r="AF522" s="228">
        <f t="shared" si="537"/>
        <v>0.72670097198399086</v>
      </c>
      <c r="AG522" s="228"/>
      <c r="AH522" s="228"/>
      <c r="AI522" s="228"/>
      <c r="AJ522" s="228"/>
      <c r="AK522" s="228"/>
      <c r="AL522" s="228"/>
      <c r="AM522" s="228"/>
      <c r="AN522" s="228"/>
      <c r="AO522" s="228"/>
      <c r="AP522" s="228"/>
      <c r="AQ522" s="228"/>
      <c r="AR522" s="228"/>
      <c r="AS522" s="228"/>
      <c r="AT522" s="228">
        <f t="shared" ref="AT522:AW523" si="538">+AT517/AT503</f>
        <v>0.77133026265284865</v>
      </c>
      <c r="AU522" s="228">
        <f t="shared" si="538"/>
        <v>0.71812628363789566</v>
      </c>
      <c r="AV522" s="228">
        <f t="shared" si="538"/>
        <v>0.70927774706513613</v>
      </c>
      <c r="AW522" s="228">
        <f t="shared" si="538"/>
        <v>0.73465640846301805</v>
      </c>
      <c r="AX522" s="228"/>
      <c r="AY522" s="228">
        <f t="shared" ref="AY522:BE524" si="539">+AY517/AY503</f>
        <v>0.73446596174408929</v>
      </c>
      <c r="AZ522" s="228">
        <f t="shared" si="539"/>
        <v>0.76218833743398473</v>
      </c>
      <c r="BA522" s="228">
        <f t="shared" si="539"/>
        <v>0.76091911251686128</v>
      </c>
      <c r="BB522" s="228">
        <f t="shared" si="539"/>
        <v>0.75369689264254036</v>
      </c>
      <c r="BC522" s="228">
        <f t="shared" si="539"/>
        <v>0.76459781602269217</v>
      </c>
      <c r="BD522" s="228">
        <f t="shared" si="539"/>
        <v>0.74366153586402906</v>
      </c>
      <c r="BE522" s="228">
        <f t="shared" si="539"/>
        <v>0.73788703734257277</v>
      </c>
      <c r="BF522" s="94"/>
    </row>
    <row r="523" spans="2:58" s="942" customFormat="1" ht="11.45">
      <c r="B523" s="884" t="str">
        <f t="shared" ref="B523:B524" si="540">+B518</f>
        <v>Service and other</v>
      </c>
      <c r="D523" s="846"/>
      <c r="E523" s="846"/>
      <c r="F523" s="846"/>
      <c r="G523" s="846"/>
      <c r="H523" s="840">
        <f t="shared" si="537"/>
        <v>0.38750000000000001</v>
      </c>
      <c r="I523" s="840">
        <f t="shared" si="537"/>
        <v>0.40116509996028066</v>
      </c>
      <c r="J523" s="840">
        <f t="shared" si="537"/>
        <v>0.42694562593401542</v>
      </c>
      <c r="K523" s="840">
        <f t="shared" si="537"/>
        <v>0.44333891914537077</v>
      </c>
      <c r="L523" s="840">
        <f t="shared" si="537"/>
        <v>0.48261718749999999</v>
      </c>
      <c r="M523" s="840">
        <f t="shared" si="537"/>
        <v>0.49363173216885009</v>
      </c>
      <c r="N523" s="840">
        <f t="shared" si="537"/>
        <v>0.50072618539085856</v>
      </c>
      <c r="O523" s="840">
        <f t="shared" si="537"/>
        <v>0.51841250193408639</v>
      </c>
      <c r="P523" s="840">
        <f t="shared" si="537"/>
        <v>0.46915570640644888</v>
      </c>
      <c r="Q523" s="840">
        <f t="shared" si="537"/>
        <v>0.59771105094757571</v>
      </c>
      <c r="R523" s="840">
        <f t="shared" si="537"/>
        <v>0.55504860146796275</v>
      </c>
      <c r="S523" s="840">
        <f t="shared" si="537"/>
        <v>0.57180690983507887</v>
      </c>
      <c r="T523" s="840">
        <f t="shared" si="537"/>
        <v>0.58922890032972752</v>
      </c>
      <c r="U523" s="840">
        <f t="shared" si="537"/>
        <v>0.60366736368023166</v>
      </c>
      <c r="V523" s="840">
        <f t="shared" si="537"/>
        <v>0.60318537859007837</v>
      </c>
      <c r="W523" s="840">
        <f t="shared" si="537"/>
        <v>0.59926581514633415</v>
      </c>
      <c r="X523" s="840">
        <f t="shared" si="537"/>
        <v>0.65317783710364852</v>
      </c>
      <c r="Y523" s="840">
        <f t="shared" si="537"/>
        <v>0.65548780487804881</v>
      </c>
      <c r="Z523" s="840">
        <f t="shared" si="537"/>
        <v>0.64692143518704948</v>
      </c>
      <c r="AA523" s="840">
        <f t="shared" si="537"/>
        <v>0.64341882854413168</v>
      </c>
      <c r="AB523" s="840">
        <f t="shared" si="537"/>
        <v>0.65648748518441047</v>
      </c>
      <c r="AC523" s="840">
        <f t="shared" si="537"/>
        <v>0.65656402468577335</v>
      </c>
      <c r="AD523" s="840">
        <f t="shared" si="537"/>
        <v>0.65521660311308372</v>
      </c>
      <c r="AE523" s="840">
        <f t="shared" si="537"/>
        <v>0.64398832168450859</v>
      </c>
      <c r="AF523" s="840">
        <f t="shared" si="537"/>
        <v>0.67569296995433525</v>
      </c>
      <c r="AG523" s="840"/>
      <c r="AH523" s="840"/>
      <c r="AI523" s="840"/>
      <c r="AJ523" s="840"/>
      <c r="AK523" s="840"/>
      <c r="AL523" s="840"/>
      <c r="AM523" s="840"/>
      <c r="AN523" s="840"/>
      <c r="AO523" s="840"/>
      <c r="AP523" s="840"/>
      <c r="AQ523" s="840"/>
      <c r="AR523" s="840"/>
      <c r="AS523" s="840"/>
      <c r="AT523" s="840">
        <f t="shared" si="538"/>
        <v>0.2512063377745769</v>
      </c>
      <c r="AU523" s="840">
        <f t="shared" si="538"/>
        <v>0.34021788470267816</v>
      </c>
      <c r="AV523" s="840">
        <f t="shared" si="538"/>
        <v>0.37442270551683599</v>
      </c>
      <c r="AW523" s="840">
        <f t="shared" si="538"/>
        <v>0.41739926739926742</v>
      </c>
      <c r="AX523" s="840"/>
      <c r="AY523" s="840">
        <f t="shared" si="539"/>
        <v>0.37442270551683599</v>
      </c>
      <c r="AZ523" s="840">
        <f t="shared" si="539"/>
        <v>0.41739926739926742</v>
      </c>
      <c r="BA523" s="840">
        <f t="shared" si="539"/>
        <v>0.4999672938970412</v>
      </c>
      <c r="BB523" s="840">
        <f t="shared" si="539"/>
        <v>0.55437146585471941</v>
      </c>
      <c r="BC523" s="840">
        <f t="shared" si="539"/>
        <v>0.59904766985888447</v>
      </c>
      <c r="BD523" s="840">
        <f t="shared" si="539"/>
        <v>0.64940111736450412</v>
      </c>
      <c r="BE523" s="840">
        <f t="shared" si="539"/>
        <v>0.65280632159186858</v>
      </c>
      <c r="BF523" s="943"/>
    </row>
    <row r="524" spans="2:58" s="7" customFormat="1">
      <c r="B524" s="841" t="str">
        <f t="shared" si="540"/>
        <v>Total gross profit</v>
      </c>
      <c r="D524" s="842">
        <f t="shared" ref="D524:V524" si="541">+D519/D505</f>
        <v>0.65533237685318024</v>
      </c>
      <c r="E524" s="842">
        <f t="shared" si="541"/>
        <v>0.60907614936839183</v>
      </c>
      <c r="F524" s="842">
        <f t="shared" si="541"/>
        <v>0.64112097411349167</v>
      </c>
      <c r="G524" s="842">
        <f t="shared" si="541"/>
        <v>0.66009201669932693</v>
      </c>
      <c r="H524" s="842">
        <f t="shared" si="541"/>
        <v>0.64228383801532285</v>
      </c>
      <c r="I524" s="842">
        <f t="shared" si="541"/>
        <v>0.61662665530860372</v>
      </c>
      <c r="J524" s="842">
        <f t="shared" si="541"/>
        <v>0.65276581078752371</v>
      </c>
      <c r="K524" s="842">
        <f t="shared" si="541"/>
        <v>0.66975200156219483</v>
      </c>
      <c r="L524" s="842">
        <f t="shared" si="541"/>
        <v>0.66264569239546822</v>
      </c>
      <c r="M524" s="842">
        <f t="shared" si="541"/>
        <v>0.6174009267584204</v>
      </c>
      <c r="N524" s="842">
        <f t="shared" si="541"/>
        <v>0.65438681531749876</v>
      </c>
      <c r="O524" s="842">
        <f t="shared" si="541"/>
        <v>0.67618414492271894</v>
      </c>
      <c r="P524" s="842">
        <f t="shared" si="541"/>
        <v>0.65943474075092834</v>
      </c>
      <c r="Q524" s="842">
        <f t="shared" si="541"/>
        <v>0.61741246034923469</v>
      </c>
      <c r="R524" s="842">
        <f t="shared" si="541"/>
        <v>0.66733178502502366</v>
      </c>
      <c r="S524" s="842">
        <f t="shared" si="541"/>
        <v>0.69119435299700449</v>
      </c>
      <c r="T524" s="842">
        <f t="shared" si="541"/>
        <v>0.6851913477537438</v>
      </c>
      <c r="U524" s="842">
        <f t="shared" si="541"/>
        <v>0.66514929821709212</v>
      </c>
      <c r="V524" s="842">
        <f t="shared" si="541"/>
        <v>0.68661660146769077</v>
      </c>
      <c r="W524" s="842">
        <f t="shared" si="537"/>
        <v>0.67557121447164303</v>
      </c>
      <c r="X524" s="842">
        <f t="shared" si="537"/>
        <v>0.70388114334930285</v>
      </c>
      <c r="Y524" s="842">
        <f t="shared" si="537"/>
        <v>0.67048936762930633</v>
      </c>
      <c r="Z524" s="842">
        <f t="shared" si="537"/>
        <v>0.68721526878626582</v>
      </c>
      <c r="AA524" s="842">
        <f t="shared" si="537"/>
        <v>0.69684954064829263</v>
      </c>
      <c r="AB524" s="842">
        <f t="shared" si="537"/>
        <v>0.6988768012004325</v>
      </c>
      <c r="AC524" s="842">
        <f t="shared" si="537"/>
        <v>0.67213114754098358</v>
      </c>
      <c r="AD524" s="842">
        <f t="shared" si="537"/>
        <v>0.68365072933549431</v>
      </c>
      <c r="AE524" s="842">
        <f t="shared" si="537"/>
        <v>0.68323532247180174</v>
      </c>
      <c r="AF524" s="842">
        <f t="shared" si="537"/>
        <v>0.69171222217788597</v>
      </c>
      <c r="AG524" s="842"/>
      <c r="AH524" s="842"/>
      <c r="AI524" s="842"/>
      <c r="AJ524" s="842"/>
      <c r="AK524" s="842">
        <f t="shared" ref="AK524:AW524" si="542">+AK519/AK505</f>
        <v>0.84842163466371767</v>
      </c>
      <c r="AL524" s="842">
        <f t="shared" si="542"/>
        <v>0.82724357526760306</v>
      </c>
      <c r="AM524" s="842">
        <f t="shared" si="542"/>
        <v>0.79083369195258402</v>
      </c>
      <c r="AN524" s="842">
        <f t="shared" si="542"/>
        <v>0.80804369414101296</v>
      </c>
      <c r="AO524" s="842">
        <f t="shared" si="542"/>
        <v>0.79199822030562828</v>
      </c>
      <c r="AP524" s="842">
        <f t="shared" si="542"/>
        <v>0.80162921707957235</v>
      </c>
      <c r="AQ524" s="842">
        <f t="shared" si="542"/>
        <v>0.77729007906438097</v>
      </c>
      <c r="AR524" s="842">
        <f t="shared" si="542"/>
        <v>0.76221803236439101</v>
      </c>
      <c r="AS524" s="842">
        <f t="shared" si="542"/>
        <v>0.73814692545825888</v>
      </c>
      <c r="AT524" s="842">
        <f t="shared" si="542"/>
        <v>0.68816003132449644</v>
      </c>
      <c r="AU524" s="842">
        <f t="shared" si="542"/>
        <v>0.64695447745244705</v>
      </c>
      <c r="AV524" s="842">
        <f t="shared" si="542"/>
        <v>0.61579934364744493</v>
      </c>
      <c r="AW524" s="842">
        <f t="shared" si="542"/>
        <v>0.61911061700944969</v>
      </c>
      <c r="AX524" s="842"/>
      <c r="AY524" s="842">
        <f>+AY519/AY505</f>
        <v>0.64038879259275516</v>
      </c>
      <c r="AZ524" s="842">
        <f>+AZ519/AZ505</f>
        <v>0.64522475691460168</v>
      </c>
      <c r="BA524" s="842">
        <f>+BA519/BA505</f>
        <v>0.65247372236317502</v>
      </c>
      <c r="BB524" s="842">
        <f>+BB519/BB505</f>
        <v>0.65901957200638894</v>
      </c>
      <c r="BC524" s="842">
        <f t="shared" si="539"/>
        <v>0.67781001992797962</v>
      </c>
      <c r="BD524" s="842">
        <f t="shared" si="539"/>
        <v>0.68925800771024703</v>
      </c>
      <c r="BE524" s="842">
        <f t="shared" si="539"/>
        <v>0.68401674484289099</v>
      </c>
      <c r="BF524" s="842"/>
    </row>
    <row r="525" spans="2:58">
      <c r="B525" s="87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K525" s="8"/>
      <c r="AL525" s="8"/>
      <c r="AM525" s="8"/>
      <c r="AN525" s="8"/>
      <c r="AO525" s="8"/>
      <c r="AP525" s="8"/>
      <c r="AQ525" s="8"/>
      <c r="AR525" s="8"/>
      <c r="AS525" s="8"/>
      <c r="AT525" s="8"/>
      <c r="AU525" s="8"/>
      <c r="AV525" s="8"/>
      <c r="AW525" s="8"/>
      <c r="AX525" s="8"/>
      <c r="AY525" s="11"/>
      <c r="AZ525" s="11"/>
      <c r="BA525" s="11"/>
      <c r="BB525" s="11"/>
      <c r="BC525" s="11"/>
      <c r="BD525" s="11"/>
      <c r="BE525" s="11"/>
      <c r="BF525" s="11"/>
    </row>
    <row r="526" spans="2:58">
      <c r="B526" s="878" t="s">
        <v>549</v>
      </c>
      <c r="D526" s="879">
        <v>2962</v>
      </c>
      <c r="E526" s="879">
        <v>2900</v>
      </c>
      <c r="F526" s="879">
        <v>2980</v>
      </c>
      <c r="G526" s="879">
        <v>3146</v>
      </c>
      <c r="H526" s="879">
        <v>3106</v>
      </c>
      <c r="I526" s="879">
        <v>3062</v>
      </c>
      <c r="J526" s="879">
        <v>3355</v>
      </c>
      <c r="K526" s="879">
        <v>3514</v>
      </c>
      <c r="L526" s="879">
        <v>3574</v>
      </c>
      <c r="M526" s="879">
        <v>3504</v>
      </c>
      <c r="N526" s="879">
        <v>3715</v>
      </c>
      <c r="O526" s="879">
        <v>3933</v>
      </c>
      <c r="P526" s="879">
        <v>3977</v>
      </c>
      <c r="Q526" s="879">
        <v>4070</v>
      </c>
      <c r="R526" s="879">
        <v>4316</v>
      </c>
      <c r="S526" s="879">
        <v>4513</v>
      </c>
      <c r="T526" s="879">
        <v>4565</v>
      </c>
      <c r="U526" s="879">
        <v>4603</v>
      </c>
      <c r="V526" s="879">
        <v>4887</v>
      </c>
      <c r="W526" s="879">
        <v>5214</v>
      </c>
      <c r="X526" s="879">
        <v>4926</v>
      </c>
      <c r="Y526" s="879">
        <v>4899</v>
      </c>
      <c r="Z526" s="879">
        <v>5204</v>
      </c>
      <c r="AA526" s="879">
        <v>5687</v>
      </c>
      <c r="AB526" s="879">
        <v>5599</v>
      </c>
      <c r="AC526" s="879">
        <v>5758</v>
      </c>
      <c r="AD526" s="879">
        <v>6306</v>
      </c>
      <c r="AE526" s="879">
        <v>6849</v>
      </c>
      <c r="AF526" s="879">
        <v>6628</v>
      </c>
      <c r="AG526" s="879"/>
      <c r="AH526" s="879"/>
      <c r="AI526" s="879"/>
      <c r="AK526" s="879">
        <v>6097</v>
      </c>
      <c r="AL526" s="879">
        <v>6584</v>
      </c>
      <c r="AM526" s="879">
        <v>7121</v>
      </c>
      <c r="AN526" s="879">
        <v>8164</v>
      </c>
      <c r="AO526" s="879">
        <v>9010</v>
      </c>
      <c r="AP526" s="879">
        <v>8714</v>
      </c>
      <c r="AQ526" s="879">
        <v>9043</v>
      </c>
      <c r="AR526" s="879">
        <v>9811</v>
      </c>
      <c r="AS526" s="879">
        <v>10411</v>
      </c>
      <c r="AT526" s="879">
        <v>11381</v>
      </c>
      <c r="AU526" s="879">
        <v>12046</v>
      </c>
      <c r="AV526" s="879">
        <v>11988</v>
      </c>
      <c r="AW526" s="879">
        <v>13037</v>
      </c>
      <c r="AX526" s="879"/>
      <c r="AY526" s="880">
        <f t="shared" ref="AY526:AY534" si="543">+SUM(D526:G526)</f>
        <v>11988</v>
      </c>
      <c r="AZ526" s="880">
        <f t="shared" ref="AZ526:AZ534" si="544">+SUM(H526:K526)</f>
        <v>13037</v>
      </c>
      <c r="BA526" s="880">
        <f t="shared" ref="BA526:BA534" si="545">+SUM(L526:O526)</f>
        <v>14726</v>
      </c>
      <c r="BB526" s="880">
        <v>16876</v>
      </c>
      <c r="BC526" s="880">
        <f>SUM(T526:W526)</f>
        <v>19269</v>
      </c>
      <c r="BD526" s="880">
        <f t="shared" ref="BD526:BD529" si="546">SUM(X526:AA526)</f>
        <v>20716</v>
      </c>
      <c r="BE526" s="880">
        <f t="shared" ref="BE526:BE529" si="547">SUM(AB526:AE526)</f>
        <v>24512</v>
      </c>
      <c r="BF526" s="880"/>
    </row>
    <row r="527" spans="2:58">
      <c r="B527" s="878" t="s">
        <v>508</v>
      </c>
      <c r="D527" s="879">
        <v>3341</v>
      </c>
      <c r="E527" s="879">
        <v>3954</v>
      </c>
      <c r="F527" s="879">
        <v>3398</v>
      </c>
      <c r="G527" s="879">
        <v>3942</v>
      </c>
      <c r="H527" s="879">
        <v>3218</v>
      </c>
      <c r="I527" s="879">
        <v>4079</v>
      </c>
      <c r="J527" s="879">
        <v>3872</v>
      </c>
      <c r="K527" s="879">
        <v>4292</v>
      </c>
      <c r="L527" s="879">
        <v>3812</v>
      </c>
      <c r="M527" s="879">
        <v>4562</v>
      </c>
      <c r="N527" s="879">
        <v>4335</v>
      </c>
      <c r="O527" s="879">
        <v>4760</v>
      </c>
      <c r="P527" s="879">
        <v>4098</v>
      </c>
      <c r="Q527" s="879">
        <v>4588</v>
      </c>
      <c r="R527" s="879">
        <v>4565</v>
      </c>
      <c r="S527" s="879">
        <v>4962</v>
      </c>
      <c r="T527" s="879">
        <v>4337</v>
      </c>
      <c r="U527" s="879">
        <v>4933</v>
      </c>
      <c r="V527" s="879">
        <v>4911</v>
      </c>
      <c r="W527" s="879">
        <v>5417</v>
      </c>
      <c r="X527" s="879">
        <v>4231</v>
      </c>
      <c r="Y527" s="879">
        <v>4947</v>
      </c>
      <c r="Z527" s="879">
        <v>5082</v>
      </c>
      <c r="AA527" s="879">
        <v>5857</v>
      </c>
      <c r="AB527" s="879">
        <v>4547</v>
      </c>
      <c r="AC527" s="879">
        <v>5379</v>
      </c>
      <c r="AD527" s="879">
        <v>5595</v>
      </c>
      <c r="AE527" s="879">
        <v>6304</v>
      </c>
      <c r="AF527" s="879">
        <v>5126</v>
      </c>
      <c r="AG527" s="879"/>
      <c r="AH527" s="879"/>
      <c r="AI527" s="879"/>
      <c r="AK527" s="879">
        <v>8548</v>
      </c>
      <c r="AL527" s="879">
        <v>9910</v>
      </c>
      <c r="AM527" s="879">
        <v>11541</v>
      </c>
      <c r="AN527" s="879">
        <v>13260</v>
      </c>
      <c r="AO527" s="879">
        <v>12879</v>
      </c>
      <c r="AP527" s="879">
        <v>13214</v>
      </c>
      <c r="AQ527" s="879">
        <v>13940</v>
      </c>
      <c r="AR527" s="879">
        <v>13857</v>
      </c>
      <c r="AS527" s="879">
        <v>15276</v>
      </c>
      <c r="AT527" s="879">
        <v>15811</v>
      </c>
      <c r="AU527" s="879">
        <v>15713</v>
      </c>
      <c r="AV527" s="879">
        <v>14697</v>
      </c>
      <c r="AW527" s="879">
        <v>15539</v>
      </c>
      <c r="AX527" s="879"/>
      <c r="AY527" s="880">
        <f t="shared" si="543"/>
        <v>14635</v>
      </c>
      <c r="AZ527" s="880">
        <f t="shared" si="544"/>
        <v>15461</v>
      </c>
      <c r="BA527" s="880">
        <f t="shared" si="545"/>
        <v>17469</v>
      </c>
      <c r="BB527" s="880">
        <v>18213</v>
      </c>
      <c r="BC527" s="880">
        <f>SUM(T527:W527)</f>
        <v>19598</v>
      </c>
      <c r="BD527" s="880">
        <f t="shared" si="546"/>
        <v>20117</v>
      </c>
      <c r="BE527" s="880">
        <f t="shared" si="547"/>
        <v>21825</v>
      </c>
      <c r="BF527" s="880"/>
    </row>
    <row r="528" spans="2:58">
      <c r="B528" s="878" t="s">
        <v>550</v>
      </c>
      <c r="D528" s="879">
        <v>1084</v>
      </c>
      <c r="E528" s="879">
        <v>1038</v>
      </c>
      <c r="F528" s="879">
        <v>1140</v>
      </c>
      <c r="G528" s="879">
        <v>1301</v>
      </c>
      <c r="H528" s="879">
        <v>1045</v>
      </c>
      <c r="I528" s="879">
        <v>879</v>
      </c>
      <c r="J528" s="879">
        <v>1202</v>
      </c>
      <c r="K528" s="879">
        <v>1355</v>
      </c>
      <c r="L528" s="879">
        <v>1166</v>
      </c>
      <c r="M528" s="879">
        <v>1109</v>
      </c>
      <c r="N528" s="879">
        <v>1208</v>
      </c>
      <c r="O528" s="879">
        <v>1271</v>
      </c>
      <c r="P528" s="879">
        <v>1149</v>
      </c>
      <c r="Q528" s="879">
        <v>1132</v>
      </c>
      <c r="R528" s="879">
        <v>1179</v>
      </c>
      <c r="S528" s="879">
        <v>1425</v>
      </c>
      <c r="T528" s="879">
        <v>1061</v>
      </c>
      <c r="U528" s="879">
        <v>1121</v>
      </c>
      <c r="V528" s="879">
        <v>1273</v>
      </c>
      <c r="W528" s="879">
        <v>1656</v>
      </c>
      <c r="X528" s="879">
        <v>1119</v>
      </c>
      <c r="Y528" s="879">
        <v>1139</v>
      </c>
      <c r="Z528" s="879">
        <v>1327</v>
      </c>
      <c r="AA528" s="879">
        <v>1522</v>
      </c>
      <c r="AB528" s="879">
        <v>1287</v>
      </c>
      <c r="AC528" s="879">
        <v>1384</v>
      </c>
      <c r="AD528" s="879">
        <v>1480</v>
      </c>
      <c r="AE528" s="879">
        <v>1749</v>
      </c>
      <c r="AF528" s="879">
        <v>1398</v>
      </c>
      <c r="AG528" s="879"/>
      <c r="AH528" s="879"/>
      <c r="AI528" s="879"/>
      <c r="AK528" s="879">
        <v>4536</v>
      </c>
      <c r="AL528" s="879">
        <v>3758</v>
      </c>
      <c r="AM528" s="879">
        <v>3329</v>
      </c>
      <c r="AN528" s="879">
        <v>5127</v>
      </c>
      <c r="AO528" s="879">
        <v>4030</v>
      </c>
      <c r="AP528" s="879">
        <v>4063</v>
      </c>
      <c r="AQ528" s="879">
        <v>4222</v>
      </c>
      <c r="AR528" s="879">
        <v>4569</v>
      </c>
      <c r="AS528" s="879">
        <v>5013</v>
      </c>
      <c r="AT528" s="879">
        <v>4677</v>
      </c>
      <c r="AU528" s="879">
        <v>4611</v>
      </c>
      <c r="AV528" s="879">
        <v>4563</v>
      </c>
      <c r="AW528" s="879">
        <v>4481</v>
      </c>
      <c r="AX528" s="879"/>
      <c r="AY528" s="880">
        <f t="shared" si="543"/>
        <v>4563</v>
      </c>
      <c r="AZ528" s="880">
        <f t="shared" si="544"/>
        <v>4481</v>
      </c>
      <c r="BA528" s="880">
        <f t="shared" si="545"/>
        <v>4754</v>
      </c>
      <c r="BB528" s="880">
        <v>4885</v>
      </c>
      <c r="BC528" s="880">
        <f>SUM(T528:W528)</f>
        <v>5111</v>
      </c>
      <c r="BD528" s="880">
        <f t="shared" si="546"/>
        <v>5107</v>
      </c>
      <c r="BE528" s="880">
        <f t="shared" si="547"/>
        <v>5900</v>
      </c>
      <c r="BF528" s="880"/>
    </row>
    <row r="529" spans="2:58" ht="11.45">
      <c r="B529" s="878" t="s">
        <v>551</v>
      </c>
      <c r="D529" s="905">
        <v>0</v>
      </c>
      <c r="E529" s="905">
        <v>0</v>
      </c>
      <c r="F529" s="905">
        <v>0</v>
      </c>
      <c r="G529" s="905">
        <v>1110</v>
      </c>
      <c r="H529" s="905">
        <v>0</v>
      </c>
      <c r="I529" s="905">
        <v>0</v>
      </c>
      <c r="J529" s="905">
        <v>0</v>
      </c>
      <c r="K529" s="905">
        <v>306</v>
      </c>
      <c r="L529" s="905">
        <v>0</v>
      </c>
      <c r="M529" s="905">
        <v>0</v>
      </c>
      <c r="N529" s="905">
        <v>0</v>
      </c>
      <c r="O529" s="905">
        <v>0</v>
      </c>
      <c r="P529" s="905">
        <v>0</v>
      </c>
      <c r="Q529" s="905">
        <v>0</v>
      </c>
      <c r="R529" s="905">
        <v>0</v>
      </c>
      <c r="S529" s="905">
        <v>0</v>
      </c>
      <c r="T529" s="905">
        <v>0</v>
      </c>
      <c r="U529" s="905">
        <v>0</v>
      </c>
      <c r="V529" s="905">
        <v>0</v>
      </c>
      <c r="W529" s="905">
        <v>0</v>
      </c>
      <c r="X529" s="905">
        <v>0</v>
      </c>
      <c r="Y529" s="905">
        <v>0</v>
      </c>
      <c r="Z529" s="905">
        <v>0</v>
      </c>
      <c r="AA529" s="905">
        <v>0</v>
      </c>
      <c r="AB529" s="905">
        <v>0</v>
      </c>
      <c r="AC529" s="905">
        <v>0</v>
      </c>
      <c r="AD529" s="905">
        <v>0</v>
      </c>
      <c r="AE529" s="905">
        <v>0</v>
      </c>
      <c r="AF529" s="905">
        <v>0</v>
      </c>
      <c r="AG529" s="905"/>
      <c r="AH529" s="905"/>
      <c r="AI529" s="905"/>
      <c r="AK529" s="905">
        <v>0</v>
      </c>
      <c r="AL529" s="905">
        <v>0</v>
      </c>
      <c r="AM529" s="905">
        <v>0</v>
      </c>
      <c r="AN529" s="905">
        <v>0</v>
      </c>
      <c r="AO529" s="905">
        <v>0</v>
      </c>
      <c r="AP529" s="905">
        <v>0</v>
      </c>
      <c r="AQ529" s="905">
        <v>0</v>
      </c>
      <c r="AR529" s="905">
        <v>6193</v>
      </c>
      <c r="AS529" s="905">
        <v>0</v>
      </c>
      <c r="AT529" s="30">
        <v>127</v>
      </c>
      <c r="AU529" s="30">
        <v>10011</v>
      </c>
      <c r="AV529" s="30">
        <v>1110</v>
      </c>
      <c r="AW529" s="30">
        <v>306</v>
      </c>
      <c r="AX529" s="30"/>
      <c r="AY529" s="906">
        <f t="shared" si="543"/>
        <v>1110</v>
      </c>
      <c r="AZ529" s="906">
        <f t="shared" si="544"/>
        <v>306</v>
      </c>
      <c r="BA529" s="906">
        <f t="shared" si="545"/>
        <v>0</v>
      </c>
      <c r="BB529" s="906">
        <v>0</v>
      </c>
      <c r="BC529" s="906">
        <f>SUM(T529:W529)</f>
        <v>0</v>
      </c>
      <c r="BD529" s="906">
        <f t="shared" si="546"/>
        <v>0</v>
      </c>
      <c r="BE529" s="906">
        <f t="shared" si="547"/>
        <v>0</v>
      </c>
      <c r="BF529" s="906"/>
    </row>
    <row r="530" spans="2:58">
      <c r="B530" s="916" t="s">
        <v>552</v>
      </c>
      <c r="D530" s="8">
        <f t="shared" ref="D530:X530" si="548">+D519-SUM(D526:D529)</f>
        <v>6316</v>
      </c>
      <c r="E530" s="8">
        <f t="shared" si="548"/>
        <v>7489</v>
      </c>
      <c r="F530" s="8">
        <f t="shared" si="548"/>
        <v>6277</v>
      </c>
      <c r="G530" s="8">
        <f t="shared" si="548"/>
        <v>5996</v>
      </c>
      <c r="H530" s="8">
        <f t="shared" si="548"/>
        <v>6715</v>
      </c>
      <c r="I530" s="8">
        <f t="shared" si="548"/>
        <v>7905</v>
      </c>
      <c r="J530" s="8">
        <f t="shared" si="548"/>
        <v>6723</v>
      </c>
      <c r="K530" s="8">
        <f t="shared" si="548"/>
        <v>7682</v>
      </c>
      <c r="L530" s="8">
        <f t="shared" si="548"/>
        <v>7708</v>
      </c>
      <c r="M530" s="8">
        <f t="shared" si="548"/>
        <v>8679</v>
      </c>
      <c r="N530" s="8">
        <f t="shared" si="548"/>
        <v>8292</v>
      </c>
      <c r="O530" s="8">
        <f t="shared" si="548"/>
        <v>10379</v>
      </c>
      <c r="P530" s="8">
        <f t="shared" si="548"/>
        <v>9955</v>
      </c>
      <c r="Q530" s="8">
        <f t="shared" si="548"/>
        <v>10258</v>
      </c>
      <c r="R530" s="8">
        <f t="shared" si="548"/>
        <v>10341</v>
      </c>
      <c r="S530" s="8">
        <f t="shared" si="548"/>
        <v>12405</v>
      </c>
      <c r="T530" s="8">
        <f t="shared" si="548"/>
        <v>12686</v>
      </c>
      <c r="U530" s="8">
        <f t="shared" si="548"/>
        <v>13891</v>
      </c>
      <c r="V530" s="8">
        <f t="shared" si="548"/>
        <v>12975</v>
      </c>
      <c r="W530" s="8">
        <f t="shared" si="548"/>
        <v>13407</v>
      </c>
      <c r="X530" s="8">
        <f t="shared" si="548"/>
        <v>15876</v>
      </c>
      <c r="Y530" s="8">
        <f t="shared" ref="Y530:AI530" si="549">+Y44</f>
        <v>17897</v>
      </c>
      <c r="Z530" s="8">
        <f t="shared" si="549"/>
        <v>17048</v>
      </c>
      <c r="AA530" s="8">
        <f t="shared" si="549"/>
        <v>19095</v>
      </c>
      <c r="AB530" s="8">
        <f t="shared" si="549"/>
        <v>20238</v>
      </c>
      <c r="AC530" s="8">
        <f t="shared" si="549"/>
        <v>22247</v>
      </c>
      <c r="AD530" s="8">
        <f t="shared" si="549"/>
        <v>20364</v>
      </c>
      <c r="AE530" s="8">
        <f t="shared" si="549"/>
        <v>20534</v>
      </c>
      <c r="AF530" s="8">
        <f t="shared" si="549"/>
        <v>21518</v>
      </c>
      <c r="AG530" s="8">
        <f t="shared" si="549"/>
        <v>22280.325017420888</v>
      </c>
      <c r="AH530" s="8">
        <f t="shared" si="549"/>
        <v>20668.367261994536</v>
      </c>
      <c r="AI530" s="8">
        <f t="shared" si="549"/>
        <v>21640.852583138716</v>
      </c>
      <c r="AK530" s="29">
        <f t="shared" ref="AK530:AW530" si="550">+AK519-SUM(AK526:AK529)</f>
        <v>14576</v>
      </c>
      <c r="AL530" s="29">
        <f t="shared" si="550"/>
        <v>16380</v>
      </c>
      <c r="AM530" s="11">
        <f t="shared" si="550"/>
        <v>18438</v>
      </c>
      <c r="AN530" s="11">
        <f t="shared" si="550"/>
        <v>22271</v>
      </c>
      <c r="AO530" s="11">
        <f t="shared" si="550"/>
        <v>20363</v>
      </c>
      <c r="AP530" s="11">
        <f t="shared" si="550"/>
        <v>24098</v>
      </c>
      <c r="AQ530" s="11">
        <f t="shared" si="550"/>
        <v>27161</v>
      </c>
      <c r="AR530" s="11">
        <f t="shared" si="550"/>
        <v>21763</v>
      </c>
      <c r="AS530" s="11">
        <f t="shared" si="550"/>
        <v>26764</v>
      </c>
      <c r="AT530" s="11">
        <f t="shared" si="550"/>
        <v>27759</v>
      </c>
      <c r="AU530" s="11">
        <f t="shared" si="550"/>
        <v>18161</v>
      </c>
      <c r="AV530" s="11">
        <f t="shared" si="550"/>
        <v>20182</v>
      </c>
      <c r="AW530" s="11">
        <f t="shared" si="550"/>
        <v>22326</v>
      </c>
      <c r="AX530" s="11"/>
      <c r="AY530" s="11">
        <f t="shared" si="543"/>
        <v>26078</v>
      </c>
      <c r="AZ530" s="11">
        <f t="shared" si="544"/>
        <v>29025</v>
      </c>
      <c r="BA530" s="11">
        <f t="shared" si="545"/>
        <v>35058</v>
      </c>
      <c r="BB530" s="11">
        <f>BB519-SUM(BB526:BB529)</f>
        <v>42959</v>
      </c>
      <c r="BC530" s="11">
        <f>BC519-SUM(BC526:BC529)</f>
        <v>52959</v>
      </c>
      <c r="BD530" s="11">
        <f>BD519-SUM(BD526:BD529)</f>
        <v>69916</v>
      </c>
      <c r="BE530" s="11">
        <f>BE519-SUM(BE526:BE529)</f>
        <v>83383</v>
      </c>
      <c r="BF530" s="11">
        <f>SUM(AF530:AI530)</f>
        <v>86107.544862554147</v>
      </c>
    </row>
    <row r="531" spans="2:58" ht="11.45">
      <c r="B531" s="878" t="s">
        <v>553</v>
      </c>
      <c r="D531" s="905">
        <v>-295</v>
      </c>
      <c r="E531" s="905">
        <v>-176</v>
      </c>
      <c r="F531" s="905">
        <v>-212</v>
      </c>
      <c r="G531" s="905">
        <v>244</v>
      </c>
      <c r="H531" s="905">
        <v>112</v>
      </c>
      <c r="I531" s="905">
        <v>117</v>
      </c>
      <c r="J531" s="905">
        <v>371</v>
      </c>
      <c r="K531" s="905">
        <v>276</v>
      </c>
      <c r="L531" s="905">
        <v>276</v>
      </c>
      <c r="M531" s="905">
        <v>490</v>
      </c>
      <c r="N531" s="905">
        <v>349</v>
      </c>
      <c r="O531" s="905">
        <v>301</v>
      </c>
      <c r="P531" s="905">
        <v>266</v>
      </c>
      <c r="Q531" s="905">
        <v>127</v>
      </c>
      <c r="R531" s="905">
        <v>145</v>
      </c>
      <c r="S531" s="905">
        <f>+BB531-SUM(P531:R531)</f>
        <v>191</v>
      </c>
      <c r="T531" s="905">
        <v>0</v>
      </c>
      <c r="U531" s="905">
        <v>194</v>
      </c>
      <c r="V531" s="905">
        <v>-132</v>
      </c>
      <c r="W531" s="905">
        <v>15</v>
      </c>
      <c r="X531" s="905">
        <v>248</v>
      </c>
      <c r="Y531" s="905">
        <v>440</v>
      </c>
      <c r="Z531" s="905">
        <v>188</v>
      </c>
      <c r="AA531" s="905">
        <v>310</v>
      </c>
      <c r="AB531" s="905">
        <v>286</v>
      </c>
      <c r="AC531" s="905">
        <v>268</v>
      </c>
      <c r="AD531" s="905">
        <v>-174</v>
      </c>
      <c r="AE531" s="905">
        <v>-47</v>
      </c>
      <c r="AF531" s="905">
        <v>54</v>
      </c>
      <c r="AG531" s="906">
        <f>+AG59</f>
        <v>0</v>
      </c>
      <c r="AH531" s="906">
        <f>+AH59</f>
        <v>0</v>
      </c>
      <c r="AI531" s="906">
        <f>+AI59</f>
        <v>0</v>
      </c>
      <c r="AK531" s="905">
        <v>2052</v>
      </c>
      <c r="AL531" s="905">
        <v>1882</v>
      </c>
      <c r="AM531" s="905">
        <v>1663</v>
      </c>
      <c r="AN531" s="905">
        <v>1543</v>
      </c>
      <c r="AO531" s="905">
        <v>-542</v>
      </c>
      <c r="AP531" s="905">
        <v>915</v>
      </c>
      <c r="AQ531" s="905">
        <v>910</v>
      </c>
      <c r="AR531" s="905">
        <v>504</v>
      </c>
      <c r="AS531" s="905">
        <v>288</v>
      </c>
      <c r="AT531" s="30">
        <v>61</v>
      </c>
      <c r="AU531" s="30">
        <v>346</v>
      </c>
      <c r="AV531" s="30">
        <v>431</v>
      </c>
      <c r="AW531" s="30">
        <v>-823</v>
      </c>
      <c r="AX531" s="30"/>
      <c r="AY531" s="906">
        <f t="shared" si="543"/>
        <v>-439</v>
      </c>
      <c r="AZ531" s="906">
        <f t="shared" si="544"/>
        <v>876</v>
      </c>
      <c r="BA531" s="906">
        <f t="shared" si="545"/>
        <v>1416</v>
      </c>
      <c r="BB531" s="906">
        <v>729</v>
      </c>
      <c r="BC531" s="906">
        <f>SUM(T531:W531)</f>
        <v>77</v>
      </c>
      <c r="BD531" s="906">
        <f>SUM(X531:AA531)</f>
        <v>1186</v>
      </c>
      <c r="BE531" s="906">
        <f>SUM(AB531:AE531)</f>
        <v>333</v>
      </c>
      <c r="BF531" s="906">
        <f>SUM(AF531:AI531)</f>
        <v>54</v>
      </c>
    </row>
    <row r="532" spans="2:58">
      <c r="B532" s="916" t="s">
        <v>554</v>
      </c>
      <c r="D532" s="8">
        <f t="shared" ref="D532:Q532" si="551">+SUM(D530:D531)</f>
        <v>6021</v>
      </c>
      <c r="E532" s="8">
        <f t="shared" si="551"/>
        <v>7313</v>
      </c>
      <c r="F532" s="8">
        <f t="shared" si="551"/>
        <v>6065</v>
      </c>
      <c r="G532" s="8">
        <f t="shared" si="551"/>
        <v>6240</v>
      </c>
      <c r="H532" s="8">
        <f t="shared" si="551"/>
        <v>6827</v>
      </c>
      <c r="I532" s="8">
        <f t="shared" si="551"/>
        <v>8022</v>
      </c>
      <c r="J532" s="8">
        <f t="shared" si="551"/>
        <v>7094</v>
      </c>
      <c r="K532" s="8">
        <f t="shared" si="551"/>
        <v>7958</v>
      </c>
      <c r="L532" s="8">
        <f t="shared" si="551"/>
        <v>7984</v>
      </c>
      <c r="M532" s="8">
        <f t="shared" si="551"/>
        <v>9169</v>
      </c>
      <c r="N532" s="8">
        <f t="shared" si="551"/>
        <v>8641</v>
      </c>
      <c r="O532" s="8">
        <f t="shared" si="551"/>
        <v>10680</v>
      </c>
      <c r="P532" s="8">
        <f t="shared" si="551"/>
        <v>10221</v>
      </c>
      <c r="Q532" s="8">
        <f t="shared" si="551"/>
        <v>10385</v>
      </c>
      <c r="R532" s="8">
        <f t="shared" ref="R532:T532" si="552">+SUM(R530:R531)</f>
        <v>10486</v>
      </c>
      <c r="S532" s="8">
        <f t="shared" si="552"/>
        <v>12596</v>
      </c>
      <c r="T532" s="8">
        <f t="shared" si="552"/>
        <v>12686</v>
      </c>
      <c r="U532" s="8">
        <f t="shared" ref="U532:AI532" si="553">+SUM(U530:U531)</f>
        <v>14085</v>
      </c>
      <c r="V532" s="8">
        <f t="shared" si="553"/>
        <v>12843</v>
      </c>
      <c r="W532" s="8">
        <f t="shared" si="553"/>
        <v>13422</v>
      </c>
      <c r="X532" s="8">
        <f t="shared" si="553"/>
        <v>16124</v>
      </c>
      <c r="Y532" s="8">
        <f t="shared" si="553"/>
        <v>18337</v>
      </c>
      <c r="Z532" s="8">
        <f t="shared" si="553"/>
        <v>17236</v>
      </c>
      <c r="AA532" s="8">
        <f t="shared" si="553"/>
        <v>19405</v>
      </c>
      <c r="AB532" s="8">
        <f t="shared" si="553"/>
        <v>20524</v>
      </c>
      <c r="AC532" s="8">
        <f t="shared" si="553"/>
        <v>22515</v>
      </c>
      <c r="AD532" s="8">
        <f t="shared" si="553"/>
        <v>20190</v>
      </c>
      <c r="AE532" s="8">
        <f t="shared" si="553"/>
        <v>20487</v>
      </c>
      <c r="AF532" s="8">
        <f t="shared" si="553"/>
        <v>21572</v>
      </c>
      <c r="AG532" s="8">
        <f t="shared" si="553"/>
        <v>22280.325017420888</v>
      </c>
      <c r="AH532" s="8">
        <f t="shared" si="553"/>
        <v>20668.367261994536</v>
      </c>
      <c r="AI532" s="8">
        <f t="shared" si="553"/>
        <v>21640.852583138716</v>
      </c>
      <c r="AK532" s="29">
        <f t="shared" ref="AK532:AW532" si="554">+SUM(AK530:AK531)</f>
        <v>16628</v>
      </c>
      <c r="AL532" s="29">
        <f t="shared" si="554"/>
        <v>18262</v>
      </c>
      <c r="AM532" s="11">
        <f t="shared" si="554"/>
        <v>20101</v>
      </c>
      <c r="AN532" s="11">
        <f t="shared" si="554"/>
        <v>23814</v>
      </c>
      <c r="AO532" s="11">
        <f t="shared" si="554"/>
        <v>19821</v>
      </c>
      <c r="AP532" s="11">
        <f t="shared" si="554"/>
        <v>25013</v>
      </c>
      <c r="AQ532" s="11">
        <f t="shared" si="554"/>
        <v>28071</v>
      </c>
      <c r="AR532" s="11">
        <f t="shared" si="554"/>
        <v>22267</v>
      </c>
      <c r="AS532" s="11">
        <f t="shared" si="554"/>
        <v>27052</v>
      </c>
      <c r="AT532" s="11">
        <f t="shared" si="554"/>
        <v>27820</v>
      </c>
      <c r="AU532" s="11">
        <f t="shared" si="554"/>
        <v>18507</v>
      </c>
      <c r="AV532" s="11">
        <f t="shared" si="554"/>
        <v>20613</v>
      </c>
      <c r="AW532" s="11">
        <f t="shared" si="554"/>
        <v>21503</v>
      </c>
      <c r="AX532" s="11"/>
      <c r="AY532" s="11">
        <f t="shared" si="543"/>
        <v>25639</v>
      </c>
      <c r="AZ532" s="11">
        <f t="shared" si="544"/>
        <v>29901</v>
      </c>
      <c r="BA532" s="11">
        <f t="shared" si="545"/>
        <v>36474</v>
      </c>
      <c r="BB532" s="11">
        <f>+BB530+BB531</f>
        <v>43688</v>
      </c>
      <c r="BC532" s="11">
        <f t="shared" ref="BC532:BF532" si="555">+BC530+BC531</f>
        <v>53036</v>
      </c>
      <c r="BD532" s="11">
        <f t="shared" si="555"/>
        <v>71102</v>
      </c>
      <c r="BE532" s="11">
        <f t="shared" si="555"/>
        <v>83716</v>
      </c>
      <c r="BF532" s="11">
        <f t="shared" si="555"/>
        <v>86161.544862554147</v>
      </c>
    </row>
    <row r="533" spans="2:58" ht="11.45">
      <c r="B533" s="878" t="s">
        <v>555</v>
      </c>
      <c r="D533" s="905">
        <v>952</v>
      </c>
      <c r="E533" s="905">
        <v>1375</v>
      </c>
      <c r="F533" s="905">
        <v>1760</v>
      </c>
      <c r="G533" s="905">
        <v>1013</v>
      </c>
      <c r="H533" s="905">
        <v>1160</v>
      </c>
      <c r="I533" s="905">
        <v>1755</v>
      </c>
      <c r="J533" s="905">
        <v>1608</v>
      </c>
      <c r="K533" s="905">
        <v>-111</v>
      </c>
      <c r="L533" s="905">
        <v>1408</v>
      </c>
      <c r="M533" s="905">
        <v>15471</v>
      </c>
      <c r="N533" s="905">
        <v>1217</v>
      </c>
      <c r="O533" s="905">
        <v>1807</v>
      </c>
      <c r="P533" s="905">
        <v>1397</v>
      </c>
      <c r="Q533" s="905">
        <v>1965</v>
      </c>
      <c r="R533" s="905">
        <v>1677</v>
      </c>
      <c r="S533" s="905">
        <f>+BB533-SUM(P533:R533)</f>
        <v>-591</v>
      </c>
      <c r="T533" s="905">
        <v>2008</v>
      </c>
      <c r="U533" s="905">
        <v>2436</v>
      </c>
      <c r="V533" s="905">
        <v>2091</v>
      </c>
      <c r="W533" s="905">
        <v>2220</v>
      </c>
      <c r="X533" s="905">
        <v>2231</v>
      </c>
      <c r="Y533" s="905">
        <v>2874</v>
      </c>
      <c r="Z533" s="905">
        <v>1779</v>
      </c>
      <c r="AA533" s="905">
        <v>2947</v>
      </c>
      <c r="AB533" s="905">
        <v>19</v>
      </c>
      <c r="AC533" s="905">
        <v>3750</v>
      </c>
      <c r="AD533" s="905">
        <v>3462</v>
      </c>
      <c r="AE533" s="905">
        <v>3747</v>
      </c>
      <c r="AF533" s="905">
        <v>4016</v>
      </c>
      <c r="AG533" s="906">
        <f>+AG61*-1</f>
        <v>4678.8682536583865</v>
      </c>
      <c r="AH533" s="906">
        <f>+AH61*-1</f>
        <v>4340.3571250188525</v>
      </c>
      <c r="AI533" s="906">
        <f>+AI61*-1</f>
        <v>4544.5790424591305</v>
      </c>
      <c r="AK533" s="905">
        <v>4374</v>
      </c>
      <c r="AL533" s="905">
        <v>5663</v>
      </c>
      <c r="AM533" s="905">
        <v>6036</v>
      </c>
      <c r="AN533" s="905">
        <v>6133</v>
      </c>
      <c r="AO533" s="905">
        <v>5252</v>
      </c>
      <c r="AP533" s="905">
        <v>6253</v>
      </c>
      <c r="AQ533" s="905">
        <v>4921</v>
      </c>
      <c r="AR533" s="905">
        <v>5289</v>
      </c>
      <c r="AS533" s="905">
        <v>5189</v>
      </c>
      <c r="AT533" s="30">
        <v>5746</v>
      </c>
      <c r="AU533" s="30">
        <v>6314</v>
      </c>
      <c r="AV533" s="30">
        <v>2953</v>
      </c>
      <c r="AW533" s="30">
        <v>1945</v>
      </c>
      <c r="AX533" s="30"/>
      <c r="AY533" s="906">
        <f t="shared" si="543"/>
        <v>5100</v>
      </c>
      <c r="AZ533" s="906">
        <f t="shared" si="544"/>
        <v>4412</v>
      </c>
      <c r="BA533" s="906">
        <f t="shared" si="545"/>
        <v>19903</v>
      </c>
      <c r="BB533" s="906">
        <v>4448</v>
      </c>
      <c r="BC533" s="906">
        <f>SUM(T533:W533)</f>
        <v>8755</v>
      </c>
      <c r="BD533" s="906">
        <f>SUM(X533:AA533)</f>
        <v>9831</v>
      </c>
      <c r="BE533" s="906">
        <f>SUM(AB533:AE533)</f>
        <v>10978</v>
      </c>
      <c r="BF533" s="906">
        <f t="shared" ref="BF533" si="556">SUM(AF533:AI533)</f>
        <v>17579.80442113637</v>
      </c>
    </row>
    <row r="534" spans="2:58">
      <c r="B534" s="916" t="s">
        <v>142</v>
      </c>
      <c r="D534" s="8">
        <f>+D532-D533</f>
        <v>5069</v>
      </c>
      <c r="E534" s="8">
        <f t="shared" ref="E534:AI534" si="557">+E532-E533</f>
        <v>5938</v>
      </c>
      <c r="F534" s="8">
        <f t="shared" si="557"/>
        <v>4305</v>
      </c>
      <c r="G534" s="8">
        <f t="shared" si="557"/>
        <v>5227</v>
      </c>
      <c r="H534" s="8">
        <f t="shared" si="557"/>
        <v>5667</v>
      </c>
      <c r="I534" s="8">
        <f t="shared" si="557"/>
        <v>6267</v>
      </c>
      <c r="J534" s="8">
        <f t="shared" si="557"/>
        <v>5486</v>
      </c>
      <c r="K534" s="8">
        <f t="shared" si="557"/>
        <v>8069</v>
      </c>
      <c r="L534" s="8">
        <f t="shared" si="557"/>
        <v>6576</v>
      </c>
      <c r="M534" s="8">
        <f t="shared" si="557"/>
        <v>-6302</v>
      </c>
      <c r="N534" s="8">
        <f t="shared" si="557"/>
        <v>7424</v>
      </c>
      <c r="O534" s="8">
        <f t="shared" si="557"/>
        <v>8873</v>
      </c>
      <c r="P534" s="8">
        <f t="shared" si="557"/>
        <v>8824</v>
      </c>
      <c r="Q534" s="8">
        <f t="shared" si="557"/>
        <v>8420</v>
      </c>
      <c r="R534" s="8">
        <f t="shared" si="557"/>
        <v>8809</v>
      </c>
      <c r="S534" s="8">
        <f t="shared" si="557"/>
        <v>13187</v>
      </c>
      <c r="T534" s="8">
        <f t="shared" si="557"/>
        <v>10678</v>
      </c>
      <c r="U534" s="8">
        <f t="shared" si="557"/>
        <v>11649</v>
      </c>
      <c r="V534" s="8">
        <f t="shared" si="557"/>
        <v>10752</v>
      </c>
      <c r="W534" s="11">
        <f t="shared" si="557"/>
        <v>11202</v>
      </c>
      <c r="X534" s="11">
        <f t="shared" si="557"/>
        <v>13893</v>
      </c>
      <c r="Y534" s="11">
        <f t="shared" si="557"/>
        <v>15463</v>
      </c>
      <c r="Z534" s="11">
        <f t="shared" si="557"/>
        <v>15457</v>
      </c>
      <c r="AA534" s="11">
        <f t="shared" si="557"/>
        <v>16458</v>
      </c>
      <c r="AB534" s="11">
        <f t="shared" si="557"/>
        <v>20505</v>
      </c>
      <c r="AC534" s="11">
        <f t="shared" si="557"/>
        <v>18765</v>
      </c>
      <c r="AD534" s="11">
        <f t="shared" si="557"/>
        <v>16728</v>
      </c>
      <c r="AE534" s="11">
        <f t="shared" si="557"/>
        <v>16740</v>
      </c>
      <c r="AF534" s="11">
        <f t="shared" si="557"/>
        <v>17556</v>
      </c>
      <c r="AG534" s="11">
        <f t="shared" si="557"/>
        <v>17601.4567637625</v>
      </c>
      <c r="AH534" s="11">
        <f t="shared" si="557"/>
        <v>16328.010136975683</v>
      </c>
      <c r="AI534" s="11">
        <f t="shared" si="557"/>
        <v>17096.273540679584</v>
      </c>
      <c r="AK534" s="29">
        <f t="shared" ref="AK534:AW534" si="558">+AK532-AK533</f>
        <v>12254</v>
      </c>
      <c r="AL534" s="29">
        <f t="shared" si="558"/>
        <v>12599</v>
      </c>
      <c r="AM534" s="11">
        <f t="shared" si="558"/>
        <v>14065</v>
      </c>
      <c r="AN534" s="11">
        <f t="shared" si="558"/>
        <v>17681</v>
      </c>
      <c r="AO534" s="11">
        <f t="shared" si="558"/>
        <v>14569</v>
      </c>
      <c r="AP534" s="11">
        <f t="shared" si="558"/>
        <v>18760</v>
      </c>
      <c r="AQ534" s="11">
        <f t="shared" si="558"/>
        <v>23150</v>
      </c>
      <c r="AR534" s="11">
        <f t="shared" si="558"/>
        <v>16978</v>
      </c>
      <c r="AS534" s="11">
        <f t="shared" si="558"/>
        <v>21863</v>
      </c>
      <c r="AT534" s="11">
        <f t="shared" si="558"/>
        <v>22074</v>
      </c>
      <c r="AU534" s="11">
        <f t="shared" si="558"/>
        <v>12193</v>
      </c>
      <c r="AV534" s="11">
        <f t="shared" si="558"/>
        <v>17660</v>
      </c>
      <c r="AW534" s="11">
        <f t="shared" si="558"/>
        <v>19558</v>
      </c>
      <c r="AX534" s="11"/>
      <c r="AY534" s="11">
        <f t="shared" si="543"/>
        <v>20539</v>
      </c>
      <c r="AZ534" s="11">
        <f t="shared" si="544"/>
        <v>25489</v>
      </c>
      <c r="BA534" s="11">
        <f t="shared" si="545"/>
        <v>16571</v>
      </c>
      <c r="BB534" s="11">
        <f>+BB532-BB533</f>
        <v>39240</v>
      </c>
      <c r="BC534" s="11">
        <f t="shared" ref="BC534:BF534" si="559">+BC532-BC533</f>
        <v>44281</v>
      </c>
      <c r="BD534" s="11">
        <f t="shared" si="559"/>
        <v>61271</v>
      </c>
      <c r="BE534" s="11">
        <f t="shared" si="559"/>
        <v>72738</v>
      </c>
      <c r="BF534" s="11">
        <f t="shared" si="559"/>
        <v>68581.740441417773</v>
      </c>
    </row>
    <row r="535" spans="2:58">
      <c r="B535" s="916"/>
      <c r="D535" s="8"/>
      <c r="E535" s="8"/>
      <c r="F535" s="8"/>
      <c r="G535" s="8"/>
      <c r="H535" s="8"/>
      <c r="I535" s="8"/>
      <c r="J535" s="8"/>
      <c r="K535" s="8"/>
      <c r="L535" s="8"/>
      <c r="M535" s="8"/>
      <c r="N535" s="8"/>
      <c r="O535" s="8"/>
      <c r="P535" s="8"/>
      <c r="Q535" s="8"/>
      <c r="R535" s="8"/>
      <c r="S535" s="8"/>
      <c r="T535" s="8"/>
      <c r="U535" s="8"/>
      <c r="V535" s="8"/>
      <c r="W535" s="11"/>
      <c r="X535" s="11"/>
      <c r="Y535" s="11"/>
      <c r="Z535" s="11"/>
      <c r="AA535" s="11"/>
      <c r="AB535" s="11"/>
      <c r="AC535" s="11"/>
      <c r="AD535" s="11"/>
      <c r="AE535" s="11"/>
      <c r="AF535" s="11"/>
      <c r="AG535" s="11"/>
      <c r="AH535" s="11"/>
      <c r="AI535" s="11"/>
      <c r="AK535" s="29"/>
      <c r="AL535" s="29"/>
      <c r="AM535" s="29"/>
      <c r="AN535" s="29"/>
      <c r="AO535" s="29"/>
      <c r="AP535" s="29"/>
      <c r="AQ535" s="29"/>
      <c r="AR535" s="29"/>
      <c r="AS535" s="29"/>
      <c r="AT535" s="11"/>
      <c r="AU535" s="11"/>
      <c r="AV535" s="11"/>
      <c r="AW535" s="11"/>
      <c r="AX535" s="11"/>
      <c r="AY535" s="11"/>
      <c r="AZ535" s="11"/>
      <c r="BA535" s="11"/>
      <c r="BB535" s="11"/>
      <c r="BC535" s="11"/>
      <c r="BD535" s="11"/>
      <c r="BE535" s="11"/>
      <c r="BF535" s="11"/>
    </row>
    <row r="536" spans="2:58">
      <c r="B536" s="944" t="s">
        <v>556</v>
      </c>
      <c r="W536" s="100"/>
      <c r="X536" s="100"/>
      <c r="Y536" s="100"/>
      <c r="Z536" s="100"/>
      <c r="AA536" s="100"/>
      <c r="AB536" s="100"/>
      <c r="AC536" s="100"/>
      <c r="AD536" s="100"/>
      <c r="AE536" s="100"/>
      <c r="AF536" s="100"/>
      <c r="AG536" s="100"/>
      <c r="AH536" s="100"/>
      <c r="AI536" s="100"/>
    </row>
    <row r="537" spans="2:58">
      <c r="B537" s="878" t="s">
        <v>557</v>
      </c>
      <c r="D537" s="879">
        <v>7996</v>
      </c>
      <c r="E537" s="879">
        <v>7964</v>
      </c>
      <c r="F537" s="879">
        <v>7895</v>
      </c>
      <c r="G537" s="879">
        <v>7842</v>
      </c>
      <c r="H537" s="879">
        <v>7789</v>
      </c>
      <c r="I537" s="879">
        <v>7755</v>
      </c>
      <c r="J537" s="879">
        <v>7725</v>
      </c>
      <c r="K537" s="879">
        <v>7715</v>
      </c>
      <c r="L537" s="879">
        <v>7708</v>
      </c>
      <c r="M537" s="879">
        <v>7710</v>
      </c>
      <c r="N537" s="879">
        <v>7698</v>
      </c>
      <c r="O537" s="879">
        <v>7683</v>
      </c>
      <c r="P537" s="879">
        <v>7673</v>
      </c>
      <c r="Q537" s="879">
        <v>7692</v>
      </c>
      <c r="R537" s="879">
        <v>7672</v>
      </c>
      <c r="S537" s="879">
        <f>+BB537*4-SUM(P537:R537)</f>
        <v>7655</v>
      </c>
      <c r="T537" s="879">
        <v>7634</v>
      </c>
      <c r="U537" s="879">
        <f>+U534/U541</f>
        <v>7613.7254901960787</v>
      </c>
      <c r="V537" s="879">
        <v>7602</v>
      </c>
      <c r="W537" s="879">
        <v>7580</v>
      </c>
      <c r="X537" s="879">
        <v>7566</v>
      </c>
      <c r="Y537" s="879">
        <v>7555</v>
      </c>
      <c r="Z537" s="879">
        <v>7539</v>
      </c>
      <c r="AA537" s="879">
        <v>7527</v>
      </c>
      <c r="AB537" s="879">
        <v>7513</v>
      </c>
      <c r="AC537" s="879">
        <v>7505</v>
      </c>
      <c r="AD537" s="879">
        <v>7493</v>
      </c>
      <c r="AE537" s="879">
        <v>7474</v>
      </c>
      <c r="AF537" s="879">
        <v>7457</v>
      </c>
      <c r="AG537" s="880"/>
      <c r="AH537" s="880"/>
      <c r="AI537" s="880"/>
      <c r="AK537" s="879">
        <v>7683</v>
      </c>
      <c r="AL537" s="879">
        <v>7683</v>
      </c>
      <c r="AM537" s="879">
        <v>7683</v>
      </c>
      <c r="AN537" s="879">
        <v>7683</v>
      </c>
      <c r="AO537" s="879">
        <v>7683</v>
      </c>
      <c r="AP537" s="879">
        <v>7683</v>
      </c>
      <c r="AQ537" s="879">
        <v>7683</v>
      </c>
      <c r="AR537" s="879">
        <v>7683</v>
      </c>
      <c r="AS537" s="879">
        <v>7683</v>
      </c>
      <c r="AT537" s="879">
        <v>7683</v>
      </c>
      <c r="AU537" s="879">
        <v>7683</v>
      </c>
      <c r="AV537" s="879">
        <v>7746</v>
      </c>
      <c r="AW537" s="879">
        <v>7700</v>
      </c>
      <c r="AX537" s="879"/>
      <c r="AY537" s="8">
        <f>+AVERAGE(D537:G537)</f>
        <v>7924.25</v>
      </c>
      <c r="AZ537" s="8">
        <f>+AVERAGE(H537:K537)</f>
        <v>7746</v>
      </c>
      <c r="BA537" s="8">
        <f>+AVERAGE(L537:O537)</f>
        <v>7699.75</v>
      </c>
      <c r="BB537" s="8">
        <v>7673</v>
      </c>
      <c r="BC537" s="8">
        <v>7610</v>
      </c>
      <c r="BD537" s="8">
        <f>AVERAGE(X537:AA537)</f>
        <v>7546.75</v>
      </c>
      <c r="BE537" s="8">
        <f>+BE534/BE541</f>
        <v>7497.3325607464167</v>
      </c>
      <c r="BF537" s="8"/>
    </row>
    <row r="538" spans="2:58">
      <c r="B538" s="878" t="s">
        <v>558</v>
      </c>
      <c r="D538" s="879">
        <v>8084</v>
      </c>
      <c r="E538" s="879">
        <v>8051</v>
      </c>
      <c r="F538" s="879">
        <v>7985</v>
      </c>
      <c r="G538" s="879">
        <v>7929</v>
      </c>
      <c r="H538" s="879">
        <v>7876</v>
      </c>
      <c r="I538" s="879">
        <v>7830</v>
      </c>
      <c r="J538" s="879">
        <v>7813</v>
      </c>
      <c r="K538" s="879">
        <v>7806</v>
      </c>
      <c r="L538" s="879">
        <v>7799</v>
      </c>
      <c r="M538" s="879">
        <v>7710</v>
      </c>
      <c r="N538" s="879">
        <v>7794</v>
      </c>
      <c r="O538" s="879">
        <v>7775</v>
      </c>
      <c r="P538" s="879">
        <v>7766</v>
      </c>
      <c r="Q538" s="879">
        <v>7768</v>
      </c>
      <c r="R538" s="879">
        <v>7744</v>
      </c>
      <c r="S538" s="879">
        <f>+BB538*4-SUM(P538:R538)</f>
        <v>7734</v>
      </c>
      <c r="T538" s="879">
        <v>7710</v>
      </c>
      <c r="U538" s="879">
        <f>+U534/U542</f>
        <v>7714.5695364238409</v>
      </c>
      <c r="V538" s="879">
        <v>7675</v>
      </c>
      <c r="W538" s="879">
        <v>7650</v>
      </c>
      <c r="X538" s="879">
        <v>7637</v>
      </c>
      <c r="Y538" s="879">
        <v>7616</v>
      </c>
      <c r="Z538" s="879">
        <v>7597</v>
      </c>
      <c r="AA538" s="879">
        <v>7581</v>
      </c>
      <c r="AB538" s="879">
        <v>7567</v>
      </c>
      <c r="AC538" s="879">
        <v>7555</v>
      </c>
      <c r="AD538" s="879">
        <v>7534</v>
      </c>
      <c r="AE538" s="879">
        <v>7506</v>
      </c>
      <c r="AF538" s="879">
        <v>7485</v>
      </c>
      <c r="AG538" s="880"/>
      <c r="AH538" s="880"/>
      <c r="AI538" s="880"/>
      <c r="AK538" s="879">
        <v>7775</v>
      </c>
      <c r="AL538" s="879">
        <v>7775</v>
      </c>
      <c r="AM538" s="879">
        <v>7775</v>
      </c>
      <c r="AN538" s="879">
        <v>7775</v>
      </c>
      <c r="AO538" s="879">
        <v>7775</v>
      </c>
      <c r="AP538" s="879">
        <v>7775</v>
      </c>
      <c r="AQ538" s="879">
        <v>7775</v>
      </c>
      <c r="AR538" s="879">
        <v>7775</v>
      </c>
      <c r="AS538" s="879">
        <v>7775</v>
      </c>
      <c r="AT538" s="879">
        <v>7775</v>
      </c>
      <c r="AU538" s="879">
        <v>7775</v>
      </c>
      <c r="AV538" s="879">
        <v>7832</v>
      </c>
      <c r="AW538" s="879">
        <v>7794</v>
      </c>
      <c r="AX538" s="879"/>
      <c r="AY538" s="8">
        <f>+AVERAGE(D538:G538)</f>
        <v>8012.25</v>
      </c>
      <c r="AZ538" s="8">
        <f>+AVERAGE(H538:K538)</f>
        <v>7831.25</v>
      </c>
      <c r="BA538" s="8">
        <f>+AVERAGE(L538:O538)</f>
        <v>7769.5</v>
      </c>
      <c r="BB538" s="8">
        <v>7753</v>
      </c>
      <c r="BC538" s="8">
        <v>7683</v>
      </c>
      <c r="BD538" s="8">
        <f>AVERAGE(X538:AA538)</f>
        <v>7607.75</v>
      </c>
      <c r="BE538" s="8">
        <f>+BE534/BE542</f>
        <v>7542.2056774556859</v>
      </c>
      <c r="BF538" s="8"/>
    </row>
    <row r="540" spans="2:58">
      <c r="B540" s="944" t="s">
        <v>559</v>
      </c>
      <c r="W540" s="100"/>
      <c r="X540" s="100"/>
      <c r="Y540" s="100"/>
      <c r="Z540" s="100"/>
      <c r="AA540" s="100"/>
      <c r="AB540" s="100"/>
      <c r="AC540" s="100"/>
      <c r="AD540" s="100"/>
      <c r="AE540" s="100"/>
      <c r="AF540" s="100"/>
      <c r="AG540" s="100"/>
      <c r="AH540" s="100"/>
      <c r="AI540" s="100"/>
    </row>
    <row r="541" spans="2:58">
      <c r="B541" s="878" t="s">
        <v>557</v>
      </c>
      <c r="D541" s="9">
        <f t="shared" ref="D541:R541" si="560">+D534/D537</f>
        <v>0.63394197098549276</v>
      </c>
      <c r="E541" s="9">
        <f t="shared" si="560"/>
        <v>0.74560522350577596</v>
      </c>
      <c r="F541" s="9">
        <f t="shared" si="560"/>
        <v>0.54528182393920199</v>
      </c>
      <c r="G541" s="9">
        <f t="shared" si="560"/>
        <v>0.66653914817648563</v>
      </c>
      <c r="H541" s="9">
        <f t="shared" si="560"/>
        <v>0.72756451405828737</v>
      </c>
      <c r="I541" s="9">
        <f t="shared" si="560"/>
        <v>0.80812379110251453</v>
      </c>
      <c r="J541" s="9">
        <f t="shared" si="560"/>
        <v>0.71016181229773467</v>
      </c>
      <c r="K541" s="9">
        <f t="shared" si="560"/>
        <v>1.0458846403110824</v>
      </c>
      <c r="L541" s="9">
        <f t="shared" si="560"/>
        <v>0.85313959522573946</v>
      </c>
      <c r="M541" s="9">
        <f t="shared" si="560"/>
        <v>-0.81738002594033721</v>
      </c>
      <c r="N541" s="9">
        <f t="shared" si="560"/>
        <v>0.9644063393089114</v>
      </c>
      <c r="O541" s="9">
        <f t="shared" si="560"/>
        <v>1.1548874137706624</v>
      </c>
      <c r="P541" s="9">
        <f t="shared" si="560"/>
        <v>1.1500065163560538</v>
      </c>
      <c r="Q541" s="9">
        <f t="shared" si="560"/>
        <v>1.09464378575143</v>
      </c>
      <c r="R541" s="9">
        <f t="shared" si="560"/>
        <v>1.1482012513034412</v>
      </c>
      <c r="S541" s="9">
        <v>1.72</v>
      </c>
      <c r="T541" s="9">
        <v>1.4</v>
      </c>
      <c r="U541" s="9">
        <v>1.53</v>
      </c>
      <c r="V541" s="9">
        <v>1.41</v>
      </c>
      <c r="W541" s="945">
        <f t="shared" ref="W541:AF541" si="561">+W534/W537</f>
        <v>1.4778364116094986</v>
      </c>
      <c r="X541" s="945">
        <f t="shared" si="561"/>
        <v>1.8362410785091197</v>
      </c>
      <c r="Y541" s="945">
        <f t="shared" si="561"/>
        <v>2.0467240238252811</v>
      </c>
      <c r="Z541" s="945">
        <f t="shared" si="561"/>
        <v>2.0502719193526993</v>
      </c>
      <c r="AA541" s="945">
        <f t="shared" si="561"/>
        <v>2.1865284974093266</v>
      </c>
      <c r="AB541" s="945">
        <f t="shared" si="561"/>
        <v>2.7292692666045522</v>
      </c>
      <c r="AC541" s="945">
        <f t="shared" si="561"/>
        <v>2.5003331112591605</v>
      </c>
      <c r="AD541" s="945">
        <f t="shared" si="561"/>
        <v>2.2324836514079807</v>
      </c>
      <c r="AE541" s="945">
        <f t="shared" si="561"/>
        <v>2.2397645169922398</v>
      </c>
      <c r="AF541" s="945">
        <f t="shared" si="561"/>
        <v>2.3542979750569932</v>
      </c>
      <c r="AG541" s="945"/>
      <c r="AH541" s="945"/>
      <c r="AI541" s="945"/>
      <c r="AK541" s="9">
        <f t="shared" ref="AK541:AW541" si="562">+AK534/AK537</f>
        <v>1.5949498893661329</v>
      </c>
      <c r="AL541" s="9">
        <f t="shared" si="562"/>
        <v>1.6398542236105689</v>
      </c>
      <c r="AM541" s="9">
        <f t="shared" si="562"/>
        <v>1.8306651047767799</v>
      </c>
      <c r="AN541" s="9">
        <f t="shared" si="562"/>
        <v>2.3013145906546923</v>
      </c>
      <c r="AO541" s="9">
        <f t="shared" si="562"/>
        <v>1.8962644800208253</v>
      </c>
      <c r="AP541" s="9">
        <f t="shared" si="562"/>
        <v>2.441754522972797</v>
      </c>
      <c r="AQ541" s="9">
        <f t="shared" si="562"/>
        <v>3.0131459065469217</v>
      </c>
      <c r="AR541" s="9">
        <f t="shared" si="562"/>
        <v>2.2098138747884941</v>
      </c>
      <c r="AS541" s="9">
        <f t="shared" si="562"/>
        <v>2.845633216191592</v>
      </c>
      <c r="AT541" s="9">
        <f t="shared" si="562"/>
        <v>2.8730964467005076</v>
      </c>
      <c r="AU541" s="9">
        <f t="shared" si="562"/>
        <v>1.5870102824417545</v>
      </c>
      <c r="AV541" s="9">
        <f t="shared" si="562"/>
        <v>2.2798863929770206</v>
      </c>
      <c r="AW541" s="9">
        <f t="shared" si="562"/>
        <v>2.54</v>
      </c>
      <c r="AX541" s="9"/>
      <c r="AY541" s="9">
        <f>+AY534/AY537</f>
        <v>2.5919172161403288</v>
      </c>
      <c r="AZ541" s="9">
        <f>+AZ534/AZ537</f>
        <v>3.2906016008262329</v>
      </c>
      <c r="BA541" s="9">
        <f>+BA534/BA537</f>
        <v>2.1521477970063962</v>
      </c>
      <c r="BB541" s="9">
        <f>+BB534/BB537</f>
        <v>5.114036230939659</v>
      </c>
      <c r="BC541" s="9">
        <f>SUM(T541:W541)</f>
        <v>5.8178364116094983</v>
      </c>
      <c r="BD541" s="9">
        <f>+BD534/BD537</f>
        <v>8.1188591115380788</v>
      </c>
      <c r="BE541" s="9">
        <f>+SUM(AB541:AE541)</f>
        <v>9.7018505462639339</v>
      </c>
      <c r="BF541" s="9"/>
    </row>
    <row r="542" spans="2:58">
      <c r="B542" s="878" t="s">
        <v>558</v>
      </c>
      <c r="D542" s="9">
        <f t="shared" ref="D542:R542" si="563">+D534/D538</f>
        <v>0.62704106877783272</v>
      </c>
      <c r="E542" s="9">
        <f t="shared" si="563"/>
        <v>0.73754813066699787</v>
      </c>
      <c r="F542" s="9">
        <f t="shared" si="563"/>
        <v>0.53913587977457733</v>
      </c>
      <c r="G542" s="9">
        <f t="shared" si="563"/>
        <v>0.65922562744356161</v>
      </c>
      <c r="H542" s="9">
        <f t="shared" si="563"/>
        <v>0.71952767902488568</v>
      </c>
      <c r="I542" s="9">
        <f t="shared" si="563"/>
        <v>0.80038314176245207</v>
      </c>
      <c r="J542" s="9">
        <f t="shared" si="563"/>
        <v>0.70216306156405994</v>
      </c>
      <c r="K542" s="9">
        <f t="shared" si="563"/>
        <v>1.033692031770433</v>
      </c>
      <c r="L542" s="9">
        <f t="shared" si="563"/>
        <v>0.84318502372098991</v>
      </c>
      <c r="M542" s="9">
        <f t="shared" si="563"/>
        <v>-0.81738002594033721</v>
      </c>
      <c r="N542" s="9">
        <f t="shared" si="563"/>
        <v>0.95252758532204262</v>
      </c>
      <c r="O542" s="9">
        <f t="shared" si="563"/>
        <v>1.1412218649517685</v>
      </c>
      <c r="P542" s="9">
        <f t="shared" si="563"/>
        <v>1.1362348699459182</v>
      </c>
      <c r="Q542" s="9">
        <f t="shared" si="563"/>
        <v>1.0839340885684861</v>
      </c>
      <c r="R542" s="9">
        <f t="shared" si="563"/>
        <v>1.1375258264462811</v>
      </c>
      <c r="S542" s="9">
        <v>1.71</v>
      </c>
      <c r="T542" s="9">
        <v>1.38</v>
      </c>
      <c r="U542" s="9">
        <v>1.51</v>
      </c>
      <c r="V542" s="9">
        <v>1.4</v>
      </c>
      <c r="W542" s="945">
        <f t="shared" ref="W542:AF542" si="564">+W534/W538</f>
        <v>1.4643137254901961</v>
      </c>
      <c r="X542" s="945">
        <f t="shared" si="564"/>
        <v>1.8191698310855047</v>
      </c>
      <c r="Y542" s="945">
        <f t="shared" si="564"/>
        <v>2.0303308823529411</v>
      </c>
      <c r="Z542" s="945">
        <f t="shared" si="564"/>
        <v>2.0346189285244174</v>
      </c>
      <c r="AA542" s="945">
        <f t="shared" si="564"/>
        <v>2.1709537000395724</v>
      </c>
      <c r="AB542" s="945">
        <f t="shared" si="564"/>
        <v>2.7097925201532971</v>
      </c>
      <c r="AC542" s="945">
        <f t="shared" si="564"/>
        <v>2.4837855724685638</v>
      </c>
      <c r="AD542" s="945">
        <f t="shared" si="564"/>
        <v>2.2203344836740113</v>
      </c>
      <c r="AE542" s="945">
        <f t="shared" si="564"/>
        <v>2.2302158273381294</v>
      </c>
      <c r="AF542" s="945">
        <f t="shared" si="564"/>
        <v>2.3454909819639278</v>
      </c>
      <c r="AG542" s="945"/>
      <c r="AH542" s="945"/>
      <c r="AI542" s="945"/>
      <c r="AK542" s="9">
        <f t="shared" ref="AK542:AW542" si="565">+AK534/AK538</f>
        <v>1.5760771704180063</v>
      </c>
      <c r="AL542" s="9">
        <f t="shared" si="565"/>
        <v>1.6204501607717041</v>
      </c>
      <c r="AM542" s="9">
        <f t="shared" si="565"/>
        <v>1.8090032154340836</v>
      </c>
      <c r="AN542" s="9">
        <f t="shared" si="565"/>
        <v>2.2740836012861738</v>
      </c>
      <c r="AO542" s="9">
        <f t="shared" si="565"/>
        <v>1.8738263665594854</v>
      </c>
      <c r="AP542" s="9">
        <f t="shared" si="565"/>
        <v>2.4128617363344049</v>
      </c>
      <c r="AQ542" s="9">
        <f t="shared" si="565"/>
        <v>2.977491961414791</v>
      </c>
      <c r="AR542" s="9">
        <f t="shared" si="565"/>
        <v>2.1836655948553054</v>
      </c>
      <c r="AS542" s="9">
        <f t="shared" si="565"/>
        <v>2.8119614147909968</v>
      </c>
      <c r="AT542" s="9">
        <f t="shared" si="565"/>
        <v>2.8390996784565918</v>
      </c>
      <c r="AU542" s="9">
        <f t="shared" si="565"/>
        <v>1.5682315112540193</v>
      </c>
      <c r="AV542" s="9">
        <f t="shared" si="565"/>
        <v>2.2548518896833505</v>
      </c>
      <c r="AW542" s="9">
        <f t="shared" si="565"/>
        <v>2.5093661791121376</v>
      </c>
      <c r="AX542" s="9"/>
      <c r="AY542" s="9">
        <f>+AY534/AY538</f>
        <v>2.5634497176198945</v>
      </c>
      <c r="AZ542" s="9">
        <f>+AZ534/AZ538</f>
        <v>3.2547805267358338</v>
      </c>
      <c r="BA542" s="9">
        <f>+BA534/BA538</f>
        <v>2.1328270802496943</v>
      </c>
      <c r="BB542" s="9">
        <f>+BB534/BB538</f>
        <v>5.0612666064749128</v>
      </c>
      <c r="BC542" s="9">
        <v>5.76</v>
      </c>
      <c r="BD542" s="9">
        <f>+BD534/BD538</f>
        <v>8.0537609674345241</v>
      </c>
      <c r="BE542" s="9">
        <f>+SUM(AB542:AE542)</f>
        <v>9.6441284036340011</v>
      </c>
      <c r="BF542" s="9"/>
    </row>
    <row r="543" spans="2:58">
      <c r="B543" s="878"/>
      <c r="D543" s="9"/>
      <c r="E543" s="9"/>
      <c r="F543" s="9"/>
      <c r="G543" s="9"/>
      <c r="H543" s="9"/>
      <c r="I543" s="9"/>
      <c r="J543" s="9"/>
      <c r="K543" s="9"/>
      <c r="L543" s="9"/>
      <c r="M543" s="9"/>
      <c r="N543" s="9"/>
      <c r="O543" s="9"/>
      <c r="P543" s="9"/>
      <c r="Q543" s="9"/>
      <c r="R543" s="9"/>
      <c r="S543" s="9"/>
      <c r="T543" s="9"/>
      <c r="U543" s="9"/>
      <c r="V543" s="9"/>
      <c r="W543" s="945"/>
      <c r="X543" s="945"/>
      <c r="Y543" s="945"/>
      <c r="Z543" s="945"/>
      <c r="AA543" s="945"/>
      <c r="AB543" s="945"/>
      <c r="AC543" s="945"/>
      <c r="AD543" s="945"/>
      <c r="AE543" s="945"/>
      <c r="AF543" s="945"/>
      <c r="AG543" s="945"/>
      <c r="AH543" s="945"/>
      <c r="AI543" s="945"/>
      <c r="AK543" s="9"/>
      <c r="AL543" s="9"/>
      <c r="AM543" s="9"/>
      <c r="AN543" s="9"/>
      <c r="AO543" s="9"/>
      <c r="AP543" s="9"/>
      <c r="AQ543" s="9"/>
      <c r="AR543" s="9"/>
      <c r="AS543" s="9"/>
      <c r="AT543" s="9"/>
      <c r="AU543" s="9"/>
      <c r="AV543" s="9"/>
      <c r="AW543" s="9"/>
      <c r="AX543" s="9"/>
      <c r="AY543" s="9"/>
      <c r="AZ543" s="9"/>
      <c r="BA543" s="9"/>
      <c r="BB543" s="9"/>
      <c r="BC543" s="9"/>
      <c r="BD543" s="9"/>
      <c r="BE543" s="9"/>
      <c r="BF543" s="9"/>
    </row>
    <row r="544" spans="2:58" ht="10.5">
      <c r="B544" s="910" t="s">
        <v>560</v>
      </c>
      <c r="T544" s="9"/>
    </row>
    <row r="545" spans="1:59">
      <c r="B545" s="878" t="s">
        <v>86</v>
      </c>
      <c r="D545" s="8">
        <f t="shared" ref="D545:AI545" si="566">+D505</f>
        <v>20910</v>
      </c>
      <c r="E545" s="8">
        <f t="shared" si="566"/>
        <v>25253</v>
      </c>
      <c r="F545" s="8">
        <f t="shared" si="566"/>
        <v>21517</v>
      </c>
      <c r="G545" s="8">
        <f t="shared" si="566"/>
        <v>23474</v>
      </c>
      <c r="H545" s="8">
        <f t="shared" si="566"/>
        <v>21928</v>
      </c>
      <c r="I545" s="8">
        <f t="shared" si="566"/>
        <v>25826</v>
      </c>
      <c r="J545" s="8">
        <f t="shared" si="566"/>
        <v>23212</v>
      </c>
      <c r="K545" s="8">
        <f t="shared" si="566"/>
        <v>25605</v>
      </c>
      <c r="L545" s="8">
        <f t="shared" si="566"/>
        <v>24538</v>
      </c>
      <c r="M545" s="8">
        <f t="shared" si="566"/>
        <v>28918</v>
      </c>
      <c r="N545" s="8">
        <f t="shared" si="566"/>
        <v>26819</v>
      </c>
      <c r="O545" s="8">
        <f t="shared" si="566"/>
        <v>30085</v>
      </c>
      <c r="P545" s="8">
        <f t="shared" si="566"/>
        <v>29084</v>
      </c>
      <c r="Q545" s="8">
        <f t="shared" si="566"/>
        <v>32471</v>
      </c>
      <c r="R545" s="8">
        <f t="shared" si="566"/>
        <v>30571</v>
      </c>
      <c r="S545" s="8">
        <f t="shared" si="566"/>
        <v>33717</v>
      </c>
      <c r="T545" s="8">
        <f t="shared" si="566"/>
        <v>33055</v>
      </c>
      <c r="U545" s="8">
        <f t="shared" si="566"/>
        <v>36906</v>
      </c>
      <c r="V545" s="8">
        <f t="shared" si="566"/>
        <v>35021</v>
      </c>
      <c r="W545" s="8">
        <f t="shared" si="566"/>
        <v>38033</v>
      </c>
      <c r="X545" s="8">
        <f t="shared" si="566"/>
        <v>37154</v>
      </c>
      <c r="Y545" s="8">
        <f t="shared" si="566"/>
        <v>43076</v>
      </c>
      <c r="Z545" s="8">
        <f t="shared" si="566"/>
        <v>41706</v>
      </c>
      <c r="AA545" s="8">
        <f t="shared" si="566"/>
        <v>46152</v>
      </c>
      <c r="AB545" s="8">
        <f t="shared" si="566"/>
        <v>45317</v>
      </c>
      <c r="AC545" s="8">
        <f t="shared" si="566"/>
        <v>51728</v>
      </c>
      <c r="AD545" s="8">
        <f t="shared" si="566"/>
        <v>49360</v>
      </c>
      <c r="AE545" s="8">
        <f t="shared" si="566"/>
        <v>51865</v>
      </c>
      <c r="AF545" s="8">
        <f t="shared" si="566"/>
        <v>50122</v>
      </c>
      <c r="AG545" s="8">
        <f t="shared" si="566"/>
        <v>53588.734970439065</v>
      </c>
      <c r="AH545" s="8">
        <f t="shared" si="566"/>
        <v>51569.768876460585</v>
      </c>
      <c r="AI545" s="8">
        <f t="shared" si="566"/>
        <v>55382.846663871453</v>
      </c>
      <c r="AK545" s="8"/>
      <c r="AL545" s="8"/>
      <c r="AM545" s="8"/>
      <c r="AN545" s="8"/>
      <c r="AO545" s="8"/>
      <c r="AP545" s="8"/>
      <c r="AQ545" s="8">
        <f t="shared" ref="AQ545:AW545" si="567">+AQ505</f>
        <v>69943</v>
      </c>
      <c r="AR545" s="8">
        <f t="shared" si="567"/>
        <v>73723</v>
      </c>
      <c r="AS545" s="8">
        <f t="shared" si="567"/>
        <v>77849</v>
      </c>
      <c r="AT545" s="8">
        <f t="shared" si="567"/>
        <v>86833</v>
      </c>
      <c r="AU545" s="8">
        <f t="shared" si="567"/>
        <v>93580</v>
      </c>
      <c r="AV545" s="8">
        <f t="shared" si="567"/>
        <v>85320</v>
      </c>
      <c r="AW545" s="8">
        <f t="shared" si="567"/>
        <v>89950</v>
      </c>
      <c r="AY545" s="8">
        <f t="shared" ref="AY545:BE545" si="568">+AY505</f>
        <v>91154</v>
      </c>
      <c r="AZ545" s="8">
        <f t="shared" si="568"/>
        <v>96571</v>
      </c>
      <c r="BA545" s="8">
        <f t="shared" si="568"/>
        <v>110360</v>
      </c>
      <c r="BB545" s="8">
        <f t="shared" si="568"/>
        <v>125843</v>
      </c>
      <c r="BC545" s="8">
        <f t="shared" si="568"/>
        <v>143015</v>
      </c>
      <c r="BD545" s="8">
        <f t="shared" si="568"/>
        <v>168088</v>
      </c>
      <c r="BE545" s="8">
        <f t="shared" si="568"/>
        <v>198270</v>
      </c>
      <c r="BF545" s="8">
        <f t="shared" ref="BF545:BF547" si="569">SUM(AF545:AI545)</f>
        <v>210663.35051077112</v>
      </c>
      <c r="BG545" s="8"/>
    </row>
    <row r="546" spans="1:59">
      <c r="B546" s="878" t="s">
        <v>561</v>
      </c>
      <c r="D546" s="879">
        <v>0</v>
      </c>
      <c r="E546" s="879">
        <v>0</v>
      </c>
      <c r="F546" s="879">
        <v>0</v>
      </c>
      <c r="G546" s="879">
        <v>0</v>
      </c>
      <c r="H546" s="879">
        <v>0</v>
      </c>
      <c r="I546" s="879">
        <v>0</v>
      </c>
      <c r="J546" s="879">
        <v>0</v>
      </c>
      <c r="K546" s="879">
        <v>0</v>
      </c>
      <c r="L546" s="879">
        <v>0</v>
      </c>
      <c r="M546" s="879">
        <v>0</v>
      </c>
      <c r="N546" s="879">
        <v>0</v>
      </c>
      <c r="O546" s="879">
        <v>0</v>
      </c>
      <c r="P546" s="879">
        <v>0</v>
      </c>
      <c r="Q546" s="879">
        <v>0</v>
      </c>
      <c r="R546" s="879">
        <v>0</v>
      </c>
      <c r="S546" s="879">
        <v>0</v>
      </c>
      <c r="T546" s="879">
        <v>0</v>
      </c>
      <c r="U546" s="879">
        <v>0</v>
      </c>
      <c r="V546" s="879">
        <v>0</v>
      </c>
      <c r="W546" s="879">
        <v>0</v>
      </c>
      <c r="X546" s="879">
        <v>0</v>
      </c>
      <c r="Y546" s="879">
        <v>0</v>
      </c>
      <c r="Z546" s="879">
        <v>0</v>
      </c>
      <c r="AA546" s="879">
        <v>0</v>
      </c>
      <c r="AB546" s="879">
        <v>0</v>
      </c>
      <c r="AC546" s="879">
        <v>0</v>
      </c>
      <c r="AD546" s="879">
        <v>0</v>
      </c>
      <c r="AE546" s="879">
        <v>0</v>
      </c>
      <c r="AF546" s="879">
        <v>0</v>
      </c>
      <c r="AG546" s="879">
        <v>0</v>
      </c>
      <c r="AH546" s="879">
        <v>0</v>
      </c>
      <c r="AI546" s="879">
        <v>0</v>
      </c>
      <c r="AK546" s="879"/>
      <c r="AL546" s="879"/>
      <c r="AM546" s="879"/>
      <c r="AN546" s="879"/>
      <c r="AO546" s="879"/>
      <c r="AP546" s="879"/>
      <c r="AQ546" s="879">
        <v>0</v>
      </c>
      <c r="AR546" s="879">
        <v>0</v>
      </c>
      <c r="AS546" s="879">
        <v>0</v>
      </c>
      <c r="AT546" s="879">
        <v>0</v>
      </c>
      <c r="AU546" s="879">
        <v>0</v>
      </c>
      <c r="AV546" s="879">
        <v>6643</v>
      </c>
      <c r="AW546" s="879">
        <v>6707</v>
      </c>
      <c r="AY546" s="879">
        <v>0</v>
      </c>
      <c r="AZ546" s="879">
        <v>0</v>
      </c>
      <c r="BA546" s="879">
        <v>0</v>
      </c>
      <c r="BB546" s="879">
        <v>0</v>
      </c>
      <c r="BC546" s="879">
        <v>0</v>
      </c>
      <c r="BD546" s="879">
        <v>0</v>
      </c>
      <c r="BE546" s="879">
        <v>0</v>
      </c>
      <c r="BF546" s="879">
        <f t="shared" si="569"/>
        <v>0</v>
      </c>
      <c r="BG546" s="879"/>
    </row>
    <row r="547" spans="1:59" ht="11.45">
      <c r="B547" s="878" t="s">
        <v>562</v>
      </c>
      <c r="D547" s="905">
        <v>0</v>
      </c>
      <c r="E547" s="905">
        <v>0</v>
      </c>
      <c r="F547" s="905">
        <v>0</v>
      </c>
      <c r="G547" s="905">
        <v>0</v>
      </c>
      <c r="H547" s="905">
        <v>0</v>
      </c>
      <c r="I547" s="905">
        <v>0</v>
      </c>
      <c r="J547" s="905">
        <v>0</v>
      </c>
      <c r="K547" s="905">
        <v>0</v>
      </c>
      <c r="L547" s="905">
        <v>0</v>
      </c>
      <c r="M547" s="905">
        <v>0</v>
      </c>
      <c r="N547" s="905">
        <v>0</v>
      </c>
      <c r="O547" s="905">
        <v>0</v>
      </c>
      <c r="P547" s="905">
        <v>0</v>
      </c>
      <c r="Q547" s="905">
        <v>0</v>
      </c>
      <c r="R547" s="905">
        <v>0</v>
      </c>
      <c r="S547" s="905">
        <v>0</v>
      </c>
      <c r="T547" s="905">
        <v>0</v>
      </c>
      <c r="U547" s="905">
        <v>0</v>
      </c>
      <c r="V547" s="905">
        <v>0</v>
      </c>
      <c r="W547" s="905">
        <v>0</v>
      </c>
      <c r="X547" s="905">
        <v>0</v>
      </c>
      <c r="Y547" s="905">
        <v>0</v>
      </c>
      <c r="Z547" s="905">
        <v>0</v>
      </c>
      <c r="AA547" s="905">
        <v>0</v>
      </c>
      <c r="AB547" s="905">
        <v>0</v>
      </c>
      <c r="AC547" s="905">
        <v>0</v>
      </c>
      <c r="AD547" s="905">
        <v>0</v>
      </c>
      <c r="AE547" s="905">
        <v>0</v>
      </c>
      <c r="AF547" s="905">
        <v>0</v>
      </c>
      <c r="AG547" s="905">
        <v>0</v>
      </c>
      <c r="AH547" s="905">
        <v>0</v>
      </c>
      <c r="AI547" s="905">
        <v>0</v>
      </c>
      <c r="AK547" s="879"/>
      <c r="AL547" s="879"/>
      <c r="AM547" s="879"/>
      <c r="AN547" s="879"/>
      <c r="AO547" s="879"/>
      <c r="AP547" s="879"/>
      <c r="AQ547" s="905">
        <v>0</v>
      </c>
      <c r="AR547" s="905">
        <v>540</v>
      </c>
      <c r="AS547" s="905">
        <v>-540</v>
      </c>
      <c r="AT547" s="905">
        <v>0</v>
      </c>
      <c r="AU547" s="905">
        <v>0</v>
      </c>
      <c r="AV547" s="905">
        <v>0</v>
      </c>
      <c r="AW547" s="905">
        <v>0</v>
      </c>
      <c r="AY547" s="905">
        <v>0</v>
      </c>
      <c r="AZ547" s="905">
        <v>0</v>
      </c>
      <c r="BA547" s="905">
        <v>0</v>
      </c>
      <c r="BB547" s="905">
        <v>0</v>
      </c>
      <c r="BC547" s="905">
        <v>0</v>
      </c>
      <c r="BD547" s="905">
        <v>0</v>
      </c>
      <c r="BE547" s="905">
        <v>0</v>
      </c>
      <c r="BF547" s="905">
        <f t="shared" si="569"/>
        <v>0</v>
      </c>
      <c r="BG547" s="905"/>
    </row>
    <row r="548" spans="1:59" s="1" customFormat="1" ht="10.5">
      <c r="B548" s="882" t="s">
        <v>563</v>
      </c>
      <c r="D548" s="838">
        <f t="shared" ref="D548:AI548" si="570">SUM(D545:D547)</f>
        <v>20910</v>
      </c>
      <c r="E548" s="838">
        <f t="shared" si="570"/>
        <v>25253</v>
      </c>
      <c r="F548" s="838">
        <f t="shared" si="570"/>
        <v>21517</v>
      </c>
      <c r="G548" s="838">
        <f t="shared" si="570"/>
        <v>23474</v>
      </c>
      <c r="H548" s="838">
        <f t="shared" si="570"/>
        <v>21928</v>
      </c>
      <c r="I548" s="838">
        <f t="shared" si="570"/>
        <v>25826</v>
      </c>
      <c r="J548" s="838">
        <f t="shared" si="570"/>
        <v>23212</v>
      </c>
      <c r="K548" s="838">
        <f t="shared" si="570"/>
        <v>25605</v>
      </c>
      <c r="L548" s="838">
        <f t="shared" si="570"/>
        <v>24538</v>
      </c>
      <c r="M548" s="838">
        <f t="shared" si="570"/>
        <v>28918</v>
      </c>
      <c r="N548" s="838">
        <f t="shared" si="570"/>
        <v>26819</v>
      </c>
      <c r="O548" s="838">
        <f t="shared" si="570"/>
        <v>30085</v>
      </c>
      <c r="P548" s="838">
        <f t="shared" si="570"/>
        <v>29084</v>
      </c>
      <c r="Q548" s="838">
        <f t="shared" si="570"/>
        <v>32471</v>
      </c>
      <c r="R548" s="838">
        <f t="shared" si="570"/>
        <v>30571</v>
      </c>
      <c r="S548" s="838">
        <f t="shared" si="570"/>
        <v>33717</v>
      </c>
      <c r="T548" s="838">
        <f t="shared" si="570"/>
        <v>33055</v>
      </c>
      <c r="U548" s="838">
        <f t="shared" si="570"/>
        <v>36906</v>
      </c>
      <c r="V548" s="838">
        <f t="shared" si="570"/>
        <v>35021</v>
      </c>
      <c r="W548" s="838">
        <f t="shared" si="570"/>
        <v>38033</v>
      </c>
      <c r="X548" s="838">
        <f t="shared" si="570"/>
        <v>37154</v>
      </c>
      <c r="Y548" s="838">
        <f t="shared" si="570"/>
        <v>43076</v>
      </c>
      <c r="Z548" s="838">
        <f t="shared" si="570"/>
        <v>41706</v>
      </c>
      <c r="AA548" s="838">
        <f t="shared" si="570"/>
        <v>46152</v>
      </c>
      <c r="AB548" s="838">
        <f t="shared" si="570"/>
        <v>45317</v>
      </c>
      <c r="AC548" s="838">
        <f t="shared" si="570"/>
        <v>51728</v>
      </c>
      <c r="AD548" s="838">
        <f t="shared" si="570"/>
        <v>49360</v>
      </c>
      <c r="AE548" s="838">
        <f t="shared" si="570"/>
        <v>51865</v>
      </c>
      <c r="AF548" s="838">
        <f t="shared" si="570"/>
        <v>50122</v>
      </c>
      <c r="AG548" s="838">
        <f t="shared" si="570"/>
        <v>53588.734970439065</v>
      </c>
      <c r="AH548" s="838">
        <f t="shared" si="570"/>
        <v>51569.768876460585</v>
      </c>
      <c r="AI548" s="838">
        <f t="shared" si="570"/>
        <v>55382.846663871453</v>
      </c>
      <c r="AK548" s="838"/>
      <c r="AL548" s="838"/>
      <c r="AM548" s="838"/>
      <c r="AN548" s="838"/>
      <c r="AO548" s="838"/>
      <c r="AP548" s="838"/>
      <c r="AQ548" s="838">
        <f t="shared" ref="AQ548:AW548" si="571">SUM(AQ545:AQ547)</f>
        <v>69943</v>
      </c>
      <c r="AR548" s="838">
        <f t="shared" si="571"/>
        <v>74263</v>
      </c>
      <c r="AS548" s="838">
        <f t="shared" si="571"/>
        <v>77309</v>
      </c>
      <c r="AT548" s="838">
        <f t="shared" si="571"/>
        <v>86833</v>
      </c>
      <c r="AU548" s="838">
        <f t="shared" si="571"/>
        <v>93580</v>
      </c>
      <c r="AV548" s="838">
        <f t="shared" si="571"/>
        <v>91963</v>
      </c>
      <c r="AW548" s="838">
        <f t="shared" si="571"/>
        <v>96657</v>
      </c>
      <c r="AY548" s="838">
        <f t="shared" ref="AY548:BF548" si="572">SUM(AY545:AY547)</f>
        <v>91154</v>
      </c>
      <c r="AZ548" s="838">
        <f t="shared" si="572"/>
        <v>96571</v>
      </c>
      <c r="BA548" s="838">
        <f t="shared" si="572"/>
        <v>110360</v>
      </c>
      <c r="BB548" s="838">
        <f t="shared" si="572"/>
        <v>125843</v>
      </c>
      <c r="BC548" s="838">
        <f t="shared" si="572"/>
        <v>143015</v>
      </c>
      <c r="BD548" s="838">
        <f t="shared" si="572"/>
        <v>168088</v>
      </c>
      <c r="BE548" s="838">
        <f t="shared" si="572"/>
        <v>198270</v>
      </c>
      <c r="BF548" s="838">
        <f t="shared" si="572"/>
        <v>210663.35051077112</v>
      </c>
      <c r="BG548" s="838"/>
    </row>
    <row r="549" spans="1:59" s="7" customFormat="1">
      <c r="B549" s="887" t="s">
        <v>113</v>
      </c>
      <c r="D549" s="946"/>
      <c r="E549" s="946"/>
      <c r="F549" s="946"/>
      <c r="G549" s="946"/>
      <c r="H549" s="946">
        <f>+H548/D548-1</f>
        <v>4.8684839789574275E-2</v>
      </c>
      <c r="I549" s="946">
        <f t="shared" ref="I549:AI549" si="573">+I548/E548-1</f>
        <v>2.2690373420979792E-2</v>
      </c>
      <c r="J549" s="946">
        <f t="shared" si="573"/>
        <v>7.8774922154575489E-2</v>
      </c>
      <c r="K549" s="946">
        <f t="shared" si="573"/>
        <v>9.0781289937803544E-2</v>
      </c>
      <c r="L549" s="946">
        <f t="shared" si="573"/>
        <v>0.11902590295512594</v>
      </c>
      <c r="M549" s="946">
        <f t="shared" si="573"/>
        <v>0.11972430883605667</v>
      </c>
      <c r="N549" s="946">
        <f t="shared" si="573"/>
        <v>0.15539376184732046</v>
      </c>
      <c r="O549" s="946">
        <f t="shared" si="573"/>
        <v>0.17496582698691654</v>
      </c>
      <c r="P549" s="946">
        <f t="shared" si="573"/>
        <v>0.18526367267095933</v>
      </c>
      <c r="Q549" s="946">
        <f t="shared" si="573"/>
        <v>0.12286465177398154</v>
      </c>
      <c r="R549" s="946">
        <f t="shared" si="573"/>
        <v>0.13990081658525666</v>
      </c>
      <c r="S549" s="946">
        <f t="shared" si="573"/>
        <v>0.12072461359481479</v>
      </c>
      <c r="T549" s="946">
        <f t="shared" si="573"/>
        <v>0.13653555219364599</v>
      </c>
      <c r="U549" s="946">
        <f t="shared" si="573"/>
        <v>0.13658341289150311</v>
      </c>
      <c r="V549" s="946">
        <f t="shared" si="573"/>
        <v>0.14556278826338698</v>
      </c>
      <c r="W549" s="946">
        <f t="shared" si="573"/>
        <v>0.12800664353293589</v>
      </c>
      <c r="X549" s="946">
        <f t="shared" si="573"/>
        <v>0.12400544546967174</v>
      </c>
      <c r="Y549" s="946">
        <f t="shared" si="573"/>
        <v>0.16718148810491518</v>
      </c>
      <c r="Z549" s="946">
        <f t="shared" si="573"/>
        <v>0.19088546871876866</v>
      </c>
      <c r="AA549" s="946">
        <f t="shared" si="573"/>
        <v>0.21347251071437956</v>
      </c>
      <c r="AB549" s="946">
        <f t="shared" si="573"/>
        <v>0.21970716477364483</v>
      </c>
      <c r="AC549" s="946">
        <f t="shared" si="573"/>
        <v>0.2008543040208004</v>
      </c>
      <c r="AD549" s="946">
        <f t="shared" si="573"/>
        <v>0.18352275451973332</v>
      </c>
      <c r="AE549" s="946">
        <f t="shared" si="573"/>
        <v>0.12378661813139202</v>
      </c>
      <c r="AF549" s="946">
        <f t="shared" si="573"/>
        <v>0.1060308493501334</v>
      </c>
      <c r="AG549" s="946">
        <f t="shared" si="573"/>
        <v>3.5971523554729767E-2</v>
      </c>
      <c r="AH549" s="946">
        <f t="shared" si="573"/>
        <v>4.476841321840741E-2</v>
      </c>
      <c r="AI549" s="946">
        <f t="shared" si="573"/>
        <v>6.7826986674471179E-2</v>
      </c>
      <c r="AL549" s="946"/>
      <c r="AM549" s="946"/>
      <c r="AN549" s="946"/>
      <c r="AO549" s="946"/>
      <c r="AP549" s="946"/>
      <c r="AQ549" s="946"/>
      <c r="AR549" s="946">
        <f t="shared" ref="AR549:AU549" si="574">+AR548/AQ548-1</f>
        <v>6.1764579729208124E-2</v>
      </c>
      <c r="AS549" s="946">
        <f t="shared" si="574"/>
        <v>4.1016387703163071E-2</v>
      </c>
      <c r="AT549" s="946">
        <f t="shared" si="574"/>
        <v>0.12319393602297279</v>
      </c>
      <c r="AU549" s="946">
        <f t="shared" si="574"/>
        <v>7.7700874091647165E-2</v>
      </c>
      <c r="AV549" s="946">
        <f>+AV548/AU548-1</f>
        <v>-1.727933319085273E-2</v>
      </c>
      <c r="AW549" s="946">
        <f>+AW548/AV548-1</f>
        <v>5.1042266998684305E-2</v>
      </c>
      <c r="AY549" s="946"/>
      <c r="AZ549" s="946">
        <f t="shared" ref="AZ549:BF549" si="575">+AZ548/AY548-1</f>
        <v>5.9426903920837271E-2</v>
      </c>
      <c r="BA549" s="946">
        <f t="shared" si="575"/>
        <v>0.14278613662486661</v>
      </c>
      <c r="BB549" s="946">
        <f t="shared" si="575"/>
        <v>0.14029539688292858</v>
      </c>
      <c r="BC549" s="946">
        <f t="shared" si="575"/>
        <v>0.13645574247276371</v>
      </c>
      <c r="BD549" s="946">
        <f t="shared" si="575"/>
        <v>0.17531727441177503</v>
      </c>
      <c r="BE549" s="946">
        <f t="shared" si="575"/>
        <v>0.17956070629670173</v>
      </c>
      <c r="BF549" s="946">
        <f t="shared" si="575"/>
        <v>6.2507441926519913E-2</v>
      </c>
      <c r="BG549" s="946"/>
    </row>
    <row r="551" spans="1:59">
      <c r="B551" s="878" t="s">
        <v>552</v>
      </c>
      <c r="D551" s="8">
        <f t="shared" ref="D551:AI551" si="576">+D530</f>
        <v>6316</v>
      </c>
      <c r="E551" s="8">
        <f t="shared" si="576"/>
        <v>7489</v>
      </c>
      <c r="F551" s="8">
        <f t="shared" si="576"/>
        <v>6277</v>
      </c>
      <c r="G551" s="8">
        <f t="shared" si="576"/>
        <v>5996</v>
      </c>
      <c r="H551" s="8">
        <f t="shared" si="576"/>
        <v>6715</v>
      </c>
      <c r="I551" s="8">
        <f t="shared" si="576"/>
        <v>7905</v>
      </c>
      <c r="J551" s="8">
        <f t="shared" si="576"/>
        <v>6723</v>
      </c>
      <c r="K551" s="8">
        <f t="shared" si="576"/>
        <v>7682</v>
      </c>
      <c r="L551" s="8">
        <f t="shared" si="576"/>
        <v>7708</v>
      </c>
      <c r="M551" s="8">
        <f t="shared" si="576"/>
        <v>8679</v>
      </c>
      <c r="N551" s="8">
        <f t="shared" si="576"/>
        <v>8292</v>
      </c>
      <c r="O551" s="8">
        <f t="shared" si="576"/>
        <v>10379</v>
      </c>
      <c r="P551" s="8">
        <f t="shared" si="576"/>
        <v>9955</v>
      </c>
      <c r="Q551" s="8">
        <f t="shared" si="576"/>
        <v>10258</v>
      </c>
      <c r="R551" s="8">
        <f t="shared" si="576"/>
        <v>10341</v>
      </c>
      <c r="S551" s="8">
        <f t="shared" si="576"/>
        <v>12405</v>
      </c>
      <c r="T551" s="8">
        <f t="shared" si="576"/>
        <v>12686</v>
      </c>
      <c r="U551" s="8">
        <f t="shared" si="576"/>
        <v>13891</v>
      </c>
      <c r="V551" s="8">
        <f t="shared" si="576"/>
        <v>12975</v>
      </c>
      <c r="W551" s="8">
        <f t="shared" si="576"/>
        <v>13407</v>
      </c>
      <c r="X551" s="8">
        <f t="shared" si="576"/>
        <v>15876</v>
      </c>
      <c r="Y551" s="8">
        <f t="shared" si="576"/>
        <v>17897</v>
      </c>
      <c r="Z551" s="8">
        <f t="shared" si="576"/>
        <v>17048</v>
      </c>
      <c r="AA551" s="8">
        <f t="shared" si="576"/>
        <v>19095</v>
      </c>
      <c r="AB551" s="8">
        <f t="shared" si="576"/>
        <v>20238</v>
      </c>
      <c r="AC551" s="8">
        <f t="shared" si="576"/>
        <v>22247</v>
      </c>
      <c r="AD551" s="8">
        <f t="shared" si="576"/>
        <v>20364</v>
      </c>
      <c r="AE551" s="8">
        <f t="shared" si="576"/>
        <v>20534</v>
      </c>
      <c r="AF551" s="8">
        <f t="shared" si="576"/>
        <v>21518</v>
      </c>
      <c r="AG551" s="8">
        <f t="shared" si="576"/>
        <v>22280.325017420888</v>
      </c>
      <c r="AH551" s="8">
        <f t="shared" si="576"/>
        <v>20668.367261994536</v>
      </c>
      <c r="AI551" s="8">
        <f t="shared" si="576"/>
        <v>21640.852583138716</v>
      </c>
      <c r="AK551" s="8"/>
      <c r="AL551" s="8"/>
      <c r="AM551" s="8"/>
      <c r="AN551" s="8"/>
      <c r="AO551" s="8"/>
      <c r="AP551" s="8"/>
      <c r="AQ551" s="8">
        <f t="shared" ref="AQ551:AW551" si="577">+AQ530</f>
        <v>27161</v>
      </c>
      <c r="AR551" s="8">
        <f t="shared" si="577"/>
        <v>21763</v>
      </c>
      <c r="AS551" s="8">
        <f t="shared" si="577"/>
        <v>26764</v>
      </c>
      <c r="AT551" s="8">
        <f t="shared" si="577"/>
        <v>27759</v>
      </c>
      <c r="AU551" s="8">
        <f t="shared" si="577"/>
        <v>18161</v>
      </c>
      <c r="AV551" s="8">
        <f t="shared" si="577"/>
        <v>20182</v>
      </c>
      <c r="AW551" s="8">
        <f t="shared" si="577"/>
        <v>22326</v>
      </c>
      <c r="AY551" s="8">
        <f t="shared" ref="AY551:BE551" si="578">+AY530</f>
        <v>26078</v>
      </c>
      <c r="AZ551" s="8">
        <f t="shared" si="578"/>
        <v>29025</v>
      </c>
      <c r="BA551" s="8">
        <f t="shared" si="578"/>
        <v>35058</v>
      </c>
      <c r="BB551" s="8">
        <f t="shared" si="578"/>
        <v>42959</v>
      </c>
      <c r="BC551" s="8">
        <f t="shared" si="578"/>
        <v>52959</v>
      </c>
      <c r="BD551" s="8">
        <f t="shared" si="578"/>
        <v>69916</v>
      </c>
      <c r="BE551" s="8">
        <f t="shared" si="578"/>
        <v>83383</v>
      </c>
      <c r="BF551" s="8">
        <f t="shared" ref="BF551:BF557" si="579">SUM(AF551:AI551)</f>
        <v>86107.544862554147</v>
      </c>
    </row>
    <row r="552" spans="1:59">
      <c r="B552" s="878" t="s">
        <v>561</v>
      </c>
      <c r="D552" s="8">
        <f t="shared" ref="D552:AI552" si="580">+D546</f>
        <v>0</v>
      </c>
      <c r="E552" s="8">
        <f t="shared" si="580"/>
        <v>0</v>
      </c>
      <c r="F552" s="8">
        <f t="shared" si="580"/>
        <v>0</v>
      </c>
      <c r="G552" s="8">
        <f t="shared" si="580"/>
        <v>0</v>
      </c>
      <c r="H552" s="8">
        <f t="shared" si="580"/>
        <v>0</v>
      </c>
      <c r="I552" s="8">
        <f t="shared" si="580"/>
        <v>0</v>
      </c>
      <c r="J552" s="8">
        <f t="shared" si="580"/>
        <v>0</v>
      </c>
      <c r="K552" s="8">
        <f t="shared" si="580"/>
        <v>0</v>
      </c>
      <c r="L552" s="8">
        <f t="shared" si="580"/>
        <v>0</v>
      </c>
      <c r="M552" s="8">
        <f t="shared" si="580"/>
        <v>0</v>
      </c>
      <c r="N552" s="8">
        <f t="shared" si="580"/>
        <v>0</v>
      </c>
      <c r="O552" s="8">
        <f t="shared" si="580"/>
        <v>0</v>
      </c>
      <c r="P552" s="8">
        <f t="shared" si="580"/>
        <v>0</v>
      </c>
      <c r="Q552" s="8">
        <f t="shared" si="580"/>
        <v>0</v>
      </c>
      <c r="R552" s="8">
        <f t="shared" si="580"/>
        <v>0</v>
      </c>
      <c r="S552" s="8">
        <f t="shared" si="580"/>
        <v>0</v>
      </c>
      <c r="T552" s="8">
        <f t="shared" si="580"/>
        <v>0</v>
      </c>
      <c r="U552" s="8">
        <f t="shared" si="580"/>
        <v>0</v>
      </c>
      <c r="V552" s="8">
        <f t="shared" si="580"/>
        <v>0</v>
      </c>
      <c r="W552" s="8">
        <f t="shared" si="580"/>
        <v>0</v>
      </c>
      <c r="X552" s="8">
        <f t="shared" si="580"/>
        <v>0</v>
      </c>
      <c r="Y552" s="8">
        <f t="shared" si="580"/>
        <v>0</v>
      </c>
      <c r="Z552" s="8">
        <f t="shared" si="580"/>
        <v>0</v>
      </c>
      <c r="AA552" s="8">
        <f t="shared" si="580"/>
        <v>0</v>
      </c>
      <c r="AB552" s="8">
        <f t="shared" si="580"/>
        <v>0</v>
      </c>
      <c r="AC552" s="8">
        <f t="shared" si="580"/>
        <v>0</v>
      </c>
      <c r="AD552" s="8">
        <f t="shared" si="580"/>
        <v>0</v>
      </c>
      <c r="AE552" s="8">
        <f t="shared" si="580"/>
        <v>0</v>
      </c>
      <c r="AF552" s="8">
        <f t="shared" si="580"/>
        <v>0</v>
      </c>
      <c r="AG552" s="8">
        <f t="shared" si="580"/>
        <v>0</v>
      </c>
      <c r="AH552" s="8">
        <f t="shared" si="580"/>
        <v>0</v>
      </c>
      <c r="AI552" s="8">
        <f t="shared" si="580"/>
        <v>0</v>
      </c>
      <c r="AK552" s="8"/>
      <c r="AL552" s="8"/>
      <c r="AM552" s="8"/>
      <c r="AN552" s="8"/>
      <c r="AO552" s="8"/>
      <c r="AP552" s="8"/>
      <c r="AQ552" s="8">
        <f t="shared" ref="AQ552:AT552" si="581">+AQ546</f>
        <v>0</v>
      </c>
      <c r="AR552" s="8">
        <f t="shared" si="581"/>
        <v>0</v>
      </c>
      <c r="AS552" s="8">
        <f t="shared" si="581"/>
        <v>0</v>
      </c>
      <c r="AT552" s="8">
        <f t="shared" si="581"/>
        <v>0</v>
      </c>
      <c r="AU552" s="8">
        <f>+AU546</f>
        <v>0</v>
      </c>
      <c r="AV552" s="8">
        <f t="shared" ref="AV552:AW552" si="582">+AV546</f>
        <v>6643</v>
      </c>
      <c r="AW552" s="8">
        <f t="shared" si="582"/>
        <v>6707</v>
      </c>
      <c r="AY552" s="8">
        <f t="shared" ref="AY552:BE552" si="583">+AY546</f>
        <v>0</v>
      </c>
      <c r="AZ552" s="8">
        <f t="shared" si="583"/>
        <v>0</v>
      </c>
      <c r="BA552" s="8">
        <f t="shared" si="583"/>
        <v>0</v>
      </c>
      <c r="BB552" s="8">
        <f t="shared" si="583"/>
        <v>0</v>
      </c>
      <c r="BC552" s="8">
        <f t="shared" si="583"/>
        <v>0</v>
      </c>
      <c r="BD552" s="8">
        <f t="shared" si="583"/>
        <v>0</v>
      </c>
      <c r="BE552" s="8">
        <f t="shared" si="583"/>
        <v>0</v>
      </c>
      <c r="BF552" s="8">
        <f t="shared" si="579"/>
        <v>0</v>
      </c>
    </row>
    <row r="553" spans="1:59">
      <c r="B553" s="878" t="s">
        <v>564</v>
      </c>
      <c r="D553" s="8">
        <v>0</v>
      </c>
      <c r="E553" s="8">
        <v>0</v>
      </c>
      <c r="F553" s="8">
        <v>0</v>
      </c>
      <c r="G553" s="8">
        <v>0</v>
      </c>
      <c r="H553" s="8">
        <v>0</v>
      </c>
      <c r="I553" s="8">
        <v>0</v>
      </c>
      <c r="J553" s="8">
        <v>0</v>
      </c>
      <c r="K553" s="8">
        <v>0</v>
      </c>
      <c r="L553" s="8">
        <v>0</v>
      </c>
      <c r="M553" s="8">
        <v>0</v>
      </c>
      <c r="N553" s="8">
        <v>0</v>
      </c>
      <c r="O553" s="8">
        <v>0</v>
      </c>
      <c r="P553" s="8">
        <v>0</v>
      </c>
      <c r="Q553" s="8">
        <v>0</v>
      </c>
      <c r="R553" s="8">
        <v>0</v>
      </c>
      <c r="S553" s="8">
        <v>0</v>
      </c>
      <c r="T553" s="8">
        <v>0</v>
      </c>
      <c r="U553" s="8">
        <v>0</v>
      </c>
      <c r="V553" s="8">
        <v>0</v>
      </c>
      <c r="W553" s="29">
        <v>450</v>
      </c>
      <c r="X553" s="8">
        <v>0</v>
      </c>
      <c r="Y553" s="8">
        <v>0</v>
      </c>
      <c r="Z553" s="8">
        <v>0</v>
      </c>
      <c r="AA553" s="8">
        <v>0</v>
      </c>
      <c r="AB553" s="8">
        <v>0</v>
      </c>
      <c r="AC553" s="8">
        <v>0</v>
      </c>
      <c r="AD553" s="8">
        <v>0</v>
      </c>
      <c r="AE553" s="8">
        <v>0</v>
      </c>
      <c r="AF553" s="8">
        <v>0</v>
      </c>
      <c r="AG553" s="8">
        <v>0</v>
      </c>
      <c r="AH553" s="8">
        <v>0</v>
      </c>
      <c r="AI553" s="8">
        <v>0</v>
      </c>
      <c r="AK553" s="8"/>
      <c r="AL553" s="8"/>
      <c r="AM553" s="8"/>
      <c r="AN553" s="8"/>
      <c r="AO553" s="8"/>
      <c r="AP553" s="8"/>
      <c r="AQ553" s="8">
        <v>0</v>
      </c>
      <c r="AR553" s="8">
        <v>0</v>
      </c>
      <c r="AS553" s="8">
        <v>0</v>
      </c>
      <c r="AT553" s="8">
        <v>0</v>
      </c>
      <c r="AU553" s="8">
        <v>0</v>
      </c>
      <c r="AV553" s="8">
        <v>0</v>
      </c>
      <c r="AW553" s="8">
        <v>0</v>
      </c>
      <c r="AX553" s="8">
        <v>0</v>
      </c>
      <c r="AY553" s="8">
        <v>0</v>
      </c>
      <c r="AZ553" s="8">
        <v>0</v>
      </c>
      <c r="BA553" s="8">
        <v>0</v>
      </c>
      <c r="BB553" s="8">
        <v>0</v>
      </c>
      <c r="BC553" s="8">
        <f>SUM(T553:W553)</f>
        <v>450</v>
      </c>
      <c r="BD553" s="8">
        <v>0</v>
      </c>
      <c r="BE553" s="8">
        <v>0</v>
      </c>
      <c r="BF553" s="8">
        <f t="shared" si="579"/>
        <v>0</v>
      </c>
    </row>
    <row r="554" spans="1:59">
      <c r="B554" s="878" t="s">
        <v>562</v>
      </c>
      <c r="D554" s="8">
        <f t="shared" ref="D554:AI554" si="584">+D547</f>
        <v>0</v>
      </c>
      <c r="E554" s="8">
        <f t="shared" si="584"/>
        <v>0</v>
      </c>
      <c r="F554" s="8">
        <f t="shared" si="584"/>
        <v>0</v>
      </c>
      <c r="G554" s="8">
        <f t="shared" si="584"/>
        <v>0</v>
      </c>
      <c r="H554" s="8">
        <f t="shared" si="584"/>
        <v>0</v>
      </c>
      <c r="I554" s="8">
        <f t="shared" si="584"/>
        <v>0</v>
      </c>
      <c r="J554" s="8">
        <f t="shared" si="584"/>
        <v>0</v>
      </c>
      <c r="K554" s="8">
        <f t="shared" si="584"/>
        <v>0</v>
      </c>
      <c r="L554" s="8">
        <f t="shared" si="584"/>
        <v>0</v>
      </c>
      <c r="M554" s="8">
        <f t="shared" si="584"/>
        <v>0</v>
      </c>
      <c r="N554" s="8">
        <f t="shared" si="584"/>
        <v>0</v>
      </c>
      <c r="O554" s="8">
        <f t="shared" si="584"/>
        <v>0</v>
      </c>
      <c r="P554" s="8">
        <f t="shared" si="584"/>
        <v>0</v>
      </c>
      <c r="Q554" s="8">
        <f t="shared" si="584"/>
        <v>0</v>
      </c>
      <c r="R554" s="8">
        <f t="shared" si="584"/>
        <v>0</v>
      </c>
      <c r="S554" s="8">
        <f t="shared" si="584"/>
        <v>0</v>
      </c>
      <c r="T554" s="8">
        <f t="shared" si="584"/>
        <v>0</v>
      </c>
      <c r="U554" s="8">
        <f t="shared" si="584"/>
        <v>0</v>
      </c>
      <c r="V554" s="8">
        <f t="shared" si="584"/>
        <v>0</v>
      </c>
      <c r="W554" s="8">
        <f t="shared" si="584"/>
        <v>0</v>
      </c>
      <c r="X554" s="8">
        <f t="shared" si="584"/>
        <v>0</v>
      </c>
      <c r="Y554" s="8">
        <f t="shared" si="584"/>
        <v>0</v>
      </c>
      <c r="Z554" s="8">
        <f t="shared" si="584"/>
        <v>0</v>
      </c>
      <c r="AA554" s="8">
        <f t="shared" si="584"/>
        <v>0</v>
      </c>
      <c r="AB554" s="8">
        <f t="shared" si="584"/>
        <v>0</v>
      </c>
      <c r="AC554" s="8">
        <f t="shared" si="584"/>
        <v>0</v>
      </c>
      <c r="AD554" s="8">
        <f t="shared" si="584"/>
        <v>0</v>
      </c>
      <c r="AE554" s="8">
        <f t="shared" si="584"/>
        <v>0</v>
      </c>
      <c r="AF554" s="8">
        <f t="shared" si="584"/>
        <v>0</v>
      </c>
      <c r="AG554" s="8">
        <f t="shared" si="584"/>
        <v>0</v>
      </c>
      <c r="AH554" s="8">
        <f t="shared" si="584"/>
        <v>0</v>
      </c>
      <c r="AI554" s="8">
        <f t="shared" si="584"/>
        <v>0</v>
      </c>
      <c r="AK554" s="8"/>
      <c r="AL554" s="8"/>
      <c r="AM554" s="8"/>
      <c r="AN554" s="8"/>
      <c r="AO554" s="8"/>
      <c r="AP554" s="8"/>
      <c r="AQ554" s="8">
        <f t="shared" ref="AQ554:AW554" si="585">+AQ547</f>
        <v>0</v>
      </c>
      <c r="AR554" s="8">
        <f t="shared" si="585"/>
        <v>540</v>
      </c>
      <c r="AS554" s="8">
        <f t="shared" si="585"/>
        <v>-540</v>
      </c>
      <c r="AT554" s="8">
        <f t="shared" si="585"/>
        <v>0</v>
      </c>
      <c r="AU554" s="8">
        <f t="shared" si="585"/>
        <v>0</v>
      </c>
      <c r="AV554" s="8">
        <f t="shared" si="585"/>
        <v>0</v>
      </c>
      <c r="AW554" s="8">
        <f t="shared" si="585"/>
        <v>0</v>
      </c>
      <c r="AY554" s="8">
        <f t="shared" ref="AY554:BE554" si="586">+AY547</f>
        <v>0</v>
      </c>
      <c r="AZ554" s="8">
        <f t="shared" si="586"/>
        <v>0</v>
      </c>
      <c r="BA554" s="8">
        <f t="shared" si="586"/>
        <v>0</v>
      </c>
      <c r="BB554" s="8">
        <f t="shared" si="586"/>
        <v>0</v>
      </c>
      <c r="BC554" s="8">
        <f t="shared" si="586"/>
        <v>0</v>
      </c>
      <c r="BD554" s="8">
        <f t="shared" si="586"/>
        <v>0</v>
      </c>
      <c r="BE554" s="8">
        <f t="shared" si="586"/>
        <v>0</v>
      </c>
      <c r="BF554" s="8">
        <f t="shared" si="579"/>
        <v>0</v>
      </c>
    </row>
    <row r="555" spans="1:59">
      <c r="B555" s="878" t="s">
        <v>565</v>
      </c>
      <c r="D555" s="879">
        <v>0</v>
      </c>
      <c r="E555" s="879">
        <v>0</v>
      </c>
      <c r="F555" s="879">
        <v>0</v>
      </c>
      <c r="G555" s="879">
        <v>0</v>
      </c>
      <c r="H555" s="879">
        <v>0</v>
      </c>
      <c r="I555" s="879">
        <v>0</v>
      </c>
      <c r="J555" s="879">
        <v>0</v>
      </c>
      <c r="K555" s="879">
        <v>0</v>
      </c>
      <c r="L555" s="879">
        <v>0</v>
      </c>
      <c r="M555" s="879">
        <v>0</v>
      </c>
      <c r="N555" s="879">
        <v>0</v>
      </c>
      <c r="O555" s="879">
        <v>0</v>
      </c>
      <c r="P555" s="879">
        <v>0</v>
      </c>
      <c r="Q555" s="879">
        <v>0</v>
      </c>
      <c r="R555" s="879">
        <v>0</v>
      </c>
      <c r="S555" s="879">
        <v>0</v>
      </c>
      <c r="T555" s="879">
        <v>0</v>
      </c>
      <c r="U555" s="879">
        <v>0</v>
      </c>
      <c r="V555" s="879">
        <v>0</v>
      </c>
      <c r="W555" s="879">
        <v>0</v>
      </c>
      <c r="X555" s="879">
        <v>0</v>
      </c>
      <c r="Y555" s="879">
        <v>0</v>
      </c>
      <c r="Z555" s="879">
        <v>0</v>
      </c>
      <c r="AA555" s="879">
        <v>0</v>
      </c>
      <c r="AB555" s="879">
        <v>0</v>
      </c>
      <c r="AC555" s="879">
        <v>0</v>
      </c>
      <c r="AD555" s="879">
        <v>0</v>
      </c>
      <c r="AE555" s="879">
        <v>0</v>
      </c>
      <c r="AF555" s="879">
        <v>0</v>
      </c>
      <c r="AG555" s="879">
        <v>0</v>
      </c>
      <c r="AH555" s="879">
        <v>0</v>
      </c>
      <c r="AI555" s="879">
        <v>0</v>
      </c>
      <c r="AK555" s="879"/>
      <c r="AL555" s="879"/>
      <c r="AM555" s="879"/>
      <c r="AN555" s="879"/>
      <c r="AO555" s="879"/>
      <c r="AP555" s="879"/>
      <c r="AQ555" s="879">
        <v>0</v>
      </c>
      <c r="AR555" s="879">
        <v>0</v>
      </c>
      <c r="AS555" s="879">
        <v>733</v>
      </c>
      <c r="AT555" s="879">
        <v>0</v>
      </c>
      <c r="AU555" s="879">
        <v>0</v>
      </c>
      <c r="AV555" s="879">
        <v>0</v>
      </c>
      <c r="AW555" s="879">
        <v>0</v>
      </c>
      <c r="AY555" s="879">
        <v>0</v>
      </c>
      <c r="AZ555" s="879">
        <v>0</v>
      </c>
      <c r="BA555" s="879">
        <v>0</v>
      </c>
      <c r="BB555" s="879">
        <v>0</v>
      </c>
      <c r="BC555" s="879">
        <v>0</v>
      </c>
      <c r="BD555" s="879">
        <v>0</v>
      </c>
      <c r="BE555" s="879">
        <v>0</v>
      </c>
      <c r="BF555" s="879">
        <f t="shared" si="579"/>
        <v>0</v>
      </c>
    </row>
    <row r="556" spans="1:59" ht="11.45">
      <c r="B556" s="878" t="s">
        <v>567</v>
      </c>
      <c r="D556" s="10">
        <f t="shared" ref="D556:AI556" si="587">+D529</f>
        <v>0</v>
      </c>
      <c r="E556" s="10">
        <f t="shared" si="587"/>
        <v>0</v>
      </c>
      <c r="F556" s="10">
        <f t="shared" si="587"/>
        <v>0</v>
      </c>
      <c r="G556" s="10">
        <f t="shared" si="587"/>
        <v>1110</v>
      </c>
      <c r="H556" s="10">
        <f t="shared" si="587"/>
        <v>0</v>
      </c>
      <c r="I556" s="10">
        <f t="shared" si="587"/>
        <v>0</v>
      </c>
      <c r="J556" s="10">
        <f t="shared" si="587"/>
        <v>0</v>
      </c>
      <c r="K556" s="10">
        <f t="shared" si="587"/>
        <v>306</v>
      </c>
      <c r="L556" s="10">
        <f t="shared" si="587"/>
        <v>0</v>
      </c>
      <c r="M556" s="10">
        <f t="shared" si="587"/>
        <v>0</v>
      </c>
      <c r="N556" s="10">
        <f t="shared" si="587"/>
        <v>0</v>
      </c>
      <c r="O556" s="10">
        <f t="shared" si="587"/>
        <v>0</v>
      </c>
      <c r="P556" s="10">
        <f t="shared" si="587"/>
        <v>0</v>
      </c>
      <c r="Q556" s="10">
        <f t="shared" si="587"/>
        <v>0</v>
      </c>
      <c r="R556" s="10">
        <f t="shared" si="587"/>
        <v>0</v>
      </c>
      <c r="S556" s="10">
        <f t="shared" si="587"/>
        <v>0</v>
      </c>
      <c r="T556" s="10">
        <f t="shared" si="587"/>
        <v>0</v>
      </c>
      <c r="U556" s="10">
        <f t="shared" si="587"/>
        <v>0</v>
      </c>
      <c r="V556" s="10">
        <f t="shared" si="587"/>
        <v>0</v>
      </c>
      <c r="W556" s="10">
        <f t="shared" si="587"/>
        <v>0</v>
      </c>
      <c r="X556" s="10">
        <f t="shared" si="587"/>
        <v>0</v>
      </c>
      <c r="Y556" s="10">
        <f t="shared" si="587"/>
        <v>0</v>
      </c>
      <c r="Z556" s="10">
        <f t="shared" si="587"/>
        <v>0</v>
      </c>
      <c r="AA556" s="10">
        <f t="shared" si="587"/>
        <v>0</v>
      </c>
      <c r="AB556" s="10">
        <f t="shared" si="587"/>
        <v>0</v>
      </c>
      <c r="AC556" s="10">
        <f t="shared" si="587"/>
        <v>0</v>
      </c>
      <c r="AD556" s="10">
        <f t="shared" si="587"/>
        <v>0</v>
      </c>
      <c r="AE556" s="10">
        <f t="shared" si="587"/>
        <v>0</v>
      </c>
      <c r="AF556" s="10">
        <f t="shared" si="587"/>
        <v>0</v>
      </c>
      <c r="AG556" s="10">
        <f t="shared" si="587"/>
        <v>0</v>
      </c>
      <c r="AH556" s="10">
        <f t="shared" si="587"/>
        <v>0</v>
      </c>
      <c r="AI556" s="10">
        <f t="shared" si="587"/>
        <v>0</v>
      </c>
      <c r="AK556" s="10"/>
      <c r="AL556" s="10"/>
      <c r="AM556" s="10"/>
      <c r="AN556" s="10"/>
      <c r="AO556" s="10"/>
      <c r="AP556" s="10"/>
      <c r="AQ556" s="10">
        <f t="shared" ref="AQ556:AW556" si="588">+AQ529</f>
        <v>0</v>
      </c>
      <c r="AR556" s="10">
        <f t="shared" si="588"/>
        <v>6193</v>
      </c>
      <c r="AS556" s="10">
        <f t="shared" si="588"/>
        <v>0</v>
      </c>
      <c r="AT556" s="10">
        <f t="shared" si="588"/>
        <v>127</v>
      </c>
      <c r="AU556" s="10">
        <f t="shared" si="588"/>
        <v>10011</v>
      </c>
      <c r="AV556" s="10">
        <f t="shared" si="588"/>
        <v>1110</v>
      </c>
      <c r="AW556" s="10">
        <f t="shared" si="588"/>
        <v>306</v>
      </c>
      <c r="AY556" s="10">
        <f t="shared" ref="AY556:BE556" si="589">+AY529</f>
        <v>1110</v>
      </c>
      <c r="AZ556" s="10">
        <f t="shared" si="589"/>
        <v>306</v>
      </c>
      <c r="BA556" s="10">
        <f t="shared" si="589"/>
        <v>0</v>
      </c>
      <c r="BB556" s="10">
        <f t="shared" si="589"/>
        <v>0</v>
      </c>
      <c r="BC556" s="10">
        <f t="shared" si="589"/>
        <v>0</v>
      </c>
      <c r="BD556" s="10">
        <f t="shared" si="589"/>
        <v>0</v>
      </c>
      <c r="BE556" s="10">
        <f t="shared" si="589"/>
        <v>0</v>
      </c>
      <c r="BF556" s="10">
        <f t="shared" si="579"/>
        <v>0</v>
      </c>
    </row>
    <row r="557" spans="1:59" s="1" customFormat="1" ht="10.5">
      <c r="B557" s="882" t="s">
        <v>568</v>
      </c>
      <c r="D557" s="838">
        <f t="shared" ref="D557:AI557" si="590">SUM(D551:D556)</f>
        <v>6316</v>
      </c>
      <c r="E557" s="838">
        <f t="shared" si="590"/>
        <v>7489</v>
      </c>
      <c r="F557" s="838">
        <f t="shared" si="590"/>
        <v>6277</v>
      </c>
      <c r="G557" s="838">
        <f t="shared" si="590"/>
        <v>7106</v>
      </c>
      <c r="H557" s="838">
        <f t="shared" si="590"/>
        <v>6715</v>
      </c>
      <c r="I557" s="838">
        <f t="shared" si="590"/>
        <v>7905</v>
      </c>
      <c r="J557" s="838">
        <f t="shared" si="590"/>
        <v>6723</v>
      </c>
      <c r="K557" s="838">
        <f t="shared" si="590"/>
        <v>7988</v>
      </c>
      <c r="L557" s="838">
        <f t="shared" si="590"/>
        <v>7708</v>
      </c>
      <c r="M557" s="838">
        <f t="shared" si="590"/>
        <v>8679</v>
      </c>
      <c r="N557" s="838">
        <f t="shared" si="590"/>
        <v>8292</v>
      </c>
      <c r="O557" s="838">
        <f t="shared" si="590"/>
        <v>10379</v>
      </c>
      <c r="P557" s="838">
        <f t="shared" si="590"/>
        <v>9955</v>
      </c>
      <c r="Q557" s="838">
        <f t="shared" si="590"/>
        <v>10258</v>
      </c>
      <c r="R557" s="838">
        <f t="shared" si="590"/>
        <v>10341</v>
      </c>
      <c r="S557" s="838">
        <f t="shared" si="590"/>
        <v>12405</v>
      </c>
      <c r="T557" s="838">
        <f t="shared" si="590"/>
        <v>12686</v>
      </c>
      <c r="U557" s="838">
        <f t="shared" si="590"/>
        <v>13891</v>
      </c>
      <c r="V557" s="838">
        <f t="shared" si="590"/>
        <v>12975</v>
      </c>
      <c r="W557" s="838">
        <f t="shared" si="590"/>
        <v>13857</v>
      </c>
      <c r="X557" s="838">
        <f t="shared" si="590"/>
        <v>15876</v>
      </c>
      <c r="Y557" s="838">
        <f t="shared" si="590"/>
        <v>17897</v>
      </c>
      <c r="Z557" s="838">
        <f t="shared" si="590"/>
        <v>17048</v>
      </c>
      <c r="AA557" s="838">
        <f t="shared" si="590"/>
        <v>19095</v>
      </c>
      <c r="AB557" s="838">
        <f t="shared" si="590"/>
        <v>20238</v>
      </c>
      <c r="AC557" s="838">
        <f t="shared" si="590"/>
        <v>22247</v>
      </c>
      <c r="AD557" s="838">
        <f t="shared" si="590"/>
        <v>20364</v>
      </c>
      <c r="AE557" s="838">
        <f t="shared" si="590"/>
        <v>20534</v>
      </c>
      <c r="AF557" s="838">
        <f t="shared" si="590"/>
        <v>21518</v>
      </c>
      <c r="AG557" s="838">
        <f t="shared" si="590"/>
        <v>22280.325017420888</v>
      </c>
      <c r="AH557" s="838">
        <f t="shared" si="590"/>
        <v>20668.367261994536</v>
      </c>
      <c r="AI557" s="838">
        <f t="shared" si="590"/>
        <v>21640.852583138716</v>
      </c>
      <c r="AK557" s="838"/>
      <c r="AL557" s="838"/>
      <c r="AM557" s="838"/>
      <c r="AN557" s="838"/>
      <c r="AO557" s="838"/>
      <c r="AP557" s="838"/>
      <c r="AQ557" s="838">
        <f t="shared" ref="AQ557:AT557" si="591">SUM(AQ551:AQ556)</f>
        <v>27161</v>
      </c>
      <c r="AR557" s="838">
        <f t="shared" si="591"/>
        <v>28496</v>
      </c>
      <c r="AS557" s="838">
        <f t="shared" si="591"/>
        <v>26957</v>
      </c>
      <c r="AT557" s="838">
        <f t="shared" si="591"/>
        <v>27886</v>
      </c>
      <c r="AU557" s="838">
        <f>SUM(AU551:AU556)</f>
        <v>28172</v>
      </c>
      <c r="AV557" s="838">
        <f t="shared" ref="AV557:AW557" si="592">SUM(AV551:AV556)</f>
        <v>27935</v>
      </c>
      <c r="AW557" s="838">
        <f t="shared" si="592"/>
        <v>29339</v>
      </c>
      <c r="AY557" s="838">
        <f t="shared" ref="AY557:BE557" si="593">SUM(AY551:AY556)</f>
        <v>27188</v>
      </c>
      <c r="AZ557" s="838">
        <f t="shared" si="593"/>
        <v>29331</v>
      </c>
      <c r="BA557" s="838">
        <f t="shared" si="593"/>
        <v>35058</v>
      </c>
      <c r="BB557" s="838">
        <f t="shared" si="593"/>
        <v>42959</v>
      </c>
      <c r="BC557" s="838">
        <f t="shared" si="593"/>
        <v>53409</v>
      </c>
      <c r="BD557" s="838">
        <f t="shared" si="593"/>
        <v>69916</v>
      </c>
      <c r="BE557" s="838">
        <f t="shared" si="593"/>
        <v>83383</v>
      </c>
      <c r="BF557" s="838">
        <f t="shared" si="579"/>
        <v>86107.544862554147</v>
      </c>
    </row>
    <row r="558" spans="1:59" s="7" customFormat="1">
      <c r="B558" s="887" t="s">
        <v>113</v>
      </c>
      <c r="D558" s="946"/>
      <c r="E558" s="946"/>
      <c r="F558" s="946"/>
      <c r="G558" s="946"/>
      <c r="H558" s="946">
        <f>+H557/D557-1</f>
        <v>6.317289423685879E-2</v>
      </c>
      <c r="I558" s="946">
        <f t="shared" ref="I558:AI558" si="594">+I557/E557-1</f>
        <v>5.5548137267993125E-2</v>
      </c>
      <c r="J558" s="946">
        <f t="shared" si="594"/>
        <v>7.1053050820455654E-2</v>
      </c>
      <c r="K558" s="946">
        <f t="shared" si="594"/>
        <v>0.12412046158176193</v>
      </c>
      <c r="L558" s="946">
        <f t="shared" si="594"/>
        <v>0.14787788533134782</v>
      </c>
      <c r="M558" s="946">
        <f t="shared" si="594"/>
        <v>9.7912713472485757E-2</v>
      </c>
      <c r="N558" s="946">
        <f t="shared" si="594"/>
        <v>0.23337795626952262</v>
      </c>
      <c r="O558" s="946">
        <f t="shared" si="594"/>
        <v>0.29932398597896848</v>
      </c>
      <c r="P558" s="946">
        <f t="shared" si="594"/>
        <v>0.29151530877010901</v>
      </c>
      <c r="Q558" s="946">
        <f t="shared" si="594"/>
        <v>0.18193340246572176</v>
      </c>
      <c r="R558" s="946">
        <f t="shared" si="594"/>
        <v>0.2471056439942112</v>
      </c>
      <c r="S558" s="946">
        <f t="shared" si="594"/>
        <v>0.19520184988919942</v>
      </c>
      <c r="T558" s="946">
        <f t="shared" si="594"/>
        <v>0.27433450527373182</v>
      </c>
      <c r="U558" s="946">
        <f t="shared" si="594"/>
        <v>0.3541626047962565</v>
      </c>
      <c r="V558" s="946">
        <f t="shared" si="594"/>
        <v>0.25471424427038003</v>
      </c>
      <c r="W558" s="946">
        <f t="shared" si="594"/>
        <v>0.1170495767835551</v>
      </c>
      <c r="X558" s="946">
        <f t="shared" si="594"/>
        <v>0.25145830048872764</v>
      </c>
      <c r="Y558" s="946">
        <f t="shared" si="594"/>
        <v>0.28838816499892017</v>
      </c>
      <c r="Z558" s="946">
        <f t="shared" si="594"/>
        <v>0.31391136801541419</v>
      </c>
      <c r="AA558" s="946">
        <f t="shared" si="594"/>
        <v>0.37800389694739112</v>
      </c>
      <c r="AB558" s="946">
        <f t="shared" si="594"/>
        <v>0.27475434618291761</v>
      </c>
      <c r="AC558" s="946">
        <f t="shared" si="594"/>
        <v>0.24305749566966539</v>
      </c>
      <c r="AD558" s="946">
        <f t="shared" si="594"/>
        <v>0.19450961989676219</v>
      </c>
      <c r="AE558" s="946">
        <f t="shared" si="594"/>
        <v>7.5360041895784269E-2</v>
      </c>
      <c r="AF558" s="946">
        <f t="shared" si="594"/>
        <v>6.3247356458147941E-2</v>
      </c>
      <c r="AG558" s="946">
        <f t="shared" si="594"/>
        <v>1.4979555634866415E-3</v>
      </c>
      <c r="AH558" s="946">
        <f t="shared" si="594"/>
        <v>1.4946339716879642E-2</v>
      </c>
      <c r="AI558" s="946">
        <f t="shared" si="594"/>
        <v>5.3903408159088118E-2</v>
      </c>
      <c r="AL558" s="946"/>
      <c r="AM558" s="946"/>
      <c r="AN558" s="946"/>
      <c r="AO558" s="946"/>
      <c r="AP558" s="946"/>
      <c r="AQ558" s="946"/>
      <c r="AR558" s="946">
        <f t="shared" ref="AR558:AV558" si="595">+AR557/AQ557-1</f>
        <v>4.9151356724715489E-2</v>
      </c>
      <c r="AS558" s="946">
        <f t="shared" si="595"/>
        <v>-5.4007580011229628E-2</v>
      </c>
      <c r="AT558" s="946">
        <f t="shared" si="595"/>
        <v>3.4462291798048827E-2</v>
      </c>
      <c r="AU558" s="946">
        <f t="shared" si="595"/>
        <v>1.025604245858136E-2</v>
      </c>
      <c r="AV558" s="946">
        <f t="shared" si="595"/>
        <v>-8.4126082635240795E-3</v>
      </c>
      <c r="AW558" s="946">
        <f>+AW557/AV557-1</f>
        <v>5.0259531054233086E-2</v>
      </c>
      <c r="AY558" s="1012">
        <f t="shared" ref="AY558" si="596">+AV558</f>
        <v>-8.4126082635240795E-3</v>
      </c>
      <c r="AZ558" s="1012">
        <f t="shared" ref="AZ558" si="597">+AW558</f>
        <v>5.0259531054233086E-2</v>
      </c>
      <c r="BA558" s="946">
        <f t="shared" ref="BA558:BF558" si="598">+BA557/AZ557-1</f>
        <v>0.19525416794517736</v>
      </c>
      <c r="BB558" s="946">
        <f t="shared" si="598"/>
        <v>0.22536938787152727</v>
      </c>
      <c r="BC558" s="946">
        <f t="shared" si="598"/>
        <v>0.24325519681556829</v>
      </c>
      <c r="BD558" s="946">
        <f t="shared" si="598"/>
        <v>0.30906776011533643</v>
      </c>
      <c r="BE558" s="946">
        <f t="shared" si="598"/>
        <v>0.19261685451112753</v>
      </c>
      <c r="BF558" s="946">
        <f t="shared" si="598"/>
        <v>3.2675064012498201E-2</v>
      </c>
    </row>
    <row r="559" spans="1:59" s="948" customFormat="1">
      <c r="A559" s="7"/>
      <c r="B559" s="887" t="s">
        <v>272</v>
      </c>
      <c r="H559" s="949" t="s">
        <v>273</v>
      </c>
      <c r="I559" s="949" t="s">
        <v>273</v>
      </c>
      <c r="J559" s="949" t="s">
        <v>273</v>
      </c>
      <c r="K559" s="949" t="s">
        <v>273</v>
      </c>
      <c r="L559" s="950">
        <v>0.15</v>
      </c>
      <c r="M559" s="950">
        <v>0.1</v>
      </c>
      <c r="N559" s="950">
        <v>0.2</v>
      </c>
      <c r="O559" s="950">
        <v>0.24</v>
      </c>
      <c r="P559" s="950">
        <v>0.28000000000000003</v>
      </c>
      <c r="Q559" s="950">
        <v>0.18</v>
      </c>
      <c r="R559" s="950">
        <v>0.27</v>
      </c>
      <c r="S559" s="950">
        <v>0.24</v>
      </c>
      <c r="T559" s="950">
        <v>0.32</v>
      </c>
      <c r="U559" s="950">
        <v>0.39</v>
      </c>
      <c r="V559" s="950">
        <v>0.28000000000000003</v>
      </c>
      <c r="W559" s="951">
        <f>+W558+4%</f>
        <v>0.15704957678355511</v>
      </c>
      <c r="X559" s="950">
        <v>0.25</v>
      </c>
      <c r="Y559" s="950">
        <v>0.26</v>
      </c>
      <c r="Z559" s="950">
        <v>0.27</v>
      </c>
      <c r="AA559" s="950">
        <v>0.35</v>
      </c>
      <c r="AB559" s="950">
        <v>0.24</v>
      </c>
      <c r="AC559" s="950">
        <v>0.24</v>
      </c>
      <c r="AD559" s="950">
        <v>0.23</v>
      </c>
      <c r="AE559" s="950">
        <v>0.14000000000000001</v>
      </c>
      <c r="AF559" s="950">
        <v>0.15</v>
      </c>
      <c r="AR559" s="947" t="s">
        <v>273</v>
      </c>
      <c r="AS559" s="947" t="s">
        <v>273</v>
      </c>
      <c r="AT559" s="947" t="s">
        <v>273</v>
      </c>
      <c r="AU559" s="947" t="s">
        <v>273</v>
      </c>
      <c r="AV559" s="947" t="s">
        <v>273</v>
      </c>
      <c r="AW559" s="947" t="s">
        <v>273</v>
      </c>
      <c r="AY559" s="947" t="s">
        <v>273</v>
      </c>
      <c r="AZ559" s="947" t="s">
        <v>273</v>
      </c>
      <c r="BA559" s="948">
        <f>SUMPRODUCT(L559:O559,H557:K557)/AZ557</f>
        <v>0.17249565306331185</v>
      </c>
      <c r="BB559" s="948">
        <f>SUMPRODUCT(P559:S559,L557:O557)/BA557</f>
        <v>0.24103656797307321</v>
      </c>
      <c r="BC559" s="948">
        <f>SUMPRODUCT(T559:W559,P557:S557)/BB557</f>
        <v>0.28003212365278524</v>
      </c>
      <c r="BD559" s="948">
        <f>+BD54</f>
        <v>0.28283879982628074</v>
      </c>
      <c r="BE559" s="948">
        <f>+BE54</f>
        <v>0.21025030036043252</v>
      </c>
    </row>
    <row r="560" spans="1:59" s="1" customFormat="1" ht="10.5">
      <c r="B560" s="887" t="s">
        <v>123</v>
      </c>
      <c r="D560" s="855">
        <f t="shared" ref="D560:AI560" si="599">IFERROR(D557/D$505,"n/a ")</f>
        <v>0.30205643232902918</v>
      </c>
      <c r="E560" s="855">
        <f t="shared" si="599"/>
        <v>0.29655882469409572</v>
      </c>
      <c r="F560" s="855">
        <f t="shared" si="599"/>
        <v>0.29172282381372866</v>
      </c>
      <c r="G560" s="855">
        <f t="shared" si="599"/>
        <v>0.30271790065604498</v>
      </c>
      <c r="H560" s="855">
        <f t="shared" si="599"/>
        <v>0.30622947829259395</v>
      </c>
      <c r="I560" s="855">
        <f t="shared" si="599"/>
        <v>0.30608688918144505</v>
      </c>
      <c r="J560" s="855">
        <f t="shared" si="599"/>
        <v>0.28963467172152335</v>
      </c>
      <c r="K560" s="855">
        <f t="shared" si="599"/>
        <v>0.31197031829720756</v>
      </c>
      <c r="L560" s="855">
        <f t="shared" si="599"/>
        <v>0.3141250305648382</v>
      </c>
      <c r="M560" s="855">
        <f t="shared" si="599"/>
        <v>0.30012448993706342</v>
      </c>
      <c r="N560" s="855">
        <f t="shared" si="599"/>
        <v>0.30918378761325926</v>
      </c>
      <c r="O560" s="855">
        <f t="shared" si="599"/>
        <v>0.3449891972743892</v>
      </c>
      <c r="P560" s="855">
        <f t="shared" si="599"/>
        <v>0.34228441754916794</v>
      </c>
      <c r="Q560" s="855">
        <f t="shared" si="599"/>
        <v>0.3159126605278556</v>
      </c>
      <c r="R560" s="855">
        <f t="shared" si="599"/>
        <v>0.3382617513329626</v>
      </c>
      <c r="S560" s="855">
        <f t="shared" si="599"/>
        <v>0.3679152949550672</v>
      </c>
      <c r="T560" s="855">
        <f t="shared" si="599"/>
        <v>0.38378460142187265</v>
      </c>
      <c r="U560" s="855">
        <f t="shared" si="599"/>
        <v>0.37638866309001245</v>
      </c>
      <c r="V560" s="855">
        <f t="shared" si="599"/>
        <v>0.37049199051997372</v>
      </c>
      <c r="W560" s="855">
        <f t="shared" si="599"/>
        <v>0.36434149291404833</v>
      </c>
      <c r="X560" s="855">
        <f t="shared" si="599"/>
        <v>0.42730257845723207</v>
      </c>
      <c r="Y560" s="855">
        <f t="shared" si="599"/>
        <v>0.41547497446373849</v>
      </c>
      <c r="Z560" s="855">
        <f t="shared" si="599"/>
        <v>0.40876612477820939</v>
      </c>
      <c r="AA560" s="855">
        <f t="shared" si="599"/>
        <v>0.41374154966198645</v>
      </c>
      <c r="AB560" s="855">
        <f t="shared" si="599"/>
        <v>0.44658737339188381</v>
      </c>
      <c r="AC560" s="855">
        <f t="shared" si="599"/>
        <v>0.43007655428394681</v>
      </c>
      <c r="AD560" s="855">
        <f t="shared" si="599"/>
        <v>0.41256077795786061</v>
      </c>
      <c r="AE560" s="855">
        <f t="shared" si="599"/>
        <v>0.3959124650535043</v>
      </c>
      <c r="AF560" s="855">
        <f t="shared" si="599"/>
        <v>0.42931247755476637</v>
      </c>
      <c r="AG560" s="855">
        <f t="shared" si="599"/>
        <v>0.41576508625761166</v>
      </c>
      <c r="AH560" s="855">
        <f t="shared" si="599"/>
        <v>0.400784562589513</v>
      </c>
      <c r="AI560" s="855">
        <f t="shared" si="599"/>
        <v>0.3907500947808078</v>
      </c>
      <c r="AK560" s="855"/>
      <c r="AL560" s="855"/>
      <c r="AM560" s="855"/>
      <c r="AN560" s="855"/>
      <c r="AO560" s="855"/>
      <c r="AP560" s="855"/>
      <c r="AQ560" s="855">
        <f t="shared" ref="AQ560:AW560" si="600">IFERROR(AQ557/AQ$505,"n/a ")</f>
        <v>0.38833049769097694</v>
      </c>
      <c r="AR560" s="855">
        <f t="shared" si="600"/>
        <v>0.38652794921530592</v>
      </c>
      <c r="AS560" s="855">
        <f t="shared" si="600"/>
        <v>0.34627291294685864</v>
      </c>
      <c r="AT560" s="855">
        <f t="shared" si="600"/>
        <v>0.32114518673776099</v>
      </c>
      <c r="AU560" s="855">
        <f t="shared" si="600"/>
        <v>0.30104723231459712</v>
      </c>
      <c r="AV560" s="855">
        <f t="shared" si="600"/>
        <v>0.32741443975621193</v>
      </c>
      <c r="AW560" s="855">
        <f t="shared" si="600"/>
        <v>0.32617009449694273</v>
      </c>
      <c r="AY560" s="855">
        <f t="shared" ref="AY560:BF560" si="601">IFERROR(AY557/AY$505,"n/a ")</f>
        <v>0.29826447550299495</v>
      </c>
      <c r="AZ560" s="855">
        <f t="shared" si="601"/>
        <v>0.30372472067183731</v>
      </c>
      <c r="BA560" s="855">
        <f t="shared" si="601"/>
        <v>0.31766944545125048</v>
      </c>
      <c r="BB560" s="855">
        <f t="shared" si="601"/>
        <v>0.3413698020549415</v>
      </c>
      <c r="BC560" s="855">
        <f t="shared" si="601"/>
        <v>0.37345033737719818</v>
      </c>
      <c r="BD560" s="855">
        <f t="shared" si="601"/>
        <v>0.41594878872971303</v>
      </c>
      <c r="BE560" s="855">
        <f t="shared" si="601"/>
        <v>0.4205527815604983</v>
      </c>
      <c r="BF560" s="855">
        <f t="shared" si="601"/>
        <v>0.4087447800188268</v>
      </c>
    </row>
    <row r="561" spans="2:56">
      <c r="B561" s="878"/>
    </row>
    <row r="562" spans="2:56" ht="15.95">
      <c r="B562" s="878"/>
      <c r="D562" s="998"/>
      <c r="E562" s="998"/>
      <c r="F562" s="998"/>
      <c r="G562" s="998"/>
      <c r="H562" s="998"/>
      <c r="I562" s="998"/>
      <c r="J562" s="998"/>
      <c r="K562" s="998"/>
      <c r="L562" s="998"/>
      <c r="M562" s="998"/>
      <c r="N562" s="998"/>
      <c r="O562" s="998"/>
      <c r="P562" s="998"/>
      <c r="Q562" s="998"/>
      <c r="R562" s="998"/>
      <c r="S562" s="998"/>
      <c r="T562" s="998"/>
      <c r="U562" s="998"/>
      <c r="V562" s="998"/>
      <c r="W562" s="998"/>
      <c r="X562" s="998"/>
      <c r="Y562" s="998"/>
      <c r="Z562" s="998"/>
      <c r="AA562" s="998"/>
      <c r="AB562" s="998"/>
      <c r="AC562" s="998"/>
      <c r="AY562" s="1010"/>
      <c r="AZ562" s="1010"/>
    </row>
    <row r="563" spans="2:56" ht="15.95">
      <c r="B563" s="878"/>
      <c r="D563" s="998"/>
      <c r="E563" s="998"/>
      <c r="F563" s="998"/>
      <c r="G563" s="998"/>
      <c r="H563" s="998"/>
      <c r="I563" s="998"/>
      <c r="J563" s="998"/>
      <c r="K563" s="998"/>
      <c r="L563" s="998"/>
      <c r="M563" s="998"/>
      <c r="N563" s="998"/>
      <c r="O563" s="998"/>
      <c r="P563" s="998"/>
      <c r="Q563" s="998"/>
      <c r="R563" s="998"/>
      <c r="S563" s="998"/>
      <c r="T563" s="998"/>
      <c r="U563" s="998"/>
      <c r="V563" s="998"/>
      <c r="W563" s="998"/>
      <c r="X563" s="998"/>
      <c r="Y563" s="998"/>
      <c r="Z563" s="998"/>
      <c r="AA563" s="998"/>
      <c r="AB563" s="998"/>
      <c r="AC563" s="998"/>
      <c r="AD563" s="997"/>
      <c r="AE563" s="997"/>
      <c r="AF563" s="997"/>
      <c r="AY563" s="1011"/>
      <c r="AZ563" s="1011"/>
    </row>
    <row r="564" spans="2:56" ht="15.95">
      <c r="B564" s="878"/>
      <c r="D564" s="998"/>
      <c r="E564" s="998"/>
      <c r="F564" s="998"/>
      <c r="G564" s="998"/>
      <c r="H564" s="998"/>
      <c r="I564" s="998"/>
      <c r="J564" s="998"/>
      <c r="K564" s="998"/>
      <c r="L564" s="998"/>
      <c r="M564" s="998"/>
      <c r="N564" s="998"/>
      <c r="O564" s="998"/>
      <c r="P564" s="998"/>
      <c r="Q564" s="998"/>
      <c r="R564" s="998"/>
      <c r="S564" s="998"/>
      <c r="T564" s="998"/>
      <c r="U564" s="998"/>
      <c r="V564" s="998"/>
      <c r="W564" s="998"/>
      <c r="X564" s="998"/>
      <c r="Y564" s="998"/>
      <c r="Z564" s="998"/>
      <c r="AA564" s="998"/>
      <c r="AB564" s="998"/>
      <c r="AC564" s="998"/>
      <c r="AD564" s="998"/>
      <c r="AE564" s="998"/>
      <c r="AF564" s="998"/>
      <c r="AY564" s="1013"/>
      <c r="AZ564" s="1013"/>
    </row>
    <row r="565" spans="2:56" ht="15.95">
      <c r="B565" s="878"/>
      <c r="D565" s="998"/>
      <c r="E565" s="998"/>
      <c r="F565" s="998"/>
      <c r="G565" s="998"/>
      <c r="H565" s="998"/>
      <c r="I565" s="998"/>
      <c r="J565" s="998"/>
      <c r="K565" s="998"/>
      <c r="L565" s="998"/>
      <c r="M565" s="998"/>
      <c r="N565" s="998"/>
      <c r="O565" s="998"/>
      <c r="P565" s="998"/>
      <c r="Q565" s="998"/>
      <c r="R565" s="998"/>
      <c r="S565" s="998"/>
      <c r="T565" s="998"/>
      <c r="U565" s="998"/>
      <c r="V565" s="998"/>
      <c r="W565" s="998"/>
      <c r="X565" s="998"/>
      <c r="Y565" s="998"/>
      <c r="Z565" s="998"/>
      <c r="AA565" s="998"/>
      <c r="AB565" s="998"/>
      <c r="AC565" s="998"/>
      <c r="AD565" s="998"/>
      <c r="AE565" s="998"/>
      <c r="AF565" s="998"/>
    </row>
    <row r="566" spans="2:56">
      <c r="B566" s="878"/>
    </row>
    <row r="567" spans="2:56">
      <c r="B567" s="878"/>
      <c r="AB567" s="957"/>
      <c r="AC567" s="957"/>
      <c r="AD567" s="957"/>
      <c r="AE567" s="957"/>
      <c r="AF567" s="957"/>
    </row>
    <row r="568" spans="2:56">
      <c r="B568" s="878"/>
    </row>
    <row r="569" spans="2:56">
      <c r="B569" s="878"/>
    </row>
    <row r="570" spans="2:56">
      <c r="B570" s="878"/>
    </row>
    <row r="571" spans="2:56">
      <c r="B571" s="878"/>
    </row>
    <row r="572" spans="2:56">
      <c r="B572" s="878"/>
    </row>
    <row r="573" spans="2:56">
      <c r="B573" s="878"/>
      <c r="BD573" s="100"/>
    </row>
    <row r="574" spans="2:56">
      <c r="B574" s="878"/>
      <c r="BD574" s="100"/>
    </row>
    <row r="575" spans="2:56" ht="10.5">
      <c r="B575" s="5" t="s">
        <v>577</v>
      </c>
      <c r="C575" s="4"/>
      <c r="BD575" s="100"/>
    </row>
    <row r="576" spans="2:56" ht="10.5">
      <c r="B576" s="1"/>
      <c r="BD576" s="100"/>
    </row>
    <row r="577" spans="2:58" ht="10.5">
      <c r="B577" s="45" t="s">
        <v>578</v>
      </c>
      <c r="D577" s="876" t="s">
        <v>404</v>
      </c>
      <c r="E577" s="877"/>
      <c r="F577" s="877"/>
      <c r="G577" s="877"/>
      <c r="BD577" s="100"/>
    </row>
    <row r="578" spans="2:58">
      <c r="B578" t="s">
        <v>142</v>
      </c>
      <c r="D578" s="29">
        <v>4902</v>
      </c>
      <c r="E578" s="29">
        <v>5018</v>
      </c>
      <c r="F578" s="29">
        <v>3756</v>
      </c>
      <c r="G578" s="29">
        <v>3122</v>
      </c>
      <c r="H578" s="29">
        <v>5667</v>
      </c>
      <c r="I578" s="29">
        <v>6267</v>
      </c>
      <c r="J578" s="29">
        <v>5486</v>
      </c>
      <c r="K578" s="11">
        <f t="shared" ref="K578:K594" si="602">+AZ578-SUM(H578:J578)</f>
        <v>8069</v>
      </c>
      <c r="L578" s="29">
        <v>6576</v>
      </c>
      <c r="M578" s="29">
        <v>-6302</v>
      </c>
      <c r="N578" s="29">
        <v>7424</v>
      </c>
      <c r="O578" s="11">
        <v>8873</v>
      </c>
      <c r="P578" s="29">
        <v>8824</v>
      </c>
      <c r="Q578" s="29">
        <v>8420</v>
      </c>
      <c r="R578" s="29">
        <v>8809</v>
      </c>
      <c r="S578" s="11">
        <f t="shared" ref="S578:S594" si="603">+BB578-SUM(P578:R578)</f>
        <v>13187</v>
      </c>
      <c r="T578" s="29">
        <v>10678</v>
      </c>
      <c r="U578" s="29">
        <v>11649</v>
      </c>
      <c r="V578" s="29">
        <v>10752</v>
      </c>
      <c r="W578" s="29">
        <v>11202</v>
      </c>
      <c r="X578" s="29">
        <v>13893</v>
      </c>
      <c r="Y578" s="29">
        <v>15463</v>
      </c>
      <c r="Z578" s="29">
        <v>15457</v>
      </c>
      <c r="AA578" s="29">
        <v>16458</v>
      </c>
      <c r="AB578" s="29">
        <v>20505</v>
      </c>
      <c r="AC578" s="29">
        <v>18765</v>
      </c>
      <c r="AD578" s="29">
        <v>16728</v>
      </c>
      <c r="AE578" s="29">
        <v>16740</v>
      </c>
      <c r="AF578" s="29">
        <v>17556</v>
      </c>
      <c r="AG578" s="994"/>
      <c r="AI578" s="952"/>
      <c r="AK578" s="29">
        <v>12254</v>
      </c>
      <c r="AL578" s="29">
        <v>12599</v>
      </c>
      <c r="AM578" s="29">
        <v>14065</v>
      </c>
      <c r="AN578" s="29">
        <v>17681</v>
      </c>
      <c r="AO578" s="29">
        <v>14569</v>
      </c>
      <c r="AP578" s="29">
        <v>18760</v>
      </c>
      <c r="AQ578" s="29">
        <v>23150</v>
      </c>
      <c r="AR578" s="29">
        <v>16978</v>
      </c>
      <c r="AS578" s="29">
        <v>21863</v>
      </c>
      <c r="AT578" s="29">
        <v>22074</v>
      </c>
      <c r="AU578" s="29">
        <v>12193</v>
      </c>
      <c r="AV578" s="29">
        <v>16798</v>
      </c>
      <c r="AW578" s="29">
        <v>21204</v>
      </c>
      <c r="AY578" s="29">
        <v>20539</v>
      </c>
      <c r="AZ578" s="29">
        <v>25489</v>
      </c>
      <c r="BA578" s="29">
        <v>16571</v>
      </c>
      <c r="BB578" s="29">
        <v>39240</v>
      </c>
      <c r="BC578" s="11">
        <f t="shared" ref="BC578:BC594" si="604">SUM(T578:W578)</f>
        <v>44281</v>
      </c>
      <c r="BD578" s="11">
        <f>SUM(X578:AA578)</f>
        <v>61271</v>
      </c>
      <c r="BE578" s="11">
        <f>+SUM(AB578:AE578)</f>
        <v>72738</v>
      </c>
      <c r="BF578" s="29"/>
    </row>
    <row r="579" spans="2:58">
      <c r="B579" t="s">
        <v>579</v>
      </c>
      <c r="D579" s="29">
        <v>1461</v>
      </c>
      <c r="E579" s="29">
        <v>1544</v>
      </c>
      <c r="F579" s="29">
        <v>1707</v>
      </c>
      <c r="G579" s="29">
        <v>1910</v>
      </c>
      <c r="H579" s="29">
        <v>1816</v>
      </c>
      <c r="I579" s="29">
        <v>2166</v>
      </c>
      <c r="J579" s="29">
        <v>2453</v>
      </c>
      <c r="K579" s="11">
        <f t="shared" si="602"/>
        <v>2343</v>
      </c>
      <c r="L579" s="29">
        <v>2499</v>
      </c>
      <c r="M579" s="29">
        <v>2536</v>
      </c>
      <c r="N579" s="29">
        <v>2710</v>
      </c>
      <c r="O579" s="11">
        <v>2516</v>
      </c>
      <c r="P579" s="29">
        <v>2837</v>
      </c>
      <c r="Q579" s="29">
        <v>2995</v>
      </c>
      <c r="R579" s="29">
        <v>2926</v>
      </c>
      <c r="S579" s="11">
        <f t="shared" si="603"/>
        <v>2924</v>
      </c>
      <c r="T579" s="29">
        <v>2971</v>
      </c>
      <c r="U579" s="29">
        <v>3203</v>
      </c>
      <c r="V579" s="29">
        <v>3118</v>
      </c>
      <c r="W579" s="29">
        <v>3504</v>
      </c>
      <c r="X579" s="29">
        <v>2645</v>
      </c>
      <c r="Y579" s="29">
        <v>2761</v>
      </c>
      <c r="Z579" s="29">
        <v>2936</v>
      </c>
      <c r="AA579" s="29">
        <v>3344</v>
      </c>
      <c r="AB579" s="29">
        <v>3212</v>
      </c>
      <c r="AC579" s="29">
        <v>3496</v>
      </c>
      <c r="AD579" s="29">
        <v>3773</v>
      </c>
      <c r="AE579" s="29">
        <v>3979</v>
      </c>
      <c r="AF579" s="29">
        <v>2790</v>
      </c>
      <c r="AG579" s="29"/>
      <c r="AH579" s="29"/>
      <c r="AI579" s="29"/>
      <c r="AK579" s="29">
        <v>855</v>
      </c>
      <c r="AL579" s="29">
        <v>903</v>
      </c>
      <c r="AM579" s="29">
        <v>1440</v>
      </c>
      <c r="AN579" s="29">
        <v>2056</v>
      </c>
      <c r="AO579" s="29">
        <v>2562</v>
      </c>
      <c r="AP579" s="29">
        <v>2673</v>
      </c>
      <c r="AQ579" s="29">
        <v>2766</v>
      </c>
      <c r="AR579" s="29">
        <v>2967</v>
      </c>
      <c r="AS579" s="29">
        <v>3755</v>
      </c>
      <c r="AT579" s="29">
        <v>5212</v>
      </c>
      <c r="AU579" s="29">
        <v>5957</v>
      </c>
      <c r="AV579" s="29">
        <v>6622</v>
      </c>
      <c r="AW579" s="29">
        <v>8778</v>
      </c>
      <c r="AY579" s="29">
        <v>6622</v>
      </c>
      <c r="AZ579" s="29">
        <v>8778</v>
      </c>
      <c r="BA579" s="29">
        <v>10261</v>
      </c>
      <c r="BB579" s="29">
        <v>11682</v>
      </c>
      <c r="BC579" s="11">
        <f t="shared" si="604"/>
        <v>12796</v>
      </c>
      <c r="BD579" s="11">
        <f t="shared" ref="BD579:BD594" si="605">SUM(X579:AA579)</f>
        <v>11686</v>
      </c>
      <c r="BE579" s="11">
        <f t="shared" ref="BE579:BE594" si="606">+SUM(AB579:AE579)</f>
        <v>14460</v>
      </c>
      <c r="BF579" s="29"/>
    </row>
    <row r="580" spans="2:58">
      <c r="B580" t="s">
        <v>580</v>
      </c>
      <c r="D580" s="29">
        <v>101</v>
      </c>
      <c r="E580" s="29">
        <v>50</v>
      </c>
      <c r="F580" s="29">
        <v>65</v>
      </c>
      <c r="G580" s="29">
        <v>-439</v>
      </c>
      <c r="H580" s="29">
        <v>-311</v>
      </c>
      <c r="I580" s="29">
        <v>-652</v>
      </c>
      <c r="J580" s="29">
        <v>-590</v>
      </c>
      <c r="K580" s="11">
        <f t="shared" si="602"/>
        <v>-520</v>
      </c>
      <c r="L580" s="29">
        <v>-523</v>
      </c>
      <c r="M580" s="29">
        <v>-684</v>
      </c>
      <c r="N580" s="29">
        <v>-438</v>
      </c>
      <c r="O580" s="11">
        <v>-567</v>
      </c>
      <c r="P580" s="29">
        <v>-240</v>
      </c>
      <c r="Q580" s="29">
        <v>-135</v>
      </c>
      <c r="R580" s="29">
        <v>-95</v>
      </c>
      <c r="S580" s="11">
        <f t="shared" si="603"/>
        <v>-322</v>
      </c>
      <c r="T580" s="29">
        <v>11</v>
      </c>
      <c r="U580" s="29">
        <v>-203</v>
      </c>
      <c r="V580" s="29">
        <v>52</v>
      </c>
      <c r="W580" s="29">
        <v>-79</v>
      </c>
      <c r="X580" s="29">
        <v>-128</v>
      </c>
      <c r="Y580" s="29">
        <v>-354</v>
      </c>
      <c r="Z580" s="29">
        <v>-351</v>
      </c>
      <c r="AA580" s="29">
        <v>-416</v>
      </c>
      <c r="AB580" s="29">
        <v>-364</v>
      </c>
      <c r="AC580" s="29">
        <v>-307</v>
      </c>
      <c r="AD580" s="29">
        <v>105</v>
      </c>
      <c r="AE580" s="29">
        <v>157</v>
      </c>
      <c r="AF580" s="29">
        <v>-22</v>
      </c>
      <c r="AH580" s="29"/>
      <c r="AI580" s="29"/>
      <c r="AK580" s="29">
        <v>-527</v>
      </c>
      <c r="AL580" s="29">
        <v>-270</v>
      </c>
      <c r="AM580" s="29">
        <v>-292</v>
      </c>
      <c r="AN580" s="29">
        <v>-572</v>
      </c>
      <c r="AO580" s="29">
        <v>683</v>
      </c>
      <c r="AP580" s="29">
        <v>-208</v>
      </c>
      <c r="AQ580" s="29">
        <v>-362</v>
      </c>
      <c r="AR580" s="29">
        <v>-200</v>
      </c>
      <c r="AS580" s="29">
        <v>80</v>
      </c>
      <c r="AT580" s="29">
        <v>-109</v>
      </c>
      <c r="AU580" s="29">
        <v>-443</v>
      </c>
      <c r="AV580" s="29">
        <v>-223</v>
      </c>
      <c r="AW580" s="29">
        <v>-2073</v>
      </c>
      <c r="AY580" s="29">
        <v>-223</v>
      </c>
      <c r="AZ580" s="29">
        <v>-2073</v>
      </c>
      <c r="BA580" s="29">
        <v>-2212</v>
      </c>
      <c r="BB580" s="29">
        <v>-792</v>
      </c>
      <c r="BC580" s="11">
        <f t="shared" si="604"/>
        <v>-219</v>
      </c>
      <c r="BD580" s="11">
        <f t="shared" si="605"/>
        <v>-1249</v>
      </c>
      <c r="BE580" s="11">
        <f t="shared" si="606"/>
        <v>-409</v>
      </c>
      <c r="BF580" s="29"/>
    </row>
    <row r="581" spans="2:58">
      <c r="B581" t="s">
        <v>581</v>
      </c>
      <c r="D581" s="29">
        <v>0</v>
      </c>
      <c r="E581" s="29">
        <v>0</v>
      </c>
      <c r="F581" s="29">
        <v>0</v>
      </c>
      <c r="G581" s="29">
        <v>630</v>
      </c>
      <c r="H581" s="29">
        <v>0</v>
      </c>
      <c r="I581" s="29">
        <v>0</v>
      </c>
      <c r="J581" s="29">
        <v>0</v>
      </c>
      <c r="K581" s="11">
        <f t="shared" si="602"/>
        <v>0</v>
      </c>
      <c r="L581" s="29">
        <v>0</v>
      </c>
      <c r="M581" s="29">
        <v>0</v>
      </c>
      <c r="N581" s="29">
        <v>0</v>
      </c>
      <c r="O581" s="11">
        <v>0</v>
      </c>
      <c r="P581" s="29">
        <v>0</v>
      </c>
      <c r="Q581" s="29">
        <v>0</v>
      </c>
      <c r="R581" s="29">
        <v>0</v>
      </c>
      <c r="S581" s="11">
        <f t="shared" si="603"/>
        <v>0</v>
      </c>
      <c r="T581" s="29">
        <v>0</v>
      </c>
      <c r="U581" s="29">
        <v>0</v>
      </c>
      <c r="V581" s="29">
        <v>0</v>
      </c>
      <c r="W581" s="29">
        <v>0</v>
      </c>
      <c r="X581" s="29">
        <v>0</v>
      </c>
      <c r="Y581" s="29">
        <v>0</v>
      </c>
      <c r="Z581" s="29">
        <v>0</v>
      </c>
      <c r="AA581" s="29">
        <v>0</v>
      </c>
      <c r="AB581" s="29">
        <v>0</v>
      </c>
      <c r="AC581" s="29">
        <v>0</v>
      </c>
      <c r="AD581" s="29">
        <v>0</v>
      </c>
      <c r="AE581" s="29">
        <v>0</v>
      </c>
      <c r="AF581" s="29">
        <v>0</v>
      </c>
      <c r="AK581" s="29">
        <v>0</v>
      </c>
      <c r="AL581" s="29">
        <v>0</v>
      </c>
      <c r="AM581" s="29">
        <v>0</v>
      </c>
      <c r="AN581" s="29">
        <v>0</v>
      </c>
      <c r="AO581" s="29">
        <v>0</v>
      </c>
      <c r="AP581" s="29">
        <v>0</v>
      </c>
      <c r="AQ581" s="29">
        <v>0</v>
      </c>
      <c r="AR581" s="29">
        <v>6193</v>
      </c>
      <c r="AS581" s="29">
        <v>0</v>
      </c>
      <c r="AT581" s="29">
        <v>0</v>
      </c>
      <c r="AU581" s="29">
        <v>7498</v>
      </c>
      <c r="AV581" s="29">
        <v>630</v>
      </c>
      <c r="AW581" s="29">
        <v>0</v>
      </c>
      <c r="AY581" s="29">
        <v>630</v>
      </c>
      <c r="AZ581" s="29">
        <v>0</v>
      </c>
      <c r="BA581" s="29">
        <v>0</v>
      </c>
      <c r="BB581" s="29">
        <v>0</v>
      </c>
      <c r="BC581" s="11">
        <f t="shared" si="604"/>
        <v>0</v>
      </c>
      <c r="BD581" s="11">
        <f t="shared" si="605"/>
        <v>0</v>
      </c>
      <c r="BE581" s="11">
        <f t="shared" si="606"/>
        <v>0</v>
      </c>
      <c r="BF581" s="29"/>
    </row>
    <row r="582" spans="2:58">
      <c r="B582" t="s">
        <v>582</v>
      </c>
      <c r="D582" s="29">
        <v>674</v>
      </c>
      <c r="E582" s="29">
        <v>658</v>
      </c>
      <c r="F582" s="29">
        <v>672</v>
      </c>
      <c r="G582" s="29">
        <v>664</v>
      </c>
      <c r="H582" s="29">
        <v>703</v>
      </c>
      <c r="I582" s="29">
        <v>767</v>
      </c>
      <c r="J582" s="29">
        <v>883</v>
      </c>
      <c r="K582" s="11">
        <f t="shared" si="602"/>
        <v>913</v>
      </c>
      <c r="L582" s="29">
        <v>973</v>
      </c>
      <c r="M582" s="29">
        <v>986</v>
      </c>
      <c r="N582" s="29">
        <v>969</v>
      </c>
      <c r="O582" s="11">
        <v>1012</v>
      </c>
      <c r="P582" s="29">
        <v>1107</v>
      </c>
      <c r="Q582" s="29">
        <v>1183</v>
      </c>
      <c r="R582" s="29">
        <v>1172</v>
      </c>
      <c r="S582" s="11">
        <f t="shared" si="603"/>
        <v>1190</v>
      </c>
      <c r="T582" s="29">
        <v>1262</v>
      </c>
      <c r="U582" s="29">
        <v>1340</v>
      </c>
      <c r="V582" s="29">
        <v>1338</v>
      </c>
      <c r="W582" s="29">
        <v>1349</v>
      </c>
      <c r="X582" s="29">
        <v>1456</v>
      </c>
      <c r="Y582" s="29">
        <v>1566</v>
      </c>
      <c r="Z582" s="29">
        <v>1525</v>
      </c>
      <c r="AA582" s="29">
        <v>1571</v>
      </c>
      <c r="AB582" s="29">
        <v>1702</v>
      </c>
      <c r="AC582" s="29">
        <v>1897</v>
      </c>
      <c r="AD582" s="29">
        <v>1906</v>
      </c>
      <c r="AE582" s="29">
        <v>1997</v>
      </c>
      <c r="AF582" s="29">
        <v>2192</v>
      </c>
      <c r="AG582" s="825"/>
      <c r="AH582" s="29"/>
      <c r="AI582" s="825"/>
      <c r="AK582" s="29">
        <v>2448</v>
      </c>
      <c r="AL582" s="29">
        <v>1715</v>
      </c>
      <c r="AM582" s="29">
        <v>1550</v>
      </c>
      <c r="AN582" s="29">
        <v>1479</v>
      </c>
      <c r="AO582" s="29">
        <v>1708</v>
      </c>
      <c r="AP582" s="29">
        <v>1891</v>
      </c>
      <c r="AQ582" s="29">
        <v>2166</v>
      </c>
      <c r="AR582" s="29">
        <v>2244</v>
      </c>
      <c r="AS582" s="29">
        <v>2406</v>
      </c>
      <c r="AT582" s="29">
        <v>2446</v>
      </c>
      <c r="AU582" s="29">
        <v>2574</v>
      </c>
      <c r="AV582" s="29">
        <v>2668</v>
      </c>
      <c r="AW582" s="29">
        <v>3266</v>
      </c>
      <c r="AY582" s="29">
        <v>2668</v>
      </c>
      <c r="AZ582" s="29">
        <v>3266</v>
      </c>
      <c r="BA582" s="29">
        <v>3940</v>
      </c>
      <c r="BB582" s="29">
        <v>4652</v>
      </c>
      <c r="BC582" s="11">
        <f t="shared" si="604"/>
        <v>5289</v>
      </c>
      <c r="BD582" s="11">
        <f t="shared" si="605"/>
        <v>6118</v>
      </c>
      <c r="BE582" s="11">
        <f t="shared" si="606"/>
        <v>7502</v>
      </c>
      <c r="BF582" s="29"/>
    </row>
    <row r="583" spans="2:58">
      <c r="B583" t="s">
        <v>583</v>
      </c>
      <c r="D583" s="29">
        <v>0</v>
      </c>
      <c r="E583" s="29">
        <v>0</v>
      </c>
      <c r="F583" s="29">
        <v>0</v>
      </c>
      <c r="G583" s="29">
        <v>0</v>
      </c>
      <c r="H583" s="29">
        <v>0</v>
      </c>
      <c r="I583" s="29">
        <v>0</v>
      </c>
      <c r="J583" s="29">
        <v>0</v>
      </c>
      <c r="K583" s="11">
        <f t="shared" si="602"/>
        <v>0</v>
      </c>
      <c r="L583" s="29">
        <v>0</v>
      </c>
      <c r="M583" s="29">
        <v>0</v>
      </c>
      <c r="N583" s="29">
        <v>0</v>
      </c>
      <c r="O583" s="11">
        <v>0</v>
      </c>
      <c r="P583" s="29">
        <v>0</v>
      </c>
      <c r="Q583" s="29">
        <v>0</v>
      </c>
      <c r="R583" s="29">
        <v>0</v>
      </c>
      <c r="S583" s="11">
        <f t="shared" si="603"/>
        <v>0</v>
      </c>
      <c r="T583" s="29">
        <v>0</v>
      </c>
      <c r="U583" s="29">
        <v>0</v>
      </c>
      <c r="V583" s="29">
        <v>0</v>
      </c>
      <c r="W583" s="29">
        <v>0</v>
      </c>
      <c r="X583" s="29">
        <v>0</v>
      </c>
      <c r="Y583" s="29">
        <v>0</v>
      </c>
      <c r="Z583" s="29">
        <v>0</v>
      </c>
      <c r="AA583" s="29">
        <v>0</v>
      </c>
      <c r="AB583" s="29">
        <v>0</v>
      </c>
      <c r="AC583" s="29">
        <v>0</v>
      </c>
      <c r="AD583" s="29">
        <v>0</v>
      </c>
      <c r="AE583" s="29">
        <v>0</v>
      </c>
      <c r="AF583" s="29">
        <v>0</v>
      </c>
      <c r="AH583" s="29"/>
      <c r="AI583" s="29"/>
      <c r="AK583" s="29">
        <v>668</v>
      </c>
      <c r="AL583" s="29">
        <v>-89</v>
      </c>
      <c r="AM583" s="29">
        <v>-77</v>
      </c>
      <c r="AN583" s="29">
        <v>-120</v>
      </c>
      <c r="AO583" s="29">
        <v>-52</v>
      </c>
      <c r="AP583" s="29">
        <v>-45</v>
      </c>
      <c r="AQ583" s="29">
        <v>-17</v>
      </c>
      <c r="AR583" s="29">
        <v>-93</v>
      </c>
      <c r="AS583" s="29">
        <v>-209</v>
      </c>
      <c r="AT583" s="29">
        <v>0</v>
      </c>
      <c r="AU583" s="29">
        <v>0</v>
      </c>
      <c r="AV583" s="29">
        <v>0</v>
      </c>
      <c r="AW583" s="29">
        <v>0</v>
      </c>
      <c r="AY583" s="29">
        <v>0</v>
      </c>
      <c r="AZ583" s="29">
        <v>0</v>
      </c>
      <c r="BA583" s="29">
        <v>0</v>
      </c>
      <c r="BB583" s="29">
        <v>0</v>
      </c>
      <c r="BC583" s="11">
        <f t="shared" si="604"/>
        <v>0</v>
      </c>
      <c r="BD583" s="11">
        <f t="shared" si="605"/>
        <v>0</v>
      </c>
      <c r="BE583" s="11">
        <f t="shared" si="606"/>
        <v>0</v>
      </c>
      <c r="BF583" s="29"/>
    </row>
    <row r="584" spans="2:58">
      <c r="B584" t="s">
        <v>584</v>
      </c>
      <c r="D584" s="29">
        <v>73</v>
      </c>
      <c r="E584" s="29">
        <v>-247</v>
      </c>
      <c r="F584" s="29">
        <v>351</v>
      </c>
      <c r="G584" s="29">
        <v>155</v>
      </c>
      <c r="H584" s="29">
        <v>540</v>
      </c>
      <c r="I584" s="29">
        <v>5</v>
      </c>
      <c r="J584" s="29">
        <v>-284</v>
      </c>
      <c r="K584" s="11">
        <f t="shared" si="602"/>
        <v>-1090</v>
      </c>
      <c r="L584" s="29">
        <v>-53</v>
      </c>
      <c r="M584" s="29">
        <v>-2305</v>
      </c>
      <c r="N584" s="29">
        <v>-396</v>
      </c>
      <c r="O584" s="11">
        <v>-2389</v>
      </c>
      <c r="P584" s="29">
        <v>-247</v>
      </c>
      <c r="Q584" s="29">
        <v>-173</v>
      </c>
      <c r="R584" s="29">
        <v>-320</v>
      </c>
      <c r="S584" s="11">
        <f t="shared" si="603"/>
        <v>-5723</v>
      </c>
      <c r="T584" s="29">
        <v>-177</v>
      </c>
      <c r="U584" s="29">
        <v>-53</v>
      </c>
      <c r="V584" s="29">
        <v>-206</v>
      </c>
      <c r="W584" s="29">
        <v>447</v>
      </c>
      <c r="X584" s="29">
        <v>-11</v>
      </c>
      <c r="Y584" s="29">
        <v>-17</v>
      </c>
      <c r="Z584" s="29">
        <v>-88</v>
      </c>
      <c r="AA584" s="29">
        <v>-34</v>
      </c>
      <c r="AB584" s="29">
        <v>-5970</v>
      </c>
      <c r="AC584" s="29">
        <v>183</v>
      </c>
      <c r="AD584" s="29">
        <v>-198</v>
      </c>
      <c r="AE584" s="29">
        <v>283</v>
      </c>
      <c r="AF584" s="29">
        <v>-1191</v>
      </c>
      <c r="AG584" s="29"/>
      <c r="AH584" s="29"/>
      <c r="AI584" s="825"/>
      <c r="AK584" s="29">
        <v>-179</v>
      </c>
      <c r="AL584" s="29">
        <v>219</v>
      </c>
      <c r="AM584" s="29">
        <v>421</v>
      </c>
      <c r="AN584" s="29">
        <v>935</v>
      </c>
      <c r="AO584" s="29">
        <v>762</v>
      </c>
      <c r="AP584" s="29">
        <v>-220</v>
      </c>
      <c r="AQ584" s="29">
        <v>2</v>
      </c>
      <c r="AR584" s="29">
        <v>954</v>
      </c>
      <c r="AS584" s="29">
        <v>-19</v>
      </c>
      <c r="AT584" s="29">
        <v>-331</v>
      </c>
      <c r="AU584" s="29">
        <v>224</v>
      </c>
      <c r="AV584" s="29">
        <v>332</v>
      </c>
      <c r="AW584" s="29">
        <v>-3296</v>
      </c>
      <c r="AY584" s="29">
        <v>2479</v>
      </c>
      <c r="AZ584" s="29">
        <v>-829</v>
      </c>
      <c r="BA584" s="29">
        <v>-5143</v>
      </c>
      <c r="BB584" s="29">
        <v>-6463</v>
      </c>
      <c r="BC584" s="11">
        <f t="shared" si="604"/>
        <v>11</v>
      </c>
      <c r="BD584" s="11">
        <f t="shared" si="605"/>
        <v>-150</v>
      </c>
      <c r="BE584" s="11">
        <f t="shared" si="606"/>
        <v>-5702</v>
      </c>
      <c r="BF584" s="29"/>
    </row>
    <row r="585" spans="2:58">
      <c r="B585" t="s">
        <v>585</v>
      </c>
      <c r="D585" s="29">
        <v>-5</v>
      </c>
      <c r="E585" s="29">
        <v>56</v>
      </c>
      <c r="F585" s="29">
        <v>7</v>
      </c>
      <c r="G585" s="29">
        <v>-99</v>
      </c>
      <c r="H585" s="29">
        <v>-93</v>
      </c>
      <c r="I585" s="29">
        <v>-200</v>
      </c>
      <c r="J585" s="29">
        <v>-387</v>
      </c>
      <c r="K585" s="11">
        <f t="shared" si="602"/>
        <v>-237</v>
      </c>
      <c r="L585" s="29">
        <v>-278</v>
      </c>
      <c r="M585" s="29">
        <v>-344</v>
      </c>
      <c r="N585" s="29">
        <v>-213</v>
      </c>
      <c r="O585" s="11">
        <v>550</v>
      </c>
      <c r="P585" s="29">
        <v>21</v>
      </c>
      <c r="Q585" s="29">
        <v>-473</v>
      </c>
      <c r="R585" s="29">
        <v>-517</v>
      </c>
      <c r="S585" s="11">
        <f t="shared" si="603"/>
        <v>-865</v>
      </c>
      <c r="T585" s="29">
        <v>-333</v>
      </c>
      <c r="U585" s="29">
        <v>-517</v>
      </c>
      <c r="V585" s="29">
        <v>124</v>
      </c>
      <c r="W585" s="29">
        <v>-311</v>
      </c>
      <c r="X585" s="29">
        <v>-62</v>
      </c>
      <c r="Y585" s="29">
        <v>-1499</v>
      </c>
      <c r="Z585" s="29">
        <v>-885</v>
      </c>
      <c r="AA585" s="29">
        <v>-1013</v>
      </c>
      <c r="AB585" s="29">
        <v>-598</v>
      </c>
      <c r="AC585" s="29">
        <v>-908</v>
      </c>
      <c r="AD585" s="29">
        <v>-724</v>
      </c>
      <c r="AE585" s="29">
        <v>-575</v>
      </c>
      <c r="AF585" s="29">
        <v>-666</v>
      </c>
      <c r="AG585" s="29"/>
      <c r="AH585" s="29"/>
      <c r="AI585" s="29"/>
      <c r="AK585" s="29">
        <v>21</v>
      </c>
      <c r="AL585" s="29">
        <v>-49</v>
      </c>
      <c r="AM585" s="29">
        <v>-435</v>
      </c>
      <c r="AN585" s="29">
        <v>-98</v>
      </c>
      <c r="AO585" s="29">
        <v>-273</v>
      </c>
      <c r="AP585" s="29">
        <v>-223</v>
      </c>
      <c r="AQ585" s="29">
        <v>62</v>
      </c>
      <c r="AR585" s="29">
        <v>-248</v>
      </c>
      <c r="AS585" s="29">
        <v>-478</v>
      </c>
      <c r="AT585" s="29">
        <v>-628</v>
      </c>
      <c r="AU585" s="29">
        <v>346</v>
      </c>
      <c r="AV585" s="29">
        <v>-41</v>
      </c>
      <c r="AW585" s="29">
        <v>-539</v>
      </c>
      <c r="AY585" s="29">
        <v>-1110</v>
      </c>
      <c r="AZ585" s="29">
        <v>-917</v>
      </c>
      <c r="BA585" s="29">
        <v>-285</v>
      </c>
      <c r="BB585" s="29">
        <v>-1834</v>
      </c>
      <c r="BC585" s="11">
        <f t="shared" si="604"/>
        <v>-1037</v>
      </c>
      <c r="BD585" s="11">
        <f t="shared" si="605"/>
        <v>-3459</v>
      </c>
      <c r="BE585" s="11">
        <f t="shared" si="606"/>
        <v>-2805</v>
      </c>
      <c r="BF585" s="29"/>
    </row>
    <row r="586" spans="2:58">
      <c r="B586" t="s">
        <v>586</v>
      </c>
      <c r="D586" s="29">
        <v>-116</v>
      </c>
      <c r="E586" s="29">
        <v>370</v>
      </c>
      <c r="F586" s="29">
        <v>340</v>
      </c>
      <c r="G586" s="29">
        <v>-1360</v>
      </c>
      <c r="H586" s="29">
        <v>443</v>
      </c>
      <c r="I586" s="29">
        <v>-726</v>
      </c>
      <c r="J586" s="29">
        <v>284</v>
      </c>
      <c r="K586" s="11">
        <f t="shared" si="602"/>
        <v>-119</v>
      </c>
      <c r="L586" s="29">
        <v>813</v>
      </c>
      <c r="M586" s="29">
        <v>-612</v>
      </c>
      <c r="N586" s="29">
        <v>145</v>
      </c>
      <c r="O586" s="11">
        <v>-366</v>
      </c>
      <c r="P586" s="29">
        <v>43</v>
      </c>
      <c r="Q586" s="29">
        <v>-32</v>
      </c>
      <c r="R586" s="29">
        <v>339</v>
      </c>
      <c r="S586" s="11">
        <f t="shared" si="603"/>
        <v>241</v>
      </c>
      <c r="T586" s="29">
        <v>410</v>
      </c>
      <c r="U586" s="29">
        <v>425</v>
      </c>
      <c r="V586" s="29">
        <v>-110</v>
      </c>
      <c r="W586" s="29">
        <v>623</v>
      </c>
      <c r="X586" s="29">
        <v>244</v>
      </c>
      <c r="Y586" s="29">
        <v>893</v>
      </c>
      <c r="Z586" s="29">
        <v>122</v>
      </c>
      <c r="AA586" s="29">
        <v>143</v>
      </c>
      <c r="AB586" s="29">
        <v>250</v>
      </c>
      <c r="AC586" s="29">
        <v>93</v>
      </c>
      <c r="AD586" s="29">
        <v>438</v>
      </c>
      <c r="AE586" s="29">
        <v>44</v>
      </c>
      <c r="AF586" s="29">
        <v>188</v>
      </c>
      <c r="AH586" s="29"/>
      <c r="AI586" s="29"/>
      <c r="AK586" s="29">
        <v>1245</v>
      </c>
      <c r="AL586" s="29">
        <v>1273</v>
      </c>
      <c r="AM586" s="29">
        <v>1558</v>
      </c>
      <c r="AN586" s="29">
        <v>-173</v>
      </c>
      <c r="AO586" s="29">
        <v>1673</v>
      </c>
      <c r="AP586" s="29">
        <v>1407</v>
      </c>
      <c r="AQ586" s="29">
        <v>1294</v>
      </c>
      <c r="AR586" s="29">
        <v>174</v>
      </c>
      <c r="AS586" s="29">
        <v>1158</v>
      </c>
      <c r="AT586" s="29">
        <v>1014</v>
      </c>
      <c r="AU586" s="29">
        <v>1599</v>
      </c>
      <c r="AV586" s="29">
        <v>-766</v>
      </c>
      <c r="AW586" s="29">
        <v>1533</v>
      </c>
      <c r="AY586" s="29">
        <v>-406</v>
      </c>
      <c r="AZ586" s="29">
        <v>-118</v>
      </c>
      <c r="BA586" s="29">
        <v>-20</v>
      </c>
      <c r="BB586" s="29">
        <v>591</v>
      </c>
      <c r="BC586" s="11">
        <f t="shared" si="604"/>
        <v>1348</v>
      </c>
      <c r="BD586" s="11">
        <f t="shared" si="605"/>
        <v>1402</v>
      </c>
      <c r="BE586" s="11">
        <f t="shared" si="606"/>
        <v>825</v>
      </c>
      <c r="BF586" s="29"/>
    </row>
    <row r="587" spans="2:58">
      <c r="B587" t="s">
        <v>587</v>
      </c>
      <c r="D587" s="29">
        <v>6376</v>
      </c>
      <c r="E587" s="29">
        <v>-3118</v>
      </c>
      <c r="F587" s="29">
        <v>2288</v>
      </c>
      <c r="G587" s="29">
        <v>-6076</v>
      </c>
      <c r="H587" s="29">
        <v>7187</v>
      </c>
      <c r="I587" s="29">
        <v>-2789</v>
      </c>
      <c r="J587" s="29">
        <v>1415</v>
      </c>
      <c r="K587" s="11">
        <f t="shared" si="602"/>
        <v>-7029</v>
      </c>
      <c r="L587" s="29">
        <v>7949</v>
      </c>
      <c r="M587" s="29">
        <v>-3908</v>
      </c>
      <c r="N587" s="29">
        <v>1285</v>
      </c>
      <c r="O587" s="11">
        <v>-9188</v>
      </c>
      <c r="P587" s="29">
        <v>9194</v>
      </c>
      <c r="Q587" s="29">
        <v>-2396</v>
      </c>
      <c r="R587" s="29">
        <v>460</v>
      </c>
      <c r="S587" s="11">
        <f t="shared" si="603"/>
        <v>-10070</v>
      </c>
      <c r="T587" s="29">
        <v>10090</v>
      </c>
      <c r="U587" s="29">
        <v>-4203</v>
      </c>
      <c r="V587" s="29">
        <v>891</v>
      </c>
      <c r="W587" s="29">
        <v>-9355</v>
      </c>
      <c r="X587" s="29">
        <v>8843</v>
      </c>
      <c r="Y587" s="29">
        <v>-4008</v>
      </c>
      <c r="Z587" s="29">
        <v>290</v>
      </c>
      <c r="AA587" s="29">
        <v>-11606</v>
      </c>
      <c r="AB587" s="29">
        <v>10486</v>
      </c>
      <c r="AC587" s="29">
        <v>-5543</v>
      </c>
      <c r="AD587" s="29">
        <v>857</v>
      </c>
      <c r="AE587" s="29">
        <v>-12634</v>
      </c>
      <c r="AF587" s="29">
        <v>11729</v>
      </c>
      <c r="AG587" s="29"/>
      <c r="AI587" s="29"/>
      <c r="AK587" s="29">
        <v>-1243</v>
      </c>
      <c r="AL587" s="29">
        <v>-2071</v>
      </c>
      <c r="AM587" s="29">
        <v>-1764</v>
      </c>
      <c r="AN587" s="29">
        <v>-1569</v>
      </c>
      <c r="AO587" s="29">
        <v>2215</v>
      </c>
      <c r="AP587" s="29">
        <v>-2238</v>
      </c>
      <c r="AQ587" s="29">
        <v>-1451</v>
      </c>
      <c r="AR587" s="29">
        <v>-1156</v>
      </c>
      <c r="AS587" s="29">
        <v>-1807</v>
      </c>
      <c r="AT587" s="29">
        <v>-1120</v>
      </c>
      <c r="AU587" s="29">
        <v>1456</v>
      </c>
      <c r="AV587" s="29">
        <v>-530</v>
      </c>
      <c r="AW587" s="29">
        <v>-925</v>
      </c>
      <c r="AY587" s="29">
        <v>562</v>
      </c>
      <c r="AZ587" s="29">
        <v>-1216</v>
      </c>
      <c r="BA587" s="29">
        <v>-3862</v>
      </c>
      <c r="BB587" s="29">
        <v>-2812</v>
      </c>
      <c r="BC587" s="11">
        <f t="shared" si="604"/>
        <v>-2577</v>
      </c>
      <c r="BD587" s="11">
        <f t="shared" si="605"/>
        <v>-6481</v>
      </c>
      <c r="BE587" s="11">
        <f t="shared" si="606"/>
        <v>-6834</v>
      </c>
      <c r="BF587" s="29"/>
    </row>
    <row r="588" spans="2:58">
      <c r="B588" t="s">
        <v>588</v>
      </c>
      <c r="D588" s="29">
        <v>-937</v>
      </c>
      <c r="E588" s="29">
        <v>1104</v>
      </c>
      <c r="F588" s="29">
        <v>241</v>
      </c>
      <c r="G588" s="29">
        <v>192</v>
      </c>
      <c r="H588" s="29">
        <v>-867</v>
      </c>
      <c r="I588" s="29">
        <v>1132</v>
      </c>
      <c r="J588" s="29">
        <v>-16</v>
      </c>
      <c r="K588" s="11">
        <f t="shared" si="602"/>
        <v>-199</v>
      </c>
      <c r="L588" s="29">
        <v>-1023</v>
      </c>
      <c r="M588" s="29">
        <v>1205</v>
      </c>
      <c r="N588" s="29">
        <v>-75</v>
      </c>
      <c r="O588" s="11">
        <v>-572</v>
      </c>
      <c r="P588" s="29">
        <v>-956</v>
      </c>
      <c r="Q588" s="29">
        <v>1654</v>
      </c>
      <c r="R588" s="29">
        <v>12</v>
      </c>
      <c r="S588" s="11">
        <f t="shared" si="603"/>
        <v>-113</v>
      </c>
      <c r="T588" s="29">
        <v>-561</v>
      </c>
      <c r="U588" s="29">
        <v>799</v>
      </c>
      <c r="V588" s="29">
        <v>181</v>
      </c>
      <c r="W588" s="29">
        <v>-251</v>
      </c>
      <c r="X588" s="29">
        <v>-808</v>
      </c>
      <c r="Y588" s="29">
        <v>788</v>
      </c>
      <c r="Z588" s="29">
        <v>-329</v>
      </c>
      <c r="AA588" s="29">
        <v>-388</v>
      </c>
      <c r="AB588" s="29">
        <v>-777</v>
      </c>
      <c r="AC588" s="29">
        <v>394</v>
      </c>
      <c r="AD588" s="29">
        <v>-279</v>
      </c>
      <c r="AE588" s="29">
        <v>-461</v>
      </c>
      <c r="AF588" s="29">
        <v>-543</v>
      </c>
      <c r="AG588" s="29"/>
      <c r="AH588" s="29"/>
      <c r="AI588" s="29"/>
      <c r="AK588" s="29">
        <v>0</v>
      </c>
      <c r="AL588" s="29">
        <v>0</v>
      </c>
      <c r="AM588" s="29">
        <v>0</v>
      </c>
      <c r="AN588" s="29">
        <v>0</v>
      </c>
      <c r="AO588" s="29">
        <v>255</v>
      </c>
      <c r="AP588" s="29">
        <v>-44</v>
      </c>
      <c r="AQ588" s="29">
        <v>-561</v>
      </c>
      <c r="AR588" s="29">
        <v>184</v>
      </c>
      <c r="AS588" s="29">
        <v>-802</v>
      </c>
      <c r="AT588" s="29">
        <v>-161</v>
      </c>
      <c r="AU588" s="29">
        <v>-272</v>
      </c>
      <c r="AV588" s="29">
        <v>600</v>
      </c>
      <c r="AW588" s="29">
        <v>50</v>
      </c>
      <c r="AY588" s="29">
        <v>600</v>
      </c>
      <c r="AZ588" s="29">
        <v>50</v>
      </c>
      <c r="BA588" s="29">
        <v>-465</v>
      </c>
      <c r="BB588" s="29">
        <v>597</v>
      </c>
      <c r="BC588" s="11">
        <f t="shared" si="604"/>
        <v>168</v>
      </c>
      <c r="BD588" s="11">
        <f t="shared" si="605"/>
        <v>-737</v>
      </c>
      <c r="BE588" s="11">
        <f t="shared" si="606"/>
        <v>-1123</v>
      </c>
      <c r="BF588" s="29"/>
    </row>
    <row r="589" spans="2:58">
      <c r="B589" t="s">
        <v>589</v>
      </c>
      <c r="D589" s="29">
        <v>-135</v>
      </c>
      <c r="E589" s="29">
        <v>369</v>
      </c>
      <c r="F589" s="29">
        <v>-129</v>
      </c>
      <c r="G589" s="29">
        <v>-17</v>
      </c>
      <c r="H589" s="29">
        <v>-443</v>
      </c>
      <c r="I589" s="29">
        <v>99</v>
      </c>
      <c r="J589" s="29">
        <v>-425</v>
      </c>
      <c r="K589" s="11">
        <f t="shared" si="602"/>
        <v>850</v>
      </c>
      <c r="L589" s="29">
        <v>-407</v>
      </c>
      <c r="M589" s="29">
        <v>938</v>
      </c>
      <c r="N589" s="29">
        <v>-393</v>
      </c>
      <c r="O589" s="11">
        <v>1010</v>
      </c>
      <c r="P589" s="29">
        <v>-395</v>
      </c>
      <c r="Q589" s="29">
        <v>-440</v>
      </c>
      <c r="R589" s="29">
        <v>-197</v>
      </c>
      <c r="S589" s="11">
        <f t="shared" si="603"/>
        <v>1264</v>
      </c>
      <c r="T589" s="29">
        <v>-547</v>
      </c>
      <c r="U589" s="29">
        <v>-7</v>
      </c>
      <c r="V589" s="29">
        <v>546</v>
      </c>
      <c r="W589" s="29">
        <v>3026</v>
      </c>
      <c r="X589" s="29">
        <v>315</v>
      </c>
      <c r="Y589" s="29">
        <v>33</v>
      </c>
      <c r="Z589" s="29">
        <v>833</v>
      </c>
      <c r="AA589" s="29">
        <v>1617</v>
      </c>
      <c r="AB589" s="29">
        <v>-471</v>
      </c>
      <c r="AC589" s="29">
        <v>235</v>
      </c>
      <c r="AD589" s="29">
        <v>520</v>
      </c>
      <c r="AE589" s="29">
        <v>2659</v>
      </c>
      <c r="AF589" s="29">
        <v>-1567</v>
      </c>
      <c r="AG589" s="29"/>
      <c r="AH589" s="29"/>
      <c r="AI589" s="29"/>
      <c r="AK589" s="29">
        <v>0</v>
      </c>
      <c r="AL589" s="29">
        <v>0</v>
      </c>
      <c r="AM589" s="29">
        <v>0</v>
      </c>
      <c r="AN589" s="29">
        <v>0</v>
      </c>
      <c r="AO589" s="29">
        <v>-671</v>
      </c>
      <c r="AP589" s="29">
        <v>844</v>
      </c>
      <c r="AQ589" s="29">
        <v>58</v>
      </c>
      <c r="AR589" s="29">
        <v>-31</v>
      </c>
      <c r="AS589" s="29">
        <v>537</v>
      </c>
      <c r="AT589" s="29">
        <v>473</v>
      </c>
      <c r="AU589" s="29">
        <v>-1054</v>
      </c>
      <c r="AV589" s="29">
        <v>88</v>
      </c>
      <c r="AW589" s="29">
        <v>81</v>
      </c>
      <c r="AY589" s="29">
        <v>88</v>
      </c>
      <c r="AZ589" s="29">
        <v>81</v>
      </c>
      <c r="BA589" s="29">
        <v>1148</v>
      </c>
      <c r="BB589" s="29">
        <v>232</v>
      </c>
      <c r="BC589" s="11">
        <f t="shared" si="604"/>
        <v>3018</v>
      </c>
      <c r="BD589" s="11">
        <f t="shared" si="605"/>
        <v>2798</v>
      </c>
      <c r="BE589" s="11">
        <f t="shared" si="606"/>
        <v>2943</v>
      </c>
      <c r="BF589" s="29"/>
    </row>
    <row r="590" spans="2:58">
      <c r="B590" t="s">
        <v>590</v>
      </c>
      <c r="D590" s="29">
        <v>0</v>
      </c>
      <c r="E590" s="29">
        <v>0</v>
      </c>
      <c r="F590" s="29">
        <v>0</v>
      </c>
      <c r="G590" s="29">
        <v>0</v>
      </c>
      <c r="H590" s="29">
        <v>0</v>
      </c>
      <c r="I590" s="29">
        <v>1407</v>
      </c>
      <c r="J590" s="29">
        <v>1247</v>
      </c>
      <c r="K590" s="11">
        <f t="shared" si="602"/>
        <v>-862</v>
      </c>
      <c r="L590" s="29">
        <v>0</v>
      </c>
      <c r="M590" s="29">
        <v>16635</v>
      </c>
      <c r="N590" s="29">
        <v>645</v>
      </c>
      <c r="O590" s="11">
        <v>903</v>
      </c>
      <c r="P590" s="29">
        <v>-1091</v>
      </c>
      <c r="Q590" s="29">
        <v>-64</v>
      </c>
      <c r="R590" s="29">
        <v>276</v>
      </c>
      <c r="S590" s="11">
        <f t="shared" si="603"/>
        <v>3808</v>
      </c>
      <c r="T590" s="29">
        <v>-3336</v>
      </c>
      <c r="U590" s="29">
        <v>-471</v>
      </c>
      <c r="V590" s="29">
        <v>765</v>
      </c>
      <c r="W590" s="29">
        <v>-589</v>
      </c>
      <c r="X590" s="29">
        <v>-983</v>
      </c>
      <c r="Y590" s="29">
        <v>-2368</v>
      </c>
      <c r="Z590" s="29">
        <v>1074</v>
      </c>
      <c r="AA590" s="29">
        <v>-32</v>
      </c>
      <c r="AB590" s="29">
        <v>2653</v>
      </c>
      <c r="AC590" s="29">
        <v>-2057</v>
      </c>
      <c r="AD590" s="29">
        <v>1091</v>
      </c>
      <c r="AE590" s="29">
        <v>-991</v>
      </c>
      <c r="AF590" s="29">
        <v>410</v>
      </c>
      <c r="AG590" s="29"/>
      <c r="AH590" s="29"/>
      <c r="AI590" s="29"/>
      <c r="AK590" s="29">
        <v>0</v>
      </c>
      <c r="AL590" s="29">
        <v>0</v>
      </c>
      <c r="AM590" s="29">
        <v>0</v>
      </c>
      <c r="AN590" s="29">
        <v>0</v>
      </c>
      <c r="AO590" s="29">
        <v>0</v>
      </c>
      <c r="AP590" s="29">
        <v>0</v>
      </c>
      <c r="AQ590" s="29">
        <v>0</v>
      </c>
      <c r="AR590" s="29">
        <v>0</v>
      </c>
      <c r="AS590" s="29">
        <v>0</v>
      </c>
      <c r="AT590" s="29">
        <v>0</v>
      </c>
      <c r="AU590" s="29">
        <v>0</v>
      </c>
      <c r="AV590" s="29">
        <v>0</v>
      </c>
      <c r="AW590" s="29">
        <v>0</v>
      </c>
      <c r="AY590" s="29">
        <v>-298</v>
      </c>
      <c r="AZ590" s="29">
        <v>1792</v>
      </c>
      <c r="BA590" s="29">
        <v>18183</v>
      </c>
      <c r="BB590" s="29">
        <v>2929</v>
      </c>
      <c r="BC590" s="11">
        <f t="shared" si="604"/>
        <v>-3631</v>
      </c>
      <c r="BD590" s="11">
        <f t="shared" si="605"/>
        <v>-2309</v>
      </c>
      <c r="BE590" s="11">
        <f t="shared" si="606"/>
        <v>696</v>
      </c>
      <c r="BF590" s="29"/>
    </row>
    <row r="591" spans="2:58">
      <c r="B591" t="s">
        <v>591</v>
      </c>
      <c r="D591" s="29">
        <v>10423</v>
      </c>
      <c r="E591" s="29">
        <v>12570</v>
      </c>
      <c r="F591" s="29">
        <v>13073</v>
      </c>
      <c r="G591" s="29">
        <v>21006</v>
      </c>
      <c r="H591" s="29">
        <v>-1807</v>
      </c>
      <c r="I591" s="29">
        <v>-1077</v>
      </c>
      <c r="J591" s="29">
        <v>-45</v>
      </c>
      <c r="K591" s="11">
        <f t="shared" si="602"/>
        <v>6749</v>
      </c>
      <c r="L591" s="29">
        <v>-1806</v>
      </c>
      <c r="M591" s="29">
        <v>-1065</v>
      </c>
      <c r="N591" s="29">
        <v>91</v>
      </c>
      <c r="O591" s="11">
        <v>8702</v>
      </c>
      <c r="P591" s="29">
        <v>-2441</v>
      </c>
      <c r="Q591" s="29">
        <v>-2122</v>
      </c>
      <c r="R591" s="29">
        <v>20</v>
      </c>
      <c r="S591" s="11">
        <f t="shared" si="603"/>
        <v>9005</v>
      </c>
      <c r="T591" s="29">
        <v>-2892</v>
      </c>
      <c r="U591" s="29">
        <v>-2936</v>
      </c>
      <c r="V591" s="29">
        <v>-736</v>
      </c>
      <c r="W591" s="29">
        <v>8776</v>
      </c>
      <c r="X591" s="29">
        <v>-3064</v>
      </c>
      <c r="Y591" s="29">
        <v>-3227</v>
      </c>
      <c r="Z591" s="29">
        <v>-473</v>
      </c>
      <c r="AA591" s="29">
        <v>11397</v>
      </c>
      <c r="AB591" s="29">
        <v>-2885</v>
      </c>
      <c r="AC591" s="29">
        <v>-4343</v>
      </c>
      <c r="AD591" s="29">
        <v>-209</v>
      </c>
      <c r="AE591" s="29">
        <v>12546</v>
      </c>
      <c r="AF591" s="29">
        <v>-3322</v>
      </c>
      <c r="AG591" s="29"/>
      <c r="AH591" s="29"/>
      <c r="AI591" s="29"/>
      <c r="AK591" s="29">
        <v>13831</v>
      </c>
      <c r="AL591" s="29">
        <v>16453</v>
      </c>
      <c r="AM591" s="29">
        <v>21032</v>
      </c>
      <c r="AN591" s="29">
        <v>24532</v>
      </c>
      <c r="AO591" s="29">
        <v>24409</v>
      </c>
      <c r="AP591" s="29">
        <v>29374</v>
      </c>
      <c r="AQ591" s="29">
        <v>31227</v>
      </c>
      <c r="AR591" s="29">
        <v>36104</v>
      </c>
      <c r="AS591" s="29">
        <v>44253</v>
      </c>
      <c r="AT591" s="29">
        <v>44325</v>
      </c>
      <c r="AU591" s="29">
        <v>45072</v>
      </c>
      <c r="AV591" s="29">
        <v>57072</v>
      </c>
      <c r="AW591" s="29">
        <v>67711</v>
      </c>
      <c r="AY591" s="29">
        <v>2565</v>
      </c>
      <c r="AZ591" s="29">
        <v>3820</v>
      </c>
      <c r="BA591" s="29">
        <v>5922</v>
      </c>
      <c r="BB591" s="29">
        <v>4462</v>
      </c>
      <c r="BC591" s="11">
        <f t="shared" si="604"/>
        <v>2212</v>
      </c>
      <c r="BD591" s="11">
        <f t="shared" si="605"/>
        <v>4633</v>
      </c>
      <c r="BE591" s="11">
        <f t="shared" si="606"/>
        <v>5109</v>
      </c>
      <c r="BF591" s="29"/>
    </row>
    <row r="592" spans="2:58">
      <c r="B592" t="s">
        <v>592</v>
      </c>
      <c r="D592" s="29">
        <v>-11355</v>
      </c>
      <c r="E592" s="29">
        <v>-11929</v>
      </c>
      <c r="F592" s="29">
        <v>-12210</v>
      </c>
      <c r="G592" s="29">
        <v>-13004</v>
      </c>
      <c r="H592" s="29">
        <v>0</v>
      </c>
      <c r="I592" s="29">
        <v>0</v>
      </c>
      <c r="J592" s="29">
        <v>0</v>
      </c>
      <c r="K592" s="11">
        <f t="shared" si="602"/>
        <v>0</v>
      </c>
      <c r="L592" s="29">
        <v>0</v>
      </c>
      <c r="M592" s="29">
        <v>0</v>
      </c>
      <c r="N592" s="29">
        <v>0</v>
      </c>
      <c r="O592" s="11">
        <v>0</v>
      </c>
      <c r="P592" s="29">
        <v>0</v>
      </c>
      <c r="Q592" s="29">
        <v>0</v>
      </c>
      <c r="R592" s="29">
        <v>0</v>
      </c>
      <c r="S592" s="11">
        <f t="shared" si="603"/>
        <v>0</v>
      </c>
      <c r="T592" s="29">
        <v>0</v>
      </c>
      <c r="U592" s="29">
        <v>0</v>
      </c>
      <c r="V592" s="29">
        <v>0</v>
      </c>
      <c r="W592" s="29">
        <v>0</v>
      </c>
      <c r="X592" s="29">
        <v>0</v>
      </c>
      <c r="Y592" s="29">
        <v>0</v>
      </c>
      <c r="Z592" s="29">
        <v>0</v>
      </c>
      <c r="AA592" s="29">
        <v>0</v>
      </c>
      <c r="AB592" s="29">
        <v>0</v>
      </c>
      <c r="AC592" s="29">
        <v>0</v>
      </c>
      <c r="AD592" s="29">
        <v>0</v>
      </c>
      <c r="AE592" s="29">
        <v>0</v>
      </c>
      <c r="AF592" s="29">
        <v>0</v>
      </c>
      <c r="AK592" s="29">
        <v>-12919</v>
      </c>
      <c r="AL592" s="29">
        <v>-14729</v>
      </c>
      <c r="AM592" s="29">
        <v>-19382</v>
      </c>
      <c r="AN592" s="29">
        <v>-21944</v>
      </c>
      <c r="AO592" s="29">
        <v>-25426</v>
      </c>
      <c r="AP592" s="29">
        <v>-28813</v>
      </c>
      <c r="AQ592" s="29">
        <v>-28935</v>
      </c>
      <c r="AR592" s="29">
        <v>-33347</v>
      </c>
      <c r="AS592" s="29">
        <v>-41921</v>
      </c>
      <c r="AT592" s="29">
        <v>-41739</v>
      </c>
      <c r="AU592" s="29">
        <v>-44920</v>
      </c>
      <c r="AV592" s="29">
        <v>-48498</v>
      </c>
      <c r="AW592" s="29">
        <v>-57735</v>
      </c>
      <c r="AY592" s="29">
        <v>0</v>
      </c>
      <c r="AZ592" s="29">
        <v>0</v>
      </c>
      <c r="BA592" s="29">
        <v>0</v>
      </c>
      <c r="BB592" s="29">
        <v>0</v>
      </c>
      <c r="BC592" s="11">
        <f t="shared" si="604"/>
        <v>0</v>
      </c>
      <c r="BD592" s="11">
        <f t="shared" si="605"/>
        <v>0</v>
      </c>
      <c r="BE592" s="11">
        <f t="shared" si="606"/>
        <v>0</v>
      </c>
      <c r="BF592" s="29"/>
    </row>
    <row r="593" spans="2:58">
      <c r="B593" t="s">
        <v>593</v>
      </c>
      <c r="D593" s="29">
        <v>-2024</v>
      </c>
      <c r="E593" s="29">
        <v>105</v>
      </c>
      <c r="F593" s="29">
        <v>626</v>
      </c>
      <c r="G593" s="29">
        <v>1033</v>
      </c>
      <c r="H593" s="29">
        <v>-321</v>
      </c>
      <c r="I593" s="29">
        <v>-1406</v>
      </c>
      <c r="J593" s="29">
        <v>670</v>
      </c>
      <c r="K593" s="11">
        <f t="shared" si="602"/>
        <v>1413</v>
      </c>
      <c r="L593" s="29">
        <v>-1962</v>
      </c>
      <c r="M593" s="29">
        <v>441</v>
      </c>
      <c r="N593" s="29">
        <v>546</v>
      </c>
      <c r="O593" s="11">
        <v>1773</v>
      </c>
      <c r="P593" s="29">
        <v>-2322</v>
      </c>
      <c r="Q593" s="29">
        <v>656</v>
      </c>
      <c r="R593" s="29">
        <v>649</v>
      </c>
      <c r="S593" s="11">
        <f t="shared" si="603"/>
        <v>2436</v>
      </c>
      <c r="T593" s="29">
        <v>-3320</v>
      </c>
      <c r="U593" s="29">
        <v>1489</v>
      </c>
      <c r="V593" s="29">
        <v>695</v>
      </c>
      <c r="W593" s="29">
        <v>2482</v>
      </c>
      <c r="X593" s="29">
        <v>-2951</v>
      </c>
      <c r="Y593" s="29">
        <v>1755</v>
      </c>
      <c r="Z593" s="29">
        <v>1590</v>
      </c>
      <c r="AA593" s="29">
        <v>3755</v>
      </c>
      <c r="AB593" s="29">
        <v>-4143</v>
      </c>
      <c r="AC593" s="29">
        <v>1745</v>
      </c>
      <c r="AD593" s="29">
        <v>1287</v>
      </c>
      <c r="AE593" s="29">
        <v>3455</v>
      </c>
      <c r="AF593" s="29">
        <v>-4024</v>
      </c>
      <c r="AG593" s="29"/>
      <c r="AH593" s="825"/>
      <c r="AI593" s="29"/>
      <c r="AK593" s="29">
        <v>396</v>
      </c>
      <c r="AL593" s="29">
        <v>-145</v>
      </c>
      <c r="AM593" s="29">
        <v>-552</v>
      </c>
      <c r="AN593" s="29">
        <v>-748</v>
      </c>
      <c r="AO593" s="29">
        <v>-2700</v>
      </c>
      <c r="AP593" s="29">
        <v>451</v>
      </c>
      <c r="AQ593" s="29">
        <v>-1146</v>
      </c>
      <c r="AR593" s="29">
        <v>410</v>
      </c>
      <c r="AS593" s="29">
        <v>146</v>
      </c>
      <c r="AT593" s="29">
        <v>1075</v>
      </c>
      <c r="AU593" s="29">
        <v>-624</v>
      </c>
      <c r="AV593" s="29">
        <v>-260</v>
      </c>
      <c r="AW593" s="29">
        <v>386</v>
      </c>
      <c r="AY593" s="29">
        <v>-179</v>
      </c>
      <c r="AZ593" s="29">
        <v>356</v>
      </c>
      <c r="BA593" s="29">
        <v>798</v>
      </c>
      <c r="BB593" s="29">
        <v>1419</v>
      </c>
      <c r="BC593" s="11">
        <f t="shared" si="604"/>
        <v>1346</v>
      </c>
      <c r="BD593" s="11">
        <f t="shared" si="605"/>
        <v>4149</v>
      </c>
      <c r="BE593" s="11">
        <f t="shared" si="606"/>
        <v>2344</v>
      </c>
      <c r="BF593" s="29"/>
    </row>
    <row r="594" spans="2:58" ht="11.45">
      <c r="B594" t="s">
        <v>594</v>
      </c>
      <c r="D594" s="30">
        <v>-562</v>
      </c>
      <c r="E594" s="30">
        <v>-932</v>
      </c>
      <c r="F594" s="30">
        <v>-420</v>
      </c>
      <c r="G594" s="30">
        <v>747</v>
      </c>
      <c r="H594" s="30">
        <v>-965</v>
      </c>
      <c r="I594" s="30">
        <v>1300</v>
      </c>
      <c r="J594" s="30">
        <v>-31</v>
      </c>
      <c r="K594" s="34">
        <f t="shared" si="602"/>
        <v>724</v>
      </c>
      <c r="L594" s="30">
        <v>-318</v>
      </c>
      <c r="M594" s="30">
        <v>354</v>
      </c>
      <c r="N594" s="30">
        <v>-149</v>
      </c>
      <c r="O594" s="34">
        <v>-839</v>
      </c>
      <c r="P594" s="30">
        <v>-677</v>
      </c>
      <c r="Q594" s="30">
        <v>-173</v>
      </c>
      <c r="R594" s="30">
        <v>-14</v>
      </c>
      <c r="S594" s="34">
        <f t="shared" si="603"/>
        <v>-854</v>
      </c>
      <c r="T594" s="30">
        <v>-438</v>
      </c>
      <c r="U594" s="30">
        <v>165</v>
      </c>
      <c r="V594" s="30">
        <v>94</v>
      </c>
      <c r="W594" s="30">
        <v>-2151</v>
      </c>
      <c r="X594" s="30">
        <v>-54</v>
      </c>
      <c r="Y594" s="30">
        <v>730</v>
      </c>
      <c r="Z594" s="30">
        <v>478</v>
      </c>
      <c r="AA594" s="30">
        <v>-2086</v>
      </c>
      <c r="AB594" s="30">
        <v>940</v>
      </c>
      <c r="AC594" s="30">
        <v>830</v>
      </c>
      <c r="AD594" s="30">
        <v>91</v>
      </c>
      <c r="AE594" s="30">
        <v>-2570</v>
      </c>
      <c r="AF594" s="30">
        <v>-332</v>
      </c>
      <c r="AH594" s="29"/>
      <c r="AI594" s="29"/>
      <c r="AK594" s="30">
        <v>-245</v>
      </c>
      <c r="AL594" s="30">
        <v>-1405</v>
      </c>
      <c r="AM594" s="30">
        <v>232</v>
      </c>
      <c r="AN594" s="30">
        <v>153</v>
      </c>
      <c r="AO594" s="30">
        <v>-677</v>
      </c>
      <c r="AP594" s="30">
        <v>464</v>
      </c>
      <c r="AQ594" s="30">
        <v>-1259</v>
      </c>
      <c r="AR594" s="30">
        <v>493</v>
      </c>
      <c r="AS594" s="30">
        <v>-129</v>
      </c>
      <c r="AT594" s="30">
        <v>-29</v>
      </c>
      <c r="AU594" s="30">
        <v>62</v>
      </c>
      <c r="AV594" s="30">
        <v>-1167</v>
      </c>
      <c r="AW594" s="30">
        <v>1066</v>
      </c>
      <c r="AX594" s="953"/>
      <c r="AY594" s="30">
        <v>-1212</v>
      </c>
      <c r="AZ594" s="30">
        <v>1028</v>
      </c>
      <c r="BA594" s="30">
        <v>-952</v>
      </c>
      <c r="BB594" s="30">
        <v>-1718</v>
      </c>
      <c r="BC594" s="34">
        <f t="shared" si="604"/>
        <v>-2330</v>
      </c>
      <c r="BD594" s="34">
        <f t="shared" si="605"/>
        <v>-932</v>
      </c>
      <c r="BE594" s="34">
        <f t="shared" si="606"/>
        <v>-709</v>
      </c>
      <c r="BF594" s="30"/>
    </row>
    <row r="595" spans="2:58" s="1" customFormat="1" ht="10.5">
      <c r="B595" s="837" t="s">
        <v>595</v>
      </c>
      <c r="D595" s="838">
        <f>SUM(D578:D594)</f>
        <v>8876</v>
      </c>
      <c r="E595" s="838">
        <f t="shared" ref="E595:AF595" si="607">SUM(E578:E594)</f>
        <v>5618</v>
      </c>
      <c r="F595" s="838">
        <f t="shared" si="607"/>
        <v>10367</v>
      </c>
      <c r="G595" s="838">
        <f t="shared" si="607"/>
        <v>8464</v>
      </c>
      <c r="H595" s="838">
        <f t="shared" si="607"/>
        <v>11549</v>
      </c>
      <c r="I595" s="838">
        <f t="shared" si="607"/>
        <v>6293</v>
      </c>
      <c r="J595" s="838">
        <f t="shared" si="607"/>
        <v>10660</v>
      </c>
      <c r="K595" s="849">
        <f t="shared" si="607"/>
        <v>11005</v>
      </c>
      <c r="L595" s="838">
        <f t="shared" si="607"/>
        <v>12440</v>
      </c>
      <c r="M595" s="838">
        <f t="shared" si="607"/>
        <v>7875</v>
      </c>
      <c r="N595" s="838">
        <f t="shared" si="607"/>
        <v>12151</v>
      </c>
      <c r="O595" s="849">
        <f t="shared" si="607"/>
        <v>11418</v>
      </c>
      <c r="P595" s="838">
        <f t="shared" si="607"/>
        <v>13657</v>
      </c>
      <c r="Q595" s="838">
        <f t="shared" si="607"/>
        <v>8900</v>
      </c>
      <c r="R595" s="838">
        <f t="shared" si="607"/>
        <v>13520</v>
      </c>
      <c r="S595" s="849">
        <f t="shared" si="607"/>
        <v>16108</v>
      </c>
      <c r="T595" s="838">
        <f t="shared" si="607"/>
        <v>13818</v>
      </c>
      <c r="U595" s="838">
        <f t="shared" si="607"/>
        <v>10680</v>
      </c>
      <c r="V595" s="838">
        <f t="shared" si="607"/>
        <v>17504</v>
      </c>
      <c r="W595" s="838">
        <f t="shared" si="607"/>
        <v>18673</v>
      </c>
      <c r="X595" s="838">
        <f t="shared" si="607"/>
        <v>19335</v>
      </c>
      <c r="Y595" s="838">
        <f t="shared" si="607"/>
        <v>12516</v>
      </c>
      <c r="Z595" s="838">
        <f t="shared" si="607"/>
        <v>22179</v>
      </c>
      <c r="AA595" s="838">
        <f t="shared" si="607"/>
        <v>22710</v>
      </c>
      <c r="AB595" s="838">
        <f t="shared" si="607"/>
        <v>24540</v>
      </c>
      <c r="AC595" s="838">
        <f t="shared" si="607"/>
        <v>14480</v>
      </c>
      <c r="AD595" s="838">
        <f t="shared" si="607"/>
        <v>25386</v>
      </c>
      <c r="AE595" s="838">
        <f t="shared" si="607"/>
        <v>24629</v>
      </c>
      <c r="AF595" s="838">
        <f t="shared" si="607"/>
        <v>23198</v>
      </c>
      <c r="AK595" s="838">
        <f>SUM(AK578:AK594)</f>
        <v>16605</v>
      </c>
      <c r="AL595" s="838">
        <f t="shared" ref="AL595:AW595" si="608">SUM(AL578:AL594)</f>
        <v>14404</v>
      </c>
      <c r="AM595" s="838">
        <f t="shared" si="608"/>
        <v>17796</v>
      </c>
      <c r="AN595" s="838">
        <f t="shared" si="608"/>
        <v>21612</v>
      </c>
      <c r="AO595" s="838">
        <f t="shared" si="608"/>
        <v>19037</v>
      </c>
      <c r="AP595" s="838">
        <f t="shared" si="608"/>
        <v>24073</v>
      </c>
      <c r="AQ595" s="838">
        <f t="shared" si="608"/>
        <v>26994</v>
      </c>
      <c r="AR595" s="838">
        <f t="shared" si="608"/>
        <v>31626</v>
      </c>
      <c r="AS595" s="838">
        <f t="shared" si="608"/>
        <v>28833</v>
      </c>
      <c r="AT595" s="838">
        <f t="shared" si="608"/>
        <v>32502</v>
      </c>
      <c r="AU595" s="838">
        <f t="shared" si="608"/>
        <v>29668</v>
      </c>
      <c r="AV595" s="838">
        <f t="shared" si="608"/>
        <v>33325</v>
      </c>
      <c r="AW595" s="838">
        <f t="shared" si="608"/>
        <v>39507</v>
      </c>
      <c r="AY595" s="838">
        <f t="shared" ref="AY595:BC595" si="609">SUM(AY578:AY594)</f>
        <v>33325</v>
      </c>
      <c r="AZ595" s="838">
        <f t="shared" si="609"/>
        <v>39507</v>
      </c>
      <c r="BA595" s="838">
        <f t="shared" si="609"/>
        <v>43884</v>
      </c>
      <c r="BB595" s="838">
        <f t="shared" si="609"/>
        <v>52185</v>
      </c>
      <c r="BC595" s="838">
        <f t="shared" si="609"/>
        <v>60675</v>
      </c>
      <c r="BD595" s="849">
        <f>+SUM(BD578:BD594)</f>
        <v>76740</v>
      </c>
      <c r="BE595" s="849">
        <f>+SUM(BE578:BE594)</f>
        <v>89035</v>
      </c>
      <c r="BF595" s="838"/>
    </row>
    <row r="596" spans="2:58">
      <c r="K596" s="100"/>
      <c r="O596" s="100"/>
      <c r="S596" s="100"/>
      <c r="BD596" s="100"/>
    </row>
    <row r="597" spans="2:58" ht="10.5">
      <c r="B597" s="45" t="s">
        <v>596</v>
      </c>
      <c r="K597" s="100"/>
      <c r="O597" s="100"/>
      <c r="S597" s="100"/>
      <c r="BD597" s="100"/>
    </row>
    <row r="598" spans="2:58">
      <c r="B598" t="s">
        <v>597</v>
      </c>
      <c r="D598" s="29">
        <v>-1356</v>
      </c>
      <c r="E598" s="29">
        <v>-2024</v>
      </c>
      <c r="F598" s="29">
        <v>-2308</v>
      </c>
      <c r="G598" s="29">
        <v>-2655</v>
      </c>
      <c r="H598" s="29">
        <v>-2163</v>
      </c>
      <c r="I598" s="29">
        <v>-1988</v>
      </c>
      <c r="J598" s="29">
        <v>-1695</v>
      </c>
      <c r="K598" s="11">
        <v>-2283</v>
      </c>
      <c r="L598" s="29">
        <v>-2132</v>
      </c>
      <c r="M598" s="29">
        <v>-2586</v>
      </c>
      <c r="N598" s="29">
        <v>-2934</v>
      </c>
      <c r="O598" s="11">
        <v>-3980</v>
      </c>
      <c r="P598" s="29">
        <v>-3602</v>
      </c>
      <c r="Q598" s="29">
        <v>-3707</v>
      </c>
      <c r="R598" s="29">
        <v>-2565</v>
      </c>
      <c r="S598" s="11">
        <f t="shared" ref="S598:S603" si="610">+BB598-SUM(P598:R598)</f>
        <v>-4051</v>
      </c>
      <c r="T598" s="29">
        <v>-3385</v>
      </c>
      <c r="U598" s="29">
        <v>-3545</v>
      </c>
      <c r="V598" s="29">
        <v>-3767</v>
      </c>
      <c r="W598" s="29">
        <v>-4744</v>
      </c>
      <c r="X598" s="29">
        <v>-4907</v>
      </c>
      <c r="Y598" s="29">
        <v>-4174</v>
      </c>
      <c r="Z598" s="29">
        <v>-5089</v>
      </c>
      <c r="AA598" s="29">
        <v>-6452</v>
      </c>
      <c r="AB598" s="29">
        <v>-5810</v>
      </c>
      <c r="AC598" s="29">
        <v>-5865</v>
      </c>
      <c r="AD598" s="29">
        <v>-5340</v>
      </c>
      <c r="AE598" s="29">
        <v>-6871</v>
      </c>
      <c r="AF598" s="29">
        <v>-6283</v>
      </c>
      <c r="AG598" s="825"/>
      <c r="AI598" s="825"/>
      <c r="AK598" s="29">
        <v>-812</v>
      </c>
      <c r="AL598" s="29">
        <v>-1578</v>
      </c>
      <c r="AM598" s="29">
        <v>-2264</v>
      </c>
      <c r="AN598" s="29">
        <v>-3182</v>
      </c>
      <c r="AO598" s="29">
        <v>-3119</v>
      </c>
      <c r="AP598" s="29">
        <v>-1977</v>
      </c>
      <c r="AQ598" s="29">
        <v>-2355</v>
      </c>
      <c r="AR598" s="29">
        <v>-2305</v>
      </c>
      <c r="AS598" s="29">
        <v>-4257</v>
      </c>
      <c r="AT598" s="29">
        <v>-5485</v>
      </c>
      <c r="AU598" s="29">
        <v>-5944</v>
      </c>
      <c r="AV598" s="29">
        <v>-8343</v>
      </c>
      <c r="AW598" s="29">
        <v>-8129</v>
      </c>
      <c r="AY598" s="29">
        <v>-8343</v>
      </c>
      <c r="AZ598" s="29">
        <v>-8129</v>
      </c>
      <c r="BA598" s="29">
        <v>-11632</v>
      </c>
      <c r="BB598" s="29">
        <v>-13925</v>
      </c>
      <c r="BC598" s="11">
        <f t="shared" ref="BC598:BC603" si="611">SUM(T598:W598)</f>
        <v>-15441</v>
      </c>
      <c r="BD598" s="11">
        <f t="shared" ref="BD598:BD604" si="612">SUM(X598:AA598)</f>
        <v>-20622</v>
      </c>
      <c r="BE598" s="11">
        <f t="shared" ref="BE598:BE603" si="613">+SUM(AB598:AE598)</f>
        <v>-23886</v>
      </c>
      <c r="BF598" s="29"/>
    </row>
    <row r="599" spans="2:58">
      <c r="B599" t="s">
        <v>598</v>
      </c>
      <c r="D599" s="29">
        <v>-390</v>
      </c>
      <c r="E599" s="29">
        <v>-381</v>
      </c>
      <c r="F599" s="29">
        <v>-559</v>
      </c>
      <c r="G599" s="29">
        <v>-63</v>
      </c>
      <c r="H599" s="29">
        <v>-24</v>
      </c>
      <c r="I599" s="29">
        <v>-24760</v>
      </c>
      <c r="J599" s="29">
        <v>-802</v>
      </c>
      <c r="K599" s="11">
        <v>-358</v>
      </c>
      <c r="L599" s="29">
        <v>-179</v>
      </c>
      <c r="M599" s="29">
        <v>-27</v>
      </c>
      <c r="N599" s="29">
        <v>-248</v>
      </c>
      <c r="O599" s="11">
        <v>-434</v>
      </c>
      <c r="P599" s="29">
        <v>-245</v>
      </c>
      <c r="Q599" s="29">
        <v>-1593</v>
      </c>
      <c r="R599" s="29">
        <v>-269</v>
      </c>
      <c r="S599" s="11">
        <f t="shared" si="610"/>
        <v>-281</v>
      </c>
      <c r="T599" s="29">
        <v>-462</v>
      </c>
      <c r="U599" s="29">
        <v>-80</v>
      </c>
      <c r="V599" s="29">
        <v>-329</v>
      </c>
      <c r="W599" s="29">
        <v>-1650</v>
      </c>
      <c r="X599" s="29">
        <v>-481</v>
      </c>
      <c r="Y599" s="29">
        <v>-415</v>
      </c>
      <c r="Z599" s="29">
        <v>-7512</v>
      </c>
      <c r="AA599" s="29">
        <v>-501</v>
      </c>
      <c r="AB599" s="29">
        <v>-1206</v>
      </c>
      <c r="AC599" s="29">
        <v>-850</v>
      </c>
      <c r="AD599" s="29">
        <v>-18719</v>
      </c>
      <c r="AE599" s="29">
        <v>-1263</v>
      </c>
      <c r="AF599" s="29">
        <v>-349</v>
      </c>
      <c r="AI599" s="825"/>
      <c r="AK599" s="29">
        <v>-207</v>
      </c>
      <c r="AL599" s="29">
        <v>-649</v>
      </c>
      <c r="AM599" s="29">
        <v>-1150</v>
      </c>
      <c r="AN599" s="29">
        <v>-8053</v>
      </c>
      <c r="AO599" s="29">
        <v>-868</v>
      </c>
      <c r="AP599" s="29">
        <v>-245</v>
      </c>
      <c r="AQ599" s="29">
        <v>-71</v>
      </c>
      <c r="AR599" s="29">
        <v>-10112</v>
      </c>
      <c r="AS599" s="29">
        <v>-1584</v>
      </c>
      <c r="AT599" s="29">
        <v>-5937</v>
      </c>
      <c r="AU599" s="29">
        <v>-3723</v>
      </c>
      <c r="AV599" s="29">
        <v>-1393</v>
      </c>
      <c r="AW599" s="29">
        <v>-25944</v>
      </c>
      <c r="AY599" s="29">
        <v>-1393</v>
      </c>
      <c r="AZ599" s="29">
        <v>-25944</v>
      </c>
      <c r="BA599" s="29">
        <v>-888</v>
      </c>
      <c r="BB599" s="29">
        <v>-2388</v>
      </c>
      <c r="BC599" s="11">
        <f t="shared" si="611"/>
        <v>-2521</v>
      </c>
      <c r="BD599" s="11">
        <f t="shared" si="612"/>
        <v>-8909</v>
      </c>
      <c r="BE599" s="11">
        <f t="shared" si="613"/>
        <v>-22038</v>
      </c>
      <c r="BF599" s="29"/>
    </row>
    <row r="600" spans="2:58">
      <c r="B600" t="s">
        <v>599</v>
      </c>
      <c r="D600" s="29">
        <v>-37570</v>
      </c>
      <c r="E600" s="29">
        <v>-34750</v>
      </c>
      <c r="F600" s="29">
        <v>-27341</v>
      </c>
      <c r="G600" s="29">
        <v>-30097</v>
      </c>
      <c r="H600" s="29">
        <v>-57181</v>
      </c>
      <c r="I600" s="29">
        <v>-46775</v>
      </c>
      <c r="J600" s="29">
        <v>-43918</v>
      </c>
      <c r="K600" s="11">
        <v>-29031</v>
      </c>
      <c r="L600" s="29">
        <v>-32961</v>
      </c>
      <c r="M600" s="29">
        <v>-45154</v>
      </c>
      <c r="N600" s="29">
        <v>-26885</v>
      </c>
      <c r="O600" s="11">
        <v>-32380</v>
      </c>
      <c r="P600" s="29">
        <v>-19551</v>
      </c>
      <c r="Q600" s="29">
        <v>-16858</v>
      </c>
      <c r="R600" s="29">
        <v>-5846</v>
      </c>
      <c r="S600" s="11">
        <f t="shared" si="610"/>
        <v>-15442</v>
      </c>
      <c r="T600" s="29">
        <v>-23390</v>
      </c>
      <c r="U600" s="29">
        <v>-19011</v>
      </c>
      <c r="V600" s="29">
        <v>-15910</v>
      </c>
      <c r="W600" s="29">
        <v>-18879</v>
      </c>
      <c r="X600" s="29">
        <v>-14580</v>
      </c>
      <c r="Y600" s="29">
        <v>-15092</v>
      </c>
      <c r="Z600" s="29">
        <v>-18375</v>
      </c>
      <c r="AA600" s="29">
        <v>-14877</v>
      </c>
      <c r="AB600" s="29">
        <v>-10309</v>
      </c>
      <c r="AC600" s="29">
        <v>-2505</v>
      </c>
      <c r="AD600" s="29">
        <v>-8723</v>
      </c>
      <c r="AE600" s="29">
        <v>-4919</v>
      </c>
      <c r="AF600" s="29">
        <v>-5013</v>
      </c>
      <c r="AG600" s="825"/>
      <c r="AI600" s="825"/>
      <c r="AK600" s="29">
        <v>-68045</v>
      </c>
      <c r="AL600" s="29">
        <v>-51117</v>
      </c>
      <c r="AM600" s="29">
        <v>-36308</v>
      </c>
      <c r="AN600" s="29">
        <v>-20954</v>
      </c>
      <c r="AO600" s="29">
        <v>-36850</v>
      </c>
      <c r="AP600" s="29">
        <v>-30168</v>
      </c>
      <c r="AQ600" s="29">
        <v>-35993</v>
      </c>
      <c r="AR600" s="29">
        <v>-57250</v>
      </c>
      <c r="AS600" s="29">
        <v>-75396</v>
      </c>
      <c r="AT600" s="29">
        <v>-72690</v>
      </c>
      <c r="AU600" s="29">
        <v>-98729</v>
      </c>
      <c r="AV600" s="29">
        <v>-129758</v>
      </c>
      <c r="AW600" s="29">
        <v>-176905</v>
      </c>
      <c r="AY600" s="29">
        <v>-129758</v>
      </c>
      <c r="AZ600" s="29">
        <v>-176905</v>
      </c>
      <c r="BA600" s="29">
        <v>-137380</v>
      </c>
      <c r="BB600" s="29">
        <v>-57697</v>
      </c>
      <c r="BC600" s="11">
        <f t="shared" si="611"/>
        <v>-77190</v>
      </c>
      <c r="BD600" s="11">
        <f t="shared" si="612"/>
        <v>-62924</v>
      </c>
      <c r="BE600" s="11">
        <f t="shared" si="613"/>
        <v>-26456</v>
      </c>
      <c r="BF600" s="29"/>
    </row>
    <row r="601" spans="2:58">
      <c r="B601" t="s">
        <v>600</v>
      </c>
      <c r="D601" s="29">
        <v>5686</v>
      </c>
      <c r="E601" s="29">
        <v>5351</v>
      </c>
      <c r="F601" s="29">
        <v>5192</v>
      </c>
      <c r="G601" s="29">
        <v>5825</v>
      </c>
      <c r="H601" s="29">
        <v>8659</v>
      </c>
      <c r="I601" s="29">
        <v>8715</v>
      </c>
      <c r="J601" s="29">
        <v>4860</v>
      </c>
      <c r="K601" s="11">
        <v>5810</v>
      </c>
      <c r="L601" s="29">
        <v>5226</v>
      </c>
      <c r="M601" s="29">
        <v>6352</v>
      </c>
      <c r="N601" s="29">
        <v>7674</v>
      </c>
      <c r="O601" s="11">
        <v>7108</v>
      </c>
      <c r="P601" s="29">
        <v>5214</v>
      </c>
      <c r="Q601" s="29">
        <v>3782</v>
      </c>
      <c r="R601" s="29">
        <v>5893</v>
      </c>
      <c r="S601" s="11">
        <f t="shared" si="610"/>
        <v>5154</v>
      </c>
      <c r="T601" s="29">
        <v>19082</v>
      </c>
      <c r="U601" s="29">
        <v>11230</v>
      </c>
      <c r="V601" s="29">
        <v>17247</v>
      </c>
      <c r="W601" s="29">
        <v>18890</v>
      </c>
      <c r="X601" s="29">
        <v>14266</v>
      </c>
      <c r="Y601" s="29">
        <v>15264</v>
      </c>
      <c r="Z601" s="29">
        <v>15016</v>
      </c>
      <c r="AA601" s="29">
        <v>7246</v>
      </c>
      <c r="AB601" s="29">
        <v>8862</v>
      </c>
      <c r="AC601" s="29">
        <v>5253</v>
      </c>
      <c r="AD601" s="29">
        <v>1099</v>
      </c>
      <c r="AE601" s="29">
        <v>1237</v>
      </c>
      <c r="AF601" s="29">
        <v>6662</v>
      </c>
      <c r="AG601" s="825"/>
      <c r="AI601" s="825"/>
      <c r="AK601" s="29">
        <v>29153</v>
      </c>
      <c r="AL601" s="29">
        <v>3877</v>
      </c>
      <c r="AM601" s="29">
        <v>4736</v>
      </c>
      <c r="AN601" s="29">
        <v>2597</v>
      </c>
      <c r="AO601" s="29">
        <v>6191</v>
      </c>
      <c r="AP601" s="29">
        <v>7453</v>
      </c>
      <c r="AQ601" s="29">
        <v>6897</v>
      </c>
      <c r="AR601" s="29">
        <v>15575</v>
      </c>
      <c r="AS601" s="29">
        <v>5130</v>
      </c>
      <c r="AT601" s="29">
        <v>5272</v>
      </c>
      <c r="AU601" s="29">
        <v>15013</v>
      </c>
      <c r="AV601" s="29">
        <v>22054</v>
      </c>
      <c r="AW601" s="29">
        <v>28044</v>
      </c>
      <c r="AY601" s="29">
        <v>22054</v>
      </c>
      <c r="AZ601" s="29">
        <v>28044</v>
      </c>
      <c r="BA601" s="29">
        <v>26360</v>
      </c>
      <c r="BB601" s="29">
        <v>20043</v>
      </c>
      <c r="BC601" s="11">
        <f t="shared" si="611"/>
        <v>66449</v>
      </c>
      <c r="BD601" s="11">
        <f t="shared" si="612"/>
        <v>51792</v>
      </c>
      <c r="BE601" s="11">
        <f t="shared" si="613"/>
        <v>16451</v>
      </c>
      <c r="BF601" s="29"/>
    </row>
    <row r="602" spans="2:58">
      <c r="B602" t="s">
        <v>601</v>
      </c>
      <c r="D602" s="29">
        <v>28502</v>
      </c>
      <c r="E602" s="29">
        <v>28191</v>
      </c>
      <c r="F602" s="29">
        <v>19599</v>
      </c>
      <c r="G602" s="29">
        <v>16995</v>
      </c>
      <c r="H602" s="29">
        <v>32323</v>
      </c>
      <c r="I602" s="29">
        <v>48987</v>
      </c>
      <c r="J602" s="29">
        <v>36444</v>
      </c>
      <c r="K602" s="11">
        <v>18596</v>
      </c>
      <c r="L602" s="29">
        <v>23036</v>
      </c>
      <c r="M602" s="29">
        <v>41261</v>
      </c>
      <c r="N602" s="29">
        <v>26256</v>
      </c>
      <c r="O602" s="11">
        <v>27024</v>
      </c>
      <c r="P602" s="29">
        <v>15231</v>
      </c>
      <c r="Q602" s="29">
        <v>14176</v>
      </c>
      <c r="R602" s="29">
        <v>1424</v>
      </c>
      <c r="S602" s="11">
        <f t="shared" si="610"/>
        <v>7363</v>
      </c>
      <c r="T602" s="29">
        <v>6379</v>
      </c>
      <c r="U602" s="29">
        <v>5370</v>
      </c>
      <c r="V602" s="29">
        <v>2810</v>
      </c>
      <c r="W602" s="29">
        <v>3162</v>
      </c>
      <c r="X602" s="29">
        <v>2414</v>
      </c>
      <c r="Y602" s="29">
        <v>2421</v>
      </c>
      <c r="Z602" s="29">
        <v>5876</v>
      </c>
      <c r="AA602" s="29">
        <v>3297</v>
      </c>
      <c r="AB602" s="29">
        <v>5630</v>
      </c>
      <c r="AC602" s="29">
        <v>2895</v>
      </c>
      <c r="AD602" s="29">
        <v>16693</v>
      </c>
      <c r="AE602" s="29">
        <v>3225</v>
      </c>
      <c r="AF602" s="29">
        <v>2711</v>
      </c>
      <c r="AG602" s="825"/>
      <c r="AI602" s="825"/>
      <c r="AK602" s="29">
        <v>54938</v>
      </c>
      <c r="AL602" s="29">
        <v>54353</v>
      </c>
      <c r="AM602" s="29">
        <v>41451</v>
      </c>
      <c r="AN602" s="29">
        <v>25132</v>
      </c>
      <c r="AO602" s="29">
        <v>19806</v>
      </c>
      <c r="AP602" s="29">
        <v>15125</v>
      </c>
      <c r="AQ602" s="29">
        <v>15880</v>
      </c>
      <c r="AR602" s="29">
        <v>29700</v>
      </c>
      <c r="AS602" s="29">
        <v>52464</v>
      </c>
      <c r="AT602" s="29">
        <v>60094</v>
      </c>
      <c r="AU602" s="29">
        <v>70848</v>
      </c>
      <c r="AV602" s="29">
        <v>93287</v>
      </c>
      <c r="AW602" s="29">
        <v>136350</v>
      </c>
      <c r="AY602" s="29">
        <v>93287</v>
      </c>
      <c r="AZ602" s="29">
        <v>136350</v>
      </c>
      <c r="BA602" s="29">
        <v>117577</v>
      </c>
      <c r="BB602" s="29">
        <v>38194</v>
      </c>
      <c r="BC602" s="11">
        <f t="shared" si="611"/>
        <v>17721</v>
      </c>
      <c r="BD602" s="11">
        <f t="shared" si="612"/>
        <v>14008</v>
      </c>
      <c r="BE602" s="11">
        <f t="shared" si="613"/>
        <v>28443</v>
      </c>
      <c r="BF602" s="29"/>
    </row>
    <row r="603" spans="2:58" ht="11.45">
      <c r="B603" t="s">
        <v>575</v>
      </c>
      <c r="D603" s="30">
        <v>62</v>
      </c>
      <c r="E603" s="30">
        <v>285</v>
      </c>
      <c r="F603" s="30">
        <v>-66</v>
      </c>
      <c r="G603" s="30">
        <v>-78</v>
      </c>
      <c r="H603" s="30">
        <v>-84</v>
      </c>
      <c r="I603" s="30">
        <v>1070</v>
      </c>
      <c r="J603" s="30">
        <v>-1080</v>
      </c>
      <c r="K603" s="34">
        <v>-103</v>
      </c>
      <c r="L603" s="30">
        <v>106</v>
      </c>
      <c r="M603" s="30">
        <v>-177</v>
      </c>
      <c r="N603" s="30">
        <v>-19</v>
      </c>
      <c r="O603" s="34">
        <v>-8</v>
      </c>
      <c r="P603" s="30">
        <v>0</v>
      </c>
      <c r="Q603" s="30">
        <v>0</v>
      </c>
      <c r="R603" s="30">
        <v>0</v>
      </c>
      <c r="S603" s="34">
        <f t="shared" si="610"/>
        <v>0</v>
      </c>
      <c r="T603" s="30">
        <v>0</v>
      </c>
      <c r="U603" s="30">
        <v>0</v>
      </c>
      <c r="V603" s="30">
        <v>0</v>
      </c>
      <c r="W603" s="30">
        <v>-1241</v>
      </c>
      <c r="X603" s="30">
        <v>-2083</v>
      </c>
      <c r="Y603" s="30">
        <v>327</v>
      </c>
      <c r="Z603" s="30">
        <v>400</v>
      </c>
      <c r="AA603" s="30">
        <v>434</v>
      </c>
      <c r="AB603" s="30">
        <v>-417</v>
      </c>
      <c r="AC603" s="30">
        <v>-89</v>
      </c>
      <c r="AD603" s="30">
        <v>-1181</v>
      </c>
      <c r="AE603" s="30">
        <v>-1138</v>
      </c>
      <c r="AF603" s="30">
        <v>-860</v>
      </c>
      <c r="AG603" s="30"/>
      <c r="AH603" s="30"/>
      <c r="AI603" s="30"/>
      <c r="AK603" s="30">
        <v>0</v>
      </c>
      <c r="AL603" s="30">
        <v>3117</v>
      </c>
      <c r="AM603" s="30">
        <v>-376</v>
      </c>
      <c r="AN603" s="30">
        <v>-127</v>
      </c>
      <c r="AO603" s="30">
        <v>-930</v>
      </c>
      <c r="AP603" s="30">
        <v>-1502</v>
      </c>
      <c r="AQ603" s="30">
        <v>1026</v>
      </c>
      <c r="AR603" s="30">
        <v>-394</v>
      </c>
      <c r="AS603" s="30">
        <v>-168</v>
      </c>
      <c r="AT603" s="30">
        <v>-87</v>
      </c>
      <c r="AU603" s="30">
        <v>-466</v>
      </c>
      <c r="AV603" s="30">
        <v>203</v>
      </c>
      <c r="AW603" s="30">
        <v>-197</v>
      </c>
      <c r="AX603" s="953"/>
      <c r="AY603" s="30">
        <v>203</v>
      </c>
      <c r="AZ603" s="30">
        <v>-197</v>
      </c>
      <c r="BA603" s="30">
        <v>-98</v>
      </c>
      <c r="BB603" s="30">
        <v>0</v>
      </c>
      <c r="BC603" s="34">
        <f t="shared" si="611"/>
        <v>-1241</v>
      </c>
      <c r="BD603" s="34">
        <f t="shared" si="612"/>
        <v>-922</v>
      </c>
      <c r="BE603" s="34">
        <f t="shared" si="613"/>
        <v>-2825</v>
      </c>
      <c r="BF603" s="30"/>
    </row>
    <row r="604" spans="2:58" s="1" customFormat="1" ht="10.5">
      <c r="B604" s="837" t="s">
        <v>602</v>
      </c>
      <c r="D604" s="838">
        <f t="shared" ref="D604:AF604" si="614">SUM(D598:D603)</f>
        <v>-5066</v>
      </c>
      <c r="E604" s="838">
        <f t="shared" si="614"/>
        <v>-3328</v>
      </c>
      <c r="F604" s="838">
        <f t="shared" si="614"/>
        <v>-5483</v>
      </c>
      <c r="G604" s="838">
        <f t="shared" si="614"/>
        <v>-10073</v>
      </c>
      <c r="H604" s="838">
        <f t="shared" si="614"/>
        <v>-18470</v>
      </c>
      <c r="I604" s="838">
        <f t="shared" si="614"/>
        <v>-14751</v>
      </c>
      <c r="J604" s="838">
        <f t="shared" si="614"/>
        <v>-6191</v>
      </c>
      <c r="K604" s="849">
        <f t="shared" si="614"/>
        <v>-7369</v>
      </c>
      <c r="L604" s="838">
        <f t="shared" si="614"/>
        <v>-6904</v>
      </c>
      <c r="M604" s="838">
        <f t="shared" si="614"/>
        <v>-331</v>
      </c>
      <c r="N604" s="838">
        <f t="shared" si="614"/>
        <v>3844</v>
      </c>
      <c r="O604" s="849">
        <f t="shared" si="614"/>
        <v>-2670</v>
      </c>
      <c r="P604" s="838">
        <f t="shared" si="614"/>
        <v>-2953</v>
      </c>
      <c r="Q604" s="838">
        <f t="shared" si="614"/>
        <v>-4200</v>
      </c>
      <c r="R604" s="838">
        <f t="shared" si="614"/>
        <v>-1363</v>
      </c>
      <c r="S604" s="849">
        <f t="shared" si="614"/>
        <v>-7257</v>
      </c>
      <c r="T604" s="838">
        <f t="shared" si="614"/>
        <v>-1776</v>
      </c>
      <c r="U604" s="838">
        <f t="shared" si="614"/>
        <v>-6036</v>
      </c>
      <c r="V604" s="838">
        <f t="shared" si="614"/>
        <v>51</v>
      </c>
      <c r="W604" s="838">
        <f t="shared" si="614"/>
        <v>-4462</v>
      </c>
      <c r="X604" s="838">
        <f t="shared" si="614"/>
        <v>-5371</v>
      </c>
      <c r="Y604" s="838">
        <f t="shared" si="614"/>
        <v>-1669</v>
      </c>
      <c r="Z604" s="838">
        <f t="shared" si="614"/>
        <v>-9684</v>
      </c>
      <c r="AA604" s="838">
        <f t="shared" si="614"/>
        <v>-10853</v>
      </c>
      <c r="AB604" s="838">
        <f t="shared" si="614"/>
        <v>-3250</v>
      </c>
      <c r="AC604" s="838">
        <f t="shared" si="614"/>
        <v>-1161</v>
      </c>
      <c r="AD604" s="838">
        <f t="shared" si="614"/>
        <v>-16171</v>
      </c>
      <c r="AE604" s="838">
        <f t="shared" si="614"/>
        <v>-9729</v>
      </c>
      <c r="AF604" s="838">
        <f t="shared" si="614"/>
        <v>-3132</v>
      </c>
      <c r="AG604" s="838"/>
      <c r="AH604" s="838"/>
      <c r="AI604" s="838"/>
      <c r="AK604" s="838">
        <f t="shared" ref="AK604:AW604" si="615">SUM(AK598:AK603)</f>
        <v>15027</v>
      </c>
      <c r="AL604" s="838">
        <f t="shared" si="615"/>
        <v>8003</v>
      </c>
      <c r="AM604" s="838">
        <f t="shared" si="615"/>
        <v>6089</v>
      </c>
      <c r="AN604" s="838">
        <f t="shared" si="615"/>
        <v>-4587</v>
      </c>
      <c r="AO604" s="838">
        <f t="shared" si="615"/>
        <v>-15770</v>
      </c>
      <c r="AP604" s="838">
        <f t="shared" si="615"/>
        <v>-11314</v>
      </c>
      <c r="AQ604" s="838">
        <f t="shared" si="615"/>
        <v>-14616</v>
      </c>
      <c r="AR604" s="838">
        <f t="shared" si="615"/>
        <v>-24786</v>
      </c>
      <c r="AS604" s="838">
        <f t="shared" si="615"/>
        <v>-23811</v>
      </c>
      <c r="AT604" s="838">
        <f t="shared" si="615"/>
        <v>-18833</v>
      </c>
      <c r="AU604" s="838">
        <f t="shared" si="615"/>
        <v>-23001</v>
      </c>
      <c r="AV604" s="838">
        <f t="shared" si="615"/>
        <v>-23950</v>
      </c>
      <c r="AW604" s="838">
        <f t="shared" si="615"/>
        <v>-46781</v>
      </c>
      <c r="AY604" s="838">
        <f>SUM(AY598:AY603)</f>
        <v>-23950</v>
      </c>
      <c r="AZ604" s="838">
        <f>SUM(AZ598:AZ603)</f>
        <v>-46781</v>
      </c>
      <c r="BA604" s="838">
        <f>SUM(BA598:BA603)</f>
        <v>-6061</v>
      </c>
      <c r="BB604" s="838">
        <f>SUM(BB598:BB603)</f>
        <v>-15773</v>
      </c>
      <c r="BC604" s="849">
        <f>SUM(BC598:BC603)</f>
        <v>-12223</v>
      </c>
      <c r="BD604" s="849">
        <f t="shared" si="612"/>
        <v>-27577</v>
      </c>
      <c r="BE604" s="849">
        <f>+SUM(BE598:BE603)</f>
        <v>-30311</v>
      </c>
      <c r="BF604" s="838"/>
    </row>
    <row r="605" spans="2:58">
      <c r="K605" s="100"/>
      <c r="O605" s="100"/>
      <c r="S605" s="100"/>
      <c r="BC605" s="100"/>
      <c r="BD605" s="100"/>
    </row>
    <row r="606" spans="2:58" ht="10.5">
      <c r="B606" s="45" t="s">
        <v>603</v>
      </c>
      <c r="K606" s="100"/>
      <c r="O606" s="100"/>
      <c r="S606" s="100"/>
      <c r="BC606" s="100"/>
      <c r="BD606" s="100"/>
    </row>
    <row r="607" spans="2:58">
      <c r="B607" t="s">
        <v>604</v>
      </c>
      <c r="D607" s="29">
        <v>-1750</v>
      </c>
      <c r="E607" s="29">
        <v>-121</v>
      </c>
      <c r="F607" s="29">
        <v>-900</v>
      </c>
      <c r="G607" s="29">
        <v>-25</v>
      </c>
      <c r="H607" s="29">
        <v>-225</v>
      </c>
      <c r="I607" s="29">
        <v>-4118</v>
      </c>
      <c r="J607" s="29">
        <v>-211</v>
      </c>
      <c r="K607" s="11">
        <v>-3368</v>
      </c>
      <c r="L607" s="29">
        <v>-1169</v>
      </c>
      <c r="M607" s="29">
        <v>-3327</v>
      </c>
      <c r="N607" s="29">
        <v>-4883</v>
      </c>
      <c r="O607" s="11">
        <v>-681</v>
      </c>
      <c r="P607" s="29">
        <v>0</v>
      </c>
      <c r="Q607" s="29">
        <v>-3000</v>
      </c>
      <c r="R607" s="29">
        <v>0</v>
      </c>
      <c r="S607" s="11">
        <f>+BB607-SUM(P607:R607)</f>
        <v>-1000</v>
      </c>
      <c r="T607" s="29">
        <v>-2500</v>
      </c>
      <c r="U607" s="29">
        <v>-18</v>
      </c>
      <c r="V607" s="29">
        <v>-3000</v>
      </c>
      <c r="W607" s="29">
        <v>0</v>
      </c>
      <c r="X607" s="29">
        <v>0</v>
      </c>
      <c r="Y607" s="29">
        <v>-3250</v>
      </c>
      <c r="Z607" s="29">
        <v>-500</v>
      </c>
      <c r="AA607" s="29">
        <v>0</v>
      </c>
      <c r="AB607" s="29">
        <v>-4826</v>
      </c>
      <c r="AC607" s="29">
        <v>0</v>
      </c>
      <c r="AD607" s="29">
        <v>-4197</v>
      </c>
      <c r="AE607" s="29">
        <v>0</v>
      </c>
      <c r="AF607" s="29">
        <v>-1000</v>
      </c>
      <c r="AG607" s="29"/>
      <c r="AH607" s="29"/>
      <c r="AI607" s="29"/>
      <c r="AK607" s="29">
        <v>0</v>
      </c>
      <c r="AL607" s="29">
        <v>0</v>
      </c>
      <c r="AM607" s="29">
        <v>0</v>
      </c>
      <c r="AN607" s="29">
        <v>0</v>
      </c>
      <c r="AO607" s="29">
        <v>-228</v>
      </c>
      <c r="AP607" s="29">
        <v>-2986</v>
      </c>
      <c r="AQ607" s="29">
        <v>-814</v>
      </c>
      <c r="AR607" s="29">
        <v>0</v>
      </c>
      <c r="AS607" s="29">
        <v>-1346</v>
      </c>
      <c r="AT607" s="29">
        <v>-3888</v>
      </c>
      <c r="AU607" s="29">
        <v>-1500</v>
      </c>
      <c r="AV607" s="29">
        <v>-2796</v>
      </c>
      <c r="AW607" s="29">
        <v>-7922</v>
      </c>
      <c r="AY607" s="29">
        <v>-2796</v>
      </c>
      <c r="AZ607" s="29">
        <v>-7922</v>
      </c>
      <c r="BA607" s="29">
        <v>-10060</v>
      </c>
      <c r="BB607" s="29">
        <v>-4000</v>
      </c>
      <c r="BC607" s="11">
        <f t="shared" ref="BC607:BC615" si="616">SUM(T607:W607)</f>
        <v>-5518</v>
      </c>
      <c r="BD607" s="11">
        <f t="shared" ref="BD607:BD616" si="617">SUM(X607:AA607)</f>
        <v>-3750</v>
      </c>
      <c r="BE607" s="11">
        <f t="shared" ref="BE607:BE615" si="618">+SUM(AB607:AE607)</f>
        <v>-9023</v>
      </c>
      <c r="BF607" s="29"/>
    </row>
    <row r="608" spans="2:58">
      <c r="B608" t="s">
        <v>606</v>
      </c>
      <c r="C608" s="29"/>
      <c r="D608" s="29">
        <v>0</v>
      </c>
      <c r="E608" s="29">
        <v>0</v>
      </c>
      <c r="F608" s="29">
        <v>0</v>
      </c>
      <c r="G608" s="29">
        <v>0</v>
      </c>
      <c r="H608" s="29">
        <v>0</v>
      </c>
      <c r="I608" s="29">
        <v>0</v>
      </c>
      <c r="J608" s="29">
        <v>0</v>
      </c>
      <c r="K608" s="29">
        <v>0</v>
      </c>
      <c r="L608" s="29">
        <v>0</v>
      </c>
      <c r="M608" s="29">
        <v>0</v>
      </c>
      <c r="N608" s="29">
        <v>0</v>
      </c>
      <c r="O608" s="29">
        <v>0</v>
      </c>
      <c r="P608" s="29">
        <v>0</v>
      </c>
      <c r="Q608" s="29">
        <v>0</v>
      </c>
      <c r="R608" s="29">
        <v>0</v>
      </c>
      <c r="S608" s="29">
        <v>0</v>
      </c>
      <c r="T608" s="29">
        <v>0</v>
      </c>
      <c r="U608" s="29">
        <v>0</v>
      </c>
      <c r="V608" s="29">
        <v>0</v>
      </c>
      <c r="W608" s="29">
        <v>-3417</v>
      </c>
      <c r="X608" s="29">
        <v>0</v>
      </c>
      <c r="Y608" s="29">
        <v>0</v>
      </c>
      <c r="Z608" s="29">
        <v>-1754</v>
      </c>
      <c r="AA608" s="29">
        <v>0</v>
      </c>
      <c r="AB608" s="29">
        <v>0</v>
      </c>
      <c r="AC608" s="29">
        <v>0</v>
      </c>
      <c r="AD608" s="29">
        <v>0</v>
      </c>
      <c r="AE608" s="29">
        <v>0</v>
      </c>
      <c r="AF608" s="29">
        <v>0</v>
      </c>
      <c r="AG608" s="29"/>
      <c r="AJ608" s="29"/>
      <c r="AK608" s="29">
        <v>0</v>
      </c>
      <c r="AL608" s="29">
        <v>0</v>
      </c>
      <c r="AM608" s="29">
        <v>0</v>
      </c>
      <c r="AN608" s="29">
        <v>0</v>
      </c>
      <c r="AO608" s="29">
        <v>0</v>
      </c>
      <c r="AP608" s="29">
        <v>0</v>
      </c>
      <c r="AQ608" s="29">
        <v>0</v>
      </c>
      <c r="AR608" s="29">
        <v>0</v>
      </c>
      <c r="AS608" s="29">
        <v>0</v>
      </c>
      <c r="AT608" s="29">
        <v>0</v>
      </c>
      <c r="AU608" s="29">
        <v>0</v>
      </c>
      <c r="AV608" s="29">
        <v>0</v>
      </c>
      <c r="AW608" s="29">
        <v>0</v>
      </c>
      <c r="AX608" s="29"/>
      <c r="AY608" s="29">
        <v>0</v>
      </c>
      <c r="AZ608" s="29">
        <v>0</v>
      </c>
      <c r="BA608" s="29">
        <v>0</v>
      </c>
      <c r="BB608" s="29">
        <v>0</v>
      </c>
      <c r="BC608" s="11">
        <f t="shared" si="616"/>
        <v>-3417</v>
      </c>
      <c r="BD608" s="11">
        <f t="shared" si="617"/>
        <v>-1754</v>
      </c>
      <c r="BE608" s="11">
        <f t="shared" si="618"/>
        <v>0</v>
      </c>
      <c r="BF608" s="29"/>
    </row>
    <row r="609" spans="2:58">
      <c r="B609" t="s">
        <v>607</v>
      </c>
      <c r="D609" s="29">
        <v>121</v>
      </c>
      <c r="E609" s="29">
        <v>13128</v>
      </c>
      <c r="F609" s="29">
        <v>25</v>
      </c>
      <c r="G609" s="29">
        <v>610</v>
      </c>
      <c r="H609" s="29">
        <v>24977</v>
      </c>
      <c r="I609" s="29">
        <v>17069</v>
      </c>
      <c r="J609" s="29">
        <v>547</v>
      </c>
      <c r="K609" s="11">
        <v>1751</v>
      </c>
      <c r="L609" s="29">
        <v>3954</v>
      </c>
      <c r="M609" s="29">
        <v>3229</v>
      </c>
      <c r="N609" s="29">
        <v>0</v>
      </c>
      <c r="O609" s="11">
        <v>0</v>
      </c>
      <c r="P609" s="29">
        <v>0</v>
      </c>
      <c r="Q609" s="29">
        <v>0</v>
      </c>
      <c r="R609" s="29">
        <v>0</v>
      </c>
      <c r="S609" s="11">
        <f t="shared" ref="S609:S615" si="619">+BB609-SUM(P609:R609)</f>
        <v>0</v>
      </c>
      <c r="T609" s="29">
        <v>0</v>
      </c>
      <c r="U609" s="29">
        <v>0</v>
      </c>
      <c r="V609" s="29">
        <v>0</v>
      </c>
      <c r="W609" s="29">
        <v>0</v>
      </c>
      <c r="X609" s="29">
        <v>0</v>
      </c>
      <c r="Y609" s="29">
        <v>0</v>
      </c>
      <c r="Z609" s="29">
        <v>0</v>
      </c>
      <c r="AA609" s="29">
        <v>0</v>
      </c>
      <c r="AB609" s="29">
        <v>0</v>
      </c>
      <c r="AC609" s="29">
        <v>0</v>
      </c>
      <c r="AD609" s="29">
        <v>0</v>
      </c>
      <c r="AE609" s="29">
        <v>0</v>
      </c>
      <c r="AF609" s="29">
        <v>0</v>
      </c>
      <c r="AG609" s="29"/>
      <c r="AK609" s="29">
        <v>0</v>
      </c>
      <c r="AL609" s="29">
        <v>0</v>
      </c>
      <c r="AM609" s="29">
        <v>0</v>
      </c>
      <c r="AN609" s="29">
        <v>0</v>
      </c>
      <c r="AO609" s="29">
        <v>4796</v>
      </c>
      <c r="AP609" s="29">
        <v>4167</v>
      </c>
      <c r="AQ609" s="29">
        <v>6960</v>
      </c>
      <c r="AR609" s="29">
        <v>0</v>
      </c>
      <c r="AS609" s="29">
        <v>4883</v>
      </c>
      <c r="AT609" s="29">
        <v>10350</v>
      </c>
      <c r="AU609" s="29">
        <v>10680</v>
      </c>
      <c r="AV609" s="29">
        <v>13884</v>
      </c>
      <c r="AW609" s="29">
        <v>44344</v>
      </c>
      <c r="AY609" s="29">
        <v>13884</v>
      </c>
      <c r="AZ609" s="29">
        <v>44344</v>
      </c>
      <c r="BA609" s="29">
        <v>7183</v>
      </c>
      <c r="BB609" s="29">
        <v>0</v>
      </c>
      <c r="BC609" s="11">
        <f t="shared" si="616"/>
        <v>0</v>
      </c>
      <c r="BD609" s="11">
        <f t="shared" si="617"/>
        <v>0</v>
      </c>
      <c r="BE609" s="11">
        <f t="shared" si="618"/>
        <v>0</v>
      </c>
      <c r="BF609" s="29"/>
    </row>
    <row r="610" spans="2:58">
      <c r="B610" t="s">
        <v>608</v>
      </c>
      <c r="D610" s="29">
        <v>4890</v>
      </c>
      <c r="E610" s="29">
        <v>-7031</v>
      </c>
      <c r="F610" s="29">
        <v>2622</v>
      </c>
      <c r="G610" s="29">
        <v>6714</v>
      </c>
      <c r="H610" s="29">
        <v>-3390</v>
      </c>
      <c r="I610" s="29">
        <v>-3755</v>
      </c>
      <c r="J610" s="29">
        <v>-1302</v>
      </c>
      <c r="K610" s="11">
        <v>3484</v>
      </c>
      <c r="L610" s="29">
        <v>-3710</v>
      </c>
      <c r="M610" s="29">
        <v>3759</v>
      </c>
      <c r="N610" s="29">
        <v>-7373</v>
      </c>
      <c r="O610" s="11">
        <v>0</v>
      </c>
      <c r="P610" s="29">
        <v>0</v>
      </c>
      <c r="Q610" s="29">
        <v>0</v>
      </c>
      <c r="R610" s="29">
        <v>0</v>
      </c>
      <c r="S610" s="11">
        <f t="shared" si="619"/>
        <v>0</v>
      </c>
      <c r="T610" s="29">
        <v>0</v>
      </c>
      <c r="U610" s="29">
        <v>0</v>
      </c>
      <c r="V610" s="29">
        <v>0</v>
      </c>
      <c r="W610" s="29">
        <v>0</v>
      </c>
      <c r="X610" s="29">
        <v>0</v>
      </c>
      <c r="Y610" s="29">
        <v>0</v>
      </c>
      <c r="Z610" s="29">
        <v>0</v>
      </c>
      <c r="AA610" s="29">
        <v>0</v>
      </c>
      <c r="AB610" s="29">
        <v>0</v>
      </c>
      <c r="AC610" s="29">
        <v>0</v>
      </c>
      <c r="AD610" s="29">
        <v>0</v>
      </c>
      <c r="AE610" s="29">
        <v>0</v>
      </c>
      <c r="AF610" s="29">
        <v>0</v>
      </c>
      <c r="AG610" s="29"/>
      <c r="AK610" s="29">
        <v>0</v>
      </c>
      <c r="AL610" s="29">
        <v>0</v>
      </c>
      <c r="AM610" s="29">
        <v>0</v>
      </c>
      <c r="AN610" s="29">
        <v>0</v>
      </c>
      <c r="AO610" s="29">
        <v>1178</v>
      </c>
      <c r="AP610" s="29">
        <v>-991</v>
      </c>
      <c r="AQ610" s="29">
        <v>-186</v>
      </c>
      <c r="AR610" s="29">
        <v>0</v>
      </c>
      <c r="AS610" s="29">
        <v>0</v>
      </c>
      <c r="AT610" s="29">
        <v>500</v>
      </c>
      <c r="AU610" s="29">
        <v>4481</v>
      </c>
      <c r="AV610" s="29">
        <v>7195</v>
      </c>
      <c r="AW610" s="29">
        <v>-4963</v>
      </c>
      <c r="AY610" s="29">
        <v>7195</v>
      </c>
      <c r="AZ610" s="29">
        <v>-4963</v>
      </c>
      <c r="BA610" s="29">
        <v>-7324</v>
      </c>
      <c r="BB610" s="29">
        <v>0</v>
      </c>
      <c r="BC610" s="11">
        <f t="shared" si="616"/>
        <v>0</v>
      </c>
      <c r="BD610" s="11">
        <f t="shared" si="617"/>
        <v>0</v>
      </c>
      <c r="BE610" s="11">
        <f t="shared" si="618"/>
        <v>0</v>
      </c>
      <c r="BF610" s="29"/>
    </row>
    <row r="611" spans="2:58">
      <c r="B611" t="s">
        <v>609</v>
      </c>
      <c r="D611" s="29">
        <v>219</v>
      </c>
      <c r="E611" s="29">
        <v>117</v>
      </c>
      <c r="F611" s="29">
        <v>159</v>
      </c>
      <c r="G611" s="29">
        <v>173</v>
      </c>
      <c r="H611" s="29">
        <v>241</v>
      </c>
      <c r="I611" s="29">
        <v>131</v>
      </c>
      <c r="J611" s="29">
        <v>179</v>
      </c>
      <c r="K611" s="11">
        <v>221</v>
      </c>
      <c r="L611" s="29">
        <v>307</v>
      </c>
      <c r="M611" s="29">
        <v>189</v>
      </c>
      <c r="N611" s="29">
        <v>251</v>
      </c>
      <c r="O611" s="11">
        <v>255</v>
      </c>
      <c r="P611" s="29">
        <v>360</v>
      </c>
      <c r="Q611" s="29">
        <v>200</v>
      </c>
      <c r="R611" s="29">
        <v>274</v>
      </c>
      <c r="S611" s="11">
        <f t="shared" si="619"/>
        <v>308</v>
      </c>
      <c r="T611" s="29">
        <v>427</v>
      </c>
      <c r="U611" s="29">
        <v>234</v>
      </c>
      <c r="V611" s="29">
        <v>342</v>
      </c>
      <c r="W611" s="29">
        <v>340</v>
      </c>
      <c r="X611" s="29">
        <v>545</v>
      </c>
      <c r="Y611" s="29">
        <v>302</v>
      </c>
      <c r="Z611" s="29">
        <v>396</v>
      </c>
      <c r="AA611" s="29">
        <v>450</v>
      </c>
      <c r="AB611" s="29">
        <v>612</v>
      </c>
      <c r="AC611" s="29">
        <v>291</v>
      </c>
      <c r="AD611" s="29">
        <v>477</v>
      </c>
      <c r="AE611" s="29">
        <v>461</v>
      </c>
      <c r="AF611" s="29">
        <v>575</v>
      </c>
      <c r="AG611" s="29"/>
      <c r="AH611" s="29"/>
      <c r="AI611" s="29"/>
      <c r="AK611" s="29">
        <v>3109</v>
      </c>
      <c r="AL611" s="29">
        <v>2101</v>
      </c>
      <c r="AM611" s="29">
        <v>6782</v>
      </c>
      <c r="AN611" s="29">
        <v>3494</v>
      </c>
      <c r="AO611" s="29">
        <v>579</v>
      </c>
      <c r="AP611" s="29">
        <v>2311</v>
      </c>
      <c r="AQ611" s="29">
        <v>2422</v>
      </c>
      <c r="AR611" s="29">
        <v>1913</v>
      </c>
      <c r="AS611" s="29">
        <v>931</v>
      </c>
      <c r="AT611" s="29">
        <v>607</v>
      </c>
      <c r="AU611" s="29">
        <v>634</v>
      </c>
      <c r="AV611" s="29">
        <v>668</v>
      </c>
      <c r="AW611" s="29">
        <v>772</v>
      </c>
      <c r="AY611" s="29">
        <v>668</v>
      </c>
      <c r="AZ611" s="29">
        <v>772</v>
      </c>
      <c r="BA611" s="29">
        <v>1002</v>
      </c>
      <c r="BB611" s="29">
        <v>1142</v>
      </c>
      <c r="BC611" s="11">
        <f t="shared" si="616"/>
        <v>1343</v>
      </c>
      <c r="BD611" s="11">
        <f t="shared" si="617"/>
        <v>1693</v>
      </c>
      <c r="BE611" s="11">
        <f t="shared" si="618"/>
        <v>1841</v>
      </c>
      <c r="BF611" s="29"/>
    </row>
    <row r="612" spans="2:58">
      <c r="B612" t="s">
        <v>610</v>
      </c>
      <c r="D612" s="29">
        <v>-4757</v>
      </c>
      <c r="E612" s="29">
        <v>-3678</v>
      </c>
      <c r="F612" s="29">
        <v>-3857</v>
      </c>
      <c r="G612" s="29">
        <v>-3677</v>
      </c>
      <c r="H612" s="29">
        <v>-4362</v>
      </c>
      <c r="I612" s="29">
        <v>-3599</v>
      </c>
      <c r="J612" s="29">
        <v>-2062</v>
      </c>
      <c r="K612" s="11">
        <v>-1765</v>
      </c>
      <c r="L612" s="29">
        <v>-2570</v>
      </c>
      <c r="M612" s="29">
        <v>-2008</v>
      </c>
      <c r="N612" s="29">
        <v>-3781</v>
      </c>
      <c r="O612" s="11">
        <v>-2362</v>
      </c>
      <c r="P612" s="29">
        <v>-3744</v>
      </c>
      <c r="Q612" s="29">
        <v>-6413</v>
      </c>
      <c r="R612" s="29">
        <v>-4753</v>
      </c>
      <c r="S612" s="11">
        <f t="shared" si="619"/>
        <v>-4633</v>
      </c>
      <c r="T612" s="29">
        <v>-4912</v>
      </c>
      <c r="U612" s="29">
        <v>-5206</v>
      </c>
      <c r="V612" s="29">
        <v>-7059</v>
      </c>
      <c r="W612" s="29">
        <v>-5791</v>
      </c>
      <c r="X612" s="29">
        <v>-6743</v>
      </c>
      <c r="Y612" s="29">
        <v>-6535</v>
      </c>
      <c r="Z612" s="29">
        <v>-6930</v>
      </c>
      <c r="AA612" s="29">
        <v>-7177</v>
      </c>
      <c r="AB612" s="29">
        <v>-7684</v>
      </c>
      <c r="AC612" s="29">
        <v>-7433</v>
      </c>
      <c r="AD612" s="29">
        <v>-8822</v>
      </c>
      <c r="AE612" s="29">
        <v>-8757</v>
      </c>
      <c r="AF612" s="29">
        <v>-5573</v>
      </c>
      <c r="AG612" s="29"/>
      <c r="AH612" s="29"/>
      <c r="AI612" s="29"/>
      <c r="AK612" s="29">
        <v>-8057</v>
      </c>
      <c r="AL612" s="29">
        <v>-19207</v>
      </c>
      <c r="AM612" s="29">
        <v>-27575</v>
      </c>
      <c r="AN612" s="29">
        <v>-12533</v>
      </c>
      <c r="AO612" s="29">
        <v>-9353</v>
      </c>
      <c r="AP612" s="29">
        <v>-11269</v>
      </c>
      <c r="AQ612" s="29">
        <v>-11555</v>
      </c>
      <c r="AR612" s="29">
        <v>-5029</v>
      </c>
      <c r="AS612" s="29">
        <v>-5360</v>
      </c>
      <c r="AT612" s="29">
        <v>-7316</v>
      </c>
      <c r="AU612" s="29">
        <v>-14443</v>
      </c>
      <c r="AV612" s="29">
        <v>-15969</v>
      </c>
      <c r="AW612" s="29">
        <v>-11788</v>
      </c>
      <c r="AY612" s="29">
        <v>-15969</v>
      </c>
      <c r="AZ612" s="29">
        <v>-11788</v>
      </c>
      <c r="BA612" s="29">
        <v>-10721</v>
      </c>
      <c r="BB612" s="29">
        <v>-19543</v>
      </c>
      <c r="BC612" s="11">
        <f t="shared" si="616"/>
        <v>-22968</v>
      </c>
      <c r="BD612" s="11">
        <f t="shared" si="617"/>
        <v>-27385</v>
      </c>
      <c r="BE612" s="11">
        <f t="shared" si="618"/>
        <v>-32696</v>
      </c>
      <c r="BF612" s="29"/>
    </row>
    <row r="613" spans="2:58">
      <c r="B613" t="s">
        <v>611</v>
      </c>
      <c r="D613" s="29">
        <v>-2475</v>
      </c>
      <c r="E613" s="29">
        <v>-2868</v>
      </c>
      <c r="F613" s="29">
        <v>-2842</v>
      </c>
      <c r="G613" s="29">
        <v>-2821</v>
      </c>
      <c r="H613" s="29">
        <v>-2800</v>
      </c>
      <c r="I613" s="29">
        <v>-3024</v>
      </c>
      <c r="J613" s="29">
        <v>-3012</v>
      </c>
      <c r="K613" s="11">
        <v>-3009</v>
      </c>
      <c r="L613" s="29">
        <v>-3003</v>
      </c>
      <c r="M613" s="29">
        <v>-3238</v>
      </c>
      <c r="N613" s="29">
        <v>-3232</v>
      </c>
      <c r="O613" s="11">
        <v>-3226</v>
      </c>
      <c r="P613" s="29">
        <v>-3220</v>
      </c>
      <c r="Q613" s="29">
        <v>-3544</v>
      </c>
      <c r="R613" s="29">
        <v>-3526</v>
      </c>
      <c r="S613" s="11">
        <f t="shared" si="619"/>
        <v>-3521</v>
      </c>
      <c r="T613" s="29">
        <v>-3510</v>
      </c>
      <c r="U613" s="29">
        <v>-3886</v>
      </c>
      <c r="V613" s="29">
        <v>-3876</v>
      </c>
      <c r="W613" s="29">
        <v>-3865</v>
      </c>
      <c r="X613" s="29">
        <v>-3856</v>
      </c>
      <c r="Y613" s="29">
        <v>-4230</v>
      </c>
      <c r="Z613" s="29">
        <v>-4221</v>
      </c>
      <c r="AA613" s="29">
        <v>-4214</v>
      </c>
      <c r="AB613" s="29">
        <v>-4206</v>
      </c>
      <c r="AC613" s="29">
        <v>-4652</v>
      </c>
      <c r="AD613" s="29">
        <v>-4645</v>
      </c>
      <c r="AE613" s="29">
        <v>-4632</v>
      </c>
      <c r="AF613" s="29">
        <v>-4621</v>
      </c>
      <c r="AG613" s="29"/>
      <c r="AH613" s="29"/>
      <c r="AI613" s="29"/>
      <c r="AK613" s="29">
        <v>-36112</v>
      </c>
      <c r="AL613" s="29">
        <v>-3545</v>
      </c>
      <c r="AM613" s="29">
        <v>-3805</v>
      </c>
      <c r="AN613" s="29">
        <v>-4015</v>
      </c>
      <c r="AO613" s="29">
        <v>-4468</v>
      </c>
      <c r="AP613" s="29">
        <v>-4578</v>
      </c>
      <c r="AQ613" s="29">
        <v>-5180</v>
      </c>
      <c r="AR613" s="29">
        <v>-6385</v>
      </c>
      <c r="AS613" s="29">
        <v>-7455</v>
      </c>
      <c r="AT613" s="29">
        <v>-8879</v>
      </c>
      <c r="AU613" s="29">
        <v>-9882</v>
      </c>
      <c r="AV613" s="29">
        <v>-11006</v>
      </c>
      <c r="AW613" s="29">
        <v>-11845</v>
      </c>
      <c r="AY613" s="29">
        <v>-11006</v>
      </c>
      <c r="AZ613" s="29">
        <v>-11845</v>
      </c>
      <c r="BA613" s="29">
        <v>-12699</v>
      </c>
      <c r="BB613" s="29">
        <v>-13811</v>
      </c>
      <c r="BC613" s="11">
        <f t="shared" si="616"/>
        <v>-15137</v>
      </c>
      <c r="BD613" s="11">
        <f t="shared" si="617"/>
        <v>-16521</v>
      </c>
      <c r="BE613" s="11">
        <f t="shared" si="618"/>
        <v>-18135</v>
      </c>
      <c r="BF613" s="29"/>
    </row>
    <row r="614" spans="2:58">
      <c r="B614" t="s">
        <v>612</v>
      </c>
      <c r="D614" s="29">
        <v>0</v>
      </c>
      <c r="E614" s="29">
        <v>0</v>
      </c>
      <c r="F614" s="29">
        <v>0</v>
      </c>
      <c r="G614" s="29">
        <v>0</v>
      </c>
      <c r="H614" s="29">
        <v>0</v>
      </c>
      <c r="I614" s="29">
        <v>0</v>
      </c>
      <c r="J614" s="29">
        <v>0</v>
      </c>
      <c r="K614" s="11">
        <v>0</v>
      </c>
      <c r="L614" s="29">
        <v>0</v>
      </c>
      <c r="M614" s="29">
        <v>0</v>
      </c>
      <c r="N614" s="29">
        <v>0</v>
      </c>
      <c r="O614" s="11">
        <v>0</v>
      </c>
      <c r="P614" s="29">
        <v>0</v>
      </c>
      <c r="Q614" s="29">
        <v>0</v>
      </c>
      <c r="R614" s="29">
        <v>0</v>
      </c>
      <c r="S614" s="11">
        <f t="shared" si="619"/>
        <v>0</v>
      </c>
      <c r="T614" s="29">
        <v>0</v>
      </c>
      <c r="U614" s="29">
        <v>0</v>
      </c>
      <c r="V614" s="29">
        <v>0</v>
      </c>
      <c r="W614" s="29">
        <v>0</v>
      </c>
      <c r="X614" s="29">
        <v>0</v>
      </c>
      <c r="Y614" s="29">
        <v>0</v>
      </c>
      <c r="Z614" s="29">
        <v>0</v>
      </c>
      <c r="AA614" s="29">
        <v>0</v>
      </c>
      <c r="AB614" s="29">
        <v>0</v>
      </c>
      <c r="AC614" s="29">
        <v>0</v>
      </c>
      <c r="AD614" s="29">
        <v>0</v>
      </c>
      <c r="AE614" s="29">
        <v>0</v>
      </c>
      <c r="AF614" s="29">
        <v>0</v>
      </c>
      <c r="AG614" s="29"/>
      <c r="AK614" s="29">
        <v>0</v>
      </c>
      <c r="AL614" s="29">
        <v>89</v>
      </c>
      <c r="AM614" s="29">
        <v>77</v>
      </c>
      <c r="AN614" s="29">
        <v>120</v>
      </c>
      <c r="AO614" s="29">
        <v>52</v>
      </c>
      <c r="AP614" s="29">
        <v>45</v>
      </c>
      <c r="AQ614" s="29">
        <v>17</v>
      </c>
      <c r="AR614" s="29">
        <v>93</v>
      </c>
      <c r="AS614" s="29">
        <v>209</v>
      </c>
      <c r="AT614" s="29">
        <v>0</v>
      </c>
      <c r="AU614" s="29">
        <v>0</v>
      </c>
      <c r="AV614" s="29">
        <v>0</v>
      </c>
      <c r="AW614" s="29">
        <v>0</v>
      </c>
      <c r="AY614" s="29">
        <v>0</v>
      </c>
      <c r="AZ614" s="29">
        <v>0</v>
      </c>
      <c r="BA614" s="29">
        <v>0</v>
      </c>
      <c r="BB614" s="29">
        <v>0</v>
      </c>
      <c r="BC614" s="11">
        <f t="shared" si="616"/>
        <v>0</v>
      </c>
      <c r="BD614" s="11">
        <f t="shared" si="617"/>
        <v>0</v>
      </c>
      <c r="BE614" s="11">
        <f t="shared" si="618"/>
        <v>0</v>
      </c>
      <c r="BF614" s="29"/>
    </row>
    <row r="615" spans="2:58" ht="11.45">
      <c r="B615" t="s">
        <v>575</v>
      </c>
      <c r="D615" s="30">
        <v>-178</v>
      </c>
      <c r="E615" s="30">
        <v>-65</v>
      </c>
      <c r="F615" s="30">
        <v>-123</v>
      </c>
      <c r="G615" s="30">
        <v>-3</v>
      </c>
      <c r="H615" s="30">
        <v>-112</v>
      </c>
      <c r="I615" s="30">
        <v>312</v>
      </c>
      <c r="J615" s="30">
        <v>-375</v>
      </c>
      <c r="K615" s="34">
        <v>-15</v>
      </c>
      <c r="L615" s="30">
        <v>-150</v>
      </c>
      <c r="M615" s="30">
        <v>-156</v>
      </c>
      <c r="N615" s="30">
        <v>-640</v>
      </c>
      <c r="O615" s="34">
        <v>-25</v>
      </c>
      <c r="P615" s="30">
        <v>-780</v>
      </c>
      <c r="Q615" s="30">
        <v>-459</v>
      </c>
      <c r="R615" s="30">
        <v>404</v>
      </c>
      <c r="S615" s="34">
        <f t="shared" si="619"/>
        <v>160</v>
      </c>
      <c r="T615" s="30">
        <v>286</v>
      </c>
      <c r="U615" s="30">
        <v>-39</v>
      </c>
      <c r="V615" s="30">
        <v>-1052</v>
      </c>
      <c r="W615" s="30">
        <v>471</v>
      </c>
      <c r="X615" s="30">
        <v>-235</v>
      </c>
      <c r="Y615" s="30">
        <v>79</v>
      </c>
      <c r="Z615" s="30">
        <v>-183</v>
      </c>
      <c r="AA615" s="30">
        <v>-430</v>
      </c>
      <c r="AB615" s="30">
        <v>-172</v>
      </c>
      <c r="AC615" s="30">
        <v>-192</v>
      </c>
      <c r="AD615" s="30">
        <v>-158</v>
      </c>
      <c r="AE615" s="30">
        <v>-341</v>
      </c>
      <c r="AF615" s="30">
        <v>-264</v>
      </c>
      <c r="AG615" s="29"/>
      <c r="AH615" s="29"/>
      <c r="AI615" s="29"/>
      <c r="AK615" s="30">
        <v>-18</v>
      </c>
      <c r="AL615" s="30">
        <v>0</v>
      </c>
      <c r="AM615" s="30">
        <v>-23</v>
      </c>
      <c r="AN615" s="30">
        <v>0</v>
      </c>
      <c r="AO615" s="30">
        <v>-19</v>
      </c>
      <c r="AP615" s="30">
        <v>10</v>
      </c>
      <c r="AQ615" s="30">
        <v>-40</v>
      </c>
      <c r="AR615" s="30">
        <v>0</v>
      </c>
      <c r="AS615" s="30">
        <v>-10</v>
      </c>
      <c r="AT615" s="30">
        <v>-39</v>
      </c>
      <c r="AU615" s="30">
        <v>362</v>
      </c>
      <c r="AV615" s="30">
        <v>-369</v>
      </c>
      <c r="AW615" s="30">
        <v>-190</v>
      </c>
      <c r="AX615" s="953"/>
      <c r="AY615" s="30">
        <v>-369</v>
      </c>
      <c r="AZ615" s="30">
        <v>-190</v>
      </c>
      <c r="BA615" s="30">
        <v>-971</v>
      </c>
      <c r="BB615" s="30">
        <v>-675</v>
      </c>
      <c r="BC615" s="34">
        <f t="shared" si="616"/>
        <v>-334</v>
      </c>
      <c r="BD615" s="34">
        <f t="shared" si="617"/>
        <v>-769</v>
      </c>
      <c r="BE615" s="34">
        <f t="shared" si="618"/>
        <v>-863</v>
      </c>
      <c r="BF615" s="30"/>
    </row>
    <row r="616" spans="2:58" s="1" customFormat="1" ht="10.5">
      <c r="B616" s="837" t="s">
        <v>613</v>
      </c>
      <c r="D616" s="838">
        <f t="shared" ref="D616" si="620">SUM(D607:D615)</f>
        <v>-3930</v>
      </c>
      <c r="E616" s="838">
        <f t="shared" ref="E616:G616" si="621">SUM(E607:E615)</f>
        <v>-518</v>
      </c>
      <c r="F616" s="838">
        <f t="shared" si="621"/>
        <v>-4916</v>
      </c>
      <c r="G616" s="838">
        <f t="shared" si="621"/>
        <v>971</v>
      </c>
      <c r="H616" s="838">
        <f>SUM(H607:H615)</f>
        <v>14329</v>
      </c>
      <c r="I616" s="838">
        <f t="shared" ref="I616:AF616" si="622">SUM(I607:I615)</f>
        <v>3016</v>
      </c>
      <c r="J616" s="838">
        <f t="shared" si="622"/>
        <v>-6236</v>
      </c>
      <c r="K616" s="849">
        <f t="shared" si="622"/>
        <v>-2701</v>
      </c>
      <c r="L616" s="838">
        <f t="shared" si="622"/>
        <v>-6341</v>
      </c>
      <c r="M616" s="838">
        <f t="shared" si="622"/>
        <v>-1552</v>
      </c>
      <c r="N616" s="838">
        <f t="shared" si="622"/>
        <v>-19658</v>
      </c>
      <c r="O616" s="849">
        <f t="shared" si="622"/>
        <v>-6039</v>
      </c>
      <c r="P616" s="838">
        <f t="shared" si="622"/>
        <v>-7384</v>
      </c>
      <c r="Q616" s="838">
        <f t="shared" si="622"/>
        <v>-13216</v>
      </c>
      <c r="R616" s="838">
        <f t="shared" si="622"/>
        <v>-7601</v>
      </c>
      <c r="S616" s="849">
        <f t="shared" si="622"/>
        <v>-8686</v>
      </c>
      <c r="T616" s="838">
        <f t="shared" si="622"/>
        <v>-10209</v>
      </c>
      <c r="U616" s="838">
        <f t="shared" si="622"/>
        <v>-8915</v>
      </c>
      <c r="V616" s="838">
        <f t="shared" si="622"/>
        <v>-14645</v>
      </c>
      <c r="W616" s="838">
        <f t="shared" si="622"/>
        <v>-12262</v>
      </c>
      <c r="X616" s="838">
        <f t="shared" si="622"/>
        <v>-10289</v>
      </c>
      <c r="Y616" s="838">
        <f t="shared" si="622"/>
        <v>-13634</v>
      </c>
      <c r="Z616" s="838">
        <f t="shared" si="622"/>
        <v>-13192</v>
      </c>
      <c r="AA616" s="838">
        <f t="shared" si="622"/>
        <v>-11371</v>
      </c>
      <c r="AB616" s="838">
        <f t="shared" si="622"/>
        <v>-16276</v>
      </c>
      <c r="AC616" s="838">
        <f t="shared" si="622"/>
        <v>-11986</v>
      </c>
      <c r="AD616" s="838">
        <f t="shared" si="622"/>
        <v>-17345</v>
      </c>
      <c r="AE616" s="838">
        <f t="shared" si="622"/>
        <v>-13269</v>
      </c>
      <c r="AF616" s="838">
        <f t="shared" si="622"/>
        <v>-10883</v>
      </c>
      <c r="AG616" s="838"/>
      <c r="AH616" s="838"/>
      <c r="AI616" s="838"/>
      <c r="AK616" s="838">
        <f t="shared" ref="AK616:AW616" si="623">SUM(AK607:AK615)</f>
        <v>-41078</v>
      </c>
      <c r="AL616" s="838">
        <f t="shared" si="623"/>
        <v>-20562</v>
      </c>
      <c r="AM616" s="838">
        <f t="shared" si="623"/>
        <v>-24544</v>
      </c>
      <c r="AN616" s="838">
        <f t="shared" si="623"/>
        <v>-12934</v>
      </c>
      <c r="AO616" s="838">
        <f t="shared" si="623"/>
        <v>-7463</v>
      </c>
      <c r="AP616" s="838">
        <f t="shared" si="623"/>
        <v>-13291</v>
      </c>
      <c r="AQ616" s="838">
        <f t="shared" si="623"/>
        <v>-8376</v>
      </c>
      <c r="AR616" s="838">
        <f t="shared" si="623"/>
        <v>-9408</v>
      </c>
      <c r="AS616" s="838">
        <f t="shared" si="623"/>
        <v>-8148</v>
      </c>
      <c r="AT616" s="838">
        <f t="shared" si="623"/>
        <v>-8665</v>
      </c>
      <c r="AU616" s="838">
        <f t="shared" si="623"/>
        <v>-9668</v>
      </c>
      <c r="AV616" s="838">
        <f t="shared" si="623"/>
        <v>-8393</v>
      </c>
      <c r="AW616" s="838">
        <f t="shared" si="623"/>
        <v>8408</v>
      </c>
      <c r="AY616" s="838">
        <f>SUM(AY607:AY615)</f>
        <v>-8393</v>
      </c>
      <c r="AZ616" s="838">
        <f>SUM(AZ607:AZ615)</f>
        <v>8408</v>
      </c>
      <c r="BA616" s="838">
        <f>SUM(BA607:BA615)</f>
        <v>-33590</v>
      </c>
      <c r="BB616" s="838">
        <f>SUM(BB607:BB615)</f>
        <v>-36887</v>
      </c>
      <c r="BC616" s="838">
        <f>SUM(BC607:BC615)</f>
        <v>-46031</v>
      </c>
      <c r="BD616" s="849">
        <f t="shared" si="617"/>
        <v>-48486</v>
      </c>
      <c r="BE616" s="849">
        <f>+SUM(BE607:BE615)</f>
        <v>-58876</v>
      </c>
      <c r="BF616" s="838"/>
    </row>
    <row r="617" spans="2:58">
      <c r="K617" s="100"/>
      <c r="O617" s="100"/>
      <c r="S617" s="100"/>
      <c r="BC617" s="100"/>
      <c r="BD617" s="100"/>
    </row>
    <row r="618" spans="2:58" s="852" customFormat="1" ht="11.45">
      <c r="B618" t="s">
        <v>614</v>
      </c>
      <c r="D618" s="939">
        <v>-44</v>
      </c>
      <c r="E618" s="939">
        <v>-18</v>
      </c>
      <c r="F618" s="939">
        <v>17</v>
      </c>
      <c r="G618" s="939">
        <v>-22</v>
      </c>
      <c r="H618" s="939">
        <v>10</v>
      </c>
      <c r="I618" s="939">
        <v>-18</v>
      </c>
      <c r="J618" s="939">
        <v>12</v>
      </c>
      <c r="K618" s="940">
        <v>15</v>
      </c>
      <c r="L618" s="939">
        <v>26</v>
      </c>
      <c r="M618" s="939">
        <v>-17</v>
      </c>
      <c r="N618" s="939">
        <v>25</v>
      </c>
      <c r="O618" s="940">
        <v>16</v>
      </c>
      <c r="P618" s="939">
        <v>-129</v>
      </c>
      <c r="Q618" s="939">
        <v>17</v>
      </c>
      <c r="R618" s="939">
        <v>18</v>
      </c>
      <c r="S618" s="940">
        <f>+BB618-SUM(P618:R618)</f>
        <v>-21</v>
      </c>
      <c r="T618" s="939">
        <v>-72</v>
      </c>
      <c r="U618" s="939">
        <f>-118-V618-T618</f>
        <v>18</v>
      </c>
      <c r="V618" s="939">
        <v>-64</v>
      </c>
      <c r="W618" s="939">
        <v>-83</v>
      </c>
      <c r="X618" s="939">
        <v>-46</v>
      </c>
      <c r="Y618" s="939">
        <v>14</v>
      </c>
      <c r="Z618" s="939">
        <v>-33</v>
      </c>
      <c r="AA618" s="939">
        <v>36</v>
      </c>
      <c r="AB618" s="939">
        <v>-73</v>
      </c>
      <c r="AC618" s="939">
        <v>106</v>
      </c>
      <c r="AD618" s="939">
        <v>24</v>
      </c>
      <c r="AE618" s="939">
        <v>-198</v>
      </c>
      <c r="AF618" s="939">
        <v>-230</v>
      </c>
      <c r="AG618" s="939"/>
      <c r="AH618" s="939"/>
      <c r="AI618" s="939"/>
      <c r="AK618" s="939">
        <v>-7</v>
      </c>
      <c r="AL618" s="939">
        <v>18</v>
      </c>
      <c r="AM618" s="939">
        <v>56</v>
      </c>
      <c r="AN618" s="939">
        <v>137</v>
      </c>
      <c r="AO618" s="939">
        <v>-67</v>
      </c>
      <c r="AP618" s="939">
        <v>-39</v>
      </c>
      <c r="AQ618" s="939">
        <v>103</v>
      </c>
      <c r="AR618" s="939">
        <v>-104</v>
      </c>
      <c r="AS618" s="939">
        <v>-8</v>
      </c>
      <c r="AT618" s="939">
        <v>-139</v>
      </c>
      <c r="AU618" s="939">
        <v>-73</v>
      </c>
      <c r="AV618" s="939">
        <v>-67</v>
      </c>
      <c r="AW618" s="939">
        <v>19</v>
      </c>
      <c r="AY618" s="939">
        <v>-67</v>
      </c>
      <c r="AZ618" s="939">
        <v>19</v>
      </c>
      <c r="BA618" s="939">
        <v>50</v>
      </c>
      <c r="BB618" s="939">
        <v>-115</v>
      </c>
      <c r="BC618" s="940">
        <f>SUM(T618:W618)</f>
        <v>-201</v>
      </c>
      <c r="BD618" s="940">
        <f t="shared" ref="BD618:BD619" si="624">SUM(X618:AA618)</f>
        <v>-29</v>
      </c>
      <c r="BE618" s="34">
        <f t="shared" ref="BE618" si="625">+SUM(AB618:AE618)</f>
        <v>-141</v>
      </c>
      <c r="BF618" s="939"/>
    </row>
    <row r="619" spans="2:58" s="1" customFormat="1" ht="10.5">
      <c r="B619" s="837" t="s">
        <v>615</v>
      </c>
      <c r="D619" s="838">
        <f t="shared" ref="D619:AF619" si="626">+D595+D604+D616+D618</f>
        <v>-164</v>
      </c>
      <c r="E619" s="838">
        <f t="shared" si="626"/>
        <v>1754</v>
      </c>
      <c r="F619" s="838">
        <f t="shared" si="626"/>
        <v>-15</v>
      </c>
      <c r="G619" s="838">
        <f t="shared" si="626"/>
        <v>-660</v>
      </c>
      <c r="H619" s="838">
        <f t="shared" si="626"/>
        <v>7418</v>
      </c>
      <c r="I619" s="838">
        <f t="shared" si="626"/>
        <v>-5460</v>
      </c>
      <c r="J619" s="838">
        <f t="shared" si="626"/>
        <v>-1755</v>
      </c>
      <c r="K619" s="849">
        <f t="shared" si="626"/>
        <v>950</v>
      </c>
      <c r="L619" s="838">
        <f t="shared" si="626"/>
        <v>-779</v>
      </c>
      <c r="M619" s="838">
        <f t="shared" si="626"/>
        <v>5975</v>
      </c>
      <c r="N619" s="838">
        <f t="shared" si="626"/>
        <v>-3638</v>
      </c>
      <c r="O619" s="849">
        <f t="shared" si="626"/>
        <v>2725</v>
      </c>
      <c r="P619" s="838">
        <f t="shared" si="626"/>
        <v>3191</v>
      </c>
      <c r="Q619" s="838">
        <f t="shared" si="626"/>
        <v>-8499</v>
      </c>
      <c r="R619" s="838">
        <f t="shared" si="626"/>
        <v>4574</v>
      </c>
      <c r="S619" s="849">
        <f t="shared" si="626"/>
        <v>144</v>
      </c>
      <c r="T619" s="838">
        <f t="shared" si="626"/>
        <v>1761</v>
      </c>
      <c r="U619" s="838">
        <f t="shared" si="626"/>
        <v>-4253</v>
      </c>
      <c r="V619" s="838">
        <f t="shared" si="626"/>
        <v>2846</v>
      </c>
      <c r="W619" s="838">
        <f t="shared" si="626"/>
        <v>1866</v>
      </c>
      <c r="X619" s="838">
        <f t="shared" si="626"/>
        <v>3629</v>
      </c>
      <c r="Y619" s="838">
        <f t="shared" si="626"/>
        <v>-2773</v>
      </c>
      <c r="Z619" s="838">
        <f t="shared" si="626"/>
        <v>-730</v>
      </c>
      <c r="AA619" s="838">
        <f t="shared" si="626"/>
        <v>522</v>
      </c>
      <c r="AB619" s="838">
        <f t="shared" si="626"/>
        <v>4941</v>
      </c>
      <c r="AC619" s="838">
        <f t="shared" si="626"/>
        <v>1439</v>
      </c>
      <c r="AD619" s="838">
        <f t="shared" si="626"/>
        <v>-8106</v>
      </c>
      <c r="AE619" s="838">
        <f t="shared" si="626"/>
        <v>1433</v>
      </c>
      <c r="AF619" s="838">
        <f t="shared" si="626"/>
        <v>8953</v>
      </c>
      <c r="AG619" s="838"/>
      <c r="AH619" s="838"/>
      <c r="AI619" s="838"/>
      <c r="AK619" s="838">
        <f t="shared" ref="AK619:AW619" si="627">+AK595+AK604+AK616+AK618</f>
        <v>-9453</v>
      </c>
      <c r="AL619" s="838">
        <f t="shared" si="627"/>
        <v>1863</v>
      </c>
      <c r="AM619" s="838">
        <f t="shared" si="627"/>
        <v>-603</v>
      </c>
      <c r="AN619" s="838">
        <f t="shared" si="627"/>
        <v>4228</v>
      </c>
      <c r="AO619" s="838">
        <f t="shared" si="627"/>
        <v>-4263</v>
      </c>
      <c r="AP619" s="838">
        <f t="shared" si="627"/>
        <v>-571</v>
      </c>
      <c r="AQ619" s="838">
        <f t="shared" si="627"/>
        <v>4105</v>
      </c>
      <c r="AR619" s="838">
        <f t="shared" si="627"/>
        <v>-2672</v>
      </c>
      <c r="AS619" s="838">
        <f t="shared" si="627"/>
        <v>-3134</v>
      </c>
      <c r="AT619" s="838">
        <f t="shared" si="627"/>
        <v>4865</v>
      </c>
      <c r="AU619" s="838">
        <f t="shared" si="627"/>
        <v>-3074</v>
      </c>
      <c r="AV619" s="838">
        <f t="shared" si="627"/>
        <v>915</v>
      </c>
      <c r="AW619" s="838">
        <f t="shared" si="627"/>
        <v>1153</v>
      </c>
      <c r="AY619" s="838">
        <f>+AY595+AY604+AY616+AY618</f>
        <v>915</v>
      </c>
      <c r="AZ619" s="838">
        <f>+AZ595+AZ604+AZ616+AZ618</f>
        <v>1153</v>
      </c>
      <c r="BA619" s="838">
        <f>+BA595+BA604+BA616+BA618</f>
        <v>4283</v>
      </c>
      <c r="BB619" s="838">
        <f>+BB595+BB604+BB616+BB618</f>
        <v>-590</v>
      </c>
      <c r="BC619" s="838">
        <f>+BC595+BC604+BC616+BC618</f>
        <v>2220</v>
      </c>
      <c r="BD619" s="849">
        <f t="shared" si="624"/>
        <v>648</v>
      </c>
      <c r="BE619" s="838">
        <f t="shared" ref="BE619" si="628">+BE595+BE604+BE616+BE618</f>
        <v>-293</v>
      </c>
      <c r="BF619" s="838"/>
    </row>
    <row r="620" spans="2:58">
      <c r="K620" s="100"/>
      <c r="O620" s="100"/>
      <c r="S620" s="100"/>
      <c r="BB620" s="8"/>
      <c r="BD620" s="100"/>
    </row>
    <row r="621" spans="2:58">
      <c r="B621" s="954" t="s">
        <v>127</v>
      </c>
      <c r="K621" s="100"/>
      <c r="O621" s="100"/>
      <c r="S621" s="100"/>
      <c r="BB621" s="8"/>
      <c r="BC621" s="8"/>
      <c r="BD621" s="100"/>
    </row>
    <row r="622" spans="2:58">
      <c r="B622" s="843" t="s">
        <v>616</v>
      </c>
      <c r="D622" s="41" t="s">
        <v>273</v>
      </c>
      <c r="E622" s="41" t="s">
        <v>273</v>
      </c>
      <c r="F622" s="41" t="s">
        <v>273</v>
      </c>
      <c r="G622" s="41" t="s">
        <v>273</v>
      </c>
      <c r="H622" s="41" t="s">
        <v>273</v>
      </c>
      <c r="I622" s="41" t="s">
        <v>273</v>
      </c>
      <c r="J622" s="41" t="s">
        <v>273</v>
      </c>
      <c r="K622" s="955" t="s">
        <v>273</v>
      </c>
      <c r="L622" s="41" t="s">
        <v>273</v>
      </c>
      <c r="M622" s="41" t="s">
        <v>273</v>
      </c>
      <c r="N622" s="41" t="s">
        <v>273</v>
      </c>
      <c r="O622" s="955" t="s">
        <v>273</v>
      </c>
      <c r="P622" s="41" t="s">
        <v>273</v>
      </c>
      <c r="Q622" s="41" t="s">
        <v>273</v>
      </c>
      <c r="R622" s="41" t="s">
        <v>273</v>
      </c>
      <c r="S622" s="955" t="s">
        <v>273</v>
      </c>
      <c r="T622" s="41" t="s">
        <v>273</v>
      </c>
      <c r="U622" s="41" t="s">
        <v>273</v>
      </c>
      <c r="V622" s="41" t="s">
        <v>273</v>
      </c>
      <c r="W622" s="41" t="s">
        <v>273</v>
      </c>
      <c r="X622" s="41" t="s">
        <v>273</v>
      </c>
      <c r="Y622" s="41" t="s">
        <v>273</v>
      </c>
      <c r="Z622" s="41" t="s">
        <v>273</v>
      </c>
      <c r="AA622" s="41" t="s">
        <v>273</v>
      </c>
      <c r="AB622" s="41" t="s">
        <v>273</v>
      </c>
      <c r="AC622" s="41" t="s">
        <v>273</v>
      </c>
      <c r="AD622" s="41" t="s">
        <v>273</v>
      </c>
      <c r="AE622" s="41" t="s">
        <v>273</v>
      </c>
      <c r="AF622" s="41" t="s">
        <v>273</v>
      </c>
      <c r="AK622" s="29">
        <v>0</v>
      </c>
      <c r="AL622" s="29">
        <v>0</v>
      </c>
      <c r="AM622" s="29">
        <v>0</v>
      </c>
      <c r="AN622" s="29">
        <v>0</v>
      </c>
      <c r="AO622" s="29">
        <v>0</v>
      </c>
      <c r="AP622" s="29">
        <v>145</v>
      </c>
      <c r="AQ622" s="29">
        <v>197</v>
      </c>
      <c r="AR622" s="29">
        <v>344</v>
      </c>
      <c r="AS622" s="29">
        <v>371</v>
      </c>
      <c r="AT622" s="29">
        <v>509</v>
      </c>
      <c r="AU622" s="29">
        <v>620</v>
      </c>
      <c r="AV622" s="29">
        <v>1100</v>
      </c>
      <c r="AW622" s="29">
        <v>1600</v>
      </c>
      <c r="AY622" s="8">
        <f>+AV622</f>
        <v>1100</v>
      </c>
      <c r="AZ622" s="8">
        <f>+AW622</f>
        <v>1600</v>
      </c>
      <c r="BA622" s="29">
        <v>2400</v>
      </c>
      <c r="BB622" s="29">
        <v>2400</v>
      </c>
      <c r="BC622" s="956" t="s">
        <v>273</v>
      </c>
      <c r="BD622" s="956" t="s">
        <v>273</v>
      </c>
      <c r="BE622" s="956" t="s">
        <v>273</v>
      </c>
      <c r="BF622" s="8"/>
    </row>
    <row r="623" spans="2:58">
      <c r="B623" s="843" t="s">
        <v>617</v>
      </c>
      <c r="D623" s="41" t="s">
        <v>273</v>
      </c>
      <c r="E623" s="41" t="s">
        <v>273</v>
      </c>
      <c r="F623" s="41" t="s">
        <v>273</v>
      </c>
      <c r="G623" s="41" t="s">
        <v>273</v>
      </c>
      <c r="H623" s="41" t="s">
        <v>273</v>
      </c>
      <c r="I623" s="41" t="s">
        <v>273</v>
      </c>
      <c r="J623" s="41" t="s">
        <v>273</v>
      </c>
      <c r="K623" s="955" t="s">
        <v>273</v>
      </c>
      <c r="L623" s="41" t="s">
        <v>273</v>
      </c>
      <c r="M623" s="41" t="s">
        <v>273</v>
      </c>
      <c r="N623" s="41" t="s">
        <v>273</v>
      </c>
      <c r="O623" s="955" t="s">
        <v>273</v>
      </c>
      <c r="P623" s="41" t="s">
        <v>273</v>
      </c>
      <c r="Q623" s="41" t="s">
        <v>273</v>
      </c>
      <c r="R623" s="41" t="s">
        <v>273</v>
      </c>
      <c r="S623" s="955" t="s">
        <v>273</v>
      </c>
      <c r="T623" s="41" t="s">
        <v>273</v>
      </c>
      <c r="U623" s="41" t="s">
        <v>273</v>
      </c>
      <c r="V623" s="41" t="s">
        <v>273</v>
      </c>
      <c r="W623" s="41" t="s">
        <v>273</v>
      </c>
      <c r="X623" s="41" t="s">
        <v>273</v>
      </c>
      <c r="Y623" s="41" t="s">
        <v>273</v>
      </c>
      <c r="Z623" s="41" t="s">
        <v>273</v>
      </c>
      <c r="AA623" s="41" t="s">
        <v>273</v>
      </c>
      <c r="AB623" s="41" t="s">
        <v>273</v>
      </c>
      <c r="AC623" s="41" t="s">
        <v>273</v>
      </c>
      <c r="AD623" s="41" t="s">
        <v>273</v>
      </c>
      <c r="AE623" s="41" t="s">
        <v>273</v>
      </c>
      <c r="AF623" s="41" t="s">
        <v>273</v>
      </c>
      <c r="AK623" s="29">
        <v>4330</v>
      </c>
      <c r="AL623" s="29">
        <v>4800</v>
      </c>
      <c r="AM623" s="29">
        <v>5200</v>
      </c>
      <c r="AN623" s="29">
        <v>5400</v>
      </c>
      <c r="AO623" s="29">
        <v>6600</v>
      </c>
      <c r="AP623" s="29">
        <v>4100</v>
      </c>
      <c r="AQ623" s="29">
        <v>5300</v>
      </c>
      <c r="AR623" s="29">
        <v>3500</v>
      </c>
      <c r="AS623" s="29">
        <v>3900</v>
      </c>
      <c r="AT623" s="29">
        <v>5500</v>
      </c>
      <c r="AU623" s="29">
        <v>4400</v>
      </c>
      <c r="AV623" s="29">
        <v>3900</v>
      </c>
      <c r="AW623" s="29">
        <v>2400</v>
      </c>
      <c r="AY623" s="8">
        <f>+AV623</f>
        <v>3900</v>
      </c>
      <c r="AZ623" s="8">
        <f>+AW623</f>
        <v>2400</v>
      </c>
      <c r="BA623" s="29">
        <v>5500</v>
      </c>
      <c r="BB623" s="29">
        <v>8400</v>
      </c>
      <c r="BC623" s="29">
        <v>12500</v>
      </c>
      <c r="BD623" s="29">
        <v>13400</v>
      </c>
      <c r="BE623" s="29">
        <v>16000</v>
      </c>
      <c r="BF623" s="8"/>
    </row>
    <row r="624" spans="2:58">
      <c r="K624" s="100"/>
      <c r="O624" s="100"/>
      <c r="S624" s="11"/>
      <c r="BA624" s="8"/>
      <c r="BC624" s="8"/>
      <c r="BD624" s="100"/>
    </row>
    <row r="625" spans="2:58" s="100" customFormat="1" ht="10.5">
      <c r="B625" s="958" t="s">
        <v>618</v>
      </c>
    </row>
    <row r="626" spans="2:58" s="100" customFormat="1">
      <c r="B626" s="100" t="s">
        <v>619</v>
      </c>
      <c r="D626" s="11"/>
      <c r="E626" s="11"/>
      <c r="F626" s="11"/>
      <c r="G626" s="11"/>
      <c r="H626" s="11">
        <f t="shared" ref="H626:AF626" si="629">+H87</f>
        <v>3953.55</v>
      </c>
      <c r="I626" s="11">
        <f t="shared" si="629"/>
        <v>4880.3</v>
      </c>
      <c r="J626" s="11">
        <f t="shared" si="629"/>
        <v>4964.1000000000004</v>
      </c>
      <c r="K626" s="11">
        <f t="shared" si="629"/>
        <v>4414.6000000000004</v>
      </c>
      <c r="L626" s="11">
        <f t="shared" si="629"/>
        <v>4988.6000000000004</v>
      </c>
      <c r="M626" s="11">
        <f t="shared" si="629"/>
        <v>5195.8500000000004</v>
      </c>
      <c r="N626" s="11">
        <f t="shared" si="629"/>
        <v>6036.39</v>
      </c>
      <c r="O626" s="11">
        <f t="shared" si="629"/>
        <v>6853.2000000000007</v>
      </c>
      <c r="P626" s="11">
        <f t="shared" si="629"/>
        <v>6611.59</v>
      </c>
      <c r="Q626" s="11">
        <f t="shared" si="629"/>
        <v>7299.15</v>
      </c>
      <c r="R626" s="11">
        <f t="shared" si="629"/>
        <v>7809.9400000000005</v>
      </c>
      <c r="S626" s="11">
        <f t="shared" si="629"/>
        <v>7574.84</v>
      </c>
      <c r="T626" s="11">
        <f t="shared" si="629"/>
        <v>8192.94</v>
      </c>
      <c r="U626" s="11">
        <f t="shared" si="629"/>
        <v>9830.15</v>
      </c>
      <c r="V626" s="11">
        <f t="shared" si="629"/>
        <v>9363.9700000000012</v>
      </c>
      <c r="W626" s="11">
        <f t="shared" si="629"/>
        <v>8307.380000000001</v>
      </c>
      <c r="X626" s="11">
        <f t="shared" si="629"/>
        <v>9882.9599999999991</v>
      </c>
      <c r="Y626" s="11">
        <f t="shared" si="629"/>
        <v>11847.23</v>
      </c>
      <c r="Z626" s="11">
        <f t="shared" si="629"/>
        <v>10552.44</v>
      </c>
      <c r="AA626" s="11">
        <f t="shared" si="629"/>
        <v>11373.95</v>
      </c>
      <c r="AB626" s="11">
        <f t="shared" si="629"/>
        <v>12025.96</v>
      </c>
      <c r="AC626" s="11">
        <f t="shared" si="629"/>
        <v>14482.85</v>
      </c>
      <c r="AD626" s="11">
        <f t="shared" si="629"/>
        <v>13423.1</v>
      </c>
      <c r="AE626" s="11">
        <f t="shared" si="629"/>
        <v>11463.73</v>
      </c>
      <c r="AF626" s="11">
        <f t="shared" si="629"/>
        <v>13231.880000000001</v>
      </c>
      <c r="AG626" s="11"/>
      <c r="AH626" s="11"/>
      <c r="AI626" s="11"/>
      <c r="AK626" s="11"/>
      <c r="AL626" s="11"/>
      <c r="AM626" s="11">
        <f t="shared" ref="AM626:AW626" si="630">+AM87</f>
        <v>12241.650000000001</v>
      </c>
      <c r="AN626" s="11">
        <f t="shared" si="630"/>
        <v>14353.1</v>
      </c>
      <c r="AO626" s="11">
        <f t="shared" si="630"/>
        <v>12326.650000000001</v>
      </c>
      <c r="AP626" s="11">
        <f t="shared" si="630"/>
        <v>16954.45</v>
      </c>
      <c r="AQ626" s="11">
        <f t="shared" si="630"/>
        <v>18657.150000000001</v>
      </c>
      <c r="AR626" s="11">
        <f t="shared" si="630"/>
        <v>19701</v>
      </c>
      <c r="AS626" s="11">
        <f t="shared" si="630"/>
        <v>17018.25</v>
      </c>
      <c r="AT626" s="11">
        <f t="shared" si="630"/>
        <v>17892.550000000003</v>
      </c>
      <c r="AU626" s="11">
        <f t="shared" si="630"/>
        <v>18549.7</v>
      </c>
      <c r="AV626" s="11">
        <f t="shared" si="630"/>
        <v>18484.95</v>
      </c>
      <c r="AW626" s="11">
        <f t="shared" si="630"/>
        <v>19460.849999999999</v>
      </c>
      <c r="AY626" s="11">
        <f t="shared" ref="AY626:BE626" si="631">+AY87</f>
        <v>15108.85</v>
      </c>
      <c r="AZ626" s="11">
        <f t="shared" si="631"/>
        <v>18212.550000000003</v>
      </c>
      <c r="BA626" s="11">
        <f t="shared" si="631"/>
        <v>23074.04</v>
      </c>
      <c r="BB626" s="11">
        <f t="shared" si="631"/>
        <v>29295.52</v>
      </c>
      <c r="BC626" s="11">
        <f t="shared" si="631"/>
        <v>35694.44</v>
      </c>
      <c r="BD626" s="11">
        <f t="shared" si="631"/>
        <v>43656.58</v>
      </c>
      <c r="BE626" s="11">
        <f t="shared" si="631"/>
        <v>51395.64</v>
      </c>
      <c r="BF626" s="11"/>
    </row>
    <row r="627" spans="2:58" s="100" customFormat="1">
      <c r="B627" s="100" t="s">
        <v>144</v>
      </c>
      <c r="D627" s="11"/>
      <c r="E627" s="11"/>
      <c r="F627" s="11"/>
      <c r="G627" s="11"/>
      <c r="H627" s="11">
        <f t="shared" ref="H627:AF627" si="632">+H582</f>
        <v>703</v>
      </c>
      <c r="I627" s="11">
        <f t="shared" si="632"/>
        <v>767</v>
      </c>
      <c r="J627" s="11">
        <f t="shared" si="632"/>
        <v>883</v>
      </c>
      <c r="K627" s="11">
        <f t="shared" si="632"/>
        <v>913</v>
      </c>
      <c r="L627" s="11">
        <f t="shared" si="632"/>
        <v>973</v>
      </c>
      <c r="M627" s="11">
        <f t="shared" si="632"/>
        <v>986</v>
      </c>
      <c r="N627" s="11">
        <f t="shared" si="632"/>
        <v>969</v>
      </c>
      <c r="O627" s="11">
        <f t="shared" si="632"/>
        <v>1012</v>
      </c>
      <c r="P627" s="11">
        <f t="shared" si="632"/>
        <v>1107</v>
      </c>
      <c r="Q627" s="11">
        <f t="shared" si="632"/>
        <v>1183</v>
      </c>
      <c r="R627" s="11">
        <f t="shared" si="632"/>
        <v>1172</v>
      </c>
      <c r="S627" s="11">
        <f t="shared" si="632"/>
        <v>1190</v>
      </c>
      <c r="T627" s="11">
        <f t="shared" si="632"/>
        <v>1262</v>
      </c>
      <c r="U627" s="11">
        <f t="shared" si="632"/>
        <v>1340</v>
      </c>
      <c r="V627" s="11">
        <f t="shared" si="632"/>
        <v>1338</v>
      </c>
      <c r="W627" s="11">
        <f t="shared" si="632"/>
        <v>1349</v>
      </c>
      <c r="X627" s="11">
        <f t="shared" si="632"/>
        <v>1456</v>
      </c>
      <c r="Y627" s="11">
        <f t="shared" si="632"/>
        <v>1566</v>
      </c>
      <c r="Z627" s="11">
        <f t="shared" si="632"/>
        <v>1525</v>
      </c>
      <c r="AA627" s="11">
        <f t="shared" si="632"/>
        <v>1571</v>
      </c>
      <c r="AB627" s="11">
        <f t="shared" si="632"/>
        <v>1702</v>
      </c>
      <c r="AC627" s="11">
        <f t="shared" si="632"/>
        <v>1897</v>
      </c>
      <c r="AD627" s="11">
        <f t="shared" si="632"/>
        <v>1906</v>
      </c>
      <c r="AE627" s="11">
        <f t="shared" si="632"/>
        <v>1997</v>
      </c>
      <c r="AF627" s="11">
        <f t="shared" si="632"/>
        <v>2192</v>
      </c>
      <c r="AG627" s="11"/>
      <c r="AH627" s="11"/>
      <c r="AI627" s="11"/>
      <c r="AK627" s="11"/>
      <c r="AL627" s="11"/>
      <c r="AM627" s="11">
        <f t="shared" ref="AM627:AW627" si="633">+AM582</f>
        <v>1550</v>
      </c>
      <c r="AN627" s="11">
        <f t="shared" si="633"/>
        <v>1479</v>
      </c>
      <c r="AO627" s="11">
        <f t="shared" si="633"/>
        <v>1708</v>
      </c>
      <c r="AP627" s="11">
        <f t="shared" si="633"/>
        <v>1891</v>
      </c>
      <c r="AQ627" s="11">
        <f t="shared" si="633"/>
        <v>2166</v>
      </c>
      <c r="AR627" s="11">
        <f t="shared" si="633"/>
        <v>2244</v>
      </c>
      <c r="AS627" s="11">
        <f t="shared" si="633"/>
        <v>2406</v>
      </c>
      <c r="AT627" s="11">
        <f t="shared" si="633"/>
        <v>2446</v>
      </c>
      <c r="AU627" s="11">
        <f t="shared" si="633"/>
        <v>2574</v>
      </c>
      <c r="AV627" s="11">
        <f t="shared" si="633"/>
        <v>2668</v>
      </c>
      <c r="AW627" s="11">
        <f t="shared" si="633"/>
        <v>3266</v>
      </c>
      <c r="AY627" s="11">
        <f t="shared" ref="AY627:BE627" si="634">+AY582</f>
        <v>2668</v>
      </c>
      <c r="AZ627" s="11">
        <f t="shared" si="634"/>
        <v>3266</v>
      </c>
      <c r="BA627" s="11">
        <f t="shared" si="634"/>
        <v>3940</v>
      </c>
      <c r="BB627" s="11">
        <f t="shared" si="634"/>
        <v>4652</v>
      </c>
      <c r="BC627" s="11">
        <f t="shared" si="634"/>
        <v>5289</v>
      </c>
      <c r="BD627" s="11">
        <f t="shared" si="634"/>
        <v>6118</v>
      </c>
      <c r="BE627" s="11">
        <f t="shared" si="634"/>
        <v>7502</v>
      </c>
      <c r="BF627" s="11"/>
    </row>
    <row r="628" spans="2:58" s="100" customFormat="1">
      <c r="B628" s="100" t="s">
        <v>317</v>
      </c>
      <c r="D628" s="11"/>
      <c r="E628" s="11"/>
      <c r="F628" s="11"/>
      <c r="G628" s="11"/>
      <c r="H628" s="857" t="s">
        <v>273</v>
      </c>
      <c r="I628" s="857" t="s">
        <v>273</v>
      </c>
      <c r="J628" s="857" t="s">
        <v>273</v>
      </c>
      <c r="K628" s="857" t="s">
        <v>273</v>
      </c>
      <c r="L628" s="857" t="s">
        <v>273</v>
      </c>
      <c r="M628" s="857" t="s">
        <v>273</v>
      </c>
      <c r="N628" s="857" t="s">
        <v>273</v>
      </c>
      <c r="O628" s="857" t="s">
        <v>273</v>
      </c>
      <c r="P628" s="857" t="s">
        <v>273</v>
      </c>
      <c r="Q628" s="857" t="s">
        <v>273</v>
      </c>
      <c r="R628" s="857" t="s">
        <v>273</v>
      </c>
      <c r="S628" s="857" t="s">
        <v>273</v>
      </c>
      <c r="T628" s="857" t="s">
        <v>273</v>
      </c>
      <c r="U628" s="857" t="s">
        <v>273</v>
      </c>
      <c r="V628" s="857" t="s">
        <v>273</v>
      </c>
      <c r="W628" s="857" t="s">
        <v>273</v>
      </c>
      <c r="X628" s="857" t="s">
        <v>273</v>
      </c>
      <c r="Y628" s="857" t="s">
        <v>273</v>
      </c>
      <c r="Z628" s="857" t="s">
        <v>273</v>
      </c>
      <c r="AA628" s="857" t="s">
        <v>273</v>
      </c>
      <c r="AB628" s="857" t="s">
        <v>273</v>
      </c>
      <c r="AC628" s="857" t="s">
        <v>273</v>
      </c>
      <c r="AD628" s="857" t="s">
        <v>273</v>
      </c>
      <c r="AE628" s="857" t="s">
        <v>273</v>
      </c>
      <c r="AF628" s="857" t="s">
        <v>273</v>
      </c>
      <c r="AG628" s="11"/>
      <c r="AH628" s="11"/>
      <c r="AI628" s="11"/>
      <c r="AK628" s="11"/>
      <c r="AL628" s="11"/>
      <c r="AM628" s="11">
        <f t="shared" ref="AM628:AW628" si="635">AM92</f>
        <v>1835.3499999999995</v>
      </c>
      <c r="AN628" s="11">
        <f t="shared" si="635"/>
        <v>2934.8999999999996</v>
      </c>
      <c r="AO628" s="11">
        <f t="shared" si="635"/>
        <v>337.34999999999945</v>
      </c>
      <c r="AP628" s="11">
        <f t="shared" si="635"/>
        <v>4654.5499999999993</v>
      </c>
      <c r="AQ628" s="11">
        <f t="shared" si="635"/>
        <v>4524.8499999999985</v>
      </c>
      <c r="AR628" s="11">
        <f t="shared" si="635"/>
        <v>6461</v>
      </c>
      <c r="AS628" s="11">
        <f t="shared" si="635"/>
        <v>5824.75</v>
      </c>
      <c r="AT628" s="11">
        <f t="shared" si="635"/>
        <v>4281.4499999999989</v>
      </c>
      <c r="AU628" s="11">
        <f t="shared" si="635"/>
        <v>5581.2999999999993</v>
      </c>
      <c r="AV628" s="11">
        <f t="shared" si="635"/>
        <v>3703.0499999999993</v>
      </c>
      <c r="AW628" s="11">
        <f t="shared" si="635"/>
        <v>5233.1499999999996</v>
      </c>
      <c r="AY628" s="11">
        <f t="shared" ref="AY628:BE628" si="636">AY92</f>
        <v>5462.15</v>
      </c>
      <c r="AZ628" s="11">
        <f t="shared" si="636"/>
        <v>8172.4499999999989</v>
      </c>
      <c r="BA628" s="11">
        <f t="shared" si="636"/>
        <v>4560.9599999999991</v>
      </c>
      <c r="BB628" s="11">
        <f t="shared" si="636"/>
        <v>774.47999999999956</v>
      </c>
      <c r="BC628" s="11">
        <f t="shared" si="636"/>
        <v>-1362.4400000000023</v>
      </c>
      <c r="BD628" s="11">
        <f t="shared" si="636"/>
        <v>1531.4199999999983</v>
      </c>
      <c r="BE628" s="11">
        <f t="shared" si="636"/>
        <v>1580.3599999999969</v>
      </c>
      <c r="BF628" s="11"/>
    </row>
    <row r="629" spans="2:58" s="852" customFormat="1">
      <c r="B629" t="s">
        <v>200</v>
      </c>
      <c r="D629" s="939"/>
      <c r="E629" s="939"/>
      <c r="F629" s="939"/>
      <c r="G629" s="939"/>
      <c r="H629" s="940">
        <f>+H630-H627-H626</f>
        <v>4592.45</v>
      </c>
      <c r="I629" s="940">
        <f t="shared" ref="I629:AF629" si="637">+I630-I627-I626</f>
        <v>-1854.3000000000002</v>
      </c>
      <c r="J629" s="940">
        <f t="shared" si="637"/>
        <v>2712.8999999999996</v>
      </c>
      <c r="K629" s="940">
        <f t="shared" si="637"/>
        <v>2377.3999999999996</v>
      </c>
      <c r="L629" s="940">
        <f t="shared" si="637"/>
        <v>3778.3999999999996</v>
      </c>
      <c r="M629" s="940">
        <f t="shared" si="637"/>
        <v>-1606.8500000000004</v>
      </c>
      <c r="N629" s="940">
        <f t="shared" si="637"/>
        <v>1645.6099999999997</v>
      </c>
      <c r="O629" s="940">
        <f t="shared" si="637"/>
        <v>-547.20000000000073</v>
      </c>
      <c r="P629" s="940">
        <f t="shared" si="637"/>
        <v>1638.4099999999999</v>
      </c>
      <c r="Q629" s="940">
        <f t="shared" si="637"/>
        <v>-3482.1499999999996</v>
      </c>
      <c r="R629" s="940">
        <f t="shared" si="637"/>
        <v>1138.0599999999995</v>
      </c>
      <c r="S629" s="940">
        <f t="shared" si="637"/>
        <v>2043.1599999999999</v>
      </c>
      <c r="T629" s="940">
        <f t="shared" si="637"/>
        <v>-436.94000000000051</v>
      </c>
      <c r="U629" s="940">
        <f t="shared" si="637"/>
        <v>-4990.1499999999996</v>
      </c>
      <c r="V629" s="940">
        <f t="shared" si="637"/>
        <v>2902.0299999999988</v>
      </c>
      <c r="W629" s="940">
        <f t="shared" si="637"/>
        <v>3216.619999999999</v>
      </c>
      <c r="X629" s="940">
        <f t="shared" si="637"/>
        <v>2496.0400000000009</v>
      </c>
      <c r="Y629" s="940">
        <f t="shared" si="637"/>
        <v>-6297.23</v>
      </c>
      <c r="Z629" s="940">
        <f t="shared" si="637"/>
        <v>4101.5599999999995</v>
      </c>
      <c r="AA629" s="940">
        <f t="shared" si="637"/>
        <v>2465.0499999999993</v>
      </c>
      <c r="AB629" s="940">
        <f t="shared" si="637"/>
        <v>3412.0400000000009</v>
      </c>
      <c r="AC629" s="940">
        <f t="shared" si="637"/>
        <v>-8699.85</v>
      </c>
      <c r="AD629" s="940">
        <f t="shared" si="637"/>
        <v>3756.8999999999996</v>
      </c>
      <c r="AE629" s="940">
        <f t="shared" si="637"/>
        <v>2468.2700000000004</v>
      </c>
      <c r="AF629" s="940">
        <f t="shared" si="637"/>
        <v>1174.119999999999</v>
      </c>
      <c r="AG629" s="939"/>
      <c r="AH629" s="939"/>
      <c r="AI629" s="939"/>
      <c r="AK629" s="939"/>
      <c r="AL629" s="939"/>
      <c r="AM629" s="940">
        <f>+AM630-AM627-AM626-AM628</f>
        <v>-95.000000000000909</v>
      </c>
      <c r="AN629" s="940">
        <f t="shared" ref="AN629:AW629" si="638">+AN630-AN627-AN626-AN628</f>
        <v>-337</v>
      </c>
      <c r="AO629" s="940">
        <f t="shared" si="638"/>
        <v>1545.9999999999991</v>
      </c>
      <c r="AP629" s="940">
        <f t="shared" si="638"/>
        <v>-1404</v>
      </c>
      <c r="AQ629" s="940">
        <f t="shared" si="638"/>
        <v>-709</v>
      </c>
      <c r="AR629" s="940">
        <f t="shared" si="638"/>
        <v>915</v>
      </c>
      <c r="AS629" s="940">
        <f t="shared" si="638"/>
        <v>-673</v>
      </c>
      <c r="AT629" s="940">
        <f t="shared" si="638"/>
        <v>2396.9999999999982</v>
      </c>
      <c r="AU629" s="940">
        <f t="shared" si="638"/>
        <v>-2981</v>
      </c>
      <c r="AV629" s="940">
        <f t="shared" si="638"/>
        <v>-431</v>
      </c>
      <c r="AW629" s="940">
        <f t="shared" si="638"/>
        <v>1347.0000000000018</v>
      </c>
      <c r="AY629" s="940">
        <f>+AY630-AY627-AY626-AY628</f>
        <v>1186</v>
      </c>
      <c r="AZ629" s="940">
        <f t="shared" ref="AZ629:BC629" si="639">+AZ630-AZ627-AZ626-AZ628</f>
        <v>-344.00000000000182</v>
      </c>
      <c r="BA629" s="940">
        <f t="shared" si="639"/>
        <v>-1291</v>
      </c>
      <c r="BB629" s="940">
        <f t="shared" si="639"/>
        <v>563</v>
      </c>
      <c r="BC629" s="940">
        <f t="shared" si="639"/>
        <v>2054</v>
      </c>
      <c r="BD629" s="940">
        <f t="shared" ref="BD629:BE629" si="640">+BD630-BD627-BD626</f>
        <v>2765.4199999999983</v>
      </c>
      <c r="BE629" s="940">
        <f t="shared" si="640"/>
        <v>937.36000000000058</v>
      </c>
      <c r="BF629" s="939"/>
    </row>
    <row r="630" spans="2:58" s="1" customFormat="1" ht="10.5">
      <c r="B630" s="837" t="s">
        <v>147</v>
      </c>
      <c r="D630" s="838"/>
      <c r="E630" s="838"/>
      <c r="F630" s="838"/>
      <c r="G630" s="838"/>
      <c r="H630" s="838">
        <f t="shared" ref="H630:AF630" si="641">+H595-H635</f>
        <v>9249</v>
      </c>
      <c r="I630" s="838">
        <f t="shared" si="641"/>
        <v>3793</v>
      </c>
      <c r="J630" s="838">
        <f t="shared" si="641"/>
        <v>8560</v>
      </c>
      <c r="K630" s="838">
        <f t="shared" si="641"/>
        <v>7705</v>
      </c>
      <c r="L630" s="838">
        <f t="shared" si="641"/>
        <v>9740</v>
      </c>
      <c r="M630" s="838">
        <f t="shared" si="641"/>
        <v>4575</v>
      </c>
      <c r="N630" s="838">
        <f t="shared" si="641"/>
        <v>8651</v>
      </c>
      <c r="O630" s="838">
        <f t="shared" si="641"/>
        <v>7318</v>
      </c>
      <c r="P630" s="838">
        <f t="shared" si="641"/>
        <v>9357</v>
      </c>
      <c r="Q630" s="838">
        <f t="shared" si="641"/>
        <v>5000</v>
      </c>
      <c r="R630" s="838">
        <f t="shared" si="641"/>
        <v>10120</v>
      </c>
      <c r="S630" s="838">
        <f t="shared" si="641"/>
        <v>10808</v>
      </c>
      <c r="T630" s="838">
        <f t="shared" si="641"/>
        <v>9018</v>
      </c>
      <c r="U630" s="838">
        <f t="shared" si="641"/>
        <v>6180</v>
      </c>
      <c r="V630" s="838">
        <f t="shared" si="641"/>
        <v>13604</v>
      </c>
      <c r="W630" s="838">
        <f t="shared" si="641"/>
        <v>12873</v>
      </c>
      <c r="X630" s="838">
        <f t="shared" si="641"/>
        <v>13835</v>
      </c>
      <c r="Y630" s="838">
        <f t="shared" si="641"/>
        <v>7116</v>
      </c>
      <c r="Z630" s="838">
        <f t="shared" si="641"/>
        <v>16179</v>
      </c>
      <c r="AA630" s="838">
        <f t="shared" si="641"/>
        <v>15410</v>
      </c>
      <c r="AB630" s="838">
        <f t="shared" si="641"/>
        <v>17140</v>
      </c>
      <c r="AC630" s="838">
        <f t="shared" si="641"/>
        <v>7680</v>
      </c>
      <c r="AD630" s="838">
        <f t="shared" si="641"/>
        <v>19086</v>
      </c>
      <c r="AE630" s="838">
        <f t="shared" si="641"/>
        <v>15929</v>
      </c>
      <c r="AF630" s="838">
        <f t="shared" si="641"/>
        <v>16598</v>
      </c>
      <c r="AG630" s="838"/>
      <c r="AH630" s="838"/>
      <c r="AI630" s="838"/>
      <c r="AK630" s="838"/>
      <c r="AL630" s="838"/>
      <c r="AM630" s="838">
        <f t="shared" ref="AM630:AW630" si="642">+AM595-AM635</f>
        <v>15532</v>
      </c>
      <c r="AN630" s="838">
        <f t="shared" si="642"/>
        <v>18430</v>
      </c>
      <c r="AO630" s="838">
        <f t="shared" si="642"/>
        <v>15918</v>
      </c>
      <c r="AP630" s="838">
        <f t="shared" si="642"/>
        <v>22096</v>
      </c>
      <c r="AQ630" s="838">
        <f t="shared" si="642"/>
        <v>24639</v>
      </c>
      <c r="AR630" s="838">
        <f t="shared" si="642"/>
        <v>29321</v>
      </c>
      <c r="AS630" s="838">
        <f t="shared" si="642"/>
        <v>24576</v>
      </c>
      <c r="AT630" s="838">
        <f t="shared" si="642"/>
        <v>27017</v>
      </c>
      <c r="AU630" s="838">
        <f t="shared" si="642"/>
        <v>23724</v>
      </c>
      <c r="AV630" s="838">
        <f t="shared" si="642"/>
        <v>24425</v>
      </c>
      <c r="AW630" s="838">
        <f t="shared" si="642"/>
        <v>29307</v>
      </c>
      <c r="AY630" s="838">
        <f t="shared" ref="AY630:BE630" si="643">+AY595-AY635</f>
        <v>24425</v>
      </c>
      <c r="AZ630" s="838">
        <f t="shared" si="643"/>
        <v>29307</v>
      </c>
      <c r="BA630" s="838">
        <f t="shared" si="643"/>
        <v>30284</v>
      </c>
      <c r="BB630" s="838">
        <f t="shared" si="643"/>
        <v>35285</v>
      </c>
      <c r="BC630" s="838">
        <f t="shared" si="643"/>
        <v>41675</v>
      </c>
      <c r="BD630" s="838">
        <f t="shared" si="643"/>
        <v>52540</v>
      </c>
      <c r="BE630" s="838">
        <f t="shared" si="643"/>
        <v>59835</v>
      </c>
      <c r="BF630" s="838"/>
    </row>
    <row r="631" spans="2:58" s="1" customFormat="1" ht="10.5">
      <c r="B631" s="837"/>
      <c r="D631" s="838"/>
      <c r="E631" s="838"/>
      <c r="F631" s="838"/>
      <c r="G631" s="838"/>
      <c r="H631" s="838"/>
      <c r="I631" s="838"/>
      <c r="J631" s="838"/>
      <c r="K631" s="838"/>
      <c r="L631" s="838"/>
      <c r="M631" s="838"/>
      <c r="N631" s="838"/>
      <c r="O631" s="838"/>
      <c r="P631" s="838"/>
      <c r="Q631" s="838"/>
      <c r="R631" s="838"/>
      <c r="S631" s="838"/>
      <c r="T631" s="838"/>
      <c r="U631" s="838"/>
      <c r="V631" s="838"/>
      <c r="W631" s="838"/>
      <c r="X631" s="838"/>
      <c r="Y631" s="838"/>
      <c r="Z631" s="838"/>
      <c r="AA631" s="838"/>
      <c r="AB631" s="838"/>
      <c r="AC631" s="838"/>
      <c r="AD631" s="838"/>
      <c r="AE631" s="838"/>
      <c r="AF631" s="838"/>
      <c r="AG631" s="838"/>
      <c r="AH631" s="838"/>
      <c r="AI631" s="838"/>
      <c r="AK631" s="838"/>
      <c r="AL631" s="838"/>
      <c r="AM631" s="838"/>
      <c r="AN631" s="838"/>
      <c r="AO631" s="838"/>
      <c r="AP631" s="838"/>
      <c r="AQ631" s="838"/>
      <c r="AR631" s="838"/>
      <c r="AS631" s="838"/>
      <c r="AT631" s="838"/>
      <c r="AU631" s="838"/>
      <c r="AV631" s="838"/>
      <c r="AW631" s="838"/>
      <c r="AY631" s="838"/>
      <c r="AZ631" s="838"/>
      <c r="BA631" s="838"/>
      <c r="BB631" s="838"/>
      <c r="BC631" s="838"/>
      <c r="BD631" s="838"/>
      <c r="BE631" s="838"/>
      <c r="BF631" s="838"/>
    </row>
    <row r="632" spans="2:58" s="1" customFormat="1" ht="10.5">
      <c r="B632" s="45" t="s">
        <v>133</v>
      </c>
      <c r="D632" s="838"/>
      <c r="E632" s="838"/>
      <c r="F632" s="838"/>
      <c r="G632" s="838"/>
      <c r="H632" s="838"/>
      <c r="I632" s="838"/>
      <c r="J632" s="838"/>
      <c r="K632" s="838"/>
      <c r="L632" s="838"/>
      <c r="M632" s="838"/>
      <c r="N632" s="838"/>
      <c r="O632" s="838"/>
      <c r="P632" s="838"/>
      <c r="Q632" s="838"/>
      <c r="R632" s="838"/>
      <c r="S632" s="838"/>
      <c r="T632" s="838"/>
      <c r="U632" s="838"/>
      <c r="V632" s="838"/>
      <c r="W632" s="838"/>
      <c r="X632" s="838"/>
      <c r="Y632" s="838"/>
      <c r="Z632" s="838"/>
      <c r="AA632" s="838"/>
      <c r="AB632" s="838"/>
      <c r="AC632" s="838"/>
      <c r="AD632" s="838"/>
      <c r="AE632" s="838"/>
      <c r="AF632" s="838"/>
      <c r="AG632" s="838"/>
      <c r="AH632" s="838"/>
      <c r="AI632" s="838"/>
      <c r="AK632" s="838"/>
      <c r="AL632" s="838"/>
      <c r="AM632" s="838"/>
      <c r="AN632" s="838"/>
      <c r="AO632" s="838"/>
      <c r="AP632" s="838"/>
      <c r="AQ632" s="838"/>
      <c r="AR632" s="838"/>
      <c r="AS632" s="838"/>
      <c r="AT632" s="838"/>
      <c r="AU632" s="838"/>
      <c r="AV632" s="838"/>
      <c r="AW632" s="838"/>
      <c r="AY632" s="838"/>
      <c r="AZ632" s="838"/>
      <c r="BA632" s="838"/>
      <c r="BB632" s="838"/>
      <c r="BC632" s="838"/>
      <c r="BD632" s="838"/>
      <c r="BE632" s="838"/>
      <c r="BF632" s="838"/>
    </row>
    <row r="633" spans="2:58" s="100" customFormat="1">
      <c r="B633" s="100" t="str">
        <f>+B598</f>
        <v>Additions to property plant and equipment</v>
      </c>
      <c r="D633" s="11">
        <f t="shared" ref="D633:O633" si="644">+D635-D634</f>
        <v>1356</v>
      </c>
      <c r="E633" s="11">
        <f t="shared" si="644"/>
        <v>2024</v>
      </c>
      <c r="F633" s="11">
        <f t="shared" si="644"/>
        <v>2308</v>
      </c>
      <c r="G633" s="11">
        <f t="shared" si="644"/>
        <v>2655</v>
      </c>
      <c r="H633" s="857">
        <f t="shared" si="644"/>
        <v>2163</v>
      </c>
      <c r="I633" s="857">
        <f t="shared" si="644"/>
        <v>1988</v>
      </c>
      <c r="J633" s="857">
        <f t="shared" si="644"/>
        <v>1695</v>
      </c>
      <c r="K633" s="857">
        <f t="shared" si="644"/>
        <v>2283</v>
      </c>
      <c r="L633" s="857">
        <f t="shared" si="644"/>
        <v>2132</v>
      </c>
      <c r="M633" s="857">
        <f t="shared" si="644"/>
        <v>2586</v>
      </c>
      <c r="N633" s="857">
        <f t="shared" si="644"/>
        <v>2934</v>
      </c>
      <c r="O633" s="857">
        <f t="shared" si="644"/>
        <v>3980</v>
      </c>
      <c r="P633" s="857">
        <f>+P635-P634</f>
        <v>3602</v>
      </c>
      <c r="Q633" s="857">
        <f t="shared" ref="Q633:BE633" si="645">+Q635-Q634</f>
        <v>3707</v>
      </c>
      <c r="R633" s="857">
        <f t="shared" si="645"/>
        <v>2565</v>
      </c>
      <c r="S633" s="857">
        <f t="shared" si="645"/>
        <v>4051</v>
      </c>
      <c r="T633" s="857">
        <f t="shared" si="645"/>
        <v>3385</v>
      </c>
      <c r="U633" s="857">
        <f t="shared" si="645"/>
        <v>3545</v>
      </c>
      <c r="V633" s="857">
        <f t="shared" si="645"/>
        <v>3767</v>
      </c>
      <c r="W633" s="857">
        <f t="shared" si="645"/>
        <v>4744</v>
      </c>
      <c r="X633" s="857">
        <f t="shared" si="645"/>
        <v>4907</v>
      </c>
      <c r="Y633" s="857">
        <f t="shared" si="645"/>
        <v>4174</v>
      </c>
      <c r="Z633" s="857">
        <f t="shared" si="645"/>
        <v>5089</v>
      </c>
      <c r="AA633" s="857">
        <f t="shared" si="645"/>
        <v>6452</v>
      </c>
      <c r="AB633" s="857">
        <f t="shared" si="645"/>
        <v>5810</v>
      </c>
      <c r="AC633" s="857">
        <f t="shared" si="645"/>
        <v>5865</v>
      </c>
      <c r="AD633" s="857">
        <f t="shared" si="645"/>
        <v>5340</v>
      </c>
      <c r="AE633" s="857">
        <f t="shared" si="645"/>
        <v>6871</v>
      </c>
      <c r="AF633" s="857">
        <f t="shared" si="645"/>
        <v>6283</v>
      </c>
      <c r="AG633" s="11"/>
      <c r="AH633" s="11"/>
      <c r="AI633" s="11"/>
      <c r="AK633" s="11">
        <f t="shared" si="645"/>
        <v>812</v>
      </c>
      <c r="AL633" s="11">
        <f t="shared" si="645"/>
        <v>1578</v>
      </c>
      <c r="AM633" s="11">
        <f t="shared" si="645"/>
        <v>2264</v>
      </c>
      <c r="AN633" s="11">
        <f t="shared" si="645"/>
        <v>3182</v>
      </c>
      <c r="AO633" s="11">
        <f t="shared" si="645"/>
        <v>3119</v>
      </c>
      <c r="AP633" s="11">
        <f t="shared" si="645"/>
        <v>1977</v>
      </c>
      <c r="AQ633" s="11">
        <f t="shared" si="645"/>
        <v>2355</v>
      </c>
      <c r="AR633" s="11">
        <f t="shared" si="645"/>
        <v>2305</v>
      </c>
      <c r="AS633" s="11">
        <f t="shared" si="645"/>
        <v>4257</v>
      </c>
      <c r="AT633" s="11">
        <f t="shared" si="645"/>
        <v>5485</v>
      </c>
      <c r="AU633" s="11">
        <f t="shared" si="645"/>
        <v>5944</v>
      </c>
      <c r="AV633" s="11">
        <f t="shared" si="645"/>
        <v>8343</v>
      </c>
      <c r="AW633" s="11">
        <f t="shared" si="645"/>
        <v>8129</v>
      </c>
      <c r="AY633" s="11">
        <f t="shared" si="645"/>
        <v>8343</v>
      </c>
      <c r="AZ633" s="11">
        <f t="shared" si="645"/>
        <v>8129</v>
      </c>
      <c r="BA633" s="11">
        <f t="shared" si="645"/>
        <v>11632</v>
      </c>
      <c r="BB633" s="11">
        <f t="shared" si="645"/>
        <v>13925</v>
      </c>
      <c r="BC633" s="11">
        <f t="shared" si="645"/>
        <v>15441</v>
      </c>
      <c r="BD633" s="11">
        <f t="shared" si="645"/>
        <v>20622</v>
      </c>
      <c r="BE633" s="11">
        <f t="shared" si="645"/>
        <v>23886</v>
      </c>
      <c r="BF633" s="11"/>
    </row>
    <row r="634" spans="2:58" s="953" customFormat="1" ht="11.45">
      <c r="B634" t="s">
        <v>620</v>
      </c>
      <c r="D634" s="34">
        <f t="shared" ref="D634:AF634" si="646">+D635-(-D598)</f>
        <v>144</v>
      </c>
      <c r="E634" s="34">
        <f t="shared" si="646"/>
        <v>-24</v>
      </c>
      <c r="F634" s="34">
        <f t="shared" si="646"/>
        <v>-8</v>
      </c>
      <c r="G634" s="34">
        <f t="shared" si="646"/>
        <v>445</v>
      </c>
      <c r="H634" s="34">
        <f t="shared" si="646"/>
        <v>137</v>
      </c>
      <c r="I634" s="34">
        <f t="shared" si="646"/>
        <v>512</v>
      </c>
      <c r="J634" s="34">
        <f t="shared" si="646"/>
        <v>405</v>
      </c>
      <c r="K634" s="34">
        <f t="shared" si="646"/>
        <v>1017</v>
      </c>
      <c r="L634" s="34">
        <f t="shared" si="646"/>
        <v>568</v>
      </c>
      <c r="M634" s="34">
        <f t="shared" si="646"/>
        <v>714</v>
      </c>
      <c r="N634" s="34">
        <f t="shared" si="646"/>
        <v>566</v>
      </c>
      <c r="O634" s="34">
        <f t="shared" si="646"/>
        <v>120</v>
      </c>
      <c r="P634" s="34">
        <f t="shared" si="646"/>
        <v>698</v>
      </c>
      <c r="Q634" s="34">
        <f t="shared" si="646"/>
        <v>193</v>
      </c>
      <c r="R634" s="34">
        <f t="shared" si="646"/>
        <v>835</v>
      </c>
      <c r="S634" s="34">
        <f t="shared" si="646"/>
        <v>1249</v>
      </c>
      <c r="T634" s="34">
        <f t="shared" si="646"/>
        <v>1415</v>
      </c>
      <c r="U634" s="34">
        <f t="shared" si="646"/>
        <v>955</v>
      </c>
      <c r="V634" s="34">
        <f t="shared" si="646"/>
        <v>133</v>
      </c>
      <c r="W634" s="34">
        <f t="shared" si="646"/>
        <v>1056</v>
      </c>
      <c r="X634" s="34">
        <f t="shared" si="646"/>
        <v>593</v>
      </c>
      <c r="Y634" s="34">
        <f t="shared" si="646"/>
        <v>1226</v>
      </c>
      <c r="Z634" s="34">
        <f t="shared" si="646"/>
        <v>911</v>
      </c>
      <c r="AA634" s="34">
        <f t="shared" si="646"/>
        <v>848</v>
      </c>
      <c r="AB634" s="34">
        <f t="shared" si="646"/>
        <v>1590</v>
      </c>
      <c r="AC634" s="34">
        <f t="shared" si="646"/>
        <v>935</v>
      </c>
      <c r="AD634" s="34">
        <f t="shared" si="646"/>
        <v>960</v>
      </c>
      <c r="AE634" s="34">
        <f t="shared" si="646"/>
        <v>1829</v>
      </c>
      <c r="AF634" s="34">
        <f t="shared" si="646"/>
        <v>317</v>
      </c>
      <c r="AG634" s="34"/>
      <c r="AH634" s="34"/>
      <c r="AI634" s="34"/>
      <c r="AK634" s="34">
        <f t="shared" ref="AK634:AW634" si="647">+AK635-(-AK598)</f>
        <v>0</v>
      </c>
      <c r="AL634" s="34">
        <f t="shared" si="647"/>
        <v>0</v>
      </c>
      <c r="AM634" s="34">
        <f t="shared" si="647"/>
        <v>0</v>
      </c>
      <c r="AN634" s="34">
        <f t="shared" si="647"/>
        <v>0</v>
      </c>
      <c r="AO634" s="34">
        <f t="shared" si="647"/>
        <v>0</v>
      </c>
      <c r="AP634" s="34">
        <f t="shared" si="647"/>
        <v>0</v>
      </c>
      <c r="AQ634" s="34">
        <f t="shared" si="647"/>
        <v>0</v>
      </c>
      <c r="AR634" s="34">
        <f t="shared" si="647"/>
        <v>0</v>
      </c>
      <c r="AS634" s="34">
        <f t="shared" si="647"/>
        <v>0</v>
      </c>
      <c r="AT634" s="34">
        <f t="shared" si="647"/>
        <v>0</v>
      </c>
      <c r="AU634" s="34">
        <f t="shared" si="647"/>
        <v>0</v>
      </c>
      <c r="AV634" s="34">
        <f t="shared" si="647"/>
        <v>557</v>
      </c>
      <c r="AW634" s="34">
        <f t="shared" si="647"/>
        <v>2071</v>
      </c>
      <c r="AY634" s="34">
        <f t="shared" ref="AY634:BE634" si="648">+AY635-(-AY598)</f>
        <v>557</v>
      </c>
      <c r="AZ634" s="34">
        <f t="shared" si="648"/>
        <v>2071</v>
      </c>
      <c r="BA634" s="34">
        <f t="shared" si="648"/>
        <v>1968</v>
      </c>
      <c r="BB634" s="34">
        <f t="shared" si="648"/>
        <v>2975</v>
      </c>
      <c r="BC634" s="34">
        <f t="shared" si="648"/>
        <v>3559</v>
      </c>
      <c r="BD634" s="34">
        <f t="shared" si="648"/>
        <v>3578</v>
      </c>
      <c r="BE634" s="34">
        <f t="shared" si="648"/>
        <v>5314</v>
      </c>
      <c r="BF634" s="30"/>
    </row>
    <row r="635" spans="2:58" s="1" customFormat="1" ht="10.5">
      <c r="B635" s="837" t="s">
        <v>621</v>
      </c>
      <c r="C635"/>
      <c r="D635" s="29">
        <v>1500</v>
      </c>
      <c r="E635" s="29">
        <v>2000</v>
      </c>
      <c r="F635" s="29">
        <v>2300</v>
      </c>
      <c r="G635" s="29">
        <v>3100</v>
      </c>
      <c r="H635" s="29">
        <v>2300</v>
      </c>
      <c r="I635" s="29">
        <v>2500</v>
      </c>
      <c r="J635" s="29">
        <v>2100</v>
      </c>
      <c r="K635" s="11">
        <v>3300</v>
      </c>
      <c r="L635" s="29">
        <v>2700</v>
      </c>
      <c r="M635" s="29">
        <v>3300</v>
      </c>
      <c r="N635" s="29">
        <v>3500</v>
      </c>
      <c r="O635" s="11">
        <v>4100</v>
      </c>
      <c r="P635" s="29">
        <v>4300</v>
      </c>
      <c r="Q635" s="29">
        <v>3900</v>
      </c>
      <c r="R635" s="29">
        <v>3400</v>
      </c>
      <c r="S635" s="11">
        <v>5300</v>
      </c>
      <c r="T635" s="29">
        <v>4800</v>
      </c>
      <c r="U635" s="29">
        <v>4500</v>
      </c>
      <c r="V635" s="29">
        <v>3900</v>
      </c>
      <c r="W635" s="29">
        <v>5800</v>
      </c>
      <c r="X635" s="29">
        <v>5500</v>
      </c>
      <c r="Y635" s="29">
        <v>5400</v>
      </c>
      <c r="Z635" s="29">
        <v>6000</v>
      </c>
      <c r="AA635" s="29">
        <v>7300</v>
      </c>
      <c r="AB635" s="29">
        <v>7400</v>
      </c>
      <c r="AC635" s="29">
        <v>6800</v>
      </c>
      <c r="AD635" s="29">
        <v>6300</v>
      </c>
      <c r="AE635" s="29">
        <v>8700</v>
      </c>
      <c r="AF635" s="29">
        <v>6600</v>
      </c>
      <c r="AG635" s="11"/>
      <c r="AH635" s="11"/>
      <c r="AI635" s="11"/>
      <c r="AJ635"/>
      <c r="AK635" s="8">
        <f t="shared" ref="AK635:AU635" si="649">-AK598</f>
        <v>812</v>
      </c>
      <c r="AL635" s="8">
        <f t="shared" si="649"/>
        <v>1578</v>
      </c>
      <c r="AM635" s="8">
        <f t="shared" si="649"/>
        <v>2264</v>
      </c>
      <c r="AN635" s="8">
        <f t="shared" si="649"/>
        <v>3182</v>
      </c>
      <c r="AO635" s="8">
        <f t="shared" si="649"/>
        <v>3119</v>
      </c>
      <c r="AP635" s="8">
        <f t="shared" si="649"/>
        <v>1977</v>
      </c>
      <c r="AQ635" s="8">
        <f t="shared" si="649"/>
        <v>2355</v>
      </c>
      <c r="AR635" s="8">
        <f t="shared" si="649"/>
        <v>2305</v>
      </c>
      <c r="AS635" s="8">
        <f t="shared" si="649"/>
        <v>4257</v>
      </c>
      <c r="AT635" s="8">
        <f t="shared" si="649"/>
        <v>5485</v>
      </c>
      <c r="AU635" s="8">
        <f t="shared" si="649"/>
        <v>5944</v>
      </c>
      <c r="AV635" s="8">
        <f>+SUM(D635:G635)</f>
        <v>8900</v>
      </c>
      <c r="AW635" s="8">
        <f>+SUM(H635:K635)</f>
        <v>10200</v>
      </c>
      <c r="AX635"/>
      <c r="AY635" s="8">
        <f>+AV635</f>
        <v>8900</v>
      </c>
      <c r="AZ635" s="8">
        <f>+SUM(H635:K635)</f>
        <v>10200</v>
      </c>
      <c r="BA635" s="29">
        <f>+SUM(L635:O635)</f>
        <v>13600</v>
      </c>
      <c r="BB635" s="29">
        <f>+SUM(P635:S635)</f>
        <v>16900</v>
      </c>
      <c r="BC635" s="8">
        <f>SUM(T635:W635)</f>
        <v>19000</v>
      </c>
      <c r="BD635" s="11">
        <f>SUM(X635:AA635)</f>
        <v>24200</v>
      </c>
      <c r="BE635" s="8">
        <f>SUM(AB635:AE635)</f>
        <v>29200</v>
      </c>
      <c r="BF635" s="838"/>
    </row>
    <row r="636" spans="2:58" s="1" customFormat="1" ht="10.5">
      <c r="B636" s="837"/>
      <c r="D636" s="838"/>
      <c r="E636" s="838"/>
      <c r="F636" s="838"/>
      <c r="G636" s="838"/>
      <c r="H636" s="838"/>
      <c r="I636" s="838"/>
      <c r="J636" s="838"/>
      <c r="K636" s="838"/>
      <c r="L636" s="838"/>
      <c r="M636" s="838"/>
      <c r="N636" s="838"/>
      <c r="O636" s="838"/>
      <c r="P636" s="838"/>
      <c r="Q636" s="838"/>
      <c r="R636" s="838"/>
      <c r="S636" s="838"/>
      <c r="T636" s="838"/>
      <c r="U636" s="838"/>
      <c r="V636" s="838"/>
      <c r="W636" s="838"/>
      <c r="X636" s="838"/>
      <c r="Y636" s="838"/>
      <c r="Z636" s="838"/>
      <c r="AA636" s="838"/>
      <c r="AB636" s="838"/>
      <c r="AC636" s="838"/>
      <c r="AD636" s="838"/>
      <c r="AE636" s="838"/>
      <c r="AF636" s="838"/>
      <c r="AG636" s="838"/>
      <c r="AH636" s="838"/>
      <c r="AI636" s="838"/>
      <c r="AK636" s="838"/>
      <c r="AL636" s="838"/>
      <c r="AM636" s="838"/>
      <c r="AN636" s="838"/>
      <c r="AO636" s="838"/>
      <c r="AP636" s="838"/>
      <c r="AQ636" s="838"/>
      <c r="AR636" s="838"/>
      <c r="AS636" s="838"/>
      <c r="AT636" s="838"/>
      <c r="AU636" s="838"/>
      <c r="AV636" s="838"/>
      <c r="AW636" s="838"/>
      <c r="AY636" s="838"/>
      <c r="AZ636" s="838"/>
      <c r="BA636" s="838"/>
      <c r="BB636" s="838"/>
      <c r="BC636" s="838"/>
      <c r="BD636" s="838"/>
      <c r="BE636" s="838"/>
      <c r="BF636" s="838"/>
    </row>
    <row r="637" spans="2:58" s="1" customFormat="1" ht="10.5">
      <c r="B637" s="847" t="s">
        <v>118</v>
      </c>
      <c r="D637" s="838"/>
      <c r="E637" s="838"/>
      <c r="F637" s="838"/>
      <c r="G637" s="838"/>
      <c r="H637" s="838"/>
      <c r="I637" s="838"/>
      <c r="J637" s="838"/>
      <c r="K637" s="838"/>
      <c r="L637" s="838"/>
      <c r="M637" s="838"/>
      <c r="N637" s="838"/>
      <c r="O637" s="838"/>
      <c r="P637" s="838"/>
      <c r="Q637" s="838"/>
      <c r="R637" s="838"/>
      <c r="S637" s="838"/>
      <c r="T637" s="838"/>
      <c r="U637" s="838"/>
      <c r="V637" s="838"/>
      <c r="W637" s="838"/>
      <c r="X637" s="838"/>
      <c r="Y637" s="838"/>
      <c r="Z637" s="838"/>
      <c r="AA637" s="838"/>
      <c r="AB637" s="838"/>
      <c r="AC637" s="838"/>
      <c r="AD637" s="838"/>
      <c r="AE637" s="838"/>
      <c r="AF637" s="838"/>
      <c r="AG637" s="838"/>
      <c r="AH637" s="838"/>
      <c r="AI637" s="838"/>
      <c r="AK637" s="838"/>
      <c r="AL637" s="838"/>
      <c r="AM637" s="838"/>
      <c r="AN637" s="838"/>
      <c r="AO637" s="838"/>
      <c r="AP637" s="838"/>
      <c r="AQ637" s="838"/>
      <c r="AR637" s="838"/>
      <c r="AS637" s="838"/>
      <c r="AT637" s="838"/>
      <c r="AU637" s="838"/>
      <c r="AV637" s="838"/>
      <c r="AW637" s="838"/>
      <c r="AX637" s="838"/>
      <c r="AY637" s="849"/>
      <c r="AZ637" s="849"/>
      <c r="BA637" s="849"/>
      <c r="BB637" s="849"/>
      <c r="BC637" s="849"/>
      <c r="BD637" s="849"/>
      <c r="BE637" s="849"/>
      <c r="BF637" s="849"/>
    </row>
    <row r="638" spans="2:58" s="3" customFormat="1">
      <c r="B638" s="884" t="str">
        <f>+B633</f>
        <v>Additions to property plant and equipment</v>
      </c>
      <c r="D638" s="228">
        <f t="shared" ref="D638:I638" si="650">+D633/D$12</f>
        <v>6.4849354375896701E-2</v>
      </c>
      <c r="E638" s="228">
        <f t="shared" si="650"/>
        <v>8.0148893200807828E-2</v>
      </c>
      <c r="F638" s="228">
        <f t="shared" si="650"/>
        <v>0.10726402379513873</v>
      </c>
      <c r="G638" s="228">
        <f t="shared" si="650"/>
        <v>0.11310385958933288</v>
      </c>
      <c r="H638" s="228">
        <f t="shared" si="650"/>
        <v>9.8641006931776729E-2</v>
      </c>
      <c r="I638" s="228">
        <f t="shared" si="650"/>
        <v>7.6976690157205915E-2</v>
      </c>
      <c r="J638" s="228">
        <f t="shared" ref="J638:O638" si="651">+J633/J$12</f>
        <v>7.3022574530415302E-2</v>
      </c>
      <c r="K638" s="228">
        <f t="shared" si="651"/>
        <v>8.9162272993555947E-2</v>
      </c>
      <c r="L638" s="228">
        <f t="shared" si="651"/>
        <v>8.688564675197652E-2</v>
      </c>
      <c r="M638" s="228">
        <f t="shared" si="651"/>
        <v>8.942527145722387E-2</v>
      </c>
      <c r="N638" s="228">
        <f t="shared" si="651"/>
        <v>0.10940005220179723</v>
      </c>
      <c r="O638" s="228">
        <f t="shared" si="651"/>
        <v>0.13229183978726941</v>
      </c>
      <c r="P638" s="228">
        <f>+P633/P$12</f>
        <v>0.1238481639389355</v>
      </c>
      <c r="Q638" s="228">
        <f t="shared" ref="Q638:AF638" si="652">+Q633/Q$12</f>
        <v>0.11416340734809523</v>
      </c>
      <c r="R638" s="228">
        <f t="shared" si="652"/>
        <v>8.3903045369794899E-2</v>
      </c>
      <c r="S638" s="228">
        <f t="shared" si="652"/>
        <v>0.12014710680072367</v>
      </c>
      <c r="T638" s="228">
        <f t="shared" si="652"/>
        <v>0.10240508243836031</v>
      </c>
      <c r="U638" s="228">
        <f t="shared" si="652"/>
        <v>9.605484203110605E-2</v>
      </c>
      <c r="V638" s="228">
        <f t="shared" si="652"/>
        <v>0.10756403300876617</v>
      </c>
      <c r="W638" s="228">
        <f t="shared" si="652"/>
        <v>0.12473378381931481</v>
      </c>
      <c r="X638" s="228">
        <f t="shared" si="652"/>
        <v>0.13207191688647252</v>
      </c>
      <c r="Y638" s="228">
        <f t="shared" si="652"/>
        <v>9.6898504967963595E-2</v>
      </c>
      <c r="Z638" s="228">
        <f t="shared" si="652"/>
        <v>0.12202081235313864</v>
      </c>
      <c r="AA638" s="228">
        <f t="shared" si="652"/>
        <v>0.13979892529034496</v>
      </c>
      <c r="AB638" s="228">
        <f t="shared" si="652"/>
        <v>0.12820795727872542</v>
      </c>
      <c r="AC638" s="228">
        <f t="shared" si="652"/>
        <v>0.11338153417878132</v>
      </c>
      <c r="AD638" s="228">
        <f t="shared" si="652"/>
        <v>0.10818476499189628</v>
      </c>
      <c r="AE638" s="228">
        <f t="shared" si="652"/>
        <v>0.13247855008194351</v>
      </c>
      <c r="AF638" s="228">
        <f t="shared" si="652"/>
        <v>0.12535413590838354</v>
      </c>
      <c r="AG638" s="228"/>
      <c r="AH638" s="228"/>
      <c r="AI638" s="228"/>
      <c r="AJ638" s="228"/>
      <c r="AK638" s="228">
        <f t="shared" ref="AK638:BD638" si="653">+AK633/AK$12</f>
        <v>2.0408163265306121E-2</v>
      </c>
      <c r="AL638" s="228">
        <f t="shared" si="653"/>
        <v>3.5635246827153244E-2</v>
      </c>
      <c r="AM638" s="228">
        <f t="shared" si="653"/>
        <v>4.4286217284143815E-2</v>
      </c>
      <c r="AN638" s="228">
        <f t="shared" si="653"/>
        <v>5.2664680569347901E-2</v>
      </c>
      <c r="AO638" s="228">
        <f t="shared" si="653"/>
        <v>5.3373718705614595E-2</v>
      </c>
      <c r="AP638" s="228">
        <f t="shared" si="653"/>
        <v>3.1640099865565582E-2</v>
      </c>
      <c r="AQ638" s="228">
        <f t="shared" si="653"/>
        <v>3.3670274366269674E-2</v>
      </c>
      <c r="AR638" s="228">
        <f t="shared" si="653"/>
        <v>3.1265683707933749E-2</v>
      </c>
      <c r="AS638" s="228">
        <f t="shared" si="653"/>
        <v>5.4682783336972858E-2</v>
      </c>
      <c r="AT638" s="228">
        <f t="shared" si="653"/>
        <v>6.3167229048863904E-2</v>
      </c>
      <c r="AU638" s="228">
        <f t="shared" si="653"/>
        <v>6.3517845693524255E-2</v>
      </c>
      <c r="AV638" s="228">
        <f t="shared" si="653"/>
        <v>9.7784810126582272E-2</v>
      </c>
      <c r="AW638" s="228">
        <f t="shared" si="653"/>
        <v>9.0372429127292944E-2</v>
      </c>
      <c r="AX638" s="228"/>
      <c r="AY638" s="228">
        <f t="shared" si="653"/>
        <v>9.1526427803497373E-2</v>
      </c>
      <c r="AZ638" s="228">
        <f t="shared" si="653"/>
        <v>8.4176409066904143E-2</v>
      </c>
      <c r="BA638" s="228">
        <f t="shared" si="653"/>
        <v>0.10540050743022834</v>
      </c>
      <c r="BB638" s="228">
        <f t="shared" si="653"/>
        <v>0.11065375110256431</v>
      </c>
      <c r="BC638" s="228">
        <f t="shared" si="653"/>
        <v>0.10796769569625564</v>
      </c>
      <c r="BD638" s="228">
        <f t="shared" si="653"/>
        <v>0.12268573604302509</v>
      </c>
      <c r="BE638" s="228">
        <f t="shared" ref="BE638:BE640" si="654">+BE633/BE$12</f>
        <v>0.12047208352246935</v>
      </c>
      <c r="BF638" s="94"/>
    </row>
    <row r="639" spans="2:58" s="942" customFormat="1" ht="11.45">
      <c r="B639" s="884" t="str">
        <f t="shared" ref="B639:B640" si="655">+B634</f>
        <v>Assets acquired under capital leases</v>
      </c>
      <c r="D639" s="840">
        <f t="shared" ref="D639:I639" si="656">+D634/D$12</f>
        <v>6.8866571018651361E-3</v>
      </c>
      <c r="E639" s="840">
        <f t="shared" si="656"/>
        <v>-9.5038213281590307E-4</v>
      </c>
      <c r="F639" s="840">
        <f t="shared" si="656"/>
        <v>-3.7179904261746524E-4</v>
      </c>
      <c r="G639" s="840">
        <f t="shared" si="656"/>
        <v>1.8957144074294965E-2</v>
      </c>
      <c r="H639" s="840">
        <f t="shared" si="656"/>
        <v>6.2477198102882164E-3</v>
      </c>
      <c r="I639" s="840">
        <f t="shared" si="656"/>
        <v>1.9824982575698907E-2</v>
      </c>
      <c r="J639" s="840">
        <f t="shared" ref="J639:O639" si="657">+J634/J$12</f>
        <v>1.7447871790453214E-2</v>
      </c>
      <c r="K639" s="840">
        <f t="shared" si="657"/>
        <v>3.9718804920913883E-2</v>
      </c>
      <c r="L639" s="840">
        <f t="shared" si="657"/>
        <v>2.314777080446654E-2</v>
      </c>
      <c r="M639" s="840">
        <f t="shared" si="657"/>
        <v>2.4690504184245107E-2</v>
      </c>
      <c r="N639" s="840">
        <f t="shared" si="657"/>
        <v>2.1104440881464633E-2</v>
      </c>
      <c r="O639" s="840">
        <f t="shared" si="657"/>
        <v>3.9886986870533488E-3</v>
      </c>
      <c r="P639" s="840">
        <f t="shared" ref="P639:AF640" si="658">+P634/P$12</f>
        <v>2.3999449869343971E-2</v>
      </c>
      <c r="Q639" s="840">
        <f t="shared" si="658"/>
        <v>5.9437652058760126E-3</v>
      </c>
      <c r="R639" s="840">
        <f t="shared" si="658"/>
        <v>2.7313467011219783E-2</v>
      </c>
      <c r="S639" s="840">
        <f t="shared" si="658"/>
        <v>3.7043627843521075E-2</v>
      </c>
      <c r="T639" s="840">
        <f t="shared" si="658"/>
        <v>4.2807442141884734E-2</v>
      </c>
      <c r="U639" s="840">
        <f t="shared" si="658"/>
        <v>2.5876551238281038E-2</v>
      </c>
      <c r="V639" s="840">
        <f t="shared" si="658"/>
        <v>3.797721367179692E-3</v>
      </c>
      <c r="W639" s="840">
        <f t="shared" si="658"/>
        <v>2.7765361659611389E-2</v>
      </c>
      <c r="X639" s="840">
        <f t="shared" si="658"/>
        <v>1.5960596436453679E-2</v>
      </c>
      <c r="Y639" s="840">
        <f t="shared" si="658"/>
        <v>2.846132417123224E-2</v>
      </c>
      <c r="Z639" s="840">
        <f t="shared" si="658"/>
        <v>2.1843379849422147E-2</v>
      </c>
      <c r="AA639" s="840">
        <f t="shared" si="658"/>
        <v>1.8374068296065176E-2</v>
      </c>
      <c r="AB639" s="840">
        <f t="shared" si="658"/>
        <v>3.5086170752697661E-2</v>
      </c>
      <c r="AC639" s="840">
        <f t="shared" si="658"/>
        <v>1.8075317042994123E-2</v>
      </c>
      <c r="AD639" s="840">
        <f t="shared" si="658"/>
        <v>1.9448946515397084E-2</v>
      </c>
      <c r="AE639" s="840">
        <f t="shared" si="658"/>
        <v>3.5264629326135159E-2</v>
      </c>
      <c r="AF639" s="840">
        <f t="shared" si="658"/>
        <v>6.3245680539483658E-3</v>
      </c>
      <c r="AG639" s="840"/>
      <c r="AH639" s="840"/>
      <c r="AI639" s="840"/>
      <c r="AJ639" s="840"/>
      <c r="AK639" s="840">
        <f t="shared" ref="AK639:BD639" si="659">+AK634/AK$12</f>
        <v>0</v>
      </c>
      <c r="AL639" s="840">
        <f t="shared" si="659"/>
        <v>0</v>
      </c>
      <c r="AM639" s="840">
        <f t="shared" si="659"/>
        <v>0</v>
      </c>
      <c r="AN639" s="840">
        <f t="shared" si="659"/>
        <v>0</v>
      </c>
      <c r="AO639" s="840">
        <f t="shared" si="659"/>
        <v>0</v>
      </c>
      <c r="AP639" s="840">
        <f t="shared" si="659"/>
        <v>0</v>
      </c>
      <c r="AQ639" s="840">
        <f t="shared" si="659"/>
        <v>0</v>
      </c>
      <c r="AR639" s="840">
        <f t="shared" si="659"/>
        <v>0</v>
      </c>
      <c r="AS639" s="840">
        <f t="shared" si="659"/>
        <v>0</v>
      </c>
      <c r="AT639" s="840">
        <f t="shared" si="659"/>
        <v>0</v>
      </c>
      <c r="AU639" s="840">
        <f t="shared" si="659"/>
        <v>0</v>
      </c>
      <c r="AV639" s="840">
        <f t="shared" si="659"/>
        <v>6.5283638068448198E-3</v>
      </c>
      <c r="AW639" s="840">
        <f t="shared" si="659"/>
        <v>2.3023902167871039E-2</v>
      </c>
      <c r="AX639" s="840"/>
      <c r="AY639" s="840">
        <f t="shared" si="659"/>
        <v>6.1105382100620931E-3</v>
      </c>
      <c r="AZ639" s="840">
        <f t="shared" si="659"/>
        <v>2.1445361443911733E-2</v>
      </c>
      <c r="BA639" s="840">
        <f t="shared" si="659"/>
        <v>1.7832548024646611E-2</v>
      </c>
      <c r="BB639" s="840">
        <f t="shared" si="659"/>
        <v>2.3640568009344977E-2</v>
      </c>
      <c r="BC639" s="840">
        <f t="shared" si="659"/>
        <v>2.4885501520819496E-2</v>
      </c>
      <c r="BD639" s="840">
        <f t="shared" si="659"/>
        <v>2.1286468992432535E-2</v>
      </c>
      <c r="BE639" s="840">
        <f t="shared" si="654"/>
        <v>2.6801835880365159E-2</v>
      </c>
      <c r="BF639" s="943"/>
    </row>
    <row r="640" spans="2:58" s="7" customFormat="1">
      <c r="B640" s="841" t="str">
        <f t="shared" si="655"/>
        <v>Total Capex</v>
      </c>
      <c r="D640" s="842">
        <f t="shared" ref="D640:I640" si="660">+D635/D$12</f>
        <v>7.1736011477761832E-2</v>
      </c>
      <c r="E640" s="842">
        <f t="shared" si="660"/>
        <v>7.9198511067991917E-2</v>
      </c>
      <c r="F640" s="842">
        <f t="shared" si="660"/>
        <v>0.10689222475252126</v>
      </c>
      <c r="G640" s="842">
        <f t="shared" si="660"/>
        <v>0.13206100366362786</v>
      </c>
      <c r="H640" s="842">
        <f t="shared" si="660"/>
        <v>0.10488872674206494</v>
      </c>
      <c r="I640" s="842">
        <f t="shared" si="660"/>
        <v>9.6801672732904825E-2</v>
      </c>
      <c r="J640" s="842">
        <f t="shared" ref="J640:O640" si="661">+J635/J$12</f>
        <v>9.0470446320868522E-2</v>
      </c>
      <c r="K640" s="842">
        <f t="shared" si="661"/>
        <v>0.12888107791446984</v>
      </c>
      <c r="L640" s="842">
        <f t="shared" si="661"/>
        <v>0.11003341755644307</v>
      </c>
      <c r="M640" s="842">
        <f t="shared" si="661"/>
        <v>0.11411577564146898</v>
      </c>
      <c r="N640" s="842">
        <f t="shared" si="661"/>
        <v>0.13050449308326187</v>
      </c>
      <c r="O640" s="842">
        <f t="shared" si="661"/>
        <v>0.13628053847432275</v>
      </c>
      <c r="P640" s="842">
        <f t="shared" si="658"/>
        <v>0.14784761380827946</v>
      </c>
      <c r="Q640" s="842">
        <f t="shared" si="658"/>
        <v>0.12010717255397124</v>
      </c>
      <c r="R640" s="842">
        <f t="shared" si="658"/>
        <v>0.11121651238101468</v>
      </c>
      <c r="S640" s="842">
        <f t="shared" si="658"/>
        <v>0.15719073464424474</v>
      </c>
      <c r="T640" s="842">
        <f t="shared" si="658"/>
        <v>0.14521252458024506</v>
      </c>
      <c r="U640" s="842">
        <f t="shared" si="658"/>
        <v>0.12193139326938709</v>
      </c>
      <c r="V640" s="842">
        <f t="shared" si="658"/>
        <v>0.11136175437594587</v>
      </c>
      <c r="W640" s="842">
        <f t="shared" si="658"/>
        <v>0.15249914547892621</v>
      </c>
      <c r="X640" s="842">
        <f t="shared" si="658"/>
        <v>0.14803251332292619</v>
      </c>
      <c r="Y640" s="842">
        <f t="shared" si="658"/>
        <v>0.12535982913919583</v>
      </c>
      <c r="Z640" s="842">
        <f t="shared" si="658"/>
        <v>0.14386419220256078</v>
      </c>
      <c r="AA640" s="842">
        <f t="shared" si="658"/>
        <v>0.15817299358641013</v>
      </c>
      <c r="AB640" s="842">
        <f t="shared" si="658"/>
        <v>0.1632941280314231</v>
      </c>
      <c r="AC640" s="842">
        <f t="shared" si="658"/>
        <v>0.13145685122177544</v>
      </c>
      <c r="AD640" s="842">
        <f t="shared" si="658"/>
        <v>0.12763371150729336</v>
      </c>
      <c r="AE640" s="842">
        <f t="shared" si="658"/>
        <v>0.16774317940807867</v>
      </c>
      <c r="AF640" s="842">
        <f t="shared" si="658"/>
        <v>0.13167870396233192</v>
      </c>
      <c r="AG640" s="842"/>
      <c r="AH640" s="842"/>
      <c r="AI640" s="842"/>
      <c r="AJ640" s="842"/>
      <c r="AK640" s="842">
        <f t="shared" ref="AK640:BD640" si="662">+AK635/AK$12</f>
        <v>2.0408163265306121E-2</v>
      </c>
      <c r="AL640" s="842">
        <f t="shared" si="662"/>
        <v>3.5635246827153244E-2</v>
      </c>
      <c r="AM640" s="842">
        <f t="shared" si="662"/>
        <v>4.4286217284143815E-2</v>
      </c>
      <c r="AN640" s="842">
        <f t="shared" si="662"/>
        <v>5.2664680569347901E-2</v>
      </c>
      <c r="AO640" s="842">
        <f t="shared" si="662"/>
        <v>5.3373718705614595E-2</v>
      </c>
      <c r="AP640" s="842">
        <f t="shared" si="662"/>
        <v>3.1640099865565582E-2</v>
      </c>
      <c r="AQ640" s="842">
        <f t="shared" si="662"/>
        <v>3.3670274366269674E-2</v>
      </c>
      <c r="AR640" s="842">
        <f t="shared" si="662"/>
        <v>3.1265683707933749E-2</v>
      </c>
      <c r="AS640" s="842">
        <f t="shared" si="662"/>
        <v>5.4682783336972858E-2</v>
      </c>
      <c r="AT640" s="842">
        <f t="shared" si="662"/>
        <v>6.3167229048863904E-2</v>
      </c>
      <c r="AU640" s="842">
        <f t="shared" si="662"/>
        <v>6.3517845693524255E-2</v>
      </c>
      <c r="AV640" s="842">
        <f t="shared" si="662"/>
        <v>0.10431317393342709</v>
      </c>
      <c r="AW640" s="842">
        <f t="shared" si="662"/>
        <v>0.11339633129516398</v>
      </c>
      <c r="AX640" s="842"/>
      <c r="AY640" s="842">
        <f t="shared" si="662"/>
        <v>9.7636966013559465E-2</v>
      </c>
      <c r="AZ640" s="842">
        <f t="shared" si="662"/>
        <v>0.10562177051081588</v>
      </c>
      <c r="BA640" s="842">
        <f t="shared" si="662"/>
        <v>0.12323305545487495</v>
      </c>
      <c r="BB640" s="842">
        <f t="shared" si="662"/>
        <v>0.13429431911190928</v>
      </c>
      <c r="BC640" s="842">
        <f t="shared" si="662"/>
        <v>0.13285319721707514</v>
      </c>
      <c r="BD640" s="842">
        <f t="shared" si="662"/>
        <v>0.14397220503545763</v>
      </c>
      <c r="BE640" s="842">
        <f t="shared" si="654"/>
        <v>0.14727391940283452</v>
      </c>
      <c r="BF640" s="842"/>
    </row>
    <row r="641" spans="2:58" s="1" customFormat="1" ht="10.5">
      <c r="B641" s="837"/>
      <c r="D641" s="838"/>
      <c r="E641" s="838"/>
      <c r="F641" s="838"/>
      <c r="G641" s="838"/>
      <c r="H641" s="838"/>
      <c r="I641" s="838"/>
      <c r="J641" s="838"/>
      <c r="K641" s="838"/>
      <c r="L641" s="838"/>
      <c r="M641" s="838"/>
      <c r="N641" s="838"/>
      <c r="O641" s="838"/>
      <c r="P641" s="838"/>
      <c r="Q641" s="838"/>
      <c r="R641" s="838"/>
      <c r="S641" s="838"/>
      <c r="T641" s="838"/>
      <c r="U641" s="838"/>
      <c r="V641" s="838"/>
      <c r="W641" s="838"/>
      <c r="X641" s="838"/>
      <c r="Y641" s="838"/>
      <c r="Z641" s="838"/>
      <c r="AA641" s="838"/>
      <c r="AB641" s="838"/>
      <c r="AC641" s="838"/>
      <c r="AD641" s="838"/>
      <c r="AE641" s="838"/>
      <c r="AF641" s="838"/>
      <c r="AG641" s="838"/>
      <c r="AH641" s="838"/>
      <c r="AI641" s="838"/>
      <c r="AK641" s="838"/>
      <c r="AL641" s="838"/>
      <c r="AM641" s="838"/>
      <c r="AN641" s="838"/>
      <c r="AO641" s="838"/>
      <c r="AP641" s="838"/>
      <c r="AQ641" s="838"/>
      <c r="AR641" s="838"/>
      <c r="AS641" s="838"/>
      <c r="AT641" s="838"/>
      <c r="AU641" s="838"/>
      <c r="AV641" s="838"/>
      <c r="AW641" s="838"/>
      <c r="AY641" s="838"/>
      <c r="AZ641" s="838"/>
      <c r="BA641" s="838"/>
      <c r="BB641" s="838"/>
      <c r="BC641" s="838"/>
      <c r="BD641" s="838"/>
      <c r="BE641" s="838"/>
      <c r="BF641" s="838"/>
    </row>
    <row r="642" spans="2:58" ht="10.5">
      <c r="B642" s="5" t="s">
        <v>622</v>
      </c>
      <c r="C642" s="4"/>
      <c r="BD642" s="100"/>
    </row>
    <row r="643" spans="2:58" ht="10.5">
      <c r="B643" s="1"/>
      <c r="BD643" s="100"/>
    </row>
    <row r="644" spans="2:58" ht="10.5">
      <c r="B644" s="45" t="s">
        <v>623</v>
      </c>
      <c r="D644" s="876" t="s">
        <v>624</v>
      </c>
      <c r="E644" s="877"/>
      <c r="F644" s="877"/>
      <c r="G644" s="877"/>
      <c r="H644" s="877"/>
      <c r="I644" s="877"/>
      <c r="J644" s="877"/>
      <c r="BD644" s="100"/>
    </row>
    <row r="645" spans="2:58">
      <c r="B645" t="s">
        <v>625</v>
      </c>
      <c r="D645" s="29">
        <v>5431</v>
      </c>
      <c r="E645" s="29">
        <v>7185</v>
      </c>
      <c r="F645" s="29">
        <v>7170</v>
      </c>
      <c r="G645" s="29">
        <v>6510</v>
      </c>
      <c r="H645" s="29">
        <v>13928</v>
      </c>
      <c r="I645" s="29">
        <v>8468</v>
      </c>
      <c r="J645" s="29">
        <v>6713</v>
      </c>
      <c r="K645" s="29">
        <v>7663</v>
      </c>
      <c r="L645" s="29">
        <v>6884</v>
      </c>
      <c r="M645" s="29">
        <v>12859</v>
      </c>
      <c r="N645" s="29">
        <v>9221</v>
      </c>
      <c r="O645" s="29">
        <v>11946</v>
      </c>
      <c r="P645" s="29">
        <v>15137</v>
      </c>
      <c r="Q645" s="29">
        <v>6638</v>
      </c>
      <c r="R645" s="29">
        <v>11212</v>
      </c>
      <c r="S645" s="29">
        <f>+BB645</f>
        <v>11356</v>
      </c>
      <c r="T645" s="29">
        <v>13117</v>
      </c>
      <c r="U645" s="29">
        <v>8864</v>
      </c>
      <c r="V645" s="29">
        <v>11710</v>
      </c>
      <c r="W645" s="29">
        <v>13576</v>
      </c>
      <c r="X645" s="29">
        <v>17205</v>
      </c>
      <c r="Y645" s="29">
        <v>14432</v>
      </c>
      <c r="Z645" s="29">
        <v>13702</v>
      </c>
      <c r="AA645" s="29">
        <v>14224</v>
      </c>
      <c r="AB645" s="29">
        <v>19165</v>
      </c>
      <c r="AC645" s="29">
        <v>20604</v>
      </c>
      <c r="AD645" s="29">
        <v>12498</v>
      </c>
      <c r="AE645" s="29">
        <v>13931</v>
      </c>
      <c r="AF645" s="29">
        <v>22884</v>
      </c>
      <c r="AG645" s="952"/>
      <c r="AH645" s="29"/>
      <c r="AI645" s="952"/>
      <c r="AK645" s="29">
        <v>4851</v>
      </c>
      <c r="AL645" s="29">
        <v>6714</v>
      </c>
      <c r="AM645" s="29">
        <v>6111</v>
      </c>
      <c r="AN645" s="29">
        <v>10339</v>
      </c>
      <c r="AO645" s="29">
        <v>6076</v>
      </c>
      <c r="AP645" s="29">
        <v>5505</v>
      </c>
      <c r="AQ645" s="29">
        <v>9610</v>
      </c>
      <c r="AR645" s="29">
        <v>6938</v>
      </c>
      <c r="AS645" s="29">
        <v>3804</v>
      </c>
      <c r="AT645" s="29">
        <v>8669</v>
      </c>
      <c r="AU645" s="29">
        <v>5595</v>
      </c>
      <c r="AV645" s="29">
        <v>6510</v>
      </c>
      <c r="AW645" s="29">
        <v>7663</v>
      </c>
      <c r="AY645" s="1016"/>
      <c r="AZ645" s="29">
        <v>7663</v>
      </c>
      <c r="BA645" s="29">
        <v>11946</v>
      </c>
      <c r="BB645" s="29">
        <v>11356</v>
      </c>
      <c r="BC645" s="11">
        <f t="shared" ref="BC645:BC650" si="663">+W645</f>
        <v>13576</v>
      </c>
      <c r="BD645" s="11">
        <f>+AA645</f>
        <v>14224</v>
      </c>
      <c r="BE645" s="11">
        <f>+AE645</f>
        <v>13931</v>
      </c>
      <c r="BF645" s="29"/>
    </row>
    <row r="646" spans="2:58">
      <c r="B646" t="s">
        <v>626</v>
      </c>
      <c r="D646" s="29">
        <v>93924</v>
      </c>
      <c r="E646" s="29">
        <v>95455</v>
      </c>
      <c r="F646" s="29">
        <v>98382</v>
      </c>
      <c r="G646" s="29">
        <v>106730</v>
      </c>
      <c r="H646" s="29">
        <v>123004</v>
      </c>
      <c r="I646" s="29">
        <v>114313</v>
      </c>
      <c r="J646" s="29">
        <v>119305</v>
      </c>
      <c r="K646" s="29">
        <v>125318</v>
      </c>
      <c r="L646" s="29">
        <v>131587</v>
      </c>
      <c r="M646" s="29">
        <v>129921</v>
      </c>
      <c r="N646" s="29">
        <v>123049</v>
      </c>
      <c r="O646" s="29">
        <v>121822</v>
      </c>
      <c r="P646" s="29">
        <v>120743</v>
      </c>
      <c r="Q646" s="29">
        <v>121024</v>
      </c>
      <c r="R646" s="29">
        <v>120406</v>
      </c>
      <c r="S646" s="29">
        <f t="shared" ref="S646:S650" si="664">+BB646</f>
        <v>122463</v>
      </c>
      <c r="T646" s="29">
        <v>123519</v>
      </c>
      <c r="U646" s="29">
        <v>125389</v>
      </c>
      <c r="V646" s="29">
        <v>125916</v>
      </c>
      <c r="W646" s="29">
        <v>122951</v>
      </c>
      <c r="X646" s="29">
        <v>120772</v>
      </c>
      <c r="Y646" s="29">
        <v>117536</v>
      </c>
      <c r="Z646" s="29">
        <v>111705</v>
      </c>
      <c r="AA646" s="29">
        <v>116110</v>
      </c>
      <c r="AB646" s="29">
        <v>111450</v>
      </c>
      <c r="AC646" s="29">
        <v>104765</v>
      </c>
      <c r="AD646" s="29">
        <v>92195</v>
      </c>
      <c r="AE646" s="29">
        <v>90826</v>
      </c>
      <c r="AF646" s="29">
        <v>84378</v>
      </c>
      <c r="AG646" s="29"/>
      <c r="AH646" s="29"/>
      <c r="AI646" s="29"/>
      <c r="AK646" s="29">
        <v>32900</v>
      </c>
      <c r="AL646" s="29">
        <v>27447</v>
      </c>
      <c r="AM646" s="29">
        <v>17300</v>
      </c>
      <c r="AN646" s="29">
        <v>13323</v>
      </c>
      <c r="AO646" s="29">
        <v>25371</v>
      </c>
      <c r="AP646" s="29">
        <v>31283</v>
      </c>
      <c r="AQ646" s="29">
        <v>43162</v>
      </c>
      <c r="AR646" s="29">
        <v>56102</v>
      </c>
      <c r="AS646" s="29">
        <v>73218</v>
      </c>
      <c r="AT646" s="29">
        <v>77040</v>
      </c>
      <c r="AU646" s="29">
        <v>90931</v>
      </c>
      <c r="AV646" s="29">
        <v>106730</v>
      </c>
      <c r="AW646" s="29">
        <v>125318</v>
      </c>
      <c r="AY646" s="1018"/>
      <c r="AZ646" s="29">
        <v>125318</v>
      </c>
      <c r="BA646" s="29">
        <v>121822</v>
      </c>
      <c r="BB646" s="29">
        <v>122463</v>
      </c>
      <c r="BC646" s="11">
        <f t="shared" si="663"/>
        <v>122951</v>
      </c>
      <c r="BD646" s="11">
        <f t="shared" ref="BD646:BD659" si="665">+AA646</f>
        <v>116110</v>
      </c>
      <c r="BE646" s="11">
        <f t="shared" ref="BE646:BE659" si="666">+AE646</f>
        <v>90826</v>
      </c>
      <c r="BF646" s="29"/>
    </row>
    <row r="647" spans="2:58">
      <c r="B647" t="s">
        <v>627</v>
      </c>
      <c r="D647" s="29">
        <v>11444</v>
      </c>
      <c r="E647" s="29">
        <v>14507</v>
      </c>
      <c r="F647" s="29">
        <v>12247</v>
      </c>
      <c r="G647" s="29">
        <v>18277</v>
      </c>
      <c r="H647" s="29">
        <v>11129</v>
      </c>
      <c r="I647" s="29">
        <v>14343</v>
      </c>
      <c r="J647" s="29">
        <v>12882</v>
      </c>
      <c r="K647" s="29">
        <v>22431</v>
      </c>
      <c r="L647" s="29">
        <v>14561</v>
      </c>
      <c r="M647" s="29">
        <v>18428</v>
      </c>
      <c r="N647" s="29">
        <v>17208</v>
      </c>
      <c r="O647" s="29">
        <v>26481</v>
      </c>
      <c r="P647" s="29">
        <v>17390</v>
      </c>
      <c r="Q647" s="29">
        <v>19680</v>
      </c>
      <c r="R647" s="29">
        <v>19269</v>
      </c>
      <c r="S647" s="29">
        <f t="shared" si="664"/>
        <v>29524</v>
      </c>
      <c r="T647" s="29">
        <v>19087</v>
      </c>
      <c r="U647" s="29">
        <v>23525</v>
      </c>
      <c r="V647" s="29">
        <v>22699</v>
      </c>
      <c r="W647" s="29">
        <v>32011</v>
      </c>
      <c r="X647" s="29">
        <v>22851</v>
      </c>
      <c r="Y647" s="29">
        <v>27312</v>
      </c>
      <c r="Z647" s="29">
        <v>26322</v>
      </c>
      <c r="AA647" s="29">
        <v>38043</v>
      </c>
      <c r="AB647" s="29">
        <v>27349</v>
      </c>
      <c r="AC647" s="29">
        <v>33520</v>
      </c>
      <c r="AD647" s="29">
        <v>32613</v>
      </c>
      <c r="AE647" s="29">
        <v>44261</v>
      </c>
      <c r="AF647" s="29">
        <v>31279</v>
      </c>
      <c r="AG647" s="29"/>
      <c r="AH647" s="29"/>
      <c r="AI647" s="29"/>
      <c r="AK647" s="29">
        <v>7180</v>
      </c>
      <c r="AL647" s="29">
        <v>9316</v>
      </c>
      <c r="AM647" s="29">
        <v>11338</v>
      </c>
      <c r="AN647" s="29">
        <v>13589</v>
      </c>
      <c r="AO647" s="29">
        <v>11192</v>
      </c>
      <c r="AP647" s="29">
        <v>13014</v>
      </c>
      <c r="AQ647" s="29">
        <v>14987</v>
      </c>
      <c r="AR647" s="29">
        <v>15780</v>
      </c>
      <c r="AS647" s="29">
        <v>17486</v>
      </c>
      <c r="AT647" s="29">
        <v>19544</v>
      </c>
      <c r="AU647" s="29">
        <v>17908</v>
      </c>
      <c r="AV647" s="29">
        <v>18277</v>
      </c>
      <c r="AW647" s="29">
        <v>19792</v>
      </c>
      <c r="AY647" s="1018"/>
      <c r="AZ647" s="29">
        <v>22431</v>
      </c>
      <c r="BA647" s="29">
        <v>26481</v>
      </c>
      <c r="BB647" s="29">
        <v>29524</v>
      </c>
      <c r="BC647" s="11">
        <f t="shared" si="663"/>
        <v>32011</v>
      </c>
      <c r="BD647" s="11">
        <f t="shared" si="665"/>
        <v>38043</v>
      </c>
      <c r="BE647" s="11">
        <f t="shared" si="666"/>
        <v>44261</v>
      </c>
      <c r="BF647" s="29"/>
    </row>
    <row r="648" spans="2:58">
      <c r="B648" t="s">
        <v>588</v>
      </c>
      <c r="D648" s="29">
        <v>3816</v>
      </c>
      <c r="E648" s="29">
        <v>2702</v>
      </c>
      <c r="F648" s="29">
        <v>2450</v>
      </c>
      <c r="G648" s="29">
        <v>2251</v>
      </c>
      <c r="H648" s="29">
        <v>3122</v>
      </c>
      <c r="I648" s="29">
        <v>1961</v>
      </c>
      <c r="J648" s="29">
        <v>1979</v>
      </c>
      <c r="K648" s="29">
        <v>2181</v>
      </c>
      <c r="L648" s="29">
        <v>3211</v>
      </c>
      <c r="M648" s="29">
        <v>2003</v>
      </c>
      <c r="N648" s="29">
        <v>2084</v>
      </c>
      <c r="O648" s="29">
        <v>2662</v>
      </c>
      <c r="P648" s="29">
        <v>3614</v>
      </c>
      <c r="Q648" s="29">
        <v>1961</v>
      </c>
      <c r="R648" s="29">
        <v>1951</v>
      </c>
      <c r="S648" s="29">
        <f t="shared" si="664"/>
        <v>2063</v>
      </c>
      <c r="T648" s="29">
        <v>2622</v>
      </c>
      <c r="U648" s="29">
        <v>1823</v>
      </c>
      <c r="V648" s="29">
        <v>1644</v>
      </c>
      <c r="W648" s="29">
        <v>1895</v>
      </c>
      <c r="X648" s="29">
        <v>2705</v>
      </c>
      <c r="Y648" s="29">
        <v>1924</v>
      </c>
      <c r="Z648" s="29">
        <v>2245</v>
      </c>
      <c r="AA648" s="29">
        <v>2636</v>
      </c>
      <c r="AB648" s="29">
        <v>3411</v>
      </c>
      <c r="AC648" s="29">
        <v>3019</v>
      </c>
      <c r="AD648" s="29">
        <v>3296</v>
      </c>
      <c r="AE648" s="29">
        <v>3742</v>
      </c>
      <c r="AF648" s="29">
        <v>4268</v>
      </c>
      <c r="AG648" s="29"/>
      <c r="AH648" s="29"/>
      <c r="AI648" s="29"/>
      <c r="AK648" s="29">
        <v>491</v>
      </c>
      <c r="AL648" s="29">
        <v>1478</v>
      </c>
      <c r="AM648" s="29">
        <v>1127</v>
      </c>
      <c r="AN648" s="29">
        <v>985</v>
      </c>
      <c r="AO648" s="29">
        <v>717</v>
      </c>
      <c r="AP648" s="29">
        <v>740</v>
      </c>
      <c r="AQ648" s="29">
        <v>1372</v>
      </c>
      <c r="AR648" s="29">
        <v>1137</v>
      </c>
      <c r="AS648" s="29">
        <v>1938</v>
      </c>
      <c r="AT648" s="29">
        <v>2660</v>
      </c>
      <c r="AU648" s="29">
        <v>2902</v>
      </c>
      <c r="AV648" s="29">
        <v>2251</v>
      </c>
      <c r="AW648" s="29">
        <v>2181</v>
      </c>
      <c r="AY648" s="1018"/>
      <c r="AZ648" s="29">
        <v>2181</v>
      </c>
      <c r="BA648" s="29">
        <v>2662</v>
      </c>
      <c r="BB648" s="29">
        <v>2063</v>
      </c>
      <c r="BC648" s="11">
        <f t="shared" si="663"/>
        <v>1895</v>
      </c>
      <c r="BD648" s="11">
        <f t="shared" si="665"/>
        <v>2636</v>
      </c>
      <c r="BE648" s="11">
        <f t="shared" si="666"/>
        <v>3742</v>
      </c>
      <c r="BF648" s="29"/>
    </row>
    <row r="649" spans="2:58">
      <c r="B649" t="s">
        <v>584</v>
      </c>
      <c r="D649" s="29">
        <v>1447</v>
      </c>
      <c r="E649" s="29">
        <v>1618</v>
      </c>
      <c r="F649" s="29">
        <v>1574</v>
      </c>
      <c r="G649" s="29">
        <v>0</v>
      </c>
      <c r="H649" s="29">
        <v>0</v>
      </c>
      <c r="I649" s="29">
        <v>0</v>
      </c>
      <c r="J649" s="29">
        <v>0</v>
      </c>
      <c r="K649" s="29">
        <v>0</v>
      </c>
      <c r="L649" s="29">
        <v>0</v>
      </c>
      <c r="M649" s="29">
        <v>0</v>
      </c>
      <c r="N649" s="29">
        <v>0</v>
      </c>
      <c r="O649" s="29">
        <v>0</v>
      </c>
      <c r="P649" s="29">
        <v>0</v>
      </c>
      <c r="Q649" s="29">
        <v>0</v>
      </c>
      <c r="R649" s="29">
        <v>0</v>
      </c>
      <c r="S649" s="29">
        <f t="shared" si="664"/>
        <v>0</v>
      </c>
      <c r="T649" s="29">
        <v>0</v>
      </c>
      <c r="U649" s="29">
        <v>0</v>
      </c>
      <c r="V649" s="29">
        <v>0</v>
      </c>
      <c r="W649" s="29">
        <v>0</v>
      </c>
      <c r="X649" s="29">
        <v>0</v>
      </c>
      <c r="Y649" s="29">
        <v>0</v>
      </c>
      <c r="Z649" s="29">
        <v>0</v>
      </c>
      <c r="AA649" s="29">
        <v>0</v>
      </c>
      <c r="AB649" s="29">
        <v>0</v>
      </c>
      <c r="AC649" s="29">
        <v>0</v>
      </c>
      <c r="AD649" s="29">
        <v>0</v>
      </c>
      <c r="AE649" s="29">
        <v>0</v>
      </c>
      <c r="AF649" s="29">
        <v>0</v>
      </c>
      <c r="AG649" s="29"/>
      <c r="AH649" s="29"/>
      <c r="AI649" s="29"/>
      <c r="AK649" s="29">
        <v>1701</v>
      </c>
      <c r="AL649" s="29">
        <v>1940</v>
      </c>
      <c r="AM649" s="29">
        <v>1899</v>
      </c>
      <c r="AN649" s="29">
        <v>2017</v>
      </c>
      <c r="AO649" s="29">
        <v>2213</v>
      </c>
      <c r="AP649" s="29">
        <v>2184</v>
      </c>
      <c r="AQ649" s="29">
        <v>2467</v>
      </c>
      <c r="AR649" s="29">
        <v>2035</v>
      </c>
      <c r="AS649" s="29">
        <v>1632</v>
      </c>
      <c r="AT649" s="29">
        <v>1941</v>
      </c>
      <c r="AU649" s="29">
        <v>0</v>
      </c>
      <c r="AV649" s="29">
        <v>0</v>
      </c>
      <c r="AW649" s="29">
        <v>0</v>
      </c>
      <c r="AY649" s="1018"/>
      <c r="AZ649" s="29">
        <v>0</v>
      </c>
      <c r="BA649" s="29">
        <v>0</v>
      </c>
      <c r="BB649" s="29">
        <v>0</v>
      </c>
      <c r="BC649" s="11">
        <f t="shared" si="663"/>
        <v>0</v>
      </c>
      <c r="BD649" s="11">
        <f t="shared" si="665"/>
        <v>0</v>
      </c>
      <c r="BE649" s="11">
        <f t="shared" si="666"/>
        <v>0</v>
      </c>
      <c r="BF649" s="29"/>
    </row>
    <row r="650" spans="2:58" s="852" customFormat="1" ht="11.45">
      <c r="B650" t="s">
        <v>594</v>
      </c>
      <c r="D650" s="939">
        <v>5594</v>
      </c>
      <c r="E650" s="939">
        <v>6345</v>
      </c>
      <c r="F650" s="939">
        <v>6598</v>
      </c>
      <c r="G650" s="939">
        <v>5892</v>
      </c>
      <c r="H650" s="939">
        <v>6726</v>
      </c>
      <c r="I650" s="939">
        <v>5864</v>
      </c>
      <c r="J650" s="939">
        <v>5434</v>
      </c>
      <c r="K650" s="939">
        <v>5103</v>
      </c>
      <c r="L650" s="939">
        <v>4788</v>
      </c>
      <c r="M650" s="939">
        <v>4422</v>
      </c>
      <c r="N650" s="939">
        <v>5097</v>
      </c>
      <c r="O650" s="939">
        <v>6751</v>
      </c>
      <c r="P650" s="939">
        <v>7311</v>
      </c>
      <c r="Q650" s="939">
        <v>7571</v>
      </c>
      <c r="R650" s="939">
        <v>7049</v>
      </c>
      <c r="S650" s="939">
        <f t="shared" si="664"/>
        <v>10146</v>
      </c>
      <c r="T650" s="939">
        <v>7551</v>
      </c>
      <c r="U650" s="939">
        <v>7473</v>
      </c>
      <c r="V650" s="939">
        <v>8536</v>
      </c>
      <c r="W650" s="939">
        <v>11482</v>
      </c>
      <c r="X650" s="939">
        <v>13544</v>
      </c>
      <c r="Y650" s="939">
        <v>12769</v>
      </c>
      <c r="Z650" s="30">
        <v>11640</v>
      </c>
      <c r="AA650" s="939">
        <v>13393</v>
      </c>
      <c r="AB650" s="939">
        <v>12951</v>
      </c>
      <c r="AC650" s="939">
        <v>12280</v>
      </c>
      <c r="AD650" s="939">
        <v>13320</v>
      </c>
      <c r="AE650" s="939">
        <v>16924</v>
      </c>
      <c r="AF650" s="939">
        <v>18003</v>
      </c>
      <c r="AG650" s="939"/>
      <c r="AH650" s="939"/>
      <c r="AI650" s="939"/>
      <c r="AK650" s="939">
        <v>1614</v>
      </c>
      <c r="AL650" s="939">
        <v>2115</v>
      </c>
      <c r="AM650" s="939">
        <v>2393</v>
      </c>
      <c r="AN650" s="939">
        <v>2989</v>
      </c>
      <c r="AO650" s="939">
        <v>3711</v>
      </c>
      <c r="AP650" s="939">
        <v>2950</v>
      </c>
      <c r="AQ650" s="939">
        <v>3320</v>
      </c>
      <c r="AR650" s="939">
        <v>3092</v>
      </c>
      <c r="AS650" s="939">
        <v>3388</v>
      </c>
      <c r="AT650" s="939">
        <v>4392</v>
      </c>
      <c r="AU650" s="939">
        <v>5461</v>
      </c>
      <c r="AV650" s="939">
        <v>5892</v>
      </c>
      <c r="AW650" s="939">
        <v>4897</v>
      </c>
      <c r="AY650" s="1019"/>
      <c r="AZ650" s="939">
        <v>5103</v>
      </c>
      <c r="BA650" s="939">
        <v>6751</v>
      </c>
      <c r="BB650" s="939">
        <v>10146</v>
      </c>
      <c r="BC650" s="940">
        <f t="shared" si="663"/>
        <v>11482</v>
      </c>
      <c r="BD650" s="940">
        <f t="shared" si="665"/>
        <v>13393</v>
      </c>
      <c r="BE650" s="940">
        <f t="shared" si="666"/>
        <v>16924</v>
      </c>
      <c r="BF650" s="939"/>
    </row>
    <row r="651" spans="2:58">
      <c r="B651" s="12" t="s">
        <v>628</v>
      </c>
      <c r="D651" s="8">
        <f>SUM(D645:D650)</f>
        <v>121656</v>
      </c>
      <c r="E651" s="8">
        <f t="shared" ref="E651:AF651" si="667">SUM(E645:E650)</f>
        <v>127812</v>
      </c>
      <c r="F651" s="8">
        <f t="shared" si="667"/>
        <v>128421</v>
      </c>
      <c r="G651" s="8">
        <f t="shared" si="667"/>
        <v>139660</v>
      </c>
      <c r="H651" s="8">
        <f t="shared" si="667"/>
        <v>157909</v>
      </c>
      <c r="I651" s="8">
        <f t="shared" si="667"/>
        <v>144949</v>
      </c>
      <c r="J651" s="8">
        <f t="shared" si="667"/>
        <v>146313</v>
      </c>
      <c r="K651" s="8">
        <f t="shared" si="667"/>
        <v>162696</v>
      </c>
      <c r="L651" s="8">
        <f t="shared" si="667"/>
        <v>161031</v>
      </c>
      <c r="M651" s="8">
        <f t="shared" si="667"/>
        <v>167633</v>
      </c>
      <c r="N651" s="8">
        <f t="shared" si="667"/>
        <v>156659</v>
      </c>
      <c r="O651" s="8">
        <f t="shared" si="667"/>
        <v>169662</v>
      </c>
      <c r="P651" s="8">
        <f t="shared" si="667"/>
        <v>164195</v>
      </c>
      <c r="Q651" s="8">
        <f t="shared" si="667"/>
        <v>156874</v>
      </c>
      <c r="R651" s="8">
        <f t="shared" si="667"/>
        <v>159887</v>
      </c>
      <c r="S651" s="8">
        <f t="shared" si="667"/>
        <v>175552</v>
      </c>
      <c r="T651" s="8">
        <f t="shared" si="667"/>
        <v>165896</v>
      </c>
      <c r="U651" s="8">
        <f t="shared" si="667"/>
        <v>167074</v>
      </c>
      <c r="V651" s="8">
        <f t="shared" si="667"/>
        <v>170505</v>
      </c>
      <c r="W651" s="8">
        <f t="shared" si="667"/>
        <v>181915</v>
      </c>
      <c r="X651" s="8">
        <f t="shared" si="667"/>
        <v>177077</v>
      </c>
      <c r="Y651" s="8">
        <f t="shared" si="667"/>
        <v>173973</v>
      </c>
      <c r="Z651" s="8">
        <f t="shared" si="667"/>
        <v>165614</v>
      </c>
      <c r="AA651" s="8">
        <f t="shared" si="667"/>
        <v>184406</v>
      </c>
      <c r="AB651" s="8">
        <f t="shared" si="667"/>
        <v>174326</v>
      </c>
      <c r="AC651" s="8">
        <f t="shared" si="667"/>
        <v>174188</v>
      </c>
      <c r="AD651" s="8">
        <f t="shared" si="667"/>
        <v>153922</v>
      </c>
      <c r="AE651" s="8">
        <f t="shared" si="667"/>
        <v>169684</v>
      </c>
      <c r="AF651" s="8">
        <f t="shared" si="667"/>
        <v>160812</v>
      </c>
      <c r="AG651" s="8"/>
      <c r="AH651" s="8"/>
      <c r="AI651" s="8"/>
      <c r="AK651" s="8">
        <f>SUM(AK645:AK650)</f>
        <v>48737</v>
      </c>
      <c r="AL651" s="8">
        <f t="shared" ref="AL651:AW651" si="668">SUM(AL645:AL650)</f>
        <v>49010</v>
      </c>
      <c r="AM651" s="8">
        <f t="shared" si="668"/>
        <v>40168</v>
      </c>
      <c r="AN651" s="8">
        <f t="shared" si="668"/>
        <v>43242</v>
      </c>
      <c r="AO651" s="8">
        <f t="shared" si="668"/>
        <v>49280</v>
      </c>
      <c r="AP651" s="8">
        <f t="shared" si="668"/>
        <v>55676</v>
      </c>
      <c r="AQ651" s="8">
        <f t="shared" si="668"/>
        <v>74918</v>
      </c>
      <c r="AR651" s="8">
        <f t="shared" si="668"/>
        <v>85084</v>
      </c>
      <c r="AS651" s="8">
        <f t="shared" si="668"/>
        <v>101466</v>
      </c>
      <c r="AT651" s="8">
        <f t="shared" si="668"/>
        <v>114246</v>
      </c>
      <c r="AU651" s="8">
        <f t="shared" si="668"/>
        <v>122797</v>
      </c>
      <c r="AV651" s="8">
        <f t="shared" si="668"/>
        <v>139660</v>
      </c>
      <c r="AW651" s="8">
        <f t="shared" si="668"/>
        <v>159851</v>
      </c>
      <c r="AY651" s="1016"/>
      <c r="AZ651" s="8">
        <f t="shared" ref="AZ651" si="669">SUM(AZ645:AZ650)</f>
        <v>162696</v>
      </c>
      <c r="BA651" s="8">
        <v>169662</v>
      </c>
      <c r="BB651" s="8">
        <f>+SUM(BB645:BB650)</f>
        <v>175552</v>
      </c>
      <c r="BC651" s="11">
        <f>+SUM(BC645:BC650)</f>
        <v>181915</v>
      </c>
      <c r="BD651" s="11">
        <f t="shared" si="665"/>
        <v>184406</v>
      </c>
      <c r="BE651" s="11">
        <f t="shared" si="666"/>
        <v>169684</v>
      </c>
      <c r="BF651" s="8"/>
    </row>
    <row r="652" spans="2:58">
      <c r="B652" t="s">
        <v>629</v>
      </c>
      <c r="D652" s="29">
        <v>0</v>
      </c>
      <c r="E652" s="29">
        <v>0</v>
      </c>
      <c r="F652" s="29">
        <v>0</v>
      </c>
      <c r="G652" s="29">
        <v>0</v>
      </c>
      <c r="H652" s="29">
        <v>0</v>
      </c>
      <c r="I652" s="29">
        <v>0</v>
      </c>
      <c r="J652" s="29">
        <v>0</v>
      </c>
      <c r="K652" s="29">
        <v>6555</v>
      </c>
      <c r="L652" s="29">
        <v>6844</v>
      </c>
      <c r="M652" s="29">
        <v>6749</v>
      </c>
      <c r="N652" s="29">
        <v>6859</v>
      </c>
      <c r="O652" s="29">
        <v>6686</v>
      </c>
      <c r="P652" s="29">
        <v>6734</v>
      </c>
      <c r="Q652" s="29">
        <v>6806</v>
      </c>
      <c r="R652" s="29">
        <v>7121</v>
      </c>
      <c r="S652" s="29">
        <f t="shared" ref="S652:S658" si="670">+BB652</f>
        <v>7379</v>
      </c>
      <c r="T652" s="29">
        <v>7890</v>
      </c>
      <c r="U652" s="29">
        <v>8439</v>
      </c>
      <c r="V652" s="29">
        <v>8448</v>
      </c>
      <c r="W652" s="29">
        <v>8753</v>
      </c>
      <c r="X652" s="29">
        <v>9047</v>
      </c>
      <c r="Y652" s="29">
        <v>10298</v>
      </c>
      <c r="Z652" s="29">
        <v>10673</v>
      </c>
      <c r="AA652" s="29">
        <v>59715</v>
      </c>
      <c r="AB652" s="29">
        <v>63772</v>
      </c>
      <c r="AC652" s="29">
        <v>67214</v>
      </c>
      <c r="AD652" s="29">
        <v>70298</v>
      </c>
      <c r="AE652" s="29">
        <v>74398</v>
      </c>
      <c r="AF652" s="29">
        <v>77037</v>
      </c>
      <c r="AG652" s="29"/>
      <c r="AH652" s="29"/>
      <c r="AI652" s="29"/>
      <c r="AK652" s="29">
        <v>0</v>
      </c>
      <c r="AL652" s="29">
        <v>0</v>
      </c>
      <c r="AM652" s="29">
        <v>0</v>
      </c>
      <c r="AN652" s="29">
        <v>0</v>
      </c>
      <c r="AO652" s="29">
        <v>0</v>
      </c>
      <c r="AP652" s="29">
        <v>0</v>
      </c>
      <c r="AQ652" s="29">
        <v>0</v>
      </c>
      <c r="AR652" s="29">
        <v>0</v>
      </c>
      <c r="AS652" s="29">
        <v>0</v>
      </c>
      <c r="AT652" s="29">
        <v>0</v>
      </c>
      <c r="AU652" s="29">
        <v>0</v>
      </c>
      <c r="AV652" s="29">
        <v>0</v>
      </c>
      <c r="AW652" s="29">
        <v>0</v>
      </c>
      <c r="AY652" s="1018"/>
      <c r="AZ652" s="29">
        <v>6555</v>
      </c>
      <c r="BA652" s="29">
        <v>6686</v>
      </c>
      <c r="BB652" s="29">
        <v>7379</v>
      </c>
      <c r="BC652" s="11">
        <f t="shared" ref="BC652:BC658" si="671">+W652</f>
        <v>8753</v>
      </c>
      <c r="BD652" s="11">
        <f t="shared" si="665"/>
        <v>59715</v>
      </c>
      <c r="BE652" s="11">
        <f t="shared" si="666"/>
        <v>74398</v>
      </c>
      <c r="BF652" s="29"/>
    </row>
    <row r="653" spans="2:58">
      <c r="B653" t="s">
        <v>630</v>
      </c>
      <c r="D653" s="29">
        <v>15046</v>
      </c>
      <c r="E653" s="29">
        <v>15789</v>
      </c>
      <c r="F653" s="29">
        <v>16831</v>
      </c>
      <c r="G653" s="29">
        <v>18356</v>
      </c>
      <c r="H653" s="29">
        <v>19224</v>
      </c>
      <c r="I653" s="29">
        <v>21379</v>
      </c>
      <c r="J653" s="29">
        <v>21962</v>
      </c>
      <c r="K653" s="29">
        <v>23734</v>
      </c>
      <c r="L653" s="29">
        <v>24809</v>
      </c>
      <c r="M653" s="29">
        <v>26304</v>
      </c>
      <c r="N653" s="29">
        <v>27929</v>
      </c>
      <c r="O653" s="29">
        <v>29460</v>
      </c>
      <c r="P653" s="29">
        <v>31430</v>
      </c>
      <c r="Q653" s="29">
        <v>32717</v>
      </c>
      <c r="R653" s="29">
        <v>33648</v>
      </c>
      <c r="S653" s="29">
        <f t="shared" si="670"/>
        <v>36477</v>
      </c>
      <c r="T653" s="29">
        <v>38409</v>
      </c>
      <c r="U653" s="29">
        <v>40522</v>
      </c>
      <c r="V653" s="29">
        <v>41221</v>
      </c>
      <c r="W653" s="29">
        <v>44151</v>
      </c>
      <c r="X653" s="29">
        <v>47927</v>
      </c>
      <c r="Y653" s="29">
        <v>51737</v>
      </c>
      <c r="Z653" s="29">
        <v>54945</v>
      </c>
      <c r="AA653" s="29">
        <v>11088</v>
      </c>
      <c r="AB653" s="29">
        <v>11575</v>
      </c>
      <c r="AC653" s="29">
        <v>12354</v>
      </c>
      <c r="AD653" s="29">
        <v>12916</v>
      </c>
      <c r="AE653" s="29">
        <v>13148</v>
      </c>
      <c r="AF653" s="29">
        <v>13347</v>
      </c>
      <c r="AG653" s="29"/>
      <c r="AH653" s="29"/>
      <c r="AI653" s="29"/>
      <c r="AK653" s="29">
        <v>2346</v>
      </c>
      <c r="AL653" s="29">
        <v>3044</v>
      </c>
      <c r="AM653" s="29">
        <v>4350</v>
      </c>
      <c r="AN653" s="29">
        <v>6242</v>
      </c>
      <c r="AO653" s="29">
        <v>7535</v>
      </c>
      <c r="AP653" s="29">
        <v>7630</v>
      </c>
      <c r="AQ653" s="29">
        <v>8162</v>
      </c>
      <c r="AR653" s="29">
        <v>8269</v>
      </c>
      <c r="AS653" s="29">
        <v>9991</v>
      </c>
      <c r="AT653" s="29">
        <v>13011</v>
      </c>
      <c r="AU653" s="29">
        <v>14731</v>
      </c>
      <c r="AV653" s="29">
        <v>18356</v>
      </c>
      <c r="AW653" s="29">
        <v>23734</v>
      </c>
      <c r="AY653" s="1018"/>
      <c r="AZ653" s="29">
        <v>23734</v>
      </c>
      <c r="BA653" s="29">
        <v>29460</v>
      </c>
      <c r="BB653" s="29">
        <v>36477</v>
      </c>
      <c r="BC653" s="11">
        <f t="shared" si="671"/>
        <v>44151</v>
      </c>
      <c r="BD653" s="11">
        <f t="shared" si="665"/>
        <v>11088</v>
      </c>
      <c r="BE653" s="11">
        <f t="shared" si="666"/>
        <v>13148</v>
      </c>
      <c r="BF653" s="29"/>
    </row>
    <row r="654" spans="2:58">
      <c r="B654" t="s">
        <v>631</v>
      </c>
      <c r="D654" s="29">
        <v>11438</v>
      </c>
      <c r="E654" s="29">
        <v>11514</v>
      </c>
      <c r="F654" s="29">
        <v>11315</v>
      </c>
      <c r="G654" s="29">
        <v>10431</v>
      </c>
      <c r="H654" s="29">
        <v>10486</v>
      </c>
      <c r="I654" s="29">
        <v>8912</v>
      </c>
      <c r="J654" s="29">
        <v>7381</v>
      </c>
      <c r="K654" s="29">
        <v>6023</v>
      </c>
      <c r="L654" s="29">
        <v>5343</v>
      </c>
      <c r="M654" s="29">
        <v>3961</v>
      </c>
      <c r="N654" s="29">
        <v>2818</v>
      </c>
      <c r="O654" s="29">
        <v>1862</v>
      </c>
      <c r="P654" s="29">
        <v>2034</v>
      </c>
      <c r="Q654" s="29">
        <v>2274</v>
      </c>
      <c r="R654" s="29">
        <v>2403</v>
      </c>
      <c r="S654" s="29">
        <f t="shared" si="670"/>
        <v>2649</v>
      </c>
      <c r="T654" s="29">
        <v>2684</v>
      </c>
      <c r="U654" s="29">
        <v>2755</v>
      </c>
      <c r="V654" s="29">
        <v>2660</v>
      </c>
      <c r="W654" s="29">
        <v>2965</v>
      </c>
      <c r="X654" s="29">
        <v>3103</v>
      </c>
      <c r="Y654" s="29">
        <v>3794</v>
      </c>
      <c r="Z654" s="29">
        <v>5395</v>
      </c>
      <c r="AA654" s="29">
        <v>5984</v>
      </c>
      <c r="AB654" s="29">
        <v>6393</v>
      </c>
      <c r="AC654" s="29">
        <v>6994</v>
      </c>
      <c r="AD654" s="29">
        <v>6907</v>
      </c>
      <c r="AE654" s="29">
        <v>6891</v>
      </c>
      <c r="AF654" s="29">
        <v>6839</v>
      </c>
      <c r="AG654" s="29"/>
      <c r="AH654" s="29"/>
      <c r="AI654" s="29"/>
      <c r="AK654" s="29">
        <v>11004</v>
      </c>
      <c r="AL654" s="29">
        <v>9232</v>
      </c>
      <c r="AM654" s="29">
        <v>10117</v>
      </c>
      <c r="AN654" s="29">
        <v>6588</v>
      </c>
      <c r="AO654" s="29">
        <v>4933</v>
      </c>
      <c r="AP654" s="29">
        <v>7754</v>
      </c>
      <c r="AQ654" s="29">
        <v>10865</v>
      </c>
      <c r="AR654" s="29">
        <v>9776</v>
      </c>
      <c r="AS654" s="29">
        <v>10844</v>
      </c>
      <c r="AT654" s="29">
        <v>14597</v>
      </c>
      <c r="AU654" s="29">
        <v>12053</v>
      </c>
      <c r="AV654" s="29">
        <v>10431</v>
      </c>
      <c r="AW654" s="29">
        <v>6023</v>
      </c>
      <c r="AY654" s="1018"/>
      <c r="AZ654" s="29">
        <v>6023</v>
      </c>
      <c r="BA654" s="29">
        <v>1862</v>
      </c>
      <c r="BB654" s="29">
        <v>2649</v>
      </c>
      <c r="BC654" s="11">
        <f t="shared" si="671"/>
        <v>2965</v>
      </c>
      <c r="BD654" s="11">
        <f t="shared" si="665"/>
        <v>5984</v>
      </c>
      <c r="BE654" s="11">
        <f t="shared" si="666"/>
        <v>6891</v>
      </c>
      <c r="BF654" s="29"/>
    </row>
    <row r="655" spans="2:58">
      <c r="B655" t="s">
        <v>584</v>
      </c>
      <c r="D655" s="29">
        <v>0</v>
      </c>
      <c r="E655" s="29">
        <v>0</v>
      </c>
      <c r="F655" s="29">
        <v>0</v>
      </c>
      <c r="G655" s="29">
        <v>0</v>
      </c>
      <c r="H655" s="29">
        <v>0</v>
      </c>
      <c r="I655" s="29">
        <v>0</v>
      </c>
      <c r="J655" s="29">
        <v>0</v>
      </c>
      <c r="K655" s="29">
        <v>0</v>
      </c>
      <c r="L655" s="29">
        <v>0</v>
      </c>
      <c r="M655" s="29">
        <v>0</v>
      </c>
      <c r="N655" s="29">
        <v>0</v>
      </c>
      <c r="O655" s="29">
        <v>0</v>
      </c>
      <c r="P655" s="29">
        <v>0</v>
      </c>
      <c r="Q655" s="29">
        <v>0</v>
      </c>
      <c r="R655" s="29">
        <v>0</v>
      </c>
      <c r="S655" s="29">
        <f t="shared" si="670"/>
        <v>0</v>
      </c>
      <c r="T655" s="29">
        <v>0</v>
      </c>
      <c r="U655" s="29">
        <v>0</v>
      </c>
      <c r="V655" s="29">
        <v>0</v>
      </c>
      <c r="W655" s="29">
        <v>0</v>
      </c>
      <c r="X655" s="29">
        <v>0</v>
      </c>
      <c r="Y655" s="29">
        <v>0</v>
      </c>
      <c r="Z655" s="29">
        <v>0</v>
      </c>
      <c r="AA655" s="29">
        <v>0</v>
      </c>
      <c r="AB655" s="29">
        <v>0</v>
      </c>
      <c r="AC655" s="29">
        <v>0</v>
      </c>
      <c r="AD655" s="29">
        <v>0</v>
      </c>
      <c r="AE655" s="29">
        <v>0</v>
      </c>
      <c r="AF655" s="29">
        <v>0</v>
      </c>
      <c r="AG655" s="29"/>
      <c r="AK655" s="29">
        <v>3621</v>
      </c>
      <c r="AL655" s="29">
        <v>2611</v>
      </c>
      <c r="AM655" s="29">
        <v>1389</v>
      </c>
      <c r="AN655" s="29">
        <v>949</v>
      </c>
      <c r="AO655" s="29">
        <v>279</v>
      </c>
      <c r="AP655" s="29">
        <v>0</v>
      </c>
      <c r="AQ655" s="29">
        <v>0</v>
      </c>
      <c r="AR655" s="29">
        <v>0</v>
      </c>
      <c r="AS655" s="29">
        <v>0</v>
      </c>
      <c r="AT655" s="29">
        <v>0</v>
      </c>
      <c r="AU655" s="29">
        <v>0</v>
      </c>
      <c r="AV655" s="29">
        <v>0</v>
      </c>
      <c r="AW655" s="29">
        <v>0</v>
      </c>
      <c r="AY655" s="1018"/>
      <c r="AZ655" s="29">
        <v>0</v>
      </c>
      <c r="BA655" s="29">
        <v>0</v>
      </c>
      <c r="BB655" s="29">
        <v>0</v>
      </c>
      <c r="BC655" s="11">
        <f t="shared" si="671"/>
        <v>0</v>
      </c>
      <c r="BD655" s="11">
        <f t="shared" si="665"/>
        <v>0</v>
      </c>
      <c r="BE655" s="11">
        <f t="shared" si="666"/>
        <v>0</v>
      </c>
      <c r="BF655" s="29"/>
    </row>
    <row r="656" spans="2:58">
      <c r="B656" t="s">
        <v>180</v>
      </c>
      <c r="D656" s="29">
        <v>17142</v>
      </c>
      <c r="E656" s="29">
        <v>17436</v>
      </c>
      <c r="F656" s="29">
        <v>17948</v>
      </c>
      <c r="G656" s="29">
        <v>17872</v>
      </c>
      <c r="H656" s="29">
        <v>17907</v>
      </c>
      <c r="I656" s="29">
        <v>34524</v>
      </c>
      <c r="J656" s="29">
        <v>34668</v>
      </c>
      <c r="K656" s="29">
        <v>35122</v>
      </c>
      <c r="L656" s="29">
        <v>35389</v>
      </c>
      <c r="M656" s="29">
        <v>35355</v>
      </c>
      <c r="N656" s="29">
        <v>35582</v>
      </c>
      <c r="O656" s="29">
        <v>35683</v>
      </c>
      <c r="P656" s="29">
        <v>35855</v>
      </c>
      <c r="Q656" s="29">
        <v>41577</v>
      </c>
      <c r="R656" s="29">
        <v>41861</v>
      </c>
      <c r="S656" s="29">
        <f t="shared" si="670"/>
        <v>42026</v>
      </c>
      <c r="T656" s="29">
        <v>42113</v>
      </c>
      <c r="U656" s="29">
        <v>42248</v>
      </c>
      <c r="V656" s="29">
        <v>42064</v>
      </c>
      <c r="W656" s="29">
        <v>43351</v>
      </c>
      <c r="X656" s="29">
        <v>43890</v>
      </c>
      <c r="Y656" s="29">
        <v>44219</v>
      </c>
      <c r="Z656" s="29">
        <v>49698</v>
      </c>
      <c r="AA656" s="29">
        <v>49711</v>
      </c>
      <c r="AB656" s="29">
        <v>50455</v>
      </c>
      <c r="AC656" s="29">
        <v>50921</v>
      </c>
      <c r="AD656" s="29">
        <v>67371</v>
      </c>
      <c r="AE656" s="29">
        <v>67524</v>
      </c>
      <c r="AF656" s="29">
        <v>67459</v>
      </c>
      <c r="AG656" s="29"/>
      <c r="AH656" s="29"/>
      <c r="AI656" s="29"/>
      <c r="AK656" s="29">
        <v>3309</v>
      </c>
      <c r="AL656" s="29">
        <v>3866</v>
      </c>
      <c r="AM656" s="29">
        <v>4760</v>
      </c>
      <c r="AN656" s="29">
        <v>12108</v>
      </c>
      <c r="AO656" s="29">
        <v>12503</v>
      </c>
      <c r="AP656" s="29">
        <v>12394</v>
      </c>
      <c r="AQ656" s="29">
        <v>12581</v>
      </c>
      <c r="AR656" s="29">
        <v>13452</v>
      </c>
      <c r="AS656" s="29">
        <v>14655</v>
      </c>
      <c r="AT656" s="29">
        <v>20127</v>
      </c>
      <c r="AU656" s="29">
        <v>16939</v>
      </c>
      <c r="AV656" s="29">
        <v>17872</v>
      </c>
      <c r="AW656" s="29">
        <v>35122</v>
      </c>
      <c r="AY656" s="1018"/>
      <c r="AZ656" s="29">
        <v>35122</v>
      </c>
      <c r="BA656" s="29">
        <v>35683</v>
      </c>
      <c r="BB656" s="29">
        <v>42026</v>
      </c>
      <c r="BC656" s="11">
        <f t="shared" si="671"/>
        <v>43351</v>
      </c>
      <c r="BD656" s="11">
        <f t="shared" si="665"/>
        <v>49711</v>
      </c>
      <c r="BE656" s="11">
        <f t="shared" si="666"/>
        <v>67524</v>
      </c>
      <c r="BF656" s="29"/>
    </row>
    <row r="657" spans="2:58">
      <c r="B657" t="s">
        <v>632</v>
      </c>
      <c r="D657" s="29">
        <v>4745</v>
      </c>
      <c r="E657" s="29">
        <v>4619</v>
      </c>
      <c r="F657" s="29">
        <v>4459</v>
      </c>
      <c r="G657" s="29">
        <v>3733</v>
      </c>
      <c r="H657" s="29">
        <v>3522</v>
      </c>
      <c r="I657" s="29">
        <v>11001</v>
      </c>
      <c r="J657" s="29">
        <v>10547</v>
      </c>
      <c r="K657" s="29">
        <v>10106</v>
      </c>
      <c r="L657" s="29">
        <v>9598</v>
      </c>
      <c r="M657" s="29">
        <v>9034</v>
      </c>
      <c r="N657" s="29">
        <v>8544</v>
      </c>
      <c r="O657" s="29">
        <v>8053</v>
      </c>
      <c r="P657" s="29">
        <v>7579</v>
      </c>
      <c r="Q657" s="29">
        <v>8482</v>
      </c>
      <c r="R657" s="29">
        <v>8103</v>
      </c>
      <c r="S657" s="29">
        <f t="shared" si="670"/>
        <v>7750</v>
      </c>
      <c r="T657" s="29">
        <v>7508</v>
      </c>
      <c r="U657" s="29">
        <v>7126</v>
      </c>
      <c r="V657" s="29">
        <v>6855</v>
      </c>
      <c r="W657" s="29">
        <v>7038</v>
      </c>
      <c r="X657" s="29">
        <v>6923</v>
      </c>
      <c r="Y657" s="29">
        <v>6555</v>
      </c>
      <c r="Z657" s="29">
        <v>8127</v>
      </c>
      <c r="AA657" s="29">
        <v>7800</v>
      </c>
      <c r="AB657" s="29">
        <v>7794</v>
      </c>
      <c r="AC657" s="29">
        <v>7462</v>
      </c>
      <c r="AD657" s="29">
        <v>11348</v>
      </c>
      <c r="AE657" s="29">
        <v>11298</v>
      </c>
      <c r="AF657" s="29">
        <v>10808</v>
      </c>
      <c r="AG657" s="29"/>
      <c r="AH657" s="29"/>
      <c r="AI657" s="29"/>
      <c r="AK657" s="29">
        <v>499</v>
      </c>
      <c r="AL657" s="29">
        <v>539</v>
      </c>
      <c r="AM657" s="29">
        <v>878</v>
      </c>
      <c r="AN657" s="29">
        <v>1973</v>
      </c>
      <c r="AO657" s="29">
        <v>1759</v>
      </c>
      <c r="AP657" s="29">
        <v>1158</v>
      </c>
      <c r="AQ657" s="29">
        <v>744</v>
      </c>
      <c r="AR657" s="29">
        <v>3170</v>
      </c>
      <c r="AS657" s="29">
        <v>3083</v>
      </c>
      <c r="AT657" s="29">
        <v>6981</v>
      </c>
      <c r="AU657" s="29">
        <v>4835</v>
      </c>
      <c r="AV657" s="29">
        <v>3733</v>
      </c>
      <c r="AW657" s="29">
        <v>10106</v>
      </c>
      <c r="AY657" s="1018"/>
      <c r="AZ657" s="29">
        <v>10106</v>
      </c>
      <c r="BA657" s="29">
        <v>8053</v>
      </c>
      <c r="BB657" s="29">
        <v>7750</v>
      </c>
      <c r="BC657" s="11">
        <f t="shared" si="671"/>
        <v>7038</v>
      </c>
      <c r="BD657" s="11">
        <f t="shared" si="665"/>
        <v>7800</v>
      </c>
      <c r="BE657" s="11">
        <f t="shared" si="666"/>
        <v>11298</v>
      </c>
      <c r="BF657" s="29"/>
    </row>
    <row r="658" spans="2:58" s="852" customFormat="1" ht="11.45">
      <c r="B658" t="s">
        <v>585</v>
      </c>
      <c r="D658" s="939">
        <v>2869</v>
      </c>
      <c r="E658" s="939">
        <v>2928</v>
      </c>
      <c r="F658" s="939">
        <v>2895</v>
      </c>
      <c r="G658" s="939">
        <v>3416</v>
      </c>
      <c r="H658" s="939">
        <v>3476</v>
      </c>
      <c r="I658" s="939">
        <v>3845</v>
      </c>
      <c r="J658" s="939">
        <v>4146</v>
      </c>
      <c r="K658" s="939">
        <v>6250</v>
      </c>
      <c r="L658" s="939">
        <v>6083</v>
      </c>
      <c r="M658" s="939">
        <v>6967</v>
      </c>
      <c r="N658" s="939">
        <v>7106</v>
      </c>
      <c r="O658" s="939">
        <v>7442</v>
      </c>
      <c r="P658" s="939">
        <v>9792</v>
      </c>
      <c r="Q658" s="939">
        <v>10129</v>
      </c>
      <c r="R658" s="939">
        <v>10258</v>
      </c>
      <c r="S658" s="939">
        <f t="shared" si="670"/>
        <v>14723</v>
      </c>
      <c r="T658" s="939">
        <v>14455</v>
      </c>
      <c r="U658" s="939">
        <v>14630</v>
      </c>
      <c r="V658" s="939">
        <v>13696</v>
      </c>
      <c r="W658" s="939">
        <v>13138</v>
      </c>
      <c r="X658" s="939">
        <v>13034</v>
      </c>
      <c r="Y658" s="939">
        <v>13561</v>
      </c>
      <c r="Z658" s="939">
        <v>14427</v>
      </c>
      <c r="AA658" s="939">
        <v>15075</v>
      </c>
      <c r="AB658" s="939">
        <v>21103</v>
      </c>
      <c r="AC658" s="939">
        <v>21256</v>
      </c>
      <c r="AD658" s="30">
        <v>21845</v>
      </c>
      <c r="AE658" s="30">
        <v>21897</v>
      </c>
      <c r="AF658" s="29">
        <v>23482</v>
      </c>
      <c r="AG658" s="29"/>
      <c r="AH658" s="29"/>
      <c r="AI658" s="29"/>
      <c r="AK658" s="939">
        <v>1299</v>
      </c>
      <c r="AL658" s="939">
        <v>1295</v>
      </c>
      <c r="AM658" s="939">
        <v>1509</v>
      </c>
      <c r="AN658" s="939">
        <v>1691</v>
      </c>
      <c r="AO658" s="939">
        <v>1599</v>
      </c>
      <c r="AP658" s="939">
        <v>1501</v>
      </c>
      <c r="AQ658" s="939">
        <v>1434</v>
      </c>
      <c r="AR658" s="939">
        <v>1520</v>
      </c>
      <c r="AS658" s="939">
        <v>2392</v>
      </c>
      <c r="AT658" s="939">
        <v>3422</v>
      </c>
      <c r="AU658" s="939">
        <v>3117</v>
      </c>
      <c r="AV658" s="939">
        <v>3416</v>
      </c>
      <c r="AW658" s="939">
        <v>6250</v>
      </c>
      <c r="AY658" s="1019"/>
      <c r="AZ658" s="939">
        <v>6250</v>
      </c>
      <c r="BA658" s="939">
        <v>7442</v>
      </c>
      <c r="BB658" s="939">
        <v>14723</v>
      </c>
      <c r="BC658" s="940">
        <f t="shared" si="671"/>
        <v>13138</v>
      </c>
      <c r="BD658" s="940">
        <f t="shared" si="665"/>
        <v>15075</v>
      </c>
      <c r="BE658" s="940">
        <f t="shared" si="666"/>
        <v>21897</v>
      </c>
      <c r="BF658" s="939"/>
    </row>
    <row r="659" spans="2:58" s="1" customFormat="1" ht="10.5">
      <c r="B659" s="837" t="s">
        <v>633</v>
      </c>
      <c r="D659" s="838">
        <f t="shared" ref="D659:Q659" si="672">SUM(D652:D658)+D651</f>
        <v>172896</v>
      </c>
      <c r="E659" s="838">
        <f t="shared" si="672"/>
        <v>180098</v>
      </c>
      <c r="F659" s="838">
        <f t="shared" si="672"/>
        <v>181869</v>
      </c>
      <c r="G659" s="838">
        <f t="shared" si="672"/>
        <v>193468</v>
      </c>
      <c r="H659" s="838">
        <f t="shared" si="672"/>
        <v>212524</v>
      </c>
      <c r="I659" s="838">
        <f t="shared" si="672"/>
        <v>224610</v>
      </c>
      <c r="J659" s="838">
        <f t="shared" si="672"/>
        <v>225017</v>
      </c>
      <c r="K659" s="838">
        <f t="shared" si="672"/>
        <v>250486</v>
      </c>
      <c r="L659" s="838">
        <f t="shared" si="672"/>
        <v>249097</v>
      </c>
      <c r="M659" s="838">
        <f t="shared" si="672"/>
        <v>256003</v>
      </c>
      <c r="N659" s="838">
        <f t="shared" si="672"/>
        <v>245497</v>
      </c>
      <c r="O659" s="838">
        <f t="shared" si="672"/>
        <v>258848</v>
      </c>
      <c r="P659" s="838">
        <f t="shared" si="672"/>
        <v>257619</v>
      </c>
      <c r="Q659" s="838">
        <f t="shared" si="672"/>
        <v>258859</v>
      </c>
      <c r="R659" s="838">
        <f t="shared" ref="R659:T659" si="673">SUM(R652:R658)+R651</f>
        <v>263281</v>
      </c>
      <c r="S659" s="838">
        <f t="shared" si="673"/>
        <v>286556</v>
      </c>
      <c r="T659" s="838">
        <f t="shared" si="673"/>
        <v>278955</v>
      </c>
      <c r="U659" s="838">
        <f t="shared" ref="U659:AF659" si="674">SUM(U652:U658)+U651</f>
        <v>282794</v>
      </c>
      <c r="V659" s="838">
        <f t="shared" si="674"/>
        <v>285449</v>
      </c>
      <c r="W659" s="838">
        <f t="shared" si="674"/>
        <v>301311</v>
      </c>
      <c r="X659" s="838">
        <f t="shared" si="674"/>
        <v>301001</v>
      </c>
      <c r="Y659" s="838">
        <f t="shared" si="674"/>
        <v>304137</v>
      </c>
      <c r="Z659" s="838">
        <f t="shared" si="674"/>
        <v>308879</v>
      </c>
      <c r="AA659" s="838">
        <f t="shared" si="674"/>
        <v>333779</v>
      </c>
      <c r="AB659" s="838">
        <f t="shared" si="674"/>
        <v>335418</v>
      </c>
      <c r="AC659" s="838">
        <f t="shared" si="674"/>
        <v>340389</v>
      </c>
      <c r="AD659" s="838">
        <f t="shared" si="674"/>
        <v>344607</v>
      </c>
      <c r="AE659" s="838">
        <f t="shared" si="674"/>
        <v>364840</v>
      </c>
      <c r="AF659" s="838">
        <f t="shared" si="674"/>
        <v>359784</v>
      </c>
      <c r="AG659" s="838"/>
      <c r="AH659" s="838"/>
      <c r="AI659" s="838"/>
      <c r="AK659" s="838">
        <f t="shared" ref="AK659:AW659" si="675">SUM(AK652:AK658)+AK651</f>
        <v>70815</v>
      </c>
      <c r="AL659" s="838">
        <f t="shared" si="675"/>
        <v>69597</v>
      </c>
      <c r="AM659" s="838">
        <f t="shared" si="675"/>
        <v>63171</v>
      </c>
      <c r="AN659" s="838">
        <f t="shared" si="675"/>
        <v>72793</v>
      </c>
      <c r="AO659" s="838">
        <f t="shared" si="675"/>
        <v>77888</v>
      </c>
      <c r="AP659" s="838">
        <f t="shared" si="675"/>
        <v>86113</v>
      </c>
      <c r="AQ659" s="838">
        <f t="shared" si="675"/>
        <v>108704</v>
      </c>
      <c r="AR659" s="838">
        <f t="shared" si="675"/>
        <v>121271</v>
      </c>
      <c r="AS659" s="838">
        <f t="shared" si="675"/>
        <v>142431</v>
      </c>
      <c r="AT659" s="838">
        <f t="shared" si="675"/>
        <v>172384</v>
      </c>
      <c r="AU659" s="838">
        <f t="shared" si="675"/>
        <v>174472</v>
      </c>
      <c r="AV659" s="838">
        <f t="shared" si="675"/>
        <v>193468</v>
      </c>
      <c r="AW659" s="838">
        <f t="shared" si="675"/>
        <v>241086</v>
      </c>
      <c r="AY659" s="1020"/>
      <c r="AZ659" s="838">
        <f>SUM(AZ652:AZ658)+AZ651</f>
        <v>250486</v>
      </c>
      <c r="BA659" s="838">
        <v>258848</v>
      </c>
      <c r="BB659" s="838">
        <f>SUM(BB652:BB658,BB651)</f>
        <v>286556</v>
      </c>
      <c r="BC659" s="849">
        <f>SUM(BC652:BC658,BC651)</f>
        <v>301311</v>
      </c>
      <c r="BD659" s="849">
        <f t="shared" si="665"/>
        <v>333779</v>
      </c>
      <c r="BE659" s="849">
        <f t="shared" si="666"/>
        <v>364840</v>
      </c>
      <c r="BF659" s="838"/>
    </row>
    <row r="660" spans="2:58">
      <c r="AY660" s="1018"/>
      <c r="BC660" s="100"/>
      <c r="BD660" s="100"/>
      <c r="BE660" s="100"/>
    </row>
    <row r="661" spans="2:58" ht="10.5">
      <c r="B661" s="45" t="s">
        <v>634</v>
      </c>
      <c r="AY661" s="1018"/>
      <c r="BC661" s="100"/>
      <c r="BD661" s="100"/>
      <c r="BE661" s="100"/>
    </row>
    <row r="662" spans="2:58">
      <c r="B662" t="s">
        <v>589</v>
      </c>
      <c r="D662" s="29">
        <v>6630</v>
      </c>
      <c r="E662" s="29">
        <v>6936</v>
      </c>
      <c r="F662" s="29">
        <v>6759</v>
      </c>
      <c r="G662" s="29">
        <v>6898</v>
      </c>
      <c r="H662" s="29">
        <v>6296</v>
      </c>
      <c r="I662" s="29">
        <v>6580</v>
      </c>
      <c r="J662" s="29">
        <v>6217</v>
      </c>
      <c r="K662" s="29">
        <v>7390</v>
      </c>
      <c r="L662" s="29">
        <v>6866</v>
      </c>
      <c r="M662" s="29">
        <v>7850</v>
      </c>
      <c r="N662" s="29">
        <v>7623</v>
      </c>
      <c r="O662" s="29">
        <v>8617</v>
      </c>
      <c r="P662" s="29">
        <v>8511</v>
      </c>
      <c r="Q662" s="29">
        <v>7563</v>
      </c>
      <c r="R662" s="29">
        <v>7544</v>
      </c>
      <c r="S662" s="29">
        <f t="shared" ref="S662:S669" si="676">+BB662</f>
        <v>9382</v>
      </c>
      <c r="T662" s="29">
        <v>8574</v>
      </c>
      <c r="U662" s="29">
        <v>8811</v>
      </c>
      <c r="V662" s="29">
        <v>9246</v>
      </c>
      <c r="W662" s="29">
        <v>12530</v>
      </c>
      <c r="X662" s="29">
        <v>12509</v>
      </c>
      <c r="Y662" s="29">
        <v>12770</v>
      </c>
      <c r="Z662" s="29">
        <v>13412</v>
      </c>
      <c r="AA662" s="29">
        <v>15163</v>
      </c>
      <c r="AB662" s="29">
        <v>14832</v>
      </c>
      <c r="AC662" s="29">
        <v>15314</v>
      </c>
      <c r="AD662" s="29">
        <v>16085</v>
      </c>
      <c r="AE662" s="29">
        <v>19000</v>
      </c>
      <c r="AF662" s="29">
        <v>16609</v>
      </c>
      <c r="AG662" s="952"/>
      <c r="AH662" s="29"/>
      <c r="AI662" s="952"/>
      <c r="AK662" s="29">
        <v>2086</v>
      </c>
      <c r="AL662" s="29">
        <v>2909</v>
      </c>
      <c r="AM662" s="29">
        <v>3247</v>
      </c>
      <c r="AN662" s="29">
        <v>4034</v>
      </c>
      <c r="AO662" s="29">
        <v>3324</v>
      </c>
      <c r="AP662" s="29">
        <v>4025</v>
      </c>
      <c r="AQ662" s="29">
        <v>4197</v>
      </c>
      <c r="AR662" s="29">
        <v>4175</v>
      </c>
      <c r="AS662" s="29">
        <v>4828</v>
      </c>
      <c r="AT662" s="29">
        <v>7432</v>
      </c>
      <c r="AU662" s="29">
        <v>6591</v>
      </c>
      <c r="AV662" s="29">
        <v>6898</v>
      </c>
      <c r="AW662" s="29">
        <v>7390</v>
      </c>
      <c r="AY662" s="1018"/>
      <c r="AZ662" s="29">
        <v>7390</v>
      </c>
      <c r="BA662" s="29">
        <v>8617</v>
      </c>
      <c r="BB662" s="29">
        <v>9382</v>
      </c>
      <c r="BC662" s="11">
        <f t="shared" ref="BC662:BC669" si="677">+W662</f>
        <v>12530</v>
      </c>
      <c r="BD662" s="11">
        <f t="shared" ref="BD662:BD677" si="678">+AA662</f>
        <v>15163</v>
      </c>
      <c r="BE662" s="11">
        <f t="shared" ref="BE662:BE684" si="679">+AE662</f>
        <v>19000</v>
      </c>
      <c r="BF662" s="29"/>
    </row>
    <row r="663" spans="2:58">
      <c r="B663" t="s">
        <v>635</v>
      </c>
      <c r="D663" s="29">
        <v>3450</v>
      </c>
      <c r="E663" s="29">
        <v>3649</v>
      </c>
      <c r="F663" s="29">
        <v>4276</v>
      </c>
      <c r="G663" s="29">
        <v>5264</v>
      </c>
      <c r="H663" s="29">
        <v>3621</v>
      </c>
      <c r="I663" s="29">
        <v>3982</v>
      </c>
      <c r="J663" s="29">
        <v>4604</v>
      </c>
      <c r="K663" s="29">
        <v>5819</v>
      </c>
      <c r="L663" s="29">
        <v>4108</v>
      </c>
      <c r="M663" s="29">
        <v>4427</v>
      </c>
      <c r="N663" s="29">
        <v>5149</v>
      </c>
      <c r="O663" s="29">
        <v>6103</v>
      </c>
      <c r="P663" s="29">
        <v>4271</v>
      </c>
      <c r="Q663" s="29">
        <v>4624</v>
      </c>
      <c r="R663" s="29">
        <v>5764</v>
      </c>
      <c r="S663" s="29">
        <f t="shared" si="676"/>
        <v>6830</v>
      </c>
      <c r="T663" s="29">
        <v>4676</v>
      </c>
      <c r="U663" s="29">
        <v>5421</v>
      </c>
      <c r="V663" s="29">
        <v>6254</v>
      </c>
      <c r="W663" s="29">
        <v>7874</v>
      </c>
      <c r="X663" s="29">
        <v>6497</v>
      </c>
      <c r="Y663" s="29">
        <v>6838</v>
      </c>
      <c r="Z663" s="29">
        <v>8032</v>
      </c>
      <c r="AA663" s="29">
        <v>10057</v>
      </c>
      <c r="AB663" s="29">
        <v>6894</v>
      </c>
      <c r="AC663" s="29">
        <v>4998</v>
      </c>
      <c r="AD663" s="29">
        <v>9067</v>
      </c>
      <c r="AE663" s="29">
        <v>10661</v>
      </c>
      <c r="AF663" s="29">
        <v>7405</v>
      </c>
      <c r="AG663" s="825"/>
      <c r="AI663" s="825"/>
      <c r="AK663" s="29">
        <v>1662</v>
      </c>
      <c r="AL663" s="29">
        <v>1938</v>
      </c>
      <c r="AM663" s="29">
        <v>2325</v>
      </c>
      <c r="AN663" s="29">
        <v>2934</v>
      </c>
      <c r="AO663" s="29">
        <v>3156</v>
      </c>
      <c r="AP663" s="29">
        <v>3283</v>
      </c>
      <c r="AQ663" s="29">
        <v>3575</v>
      </c>
      <c r="AR663" s="29">
        <v>3875</v>
      </c>
      <c r="AS663" s="29">
        <v>4117</v>
      </c>
      <c r="AT663" s="29">
        <v>4797</v>
      </c>
      <c r="AU663" s="29">
        <v>5096</v>
      </c>
      <c r="AV663" s="29">
        <v>5264</v>
      </c>
      <c r="AW663" s="29">
        <v>5819</v>
      </c>
      <c r="AY663" s="1018"/>
      <c r="AZ663" s="29">
        <v>5819</v>
      </c>
      <c r="BA663" s="29">
        <v>6103</v>
      </c>
      <c r="BB663" s="29">
        <v>6830</v>
      </c>
      <c r="BC663" s="11">
        <f t="shared" si="677"/>
        <v>7874</v>
      </c>
      <c r="BD663" s="11">
        <f t="shared" si="678"/>
        <v>10057</v>
      </c>
      <c r="BE663" s="11">
        <f t="shared" si="679"/>
        <v>10661</v>
      </c>
      <c r="BF663" s="29"/>
    </row>
    <row r="664" spans="2:58">
      <c r="B664" t="s">
        <v>636</v>
      </c>
      <c r="D664" s="29">
        <v>9998</v>
      </c>
      <c r="E664" s="29">
        <v>3000</v>
      </c>
      <c r="F664" s="29">
        <v>5498</v>
      </c>
      <c r="G664" s="29">
        <v>12904</v>
      </c>
      <c r="H664" s="29">
        <v>14536</v>
      </c>
      <c r="I664" s="29">
        <v>25065</v>
      </c>
      <c r="J664" s="29">
        <v>7187</v>
      </c>
      <c r="K664" s="29">
        <v>9072</v>
      </c>
      <c r="L664" s="29">
        <v>8170</v>
      </c>
      <c r="M664" s="29">
        <v>12466</v>
      </c>
      <c r="N664" s="29">
        <v>230</v>
      </c>
      <c r="O664" s="29">
        <v>0</v>
      </c>
      <c r="P664" s="29">
        <v>0</v>
      </c>
      <c r="Q664" s="29">
        <v>0</v>
      </c>
      <c r="R664" s="29">
        <v>0</v>
      </c>
      <c r="S664" s="29">
        <f t="shared" si="676"/>
        <v>0</v>
      </c>
      <c r="T664" s="29">
        <v>0</v>
      </c>
      <c r="U664" s="29">
        <v>0</v>
      </c>
      <c r="V664" s="29">
        <v>0</v>
      </c>
      <c r="W664" s="29">
        <v>0</v>
      </c>
      <c r="X664" s="29">
        <v>0</v>
      </c>
      <c r="Y664" s="29">
        <v>0</v>
      </c>
      <c r="Z664" s="29">
        <v>0</v>
      </c>
      <c r="AA664" s="29">
        <v>0</v>
      </c>
      <c r="AB664" s="29">
        <v>0</v>
      </c>
      <c r="AC664" s="29">
        <v>0</v>
      </c>
      <c r="AD664" s="29">
        <v>0</v>
      </c>
      <c r="AE664" s="29">
        <v>0</v>
      </c>
      <c r="AF664" s="29">
        <v>0</v>
      </c>
      <c r="AG664" s="29"/>
      <c r="AK664" s="29">
        <v>0</v>
      </c>
      <c r="AL664" s="29">
        <v>0</v>
      </c>
      <c r="AM664" s="29">
        <v>0</v>
      </c>
      <c r="AN664" s="29">
        <v>0</v>
      </c>
      <c r="AO664" s="29">
        <v>2000</v>
      </c>
      <c r="AP664" s="29">
        <v>1000</v>
      </c>
      <c r="AQ664" s="29">
        <v>0</v>
      </c>
      <c r="AR664" s="29">
        <v>0</v>
      </c>
      <c r="AS664" s="29">
        <v>0</v>
      </c>
      <c r="AT664" s="29">
        <v>2000</v>
      </c>
      <c r="AU664" s="29">
        <v>4985</v>
      </c>
      <c r="AV664" s="29">
        <v>12904</v>
      </c>
      <c r="AW664" s="29">
        <v>9072</v>
      </c>
      <c r="AY664" s="1018"/>
      <c r="AZ664" s="29">
        <v>9072</v>
      </c>
      <c r="BA664" s="29">
        <v>0</v>
      </c>
      <c r="BB664" s="29">
        <v>0</v>
      </c>
      <c r="BC664" s="11">
        <f t="shared" si="677"/>
        <v>0</v>
      </c>
      <c r="BD664" s="11">
        <f t="shared" si="678"/>
        <v>0</v>
      </c>
      <c r="BE664" s="11">
        <f t="shared" si="679"/>
        <v>0</v>
      </c>
      <c r="BF664" s="29"/>
    </row>
    <row r="665" spans="2:58">
      <c r="B665" t="s">
        <v>637</v>
      </c>
      <c r="D665" s="29">
        <v>750</v>
      </c>
      <c r="E665" s="29">
        <v>750</v>
      </c>
      <c r="F665" s="29">
        <v>0</v>
      </c>
      <c r="G665" s="29">
        <v>0</v>
      </c>
      <c r="H665" s="29">
        <v>0</v>
      </c>
      <c r="I665" s="29">
        <v>599</v>
      </c>
      <c r="J665" s="29">
        <v>599</v>
      </c>
      <c r="K665" s="29">
        <v>1049</v>
      </c>
      <c r="L665" s="29">
        <v>1050</v>
      </c>
      <c r="M665" s="29">
        <v>3446</v>
      </c>
      <c r="N665" s="29">
        <v>3447</v>
      </c>
      <c r="O665" s="29">
        <v>3998</v>
      </c>
      <c r="P665" s="29">
        <v>6497</v>
      </c>
      <c r="Q665" s="29">
        <v>3516</v>
      </c>
      <c r="R665" s="29">
        <v>6515</v>
      </c>
      <c r="S665" s="29">
        <f t="shared" si="676"/>
        <v>5516</v>
      </c>
      <c r="T665" s="29">
        <v>3017</v>
      </c>
      <c r="U665" s="29">
        <v>6247</v>
      </c>
      <c r="V665" s="29">
        <v>3748</v>
      </c>
      <c r="W665" s="29">
        <v>3749</v>
      </c>
      <c r="X665" s="29">
        <v>5714</v>
      </c>
      <c r="Y665" s="29">
        <v>5387</v>
      </c>
      <c r="Z665" s="29">
        <v>8051</v>
      </c>
      <c r="AA665" s="29">
        <v>8072</v>
      </c>
      <c r="AB665" s="29">
        <v>3249</v>
      </c>
      <c r="AC665" s="29">
        <v>7782</v>
      </c>
      <c r="AD665" s="29">
        <v>1749</v>
      </c>
      <c r="AE665" s="29">
        <v>2749</v>
      </c>
      <c r="AF665" s="29">
        <v>3248</v>
      </c>
      <c r="AG665" s="29"/>
      <c r="AH665" s="29"/>
      <c r="AI665" s="29"/>
      <c r="AK665" s="29">
        <v>0</v>
      </c>
      <c r="AL665" s="29">
        <v>0</v>
      </c>
      <c r="AM665" s="29">
        <v>0</v>
      </c>
      <c r="AN665" s="29">
        <v>0</v>
      </c>
      <c r="AO665" s="29">
        <v>0</v>
      </c>
      <c r="AP665" s="29">
        <v>0</v>
      </c>
      <c r="AQ665" s="29">
        <v>0</v>
      </c>
      <c r="AR665" s="29">
        <v>1231</v>
      </c>
      <c r="AS665" s="29">
        <v>2999</v>
      </c>
      <c r="AT665" s="29">
        <v>0</v>
      </c>
      <c r="AU665" s="29">
        <v>2499</v>
      </c>
      <c r="AV665" s="29">
        <v>0</v>
      </c>
      <c r="AW665" s="29">
        <v>1049</v>
      </c>
      <c r="AY665" s="1018"/>
      <c r="AZ665" s="29">
        <v>1049</v>
      </c>
      <c r="BA665" s="29">
        <v>3998</v>
      </c>
      <c r="BB665" s="29">
        <v>5516</v>
      </c>
      <c r="BC665" s="11">
        <f t="shared" si="677"/>
        <v>3749</v>
      </c>
      <c r="BD665" s="11">
        <f t="shared" si="678"/>
        <v>8072</v>
      </c>
      <c r="BE665" s="11">
        <f t="shared" si="679"/>
        <v>2749</v>
      </c>
      <c r="BF665" s="29"/>
    </row>
    <row r="666" spans="2:58">
      <c r="B666" t="s">
        <v>638</v>
      </c>
      <c r="D666" s="29">
        <v>607</v>
      </c>
      <c r="E666" s="29">
        <v>493</v>
      </c>
      <c r="F666" s="29">
        <v>685</v>
      </c>
      <c r="G666" s="29">
        <v>580</v>
      </c>
      <c r="H666" s="29">
        <v>720</v>
      </c>
      <c r="I666" s="29">
        <v>508</v>
      </c>
      <c r="J666" s="29">
        <v>654</v>
      </c>
      <c r="K666" s="29">
        <v>718</v>
      </c>
      <c r="L666" s="29">
        <v>920</v>
      </c>
      <c r="M666" s="29">
        <v>788</v>
      </c>
      <c r="N666" s="29">
        <v>814</v>
      </c>
      <c r="O666" s="29">
        <v>2121</v>
      </c>
      <c r="P666" s="29">
        <v>2341</v>
      </c>
      <c r="Q666" s="29">
        <v>2033</v>
      </c>
      <c r="R666" s="29">
        <v>1950</v>
      </c>
      <c r="S666" s="29">
        <f t="shared" si="676"/>
        <v>5665</v>
      </c>
      <c r="T666" s="29">
        <v>3440</v>
      </c>
      <c r="U666" s="29">
        <v>2687</v>
      </c>
      <c r="V666" s="29">
        <v>3296</v>
      </c>
      <c r="W666" s="29">
        <v>2130</v>
      </c>
      <c r="X666" s="29">
        <v>2384</v>
      </c>
      <c r="Y666" s="29">
        <v>1562</v>
      </c>
      <c r="Z666" s="29">
        <v>2165</v>
      </c>
      <c r="AA666" s="29">
        <v>2174</v>
      </c>
      <c r="AB666" s="29">
        <v>6272</v>
      </c>
      <c r="AC666" s="29">
        <v>3731</v>
      </c>
      <c r="AD666" s="29">
        <v>4646</v>
      </c>
      <c r="AE666" s="29">
        <v>4067</v>
      </c>
      <c r="AF666" s="29">
        <v>6729</v>
      </c>
      <c r="AG666" s="29"/>
      <c r="AH666" s="29"/>
      <c r="AI666" s="29"/>
      <c r="AK666" s="29">
        <v>2020</v>
      </c>
      <c r="AL666" s="29">
        <v>1557</v>
      </c>
      <c r="AM666" s="29">
        <v>1040</v>
      </c>
      <c r="AN666" s="29">
        <v>3248</v>
      </c>
      <c r="AO666" s="29">
        <v>725</v>
      </c>
      <c r="AP666" s="29">
        <v>1074</v>
      </c>
      <c r="AQ666" s="29">
        <v>580</v>
      </c>
      <c r="AR666" s="29">
        <v>789</v>
      </c>
      <c r="AS666" s="29">
        <v>592</v>
      </c>
      <c r="AT666" s="29">
        <v>782</v>
      </c>
      <c r="AU666" s="29">
        <v>606</v>
      </c>
      <c r="AV666" s="29">
        <v>580</v>
      </c>
      <c r="AW666" s="29">
        <v>718</v>
      </c>
      <c r="AY666" s="1018"/>
      <c r="AZ666" s="29">
        <v>718</v>
      </c>
      <c r="BA666" s="29">
        <v>2121</v>
      </c>
      <c r="BB666" s="29">
        <v>5665</v>
      </c>
      <c r="BC666" s="11">
        <f t="shared" si="677"/>
        <v>2130</v>
      </c>
      <c r="BD666" s="11">
        <f t="shared" si="678"/>
        <v>2174</v>
      </c>
      <c r="BE666" s="11">
        <f t="shared" si="679"/>
        <v>4067</v>
      </c>
      <c r="BF666" s="29"/>
    </row>
    <row r="667" spans="2:58">
      <c r="B667" t="s">
        <v>639</v>
      </c>
      <c r="D667" s="29">
        <v>21603</v>
      </c>
      <c r="E667" s="29">
        <v>20929</v>
      </c>
      <c r="F667" s="29">
        <v>20876</v>
      </c>
      <c r="G667" s="29">
        <v>27468</v>
      </c>
      <c r="H667" s="29">
        <v>26304</v>
      </c>
      <c r="I667" s="29">
        <v>26085</v>
      </c>
      <c r="J667" s="29">
        <v>26518</v>
      </c>
      <c r="K667" s="29">
        <v>24013</v>
      </c>
      <c r="L667" s="29">
        <v>22778</v>
      </c>
      <c r="M667" s="29">
        <v>21309</v>
      </c>
      <c r="N667" s="29">
        <v>21370</v>
      </c>
      <c r="O667" s="29">
        <v>28905</v>
      </c>
      <c r="P667" s="29">
        <v>26704</v>
      </c>
      <c r="Q667" s="29">
        <v>24285</v>
      </c>
      <c r="R667" s="29">
        <v>24251</v>
      </c>
      <c r="S667" s="29">
        <f t="shared" si="676"/>
        <v>32676</v>
      </c>
      <c r="T667" s="29">
        <v>29904</v>
      </c>
      <c r="U667" s="29">
        <v>27343</v>
      </c>
      <c r="V667" s="29">
        <v>27012</v>
      </c>
      <c r="W667" s="29">
        <v>36000</v>
      </c>
      <c r="X667" s="29">
        <v>33476</v>
      </c>
      <c r="Y667" s="29">
        <v>30402</v>
      </c>
      <c r="Z667" s="29">
        <v>30083</v>
      </c>
      <c r="AA667" s="29">
        <v>41525</v>
      </c>
      <c r="AB667" s="29">
        <v>38465</v>
      </c>
      <c r="AC667" s="29">
        <v>34001</v>
      </c>
      <c r="AD667" s="29">
        <v>34027</v>
      </c>
      <c r="AE667" s="29">
        <v>45538</v>
      </c>
      <c r="AF667" s="29">
        <v>41340</v>
      </c>
      <c r="AG667" s="29"/>
      <c r="AH667" s="29"/>
      <c r="AI667" s="29"/>
      <c r="AK667" s="29">
        <v>7502</v>
      </c>
      <c r="AL667" s="29">
        <v>9138</v>
      </c>
      <c r="AM667" s="29">
        <v>10779</v>
      </c>
      <c r="AN667" s="29">
        <v>13397</v>
      </c>
      <c r="AO667" s="29">
        <v>13003</v>
      </c>
      <c r="AP667" s="29">
        <v>13652</v>
      </c>
      <c r="AQ667" s="29">
        <v>15722</v>
      </c>
      <c r="AR667" s="29">
        <v>18653</v>
      </c>
      <c r="AS667" s="29">
        <v>20639</v>
      </c>
      <c r="AT667" s="29">
        <v>23150</v>
      </c>
      <c r="AU667" s="29">
        <v>23223</v>
      </c>
      <c r="AV667" s="29">
        <v>27468</v>
      </c>
      <c r="AW667" s="29">
        <v>34102</v>
      </c>
      <c r="AY667" s="1018"/>
      <c r="AZ667" s="29">
        <v>24013</v>
      </c>
      <c r="BA667" s="29">
        <v>28905</v>
      </c>
      <c r="BB667" s="29">
        <v>32676</v>
      </c>
      <c r="BC667" s="11">
        <f t="shared" si="677"/>
        <v>36000</v>
      </c>
      <c r="BD667" s="11">
        <f t="shared" si="678"/>
        <v>41525</v>
      </c>
      <c r="BE667" s="11">
        <f t="shared" si="679"/>
        <v>45538</v>
      </c>
      <c r="BF667" s="29"/>
    </row>
    <row r="668" spans="2:58">
      <c r="B668" t="s">
        <v>593</v>
      </c>
      <c r="D668" s="29">
        <v>6207</v>
      </c>
      <c r="E668" s="29">
        <v>6447</v>
      </c>
      <c r="F668" s="29">
        <v>5887</v>
      </c>
      <c r="G668" s="29">
        <v>5949</v>
      </c>
      <c r="H668" s="29">
        <v>7123</v>
      </c>
      <c r="I668" s="29">
        <v>6688</v>
      </c>
      <c r="J668" s="29">
        <v>6025</v>
      </c>
      <c r="K668" s="29">
        <v>7684</v>
      </c>
      <c r="L668" s="29">
        <v>7520</v>
      </c>
      <c r="M668" s="29">
        <v>7787</v>
      </c>
      <c r="N668" s="29">
        <v>7500</v>
      </c>
      <c r="O668" s="29">
        <v>8744</v>
      </c>
      <c r="P668" s="29">
        <v>7953</v>
      </c>
      <c r="Q668" s="29">
        <v>8297</v>
      </c>
      <c r="R668" s="29">
        <v>7837</v>
      </c>
      <c r="S668" s="29">
        <f t="shared" si="676"/>
        <v>9351</v>
      </c>
      <c r="T668" s="29">
        <v>8507</v>
      </c>
      <c r="U668" s="29">
        <v>9131</v>
      </c>
      <c r="V668" s="29">
        <v>9151</v>
      </c>
      <c r="W668" s="29">
        <v>10027</v>
      </c>
      <c r="X668" s="29">
        <v>9476</v>
      </c>
      <c r="Y668" s="29">
        <v>10527</v>
      </c>
      <c r="Z668" s="29">
        <v>10450</v>
      </c>
      <c r="AA668" s="29">
        <v>11666</v>
      </c>
      <c r="AB668" s="29">
        <v>10816</v>
      </c>
      <c r="AC668" s="29">
        <v>11684</v>
      </c>
      <c r="AD668" s="29">
        <v>11865</v>
      </c>
      <c r="AE668" s="29">
        <v>13067</v>
      </c>
      <c r="AF668" s="29">
        <v>12058</v>
      </c>
      <c r="AG668" s="29"/>
      <c r="AH668" s="29"/>
      <c r="AI668" s="29"/>
      <c r="AK668" s="29">
        <v>3607</v>
      </c>
      <c r="AL668" s="29">
        <v>3783</v>
      </c>
      <c r="AM668" s="29">
        <v>3622</v>
      </c>
      <c r="AN668" s="29">
        <v>3659</v>
      </c>
      <c r="AO668" s="29">
        <v>3142</v>
      </c>
      <c r="AP668" s="29">
        <v>2931</v>
      </c>
      <c r="AQ668" s="29">
        <v>3492</v>
      </c>
      <c r="AR668" s="29">
        <v>3151</v>
      </c>
      <c r="AS668" s="29">
        <v>3597</v>
      </c>
      <c r="AT668" s="29">
        <v>6906</v>
      </c>
      <c r="AU668" s="29">
        <v>6555</v>
      </c>
      <c r="AV668" s="29">
        <v>5949</v>
      </c>
      <c r="AW668" s="29">
        <v>6280</v>
      </c>
      <c r="AY668" s="1018"/>
      <c r="AZ668" s="29">
        <v>7684</v>
      </c>
      <c r="BA668" s="29">
        <v>8744</v>
      </c>
      <c r="BB668" s="29">
        <v>9351</v>
      </c>
      <c r="BC668" s="11">
        <f t="shared" si="677"/>
        <v>10027</v>
      </c>
      <c r="BD668" s="11">
        <f t="shared" si="678"/>
        <v>11666</v>
      </c>
      <c r="BE668" s="11">
        <f t="shared" si="679"/>
        <v>13067</v>
      </c>
      <c r="BF668" s="29"/>
    </row>
    <row r="669" spans="2:58" s="852" customFormat="1">
      <c r="B669" t="s">
        <v>640</v>
      </c>
      <c r="D669" s="939">
        <v>154</v>
      </c>
      <c r="E669" s="939">
        <v>439</v>
      </c>
      <c r="F669" s="939">
        <v>373</v>
      </c>
      <c r="G669" s="939">
        <v>294</v>
      </c>
      <c r="H669" s="939">
        <v>210</v>
      </c>
      <c r="I669" s="939">
        <v>1280</v>
      </c>
      <c r="J669" s="939">
        <v>201</v>
      </c>
      <c r="K669" s="939">
        <v>0</v>
      </c>
      <c r="L669" s="939">
        <v>203</v>
      </c>
      <c r="M669" s="939">
        <v>26</v>
      </c>
      <c r="N669" s="939">
        <v>0</v>
      </c>
      <c r="O669" s="939">
        <v>0</v>
      </c>
      <c r="P669" s="939">
        <v>0</v>
      </c>
      <c r="Q669" s="939">
        <v>0</v>
      </c>
      <c r="R669" s="939">
        <v>0</v>
      </c>
      <c r="S669" s="939">
        <f t="shared" si="676"/>
        <v>0</v>
      </c>
      <c r="T669" s="939">
        <v>0</v>
      </c>
      <c r="U669" s="939">
        <v>0</v>
      </c>
      <c r="V669" s="939">
        <v>0</v>
      </c>
      <c r="W669" s="939">
        <v>0</v>
      </c>
      <c r="X669" s="939">
        <v>0</v>
      </c>
      <c r="Y669" s="939">
        <v>0</v>
      </c>
      <c r="Z669" s="939">
        <v>0</v>
      </c>
      <c r="AA669" s="939">
        <v>0</v>
      </c>
      <c r="AB669" s="939">
        <v>0</v>
      </c>
      <c r="AC669" s="939">
        <v>0</v>
      </c>
      <c r="AD669" s="939">
        <v>0</v>
      </c>
      <c r="AE669" s="939">
        <v>0</v>
      </c>
      <c r="AF669" s="939">
        <v>0</v>
      </c>
      <c r="AG669" s="939"/>
      <c r="AH669" s="939"/>
      <c r="AI669" s="939"/>
      <c r="AK669" s="939">
        <v>0</v>
      </c>
      <c r="AL669" s="939">
        <v>3117</v>
      </c>
      <c r="AM669" s="939">
        <v>2741</v>
      </c>
      <c r="AN669" s="939">
        <v>2614</v>
      </c>
      <c r="AO669" s="939">
        <v>1684</v>
      </c>
      <c r="AP669" s="939">
        <v>182</v>
      </c>
      <c r="AQ669" s="939">
        <v>1208</v>
      </c>
      <c r="AR669" s="939">
        <v>814</v>
      </c>
      <c r="AS669" s="939">
        <v>645</v>
      </c>
      <c r="AT669" s="939">
        <v>558</v>
      </c>
      <c r="AU669" s="939">
        <v>92</v>
      </c>
      <c r="AV669" s="939">
        <v>294</v>
      </c>
      <c r="AW669" s="939">
        <v>97</v>
      </c>
      <c r="AY669" s="1019"/>
      <c r="AZ669" s="939">
        <v>0</v>
      </c>
      <c r="BA669" s="939">
        <v>0</v>
      </c>
      <c r="BB669" s="939">
        <v>0</v>
      </c>
      <c r="BC669" s="940">
        <f t="shared" si="677"/>
        <v>0</v>
      </c>
      <c r="BD669" s="940">
        <f t="shared" si="678"/>
        <v>0</v>
      </c>
      <c r="BE669" s="940">
        <f t="shared" si="679"/>
        <v>0</v>
      </c>
      <c r="BF669" s="939"/>
    </row>
    <row r="670" spans="2:58">
      <c r="B670" s="12" t="s">
        <v>641</v>
      </c>
      <c r="D670" s="8">
        <f>SUM(D662:D669)</f>
        <v>49399</v>
      </c>
      <c r="E670" s="8">
        <f t="shared" ref="E670:AF670" si="680">SUM(E662:E669)</f>
        <v>42643</v>
      </c>
      <c r="F670" s="8">
        <f t="shared" si="680"/>
        <v>44354</v>
      </c>
      <c r="G670" s="8">
        <f t="shared" si="680"/>
        <v>59357</v>
      </c>
      <c r="H670" s="8">
        <f t="shared" si="680"/>
        <v>58810</v>
      </c>
      <c r="I670" s="8">
        <f t="shared" si="680"/>
        <v>70787</v>
      </c>
      <c r="J670" s="8">
        <f t="shared" si="680"/>
        <v>52005</v>
      </c>
      <c r="K670" s="8">
        <f t="shared" si="680"/>
        <v>55745</v>
      </c>
      <c r="L670" s="8">
        <f t="shared" si="680"/>
        <v>51615</v>
      </c>
      <c r="M670" s="8">
        <f t="shared" si="680"/>
        <v>58099</v>
      </c>
      <c r="N670" s="8">
        <f t="shared" si="680"/>
        <v>46133</v>
      </c>
      <c r="O670" s="8">
        <f t="shared" si="680"/>
        <v>58488</v>
      </c>
      <c r="P670" s="8">
        <f t="shared" si="680"/>
        <v>56277</v>
      </c>
      <c r="Q670" s="8">
        <f t="shared" si="680"/>
        <v>50318</v>
      </c>
      <c r="R670" s="8">
        <f t="shared" si="680"/>
        <v>53861</v>
      </c>
      <c r="S670" s="8">
        <f t="shared" si="680"/>
        <v>69420</v>
      </c>
      <c r="T670" s="8">
        <f t="shared" si="680"/>
        <v>58118</v>
      </c>
      <c r="U670" s="8">
        <f t="shared" si="680"/>
        <v>59640</v>
      </c>
      <c r="V670" s="8">
        <f t="shared" si="680"/>
        <v>58707</v>
      </c>
      <c r="W670" s="8">
        <f t="shared" si="680"/>
        <v>72310</v>
      </c>
      <c r="X670" s="8">
        <f t="shared" si="680"/>
        <v>70056</v>
      </c>
      <c r="Y670" s="8">
        <f t="shared" si="680"/>
        <v>67486</v>
      </c>
      <c r="Z670" s="8">
        <f t="shared" si="680"/>
        <v>72193</v>
      </c>
      <c r="AA670" s="8">
        <f t="shared" si="680"/>
        <v>88657</v>
      </c>
      <c r="AB670" s="8">
        <f t="shared" si="680"/>
        <v>80528</v>
      </c>
      <c r="AC670" s="8">
        <f t="shared" si="680"/>
        <v>77510</v>
      </c>
      <c r="AD670" s="8">
        <f t="shared" si="680"/>
        <v>77439</v>
      </c>
      <c r="AE670" s="8">
        <f t="shared" si="680"/>
        <v>95082</v>
      </c>
      <c r="AF670" s="8">
        <f t="shared" si="680"/>
        <v>87389</v>
      </c>
      <c r="AK670" s="8">
        <f>SUM(AK662:AK669)</f>
        <v>16877</v>
      </c>
      <c r="AL670" s="8">
        <f t="shared" ref="AL670:AW670" si="681">SUM(AL662:AL669)</f>
        <v>22442</v>
      </c>
      <c r="AM670" s="8">
        <f t="shared" si="681"/>
        <v>23754</v>
      </c>
      <c r="AN670" s="8">
        <f t="shared" si="681"/>
        <v>29886</v>
      </c>
      <c r="AO670" s="8">
        <f t="shared" si="681"/>
        <v>27034</v>
      </c>
      <c r="AP670" s="8">
        <f t="shared" si="681"/>
        <v>26147</v>
      </c>
      <c r="AQ670" s="8">
        <f t="shared" si="681"/>
        <v>28774</v>
      </c>
      <c r="AR670" s="8">
        <f t="shared" si="681"/>
        <v>32688</v>
      </c>
      <c r="AS670" s="8">
        <f t="shared" si="681"/>
        <v>37417</v>
      </c>
      <c r="AT670" s="8">
        <f t="shared" si="681"/>
        <v>45625</v>
      </c>
      <c r="AU670" s="8">
        <f t="shared" si="681"/>
        <v>49647</v>
      </c>
      <c r="AV670" s="8">
        <f t="shared" si="681"/>
        <v>59357</v>
      </c>
      <c r="AW670" s="8">
        <f t="shared" si="681"/>
        <v>64527</v>
      </c>
      <c r="AY670" s="1016"/>
      <c r="AZ670" s="8">
        <f t="shared" ref="AZ670" si="682">SUM(AZ662:AZ669)</f>
        <v>55745</v>
      </c>
      <c r="BA670" s="8">
        <v>58488</v>
      </c>
      <c r="BB670" s="8">
        <f>SUM(BB662:BB669)</f>
        <v>69420</v>
      </c>
      <c r="BC670" s="11">
        <f>SUM(BC662:BC669)</f>
        <v>72310</v>
      </c>
      <c r="BD670" s="11">
        <f t="shared" si="678"/>
        <v>88657</v>
      </c>
      <c r="BE670" s="11">
        <f t="shared" si="679"/>
        <v>95082</v>
      </c>
      <c r="BF670" s="8"/>
    </row>
    <row r="671" spans="2:58">
      <c r="B671" t="s">
        <v>642</v>
      </c>
      <c r="D671" s="29">
        <v>27819</v>
      </c>
      <c r="E671" s="29">
        <v>40679</v>
      </c>
      <c r="F671" s="29">
        <v>40896</v>
      </c>
      <c r="G671" s="29">
        <v>40557</v>
      </c>
      <c r="H671" s="29">
        <v>60154</v>
      </c>
      <c r="I671" s="29">
        <v>59306</v>
      </c>
      <c r="J671" s="29">
        <v>76222</v>
      </c>
      <c r="K671" s="29">
        <v>76073</v>
      </c>
      <c r="L671" s="29">
        <v>76255</v>
      </c>
      <c r="M671" s="29">
        <v>73348</v>
      </c>
      <c r="N671" s="29">
        <v>73480</v>
      </c>
      <c r="O671" s="29">
        <v>72242</v>
      </c>
      <c r="P671" s="29">
        <v>69733</v>
      </c>
      <c r="Q671" s="29">
        <v>69653</v>
      </c>
      <c r="R671" s="29">
        <v>66585</v>
      </c>
      <c r="S671" s="29">
        <f t="shared" ref="S671:S676" si="683">+BB671</f>
        <v>66662</v>
      </c>
      <c r="T671" s="29">
        <v>66478</v>
      </c>
      <c r="U671" s="29">
        <v>63361</v>
      </c>
      <c r="V671" s="29">
        <v>62862</v>
      </c>
      <c r="W671" s="29">
        <v>59578</v>
      </c>
      <c r="X671" s="29">
        <v>57055</v>
      </c>
      <c r="Y671" s="29">
        <v>55136</v>
      </c>
      <c r="Z671" s="29">
        <v>50007</v>
      </c>
      <c r="AA671" s="29">
        <v>50074</v>
      </c>
      <c r="AB671" s="29">
        <v>50039</v>
      </c>
      <c r="AC671" s="29">
        <v>48260</v>
      </c>
      <c r="AD671" s="29">
        <v>48177</v>
      </c>
      <c r="AE671" s="29">
        <v>47032</v>
      </c>
      <c r="AF671" s="29">
        <v>45374</v>
      </c>
      <c r="AG671" s="29"/>
      <c r="AH671" s="29"/>
      <c r="AI671" s="29"/>
      <c r="AK671" s="29">
        <v>0</v>
      </c>
      <c r="AL671" s="29">
        <v>0</v>
      </c>
      <c r="AM671" s="29">
        <v>0</v>
      </c>
      <c r="AN671" s="29">
        <v>0</v>
      </c>
      <c r="AO671" s="29">
        <v>3746</v>
      </c>
      <c r="AP671" s="29">
        <v>4939</v>
      </c>
      <c r="AQ671" s="29">
        <v>11921</v>
      </c>
      <c r="AR671" s="29">
        <v>10713</v>
      </c>
      <c r="AS671" s="29">
        <v>12601</v>
      </c>
      <c r="AT671" s="29">
        <v>20645</v>
      </c>
      <c r="AU671" s="29">
        <v>27808</v>
      </c>
      <c r="AV671" s="29">
        <v>40557</v>
      </c>
      <c r="AW671" s="29">
        <v>76073</v>
      </c>
      <c r="AY671" s="1018"/>
      <c r="AZ671" s="29">
        <v>76073</v>
      </c>
      <c r="BA671" s="29">
        <v>72242</v>
      </c>
      <c r="BB671" s="29">
        <v>66662</v>
      </c>
      <c r="BC671" s="11">
        <f t="shared" ref="BC671:BC676" si="684">+W671</f>
        <v>59578</v>
      </c>
      <c r="BD671" s="11">
        <f t="shared" si="678"/>
        <v>50074</v>
      </c>
      <c r="BE671" s="11">
        <f t="shared" si="679"/>
        <v>47032</v>
      </c>
      <c r="BF671" s="29"/>
    </row>
    <row r="672" spans="2:58">
      <c r="B672" t="s">
        <v>643</v>
      </c>
      <c r="D672" s="29">
        <v>0</v>
      </c>
      <c r="E672" s="29">
        <v>0</v>
      </c>
      <c r="F672" s="29">
        <v>0</v>
      </c>
      <c r="G672" s="29">
        <v>0</v>
      </c>
      <c r="H672" s="29">
        <v>0</v>
      </c>
      <c r="I672" s="29">
        <v>0</v>
      </c>
      <c r="J672" s="29">
        <v>0</v>
      </c>
      <c r="K672" s="29">
        <v>5372</v>
      </c>
      <c r="L672" s="29">
        <v>5768</v>
      </c>
      <c r="M672" s="29">
        <v>5640</v>
      </c>
      <c r="N672" s="29">
        <v>5751</v>
      </c>
      <c r="O672" s="29">
        <v>5568</v>
      </c>
      <c r="P672" s="29">
        <v>5652</v>
      </c>
      <c r="Q672" s="29">
        <v>5683</v>
      </c>
      <c r="R672" s="29">
        <v>5972</v>
      </c>
      <c r="S672" s="29">
        <f t="shared" si="683"/>
        <v>6188</v>
      </c>
      <c r="T672" s="29">
        <v>6659</v>
      </c>
      <c r="U672" s="29">
        <v>7172</v>
      </c>
      <c r="V672" s="29">
        <v>7248</v>
      </c>
      <c r="W672" s="29">
        <v>7671</v>
      </c>
      <c r="X672" s="29">
        <v>7753</v>
      </c>
      <c r="Y672" s="29">
        <v>8875</v>
      </c>
      <c r="Z672" s="29">
        <v>9272</v>
      </c>
      <c r="AA672" s="29">
        <v>9629</v>
      </c>
      <c r="AB672" s="29">
        <v>14346</v>
      </c>
      <c r="AC672" s="29">
        <v>26121</v>
      </c>
      <c r="AD672" s="29">
        <v>11357</v>
      </c>
      <c r="AE672" s="29">
        <v>11489</v>
      </c>
      <c r="AF672" s="29">
        <v>2549</v>
      </c>
      <c r="AG672" s="29"/>
      <c r="AH672" s="29"/>
      <c r="AI672" s="29"/>
      <c r="AK672" s="29">
        <v>0</v>
      </c>
      <c r="AL672" s="29">
        <v>0</v>
      </c>
      <c r="AM672" s="29">
        <v>0</v>
      </c>
      <c r="AN672" s="29">
        <v>0</v>
      </c>
      <c r="AO672" s="29">
        <v>0</v>
      </c>
      <c r="AP672" s="29">
        <v>0</v>
      </c>
      <c r="AQ672" s="29">
        <v>0</v>
      </c>
      <c r="AR672" s="29">
        <v>0</v>
      </c>
      <c r="AS672" s="29">
        <v>0</v>
      </c>
      <c r="AT672" s="29">
        <v>0</v>
      </c>
      <c r="AU672" s="29">
        <v>0</v>
      </c>
      <c r="AV672" s="29">
        <v>0</v>
      </c>
      <c r="AW672" s="29">
        <v>0</v>
      </c>
      <c r="AY672" s="1018"/>
      <c r="AZ672" s="29">
        <v>5372</v>
      </c>
      <c r="BA672" s="29">
        <v>5568</v>
      </c>
      <c r="BB672" s="29">
        <v>6188</v>
      </c>
      <c r="BC672" s="11">
        <f t="shared" si="684"/>
        <v>7671</v>
      </c>
      <c r="BD672" s="11">
        <f t="shared" si="678"/>
        <v>9629</v>
      </c>
      <c r="BE672" s="11">
        <f t="shared" si="679"/>
        <v>11489</v>
      </c>
      <c r="BF672" s="29"/>
    </row>
    <row r="673" spans="2:58">
      <c r="B673" t="s">
        <v>644</v>
      </c>
      <c r="D673" s="29">
        <v>2784</v>
      </c>
      <c r="E673" s="29">
        <v>4102</v>
      </c>
      <c r="F673" s="29">
        <v>5017</v>
      </c>
      <c r="G673" s="29">
        <v>6441</v>
      </c>
      <c r="H673" s="29">
        <v>7284</v>
      </c>
      <c r="I673" s="29">
        <v>8595</v>
      </c>
      <c r="J673" s="29">
        <v>9215</v>
      </c>
      <c r="K673" s="29">
        <v>2643</v>
      </c>
      <c r="L673" s="29">
        <v>2126</v>
      </c>
      <c r="M673" s="29">
        <v>2500</v>
      </c>
      <c r="N673" s="29">
        <v>2585</v>
      </c>
      <c r="O673" s="29">
        <v>3815</v>
      </c>
      <c r="P673" s="29">
        <v>3538</v>
      </c>
      <c r="Q673" s="29">
        <v>3799</v>
      </c>
      <c r="R673" s="29">
        <v>3884</v>
      </c>
      <c r="S673" s="29">
        <f t="shared" si="683"/>
        <v>4530</v>
      </c>
      <c r="T673" s="29">
        <v>4122</v>
      </c>
      <c r="U673" s="29">
        <v>3878</v>
      </c>
      <c r="V673" s="29">
        <v>3385</v>
      </c>
      <c r="W673" s="29">
        <v>3180</v>
      </c>
      <c r="X673" s="29">
        <v>2829</v>
      </c>
      <c r="Y673" s="29">
        <v>2985</v>
      </c>
      <c r="Z673" s="29">
        <v>2631</v>
      </c>
      <c r="AA673" s="29">
        <v>2616</v>
      </c>
      <c r="AB673" s="29">
        <v>2550</v>
      </c>
      <c r="AC673" s="29">
        <v>2768</v>
      </c>
      <c r="AD673" s="29">
        <v>2769</v>
      </c>
      <c r="AE673" s="29">
        <v>2870</v>
      </c>
      <c r="AF673" s="29">
        <v>11660</v>
      </c>
      <c r="AG673" s="939"/>
      <c r="AH673" s="939"/>
      <c r="AI673" s="939"/>
      <c r="AK673" s="29">
        <v>1665</v>
      </c>
      <c r="AL673" s="29">
        <v>1764</v>
      </c>
      <c r="AM673" s="29">
        <v>1867</v>
      </c>
      <c r="AN673" s="29">
        <v>1900</v>
      </c>
      <c r="AO673" s="29">
        <v>1281</v>
      </c>
      <c r="AP673" s="29">
        <v>1178</v>
      </c>
      <c r="AQ673" s="29">
        <v>1398</v>
      </c>
      <c r="AR673" s="29">
        <v>1406</v>
      </c>
      <c r="AS673" s="29">
        <v>1760</v>
      </c>
      <c r="AT673" s="29">
        <v>2008</v>
      </c>
      <c r="AU673" s="29">
        <v>2095</v>
      </c>
      <c r="AV673" s="29">
        <v>6441</v>
      </c>
      <c r="AW673" s="29">
        <v>10377</v>
      </c>
      <c r="AY673" s="1018"/>
      <c r="AZ673" s="29">
        <v>2643</v>
      </c>
      <c r="BA673" s="29">
        <v>3815</v>
      </c>
      <c r="BB673" s="29">
        <v>4530</v>
      </c>
      <c r="BC673" s="11">
        <f t="shared" si="684"/>
        <v>3180</v>
      </c>
      <c r="BD673" s="11">
        <f t="shared" si="678"/>
        <v>2616</v>
      </c>
      <c r="BE673" s="11">
        <f t="shared" si="679"/>
        <v>2870</v>
      </c>
      <c r="BF673" s="29"/>
    </row>
    <row r="674" spans="2:58">
      <c r="B674" t="s">
        <v>584</v>
      </c>
      <c r="D674" s="29">
        <v>2169</v>
      </c>
      <c r="E674" s="29">
        <v>2194</v>
      </c>
      <c r="F674" s="29">
        <v>2674</v>
      </c>
      <c r="G674" s="29">
        <v>1476</v>
      </c>
      <c r="H674" s="29">
        <v>1564</v>
      </c>
      <c r="I674" s="29">
        <v>1133</v>
      </c>
      <c r="J674" s="29">
        <v>465</v>
      </c>
      <c r="K674" s="29">
        <v>5734</v>
      </c>
      <c r="L674" s="29">
        <v>5513</v>
      </c>
      <c r="M674" s="29">
        <v>3186</v>
      </c>
      <c r="N674" s="29">
        <v>2417</v>
      </c>
      <c r="O674" s="29">
        <v>541</v>
      </c>
      <c r="P674" s="29">
        <v>1977</v>
      </c>
      <c r="Q674" s="29">
        <v>2062</v>
      </c>
      <c r="R674" s="29">
        <v>1838</v>
      </c>
      <c r="S674" s="29">
        <f t="shared" si="683"/>
        <v>233</v>
      </c>
      <c r="T674" s="29">
        <v>234</v>
      </c>
      <c r="U674" s="29">
        <v>222</v>
      </c>
      <c r="V674" s="29">
        <v>185</v>
      </c>
      <c r="W674" s="29">
        <v>204</v>
      </c>
      <c r="X674" s="29">
        <v>187</v>
      </c>
      <c r="Y674" s="29">
        <v>174</v>
      </c>
      <c r="Z674" s="29">
        <v>173</v>
      </c>
      <c r="AA674" s="29">
        <v>198</v>
      </c>
      <c r="AB674" s="29">
        <v>212</v>
      </c>
      <c r="AC674" s="29">
        <v>199</v>
      </c>
      <c r="AD674" s="29">
        <v>304</v>
      </c>
      <c r="AE674" s="29">
        <v>230</v>
      </c>
      <c r="AF674" s="29">
        <v>223</v>
      </c>
      <c r="AG674" s="29"/>
      <c r="AH674" s="29"/>
      <c r="AI674" s="29"/>
      <c r="AK674" s="29">
        <v>0</v>
      </c>
      <c r="AL674" s="29">
        <v>0</v>
      </c>
      <c r="AM674" s="29">
        <v>0</v>
      </c>
      <c r="AN674" s="29">
        <v>0</v>
      </c>
      <c r="AO674" s="29">
        <v>0</v>
      </c>
      <c r="AP674" s="29">
        <v>229</v>
      </c>
      <c r="AQ674" s="29">
        <v>1456</v>
      </c>
      <c r="AR674" s="29">
        <v>1893</v>
      </c>
      <c r="AS674" s="29">
        <v>1709</v>
      </c>
      <c r="AT674" s="29">
        <v>2728</v>
      </c>
      <c r="AU674" s="29">
        <v>1295</v>
      </c>
      <c r="AV674" s="29">
        <v>1476</v>
      </c>
      <c r="AW674" s="29">
        <v>531</v>
      </c>
      <c r="AY674" s="1018"/>
      <c r="AZ674" s="29">
        <v>5734</v>
      </c>
      <c r="BA674" s="29">
        <v>541</v>
      </c>
      <c r="BB674" s="29">
        <v>233</v>
      </c>
      <c r="BC674" s="11">
        <f t="shared" si="684"/>
        <v>204</v>
      </c>
      <c r="BD674" s="11">
        <f t="shared" si="678"/>
        <v>198</v>
      </c>
      <c r="BE674" s="11">
        <f t="shared" si="679"/>
        <v>230</v>
      </c>
      <c r="BF674" s="29"/>
    </row>
    <row r="675" spans="2:58">
      <c r="B675" t="s">
        <v>586</v>
      </c>
      <c r="D675" s="29">
        <v>13280</v>
      </c>
      <c r="E675" s="29">
        <v>13700</v>
      </c>
      <c r="F675" s="29">
        <v>14122</v>
      </c>
      <c r="G675" s="29">
        <v>13640</v>
      </c>
      <c r="H675" s="29">
        <v>14340</v>
      </c>
      <c r="I675" s="29">
        <v>15980</v>
      </c>
      <c r="J675" s="29">
        <v>17381</v>
      </c>
      <c r="K675" s="29">
        <v>3549</v>
      </c>
      <c r="L675" s="29">
        <v>18173</v>
      </c>
      <c r="M675" s="29">
        <v>4820</v>
      </c>
      <c r="N675" s="29">
        <v>5223</v>
      </c>
      <c r="O675" s="29">
        <v>5211</v>
      </c>
      <c r="P675" s="29">
        <v>5539</v>
      </c>
      <c r="Q675" s="29">
        <v>6055</v>
      </c>
      <c r="R675" s="29">
        <v>6763</v>
      </c>
      <c r="S675" s="29">
        <f t="shared" si="683"/>
        <v>7581</v>
      </c>
      <c r="T675" s="29">
        <v>8826</v>
      </c>
      <c r="U675" s="29">
        <v>9658</v>
      </c>
      <c r="V675" s="29">
        <v>9673</v>
      </c>
      <c r="W675" s="29">
        <v>10632</v>
      </c>
      <c r="X675" s="29">
        <v>11525</v>
      </c>
      <c r="Y675" s="29">
        <v>12544</v>
      </c>
      <c r="Z675" s="29">
        <v>12941</v>
      </c>
      <c r="AA675" s="29">
        <v>13427</v>
      </c>
      <c r="AB675" s="29">
        <v>10050</v>
      </c>
      <c r="AC675" s="29">
        <v>10774</v>
      </c>
      <c r="AD675" s="29">
        <v>15154</v>
      </c>
      <c r="AE675" s="29">
        <v>15526</v>
      </c>
      <c r="AF675" s="29">
        <v>15311</v>
      </c>
      <c r="AG675" s="825"/>
      <c r="AH675" s="29"/>
      <c r="AI675" s="29"/>
      <c r="AK675" s="29">
        <v>4158</v>
      </c>
      <c r="AL675" s="29">
        <v>5287</v>
      </c>
      <c r="AM675" s="29">
        <v>6453</v>
      </c>
      <c r="AN675" s="29">
        <v>4721</v>
      </c>
      <c r="AO675" s="29">
        <v>6269</v>
      </c>
      <c r="AP675" s="29">
        <v>7445</v>
      </c>
      <c r="AQ675" s="29">
        <v>8072</v>
      </c>
      <c r="AR675" s="29">
        <v>8208</v>
      </c>
      <c r="AS675" s="29">
        <v>10000</v>
      </c>
      <c r="AT675" s="29">
        <v>11594</v>
      </c>
      <c r="AU675" s="29">
        <v>13544</v>
      </c>
      <c r="AV675" s="29">
        <v>13640</v>
      </c>
      <c r="AW675" s="29">
        <v>17184</v>
      </c>
      <c r="AY675" s="1018"/>
      <c r="AZ675" s="29">
        <v>3549</v>
      </c>
      <c r="BA675" s="29">
        <v>5211</v>
      </c>
      <c r="BB675" s="29">
        <v>7581</v>
      </c>
      <c r="BC675" s="11">
        <f t="shared" si="684"/>
        <v>10632</v>
      </c>
      <c r="BD675" s="11">
        <f t="shared" si="678"/>
        <v>13427</v>
      </c>
      <c r="BE675" s="11">
        <f t="shared" si="679"/>
        <v>15526</v>
      </c>
      <c r="BF675" s="29"/>
    </row>
    <row r="676" spans="2:58" s="852" customFormat="1" ht="11.45">
      <c r="B676" t="s">
        <v>645</v>
      </c>
      <c r="D676" s="939">
        <v>0</v>
      </c>
      <c r="E676" s="939">
        <v>0</v>
      </c>
      <c r="F676" s="939">
        <v>0</v>
      </c>
      <c r="G676" s="939">
        <v>0</v>
      </c>
      <c r="H676" s="939">
        <v>0</v>
      </c>
      <c r="I676" s="939">
        <v>0</v>
      </c>
      <c r="J676" s="939">
        <v>0</v>
      </c>
      <c r="K676" s="939">
        <v>13485</v>
      </c>
      <c r="L676" s="939">
        <v>0</v>
      </c>
      <c r="M676" s="939">
        <v>30050</v>
      </c>
      <c r="N676" s="939">
        <v>30669</v>
      </c>
      <c r="O676" s="939">
        <v>30265</v>
      </c>
      <c r="P676" s="939">
        <v>28936</v>
      </c>
      <c r="Q676" s="939">
        <v>29161</v>
      </c>
      <c r="R676" s="939">
        <v>29514</v>
      </c>
      <c r="S676" s="939">
        <f t="shared" si="683"/>
        <v>29612</v>
      </c>
      <c r="T676" s="939">
        <v>28457</v>
      </c>
      <c r="U676" s="939">
        <v>28754</v>
      </c>
      <c r="V676" s="939">
        <v>28888</v>
      </c>
      <c r="W676" s="939">
        <v>29432</v>
      </c>
      <c r="X676" s="939">
        <v>28204</v>
      </c>
      <c r="Y676" s="939">
        <v>26701</v>
      </c>
      <c r="Z676" s="939">
        <v>27157</v>
      </c>
      <c r="AA676" s="939">
        <v>27190</v>
      </c>
      <c r="AB676" s="30">
        <v>25715</v>
      </c>
      <c r="AC676" s="30">
        <v>14747</v>
      </c>
      <c r="AD676" s="30">
        <v>26483</v>
      </c>
      <c r="AE676" s="30">
        <v>26069</v>
      </c>
      <c r="AF676" s="30">
        <v>23712</v>
      </c>
      <c r="AG676" s="29"/>
      <c r="AH676" s="29"/>
      <c r="AI676" s="29"/>
      <c r="AK676" s="939">
        <v>0</v>
      </c>
      <c r="AL676" s="939">
        <v>0</v>
      </c>
      <c r="AM676" s="939">
        <v>0</v>
      </c>
      <c r="AN676" s="939">
        <v>0</v>
      </c>
      <c r="AO676" s="939">
        <v>0</v>
      </c>
      <c r="AP676" s="939">
        <v>0</v>
      </c>
      <c r="AQ676" s="939">
        <v>0</v>
      </c>
      <c r="AR676" s="939">
        <v>0</v>
      </c>
      <c r="AS676" s="939">
        <v>0</v>
      </c>
      <c r="AT676" s="939">
        <v>0</v>
      </c>
      <c r="AU676" s="939">
        <v>0</v>
      </c>
      <c r="AV676" s="939">
        <v>0</v>
      </c>
      <c r="AW676" s="939">
        <v>0</v>
      </c>
      <c r="AY676" s="1019"/>
      <c r="AZ676" s="939">
        <v>13485</v>
      </c>
      <c r="BA676" s="939">
        <v>30265</v>
      </c>
      <c r="BB676" s="939">
        <v>29612</v>
      </c>
      <c r="BC676" s="940">
        <f t="shared" si="684"/>
        <v>29432</v>
      </c>
      <c r="BD676" s="940">
        <f t="shared" si="678"/>
        <v>27190</v>
      </c>
      <c r="BE676" s="940">
        <f t="shared" si="679"/>
        <v>26069</v>
      </c>
      <c r="BF676" s="939"/>
    </row>
    <row r="677" spans="2:58" s="1" customFormat="1" ht="10.5">
      <c r="B677" s="837" t="s">
        <v>646</v>
      </c>
      <c r="D677" s="838">
        <f t="shared" ref="D677:Q677" si="685">SUM(D671:D676)+D670</f>
        <v>95451</v>
      </c>
      <c r="E677" s="838">
        <f t="shared" si="685"/>
        <v>103318</v>
      </c>
      <c r="F677" s="838">
        <f t="shared" si="685"/>
        <v>107063</v>
      </c>
      <c r="G677" s="838">
        <f t="shared" si="685"/>
        <v>121471</v>
      </c>
      <c r="H677" s="838">
        <f t="shared" si="685"/>
        <v>142152</v>
      </c>
      <c r="I677" s="838">
        <f t="shared" si="685"/>
        <v>155801</v>
      </c>
      <c r="J677" s="838">
        <f t="shared" si="685"/>
        <v>155288</v>
      </c>
      <c r="K677" s="838">
        <f t="shared" si="685"/>
        <v>162601</v>
      </c>
      <c r="L677" s="838">
        <f t="shared" si="685"/>
        <v>159450</v>
      </c>
      <c r="M677" s="838">
        <f t="shared" si="685"/>
        <v>177643</v>
      </c>
      <c r="N677" s="838">
        <f t="shared" si="685"/>
        <v>166258</v>
      </c>
      <c r="O677" s="838">
        <f t="shared" si="685"/>
        <v>176130</v>
      </c>
      <c r="P677" s="838">
        <f t="shared" si="685"/>
        <v>171652</v>
      </c>
      <c r="Q677" s="838">
        <f t="shared" si="685"/>
        <v>166731</v>
      </c>
      <c r="R677" s="838">
        <f t="shared" ref="R677:T677" si="686">SUM(R671:R676)+R670</f>
        <v>168417</v>
      </c>
      <c r="S677" s="838">
        <f t="shared" si="686"/>
        <v>184226</v>
      </c>
      <c r="T677" s="838">
        <f t="shared" si="686"/>
        <v>172894</v>
      </c>
      <c r="U677" s="838">
        <f t="shared" ref="U677:AF677" si="687">SUM(U671:U676)+U670</f>
        <v>172685</v>
      </c>
      <c r="V677" s="838">
        <f t="shared" si="687"/>
        <v>170948</v>
      </c>
      <c r="W677" s="838">
        <f t="shared" si="687"/>
        <v>183007</v>
      </c>
      <c r="X677" s="838">
        <f t="shared" si="687"/>
        <v>177609</v>
      </c>
      <c r="Y677" s="838">
        <f t="shared" si="687"/>
        <v>173901</v>
      </c>
      <c r="Z677" s="838">
        <f t="shared" si="687"/>
        <v>174374</v>
      </c>
      <c r="AA677" s="838">
        <f t="shared" si="687"/>
        <v>191791</v>
      </c>
      <c r="AB677" s="838">
        <f t="shared" si="687"/>
        <v>183440</v>
      </c>
      <c r="AC677" s="838">
        <f t="shared" si="687"/>
        <v>180379</v>
      </c>
      <c r="AD677" s="838">
        <f t="shared" si="687"/>
        <v>181683</v>
      </c>
      <c r="AE677" s="838">
        <f t="shared" si="687"/>
        <v>198298</v>
      </c>
      <c r="AF677" s="838">
        <f t="shared" si="687"/>
        <v>186218</v>
      </c>
      <c r="AK677" s="838">
        <f t="shared" ref="AK677:AW677" si="688">SUM(AK671:AK676)+AK670</f>
        <v>22700</v>
      </c>
      <c r="AL677" s="838">
        <f t="shared" si="688"/>
        <v>29493</v>
      </c>
      <c r="AM677" s="838">
        <f t="shared" si="688"/>
        <v>32074</v>
      </c>
      <c r="AN677" s="838">
        <f t="shared" si="688"/>
        <v>36507</v>
      </c>
      <c r="AO677" s="838">
        <f t="shared" si="688"/>
        <v>38330</v>
      </c>
      <c r="AP677" s="838">
        <f t="shared" si="688"/>
        <v>39938</v>
      </c>
      <c r="AQ677" s="838">
        <f t="shared" si="688"/>
        <v>51621</v>
      </c>
      <c r="AR677" s="838">
        <f t="shared" si="688"/>
        <v>54908</v>
      </c>
      <c r="AS677" s="838">
        <f t="shared" si="688"/>
        <v>63487</v>
      </c>
      <c r="AT677" s="838">
        <f t="shared" si="688"/>
        <v>82600</v>
      </c>
      <c r="AU677" s="838">
        <f t="shared" si="688"/>
        <v>94389</v>
      </c>
      <c r="AV677" s="838">
        <f t="shared" si="688"/>
        <v>121471</v>
      </c>
      <c r="AW677" s="838">
        <f t="shared" si="688"/>
        <v>168692</v>
      </c>
      <c r="AY677" s="1020"/>
      <c r="AZ677" s="838">
        <f>SUM(AZ671:AZ676)+AZ670</f>
        <v>162601</v>
      </c>
      <c r="BA677" s="838">
        <f>SUM(BA671:BA676)+BA670</f>
        <v>176130</v>
      </c>
      <c r="BB677" s="838">
        <f>SUM(BB671:BB676)+BB670</f>
        <v>184226</v>
      </c>
      <c r="BC677" s="849">
        <f>SUM(BC671:BC676)+BC670</f>
        <v>183007</v>
      </c>
      <c r="BD677" s="849">
        <f t="shared" si="678"/>
        <v>191791</v>
      </c>
      <c r="BE677" s="849">
        <f t="shared" si="679"/>
        <v>198298</v>
      </c>
      <c r="BF677" s="838"/>
    </row>
    <row r="678" spans="2:58">
      <c r="AY678" s="1018"/>
      <c r="BC678" s="100"/>
      <c r="BD678" s="100"/>
      <c r="BE678" s="100"/>
    </row>
    <row r="679" spans="2:58" ht="10.5">
      <c r="B679" s="45" t="s">
        <v>647</v>
      </c>
      <c r="AY679" s="1018"/>
      <c r="BC679" s="100"/>
      <c r="BD679" s="100"/>
      <c r="BE679" s="100"/>
    </row>
    <row r="680" spans="2:58">
      <c r="B680" t="s">
        <v>648</v>
      </c>
      <c r="D680" s="29">
        <v>68093</v>
      </c>
      <c r="E680" s="29">
        <v>68279</v>
      </c>
      <c r="F680" s="29">
        <v>68012</v>
      </c>
      <c r="G680" s="29">
        <v>68178</v>
      </c>
      <c r="H680" s="29">
        <v>67747</v>
      </c>
      <c r="I680" s="29">
        <v>68177</v>
      </c>
      <c r="J680" s="29">
        <v>68554</v>
      </c>
      <c r="K680" s="29">
        <v>69315</v>
      </c>
      <c r="L680" s="29">
        <v>69419</v>
      </c>
      <c r="M680" s="29">
        <v>70192</v>
      </c>
      <c r="N680" s="29">
        <v>70418</v>
      </c>
      <c r="O680" s="29">
        <v>71223</v>
      </c>
      <c r="P680" s="29">
        <v>71303</v>
      </c>
      <c r="Q680" s="29">
        <v>77556</v>
      </c>
      <c r="R680" s="29">
        <v>77791</v>
      </c>
      <c r="S680" s="29">
        <f t="shared" ref="S680:S682" si="689">+BB680</f>
        <v>78520</v>
      </c>
      <c r="T680" s="29">
        <v>78882</v>
      </c>
      <c r="U680" s="29">
        <v>79625</v>
      </c>
      <c r="V680" s="29">
        <v>79813</v>
      </c>
      <c r="W680" s="29">
        <v>80552</v>
      </c>
      <c r="X680" s="29">
        <v>81089</v>
      </c>
      <c r="Y680" s="29">
        <v>81896</v>
      </c>
      <c r="Z680" s="29">
        <v>82308</v>
      </c>
      <c r="AA680" s="29">
        <v>83111</v>
      </c>
      <c r="AB680" s="29">
        <v>83751</v>
      </c>
      <c r="AC680" s="29">
        <v>84528</v>
      </c>
      <c r="AD680" s="29">
        <v>85767</v>
      </c>
      <c r="AE680" s="29">
        <v>86939</v>
      </c>
      <c r="AF680" s="29">
        <v>88535</v>
      </c>
      <c r="AG680" s="29"/>
      <c r="AH680" s="29"/>
      <c r="AI680" s="29"/>
      <c r="AK680" s="29">
        <v>60413</v>
      </c>
      <c r="AL680" s="29">
        <v>59005</v>
      </c>
      <c r="AM680" s="29">
        <v>60557</v>
      </c>
      <c r="AN680" s="29">
        <v>62849</v>
      </c>
      <c r="AO680" s="29">
        <v>62382</v>
      </c>
      <c r="AP680" s="29">
        <v>62856</v>
      </c>
      <c r="AQ680" s="29">
        <v>63415</v>
      </c>
      <c r="AR680" s="29">
        <v>65797</v>
      </c>
      <c r="AS680" s="29">
        <v>67306</v>
      </c>
      <c r="AT680" s="29">
        <v>68366</v>
      </c>
      <c r="AU680" s="29">
        <v>68465</v>
      </c>
      <c r="AV680" s="29">
        <v>68178</v>
      </c>
      <c r="AW680" s="29">
        <v>69315</v>
      </c>
      <c r="AY680" s="1018"/>
      <c r="AZ680" s="29">
        <v>69315</v>
      </c>
      <c r="BA680" s="29">
        <v>71223</v>
      </c>
      <c r="BB680" s="29">
        <v>78520</v>
      </c>
      <c r="BC680" s="11">
        <f>+W680</f>
        <v>80552</v>
      </c>
      <c r="BD680" s="11">
        <f t="shared" ref="BD680:BD684" si="690">+AA680</f>
        <v>83111</v>
      </c>
      <c r="BE680" s="11">
        <f t="shared" si="679"/>
        <v>86939</v>
      </c>
      <c r="BF680" s="29"/>
    </row>
    <row r="681" spans="2:58">
      <c r="B681" t="s">
        <v>649</v>
      </c>
      <c r="D681" s="29">
        <v>7614</v>
      </c>
      <c r="E681" s="29">
        <v>6728</v>
      </c>
      <c r="F681" s="29">
        <v>4954</v>
      </c>
      <c r="G681" s="29">
        <v>2282</v>
      </c>
      <c r="H681" s="29">
        <v>944</v>
      </c>
      <c r="I681" s="29">
        <v>120</v>
      </c>
      <c r="J681" s="29">
        <v>531</v>
      </c>
      <c r="K681" s="29">
        <v>17769</v>
      </c>
      <c r="L681" s="29">
        <v>19702</v>
      </c>
      <c r="M681" s="29">
        <v>8567</v>
      </c>
      <c r="N681" s="29">
        <v>9974</v>
      </c>
      <c r="O681" s="29">
        <v>13682</v>
      </c>
      <c r="P681" s="29">
        <v>17279</v>
      </c>
      <c r="Q681" s="29">
        <v>16585</v>
      </c>
      <c r="R681" s="29">
        <v>18338</v>
      </c>
      <c r="S681" s="29">
        <f t="shared" si="689"/>
        <v>24150</v>
      </c>
      <c r="T681" s="29">
        <v>27240</v>
      </c>
      <c r="U681" s="29">
        <v>30739</v>
      </c>
      <c r="V681" s="29">
        <v>32012</v>
      </c>
      <c r="W681" s="29">
        <v>34566</v>
      </c>
      <c r="X681" s="29">
        <v>39193</v>
      </c>
      <c r="Y681" s="29">
        <v>44973</v>
      </c>
      <c r="Z681" s="29">
        <v>50735</v>
      </c>
      <c r="AA681" s="29">
        <v>57055</v>
      </c>
      <c r="AB681" s="29">
        <v>66944</v>
      </c>
      <c r="AC681" s="29">
        <v>75045</v>
      </c>
      <c r="AD681" s="29">
        <v>79633</v>
      </c>
      <c r="AE681" s="29">
        <v>84281</v>
      </c>
      <c r="AF681" s="29">
        <v>92374</v>
      </c>
      <c r="AG681" s="29"/>
      <c r="AH681" s="29"/>
      <c r="AI681" s="29"/>
      <c r="AK681" s="29">
        <v>-12298</v>
      </c>
      <c r="AL681" s="29">
        <v>-18901</v>
      </c>
      <c r="AM681" s="29">
        <v>-29460</v>
      </c>
      <c r="AN681" s="29">
        <v>-26563</v>
      </c>
      <c r="AO681" s="29">
        <v>-22824</v>
      </c>
      <c r="AP681" s="29">
        <v>-16681</v>
      </c>
      <c r="AQ681" s="29">
        <v>-6332</v>
      </c>
      <c r="AR681" s="29">
        <v>-856</v>
      </c>
      <c r="AS681" s="29">
        <v>9895</v>
      </c>
      <c r="AT681" s="29">
        <v>17710</v>
      </c>
      <c r="AU681" s="29">
        <v>9096</v>
      </c>
      <c r="AV681" s="29">
        <v>2282</v>
      </c>
      <c r="AW681" s="29">
        <v>2648</v>
      </c>
      <c r="AY681" s="1018"/>
      <c r="AZ681" s="29">
        <v>17769</v>
      </c>
      <c r="BA681" s="29">
        <v>13682</v>
      </c>
      <c r="BB681" s="29">
        <v>24150</v>
      </c>
      <c r="BC681" s="11">
        <f>+W681</f>
        <v>34566</v>
      </c>
      <c r="BD681" s="11">
        <f t="shared" si="690"/>
        <v>57055</v>
      </c>
      <c r="BE681" s="11">
        <f t="shared" si="679"/>
        <v>84281</v>
      </c>
      <c r="BF681" s="29"/>
    </row>
    <row r="682" spans="2:58" ht="11.45">
      <c r="B682" t="s">
        <v>650</v>
      </c>
      <c r="D682" s="30">
        <v>1738</v>
      </c>
      <c r="E682" s="30">
        <v>1773</v>
      </c>
      <c r="F682" s="30">
        <v>1840</v>
      </c>
      <c r="G682" s="30">
        <v>1537</v>
      </c>
      <c r="H682" s="30">
        <v>1681</v>
      </c>
      <c r="I682" s="30">
        <v>512</v>
      </c>
      <c r="J682" s="30">
        <v>644</v>
      </c>
      <c r="K682" s="30">
        <v>627</v>
      </c>
      <c r="L682" s="30">
        <v>526</v>
      </c>
      <c r="M682" s="30">
        <v>-399</v>
      </c>
      <c r="N682" s="30">
        <v>-1153</v>
      </c>
      <c r="O682" s="30">
        <v>-2187</v>
      </c>
      <c r="P682" s="30">
        <v>-2615</v>
      </c>
      <c r="Q682" s="30">
        <v>-2013</v>
      </c>
      <c r="R682" s="30">
        <v>-1265</v>
      </c>
      <c r="S682" s="30">
        <f t="shared" si="689"/>
        <v>-340</v>
      </c>
      <c r="T682" s="30">
        <v>-61</v>
      </c>
      <c r="U682" s="30">
        <v>-255</v>
      </c>
      <c r="V682" s="30">
        <v>2676</v>
      </c>
      <c r="W682" s="30">
        <v>3186</v>
      </c>
      <c r="X682" s="30">
        <v>3110</v>
      </c>
      <c r="Y682" s="30">
        <v>3367</v>
      </c>
      <c r="Z682" s="30">
        <v>1462</v>
      </c>
      <c r="AA682" s="30">
        <v>1822</v>
      </c>
      <c r="AB682" s="30">
        <v>1283</v>
      </c>
      <c r="AC682" s="30">
        <v>437</v>
      </c>
      <c r="AD682" s="30">
        <v>-2476</v>
      </c>
      <c r="AE682" s="30">
        <v>-4678</v>
      </c>
      <c r="AF682" s="30">
        <v>-7343</v>
      </c>
      <c r="AG682" s="30"/>
      <c r="AH682" s="30"/>
      <c r="AI682" s="30"/>
      <c r="AK682" s="30">
        <v>0</v>
      </c>
      <c r="AL682" s="30">
        <v>0</v>
      </c>
      <c r="AM682" s="30">
        <v>0</v>
      </c>
      <c r="AN682" s="30">
        <v>0</v>
      </c>
      <c r="AO682" s="30">
        <v>0</v>
      </c>
      <c r="AP682" s="30">
        <v>0</v>
      </c>
      <c r="AQ682" s="30">
        <v>0</v>
      </c>
      <c r="AR682" s="30">
        <v>1422</v>
      </c>
      <c r="AS682" s="30">
        <v>1743</v>
      </c>
      <c r="AT682" s="30">
        <v>3708</v>
      </c>
      <c r="AU682" s="30">
        <v>2522</v>
      </c>
      <c r="AV682" s="30">
        <v>1537</v>
      </c>
      <c r="AW682" s="30">
        <v>431</v>
      </c>
      <c r="AX682" s="953"/>
      <c r="AY682" s="1021"/>
      <c r="AZ682" s="30">
        <v>627</v>
      </c>
      <c r="BA682" s="30">
        <v>-2187</v>
      </c>
      <c r="BB682" s="30">
        <v>-340</v>
      </c>
      <c r="BC682" s="34">
        <f>+W682</f>
        <v>3186</v>
      </c>
      <c r="BD682" s="34">
        <f t="shared" si="690"/>
        <v>1822</v>
      </c>
      <c r="BE682" s="34">
        <f t="shared" si="679"/>
        <v>-4678</v>
      </c>
      <c r="BF682" s="30"/>
    </row>
    <row r="683" spans="2:58" s="1" customFormat="1" ht="13.5">
      <c r="B683" s="837" t="s">
        <v>651</v>
      </c>
      <c r="D683" s="959">
        <f>SUM(D680:D682)</f>
        <v>77445</v>
      </c>
      <c r="E683" s="959">
        <f t="shared" ref="E683:AF683" si="691">SUM(E680:E682)</f>
        <v>76780</v>
      </c>
      <c r="F683" s="959">
        <f t="shared" si="691"/>
        <v>74806</v>
      </c>
      <c r="G683" s="959">
        <f t="shared" si="691"/>
        <v>71997</v>
      </c>
      <c r="H683" s="959">
        <f t="shared" si="691"/>
        <v>70372</v>
      </c>
      <c r="I683" s="959">
        <f t="shared" si="691"/>
        <v>68809</v>
      </c>
      <c r="J683" s="959">
        <f t="shared" si="691"/>
        <v>69729</v>
      </c>
      <c r="K683" s="959">
        <f t="shared" si="691"/>
        <v>87711</v>
      </c>
      <c r="L683" s="959">
        <f t="shared" si="691"/>
        <v>89647</v>
      </c>
      <c r="M683" s="959">
        <f t="shared" si="691"/>
        <v>78360</v>
      </c>
      <c r="N683" s="959">
        <f t="shared" si="691"/>
        <v>79239</v>
      </c>
      <c r="O683" s="959">
        <f t="shared" si="691"/>
        <v>82718</v>
      </c>
      <c r="P683" s="959">
        <f t="shared" si="691"/>
        <v>85967</v>
      </c>
      <c r="Q683" s="959">
        <f t="shared" si="691"/>
        <v>92128</v>
      </c>
      <c r="R683" s="959">
        <f t="shared" si="691"/>
        <v>94864</v>
      </c>
      <c r="S683" s="959">
        <f t="shared" si="691"/>
        <v>102330</v>
      </c>
      <c r="T683" s="959">
        <f t="shared" si="691"/>
        <v>106061</v>
      </c>
      <c r="U683" s="959">
        <f t="shared" si="691"/>
        <v>110109</v>
      </c>
      <c r="V683" s="959">
        <f t="shared" si="691"/>
        <v>114501</v>
      </c>
      <c r="W683" s="959">
        <f t="shared" si="691"/>
        <v>118304</v>
      </c>
      <c r="X683" s="959">
        <f t="shared" si="691"/>
        <v>123392</v>
      </c>
      <c r="Y683" s="959">
        <f t="shared" si="691"/>
        <v>130236</v>
      </c>
      <c r="Z683" s="959">
        <f t="shared" si="691"/>
        <v>134505</v>
      </c>
      <c r="AA683" s="959">
        <f t="shared" si="691"/>
        <v>141988</v>
      </c>
      <c r="AB683" s="959">
        <f t="shared" si="691"/>
        <v>151978</v>
      </c>
      <c r="AC683" s="959">
        <f t="shared" si="691"/>
        <v>160010</v>
      </c>
      <c r="AD683" s="959">
        <f t="shared" si="691"/>
        <v>162924</v>
      </c>
      <c r="AE683" s="959">
        <f t="shared" si="691"/>
        <v>166542</v>
      </c>
      <c r="AF683" s="959">
        <f t="shared" si="691"/>
        <v>173566</v>
      </c>
      <c r="AG683" s="959"/>
      <c r="AH683" s="959"/>
      <c r="AI683" s="959"/>
      <c r="AK683" s="959">
        <f>SUM(AK680:AK682)</f>
        <v>48115</v>
      </c>
      <c r="AL683" s="959">
        <f t="shared" ref="AL683:AW683" si="692">SUM(AL680:AL682)</f>
        <v>40104</v>
      </c>
      <c r="AM683" s="959">
        <f t="shared" si="692"/>
        <v>31097</v>
      </c>
      <c r="AN683" s="959">
        <f t="shared" si="692"/>
        <v>36286</v>
      </c>
      <c r="AO683" s="959">
        <f t="shared" si="692"/>
        <v>39558</v>
      </c>
      <c r="AP683" s="959">
        <f t="shared" si="692"/>
        <v>46175</v>
      </c>
      <c r="AQ683" s="959">
        <f t="shared" si="692"/>
        <v>57083</v>
      </c>
      <c r="AR683" s="959">
        <f t="shared" si="692"/>
        <v>66363</v>
      </c>
      <c r="AS683" s="959">
        <f t="shared" si="692"/>
        <v>78944</v>
      </c>
      <c r="AT683" s="959">
        <f t="shared" si="692"/>
        <v>89784</v>
      </c>
      <c r="AU683" s="959">
        <f t="shared" si="692"/>
        <v>80083</v>
      </c>
      <c r="AV683" s="959">
        <f t="shared" si="692"/>
        <v>71997</v>
      </c>
      <c r="AW683" s="959">
        <f t="shared" si="692"/>
        <v>72394</v>
      </c>
      <c r="AX683" s="102"/>
      <c r="AY683" s="1022"/>
      <c r="AZ683" s="959">
        <f t="shared" ref="AZ683:BC683" si="693">SUM(AZ680:AZ682)</f>
        <v>87711</v>
      </c>
      <c r="BA683" s="959">
        <f t="shared" si="693"/>
        <v>82718</v>
      </c>
      <c r="BB683" s="959">
        <f t="shared" si="693"/>
        <v>102330</v>
      </c>
      <c r="BC683" s="959">
        <f t="shared" si="693"/>
        <v>118304</v>
      </c>
      <c r="BD683" s="959">
        <f t="shared" si="690"/>
        <v>141988</v>
      </c>
      <c r="BE683" s="959">
        <f t="shared" si="679"/>
        <v>166542</v>
      </c>
      <c r="BF683" s="959"/>
    </row>
    <row r="684" spans="2:58" s="1" customFormat="1" ht="10.5">
      <c r="B684" s="1" t="s">
        <v>652</v>
      </c>
      <c r="D684" s="838">
        <f>+D677+D683</f>
        <v>172896</v>
      </c>
      <c r="E684" s="838">
        <f t="shared" ref="E684:AF684" si="694">+E677+E683</f>
        <v>180098</v>
      </c>
      <c r="F684" s="838">
        <f t="shared" si="694"/>
        <v>181869</v>
      </c>
      <c r="G684" s="838">
        <f t="shared" si="694"/>
        <v>193468</v>
      </c>
      <c r="H684" s="838">
        <f t="shared" si="694"/>
        <v>212524</v>
      </c>
      <c r="I684" s="838">
        <f t="shared" si="694"/>
        <v>224610</v>
      </c>
      <c r="J684" s="838">
        <f t="shared" si="694"/>
        <v>225017</v>
      </c>
      <c r="K684" s="838">
        <f t="shared" si="694"/>
        <v>250312</v>
      </c>
      <c r="L684" s="838">
        <f t="shared" si="694"/>
        <v>249097</v>
      </c>
      <c r="M684" s="838">
        <f t="shared" si="694"/>
        <v>256003</v>
      </c>
      <c r="N684" s="838">
        <f t="shared" si="694"/>
        <v>245497</v>
      </c>
      <c r="O684" s="838">
        <f t="shared" si="694"/>
        <v>258848</v>
      </c>
      <c r="P684" s="838">
        <f t="shared" si="694"/>
        <v>257619</v>
      </c>
      <c r="Q684" s="838">
        <f t="shared" si="694"/>
        <v>258859</v>
      </c>
      <c r="R684" s="838">
        <f t="shared" si="694"/>
        <v>263281</v>
      </c>
      <c r="S684" s="838">
        <f t="shared" si="694"/>
        <v>286556</v>
      </c>
      <c r="T684" s="838">
        <f t="shared" si="694"/>
        <v>278955</v>
      </c>
      <c r="U684" s="838">
        <f t="shared" si="694"/>
        <v>282794</v>
      </c>
      <c r="V684" s="838">
        <f t="shared" si="694"/>
        <v>285449</v>
      </c>
      <c r="W684" s="838">
        <f t="shared" si="694"/>
        <v>301311</v>
      </c>
      <c r="X684" s="838">
        <f t="shared" si="694"/>
        <v>301001</v>
      </c>
      <c r="Y684" s="838">
        <f t="shared" si="694"/>
        <v>304137</v>
      </c>
      <c r="Z684" s="838">
        <f t="shared" si="694"/>
        <v>308879</v>
      </c>
      <c r="AA684" s="838">
        <f t="shared" si="694"/>
        <v>333779</v>
      </c>
      <c r="AB684" s="838">
        <f t="shared" si="694"/>
        <v>335418</v>
      </c>
      <c r="AC684" s="838">
        <f t="shared" si="694"/>
        <v>340389</v>
      </c>
      <c r="AD684" s="838">
        <f t="shared" si="694"/>
        <v>344607</v>
      </c>
      <c r="AE684" s="838">
        <f t="shared" si="694"/>
        <v>364840</v>
      </c>
      <c r="AF684" s="838">
        <f t="shared" si="694"/>
        <v>359784</v>
      </c>
      <c r="AG684" s="838"/>
      <c r="AH684" s="838"/>
      <c r="AI684" s="838"/>
      <c r="AK684" s="838">
        <f>+AK677+AK683</f>
        <v>70815</v>
      </c>
      <c r="AL684" s="838">
        <f t="shared" ref="AL684:AW684" si="695">+AL677+AL683</f>
        <v>69597</v>
      </c>
      <c r="AM684" s="838">
        <f t="shared" si="695"/>
        <v>63171</v>
      </c>
      <c r="AN684" s="838">
        <f t="shared" si="695"/>
        <v>72793</v>
      </c>
      <c r="AO684" s="838">
        <f t="shared" si="695"/>
        <v>77888</v>
      </c>
      <c r="AP684" s="838">
        <f t="shared" si="695"/>
        <v>86113</v>
      </c>
      <c r="AQ684" s="838">
        <f t="shared" si="695"/>
        <v>108704</v>
      </c>
      <c r="AR684" s="838">
        <f t="shared" si="695"/>
        <v>121271</v>
      </c>
      <c r="AS684" s="838">
        <f t="shared" si="695"/>
        <v>142431</v>
      </c>
      <c r="AT684" s="838">
        <f t="shared" si="695"/>
        <v>172384</v>
      </c>
      <c r="AU684" s="838">
        <f t="shared" si="695"/>
        <v>174472</v>
      </c>
      <c r="AV684" s="838">
        <f t="shared" si="695"/>
        <v>193468</v>
      </c>
      <c r="AW684" s="838">
        <f t="shared" si="695"/>
        <v>241086</v>
      </c>
      <c r="AY684" s="1023"/>
      <c r="AZ684" s="838">
        <f t="shared" ref="AZ684:BC684" si="696">+AZ677+AZ683</f>
        <v>250312</v>
      </c>
      <c r="BA684" s="838">
        <f t="shared" si="696"/>
        <v>258848</v>
      </c>
      <c r="BB684" s="838">
        <f t="shared" si="696"/>
        <v>286556</v>
      </c>
      <c r="BC684" s="849">
        <f t="shared" si="696"/>
        <v>301311</v>
      </c>
      <c r="BD684" s="849">
        <f t="shared" si="690"/>
        <v>333779</v>
      </c>
      <c r="BE684" s="849">
        <f t="shared" si="679"/>
        <v>364840</v>
      </c>
      <c r="BF684" s="838"/>
    </row>
    <row r="685" spans="2:58">
      <c r="BC685" s="100"/>
      <c r="BD685" s="100"/>
    </row>
    <row r="686" spans="2:58" ht="10.5">
      <c r="B686" s="5" t="s">
        <v>669</v>
      </c>
      <c r="C686" s="4"/>
      <c r="BC686" s="100"/>
      <c r="BD686" s="100"/>
    </row>
    <row r="687" spans="2:58">
      <c r="BC687" s="100"/>
      <c r="BD687" s="100"/>
    </row>
    <row r="688" spans="2:58" ht="10.5">
      <c r="B688" s="45" t="s">
        <v>665</v>
      </c>
    </row>
    <row r="689" spans="2:62">
      <c r="B689" t="s">
        <v>340</v>
      </c>
      <c r="D689" s="29">
        <v>8718</v>
      </c>
      <c r="E689" s="29">
        <v>8257</v>
      </c>
      <c r="F689" s="29">
        <v>8006</v>
      </c>
      <c r="G689" s="29">
        <v>10673</v>
      </c>
      <c r="H689" s="29">
        <v>9656</v>
      </c>
      <c r="I689" s="29">
        <v>9839</v>
      </c>
      <c r="J689" s="29">
        <v>9697</v>
      </c>
      <c r="K689" s="29">
        <v>12692</v>
      </c>
      <c r="L689" s="29">
        <v>11808</v>
      </c>
      <c r="M689" s="29">
        <v>11290</v>
      </c>
      <c r="N689" s="29">
        <v>11185</v>
      </c>
      <c r="O689" s="29">
        <v>14864</v>
      </c>
      <c r="P689" s="29">
        <v>13753</v>
      </c>
      <c r="Q689" s="29">
        <v>12635</v>
      </c>
      <c r="R689" s="29">
        <v>12679</v>
      </c>
      <c r="S689" s="29">
        <v>16831</v>
      </c>
      <c r="T689" s="29">
        <v>15560</v>
      </c>
      <c r="U689" s="29">
        <v>14266</v>
      </c>
      <c r="V689" s="29">
        <v>14077</v>
      </c>
      <c r="W689" s="29">
        <v>18643</v>
      </c>
      <c r="X689" s="29">
        <v>17675</v>
      </c>
      <c r="Y689" s="29">
        <v>16225</v>
      </c>
      <c r="Z689" s="29">
        <v>16169</v>
      </c>
      <c r="AA689" s="29">
        <v>22120</v>
      </c>
      <c r="AB689" s="29">
        <v>20565</v>
      </c>
      <c r="AC689" s="29">
        <v>18494</v>
      </c>
      <c r="AD689" s="29">
        <v>18578</v>
      </c>
      <c r="AE689" s="29">
        <v>24558</v>
      </c>
      <c r="AF689" s="29">
        <v>22405</v>
      </c>
      <c r="AG689" s="29"/>
      <c r="AH689" s="29"/>
      <c r="AI689" s="29"/>
      <c r="AY689" s="8">
        <f>+G689</f>
        <v>10673</v>
      </c>
      <c r="AZ689" s="8">
        <f>+K689</f>
        <v>12692</v>
      </c>
      <c r="BA689" s="8">
        <f>+O689</f>
        <v>14864</v>
      </c>
      <c r="BB689" s="8">
        <f>+S689</f>
        <v>16831</v>
      </c>
      <c r="BC689" s="8">
        <f>+W689</f>
        <v>18643</v>
      </c>
      <c r="BD689" s="8">
        <f>+AA689</f>
        <v>22120</v>
      </c>
      <c r="BE689" s="8">
        <f>+AE689</f>
        <v>24558</v>
      </c>
      <c r="BF689" s="8"/>
    </row>
    <row r="690" spans="2:62">
      <c r="B690" t="s">
        <v>342</v>
      </c>
      <c r="D690" s="29">
        <v>7107</v>
      </c>
      <c r="E690" s="29">
        <v>6702</v>
      </c>
      <c r="F690" s="29">
        <v>6679</v>
      </c>
      <c r="G690" s="29">
        <v>8913</v>
      </c>
      <c r="H690" s="29">
        <v>8057</v>
      </c>
      <c r="I690" s="29">
        <v>7676</v>
      </c>
      <c r="J690" s="29">
        <v>7735</v>
      </c>
      <c r="K690" s="29">
        <v>11152</v>
      </c>
      <c r="L690" s="29">
        <v>10156</v>
      </c>
      <c r="M690" s="29">
        <v>9759</v>
      </c>
      <c r="N690" s="29">
        <v>9987</v>
      </c>
      <c r="O690" s="29">
        <v>14706</v>
      </c>
      <c r="P690" s="29">
        <v>13298</v>
      </c>
      <c r="Q690" s="29">
        <v>12551</v>
      </c>
      <c r="R690" s="29">
        <v>12531</v>
      </c>
      <c r="S690" s="29">
        <v>16988</v>
      </c>
      <c r="T690" s="29">
        <v>15255</v>
      </c>
      <c r="U690" s="29">
        <v>13766</v>
      </c>
      <c r="V690" s="29">
        <v>12984</v>
      </c>
      <c r="W690" s="29">
        <v>16620</v>
      </c>
      <c r="X690" s="29">
        <v>15039</v>
      </c>
      <c r="Y690" s="29">
        <v>13786</v>
      </c>
      <c r="Z690" s="29">
        <v>13098</v>
      </c>
      <c r="AA690" s="29">
        <v>17710</v>
      </c>
      <c r="AB690" s="29">
        <v>16117</v>
      </c>
      <c r="AC690" s="29">
        <v>14549</v>
      </c>
      <c r="AD690" s="29">
        <v>14524</v>
      </c>
      <c r="AE690" s="29">
        <v>19371</v>
      </c>
      <c r="AF690" s="29">
        <v>17294</v>
      </c>
      <c r="AG690" s="29"/>
      <c r="AH690" s="29"/>
      <c r="AI690" s="29"/>
      <c r="AY690" s="8">
        <f t="shared" ref="AY690:AY692" si="697">+G690</f>
        <v>8913</v>
      </c>
      <c r="AZ690" s="8">
        <f t="shared" ref="AZ690:AZ692" si="698">+K690</f>
        <v>11152</v>
      </c>
      <c r="BA690" s="8">
        <f t="shared" ref="BA690:BA692" si="699">+O690</f>
        <v>14706</v>
      </c>
      <c r="BB690" s="8">
        <f t="shared" ref="BB690:BB692" si="700">+S690</f>
        <v>16988</v>
      </c>
      <c r="BC690" s="8">
        <f t="shared" ref="BC690:BC692" si="701">+W690</f>
        <v>16620</v>
      </c>
      <c r="BD690" s="8">
        <f t="shared" ref="BD690:BD692" si="702">+AA690</f>
        <v>17710</v>
      </c>
      <c r="BE690" s="8">
        <f t="shared" ref="BE690:BE692" si="703">+AE690</f>
        <v>19371</v>
      </c>
      <c r="BF690" s="8"/>
    </row>
    <row r="691" spans="2:62" s="852" customFormat="1">
      <c r="B691" t="s">
        <v>344</v>
      </c>
      <c r="D691" s="939">
        <v>2366</v>
      </c>
      <c r="E691" s="939">
        <v>2393</v>
      </c>
      <c r="F691" s="939">
        <v>2427</v>
      </c>
      <c r="G691" s="939">
        <v>2607</v>
      </c>
      <c r="H691" s="939">
        <v>2657</v>
      </c>
      <c r="I691" s="939">
        <v>2476</v>
      </c>
      <c r="J691" s="939">
        <v>2472</v>
      </c>
      <c r="K691" s="939">
        <v>2812</v>
      </c>
      <c r="L691" s="939">
        <v>2940</v>
      </c>
      <c r="M691" s="939">
        <v>2760</v>
      </c>
      <c r="N691" s="939">
        <v>2783</v>
      </c>
      <c r="O691" s="939">
        <v>3150</v>
      </c>
      <c r="P691" s="939">
        <v>3191</v>
      </c>
      <c r="Q691" s="939">
        <v>2898</v>
      </c>
      <c r="R691" s="939">
        <v>2925</v>
      </c>
      <c r="S691" s="939">
        <v>3387</v>
      </c>
      <c r="T691" s="939">
        <v>3211</v>
      </c>
      <c r="U691" s="939">
        <v>3189</v>
      </c>
      <c r="V691" s="939">
        <v>3336</v>
      </c>
      <c r="W691" s="939">
        <v>3917</v>
      </c>
      <c r="X691" s="939">
        <v>3591</v>
      </c>
      <c r="Y691" s="939">
        <v>3376</v>
      </c>
      <c r="Z691" s="939">
        <v>3447</v>
      </c>
      <c r="AA691" s="939">
        <v>4311</v>
      </c>
      <c r="AB691" s="939">
        <v>4333</v>
      </c>
      <c r="AC691" s="939">
        <v>3726</v>
      </c>
      <c r="AD691" s="939">
        <v>3694</v>
      </c>
      <c r="AE691" s="939">
        <v>4479</v>
      </c>
      <c r="AF691" s="939">
        <v>4190</v>
      </c>
      <c r="AG691" s="939"/>
      <c r="AH691" s="939"/>
      <c r="AI691" s="939"/>
      <c r="AK691" s="939"/>
      <c r="AL691" s="939"/>
      <c r="AM691" s="939"/>
      <c r="AN691" s="939"/>
      <c r="AO691" s="939"/>
      <c r="AP691" s="939"/>
      <c r="AQ691" s="939"/>
      <c r="AR691" s="939"/>
      <c r="AS691" s="939"/>
      <c r="AT691" s="939"/>
      <c r="AU691" s="939"/>
      <c r="AV691" s="939"/>
      <c r="AW691" s="939"/>
      <c r="AY691" s="940">
        <f t="shared" si="697"/>
        <v>2607</v>
      </c>
      <c r="AZ691" s="940">
        <f t="shared" si="698"/>
        <v>2812</v>
      </c>
      <c r="BA691" s="940">
        <f t="shared" si="699"/>
        <v>3150</v>
      </c>
      <c r="BB691" s="940">
        <f t="shared" si="700"/>
        <v>3387</v>
      </c>
      <c r="BC691" s="940">
        <f t="shared" si="701"/>
        <v>3917</v>
      </c>
      <c r="BD691" s="940">
        <f t="shared" si="702"/>
        <v>4311</v>
      </c>
      <c r="BE691" s="940">
        <f t="shared" si="703"/>
        <v>4479</v>
      </c>
      <c r="BF691" s="939"/>
    </row>
    <row r="692" spans="2:62" s="1" customFormat="1" ht="10.5">
      <c r="B692" s="837" t="s">
        <v>666</v>
      </c>
      <c r="D692" s="838">
        <f>SUM(D689:D691)</f>
        <v>18191</v>
      </c>
      <c r="E692" s="838">
        <f t="shared" ref="E692:AF692" si="704">SUM(E689:E691)</f>
        <v>17352</v>
      </c>
      <c r="F692" s="838">
        <f t="shared" si="704"/>
        <v>17112</v>
      </c>
      <c r="G692" s="838">
        <f t="shared" si="704"/>
        <v>22193</v>
      </c>
      <c r="H692" s="838">
        <f t="shared" si="704"/>
        <v>20370</v>
      </c>
      <c r="I692" s="838">
        <f t="shared" si="704"/>
        <v>19991</v>
      </c>
      <c r="J692" s="838">
        <f t="shared" si="704"/>
        <v>19904</v>
      </c>
      <c r="K692" s="838">
        <f t="shared" si="704"/>
        <v>26656</v>
      </c>
      <c r="L692" s="838">
        <f t="shared" si="704"/>
        <v>24904</v>
      </c>
      <c r="M692" s="838">
        <f t="shared" si="704"/>
        <v>23809</v>
      </c>
      <c r="N692" s="838">
        <f t="shared" si="704"/>
        <v>23955</v>
      </c>
      <c r="O692" s="838">
        <f t="shared" si="704"/>
        <v>32720</v>
      </c>
      <c r="P692" s="838">
        <f t="shared" si="704"/>
        <v>30242</v>
      </c>
      <c r="Q692" s="838">
        <f t="shared" si="704"/>
        <v>28084</v>
      </c>
      <c r="R692" s="838">
        <f t="shared" si="704"/>
        <v>28135</v>
      </c>
      <c r="S692" s="838">
        <f t="shared" si="704"/>
        <v>37206</v>
      </c>
      <c r="T692" s="838">
        <f t="shared" si="704"/>
        <v>34026</v>
      </c>
      <c r="U692" s="838">
        <f t="shared" si="704"/>
        <v>31221</v>
      </c>
      <c r="V692" s="838">
        <f t="shared" si="704"/>
        <v>30397</v>
      </c>
      <c r="W692" s="838">
        <f t="shared" si="704"/>
        <v>39180</v>
      </c>
      <c r="X692" s="838">
        <f t="shared" si="704"/>
        <v>36305</v>
      </c>
      <c r="Y692" s="838">
        <f t="shared" si="704"/>
        <v>33387</v>
      </c>
      <c r="Z692" s="838">
        <f t="shared" si="704"/>
        <v>32714</v>
      </c>
      <c r="AA692" s="838">
        <f t="shared" si="704"/>
        <v>44141</v>
      </c>
      <c r="AB692" s="838">
        <f t="shared" si="704"/>
        <v>41015</v>
      </c>
      <c r="AC692" s="838">
        <f t="shared" si="704"/>
        <v>36769</v>
      </c>
      <c r="AD692" s="838">
        <f t="shared" si="704"/>
        <v>36796</v>
      </c>
      <c r="AE692" s="838">
        <f t="shared" si="704"/>
        <v>48408</v>
      </c>
      <c r="AF692" s="838">
        <f t="shared" si="704"/>
        <v>43889</v>
      </c>
      <c r="AG692" s="838"/>
      <c r="AH692" s="838"/>
      <c r="AI692" s="838"/>
      <c r="AK692" s="838">
        <f t="shared" ref="AK692:AT692" si="705">+AK673+AK667</f>
        <v>9167</v>
      </c>
      <c r="AL692" s="838">
        <f t="shared" si="705"/>
        <v>10902</v>
      </c>
      <c r="AM692" s="838">
        <f t="shared" si="705"/>
        <v>12646</v>
      </c>
      <c r="AN692" s="838">
        <f t="shared" si="705"/>
        <v>15297</v>
      </c>
      <c r="AO692" s="838">
        <f t="shared" si="705"/>
        <v>14284</v>
      </c>
      <c r="AP692" s="838">
        <f t="shared" si="705"/>
        <v>14830</v>
      </c>
      <c r="AQ692" s="838">
        <f t="shared" si="705"/>
        <v>17120</v>
      </c>
      <c r="AR692" s="838">
        <f t="shared" si="705"/>
        <v>20059</v>
      </c>
      <c r="AS692" s="838">
        <f t="shared" si="705"/>
        <v>22399</v>
      </c>
      <c r="AT692" s="838">
        <f t="shared" si="705"/>
        <v>25158</v>
      </c>
      <c r="AU692" s="838">
        <f>+AU673+AU667</f>
        <v>25318</v>
      </c>
      <c r="AV692" s="838"/>
      <c r="AW692" s="838"/>
      <c r="AY692" s="838">
        <f t="shared" si="697"/>
        <v>22193</v>
      </c>
      <c r="AZ692" s="838">
        <f t="shared" si="698"/>
        <v>26656</v>
      </c>
      <c r="BA692" s="838">
        <f t="shared" si="699"/>
        <v>32720</v>
      </c>
      <c r="BB692" s="838">
        <f t="shared" si="700"/>
        <v>37206</v>
      </c>
      <c r="BC692" s="838">
        <f t="shared" si="701"/>
        <v>39180</v>
      </c>
      <c r="BD692" s="838">
        <f t="shared" si="702"/>
        <v>44141</v>
      </c>
      <c r="BE692" s="838">
        <f t="shared" si="703"/>
        <v>48408</v>
      </c>
      <c r="BF692" s="838"/>
    </row>
    <row r="694" spans="2:62" s="3" customFormat="1">
      <c r="B694" s="24" t="s">
        <v>113</v>
      </c>
    </row>
    <row r="695" spans="2:62" s="3" customFormat="1">
      <c r="B695" s="13" t="str">
        <f>+B689</f>
        <v>Productivity and Business Processes</v>
      </c>
      <c r="D695" s="228"/>
      <c r="E695" s="228"/>
      <c r="F695" s="228"/>
      <c r="G695" s="228"/>
      <c r="H695" s="228">
        <f>+IFERROR(H689/D689-1,"n/a ")</f>
        <v>0.10759348474420749</v>
      </c>
      <c r="I695" s="228">
        <f t="shared" ref="I695:AF698" si="706">+IFERROR(I689/E689-1,"n/a ")</f>
        <v>0.19159501029429582</v>
      </c>
      <c r="J695" s="228">
        <f t="shared" si="706"/>
        <v>0.21121658755933059</v>
      </c>
      <c r="K695" s="228">
        <f t="shared" si="706"/>
        <v>0.18916893094725018</v>
      </c>
      <c r="L695" s="228">
        <f t="shared" si="706"/>
        <v>0.22286661143330577</v>
      </c>
      <c r="M695" s="228">
        <f t="shared" si="706"/>
        <v>0.14747433682284794</v>
      </c>
      <c r="N695" s="228">
        <f t="shared" si="706"/>
        <v>0.15344952047024862</v>
      </c>
      <c r="O695" s="228">
        <f t="shared" si="706"/>
        <v>0.1711314213677908</v>
      </c>
      <c r="P695" s="228">
        <f t="shared" si="706"/>
        <v>0.1647188346883468</v>
      </c>
      <c r="Q695" s="228">
        <f t="shared" si="706"/>
        <v>0.11913197519929142</v>
      </c>
      <c r="R695" s="228">
        <f t="shared" si="706"/>
        <v>0.13357174787662052</v>
      </c>
      <c r="S695" s="228">
        <f t="shared" si="706"/>
        <v>0.13233315392895584</v>
      </c>
      <c r="T695" s="228">
        <f t="shared" si="706"/>
        <v>0.13138951501490581</v>
      </c>
      <c r="U695" s="228">
        <f t="shared" si="706"/>
        <v>0.12908587257617721</v>
      </c>
      <c r="V695" s="228">
        <f t="shared" si="706"/>
        <v>0.11026106159791782</v>
      </c>
      <c r="W695" s="228">
        <f t="shared" si="706"/>
        <v>0.10765848731507344</v>
      </c>
      <c r="X695" s="228">
        <f t="shared" si="706"/>
        <v>0.13592544987146526</v>
      </c>
      <c r="Y695" s="228">
        <f t="shared" si="706"/>
        <v>0.13731950091125755</v>
      </c>
      <c r="Z695" s="228">
        <f t="shared" si="706"/>
        <v>0.14861120977481002</v>
      </c>
      <c r="AA695" s="228">
        <f t="shared" si="706"/>
        <v>0.1865043179745749</v>
      </c>
      <c r="AB695" s="228">
        <f t="shared" si="706"/>
        <v>0.16350777934936356</v>
      </c>
      <c r="AC695" s="228">
        <f t="shared" si="706"/>
        <v>0.13984591679506941</v>
      </c>
      <c r="AD695" s="228">
        <f t="shared" si="706"/>
        <v>0.14898880573937778</v>
      </c>
      <c r="AE695" s="228">
        <f t="shared" si="706"/>
        <v>0.11021699819168163</v>
      </c>
      <c r="AF695" s="228">
        <f t="shared" si="706"/>
        <v>8.9472404570872799E-2</v>
      </c>
      <c r="AG695" s="228"/>
      <c r="AH695" s="228"/>
      <c r="AI695" s="228"/>
      <c r="AJ695" s="228"/>
      <c r="AK695" s="228"/>
      <c r="AL695" s="228"/>
      <c r="AM695" s="228"/>
      <c r="AN695" s="228"/>
      <c r="AO695" s="228"/>
      <c r="AP695" s="228"/>
      <c r="AQ695" s="228"/>
      <c r="AR695" s="228"/>
      <c r="AS695" s="228"/>
      <c r="AT695" s="228"/>
      <c r="AU695" s="228"/>
      <c r="AV695" s="228"/>
      <c r="AW695" s="228"/>
      <c r="AX695" s="228"/>
      <c r="AY695" s="228"/>
      <c r="AZ695" s="228">
        <f>+IFERROR(AZ689/AY689-1,"n/a ")</f>
        <v>0.18916893094725018</v>
      </c>
      <c r="BA695" s="228">
        <f>+IFERROR(BA689/AZ689-1,"n/a ")</f>
        <v>0.1711314213677908</v>
      </c>
      <c r="BB695" s="228">
        <f t="shared" ref="BB695:BE698" si="707">+IFERROR(BB689/BA689-1,"n/a ")</f>
        <v>0.13233315392895584</v>
      </c>
      <c r="BC695" s="228">
        <f t="shared" si="707"/>
        <v>0.10765848731507344</v>
      </c>
      <c r="BD695" s="228">
        <f t="shared" si="707"/>
        <v>0.1865043179745749</v>
      </c>
      <c r="BE695" s="228">
        <f t="shared" si="707"/>
        <v>0.11021699819168163</v>
      </c>
      <c r="BF695" s="228"/>
      <c r="BG695" s="228"/>
      <c r="BH695" s="228"/>
      <c r="BI695" s="228"/>
      <c r="BJ695" s="228"/>
    </row>
    <row r="696" spans="2:62" s="3" customFormat="1">
      <c r="B696" s="13" t="str">
        <f t="shared" ref="B696:B698" si="708">+B690</f>
        <v>Intelligent Cloud</v>
      </c>
      <c r="D696" s="228"/>
      <c r="E696" s="228"/>
      <c r="F696" s="228"/>
      <c r="G696" s="228"/>
      <c r="H696" s="228">
        <f t="shared" ref="H696:H698" si="709">+IFERROR(H690/D690-1,"n/a ")</f>
        <v>0.13367102856338819</v>
      </c>
      <c r="I696" s="228">
        <f t="shared" si="706"/>
        <v>0.14532975231274237</v>
      </c>
      <c r="J696" s="228">
        <f t="shared" si="706"/>
        <v>0.15810750112292249</v>
      </c>
      <c r="K696" s="228">
        <f t="shared" si="706"/>
        <v>0.25120610344440708</v>
      </c>
      <c r="L696" s="228">
        <f t="shared" si="706"/>
        <v>0.2605188035248851</v>
      </c>
      <c r="M696" s="228">
        <f t="shared" si="706"/>
        <v>0.27136529442417934</v>
      </c>
      <c r="N696" s="228">
        <f t="shared" si="706"/>
        <v>0.29114414996767946</v>
      </c>
      <c r="O696" s="228">
        <f t="shared" si="706"/>
        <v>0.31868723098995688</v>
      </c>
      <c r="P696" s="228">
        <f t="shared" si="706"/>
        <v>0.30937376920047255</v>
      </c>
      <c r="Q696" s="228">
        <f t="shared" si="706"/>
        <v>0.28609488677118566</v>
      </c>
      <c r="R696" s="228">
        <f t="shared" si="706"/>
        <v>0.25473115049564443</v>
      </c>
      <c r="S696" s="228">
        <f t="shared" si="706"/>
        <v>0.1551747586019312</v>
      </c>
      <c r="T696" s="228">
        <f t="shared" si="706"/>
        <v>0.1471649872161227</v>
      </c>
      <c r="U696" s="228">
        <f t="shared" si="706"/>
        <v>9.6805035455342248E-2</v>
      </c>
      <c r="V696" s="228">
        <f t="shared" si="706"/>
        <v>3.6150347139095151E-2</v>
      </c>
      <c r="W696" s="228">
        <f t="shared" si="706"/>
        <v>-2.1662349894042809E-2</v>
      </c>
      <c r="X696" s="228">
        <f t="shared" si="706"/>
        <v>-1.415929203539823E-2</v>
      </c>
      <c r="Y696" s="228">
        <f t="shared" si="706"/>
        <v>1.4528548597994018E-3</v>
      </c>
      <c r="Z696" s="228">
        <f t="shared" si="706"/>
        <v>8.7800369685766544E-3</v>
      </c>
      <c r="AA696" s="228">
        <f t="shared" si="706"/>
        <v>6.5583634175691907E-2</v>
      </c>
      <c r="AB696" s="228">
        <f t="shared" si="706"/>
        <v>7.1680297892147138E-2</v>
      </c>
      <c r="AC696" s="228">
        <f t="shared" si="706"/>
        <v>5.5346003191643733E-2</v>
      </c>
      <c r="AD696" s="228">
        <f t="shared" si="706"/>
        <v>0.10887158344785464</v>
      </c>
      <c r="AE696" s="228">
        <f t="shared" si="706"/>
        <v>9.3788819875776364E-2</v>
      </c>
      <c r="AF696" s="228">
        <f t="shared" si="706"/>
        <v>7.3028479245517142E-2</v>
      </c>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f t="shared" ref="AZ696:BA698" si="710">+IFERROR(AZ690/AY690-1,"n/a ")</f>
        <v>0.25120610344440708</v>
      </c>
      <c r="BA696" s="228">
        <f t="shared" si="710"/>
        <v>0.31868723098995688</v>
      </c>
      <c r="BB696" s="228">
        <f t="shared" si="707"/>
        <v>0.1551747586019312</v>
      </c>
      <c r="BC696" s="228">
        <f t="shared" si="707"/>
        <v>-2.1662349894042809E-2</v>
      </c>
      <c r="BD696" s="228">
        <f t="shared" si="707"/>
        <v>6.5583634175691907E-2</v>
      </c>
      <c r="BE696" s="228">
        <f t="shared" si="707"/>
        <v>9.3788819875776364E-2</v>
      </c>
      <c r="BF696" s="228"/>
      <c r="BG696" s="228"/>
      <c r="BH696" s="228"/>
      <c r="BI696" s="228"/>
      <c r="BJ696" s="228"/>
    </row>
    <row r="697" spans="2:62" s="839" customFormat="1" ht="11.45">
      <c r="B697" s="13" t="str">
        <f t="shared" si="708"/>
        <v>More Personal Computing</v>
      </c>
      <c r="D697" s="840"/>
      <c r="E697" s="840"/>
      <c r="F697" s="840"/>
      <c r="G697" s="840"/>
      <c r="H697" s="840">
        <f t="shared" si="709"/>
        <v>0.1229923922231615</v>
      </c>
      <c r="I697" s="840">
        <f t="shared" si="706"/>
        <v>3.4684496447973334E-2</v>
      </c>
      <c r="J697" s="840">
        <f t="shared" si="706"/>
        <v>1.8541409147095234E-2</v>
      </c>
      <c r="K697" s="840">
        <f t="shared" si="706"/>
        <v>7.8634445723053226E-2</v>
      </c>
      <c r="L697" s="840">
        <f t="shared" si="706"/>
        <v>0.10651110274745945</v>
      </c>
      <c r="M697" s="840">
        <f t="shared" si="706"/>
        <v>0.1147011308562198</v>
      </c>
      <c r="N697" s="840">
        <f t="shared" si="706"/>
        <v>0.1258090614886731</v>
      </c>
      <c r="O697" s="840">
        <f t="shared" si="706"/>
        <v>0.12019914651493591</v>
      </c>
      <c r="P697" s="840">
        <f t="shared" si="706"/>
        <v>8.5374149659863896E-2</v>
      </c>
      <c r="Q697" s="840">
        <f t="shared" si="706"/>
        <v>5.0000000000000044E-2</v>
      </c>
      <c r="R697" s="840">
        <f t="shared" si="706"/>
        <v>5.1024074739489667E-2</v>
      </c>
      <c r="S697" s="840">
        <f t="shared" si="706"/>
        <v>7.5238095238095326E-2</v>
      </c>
      <c r="T697" s="840">
        <f t="shared" si="706"/>
        <v>6.2676277029145577E-3</v>
      </c>
      <c r="U697" s="840">
        <f t="shared" si="706"/>
        <v>0.10041407867494834</v>
      </c>
      <c r="V697" s="840">
        <f t="shared" si="706"/>
        <v>0.14051282051282055</v>
      </c>
      <c r="W697" s="840">
        <f t="shared" si="706"/>
        <v>0.15648066135222916</v>
      </c>
      <c r="X697" s="840">
        <f t="shared" si="706"/>
        <v>0.11834319526627213</v>
      </c>
      <c r="Y697" s="840">
        <f t="shared" si="706"/>
        <v>5.8639071809344578E-2</v>
      </c>
      <c r="Z697" s="840">
        <f t="shared" si="706"/>
        <v>3.3273381294963933E-2</v>
      </c>
      <c r="AA697" s="840">
        <f t="shared" si="706"/>
        <v>0.100587184069441</v>
      </c>
      <c r="AB697" s="840">
        <f t="shared" si="706"/>
        <v>0.20662768031189094</v>
      </c>
      <c r="AC697" s="840">
        <f t="shared" si="706"/>
        <v>0.10367298578199047</v>
      </c>
      <c r="AD697" s="840">
        <f t="shared" si="706"/>
        <v>7.1656512909776593E-2</v>
      </c>
      <c r="AE697" s="840">
        <f t="shared" si="706"/>
        <v>3.8970076548364707E-2</v>
      </c>
      <c r="AF697" s="840">
        <f t="shared" si="706"/>
        <v>-3.3002538656819791E-2</v>
      </c>
      <c r="AG697" s="840"/>
      <c r="AH697" s="840"/>
      <c r="AI697" s="840"/>
      <c r="AJ697" s="840"/>
      <c r="AK697" s="840"/>
      <c r="AL697" s="840"/>
      <c r="AM697" s="840"/>
      <c r="AN697" s="840"/>
      <c r="AO697" s="840"/>
      <c r="AP697" s="840"/>
      <c r="AQ697" s="840"/>
      <c r="AR697" s="840"/>
      <c r="AS697" s="840"/>
      <c r="AT697" s="840"/>
      <c r="AU697" s="840"/>
      <c r="AV697" s="840"/>
      <c r="AW697" s="840"/>
      <c r="AX697" s="840"/>
      <c r="AY697" s="840"/>
      <c r="AZ697" s="840">
        <f t="shared" si="710"/>
        <v>7.8634445723053226E-2</v>
      </c>
      <c r="BA697" s="840">
        <f t="shared" si="710"/>
        <v>0.12019914651493591</v>
      </c>
      <c r="BB697" s="840">
        <f t="shared" si="707"/>
        <v>7.5238095238095326E-2</v>
      </c>
      <c r="BC697" s="840">
        <f t="shared" si="707"/>
        <v>0.15648066135222916</v>
      </c>
      <c r="BD697" s="840">
        <f t="shared" si="707"/>
        <v>0.100587184069441</v>
      </c>
      <c r="BE697" s="840">
        <f t="shared" si="707"/>
        <v>3.8970076548364707E-2</v>
      </c>
      <c r="BF697" s="840"/>
      <c r="BG697" s="840"/>
      <c r="BH697" s="840"/>
      <c r="BI697" s="840"/>
      <c r="BJ697" s="840"/>
    </row>
    <row r="698" spans="2:62" s="7" customFormat="1">
      <c r="B698" s="841" t="str">
        <f t="shared" si="708"/>
        <v>Total uneaerned revenue</v>
      </c>
      <c r="D698" s="842"/>
      <c r="E698" s="842"/>
      <c r="F698" s="842"/>
      <c r="G698" s="842"/>
      <c r="H698" s="842">
        <f t="shared" si="709"/>
        <v>0.11978450882304426</v>
      </c>
      <c r="I698" s="842">
        <f t="shared" si="706"/>
        <v>0.15208621484555085</v>
      </c>
      <c r="J698" s="842">
        <f t="shared" si="706"/>
        <v>0.16316035530621775</v>
      </c>
      <c r="K698" s="842">
        <f t="shared" si="706"/>
        <v>0.20109944577118921</v>
      </c>
      <c r="L698" s="842">
        <f t="shared" si="706"/>
        <v>0.22258222876779588</v>
      </c>
      <c r="M698" s="842">
        <f t="shared" si="706"/>
        <v>0.19098594367465349</v>
      </c>
      <c r="N698" s="842">
        <f t="shared" si="706"/>
        <v>0.20352692926045024</v>
      </c>
      <c r="O698" s="842">
        <f t="shared" si="706"/>
        <v>0.22749099639855941</v>
      </c>
      <c r="P698" s="842">
        <f t="shared" si="706"/>
        <v>0.21434307741728231</v>
      </c>
      <c r="Q698" s="842">
        <f t="shared" si="706"/>
        <v>0.17955395018690412</v>
      </c>
      <c r="R698" s="842">
        <f t="shared" si="706"/>
        <v>0.17449384262158207</v>
      </c>
      <c r="S698" s="842">
        <f t="shared" si="706"/>
        <v>0.13710268948655258</v>
      </c>
      <c r="T698" s="842">
        <f t="shared" si="706"/>
        <v>0.12512399973546717</v>
      </c>
      <c r="U698" s="842">
        <f t="shared" si="706"/>
        <v>0.11170061244836926</v>
      </c>
      <c r="V698" s="842">
        <f t="shared" si="706"/>
        <v>8.0398080682424045E-2</v>
      </c>
      <c r="W698" s="842">
        <f t="shared" si="706"/>
        <v>5.3055958716336171E-2</v>
      </c>
      <c r="X698" s="842">
        <f t="shared" si="706"/>
        <v>6.6978193146417508E-2</v>
      </c>
      <c r="Y698" s="842">
        <f t="shared" si="706"/>
        <v>6.9376381281829547E-2</v>
      </c>
      <c r="Z698" s="842">
        <f t="shared" si="706"/>
        <v>7.6224627430338421E-2</v>
      </c>
      <c r="AA698" s="842">
        <f t="shared" si="706"/>
        <v>0.12662072485962228</v>
      </c>
      <c r="AB698" s="842">
        <f t="shared" si="706"/>
        <v>0.1297341963916816</v>
      </c>
      <c r="AC698" s="842">
        <f t="shared" si="706"/>
        <v>0.10129691197172552</v>
      </c>
      <c r="AD698" s="842">
        <f t="shared" si="706"/>
        <v>0.12477838234395056</v>
      </c>
      <c r="AE698" s="842">
        <f t="shared" si="706"/>
        <v>9.666749733807567E-2</v>
      </c>
      <c r="AF698" s="842">
        <f t="shared" si="706"/>
        <v>7.0071924905522387E-2</v>
      </c>
      <c r="AG698" s="842"/>
      <c r="AH698" s="842"/>
      <c r="AI698" s="842"/>
      <c r="AJ698" s="842"/>
      <c r="AK698" s="842"/>
      <c r="AL698" s="842">
        <f t="shared" ref="AL698" si="711">+IFERROR(AL692/AK692-1,"n/a ")</f>
        <v>0.18926584487836795</v>
      </c>
      <c r="AM698" s="842">
        <f t="shared" ref="AM698" si="712">+IFERROR(AM692/AL692-1,"n/a ")</f>
        <v>0.1599706475875986</v>
      </c>
      <c r="AN698" s="842">
        <f t="shared" ref="AN698" si="713">+IFERROR(AN692/AM692-1,"n/a ")</f>
        <v>0.20963150403289577</v>
      </c>
      <c r="AO698" s="842">
        <f t="shared" ref="AO698" si="714">+IFERROR(AO692/AN692-1,"n/a ")</f>
        <v>-6.6222135059161968E-2</v>
      </c>
      <c r="AP698" s="842">
        <f t="shared" ref="AP698" si="715">+IFERROR(AP692/AO692-1,"n/a ")</f>
        <v>3.822458695043407E-2</v>
      </c>
      <c r="AQ698" s="842">
        <f t="shared" ref="AQ698" si="716">+IFERROR(AQ692/AP692-1,"n/a ")</f>
        <v>0.15441672285906938</v>
      </c>
      <c r="AR698" s="842">
        <f t="shared" ref="AR698" si="717">+IFERROR(AR692/AQ692-1,"n/a ")</f>
        <v>0.17167056074766363</v>
      </c>
      <c r="AS698" s="842">
        <f t="shared" ref="AS698" si="718">+IFERROR(AS692/AR692-1,"n/a ")</f>
        <v>0.1166558651976668</v>
      </c>
      <c r="AT698" s="842">
        <f t="shared" ref="AT698" si="719">+IFERROR(AT692/AS692-1,"n/a ")</f>
        <v>0.12317514174739941</v>
      </c>
      <c r="AU698" s="842">
        <f t="shared" ref="AU698" si="720">+IFERROR(AU692/AT692-1,"n/a ")</f>
        <v>6.359806025916237E-3</v>
      </c>
      <c r="AV698" s="842">
        <f t="shared" ref="AV698" si="721">+IFERROR(AV692/AU692-1,"n/a ")</f>
        <v>-1</v>
      </c>
      <c r="AW698" s="842" t="str">
        <f t="shared" ref="AW698" si="722">+IFERROR(AW692/AV692-1,"n/a ")</f>
        <v xml:space="preserve">n/a </v>
      </c>
      <c r="AX698" s="842" t="str">
        <f t="shared" ref="AX698" si="723">+IFERROR(AX692/AW692-1,"n/a ")</f>
        <v xml:space="preserve">n/a </v>
      </c>
      <c r="AY698" s="842">
        <f>+AY692/AU692-1</f>
        <v>-0.12342997077178297</v>
      </c>
      <c r="AZ698" s="842">
        <f t="shared" si="710"/>
        <v>0.20109944577118921</v>
      </c>
      <c r="BA698" s="842">
        <f t="shared" si="710"/>
        <v>0.22749099639855941</v>
      </c>
      <c r="BB698" s="842">
        <f t="shared" si="707"/>
        <v>0.13710268948655258</v>
      </c>
      <c r="BC698" s="842">
        <f t="shared" si="707"/>
        <v>5.3055958716336171E-2</v>
      </c>
      <c r="BD698" s="842">
        <f t="shared" si="707"/>
        <v>0.12662072485962228</v>
      </c>
      <c r="BE698" s="842">
        <f t="shared" si="707"/>
        <v>9.666749733807567E-2</v>
      </c>
      <c r="BF698" s="842"/>
      <c r="BG698" s="842"/>
      <c r="BH698" s="842"/>
      <c r="BI698" s="842"/>
      <c r="BJ698" s="842"/>
    </row>
    <row r="700" spans="2:62" s="100" customFormat="1" ht="10.5">
      <c r="B700" s="958" t="s">
        <v>667</v>
      </c>
    </row>
    <row r="701" spans="2:62" s="100" customFormat="1">
      <c r="B701" s="100" t="s">
        <v>340</v>
      </c>
      <c r="D701" s="11"/>
      <c r="E701" s="11"/>
      <c r="F701" s="11"/>
      <c r="G701" s="11"/>
      <c r="H701" s="11">
        <f t="shared" ref="H701:AF704" si="724">+H689-G689</f>
        <v>-1017</v>
      </c>
      <c r="I701" s="11">
        <f t="shared" si="724"/>
        <v>183</v>
      </c>
      <c r="J701" s="11">
        <f t="shared" si="724"/>
        <v>-142</v>
      </c>
      <c r="K701" s="11">
        <f t="shared" si="724"/>
        <v>2995</v>
      </c>
      <c r="L701" s="11">
        <f t="shared" si="724"/>
        <v>-884</v>
      </c>
      <c r="M701" s="11">
        <f t="shared" si="724"/>
        <v>-518</v>
      </c>
      <c r="N701" s="11">
        <f t="shared" si="724"/>
        <v>-105</v>
      </c>
      <c r="O701" s="11">
        <f t="shared" si="724"/>
        <v>3679</v>
      </c>
      <c r="P701" s="11">
        <f t="shared" si="724"/>
        <v>-1111</v>
      </c>
      <c r="Q701" s="11">
        <f t="shared" si="724"/>
        <v>-1118</v>
      </c>
      <c r="R701" s="11">
        <f t="shared" si="724"/>
        <v>44</v>
      </c>
      <c r="S701" s="11">
        <f t="shared" si="724"/>
        <v>4152</v>
      </c>
      <c r="T701" s="11">
        <f t="shared" si="724"/>
        <v>-1271</v>
      </c>
      <c r="U701" s="11">
        <f t="shared" si="724"/>
        <v>-1294</v>
      </c>
      <c r="V701" s="11">
        <f t="shared" si="724"/>
        <v>-189</v>
      </c>
      <c r="W701" s="11">
        <f t="shared" si="724"/>
        <v>4566</v>
      </c>
      <c r="X701" s="11">
        <f t="shared" si="724"/>
        <v>-968</v>
      </c>
      <c r="Y701" s="11">
        <f t="shared" si="724"/>
        <v>-1450</v>
      </c>
      <c r="Z701" s="11">
        <f t="shared" si="724"/>
        <v>-56</v>
      </c>
      <c r="AA701" s="11">
        <f t="shared" si="724"/>
        <v>5951</v>
      </c>
      <c r="AB701" s="11">
        <f t="shared" si="724"/>
        <v>-1555</v>
      </c>
      <c r="AC701" s="11">
        <f t="shared" si="724"/>
        <v>-2071</v>
      </c>
      <c r="AD701" s="11">
        <f t="shared" si="724"/>
        <v>84</v>
      </c>
      <c r="AE701" s="11">
        <f t="shared" si="724"/>
        <v>5980</v>
      </c>
      <c r="AF701" s="11">
        <f>+AF689-AE689</f>
        <v>-2153</v>
      </c>
      <c r="AG701" s="11"/>
      <c r="AH701" s="11"/>
      <c r="AI701" s="11"/>
      <c r="AY701" s="11"/>
      <c r="AZ701" s="11">
        <f t="shared" ref="AZ701:BE704" si="725">+AZ689-AY689</f>
        <v>2019</v>
      </c>
      <c r="BA701" s="11">
        <f t="shared" si="725"/>
        <v>2172</v>
      </c>
      <c r="BB701" s="11">
        <f t="shared" si="725"/>
        <v>1967</v>
      </c>
      <c r="BC701" s="11">
        <f t="shared" si="725"/>
        <v>1812</v>
      </c>
      <c r="BD701" s="11">
        <f t="shared" si="725"/>
        <v>3477</v>
      </c>
      <c r="BE701" s="11">
        <f t="shared" si="725"/>
        <v>2438</v>
      </c>
      <c r="BF701" s="11"/>
    </row>
    <row r="702" spans="2:62" s="100" customFormat="1">
      <c r="B702" s="100" t="s">
        <v>342</v>
      </c>
      <c r="D702" s="11"/>
      <c r="E702" s="11"/>
      <c r="F702" s="11"/>
      <c r="G702" s="11"/>
      <c r="H702" s="11">
        <f t="shared" si="724"/>
        <v>-856</v>
      </c>
      <c r="I702" s="11">
        <f t="shared" si="724"/>
        <v>-381</v>
      </c>
      <c r="J702" s="11">
        <f t="shared" si="724"/>
        <v>59</v>
      </c>
      <c r="K702" s="11">
        <f t="shared" si="724"/>
        <v>3417</v>
      </c>
      <c r="L702" s="11">
        <f t="shared" si="724"/>
        <v>-996</v>
      </c>
      <c r="M702" s="11">
        <f t="shared" si="724"/>
        <v>-397</v>
      </c>
      <c r="N702" s="11">
        <f t="shared" si="724"/>
        <v>228</v>
      </c>
      <c r="O702" s="11">
        <f t="shared" si="724"/>
        <v>4719</v>
      </c>
      <c r="P702" s="11">
        <f t="shared" si="724"/>
        <v>-1408</v>
      </c>
      <c r="Q702" s="11">
        <f t="shared" si="724"/>
        <v>-747</v>
      </c>
      <c r="R702" s="11">
        <f t="shared" si="724"/>
        <v>-20</v>
      </c>
      <c r="S702" s="11">
        <f t="shared" si="724"/>
        <v>4457</v>
      </c>
      <c r="T702" s="11">
        <f t="shared" si="724"/>
        <v>-1733</v>
      </c>
      <c r="U702" s="11">
        <f t="shared" si="724"/>
        <v>-1489</v>
      </c>
      <c r="V702" s="11">
        <f t="shared" si="724"/>
        <v>-782</v>
      </c>
      <c r="W702" s="11">
        <f t="shared" si="724"/>
        <v>3636</v>
      </c>
      <c r="X702" s="11">
        <f t="shared" si="724"/>
        <v>-1581</v>
      </c>
      <c r="Y702" s="11">
        <f t="shared" si="724"/>
        <v>-1253</v>
      </c>
      <c r="Z702" s="11">
        <f t="shared" si="724"/>
        <v>-688</v>
      </c>
      <c r="AA702" s="11">
        <f t="shared" si="724"/>
        <v>4612</v>
      </c>
      <c r="AB702" s="11">
        <f t="shared" si="724"/>
        <v>-1593</v>
      </c>
      <c r="AC702" s="11">
        <f t="shared" si="724"/>
        <v>-1568</v>
      </c>
      <c r="AD702" s="11">
        <f t="shared" si="724"/>
        <v>-25</v>
      </c>
      <c r="AE702" s="11">
        <f t="shared" si="724"/>
        <v>4847</v>
      </c>
      <c r="AF702" s="11">
        <f t="shared" si="724"/>
        <v>-2077</v>
      </c>
      <c r="AG702" s="11"/>
      <c r="AH702" s="11"/>
      <c r="AI702" s="11"/>
      <c r="AY702" s="11"/>
      <c r="AZ702" s="11">
        <f t="shared" si="725"/>
        <v>2239</v>
      </c>
      <c r="BA702" s="11">
        <f t="shared" si="725"/>
        <v>3554</v>
      </c>
      <c r="BB702" s="11">
        <f t="shared" si="725"/>
        <v>2282</v>
      </c>
      <c r="BC702" s="11">
        <f t="shared" si="725"/>
        <v>-368</v>
      </c>
      <c r="BD702" s="11">
        <f t="shared" si="725"/>
        <v>1090</v>
      </c>
      <c r="BE702" s="11">
        <f t="shared" si="725"/>
        <v>1661</v>
      </c>
      <c r="BF702" s="11"/>
    </row>
    <row r="703" spans="2:62" s="1003" customFormat="1">
      <c r="B703" s="100" t="s">
        <v>344</v>
      </c>
      <c r="D703" s="940"/>
      <c r="E703" s="940"/>
      <c r="F703" s="940"/>
      <c r="G703" s="940"/>
      <c r="H703" s="940">
        <f t="shared" si="724"/>
        <v>50</v>
      </c>
      <c r="I703" s="940">
        <f t="shared" si="724"/>
        <v>-181</v>
      </c>
      <c r="J703" s="940">
        <f t="shared" si="724"/>
        <v>-4</v>
      </c>
      <c r="K703" s="940">
        <f t="shared" si="724"/>
        <v>340</v>
      </c>
      <c r="L703" s="940">
        <f t="shared" si="724"/>
        <v>128</v>
      </c>
      <c r="M703" s="940">
        <f t="shared" si="724"/>
        <v>-180</v>
      </c>
      <c r="N703" s="940">
        <f t="shared" si="724"/>
        <v>23</v>
      </c>
      <c r="O703" s="940">
        <f t="shared" si="724"/>
        <v>367</v>
      </c>
      <c r="P703" s="940">
        <f t="shared" si="724"/>
        <v>41</v>
      </c>
      <c r="Q703" s="940">
        <f t="shared" si="724"/>
        <v>-293</v>
      </c>
      <c r="R703" s="940">
        <f t="shared" si="724"/>
        <v>27</v>
      </c>
      <c r="S703" s="940">
        <f t="shared" si="724"/>
        <v>462</v>
      </c>
      <c r="T703" s="940">
        <f t="shared" si="724"/>
        <v>-176</v>
      </c>
      <c r="U703" s="940">
        <f t="shared" si="724"/>
        <v>-22</v>
      </c>
      <c r="V703" s="940">
        <f t="shared" si="724"/>
        <v>147</v>
      </c>
      <c r="W703" s="940">
        <f t="shared" si="724"/>
        <v>581</v>
      </c>
      <c r="X703" s="940">
        <f t="shared" si="724"/>
        <v>-326</v>
      </c>
      <c r="Y703" s="940">
        <f t="shared" si="724"/>
        <v>-215</v>
      </c>
      <c r="Z703" s="940">
        <f t="shared" si="724"/>
        <v>71</v>
      </c>
      <c r="AA703" s="940">
        <f t="shared" si="724"/>
        <v>864</v>
      </c>
      <c r="AB703" s="940">
        <f t="shared" si="724"/>
        <v>22</v>
      </c>
      <c r="AC703" s="940">
        <f t="shared" si="724"/>
        <v>-607</v>
      </c>
      <c r="AD703" s="940">
        <f t="shared" si="724"/>
        <v>-32</v>
      </c>
      <c r="AE703" s="940">
        <f t="shared" si="724"/>
        <v>785</v>
      </c>
      <c r="AF703" s="940">
        <f t="shared" si="724"/>
        <v>-289</v>
      </c>
      <c r="AG703" s="940"/>
      <c r="AH703" s="940"/>
      <c r="AI703" s="940"/>
      <c r="AK703" s="940"/>
      <c r="AL703" s="940"/>
      <c r="AM703" s="940"/>
      <c r="AN703" s="940"/>
      <c r="AO703" s="940"/>
      <c r="AP703" s="940"/>
      <c r="AQ703" s="940"/>
      <c r="AR703" s="940"/>
      <c r="AS703" s="940"/>
      <c r="AT703" s="940"/>
      <c r="AU703" s="940"/>
      <c r="AV703" s="940"/>
      <c r="AW703" s="940"/>
      <c r="AY703" s="940"/>
      <c r="AZ703" s="940">
        <f t="shared" si="725"/>
        <v>205</v>
      </c>
      <c r="BA703" s="940">
        <f t="shared" si="725"/>
        <v>338</v>
      </c>
      <c r="BB703" s="940">
        <f t="shared" si="725"/>
        <v>237</v>
      </c>
      <c r="BC703" s="940">
        <f t="shared" si="725"/>
        <v>530</v>
      </c>
      <c r="BD703" s="940">
        <f t="shared" si="725"/>
        <v>394</v>
      </c>
      <c r="BE703" s="940">
        <f t="shared" si="725"/>
        <v>168</v>
      </c>
      <c r="BF703" s="940"/>
    </row>
    <row r="704" spans="2:62" s="102" customFormat="1" ht="10.5">
      <c r="B704" s="873" t="s">
        <v>668</v>
      </c>
      <c r="D704" s="849"/>
      <c r="E704" s="849"/>
      <c r="F704" s="849"/>
      <c r="G704" s="849"/>
      <c r="H704" s="849">
        <f t="shared" si="724"/>
        <v>-1823</v>
      </c>
      <c r="I704" s="849">
        <f t="shared" si="724"/>
        <v>-379</v>
      </c>
      <c r="J704" s="849">
        <f t="shared" si="724"/>
        <v>-87</v>
      </c>
      <c r="K704" s="849">
        <f t="shared" si="724"/>
        <v>6752</v>
      </c>
      <c r="L704" s="849">
        <f t="shared" si="724"/>
        <v>-1752</v>
      </c>
      <c r="M704" s="849">
        <f t="shared" si="724"/>
        <v>-1095</v>
      </c>
      <c r="N704" s="849">
        <f t="shared" si="724"/>
        <v>146</v>
      </c>
      <c r="O704" s="849">
        <f t="shared" si="724"/>
        <v>8765</v>
      </c>
      <c r="P704" s="849">
        <f t="shared" si="724"/>
        <v>-2478</v>
      </c>
      <c r="Q704" s="849">
        <f t="shared" si="724"/>
        <v>-2158</v>
      </c>
      <c r="R704" s="849">
        <f t="shared" si="724"/>
        <v>51</v>
      </c>
      <c r="S704" s="849">
        <f t="shared" si="724"/>
        <v>9071</v>
      </c>
      <c r="T704" s="849">
        <f t="shared" si="724"/>
        <v>-3180</v>
      </c>
      <c r="U704" s="849">
        <f t="shared" si="724"/>
        <v>-2805</v>
      </c>
      <c r="V704" s="849">
        <f t="shared" si="724"/>
        <v>-824</v>
      </c>
      <c r="W704" s="849">
        <f t="shared" si="724"/>
        <v>8783</v>
      </c>
      <c r="X704" s="849">
        <f t="shared" si="724"/>
        <v>-2875</v>
      </c>
      <c r="Y704" s="849">
        <f t="shared" si="724"/>
        <v>-2918</v>
      </c>
      <c r="Z704" s="849">
        <f t="shared" si="724"/>
        <v>-673</v>
      </c>
      <c r="AA704" s="849">
        <f t="shared" si="724"/>
        <v>11427</v>
      </c>
      <c r="AB704" s="849">
        <f t="shared" si="724"/>
        <v>-3126</v>
      </c>
      <c r="AC704" s="849">
        <f t="shared" si="724"/>
        <v>-4246</v>
      </c>
      <c r="AD704" s="849">
        <f t="shared" si="724"/>
        <v>27</v>
      </c>
      <c r="AE704" s="849">
        <f t="shared" si="724"/>
        <v>11612</v>
      </c>
      <c r="AF704" s="849">
        <f t="shared" si="724"/>
        <v>-4519</v>
      </c>
      <c r="AG704" s="849"/>
      <c r="AH704" s="849"/>
      <c r="AI704" s="849"/>
      <c r="AK704" s="849"/>
      <c r="AL704" s="849">
        <f t="shared" ref="AL704:AT704" si="726">+AL692-AK692</f>
        <v>1735</v>
      </c>
      <c r="AM704" s="849">
        <f t="shared" si="726"/>
        <v>1744</v>
      </c>
      <c r="AN704" s="849">
        <f t="shared" si="726"/>
        <v>2651</v>
      </c>
      <c r="AO704" s="849">
        <f t="shared" si="726"/>
        <v>-1013</v>
      </c>
      <c r="AP704" s="849">
        <f t="shared" si="726"/>
        <v>546</v>
      </c>
      <c r="AQ704" s="849">
        <f t="shared" si="726"/>
        <v>2290</v>
      </c>
      <c r="AR704" s="849">
        <f t="shared" si="726"/>
        <v>2939</v>
      </c>
      <c r="AS704" s="849">
        <f t="shared" si="726"/>
        <v>2340</v>
      </c>
      <c r="AT704" s="849">
        <f t="shared" si="726"/>
        <v>2759</v>
      </c>
      <c r="AU704" s="849">
        <f>+AU692-AT692</f>
        <v>160</v>
      </c>
      <c r="AV704" s="849">
        <f t="shared" ref="AV704:AX704" si="727">+AV692-AR692</f>
        <v>-20059</v>
      </c>
      <c r="AW704" s="849">
        <f t="shared" si="727"/>
        <v>-22399</v>
      </c>
      <c r="AX704" s="849">
        <f t="shared" si="727"/>
        <v>-25158</v>
      </c>
      <c r="AY704" s="849">
        <f>+AY692-AU692</f>
        <v>-3125</v>
      </c>
      <c r="AZ704" s="849">
        <f t="shared" si="725"/>
        <v>4463</v>
      </c>
      <c r="BA704" s="849">
        <f t="shared" si="725"/>
        <v>6064</v>
      </c>
      <c r="BB704" s="849">
        <f t="shared" si="725"/>
        <v>4486</v>
      </c>
      <c r="BC704" s="849">
        <f t="shared" si="725"/>
        <v>1974</v>
      </c>
      <c r="BD704" s="849">
        <f t="shared" si="725"/>
        <v>4961</v>
      </c>
      <c r="BE704" s="849">
        <f t="shared" si="725"/>
        <v>4267</v>
      </c>
      <c r="BF704" s="849"/>
    </row>
    <row r="706" spans="2:62" s="100" customFormat="1" ht="10.5">
      <c r="B706" s="958" t="s">
        <v>86</v>
      </c>
    </row>
    <row r="707" spans="2:62" s="100" customFormat="1">
      <c r="B707" s="100" t="s">
        <v>340</v>
      </c>
      <c r="D707" s="11"/>
      <c r="E707" s="11"/>
      <c r="F707" s="11"/>
      <c r="G707" s="11"/>
      <c r="H707" s="11">
        <f t="shared" ref="H707:AF707" si="728">+H114</f>
        <v>6436</v>
      </c>
      <c r="I707" s="11">
        <f t="shared" si="728"/>
        <v>7179</v>
      </c>
      <c r="J707" s="11">
        <f t="shared" si="728"/>
        <v>7707</v>
      </c>
      <c r="K707" s="11">
        <f t="shared" si="728"/>
        <v>8548</v>
      </c>
      <c r="L707" s="11">
        <f t="shared" si="728"/>
        <v>8238</v>
      </c>
      <c r="M707" s="11">
        <f t="shared" si="728"/>
        <v>8953</v>
      </c>
      <c r="N707" s="11">
        <f t="shared" si="728"/>
        <v>9006</v>
      </c>
      <c r="O707" s="11">
        <f t="shared" si="728"/>
        <v>9668</v>
      </c>
      <c r="P707" s="11">
        <f t="shared" si="728"/>
        <v>9771</v>
      </c>
      <c r="Q707" s="11">
        <f t="shared" si="728"/>
        <v>10100</v>
      </c>
      <c r="R707" s="11">
        <f t="shared" si="728"/>
        <v>10242</v>
      </c>
      <c r="S707" s="11">
        <f t="shared" si="728"/>
        <v>11047</v>
      </c>
      <c r="T707" s="11">
        <f t="shared" si="728"/>
        <v>11077</v>
      </c>
      <c r="U707" s="11">
        <f t="shared" si="728"/>
        <v>11826</v>
      </c>
      <c r="V707" s="11">
        <f t="shared" si="728"/>
        <v>11743</v>
      </c>
      <c r="W707" s="11">
        <f t="shared" si="728"/>
        <v>11752</v>
      </c>
      <c r="X707" s="11">
        <f t="shared" si="728"/>
        <v>12319</v>
      </c>
      <c r="Y707" s="11">
        <f t="shared" si="728"/>
        <v>13353</v>
      </c>
      <c r="Z707" s="11">
        <f t="shared" si="728"/>
        <v>13552</v>
      </c>
      <c r="AA707" s="11">
        <f t="shared" si="728"/>
        <v>14691</v>
      </c>
      <c r="AB707" s="11">
        <f t="shared" si="728"/>
        <v>15039</v>
      </c>
      <c r="AC707" s="11">
        <f t="shared" si="728"/>
        <v>15936</v>
      </c>
      <c r="AD707" s="11">
        <f t="shared" si="728"/>
        <v>15789</v>
      </c>
      <c r="AE707" s="11">
        <f t="shared" si="728"/>
        <v>16600</v>
      </c>
      <c r="AF707" s="11">
        <f t="shared" si="728"/>
        <v>16465</v>
      </c>
      <c r="AG707" s="11"/>
      <c r="AH707" s="11"/>
      <c r="AI707" s="11"/>
      <c r="AY707" s="11"/>
      <c r="AZ707" s="11">
        <f t="shared" ref="AZ707:BE709" si="729">+AZ114</f>
        <v>29870</v>
      </c>
      <c r="BA707" s="11">
        <f t="shared" si="729"/>
        <v>35865</v>
      </c>
      <c r="BB707" s="11">
        <f t="shared" si="729"/>
        <v>41160</v>
      </c>
      <c r="BC707" s="11">
        <f t="shared" si="729"/>
        <v>46398</v>
      </c>
      <c r="BD707" s="11">
        <f t="shared" si="729"/>
        <v>53915</v>
      </c>
      <c r="BE707" s="11">
        <f t="shared" si="729"/>
        <v>63364</v>
      </c>
      <c r="BF707" s="11"/>
    </row>
    <row r="708" spans="2:62" s="100" customFormat="1">
      <c r="B708" s="100" t="s">
        <v>342</v>
      </c>
      <c r="D708" s="11"/>
      <c r="E708" s="11"/>
      <c r="F708" s="11"/>
      <c r="G708" s="11"/>
      <c r="H708" s="11">
        <f t="shared" ref="H708:AF708" si="730">+H115</f>
        <v>6097</v>
      </c>
      <c r="I708" s="11">
        <f t="shared" si="730"/>
        <v>6758</v>
      </c>
      <c r="J708" s="11">
        <f t="shared" si="730"/>
        <v>6730</v>
      </c>
      <c r="K708" s="11">
        <f t="shared" si="730"/>
        <v>7822</v>
      </c>
      <c r="L708" s="11">
        <f t="shared" si="730"/>
        <v>6922</v>
      </c>
      <c r="M708" s="11">
        <f t="shared" si="730"/>
        <v>7795</v>
      </c>
      <c r="N708" s="11">
        <f t="shared" si="730"/>
        <v>7896</v>
      </c>
      <c r="O708" s="11">
        <f t="shared" si="730"/>
        <v>9606</v>
      </c>
      <c r="P708" s="11">
        <f t="shared" si="730"/>
        <v>8567</v>
      </c>
      <c r="Q708" s="11">
        <f t="shared" si="730"/>
        <v>9378</v>
      </c>
      <c r="R708" s="11">
        <f t="shared" si="730"/>
        <v>9649</v>
      </c>
      <c r="S708" s="11">
        <f t="shared" si="730"/>
        <v>11391</v>
      </c>
      <c r="T708" s="11">
        <f t="shared" si="730"/>
        <v>10845</v>
      </c>
      <c r="U708" s="11">
        <f t="shared" si="730"/>
        <v>11869</v>
      </c>
      <c r="V708" s="11">
        <f t="shared" si="730"/>
        <v>12281</v>
      </c>
      <c r="W708" s="11">
        <f t="shared" si="730"/>
        <v>13371</v>
      </c>
      <c r="X708" s="11">
        <f t="shared" si="730"/>
        <v>12986</v>
      </c>
      <c r="Y708" s="11">
        <f t="shared" si="730"/>
        <v>14601</v>
      </c>
      <c r="Z708" s="11">
        <f t="shared" si="730"/>
        <v>15118</v>
      </c>
      <c r="AA708" s="11">
        <f t="shared" si="730"/>
        <v>17375</v>
      </c>
      <c r="AB708" s="11">
        <f t="shared" si="730"/>
        <v>16964</v>
      </c>
      <c r="AC708" s="11">
        <f t="shared" si="730"/>
        <v>18327</v>
      </c>
      <c r="AD708" s="11">
        <f t="shared" si="730"/>
        <v>19051</v>
      </c>
      <c r="AE708" s="11">
        <f t="shared" si="730"/>
        <v>20909</v>
      </c>
      <c r="AF708" s="11">
        <f t="shared" si="730"/>
        <v>20325</v>
      </c>
      <c r="AG708" s="11"/>
      <c r="AH708" s="11"/>
      <c r="AI708" s="11"/>
      <c r="AY708" s="11"/>
      <c r="AZ708" s="11">
        <f t="shared" si="729"/>
        <v>27407</v>
      </c>
      <c r="BA708" s="11">
        <f t="shared" si="729"/>
        <v>32219</v>
      </c>
      <c r="BB708" s="11">
        <f t="shared" si="729"/>
        <v>38985</v>
      </c>
      <c r="BC708" s="11">
        <f t="shared" si="729"/>
        <v>48366</v>
      </c>
      <c r="BD708" s="11">
        <f t="shared" si="729"/>
        <v>60080</v>
      </c>
      <c r="BE708" s="11">
        <f t="shared" si="729"/>
        <v>75251</v>
      </c>
      <c r="BF708" s="11"/>
    </row>
    <row r="709" spans="2:62" s="1003" customFormat="1">
      <c r="B709" s="100" t="s">
        <v>344</v>
      </c>
      <c r="D709" s="940"/>
      <c r="E709" s="940"/>
      <c r="F709" s="940"/>
      <c r="G709" s="940"/>
      <c r="H709" s="940">
        <f t="shared" ref="H709:AF709" si="731">+H116</f>
        <v>9395</v>
      </c>
      <c r="I709" s="940">
        <f t="shared" si="731"/>
        <v>11889</v>
      </c>
      <c r="J709" s="940">
        <f t="shared" si="731"/>
        <v>8775</v>
      </c>
      <c r="K709" s="940">
        <f t="shared" si="731"/>
        <v>9235</v>
      </c>
      <c r="L709" s="940">
        <f t="shared" si="731"/>
        <v>9378</v>
      </c>
      <c r="M709" s="940">
        <f t="shared" si="731"/>
        <v>12170</v>
      </c>
      <c r="N709" s="940">
        <f t="shared" si="731"/>
        <v>9917</v>
      </c>
      <c r="O709" s="940">
        <f t="shared" si="731"/>
        <v>10811</v>
      </c>
      <c r="P709" s="940">
        <f t="shared" si="731"/>
        <v>10746</v>
      </c>
      <c r="Q709" s="940">
        <f t="shared" si="731"/>
        <v>12993</v>
      </c>
      <c r="R709" s="940">
        <f t="shared" si="731"/>
        <v>10680</v>
      </c>
      <c r="S709" s="940">
        <f t="shared" si="731"/>
        <v>11279</v>
      </c>
      <c r="T709" s="940">
        <f t="shared" si="731"/>
        <v>11133</v>
      </c>
      <c r="U709" s="940">
        <f t="shared" si="731"/>
        <v>13211</v>
      </c>
      <c r="V709" s="940">
        <f t="shared" si="731"/>
        <v>10997</v>
      </c>
      <c r="W709" s="940">
        <f t="shared" si="731"/>
        <v>12910</v>
      </c>
      <c r="X709" s="940">
        <f t="shared" si="731"/>
        <v>11849</v>
      </c>
      <c r="Y709" s="940">
        <f t="shared" si="731"/>
        <v>15122</v>
      </c>
      <c r="Z709" s="940">
        <f t="shared" si="731"/>
        <v>13036</v>
      </c>
      <c r="AA709" s="940">
        <f t="shared" si="731"/>
        <v>14086</v>
      </c>
      <c r="AB709" s="940">
        <f t="shared" si="731"/>
        <v>13314</v>
      </c>
      <c r="AC709" s="940">
        <f t="shared" si="731"/>
        <v>17465</v>
      </c>
      <c r="AD709" s="940">
        <f t="shared" si="731"/>
        <v>14520</v>
      </c>
      <c r="AE709" s="940">
        <f t="shared" si="731"/>
        <v>14356</v>
      </c>
      <c r="AF709" s="940">
        <f t="shared" si="731"/>
        <v>13332</v>
      </c>
      <c r="AG709" s="940"/>
      <c r="AH709" s="940"/>
      <c r="AI709" s="940"/>
      <c r="AK709" s="940"/>
      <c r="AL709" s="940"/>
      <c r="AM709" s="940"/>
      <c r="AN709" s="940"/>
      <c r="AO709" s="940"/>
      <c r="AP709" s="940"/>
      <c r="AQ709" s="940"/>
      <c r="AR709" s="940"/>
      <c r="AS709" s="940"/>
      <c r="AT709" s="940"/>
      <c r="AU709" s="940"/>
      <c r="AV709" s="940"/>
      <c r="AW709" s="940"/>
      <c r="AY709" s="940"/>
      <c r="AZ709" s="940">
        <f t="shared" si="729"/>
        <v>39294</v>
      </c>
      <c r="BA709" s="940">
        <f t="shared" si="729"/>
        <v>42276</v>
      </c>
      <c r="BB709" s="940">
        <f t="shared" si="729"/>
        <v>45698</v>
      </c>
      <c r="BC709" s="940">
        <f t="shared" si="729"/>
        <v>48251</v>
      </c>
      <c r="BD709" s="940">
        <f t="shared" si="729"/>
        <v>54093</v>
      </c>
      <c r="BE709" s="940">
        <f t="shared" si="729"/>
        <v>59655</v>
      </c>
      <c r="BF709" s="940"/>
    </row>
    <row r="710" spans="2:62" s="102" customFormat="1" ht="10.5">
      <c r="B710" s="873" t="s">
        <v>523</v>
      </c>
      <c r="D710" s="849"/>
      <c r="E710" s="849"/>
      <c r="F710" s="849"/>
      <c r="G710" s="849"/>
      <c r="H710" s="849">
        <f>SUM(H707:H709)</f>
        <v>21928</v>
      </c>
      <c r="I710" s="849">
        <f t="shared" ref="I710:AF710" si="732">SUM(I707:I709)</f>
        <v>25826</v>
      </c>
      <c r="J710" s="849">
        <f t="shared" si="732"/>
        <v>23212</v>
      </c>
      <c r="K710" s="849">
        <f t="shared" si="732"/>
        <v>25605</v>
      </c>
      <c r="L710" s="849">
        <f t="shared" si="732"/>
        <v>24538</v>
      </c>
      <c r="M710" s="849">
        <f t="shared" si="732"/>
        <v>28918</v>
      </c>
      <c r="N710" s="849">
        <f t="shared" si="732"/>
        <v>26819</v>
      </c>
      <c r="O710" s="849">
        <f t="shared" si="732"/>
        <v>30085</v>
      </c>
      <c r="P710" s="849">
        <f t="shared" si="732"/>
        <v>29084</v>
      </c>
      <c r="Q710" s="849">
        <f t="shared" si="732"/>
        <v>32471</v>
      </c>
      <c r="R710" s="849">
        <f t="shared" si="732"/>
        <v>30571</v>
      </c>
      <c r="S710" s="849">
        <f t="shared" si="732"/>
        <v>33717</v>
      </c>
      <c r="T710" s="849">
        <f t="shared" si="732"/>
        <v>33055</v>
      </c>
      <c r="U710" s="849">
        <f t="shared" si="732"/>
        <v>36906</v>
      </c>
      <c r="V710" s="849">
        <f t="shared" si="732"/>
        <v>35021</v>
      </c>
      <c r="W710" s="849">
        <f t="shared" si="732"/>
        <v>38033</v>
      </c>
      <c r="X710" s="849">
        <f t="shared" si="732"/>
        <v>37154</v>
      </c>
      <c r="Y710" s="849">
        <f t="shared" si="732"/>
        <v>43076</v>
      </c>
      <c r="Z710" s="849">
        <f t="shared" si="732"/>
        <v>41706</v>
      </c>
      <c r="AA710" s="849">
        <f t="shared" si="732"/>
        <v>46152</v>
      </c>
      <c r="AB710" s="849">
        <f t="shared" si="732"/>
        <v>45317</v>
      </c>
      <c r="AC710" s="849">
        <f t="shared" si="732"/>
        <v>51728</v>
      </c>
      <c r="AD710" s="849">
        <f t="shared" si="732"/>
        <v>49360</v>
      </c>
      <c r="AE710" s="849">
        <f t="shared" si="732"/>
        <v>51865</v>
      </c>
      <c r="AF710" s="849">
        <f t="shared" si="732"/>
        <v>50122</v>
      </c>
      <c r="AG710" s="849"/>
      <c r="AH710" s="849"/>
      <c r="AI710" s="849"/>
      <c r="AK710" s="849"/>
      <c r="AL710" s="849">
        <f t="shared" ref="AL710:AX710" si="733">+AL12</f>
        <v>44282</v>
      </c>
      <c r="AM710" s="849">
        <f t="shared" si="733"/>
        <v>51122</v>
      </c>
      <c r="AN710" s="849">
        <f t="shared" si="733"/>
        <v>60420</v>
      </c>
      <c r="AO710" s="849">
        <f t="shared" si="733"/>
        <v>58437</v>
      </c>
      <c r="AP710" s="849">
        <f t="shared" si="733"/>
        <v>62484</v>
      </c>
      <c r="AQ710" s="849">
        <f t="shared" si="733"/>
        <v>69943</v>
      </c>
      <c r="AR710" s="849">
        <f t="shared" si="733"/>
        <v>73723</v>
      </c>
      <c r="AS710" s="849">
        <f t="shared" si="733"/>
        <v>77849</v>
      </c>
      <c r="AT710" s="849">
        <f t="shared" si="733"/>
        <v>86833</v>
      </c>
      <c r="AU710" s="849">
        <f t="shared" si="733"/>
        <v>93580</v>
      </c>
      <c r="AV710" s="849">
        <f t="shared" si="733"/>
        <v>85320</v>
      </c>
      <c r="AW710" s="849">
        <f t="shared" si="733"/>
        <v>89950</v>
      </c>
      <c r="AX710" s="849">
        <f t="shared" si="733"/>
        <v>0</v>
      </c>
      <c r="AY710" s="849">
        <f>+AY12</f>
        <v>91154</v>
      </c>
      <c r="AZ710" s="849">
        <f t="shared" ref="AZ710:BE710" si="734">SUM(AZ707:AZ709)</f>
        <v>96571</v>
      </c>
      <c r="BA710" s="849">
        <f t="shared" si="734"/>
        <v>110360</v>
      </c>
      <c r="BB710" s="849">
        <f t="shared" si="734"/>
        <v>125843</v>
      </c>
      <c r="BC710" s="849">
        <f t="shared" si="734"/>
        <v>143015</v>
      </c>
      <c r="BD710" s="849">
        <f t="shared" si="734"/>
        <v>168088</v>
      </c>
      <c r="BE710" s="849">
        <f t="shared" si="734"/>
        <v>198270</v>
      </c>
      <c r="BF710" s="849"/>
    </row>
    <row r="712" spans="2:62" s="100" customFormat="1" ht="10.5">
      <c r="B712" s="958" t="s">
        <v>669</v>
      </c>
    </row>
    <row r="713" spans="2:62" s="100" customFormat="1">
      <c r="B713" s="100" t="s">
        <v>340</v>
      </c>
      <c r="D713" s="11"/>
      <c r="E713" s="11"/>
      <c r="F713" s="11"/>
      <c r="G713" s="11"/>
      <c r="H713" s="11">
        <f>+H707+H701</f>
        <v>5419</v>
      </c>
      <c r="I713" s="11">
        <f t="shared" ref="I713:AF713" si="735">+I707+I701</f>
        <v>7362</v>
      </c>
      <c r="J713" s="11">
        <f t="shared" si="735"/>
        <v>7565</v>
      </c>
      <c r="K713" s="11">
        <f t="shared" si="735"/>
        <v>11543</v>
      </c>
      <c r="L713" s="11">
        <f t="shared" si="735"/>
        <v>7354</v>
      </c>
      <c r="M713" s="11">
        <f t="shared" si="735"/>
        <v>8435</v>
      </c>
      <c r="N713" s="11">
        <f t="shared" si="735"/>
        <v>8901</v>
      </c>
      <c r="O713" s="11">
        <f t="shared" si="735"/>
        <v>13347</v>
      </c>
      <c r="P713" s="11">
        <f t="shared" si="735"/>
        <v>8660</v>
      </c>
      <c r="Q713" s="11">
        <f t="shared" si="735"/>
        <v>8982</v>
      </c>
      <c r="R713" s="11">
        <f t="shared" si="735"/>
        <v>10286</v>
      </c>
      <c r="S713" s="11">
        <f t="shared" si="735"/>
        <v>15199</v>
      </c>
      <c r="T713" s="11">
        <f t="shared" si="735"/>
        <v>9806</v>
      </c>
      <c r="U713" s="11">
        <f t="shared" si="735"/>
        <v>10532</v>
      </c>
      <c r="V713" s="11">
        <f t="shared" si="735"/>
        <v>11554</v>
      </c>
      <c r="W713" s="11">
        <f t="shared" si="735"/>
        <v>16318</v>
      </c>
      <c r="X713" s="11">
        <f t="shared" si="735"/>
        <v>11351</v>
      </c>
      <c r="Y713" s="11">
        <f t="shared" si="735"/>
        <v>11903</v>
      </c>
      <c r="Z713" s="11">
        <f t="shared" si="735"/>
        <v>13496</v>
      </c>
      <c r="AA713" s="11">
        <f t="shared" si="735"/>
        <v>20642</v>
      </c>
      <c r="AB713" s="11">
        <f t="shared" si="735"/>
        <v>13484</v>
      </c>
      <c r="AC713" s="11">
        <f t="shared" si="735"/>
        <v>13865</v>
      </c>
      <c r="AD713" s="11">
        <f t="shared" si="735"/>
        <v>15873</v>
      </c>
      <c r="AE713" s="11">
        <f t="shared" si="735"/>
        <v>22580</v>
      </c>
      <c r="AF713" s="11">
        <f t="shared" si="735"/>
        <v>14312</v>
      </c>
      <c r="AG713" s="11"/>
      <c r="AH713" s="11"/>
      <c r="AI713" s="11"/>
      <c r="AY713" s="11"/>
      <c r="AZ713" s="11">
        <f t="shared" ref="AY713:BE716" si="736">+AZ707+AZ701</f>
        <v>31889</v>
      </c>
      <c r="BA713" s="11">
        <f t="shared" si="736"/>
        <v>38037</v>
      </c>
      <c r="BB713" s="11">
        <f t="shared" si="736"/>
        <v>43127</v>
      </c>
      <c r="BC713" s="11">
        <f t="shared" si="736"/>
        <v>48210</v>
      </c>
      <c r="BD713" s="11">
        <f t="shared" si="736"/>
        <v>57392</v>
      </c>
      <c r="BE713" s="11">
        <f t="shared" si="736"/>
        <v>65802</v>
      </c>
      <c r="BF713" s="11"/>
    </row>
    <row r="714" spans="2:62" s="100" customFormat="1">
      <c r="B714" s="100" t="s">
        <v>342</v>
      </c>
      <c r="D714" s="11"/>
      <c r="E714" s="11"/>
      <c r="F714" s="11"/>
      <c r="G714" s="11"/>
      <c r="H714" s="11">
        <f t="shared" ref="H714:AF716" si="737">+H708+H702</f>
        <v>5241</v>
      </c>
      <c r="I714" s="11">
        <f t="shared" si="737"/>
        <v>6377</v>
      </c>
      <c r="J714" s="11">
        <f t="shared" si="737"/>
        <v>6789</v>
      </c>
      <c r="K714" s="11">
        <f t="shared" si="737"/>
        <v>11239</v>
      </c>
      <c r="L714" s="11">
        <f t="shared" si="737"/>
        <v>5926</v>
      </c>
      <c r="M714" s="11">
        <f t="shared" si="737"/>
        <v>7398</v>
      </c>
      <c r="N714" s="11">
        <f t="shared" si="737"/>
        <v>8124</v>
      </c>
      <c r="O714" s="11">
        <f t="shared" si="737"/>
        <v>14325</v>
      </c>
      <c r="P714" s="11">
        <f t="shared" si="737"/>
        <v>7159</v>
      </c>
      <c r="Q714" s="11">
        <f t="shared" si="737"/>
        <v>8631</v>
      </c>
      <c r="R714" s="11">
        <f t="shared" si="737"/>
        <v>9629</v>
      </c>
      <c r="S714" s="11">
        <f t="shared" si="737"/>
        <v>15848</v>
      </c>
      <c r="T714" s="11">
        <f t="shared" si="737"/>
        <v>9112</v>
      </c>
      <c r="U714" s="11">
        <f t="shared" si="737"/>
        <v>10380</v>
      </c>
      <c r="V714" s="11">
        <f t="shared" si="737"/>
        <v>11499</v>
      </c>
      <c r="W714" s="11">
        <f t="shared" si="737"/>
        <v>17007</v>
      </c>
      <c r="X714" s="11">
        <f t="shared" si="737"/>
        <v>11405</v>
      </c>
      <c r="Y714" s="11">
        <f t="shared" si="737"/>
        <v>13348</v>
      </c>
      <c r="Z714" s="11">
        <f t="shared" si="737"/>
        <v>14430</v>
      </c>
      <c r="AA714" s="11">
        <f t="shared" si="737"/>
        <v>21987</v>
      </c>
      <c r="AB714" s="11">
        <f t="shared" si="737"/>
        <v>15371</v>
      </c>
      <c r="AC714" s="11">
        <f t="shared" si="737"/>
        <v>16759</v>
      </c>
      <c r="AD714" s="11">
        <f t="shared" si="737"/>
        <v>19026</v>
      </c>
      <c r="AE714" s="11">
        <f t="shared" si="737"/>
        <v>25756</v>
      </c>
      <c r="AF714" s="11">
        <f t="shared" si="737"/>
        <v>18248</v>
      </c>
      <c r="AG714" s="11"/>
      <c r="AH714" s="11"/>
      <c r="AI714" s="11"/>
      <c r="AY714" s="11"/>
      <c r="AZ714" s="11">
        <f t="shared" si="736"/>
        <v>29646</v>
      </c>
      <c r="BA714" s="11">
        <f t="shared" si="736"/>
        <v>35773</v>
      </c>
      <c r="BB714" s="11">
        <f t="shared" si="736"/>
        <v>41267</v>
      </c>
      <c r="BC714" s="11">
        <f t="shared" si="736"/>
        <v>47998</v>
      </c>
      <c r="BD714" s="11">
        <f t="shared" si="736"/>
        <v>61170</v>
      </c>
      <c r="BE714" s="11">
        <f t="shared" si="736"/>
        <v>76912</v>
      </c>
      <c r="BF714" s="11"/>
    </row>
    <row r="715" spans="2:62" s="1003" customFormat="1">
      <c r="B715" s="100" t="s">
        <v>344</v>
      </c>
      <c r="D715" s="940"/>
      <c r="E715" s="940"/>
      <c r="F715" s="940"/>
      <c r="G715" s="940"/>
      <c r="H715" s="940">
        <f t="shared" si="737"/>
        <v>9445</v>
      </c>
      <c r="I715" s="940">
        <f t="shared" si="737"/>
        <v>11708</v>
      </c>
      <c r="J715" s="940">
        <f t="shared" si="737"/>
        <v>8771</v>
      </c>
      <c r="K715" s="940">
        <f t="shared" si="737"/>
        <v>9575</v>
      </c>
      <c r="L715" s="940">
        <f t="shared" si="737"/>
        <v>9506</v>
      </c>
      <c r="M715" s="940">
        <f t="shared" si="737"/>
        <v>11990</v>
      </c>
      <c r="N715" s="940">
        <f t="shared" si="737"/>
        <v>9940</v>
      </c>
      <c r="O715" s="940">
        <f t="shared" si="737"/>
        <v>11178</v>
      </c>
      <c r="P715" s="940">
        <f t="shared" si="737"/>
        <v>10787</v>
      </c>
      <c r="Q715" s="940">
        <f t="shared" si="737"/>
        <v>12700</v>
      </c>
      <c r="R715" s="940">
        <f t="shared" si="737"/>
        <v>10707</v>
      </c>
      <c r="S715" s="940">
        <f t="shared" si="737"/>
        <v>11741</v>
      </c>
      <c r="T715" s="940">
        <f t="shared" si="737"/>
        <v>10957</v>
      </c>
      <c r="U715" s="940">
        <f t="shared" si="737"/>
        <v>13189</v>
      </c>
      <c r="V715" s="940">
        <f t="shared" si="737"/>
        <v>11144</v>
      </c>
      <c r="W715" s="940">
        <f t="shared" si="737"/>
        <v>13491</v>
      </c>
      <c r="X715" s="940">
        <f t="shared" si="737"/>
        <v>11523</v>
      </c>
      <c r="Y715" s="940">
        <f t="shared" si="737"/>
        <v>14907</v>
      </c>
      <c r="Z715" s="940">
        <f t="shared" si="737"/>
        <v>13107</v>
      </c>
      <c r="AA715" s="940">
        <f t="shared" si="737"/>
        <v>14950</v>
      </c>
      <c r="AB715" s="940">
        <f t="shared" si="737"/>
        <v>13336</v>
      </c>
      <c r="AC715" s="940">
        <f t="shared" si="737"/>
        <v>16858</v>
      </c>
      <c r="AD715" s="940">
        <f t="shared" si="737"/>
        <v>14488</v>
      </c>
      <c r="AE715" s="940">
        <f t="shared" si="737"/>
        <v>15141</v>
      </c>
      <c r="AF715" s="940">
        <f t="shared" si="737"/>
        <v>13043</v>
      </c>
      <c r="AG715" s="940"/>
      <c r="AH715" s="940"/>
      <c r="AI715" s="940"/>
      <c r="AK715" s="940"/>
      <c r="AL715" s="940"/>
      <c r="AM715" s="940"/>
      <c r="AN715" s="940"/>
      <c r="AO715" s="940"/>
      <c r="AP715" s="940"/>
      <c r="AQ715" s="940"/>
      <c r="AR715" s="940"/>
      <c r="AS715" s="940"/>
      <c r="AT715" s="940"/>
      <c r="AU715" s="940"/>
      <c r="AV715" s="940"/>
      <c r="AW715" s="940"/>
      <c r="AY715" s="940"/>
      <c r="AZ715" s="940">
        <f t="shared" si="736"/>
        <v>39499</v>
      </c>
      <c r="BA715" s="940">
        <f t="shared" si="736"/>
        <v>42614</v>
      </c>
      <c r="BB715" s="940">
        <f t="shared" si="736"/>
        <v>45935</v>
      </c>
      <c r="BC715" s="940">
        <f t="shared" si="736"/>
        <v>48781</v>
      </c>
      <c r="BD715" s="940">
        <f t="shared" si="736"/>
        <v>54487</v>
      </c>
      <c r="BE715" s="940">
        <f t="shared" si="736"/>
        <v>59823</v>
      </c>
      <c r="BF715" s="940"/>
    </row>
    <row r="716" spans="2:62" s="102" customFormat="1" ht="10.5">
      <c r="B716" s="873" t="s">
        <v>670</v>
      </c>
      <c r="D716" s="849"/>
      <c r="E716" s="849"/>
      <c r="F716" s="849"/>
      <c r="G716" s="849"/>
      <c r="H716" s="849">
        <f t="shared" si="737"/>
        <v>20105</v>
      </c>
      <c r="I716" s="849">
        <f t="shared" si="737"/>
        <v>25447</v>
      </c>
      <c r="J716" s="849">
        <f t="shared" si="737"/>
        <v>23125</v>
      </c>
      <c r="K716" s="849">
        <f t="shared" si="737"/>
        <v>32357</v>
      </c>
      <c r="L716" s="849">
        <f t="shared" si="737"/>
        <v>22786</v>
      </c>
      <c r="M716" s="849">
        <f t="shared" si="737"/>
        <v>27823</v>
      </c>
      <c r="N716" s="849">
        <f t="shared" si="737"/>
        <v>26965</v>
      </c>
      <c r="O716" s="849">
        <f t="shared" si="737"/>
        <v>38850</v>
      </c>
      <c r="P716" s="849">
        <f t="shared" si="737"/>
        <v>26606</v>
      </c>
      <c r="Q716" s="849">
        <f t="shared" si="737"/>
        <v>30313</v>
      </c>
      <c r="R716" s="849">
        <f t="shared" si="737"/>
        <v>30622</v>
      </c>
      <c r="S716" s="849">
        <f t="shared" si="737"/>
        <v>42788</v>
      </c>
      <c r="T716" s="849">
        <f t="shared" si="737"/>
        <v>29875</v>
      </c>
      <c r="U716" s="849">
        <f t="shared" si="737"/>
        <v>34101</v>
      </c>
      <c r="V716" s="849">
        <f t="shared" si="737"/>
        <v>34197</v>
      </c>
      <c r="W716" s="849">
        <f t="shared" si="737"/>
        <v>46816</v>
      </c>
      <c r="X716" s="849">
        <f t="shared" si="737"/>
        <v>34279</v>
      </c>
      <c r="Y716" s="849">
        <f t="shared" si="737"/>
        <v>40158</v>
      </c>
      <c r="Z716" s="849">
        <f t="shared" si="737"/>
        <v>41033</v>
      </c>
      <c r="AA716" s="849">
        <f t="shared" si="737"/>
        <v>57579</v>
      </c>
      <c r="AB716" s="849">
        <f t="shared" si="737"/>
        <v>42191</v>
      </c>
      <c r="AC716" s="849">
        <f t="shared" si="737"/>
        <v>47482</v>
      </c>
      <c r="AD716" s="849">
        <f t="shared" si="737"/>
        <v>49387</v>
      </c>
      <c r="AE716" s="849">
        <f t="shared" si="737"/>
        <v>63477</v>
      </c>
      <c r="AF716" s="849">
        <f t="shared" si="737"/>
        <v>45603</v>
      </c>
      <c r="AG716" s="849"/>
      <c r="AH716" s="849"/>
      <c r="AI716" s="849"/>
      <c r="AK716" s="849"/>
      <c r="AL716" s="849">
        <f t="shared" ref="AL716:AX716" si="738">+AL710+AL704</f>
        <v>46017</v>
      </c>
      <c r="AM716" s="849">
        <f t="shared" si="738"/>
        <v>52866</v>
      </c>
      <c r="AN716" s="849">
        <f t="shared" si="738"/>
        <v>63071</v>
      </c>
      <c r="AO716" s="849">
        <f t="shared" si="738"/>
        <v>57424</v>
      </c>
      <c r="AP716" s="849">
        <f t="shared" si="738"/>
        <v>63030</v>
      </c>
      <c r="AQ716" s="849">
        <f t="shared" si="738"/>
        <v>72233</v>
      </c>
      <c r="AR716" s="849">
        <f t="shared" si="738"/>
        <v>76662</v>
      </c>
      <c r="AS716" s="849">
        <f t="shared" si="738"/>
        <v>80189</v>
      </c>
      <c r="AT716" s="849">
        <f t="shared" si="738"/>
        <v>89592</v>
      </c>
      <c r="AU716" s="849">
        <f t="shared" si="738"/>
        <v>93740</v>
      </c>
      <c r="AV716" s="849">
        <f t="shared" si="738"/>
        <v>65261</v>
      </c>
      <c r="AW716" s="849">
        <f t="shared" si="738"/>
        <v>67551</v>
      </c>
      <c r="AX716" s="849">
        <f t="shared" si="738"/>
        <v>-25158</v>
      </c>
      <c r="AY716" s="849">
        <f t="shared" si="736"/>
        <v>88029</v>
      </c>
      <c r="AZ716" s="849">
        <f t="shared" si="736"/>
        <v>101034</v>
      </c>
      <c r="BA716" s="849">
        <f t="shared" si="736"/>
        <v>116424</v>
      </c>
      <c r="BB716" s="849">
        <f t="shared" si="736"/>
        <v>130329</v>
      </c>
      <c r="BC716" s="849">
        <f t="shared" si="736"/>
        <v>144989</v>
      </c>
      <c r="BD716" s="849">
        <f t="shared" si="736"/>
        <v>173049</v>
      </c>
      <c r="BE716" s="849">
        <f t="shared" si="736"/>
        <v>202537</v>
      </c>
      <c r="BF716" s="849"/>
    </row>
    <row r="718" spans="2:62" s="3" customFormat="1">
      <c r="B718" s="24" t="s">
        <v>113</v>
      </c>
    </row>
    <row r="719" spans="2:62" s="3" customFormat="1">
      <c r="B719" s="13" t="str">
        <f>+B713</f>
        <v>Productivity and Business Processes</v>
      </c>
      <c r="D719" s="228"/>
      <c r="E719" s="228"/>
      <c r="F719" s="228"/>
      <c r="G719" s="228"/>
      <c r="H719" s="228" t="str">
        <f>+IFERROR(H713/D713-1,"n/a ")</f>
        <v xml:space="preserve">n/a </v>
      </c>
      <c r="I719" s="228" t="str">
        <f t="shared" ref="I719:AF722" si="739">+IFERROR(I713/E713-1,"n/a ")</f>
        <v xml:space="preserve">n/a </v>
      </c>
      <c r="J719" s="228" t="str">
        <f t="shared" si="739"/>
        <v xml:space="preserve">n/a </v>
      </c>
      <c r="K719" s="228" t="str">
        <f t="shared" si="739"/>
        <v xml:space="preserve">n/a </v>
      </c>
      <c r="L719" s="228">
        <f t="shared" si="739"/>
        <v>0.35707695146706042</v>
      </c>
      <c r="M719" s="228">
        <f t="shared" si="739"/>
        <v>0.14574843792447711</v>
      </c>
      <c r="N719" s="228">
        <f t="shared" si="739"/>
        <v>0.17660277594183738</v>
      </c>
      <c r="O719" s="228">
        <f t="shared" si="739"/>
        <v>0.15628519449016731</v>
      </c>
      <c r="P719" s="228">
        <f t="shared" si="739"/>
        <v>0.17759042697851513</v>
      </c>
      <c r="Q719" s="228">
        <f t="shared" si="739"/>
        <v>6.4848844101956127E-2</v>
      </c>
      <c r="R719" s="228">
        <f t="shared" si="739"/>
        <v>0.15560049432648015</v>
      </c>
      <c r="S719" s="228">
        <f t="shared" si="739"/>
        <v>0.13875777328238548</v>
      </c>
      <c r="T719" s="228">
        <f t="shared" si="739"/>
        <v>0.13233256351039269</v>
      </c>
      <c r="U719" s="228">
        <f t="shared" si="739"/>
        <v>0.17256735693609437</v>
      </c>
      <c r="V719" s="228">
        <f t="shared" si="739"/>
        <v>0.12327435349018079</v>
      </c>
      <c r="W719" s="228">
        <f t="shared" si="739"/>
        <v>7.362326468846625E-2</v>
      </c>
      <c r="X719" s="228">
        <f t="shared" si="739"/>
        <v>0.15755659800122368</v>
      </c>
      <c r="Y719" s="228">
        <f t="shared" si="739"/>
        <v>0.13017470565894418</v>
      </c>
      <c r="Z719" s="228">
        <f t="shared" si="739"/>
        <v>0.16808031850441396</v>
      </c>
      <c r="AA719" s="228">
        <f t="shared" si="739"/>
        <v>0.26498345385463895</v>
      </c>
      <c r="AB719" s="228">
        <f t="shared" si="739"/>
        <v>0.18791295921064233</v>
      </c>
      <c r="AC719" s="228">
        <f t="shared" si="739"/>
        <v>0.16483239519448878</v>
      </c>
      <c r="AD719" s="228">
        <f t="shared" si="739"/>
        <v>0.17612625963248374</v>
      </c>
      <c r="AE719" s="228">
        <f t="shared" si="739"/>
        <v>9.388625133223516E-2</v>
      </c>
      <c r="AF719" s="228">
        <f t="shared" si="739"/>
        <v>6.1406110946306658E-2</v>
      </c>
      <c r="AG719" s="228"/>
      <c r="AH719" s="228"/>
      <c r="AI719" s="228"/>
      <c r="AJ719" s="228"/>
      <c r="AK719" s="228"/>
      <c r="AL719" s="228"/>
      <c r="AM719" s="228"/>
      <c r="AN719" s="228"/>
      <c r="AO719" s="228"/>
      <c r="AP719" s="228"/>
      <c r="AQ719" s="228"/>
      <c r="AR719" s="228"/>
      <c r="AS719" s="228"/>
      <c r="AT719" s="228"/>
      <c r="AU719" s="228"/>
      <c r="AV719" s="228"/>
      <c r="AW719" s="228"/>
      <c r="AX719" s="228"/>
      <c r="AY719" s="228"/>
      <c r="AZ719" s="228" t="str">
        <f>+IFERROR(AZ713/AY713-1,"n/a ")</f>
        <v xml:space="preserve">n/a </v>
      </c>
      <c r="BA719" s="228">
        <f>+IFERROR(BA713/AZ713-1,"n/a ")</f>
        <v>0.19279375333186999</v>
      </c>
      <c r="BB719" s="228">
        <f t="shared" ref="BB719:BE722" si="740">+IFERROR(BB713/BA713-1,"n/a ")</f>
        <v>0.13381707285011957</v>
      </c>
      <c r="BC719" s="228">
        <f t="shared" si="740"/>
        <v>0.11786120063997041</v>
      </c>
      <c r="BD719" s="228">
        <f t="shared" si="740"/>
        <v>0.19045841111802542</v>
      </c>
      <c r="BE719" s="228">
        <f t="shared" si="740"/>
        <v>0.14653610259269589</v>
      </c>
      <c r="BF719" s="228"/>
      <c r="BG719" s="228"/>
      <c r="BH719" s="228"/>
      <c r="BI719" s="228"/>
      <c r="BJ719" s="228"/>
    </row>
    <row r="720" spans="2:62" s="3" customFormat="1">
      <c r="B720" s="13" t="str">
        <f t="shared" ref="B720:B722" si="741">+B714</f>
        <v>Intelligent Cloud</v>
      </c>
      <c r="D720" s="228"/>
      <c r="E720" s="228"/>
      <c r="F720" s="228"/>
      <c r="G720" s="228"/>
      <c r="H720" s="228" t="str">
        <f t="shared" ref="H720:H722" si="742">+IFERROR(H714/D714-1,"n/a ")</f>
        <v xml:space="preserve">n/a </v>
      </c>
      <c r="I720" s="228" t="str">
        <f t="shared" si="739"/>
        <v xml:space="preserve">n/a </v>
      </c>
      <c r="J720" s="228" t="str">
        <f t="shared" si="739"/>
        <v xml:space="preserve">n/a </v>
      </c>
      <c r="K720" s="228" t="str">
        <f t="shared" si="739"/>
        <v xml:space="preserve">n/a </v>
      </c>
      <c r="L720" s="228">
        <f t="shared" si="739"/>
        <v>0.13070024804426628</v>
      </c>
      <c r="M720" s="228">
        <f t="shared" si="739"/>
        <v>0.16010663321310958</v>
      </c>
      <c r="N720" s="228">
        <f t="shared" si="739"/>
        <v>0.19664162615996461</v>
      </c>
      <c r="O720" s="228">
        <f t="shared" si="739"/>
        <v>0.27457958893139955</v>
      </c>
      <c r="P720" s="228">
        <f t="shared" si="739"/>
        <v>0.20806614917313526</v>
      </c>
      <c r="Q720" s="228">
        <f t="shared" si="739"/>
        <v>0.16666666666666674</v>
      </c>
      <c r="R720" s="228">
        <f t="shared" si="739"/>
        <v>0.18525356967011319</v>
      </c>
      <c r="S720" s="228">
        <f t="shared" si="739"/>
        <v>0.10631762652705068</v>
      </c>
      <c r="T720" s="228">
        <f t="shared" si="739"/>
        <v>0.27280346417097356</v>
      </c>
      <c r="U720" s="228">
        <f t="shared" si="739"/>
        <v>0.20264164059784506</v>
      </c>
      <c r="V720" s="228">
        <f t="shared" si="739"/>
        <v>0.19420500571191202</v>
      </c>
      <c r="W720" s="228">
        <f t="shared" si="739"/>
        <v>7.3132256436143406E-2</v>
      </c>
      <c r="X720" s="228">
        <f t="shared" si="739"/>
        <v>0.2516461808604038</v>
      </c>
      <c r="Y720" s="228">
        <f t="shared" si="739"/>
        <v>0.28593448940269739</v>
      </c>
      <c r="Z720" s="228">
        <f t="shared" si="739"/>
        <v>0.25489172971562746</v>
      </c>
      <c r="AA720" s="228">
        <f t="shared" si="739"/>
        <v>0.2928206032810019</v>
      </c>
      <c r="AB720" s="228">
        <f t="shared" si="739"/>
        <v>0.34774221832529584</v>
      </c>
      <c r="AC720" s="228">
        <f t="shared" si="739"/>
        <v>0.25554390170812114</v>
      </c>
      <c r="AD720" s="228">
        <f t="shared" si="739"/>
        <v>0.31850311850311841</v>
      </c>
      <c r="AE720" s="228">
        <f t="shared" si="739"/>
        <v>0.17141947514440359</v>
      </c>
      <c r="AF720" s="228">
        <f t="shared" si="739"/>
        <v>0.18717064602172928</v>
      </c>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t="str">
        <f t="shared" ref="AZ720:BA722" si="743">+IFERROR(AZ714/AY714-1,"n/a ")</f>
        <v xml:space="preserve">n/a </v>
      </c>
      <c r="BA720" s="228">
        <f t="shared" si="743"/>
        <v>0.20667206368481406</v>
      </c>
      <c r="BB720" s="228">
        <f t="shared" si="740"/>
        <v>0.15357951527688485</v>
      </c>
      <c r="BC720" s="228">
        <f t="shared" si="740"/>
        <v>0.16310853708774564</v>
      </c>
      <c r="BD720" s="228">
        <f t="shared" si="740"/>
        <v>0.27442810117088201</v>
      </c>
      <c r="BE720" s="228">
        <f t="shared" si="740"/>
        <v>0.25734837338564653</v>
      </c>
      <c r="BF720" s="228"/>
      <c r="BG720" s="228"/>
      <c r="BH720" s="228"/>
      <c r="BI720" s="228"/>
      <c r="BJ720" s="228"/>
    </row>
    <row r="721" spans="2:62" s="839" customFormat="1" ht="11.45">
      <c r="B721" s="13" t="str">
        <f t="shared" si="741"/>
        <v>More Personal Computing</v>
      </c>
      <c r="D721" s="840"/>
      <c r="E721" s="840"/>
      <c r="F721" s="840"/>
      <c r="G721" s="840"/>
      <c r="H721" s="840" t="str">
        <f t="shared" si="742"/>
        <v xml:space="preserve">n/a </v>
      </c>
      <c r="I721" s="840" t="str">
        <f t="shared" si="739"/>
        <v xml:space="preserve">n/a </v>
      </c>
      <c r="J721" s="840" t="str">
        <f t="shared" si="739"/>
        <v xml:space="preserve">n/a </v>
      </c>
      <c r="K721" s="840" t="str">
        <f t="shared" si="739"/>
        <v xml:space="preserve">n/a </v>
      </c>
      <c r="L721" s="840">
        <f t="shared" si="739"/>
        <v>6.4584436209633722E-3</v>
      </c>
      <c r="M721" s="840">
        <f t="shared" si="739"/>
        <v>2.4086094977793016E-2</v>
      </c>
      <c r="N721" s="840">
        <f t="shared" si="739"/>
        <v>0.13328012769353559</v>
      </c>
      <c r="O721" s="840">
        <f t="shared" si="739"/>
        <v>0.16741514360313325</v>
      </c>
      <c r="P721" s="840">
        <f t="shared" si="739"/>
        <v>0.13475699558173782</v>
      </c>
      <c r="Q721" s="840">
        <f t="shared" si="739"/>
        <v>5.92160133444537E-2</v>
      </c>
      <c r="R721" s="840">
        <f t="shared" si="739"/>
        <v>7.7162977867203164E-2</v>
      </c>
      <c r="S721" s="840">
        <f t="shared" si="739"/>
        <v>5.036679191268556E-2</v>
      </c>
      <c r="T721" s="840">
        <f t="shared" si="739"/>
        <v>1.5759710762955459E-2</v>
      </c>
      <c r="U721" s="840">
        <f t="shared" si="739"/>
        <v>3.8503937007873912E-2</v>
      </c>
      <c r="V721" s="840">
        <f t="shared" si="739"/>
        <v>4.0814420472587987E-2</v>
      </c>
      <c r="W721" s="840">
        <f t="shared" si="739"/>
        <v>0.14905033642790233</v>
      </c>
      <c r="X721" s="840">
        <f t="shared" si="739"/>
        <v>5.1656475312585659E-2</v>
      </c>
      <c r="Y721" s="840">
        <f t="shared" si="739"/>
        <v>0.13026006520585343</v>
      </c>
      <c r="Z721" s="840">
        <f t="shared" si="739"/>
        <v>0.17614860014357503</v>
      </c>
      <c r="AA721" s="840">
        <f t="shared" si="739"/>
        <v>0.10814617152175532</v>
      </c>
      <c r="AB721" s="840">
        <f t="shared" si="739"/>
        <v>0.15733749891521298</v>
      </c>
      <c r="AC721" s="840">
        <f t="shared" si="739"/>
        <v>0.13087811095458513</v>
      </c>
      <c r="AD721" s="840">
        <f t="shared" si="739"/>
        <v>0.10536354619668886</v>
      </c>
      <c r="AE721" s="840">
        <f t="shared" si="739"/>
        <v>1.2775919732441521E-2</v>
      </c>
      <c r="AF721" s="840">
        <f t="shared" si="739"/>
        <v>-2.1970605878824268E-2</v>
      </c>
      <c r="AG721" s="840"/>
      <c r="AH721" s="840"/>
      <c r="AI721" s="840"/>
      <c r="AJ721" s="840"/>
      <c r="AK721" s="840"/>
      <c r="AL721" s="840"/>
      <c r="AM721" s="840"/>
      <c r="AN721" s="840"/>
      <c r="AO721" s="840"/>
      <c r="AP721" s="840"/>
      <c r="AQ721" s="840"/>
      <c r="AR721" s="840"/>
      <c r="AS721" s="840"/>
      <c r="AT721" s="840"/>
      <c r="AU721" s="840"/>
      <c r="AV721" s="840"/>
      <c r="AW721" s="840"/>
      <c r="AX721" s="840"/>
      <c r="AY721" s="840"/>
      <c r="AZ721" s="840" t="str">
        <f t="shared" si="743"/>
        <v xml:space="preserve">n/a </v>
      </c>
      <c r="BA721" s="840">
        <f t="shared" si="743"/>
        <v>7.8862756019139724E-2</v>
      </c>
      <c r="BB721" s="840">
        <f t="shared" si="740"/>
        <v>7.7932134979114887E-2</v>
      </c>
      <c r="BC721" s="840">
        <f t="shared" si="740"/>
        <v>6.1957113312289147E-2</v>
      </c>
      <c r="BD721" s="840">
        <f t="shared" si="740"/>
        <v>0.11697177179639606</v>
      </c>
      <c r="BE721" s="840">
        <f t="shared" si="740"/>
        <v>9.7931616715913883E-2</v>
      </c>
      <c r="BF721" s="840"/>
      <c r="BG721" s="840"/>
      <c r="BH721" s="840"/>
      <c r="BI721" s="840"/>
      <c r="BJ721" s="840"/>
    </row>
    <row r="722" spans="2:62" s="7" customFormat="1">
      <c r="B722" s="841" t="str">
        <f t="shared" si="741"/>
        <v>Total billings</v>
      </c>
      <c r="D722" s="842"/>
      <c r="E722" s="842"/>
      <c r="F722" s="842"/>
      <c r="G722" s="842"/>
      <c r="H722" s="842" t="str">
        <f t="shared" si="742"/>
        <v xml:space="preserve">n/a </v>
      </c>
      <c r="I722" s="842" t="str">
        <f t="shared" si="739"/>
        <v xml:space="preserve">n/a </v>
      </c>
      <c r="J722" s="842" t="str">
        <f t="shared" si="739"/>
        <v xml:space="preserve">n/a </v>
      </c>
      <c r="K722" s="842" t="str">
        <f t="shared" si="739"/>
        <v xml:space="preserve">n/a </v>
      </c>
      <c r="L722" s="842">
        <f t="shared" si="739"/>
        <v>0.13334991295697596</v>
      </c>
      <c r="M722" s="842">
        <f t="shared" si="739"/>
        <v>9.3370534837112329E-2</v>
      </c>
      <c r="N722" s="842">
        <f t="shared" si="739"/>
        <v>0.16605405405405405</v>
      </c>
      <c r="O722" s="842">
        <f t="shared" si="739"/>
        <v>0.20066755261612634</v>
      </c>
      <c r="P722" s="842">
        <f t="shared" si="739"/>
        <v>0.16764680066707638</v>
      </c>
      <c r="Q722" s="842">
        <f t="shared" si="739"/>
        <v>8.9494303274269438E-2</v>
      </c>
      <c r="R722" s="842">
        <f t="shared" si="739"/>
        <v>0.13562024847023912</v>
      </c>
      <c r="S722" s="842">
        <f t="shared" si="739"/>
        <v>0.10136422136422141</v>
      </c>
      <c r="T722" s="842">
        <f t="shared" si="739"/>
        <v>0.12286702247613324</v>
      </c>
      <c r="U722" s="842">
        <f t="shared" si="739"/>
        <v>0.12496288721010784</v>
      </c>
      <c r="V722" s="842">
        <f t="shared" si="739"/>
        <v>0.1167461302331656</v>
      </c>
      <c r="W722" s="842">
        <f t="shared" si="739"/>
        <v>9.4138543516873785E-2</v>
      </c>
      <c r="X722" s="842">
        <f t="shared" si="739"/>
        <v>0.14741422594142262</v>
      </c>
      <c r="Y722" s="842">
        <f t="shared" si="739"/>
        <v>0.17761942465030356</v>
      </c>
      <c r="Z722" s="842">
        <f t="shared" si="739"/>
        <v>0.19990057607392453</v>
      </c>
      <c r="AA722" s="842">
        <f t="shared" si="739"/>
        <v>0.22990003417634997</v>
      </c>
      <c r="AB722" s="842">
        <f t="shared" si="739"/>
        <v>0.23081186732401759</v>
      </c>
      <c r="AC722" s="842">
        <f t="shared" si="739"/>
        <v>0.18237960057771807</v>
      </c>
      <c r="AD722" s="842">
        <f t="shared" si="739"/>
        <v>0.20359223064362819</v>
      </c>
      <c r="AE722" s="842">
        <f t="shared" si="739"/>
        <v>0.10243317876309077</v>
      </c>
      <c r="AF722" s="842">
        <f t="shared" si="739"/>
        <v>8.0870327795027341E-2</v>
      </c>
      <c r="AG722" s="842"/>
      <c r="AH722" s="842"/>
      <c r="AI722" s="842"/>
      <c r="AJ722" s="842"/>
      <c r="AK722" s="842"/>
      <c r="AL722" s="842" t="e">
        <f t="shared" ref="AL722:AT722" si="744">+AL716/AK716-1</f>
        <v>#DIV/0!</v>
      </c>
      <c r="AM722" s="842">
        <f t="shared" si="744"/>
        <v>0.14883629962839828</v>
      </c>
      <c r="AN722" s="842">
        <f t="shared" si="744"/>
        <v>0.19303522112510874</v>
      </c>
      <c r="AO722" s="842">
        <f t="shared" si="744"/>
        <v>-8.9534017218690032E-2</v>
      </c>
      <c r="AP722" s="842">
        <f t="shared" si="744"/>
        <v>9.7624686542212347E-2</v>
      </c>
      <c r="AQ722" s="842">
        <f t="shared" si="744"/>
        <v>0.14600983658575273</v>
      </c>
      <c r="AR722" s="842">
        <f t="shared" si="744"/>
        <v>6.1315465230573185E-2</v>
      </c>
      <c r="AS722" s="842">
        <f t="shared" si="744"/>
        <v>4.600714826119856E-2</v>
      </c>
      <c r="AT722" s="842">
        <f t="shared" si="744"/>
        <v>0.11726047213458202</v>
      </c>
      <c r="AU722" s="842">
        <f>+AU716/AT716-1</f>
        <v>4.6298776676489073E-2</v>
      </c>
      <c r="AV722" s="842"/>
      <c r="AW722" s="842"/>
      <c r="AX722" s="842"/>
      <c r="AY722" s="842">
        <f>+AY716/AU716-1</f>
        <v>-6.092383187540007E-2</v>
      </c>
      <c r="AZ722" s="842">
        <f t="shared" si="743"/>
        <v>0.1477354053777733</v>
      </c>
      <c r="BA722" s="842">
        <f t="shared" si="743"/>
        <v>0.15232495991448425</v>
      </c>
      <c r="BB722" s="842">
        <f t="shared" si="740"/>
        <v>0.11943413729128016</v>
      </c>
      <c r="BC722" s="842">
        <f t="shared" si="740"/>
        <v>0.11248455831012283</v>
      </c>
      <c r="BD722" s="842">
        <f t="shared" si="740"/>
        <v>0.19353192311140854</v>
      </c>
      <c r="BE722" s="842">
        <f t="shared" si="740"/>
        <v>0.17040260273101837</v>
      </c>
      <c r="BF722" s="842"/>
      <c r="BG722" s="842"/>
      <c r="BH722" s="842"/>
      <c r="BI722" s="842"/>
      <c r="BJ722" s="842"/>
    </row>
  </sheetData>
  <pageMargins left="0.3" right="0.3" top="0.3" bottom="0.3" header="0.3" footer="0.3"/>
  <pageSetup scale="53" fitToHeight="0" orientation="portrait" r:id="rId1"/>
  <rowBreaks count="7" manualBreakCount="7">
    <brk id="110" min="1" max="57" man="1"/>
    <brk id="285" min="1" max="57" man="1"/>
    <brk id="346" min="1" max="57" man="1"/>
    <brk id="435" min="1" max="57" man="1"/>
    <brk id="499" min="1" max="57" man="1"/>
    <brk id="574" min="1" max="57" man="1"/>
    <brk id="641" min="1" max="57" man="1"/>
  </rowBreaks>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37306-F69A-45C9-AF03-5EEEC1CFD29E}">
  <sheetPr>
    <pageSetUpPr fitToPage="1"/>
  </sheetPr>
  <dimension ref="A1:AA161"/>
  <sheetViews>
    <sheetView view="pageBreakPreview" topLeftCell="A131" zoomScaleNormal="100" zoomScaleSheetLayoutView="100" workbookViewId="0">
      <selection activeCell="I142" sqref="I142"/>
    </sheetView>
  </sheetViews>
  <sheetFormatPr defaultColWidth="9.33203125" defaultRowHeight="9.9499999999999993" outlineLevelRow="1"/>
  <cols>
    <col min="1" max="1" width="22.5" customWidth="1"/>
  </cols>
  <sheetData>
    <row r="1" spans="1:25" s="1" customFormat="1" ht="10.5">
      <c r="A1" t="s">
        <v>60</v>
      </c>
      <c r="B1" s="228"/>
      <c r="C1" s="228"/>
      <c r="D1" s="228"/>
      <c r="E1" s="228"/>
      <c r="F1" s="228"/>
      <c r="G1" s="228"/>
      <c r="H1" s="228"/>
      <c r="I1" s="228"/>
      <c r="J1" s="228"/>
      <c r="K1" s="228"/>
      <c r="L1" s="228"/>
      <c r="M1" s="228"/>
      <c r="N1" s="228"/>
      <c r="O1" s="228"/>
      <c r="P1" s="228"/>
      <c r="Q1" s="228"/>
      <c r="R1" s="792"/>
      <c r="S1" s="792"/>
      <c r="T1" s="792"/>
      <c r="U1" s="792"/>
      <c r="W1" s="792"/>
      <c r="X1" s="792"/>
      <c r="Y1" s="792">
        <f ca="1">TODAY()</f>
        <v>45797</v>
      </c>
    </row>
    <row r="2" spans="1:25" s="2" customFormat="1" ht="10.5">
      <c r="A2" s="2" t="s">
        <v>1329</v>
      </c>
      <c r="B2" s="1052"/>
      <c r="C2" s="1052"/>
      <c r="D2" s="1052"/>
      <c r="E2" s="1052"/>
      <c r="F2" s="1052"/>
      <c r="G2" s="1052"/>
      <c r="H2" s="1052"/>
      <c r="I2" s="1052"/>
      <c r="J2" s="1052"/>
      <c r="K2" s="1052"/>
      <c r="L2" s="1052"/>
      <c r="M2" s="1052"/>
      <c r="N2" s="1052"/>
      <c r="O2" s="1052"/>
      <c r="P2" s="1052"/>
      <c r="Q2" s="1052"/>
      <c r="R2" s="1052"/>
      <c r="S2" s="1052"/>
      <c r="T2" s="1052"/>
      <c r="U2" s="1052"/>
      <c r="V2" s="1052"/>
      <c r="W2" s="1052"/>
      <c r="X2" s="1052"/>
      <c r="Y2" s="1052"/>
    </row>
    <row r="3" spans="1:25">
      <c r="A3" s="3" t="s">
        <v>63</v>
      </c>
    </row>
    <row r="4" spans="1:25" ht="13.5">
      <c r="B4" s="821" t="s">
        <v>205</v>
      </c>
      <c r="C4" s="31"/>
      <c r="D4" s="31"/>
      <c r="E4" s="31"/>
      <c r="F4" s="31"/>
      <c r="G4" s="31"/>
      <c r="H4" s="31"/>
      <c r="I4" s="31"/>
      <c r="J4" s="31"/>
      <c r="K4" s="31"/>
      <c r="L4" s="31"/>
      <c r="M4" s="31"/>
      <c r="N4" s="31"/>
      <c r="O4" s="31"/>
      <c r="P4" s="31"/>
      <c r="Q4" s="31"/>
      <c r="R4" s="31"/>
      <c r="S4" s="31"/>
      <c r="T4" s="31"/>
      <c r="U4" s="31"/>
      <c r="V4" s="31"/>
      <c r="W4" s="31"/>
      <c r="X4" s="31"/>
      <c r="Y4" s="31"/>
    </row>
    <row r="5" spans="1:25" ht="13.5">
      <c r="A5" s="7"/>
      <c r="B5" s="6" t="s">
        <v>214</v>
      </c>
      <c r="C5" s="6" t="s">
        <v>215</v>
      </c>
      <c r="D5" s="6" t="s">
        <v>216</v>
      </c>
      <c r="E5" s="1053" t="s">
        <v>217</v>
      </c>
      <c r="F5" s="6" t="s">
        <v>218</v>
      </c>
      <c r="G5" s="6" t="s">
        <v>219</v>
      </c>
      <c r="H5" s="6" t="s">
        <v>220</v>
      </c>
      <c r="I5" s="1053" t="s">
        <v>221</v>
      </c>
      <c r="J5" s="6" t="s">
        <v>222</v>
      </c>
      <c r="K5" s="6" t="s">
        <v>223</v>
      </c>
      <c r="L5" s="6" t="s">
        <v>224</v>
      </c>
      <c r="M5" s="1053" t="s">
        <v>225</v>
      </c>
      <c r="N5" s="6" t="s">
        <v>226</v>
      </c>
      <c r="O5" s="6" t="s">
        <v>227</v>
      </c>
      <c r="P5" s="6" t="s">
        <v>228</v>
      </c>
      <c r="Q5" s="1053" t="s">
        <v>229</v>
      </c>
      <c r="R5" s="6" t="s">
        <v>230</v>
      </c>
      <c r="S5" s="6" t="s">
        <v>231</v>
      </c>
      <c r="T5" s="6" t="s">
        <v>232</v>
      </c>
      <c r="U5" s="1053" t="s">
        <v>233</v>
      </c>
      <c r="V5" s="1066" t="s">
        <v>234</v>
      </c>
      <c r="W5" s="6" t="s">
        <v>1330</v>
      </c>
      <c r="X5" s="6" t="s">
        <v>1331</v>
      </c>
      <c r="Y5" s="6" t="s">
        <v>1332</v>
      </c>
    </row>
    <row r="6" spans="1:25">
      <c r="E6" s="1065"/>
      <c r="I6" s="1065"/>
      <c r="M6" s="1065"/>
      <c r="N6" s="3" t="s">
        <v>1333</v>
      </c>
      <c r="Q6" s="1065"/>
      <c r="U6" s="1065"/>
      <c r="V6" s="1075" t="s">
        <v>1334</v>
      </c>
    </row>
    <row r="7" spans="1:25" ht="10.5">
      <c r="A7" s="1055" t="s">
        <v>1335</v>
      </c>
      <c r="E7" s="1065"/>
      <c r="I7" s="1065"/>
      <c r="M7" s="1065"/>
      <c r="Q7" s="1065"/>
      <c r="U7" s="1065"/>
      <c r="V7" s="1067"/>
    </row>
    <row r="8" spans="1:25">
      <c r="E8" s="1065"/>
      <c r="I8" s="1065"/>
      <c r="M8" s="1065"/>
      <c r="Q8" s="1065"/>
      <c r="U8" s="1065"/>
      <c r="V8" s="1067"/>
    </row>
    <row r="9" spans="1:25">
      <c r="A9" t="s">
        <v>86</v>
      </c>
      <c r="B9" s="8">
        <f>+'EBIT growth'!B7</f>
        <v>24538</v>
      </c>
      <c r="C9" s="8">
        <f>+'EBIT growth'!C7</f>
        <v>28918</v>
      </c>
      <c r="D9" s="8">
        <f>+'EBIT growth'!D7</f>
        <v>26819</v>
      </c>
      <c r="E9" s="1056">
        <f>+'EBIT growth'!E7</f>
        <v>30085</v>
      </c>
      <c r="F9" s="8">
        <f>+'EBIT growth'!F7</f>
        <v>29084</v>
      </c>
      <c r="G9" s="8">
        <f>+'EBIT growth'!G7</f>
        <v>32471</v>
      </c>
      <c r="H9" s="8">
        <f>+'EBIT growth'!H7</f>
        <v>30571</v>
      </c>
      <c r="I9" s="1056">
        <f>+'EBIT growth'!I7</f>
        <v>33717</v>
      </c>
      <c r="J9" s="8">
        <f>+'EBIT growth'!J7</f>
        <v>33055</v>
      </c>
      <c r="K9" s="8">
        <f>+'EBIT growth'!K7</f>
        <v>36906</v>
      </c>
      <c r="L9" s="8">
        <f>+'EBIT growth'!L7</f>
        <v>35021</v>
      </c>
      <c r="M9" s="1056">
        <f>+'EBIT growth'!M7</f>
        <v>38033</v>
      </c>
      <c r="N9" s="8">
        <f>+'EBIT growth'!N7</f>
        <v>37154</v>
      </c>
      <c r="O9" s="8">
        <f>+'EBIT growth'!O7</f>
        <v>43076</v>
      </c>
      <c r="P9" s="8">
        <f>+'EBIT growth'!P7</f>
        <v>41706</v>
      </c>
      <c r="Q9" s="1056">
        <f>+'EBIT growth'!Q7</f>
        <v>46152</v>
      </c>
      <c r="R9" s="8">
        <f>+'EBIT growth'!R7</f>
        <v>45317</v>
      </c>
      <c r="S9" s="8">
        <f>+'EBIT growth'!S7</f>
        <v>51728</v>
      </c>
      <c r="T9" s="8">
        <f>+'EBIT growth'!T7</f>
        <v>49360</v>
      </c>
      <c r="U9" s="1056">
        <f>+'EBIT growth'!U7</f>
        <v>51865</v>
      </c>
      <c r="V9" s="1068">
        <f>+'EBIT growth'!V7</f>
        <v>50122</v>
      </c>
      <c r="W9" s="8">
        <f>+'EBIT growth'!AE7</f>
        <v>52747</v>
      </c>
      <c r="X9" s="8">
        <f>+'EBIT growth'!AF7</f>
        <v>52857</v>
      </c>
      <c r="Y9" s="8">
        <f>+'EBIT growth'!AG7</f>
        <v>56189</v>
      </c>
    </row>
    <row r="10" spans="1:25" s="3" customFormat="1">
      <c r="A10" s="13" t="s">
        <v>113</v>
      </c>
      <c r="B10" s="836"/>
      <c r="C10" s="836"/>
      <c r="D10" s="836"/>
      <c r="E10" s="1062"/>
      <c r="F10" s="836">
        <f t="shared" ref="F10:V10" si="0">IFERROR(F9/B9-1,"n/a ")</f>
        <v>0.18526367267095933</v>
      </c>
      <c r="G10" s="836">
        <f t="shared" si="0"/>
        <v>0.12286465177398154</v>
      </c>
      <c r="H10" s="836">
        <f t="shared" si="0"/>
        <v>0.13990081658525666</v>
      </c>
      <c r="I10" s="1062">
        <f t="shared" si="0"/>
        <v>0.12072461359481479</v>
      </c>
      <c r="J10" s="836">
        <f t="shared" si="0"/>
        <v>0.13653555219364599</v>
      </c>
      <c r="K10" s="836">
        <f t="shared" si="0"/>
        <v>0.13658341289150311</v>
      </c>
      <c r="L10" s="836">
        <f t="shared" si="0"/>
        <v>0.14556278826338698</v>
      </c>
      <c r="M10" s="1062">
        <f t="shared" si="0"/>
        <v>0.12800664353293589</v>
      </c>
      <c r="N10" s="836">
        <f t="shared" si="0"/>
        <v>0.12400544546967174</v>
      </c>
      <c r="O10" s="836">
        <f t="shared" si="0"/>
        <v>0.16718148810491518</v>
      </c>
      <c r="P10" s="836">
        <f t="shared" si="0"/>
        <v>0.19088546871876866</v>
      </c>
      <c r="Q10" s="1062">
        <f t="shared" si="0"/>
        <v>0.21347251071437956</v>
      </c>
      <c r="R10" s="836">
        <f t="shared" si="0"/>
        <v>0.21970716477364483</v>
      </c>
      <c r="S10" s="836">
        <f t="shared" si="0"/>
        <v>0.2008543040208004</v>
      </c>
      <c r="T10" s="836">
        <f t="shared" si="0"/>
        <v>0.18352275451973332</v>
      </c>
      <c r="U10" s="1062">
        <f t="shared" si="0"/>
        <v>0.12378661813139202</v>
      </c>
      <c r="V10" s="1069">
        <f t="shared" si="0"/>
        <v>0.1060308493501334</v>
      </c>
      <c r="W10" s="836">
        <f t="shared" ref="W10" si="1">IFERROR(W9/S9-1,"n/a ")</f>
        <v>1.9699195793380753E-2</v>
      </c>
      <c r="X10" s="836">
        <f t="shared" ref="X10" si="2">IFERROR(X9/T9-1,"n/a ")</f>
        <v>7.0846839546191198E-2</v>
      </c>
      <c r="Y10" s="836">
        <f t="shared" ref="Y10" si="3">IFERROR(Y9/U9-1,"n/a ")</f>
        <v>8.3370288248336921E-2</v>
      </c>
    </row>
    <row r="11" spans="1:25" s="3" customFormat="1" hidden="1" outlineLevel="1">
      <c r="A11" s="13" t="s">
        <v>272</v>
      </c>
      <c r="B11" s="836"/>
      <c r="C11" s="836"/>
      <c r="D11" s="836"/>
      <c r="E11" s="1062"/>
      <c r="F11" s="836">
        <f>+'EBIT growth'!F9</f>
        <v>0.18546010269785637</v>
      </c>
      <c r="G11" s="836">
        <f>+'EBIT growth'!G9</f>
        <v>0.12631371464139982</v>
      </c>
      <c r="H11" s="836">
        <f>+'EBIT growth'!H9</f>
        <v>0.16</v>
      </c>
      <c r="I11" s="1062">
        <f>+'EBIT growth'!I9</f>
        <v>0.14324347681568889</v>
      </c>
      <c r="J11" s="836">
        <f>+'EBIT growth'!J9</f>
        <v>0.15429033145372026</v>
      </c>
      <c r="K11" s="836">
        <f>+'EBIT growth'!K9</f>
        <v>0.15197037356410337</v>
      </c>
      <c r="L11" s="836">
        <f>+'EBIT growth'!L9</f>
        <v>0.15910928657878379</v>
      </c>
      <c r="M11" s="1062">
        <f>+'EBIT growth'!M9</f>
        <v>0.14502413322656227</v>
      </c>
      <c r="N11" s="836">
        <f>+'EBIT growth'!N9</f>
        <v>0.12050704885796401</v>
      </c>
      <c r="O11" s="836">
        <f>+'EBIT growth'!O9</f>
        <v>0.15363536010404813</v>
      </c>
      <c r="P11" s="836">
        <f>+'EBIT growth'!P9</f>
        <v>0.16171448844978725</v>
      </c>
      <c r="Q11" s="1062">
        <f>+'EBIT growth'!Q9</f>
        <v>0.17445905660873451</v>
      </c>
      <c r="R11" s="836">
        <f>+'EBIT growth'!R9</f>
        <v>0.20385421219787908</v>
      </c>
      <c r="S11" s="836">
        <f>+'EBIT growth'!S9</f>
        <v>0.20078497539232981</v>
      </c>
      <c r="T11" s="836">
        <f>+'EBIT growth'!T9</f>
        <v>0.20149706517047911</v>
      </c>
      <c r="U11" s="1062">
        <f>+'EBIT growth'!U9</f>
        <v>0.16459280637892182</v>
      </c>
      <c r="V11" s="1069">
        <f>+'EBIT growth'!V9</f>
        <v>0.15702183948628548</v>
      </c>
      <c r="W11" s="836">
        <f>+'EBIT growth'!AE9</f>
        <v>7.2159387565728428E-2</v>
      </c>
      <c r="X11" s="836">
        <f>+'EBIT growth'!AF9</f>
        <v>0.10162370340356562</v>
      </c>
      <c r="Y11" s="836">
        <f>+'EBIT growth'!AG9</f>
        <v>9.8637809698255086E-2</v>
      </c>
    </row>
    <row r="12" spans="1:25" collapsed="1">
      <c r="E12" s="1065"/>
      <c r="I12" s="1065"/>
      <c r="M12" s="1065"/>
      <c r="Q12" s="1065"/>
      <c r="U12" s="1065"/>
      <c r="V12" s="1067"/>
    </row>
    <row r="13" spans="1:25">
      <c r="A13" t="s">
        <v>1336</v>
      </c>
      <c r="B13" s="8">
        <f>+'Historical Financials'!L22</f>
        <v>16260</v>
      </c>
      <c r="C13" s="8">
        <f>+'Historical Financials'!M22</f>
        <v>17854</v>
      </c>
      <c r="D13" s="8">
        <f>+'Historical Financials'!N22</f>
        <v>17550</v>
      </c>
      <c r="E13" s="1056">
        <f>+'Historical Financials'!O22</f>
        <v>20343</v>
      </c>
      <c r="F13" s="8">
        <f>+'Historical Financials'!P22</f>
        <v>19179</v>
      </c>
      <c r="G13" s="8">
        <f>+'Historical Financials'!Q22</f>
        <v>20048</v>
      </c>
      <c r="H13" s="8">
        <f>+'Historical Financials'!R22</f>
        <v>20401</v>
      </c>
      <c r="I13" s="1056">
        <f>+'Historical Financials'!S22</f>
        <v>23305</v>
      </c>
      <c r="J13" s="8">
        <f>+'Historical Financials'!T22</f>
        <v>22649</v>
      </c>
      <c r="K13" s="8">
        <f>+'Historical Financials'!U22</f>
        <v>24548</v>
      </c>
      <c r="L13" s="8">
        <f>+'Historical Financials'!V22</f>
        <v>24046</v>
      </c>
      <c r="M13" s="1056">
        <f>+'Historical Financials'!W22</f>
        <v>25694</v>
      </c>
      <c r="N13" s="8">
        <f>+'Historical Financials'!X22</f>
        <v>26152</v>
      </c>
      <c r="O13" s="8">
        <f>+'Historical Financials'!Y22</f>
        <v>28882</v>
      </c>
      <c r="P13" s="8">
        <f>+'Historical Financials'!Z22</f>
        <v>28661</v>
      </c>
      <c r="Q13" s="1056">
        <f>+'Historical Financials'!AA22</f>
        <v>32161</v>
      </c>
      <c r="R13" s="8">
        <f>+'Historical Financials'!AB22</f>
        <v>31671</v>
      </c>
      <c r="S13" s="8">
        <f>+'Historical Financials'!AC22</f>
        <v>34768</v>
      </c>
      <c r="T13" s="8">
        <f>+'Historical Financials'!AD22</f>
        <v>33745</v>
      </c>
      <c r="U13" s="1056">
        <f>+'Historical Financials'!AE22</f>
        <v>35436</v>
      </c>
      <c r="V13" s="1068">
        <f>+'Historical Financials'!AF22</f>
        <v>34670</v>
      </c>
      <c r="W13" s="8">
        <f>+'Historical Financials'!AG22</f>
        <v>35259</v>
      </c>
      <c r="X13" s="8">
        <f>+'Historical Financials'!AH22</f>
        <v>36729</v>
      </c>
      <c r="Y13" s="8">
        <f>+'Historical Financials'!AI22</f>
        <v>39394</v>
      </c>
    </row>
    <row r="14" spans="1:25" s="3" customFormat="1">
      <c r="A14" s="13" t="s">
        <v>113</v>
      </c>
      <c r="B14" s="836"/>
      <c r="C14" s="836"/>
      <c r="D14" s="836"/>
      <c r="E14" s="1062"/>
      <c r="F14" s="836">
        <f t="shared" ref="F14" si="4">IFERROR(F13/B13-1,"n/a ")</f>
        <v>0.17952029520295198</v>
      </c>
      <c r="G14" s="836">
        <f t="shared" ref="G14" si="5">IFERROR(G13/C13-1,"n/a ")</f>
        <v>0.12288562787050528</v>
      </c>
      <c r="H14" s="836">
        <f t="shared" ref="H14" si="6">IFERROR(H13/D13-1,"n/a ")</f>
        <v>0.16245014245014255</v>
      </c>
      <c r="I14" s="1062">
        <f t="shared" ref="I14" si="7">IFERROR(I13/E13-1,"n/a ")</f>
        <v>0.14560291009192361</v>
      </c>
      <c r="J14" s="836">
        <f t="shared" ref="J14" si="8">IFERROR(J13/F13-1,"n/a ")</f>
        <v>0.1809270556337661</v>
      </c>
      <c r="K14" s="836">
        <f t="shared" ref="K14" si="9">IFERROR(K13/G13-1,"n/a ")</f>
        <v>0.22446129289704708</v>
      </c>
      <c r="L14" s="836">
        <f t="shared" ref="L14" si="10">IFERROR(L13/H13-1,"n/a ")</f>
        <v>0.17866771236704082</v>
      </c>
      <c r="M14" s="1062">
        <f t="shared" ref="M14" si="11">IFERROR(M13/I13-1,"n/a ")</f>
        <v>0.10251019094614899</v>
      </c>
      <c r="N14" s="836">
        <f t="shared" ref="N14" si="12">IFERROR(N13/J13-1,"n/a ")</f>
        <v>0.15466466510662724</v>
      </c>
      <c r="O14" s="836">
        <f t="shared" ref="O14" si="13">IFERROR(O13/K13-1,"n/a ")</f>
        <v>0.17655206126772049</v>
      </c>
      <c r="P14" s="836">
        <f t="shared" ref="P14" si="14">IFERROR(P13/L13-1,"n/a ")</f>
        <v>0.19192381269233971</v>
      </c>
      <c r="Q14" s="1062">
        <f t="shared" ref="Q14" si="15">IFERROR(Q13/M13-1,"n/a ")</f>
        <v>0.25169300225733626</v>
      </c>
      <c r="R14" s="836">
        <f t="shared" ref="R14" si="16">IFERROR(R13/N13-1,"n/a ")</f>
        <v>0.2110354848577547</v>
      </c>
      <c r="S14" s="836">
        <f t="shared" ref="S14" si="17">IFERROR(S13/O13-1,"n/a ")</f>
        <v>0.20379475105602096</v>
      </c>
      <c r="T14" s="836">
        <f t="shared" ref="T14" si="18">IFERROR(T13/P13-1,"n/a ")</f>
        <v>0.17738390146889493</v>
      </c>
      <c r="U14" s="1062">
        <f t="shared" ref="U14" si="19">IFERROR(U13/Q13-1,"n/a ")</f>
        <v>0.10183141071484103</v>
      </c>
      <c r="V14" s="1069">
        <f t="shared" ref="V14" si="20">IFERROR(V13/R13-1,"n/a ")</f>
        <v>9.4692305263490262E-2</v>
      </c>
      <c r="W14" s="836">
        <f t="shared" ref="W14" si="21">IFERROR(W13/S13-1,"n/a ")</f>
        <v>1.4122181316152727E-2</v>
      </c>
      <c r="X14" s="836">
        <f t="shared" ref="X14" si="22">IFERROR(X13/T13-1,"n/a ")</f>
        <v>8.8427915246703126E-2</v>
      </c>
      <c r="Y14" s="836">
        <f t="shared" ref="Y14" si="23">IFERROR(Y13/U13-1,"n/a ")</f>
        <v>0.11169432215825714</v>
      </c>
    </row>
    <row r="15" spans="1:25" s="3" customFormat="1">
      <c r="A15" s="13" t="s">
        <v>123</v>
      </c>
      <c r="B15" s="836">
        <f>+B13/B9</f>
        <v>0.66264569239546822</v>
      </c>
      <c r="C15" s="836">
        <f t="shared" ref="C15:V15" si="24">+C13/C9</f>
        <v>0.6174009267584204</v>
      </c>
      <c r="D15" s="836">
        <f t="shared" si="24"/>
        <v>0.65438681531749876</v>
      </c>
      <c r="E15" s="1062">
        <f t="shared" si="24"/>
        <v>0.67618414492271894</v>
      </c>
      <c r="F15" s="836">
        <f t="shared" si="24"/>
        <v>0.65943474075092834</v>
      </c>
      <c r="G15" s="836">
        <f t="shared" si="24"/>
        <v>0.61741246034923469</v>
      </c>
      <c r="H15" s="836">
        <f t="shared" si="24"/>
        <v>0.66733178502502366</v>
      </c>
      <c r="I15" s="1062">
        <f t="shared" si="24"/>
        <v>0.69119435299700449</v>
      </c>
      <c r="J15" s="836">
        <f t="shared" si="24"/>
        <v>0.6851913477537438</v>
      </c>
      <c r="K15" s="836">
        <f t="shared" si="24"/>
        <v>0.66514929821709212</v>
      </c>
      <c r="L15" s="836">
        <f t="shared" si="24"/>
        <v>0.68661660146769077</v>
      </c>
      <c r="M15" s="1062">
        <f t="shared" si="24"/>
        <v>0.67557121447164303</v>
      </c>
      <c r="N15" s="836">
        <f t="shared" si="24"/>
        <v>0.70388114334930285</v>
      </c>
      <c r="O15" s="836">
        <f t="shared" si="24"/>
        <v>0.67048936762930633</v>
      </c>
      <c r="P15" s="836">
        <f t="shared" si="24"/>
        <v>0.68721526878626582</v>
      </c>
      <c r="Q15" s="1062">
        <f t="shared" si="24"/>
        <v>0.69684954064829263</v>
      </c>
      <c r="R15" s="836">
        <f t="shared" si="24"/>
        <v>0.6988768012004325</v>
      </c>
      <c r="S15" s="836">
        <f t="shared" si="24"/>
        <v>0.67213114754098358</v>
      </c>
      <c r="T15" s="836">
        <f t="shared" si="24"/>
        <v>0.68365072933549431</v>
      </c>
      <c r="U15" s="1062">
        <f t="shared" si="24"/>
        <v>0.68323532247180174</v>
      </c>
      <c r="V15" s="1069">
        <f t="shared" si="24"/>
        <v>0.69171222217788597</v>
      </c>
      <c r="W15" s="836">
        <f t="shared" ref="W15:Y15" si="25">+W13/W9</f>
        <v>0.66845507801391546</v>
      </c>
      <c r="X15" s="836">
        <f t="shared" si="25"/>
        <v>0.69487485101311086</v>
      </c>
      <c r="Y15" s="836">
        <f t="shared" si="25"/>
        <v>0.70109807969531401</v>
      </c>
    </row>
    <row r="16" spans="1:25">
      <c r="E16" s="1065"/>
      <c r="I16" s="1065"/>
      <c r="M16" s="1065"/>
      <c r="Q16" s="1065"/>
      <c r="U16" s="1065"/>
      <c r="V16" s="1067"/>
    </row>
    <row r="17" spans="1:27" ht="10.5">
      <c r="A17" s="45" t="s">
        <v>820</v>
      </c>
      <c r="E17" s="1065"/>
      <c r="I17" s="1065"/>
      <c r="M17" s="1065"/>
      <c r="Q17" s="1065"/>
      <c r="U17" s="1065"/>
      <c r="V17" s="1067"/>
    </row>
    <row r="18" spans="1:27">
      <c r="A18" t="s">
        <v>1337</v>
      </c>
      <c r="B18" s="8">
        <f>+B13-B20-B19</f>
        <v>6053</v>
      </c>
      <c r="C18" s="8">
        <f t="shared" ref="C18:V18" si="26">+C13-C20-C19</f>
        <v>6639</v>
      </c>
      <c r="D18" s="8">
        <f t="shared" si="26"/>
        <v>6548</v>
      </c>
      <c r="E18" s="1056">
        <f t="shared" si="26"/>
        <v>7448</v>
      </c>
      <c r="F18" s="8">
        <f t="shared" si="26"/>
        <v>6387</v>
      </c>
      <c r="G18" s="8">
        <f t="shared" si="26"/>
        <v>6795</v>
      </c>
      <c r="H18" s="8">
        <f t="shared" si="26"/>
        <v>7134</v>
      </c>
      <c r="I18" s="1056">
        <f t="shared" si="26"/>
        <v>7976</v>
      </c>
      <c r="J18" s="8">
        <f t="shared" si="26"/>
        <v>6992</v>
      </c>
      <c r="K18" s="8">
        <f t="shared" si="26"/>
        <v>7454</v>
      </c>
      <c r="L18" s="8">
        <f t="shared" si="26"/>
        <v>7953</v>
      </c>
      <c r="M18" s="1056">
        <f t="shared" si="26"/>
        <v>8783</v>
      </c>
      <c r="N18" s="8">
        <f t="shared" si="26"/>
        <v>7631</v>
      </c>
      <c r="O18" s="8">
        <f t="shared" si="26"/>
        <v>8224</v>
      </c>
      <c r="P18" s="8">
        <f t="shared" si="26"/>
        <v>8677</v>
      </c>
      <c r="Q18" s="1056">
        <f t="shared" si="26"/>
        <v>9722</v>
      </c>
      <c r="R18" s="8">
        <f t="shared" si="26"/>
        <v>8221</v>
      </c>
      <c r="S18" s="8">
        <f t="shared" si="26"/>
        <v>9025</v>
      </c>
      <c r="T18" s="8">
        <f t="shared" si="26"/>
        <v>9608</v>
      </c>
      <c r="U18" s="1056">
        <f t="shared" si="26"/>
        <v>10923</v>
      </c>
      <c r="V18" s="1068">
        <f t="shared" si="26"/>
        <v>10362</v>
      </c>
      <c r="W18" s="8">
        <f t="shared" ref="W18" si="27">+W13-W20-W19</f>
        <v>10041</v>
      </c>
      <c r="X18" s="8">
        <f t="shared" ref="X18" si="28">+X13-X20-X19</f>
        <v>10828</v>
      </c>
      <c r="Y18" s="8">
        <f t="shared" ref="Y18" si="29">+Y13-Y20-Y19</f>
        <v>11266</v>
      </c>
    </row>
    <row r="19" spans="1:27" s="953" customFormat="1" ht="11.45">
      <c r="A19" t="s">
        <v>187</v>
      </c>
      <c r="B19" s="10">
        <f>+'Historical Financials'!L88</f>
        <v>2499</v>
      </c>
      <c r="C19" s="10">
        <f>+'Historical Financials'!M88</f>
        <v>2536</v>
      </c>
      <c r="D19" s="10">
        <f>+'Historical Financials'!N88</f>
        <v>2710</v>
      </c>
      <c r="E19" s="1058">
        <f>+'Historical Financials'!O88</f>
        <v>2516</v>
      </c>
      <c r="F19" s="10">
        <f>+'Historical Financials'!P88</f>
        <v>2837</v>
      </c>
      <c r="G19" s="10">
        <f>+'Historical Financials'!Q88</f>
        <v>2995</v>
      </c>
      <c r="H19" s="10">
        <f>+'Historical Financials'!R88</f>
        <v>2926</v>
      </c>
      <c r="I19" s="1058">
        <f>+'Historical Financials'!S88</f>
        <v>2924</v>
      </c>
      <c r="J19" s="10">
        <f>+'Historical Financials'!T88</f>
        <v>2971</v>
      </c>
      <c r="K19" s="10">
        <f>+'Historical Financials'!U88</f>
        <v>3203</v>
      </c>
      <c r="L19" s="10">
        <f>+'Historical Financials'!V88</f>
        <v>3118</v>
      </c>
      <c r="M19" s="1058">
        <f>+'Historical Financials'!W88</f>
        <v>3504</v>
      </c>
      <c r="N19" s="10">
        <f>+'Historical Financials'!X88</f>
        <v>2645</v>
      </c>
      <c r="O19" s="10">
        <f>+'Historical Financials'!Y88</f>
        <v>2761</v>
      </c>
      <c r="P19" s="10">
        <f>+'Historical Financials'!Z88</f>
        <v>2936</v>
      </c>
      <c r="Q19" s="1058">
        <f>+'Historical Financials'!AA88</f>
        <v>3344</v>
      </c>
      <c r="R19" s="10">
        <f>+'Historical Financials'!AB88</f>
        <v>3212</v>
      </c>
      <c r="S19" s="10">
        <f>+'Historical Financials'!AC88</f>
        <v>3496</v>
      </c>
      <c r="T19" s="10">
        <f>+'Historical Financials'!AD88</f>
        <v>3773</v>
      </c>
      <c r="U19" s="1058">
        <f>+'Historical Financials'!AE88</f>
        <v>3979</v>
      </c>
      <c r="V19" s="1070">
        <f>+'Historical Financials'!AF88</f>
        <v>2790</v>
      </c>
      <c r="W19" s="10">
        <f>+'Historical Financials'!AG88</f>
        <v>3648</v>
      </c>
      <c r="X19" s="10">
        <f>+'Historical Financials'!AH88</f>
        <v>3549</v>
      </c>
      <c r="Y19" s="10">
        <f>+'Historical Financials'!AI88</f>
        <v>3874</v>
      </c>
    </row>
    <row r="20" spans="1:27" s="1" customFormat="1" ht="10.5">
      <c r="A20" s="837" t="s">
        <v>820</v>
      </c>
      <c r="B20" s="838">
        <f>+'EBIT growth'!B11</f>
        <v>7708</v>
      </c>
      <c r="C20" s="838">
        <f>+'EBIT growth'!C11</f>
        <v>8679</v>
      </c>
      <c r="D20" s="838">
        <f>+'EBIT growth'!D11</f>
        <v>8292</v>
      </c>
      <c r="E20" s="1057">
        <f>+'EBIT growth'!E11</f>
        <v>10379</v>
      </c>
      <c r="F20" s="838">
        <f>+'EBIT growth'!F11</f>
        <v>9955</v>
      </c>
      <c r="G20" s="838">
        <f>+'EBIT growth'!G11</f>
        <v>10258</v>
      </c>
      <c r="H20" s="838">
        <f>+'EBIT growth'!H11</f>
        <v>10341</v>
      </c>
      <c r="I20" s="1057">
        <f>+'EBIT growth'!I11</f>
        <v>12405</v>
      </c>
      <c r="J20" s="838">
        <f>+'EBIT growth'!J11</f>
        <v>12686</v>
      </c>
      <c r="K20" s="838">
        <f>+'EBIT growth'!K11</f>
        <v>13891</v>
      </c>
      <c r="L20" s="838">
        <f>+'EBIT growth'!L11</f>
        <v>12975</v>
      </c>
      <c r="M20" s="1057">
        <f>+'EBIT growth'!M11</f>
        <v>13407</v>
      </c>
      <c r="N20" s="838">
        <f>+'EBIT growth'!N11</f>
        <v>15876</v>
      </c>
      <c r="O20" s="838">
        <f>+'EBIT growth'!O11</f>
        <v>17897</v>
      </c>
      <c r="P20" s="838">
        <f>+'EBIT growth'!P11</f>
        <v>17048</v>
      </c>
      <c r="Q20" s="1057">
        <f>+'EBIT growth'!Q11</f>
        <v>19095</v>
      </c>
      <c r="R20" s="838">
        <f>+'EBIT growth'!R11</f>
        <v>20238</v>
      </c>
      <c r="S20" s="838">
        <f>+'EBIT growth'!S11</f>
        <v>22247</v>
      </c>
      <c r="T20" s="838">
        <f>+'EBIT growth'!T11</f>
        <v>20364</v>
      </c>
      <c r="U20" s="1057">
        <f>+'EBIT growth'!U11</f>
        <v>20534</v>
      </c>
      <c r="V20" s="1071">
        <f>+'EBIT growth'!V11</f>
        <v>21518</v>
      </c>
      <c r="W20" s="838">
        <f>+'EBIT growth'!AE11</f>
        <v>21570</v>
      </c>
      <c r="X20" s="838">
        <f>+'EBIT growth'!AF11</f>
        <v>22352</v>
      </c>
      <c r="Y20" s="838">
        <f>+'EBIT growth'!AG11</f>
        <v>24254</v>
      </c>
    </row>
    <row r="21" spans="1:27" s="7" customFormat="1">
      <c r="A21" s="841" t="s">
        <v>113</v>
      </c>
      <c r="B21" s="1060"/>
      <c r="C21" s="1060"/>
      <c r="D21" s="1060"/>
      <c r="E21" s="1061"/>
      <c r="F21" s="1060">
        <f t="shared" ref="F21:V21" si="30">IFERROR(F20/B20-1,"n/a ")</f>
        <v>0.29151530877010901</v>
      </c>
      <c r="G21" s="1060">
        <f t="shared" si="30"/>
        <v>0.18193340246572176</v>
      </c>
      <c r="H21" s="1060">
        <f t="shared" si="30"/>
        <v>0.2471056439942112</v>
      </c>
      <c r="I21" s="1061">
        <f t="shared" si="30"/>
        <v>0.19520184988919942</v>
      </c>
      <c r="J21" s="1060">
        <f t="shared" si="30"/>
        <v>0.27433450527373182</v>
      </c>
      <c r="K21" s="1060">
        <f t="shared" si="30"/>
        <v>0.3541626047962565</v>
      </c>
      <c r="L21" s="1060">
        <f t="shared" si="30"/>
        <v>0.25471424427038003</v>
      </c>
      <c r="M21" s="1061">
        <f t="shared" si="30"/>
        <v>8.0773881499395461E-2</v>
      </c>
      <c r="N21" s="1060">
        <f t="shared" si="30"/>
        <v>0.25145830048872764</v>
      </c>
      <c r="O21" s="1060">
        <f t="shared" si="30"/>
        <v>0.28838816499892017</v>
      </c>
      <c r="P21" s="1060">
        <f t="shared" si="30"/>
        <v>0.31391136801541419</v>
      </c>
      <c r="Q21" s="1061">
        <f t="shared" si="30"/>
        <v>0.42425598567912282</v>
      </c>
      <c r="R21" s="1060">
        <f t="shared" si="30"/>
        <v>0.27475434618291761</v>
      </c>
      <c r="S21" s="1060">
        <f t="shared" si="30"/>
        <v>0.24305749566966539</v>
      </c>
      <c r="T21" s="1060">
        <f t="shared" si="30"/>
        <v>0.19450961989676219</v>
      </c>
      <c r="U21" s="1061">
        <f t="shared" si="30"/>
        <v>7.5360041895784269E-2</v>
      </c>
      <c r="V21" s="1072">
        <f t="shared" si="30"/>
        <v>6.3247356458147941E-2</v>
      </c>
      <c r="W21" s="1060">
        <f t="shared" ref="W21" si="31">IFERROR(W20/S20-1,"n/a ")</f>
        <v>-3.0431069357666152E-2</v>
      </c>
      <c r="X21" s="1060">
        <f t="shared" ref="X21" si="32">IFERROR(X20/T20-1,"n/a ")</f>
        <v>9.7623256727558338E-2</v>
      </c>
      <c r="Y21" s="1060">
        <f t="shared" ref="Y21" si="33">IFERROR(Y20/U20-1,"n/a ")</f>
        <v>0.18116294925489429</v>
      </c>
      <c r="AA21" s="7" t="s">
        <v>821</v>
      </c>
    </row>
    <row r="22" spans="1:27" s="7" customFormat="1">
      <c r="A22" s="841" t="s">
        <v>123</v>
      </c>
      <c r="B22" s="1060">
        <f>+B20/B9</f>
        <v>0.3141250305648382</v>
      </c>
      <c r="C22" s="1060">
        <f t="shared" ref="C22:V22" si="34">+C20/C9</f>
        <v>0.30012448993706342</v>
      </c>
      <c r="D22" s="1060">
        <f t="shared" si="34"/>
        <v>0.30918378761325926</v>
      </c>
      <c r="E22" s="1061">
        <f t="shared" si="34"/>
        <v>0.3449891972743892</v>
      </c>
      <c r="F22" s="1060">
        <f t="shared" si="34"/>
        <v>0.34228441754916794</v>
      </c>
      <c r="G22" s="1060">
        <f t="shared" si="34"/>
        <v>0.3159126605278556</v>
      </c>
      <c r="H22" s="1060">
        <f t="shared" si="34"/>
        <v>0.3382617513329626</v>
      </c>
      <c r="I22" s="1061">
        <f t="shared" si="34"/>
        <v>0.3679152949550672</v>
      </c>
      <c r="J22" s="1060">
        <f t="shared" si="34"/>
        <v>0.38378460142187265</v>
      </c>
      <c r="K22" s="1060">
        <f t="shared" si="34"/>
        <v>0.37638866309001245</v>
      </c>
      <c r="L22" s="1060">
        <f t="shared" si="34"/>
        <v>0.37049199051997372</v>
      </c>
      <c r="M22" s="1061">
        <f t="shared" si="34"/>
        <v>0.35250966266137301</v>
      </c>
      <c r="N22" s="1060">
        <f t="shared" si="34"/>
        <v>0.42730257845723207</v>
      </c>
      <c r="O22" s="1060">
        <f t="shared" si="34"/>
        <v>0.41547497446373849</v>
      </c>
      <c r="P22" s="1060">
        <f t="shared" si="34"/>
        <v>0.40876612477820939</v>
      </c>
      <c r="Q22" s="1061">
        <f t="shared" si="34"/>
        <v>0.41374154966198645</v>
      </c>
      <c r="R22" s="1060">
        <f t="shared" si="34"/>
        <v>0.44658737339188381</v>
      </c>
      <c r="S22" s="1060">
        <f t="shared" si="34"/>
        <v>0.43007655428394681</v>
      </c>
      <c r="T22" s="1060">
        <f t="shared" si="34"/>
        <v>0.41256077795786061</v>
      </c>
      <c r="U22" s="1061">
        <f t="shared" si="34"/>
        <v>0.3959124650535043</v>
      </c>
      <c r="V22" s="1072">
        <f t="shared" si="34"/>
        <v>0.42931247755476637</v>
      </c>
      <c r="W22" s="1060">
        <f t="shared" ref="W22:Y22" si="35">+W20/W9</f>
        <v>0.4089332094716287</v>
      </c>
      <c r="X22" s="1060">
        <f t="shared" si="35"/>
        <v>0.42287681858599618</v>
      </c>
      <c r="Y22" s="1060">
        <f t="shared" si="35"/>
        <v>0.4316503230169606</v>
      </c>
      <c r="AA22" s="7" t="s">
        <v>822</v>
      </c>
    </row>
    <row r="23" spans="1:27" s="3" customFormat="1">
      <c r="A23" s="13"/>
      <c r="B23" s="228"/>
      <c r="C23" s="228"/>
      <c r="D23" s="228"/>
      <c r="E23" s="236"/>
      <c r="F23" s="228"/>
      <c r="G23" s="228"/>
      <c r="H23" s="228"/>
      <c r="I23" s="236"/>
      <c r="J23" s="228"/>
      <c r="K23" s="228"/>
      <c r="L23" s="228"/>
      <c r="M23" s="236"/>
      <c r="N23" s="228"/>
      <c r="O23" s="228"/>
      <c r="P23" s="228"/>
      <c r="Q23" s="236"/>
      <c r="R23" s="228"/>
      <c r="S23" s="228"/>
      <c r="T23" s="228"/>
      <c r="U23" s="236"/>
      <c r="V23" s="1073"/>
      <c r="W23" s="228"/>
      <c r="X23" s="228"/>
      <c r="Y23" s="228"/>
    </row>
    <row r="24" spans="1:27" s="3" customFormat="1" hidden="1" outlineLevel="1">
      <c r="A24" s="13" t="s">
        <v>1338</v>
      </c>
      <c r="B24" s="836">
        <f>+B19/B9</f>
        <v>0.10184204091613008</v>
      </c>
      <c r="C24" s="836">
        <f t="shared" ref="C24:V24" si="36">+C19/C9</f>
        <v>8.7696244553565256E-2</v>
      </c>
      <c r="D24" s="836">
        <f t="shared" si="36"/>
        <v>0.10104776464446848</v>
      </c>
      <c r="E24" s="1062">
        <f t="shared" si="36"/>
        <v>8.3629715805218552E-2</v>
      </c>
      <c r="F24" s="836">
        <f t="shared" si="36"/>
        <v>9.7545041947462524E-2</v>
      </c>
      <c r="G24" s="836">
        <f t="shared" si="36"/>
        <v>9.223614917926766E-2</v>
      </c>
      <c r="H24" s="836">
        <f t="shared" si="36"/>
        <v>9.5711622125543822E-2</v>
      </c>
      <c r="I24" s="1062">
        <f t="shared" si="36"/>
        <v>8.672183171693805E-2</v>
      </c>
      <c r="J24" s="836">
        <f t="shared" si="36"/>
        <v>8.9880502193314171E-2</v>
      </c>
      <c r="K24" s="836">
        <f t="shared" si="36"/>
        <v>8.678805614263263E-2</v>
      </c>
      <c r="L24" s="836">
        <f t="shared" si="36"/>
        <v>8.903229490876903E-2</v>
      </c>
      <c r="M24" s="1062">
        <f t="shared" si="36"/>
        <v>9.2130518234165071E-2</v>
      </c>
      <c r="N24" s="836">
        <f t="shared" si="36"/>
        <v>7.1190181407116332E-2</v>
      </c>
      <c r="O24" s="836">
        <f t="shared" si="36"/>
        <v>6.4096016343207357E-2</v>
      </c>
      <c r="P24" s="836">
        <f t="shared" si="36"/>
        <v>7.0397544717786406E-2</v>
      </c>
      <c r="Q24" s="1062">
        <f t="shared" si="36"/>
        <v>7.2456231582596634E-2</v>
      </c>
      <c r="R24" s="836">
        <f t="shared" si="36"/>
        <v>7.0878478275260934E-2</v>
      </c>
      <c r="S24" s="836">
        <f t="shared" si="36"/>
        <v>6.758428703990102E-2</v>
      </c>
      <c r="T24" s="836">
        <f t="shared" si="36"/>
        <v>7.6438411669367906E-2</v>
      </c>
      <c r="U24" s="1062">
        <f t="shared" si="36"/>
        <v>7.6718403547671843E-2</v>
      </c>
      <c r="V24" s="1069">
        <f t="shared" si="36"/>
        <v>5.5664179402258492E-2</v>
      </c>
      <c r="W24" s="836"/>
      <c r="X24" s="836"/>
      <c r="Y24" s="836"/>
    </row>
    <row r="25" spans="1:27" s="3" customFormat="1" hidden="1" outlineLevel="1">
      <c r="A25" s="13"/>
      <c r="B25" s="228"/>
      <c r="C25" s="228"/>
      <c r="D25" s="228"/>
      <c r="E25" s="236"/>
      <c r="F25" s="228"/>
      <c r="G25" s="228"/>
      <c r="H25" s="228"/>
      <c r="I25" s="236"/>
      <c r="J25" s="228"/>
      <c r="K25" s="228"/>
      <c r="L25" s="228"/>
      <c r="M25" s="1056"/>
      <c r="N25" s="228"/>
      <c r="O25" s="228"/>
      <c r="P25" s="228"/>
      <c r="Q25" s="1056"/>
      <c r="R25" s="228"/>
      <c r="S25" s="228"/>
      <c r="T25" s="228"/>
      <c r="U25" s="236"/>
      <c r="V25" s="1073"/>
      <c r="W25" s="228"/>
      <c r="X25" s="228"/>
      <c r="Y25" s="228"/>
    </row>
    <row r="26" spans="1:27" ht="10.5" collapsed="1">
      <c r="A26" s="45" t="s">
        <v>1339</v>
      </c>
      <c r="E26" s="1065"/>
      <c r="I26" s="1065"/>
      <c r="M26" s="1065"/>
      <c r="Q26" s="1065"/>
      <c r="U26" s="1065"/>
      <c r="V26" s="1067"/>
    </row>
    <row r="27" spans="1:27">
      <c r="A27" t="s">
        <v>1337</v>
      </c>
      <c r="B27" s="8">
        <f>+B18</f>
        <v>6053</v>
      </c>
      <c r="C27" s="8">
        <f t="shared" ref="C27:V27" si="37">+C18</f>
        <v>6639</v>
      </c>
      <c r="D27" s="8">
        <f t="shared" si="37"/>
        <v>6548</v>
      </c>
      <c r="E27" s="1056">
        <f t="shared" si="37"/>
        <v>7448</v>
      </c>
      <c r="F27" s="8">
        <f t="shared" si="37"/>
        <v>6387</v>
      </c>
      <c r="G27" s="8">
        <f t="shared" si="37"/>
        <v>6795</v>
      </c>
      <c r="H27" s="8">
        <f t="shared" si="37"/>
        <v>7134</v>
      </c>
      <c r="I27" s="1056">
        <f t="shared" si="37"/>
        <v>7976</v>
      </c>
      <c r="J27" s="8">
        <f t="shared" si="37"/>
        <v>6992</v>
      </c>
      <c r="K27" s="8">
        <f t="shared" si="37"/>
        <v>7454</v>
      </c>
      <c r="L27" s="8">
        <f t="shared" si="37"/>
        <v>7953</v>
      </c>
      <c r="M27" s="1056">
        <f t="shared" si="37"/>
        <v>8783</v>
      </c>
      <c r="N27" s="8">
        <f t="shared" si="37"/>
        <v>7631</v>
      </c>
      <c r="O27" s="8">
        <f t="shared" si="37"/>
        <v>8224</v>
      </c>
      <c r="P27" s="8">
        <f t="shared" si="37"/>
        <v>8677</v>
      </c>
      <c r="Q27" s="1056">
        <f t="shared" si="37"/>
        <v>9722</v>
      </c>
      <c r="R27" s="8">
        <f t="shared" si="37"/>
        <v>8221</v>
      </c>
      <c r="S27" s="8">
        <f t="shared" si="37"/>
        <v>9025</v>
      </c>
      <c r="T27" s="8">
        <f t="shared" si="37"/>
        <v>9608</v>
      </c>
      <c r="U27" s="1056">
        <f t="shared" si="37"/>
        <v>10923</v>
      </c>
      <c r="V27" s="1068">
        <f t="shared" si="37"/>
        <v>10362</v>
      </c>
      <c r="W27" s="8">
        <f t="shared" ref="W27:Y27" si="38">+W18</f>
        <v>10041</v>
      </c>
      <c r="X27" s="8">
        <f t="shared" si="38"/>
        <v>10828</v>
      </c>
      <c r="Y27" s="8">
        <f t="shared" si="38"/>
        <v>11266</v>
      </c>
    </row>
    <row r="28" spans="1:27">
      <c r="A28" t="s">
        <v>187</v>
      </c>
      <c r="B28" s="8">
        <f t="shared" ref="B28:V28" si="39">+B19</f>
        <v>2499</v>
      </c>
      <c r="C28" s="8">
        <f t="shared" si="39"/>
        <v>2536</v>
      </c>
      <c r="D28" s="8">
        <f t="shared" si="39"/>
        <v>2710</v>
      </c>
      <c r="E28" s="1056">
        <f t="shared" si="39"/>
        <v>2516</v>
      </c>
      <c r="F28" s="8">
        <f t="shared" si="39"/>
        <v>2837</v>
      </c>
      <c r="G28" s="8">
        <f t="shared" si="39"/>
        <v>2995</v>
      </c>
      <c r="H28" s="8">
        <f t="shared" si="39"/>
        <v>2926</v>
      </c>
      <c r="I28" s="1056">
        <f t="shared" si="39"/>
        <v>2924</v>
      </c>
      <c r="J28" s="8">
        <f t="shared" si="39"/>
        <v>2971</v>
      </c>
      <c r="K28" s="8">
        <f t="shared" si="39"/>
        <v>3203</v>
      </c>
      <c r="L28" s="8">
        <f t="shared" si="39"/>
        <v>3118</v>
      </c>
      <c r="M28" s="1056">
        <f t="shared" si="39"/>
        <v>3504</v>
      </c>
      <c r="N28" s="8">
        <f t="shared" si="39"/>
        <v>2645</v>
      </c>
      <c r="O28" s="8">
        <f t="shared" si="39"/>
        <v>2761</v>
      </c>
      <c r="P28" s="8">
        <f t="shared" si="39"/>
        <v>2936</v>
      </c>
      <c r="Q28" s="1056">
        <f t="shared" si="39"/>
        <v>3344</v>
      </c>
      <c r="R28" s="8">
        <f t="shared" si="39"/>
        <v>3212</v>
      </c>
      <c r="S28" s="8">
        <f t="shared" si="39"/>
        <v>3496</v>
      </c>
      <c r="T28" s="8">
        <f t="shared" si="39"/>
        <v>3773</v>
      </c>
      <c r="U28" s="1056">
        <f t="shared" si="39"/>
        <v>3979</v>
      </c>
      <c r="V28" s="1068">
        <f t="shared" si="39"/>
        <v>2790</v>
      </c>
      <c r="W28" s="8">
        <f t="shared" ref="W28:Y28" si="40">+W19</f>
        <v>3648</v>
      </c>
      <c r="X28" s="8">
        <f t="shared" si="40"/>
        <v>3549</v>
      </c>
      <c r="Y28" s="8">
        <f t="shared" si="40"/>
        <v>3874</v>
      </c>
    </row>
    <row r="29" spans="1:27" s="953" customFormat="1" ht="11.45">
      <c r="A29" t="s">
        <v>1340</v>
      </c>
      <c r="B29" s="10">
        <v>0</v>
      </c>
      <c r="C29" s="10">
        <v>0</v>
      </c>
      <c r="D29" s="10">
        <v>0</v>
      </c>
      <c r="E29" s="1058">
        <v>0</v>
      </c>
      <c r="F29" s="10">
        <v>0</v>
      </c>
      <c r="G29" s="10">
        <v>0</v>
      </c>
      <c r="H29" s="10">
        <v>0</v>
      </c>
      <c r="I29" s="1058">
        <v>0</v>
      </c>
      <c r="J29" s="10">
        <v>0</v>
      </c>
      <c r="K29" s="10">
        <v>0</v>
      </c>
      <c r="L29" s="10">
        <v>0</v>
      </c>
      <c r="M29" s="1058">
        <v>0</v>
      </c>
      <c r="N29" s="58">
        <v>900</v>
      </c>
      <c r="O29" s="58">
        <f>+N29-150</f>
        <v>750</v>
      </c>
      <c r="P29" s="58">
        <v>650</v>
      </c>
      <c r="Q29" s="1059">
        <f>2700-P29-O29-N29</f>
        <v>400</v>
      </c>
      <c r="R29" s="10">
        <f>+R36*R9</f>
        <v>-906.34</v>
      </c>
      <c r="S29" s="10">
        <f t="shared" ref="S29:U29" si="41">+S36*S9</f>
        <v>-1034.56</v>
      </c>
      <c r="T29" s="10">
        <f t="shared" si="41"/>
        <v>-987.2</v>
      </c>
      <c r="U29" s="1064">
        <f t="shared" si="41"/>
        <v>-518.65</v>
      </c>
      <c r="V29" s="1074">
        <v>1100</v>
      </c>
      <c r="W29" s="58">
        <v>1000</v>
      </c>
      <c r="X29" s="58">
        <v>850</v>
      </c>
      <c r="Y29" s="58">
        <f>3700-X29-W29-V29</f>
        <v>750</v>
      </c>
    </row>
    <row r="30" spans="1:27" s="1" customFormat="1" ht="10.5">
      <c r="A30" s="837" t="s">
        <v>1339</v>
      </c>
      <c r="B30" s="838">
        <f>+B13-B28-B27-B29</f>
        <v>7708</v>
      </c>
      <c r="C30" s="838">
        <f t="shared" ref="C30:V30" si="42">+C13-C28-C27-C29</f>
        <v>8679</v>
      </c>
      <c r="D30" s="838">
        <f t="shared" si="42"/>
        <v>8292</v>
      </c>
      <c r="E30" s="1057">
        <f t="shared" si="42"/>
        <v>10379</v>
      </c>
      <c r="F30" s="838">
        <f t="shared" si="42"/>
        <v>9955</v>
      </c>
      <c r="G30" s="838">
        <f t="shared" si="42"/>
        <v>10258</v>
      </c>
      <c r="H30" s="838">
        <f t="shared" si="42"/>
        <v>10341</v>
      </c>
      <c r="I30" s="1057">
        <f t="shared" si="42"/>
        <v>12405</v>
      </c>
      <c r="J30" s="838">
        <f t="shared" si="42"/>
        <v>12686</v>
      </c>
      <c r="K30" s="838">
        <f t="shared" si="42"/>
        <v>13891</v>
      </c>
      <c r="L30" s="838">
        <f t="shared" si="42"/>
        <v>12975</v>
      </c>
      <c r="M30" s="1057">
        <f t="shared" si="42"/>
        <v>13407</v>
      </c>
      <c r="N30" s="838">
        <f t="shared" si="42"/>
        <v>14976</v>
      </c>
      <c r="O30" s="838">
        <f t="shared" si="42"/>
        <v>17147</v>
      </c>
      <c r="P30" s="838">
        <f t="shared" si="42"/>
        <v>16398</v>
      </c>
      <c r="Q30" s="1057">
        <f t="shared" si="42"/>
        <v>18695</v>
      </c>
      <c r="R30" s="838">
        <f t="shared" si="42"/>
        <v>21144.34</v>
      </c>
      <c r="S30" s="838">
        <f t="shared" si="42"/>
        <v>23281.56</v>
      </c>
      <c r="T30" s="838">
        <f t="shared" si="42"/>
        <v>21351.200000000001</v>
      </c>
      <c r="U30" s="1057">
        <f t="shared" si="42"/>
        <v>21052.65</v>
      </c>
      <c r="V30" s="1071">
        <f t="shared" si="42"/>
        <v>20418</v>
      </c>
      <c r="W30" s="838">
        <f t="shared" ref="W30" si="43">+W13-W28-W27-W29</f>
        <v>20570</v>
      </c>
      <c r="X30" s="838">
        <f t="shared" ref="X30" si="44">+X13-X28-X27-X29</f>
        <v>21502</v>
      </c>
      <c r="Y30" s="838">
        <f t="shared" ref="Y30" si="45">+Y13-Y28-Y27-Y29</f>
        <v>23504</v>
      </c>
    </row>
    <row r="31" spans="1:27" s="7" customFormat="1">
      <c r="A31" s="841" t="s">
        <v>1341</v>
      </c>
      <c r="B31" s="1060"/>
      <c r="C31" s="1060"/>
      <c r="D31" s="1060"/>
      <c r="E31" s="1061"/>
      <c r="F31" s="1060">
        <f>+F30/B20-1</f>
        <v>0.29151530877010901</v>
      </c>
      <c r="G31" s="1060">
        <f t="shared" ref="G31:V31" si="46">+G30/C20-1</f>
        <v>0.18193340246572176</v>
      </c>
      <c r="H31" s="1060">
        <f t="shared" si="46"/>
        <v>0.2471056439942112</v>
      </c>
      <c r="I31" s="1061">
        <f t="shared" si="46"/>
        <v>0.19520184988919942</v>
      </c>
      <c r="J31" s="1060">
        <f t="shared" si="46"/>
        <v>0.27433450527373182</v>
      </c>
      <c r="K31" s="1060">
        <f t="shared" si="46"/>
        <v>0.3541626047962565</v>
      </c>
      <c r="L31" s="1060">
        <f t="shared" si="46"/>
        <v>0.25471424427038003</v>
      </c>
      <c r="M31" s="1061">
        <f t="shared" si="46"/>
        <v>8.0773881499395461E-2</v>
      </c>
      <c r="N31" s="1060">
        <f t="shared" si="46"/>
        <v>0.1805139523884598</v>
      </c>
      <c r="O31" s="1060">
        <f t="shared" si="46"/>
        <v>0.23439637175149386</v>
      </c>
      <c r="P31" s="1060">
        <f t="shared" si="46"/>
        <v>0.26381502890173403</v>
      </c>
      <c r="Q31" s="1061">
        <f t="shared" si="46"/>
        <v>0.39442082494219433</v>
      </c>
      <c r="R31" s="1060">
        <f t="shared" si="46"/>
        <v>0.33184303350970024</v>
      </c>
      <c r="S31" s="1060">
        <f t="shared" si="46"/>
        <v>0.30086383192713861</v>
      </c>
      <c r="T31" s="1060">
        <f t="shared" si="46"/>
        <v>0.2524167057719382</v>
      </c>
      <c r="U31" s="1061">
        <f t="shared" si="46"/>
        <v>0.1025216025137472</v>
      </c>
      <c r="V31" s="1072">
        <f t="shared" si="46"/>
        <v>8.894159501926957E-3</v>
      </c>
      <c r="W31" s="1060">
        <f t="shared" ref="W31" si="47">+W30/S20-1</f>
        <v>-7.5380950240481859E-2</v>
      </c>
      <c r="X31" s="1060">
        <f t="shared" ref="X31" si="48">+X30/T20-1</f>
        <v>5.5882930661952379E-2</v>
      </c>
      <c r="Y31" s="1060">
        <f t="shared" ref="Y31" si="49">+Y30/U20-1</f>
        <v>0.14463816109866556</v>
      </c>
      <c r="AA31" s="7" t="s">
        <v>821</v>
      </c>
    </row>
    <row r="32" spans="1:27" s="7" customFormat="1">
      <c r="A32" s="841" t="s">
        <v>123</v>
      </c>
      <c r="B32" s="1060">
        <f t="shared" ref="B32:V32" si="50">+B30/B9</f>
        <v>0.3141250305648382</v>
      </c>
      <c r="C32" s="1060">
        <f t="shared" si="50"/>
        <v>0.30012448993706342</v>
      </c>
      <c r="D32" s="1060">
        <f t="shared" si="50"/>
        <v>0.30918378761325926</v>
      </c>
      <c r="E32" s="1061">
        <f t="shared" si="50"/>
        <v>0.3449891972743892</v>
      </c>
      <c r="F32" s="1060">
        <f t="shared" si="50"/>
        <v>0.34228441754916794</v>
      </c>
      <c r="G32" s="1060">
        <f t="shared" si="50"/>
        <v>0.3159126605278556</v>
      </c>
      <c r="H32" s="1060">
        <f t="shared" si="50"/>
        <v>0.3382617513329626</v>
      </c>
      <c r="I32" s="1061">
        <f t="shared" si="50"/>
        <v>0.3679152949550672</v>
      </c>
      <c r="J32" s="1060">
        <f t="shared" si="50"/>
        <v>0.38378460142187265</v>
      </c>
      <c r="K32" s="1060">
        <f t="shared" si="50"/>
        <v>0.37638866309001245</v>
      </c>
      <c r="L32" s="1060">
        <f t="shared" si="50"/>
        <v>0.37049199051997372</v>
      </c>
      <c r="M32" s="1061">
        <f t="shared" si="50"/>
        <v>0.35250966266137301</v>
      </c>
      <c r="N32" s="1060">
        <f t="shared" si="50"/>
        <v>0.40307907627711687</v>
      </c>
      <c r="O32" s="1060">
        <f t="shared" si="50"/>
        <v>0.39806388708329465</v>
      </c>
      <c r="P32" s="1060">
        <f t="shared" si="50"/>
        <v>0.39318083728959863</v>
      </c>
      <c r="Q32" s="1061">
        <f t="shared" si="50"/>
        <v>0.4050745363147859</v>
      </c>
      <c r="R32" s="1060">
        <f t="shared" si="50"/>
        <v>0.46658737339188383</v>
      </c>
      <c r="S32" s="1060">
        <f t="shared" si="50"/>
        <v>0.45007655428394683</v>
      </c>
      <c r="T32" s="1060">
        <f t="shared" si="50"/>
        <v>0.43256077795786063</v>
      </c>
      <c r="U32" s="1061">
        <f t="shared" si="50"/>
        <v>0.40591246505350431</v>
      </c>
      <c r="V32" s="1072">
        <f t="shared" si="50"/>
        <v>0.40736602689437773</v>
      </c>
      <c r="W32" s="1060">
        <f t="shared" ref="W32:Y32" si="51">+W30/W9</f>
        <v>0.38997478529584623</v>
      </c>
      <c r="X32" s="1060">
        <f t="shared" si="51"/>
        <v>0.40679569404241633</v>
      </c>
      <c r="Y32" s="1060">
        <f t="shared" si="51"/>
        <v>0.4183025147270818</v>
      </c>
      <c r="AA32" s="7" t="s">
        <v>822</v>
      </c>
    </row>
    <row r="33" spans="1:25" s="3" customFormat="1">
      <c r="A33" s="13"/>
      <c r="B33" s="228"/>
      <c r="C33" s="228"/>
      <c r="D33" s="228"/>
      <c r="E33" s="228"/>
      <c r="F33" s="228"/>
      <c r="G33" s="228"/>
      <c r="H33" s="228"/>
      <c r="I33" s="228"/>
      <c r="J33" s="228"/>
      <c r="K33" s="228"/>
      <c r="L33" s="228"/>
      <c r="M33" s="8"/>
      <c r="N33" s="228"/>
      <c r="O33" s="228"/>
      <c r="P33" s="228"/>
      <c r="Q33" s="228"/>
      <c r="R33" s="228"/>
      <c r="S33" s="228"/>
      <c r="T33" s="228"/>
      <c r="U33" s="228"/>
      <c r="V33" s="228"/>
      <c r="W33" s="228"/>
      <c r="X33" s="228"/>
      <c r="Y33" s="228"/>
    </row>
    <row r="34" spans="1:25" s="3" customFormat="1" hidden="1" outlineLevel="1">
      <c r="A34" s="13" t="s">
        <v>1338</v>
      </c>
      <c r="B34" s="836">
        <f>SUM(B28:B29)/B9</f>
        <v>0.10184204091613008</v>
      </c>
      <c r="C34" s="836">
        <f t="shared" ref="C34:V34" si="52">SUM(C28:C29)/C9</f>
        <v>8.7696244553565256E-2</v>
      </c>
      <c r="D34" s="836">
        <f t="shared" si="52"/>
        <v>0.10104776464446848</v>
      </c>
      <c r="E34" s="836">
        <f t="shared" si="52"/>
        <v>8.3629715805218552E-2</v>
      </c>
      <c r="F34" s="836">
        <f t="shared" si="52"/>
        <v>9.7545041947462524E-2</v>
      </c>
      <c r="G34" s="836">
        <f t="shared" si="52"/>
        <v>9.223614917926766E-2</v>
      </c>
      <c r="H34" s="836">
        <f t="shared" si="52"/>
        <v>9.5711622125543822E-2</v>
      </c>
      <c r="I34" s="836">
        <f t="shared" si="52"/>
        <v>8.672183171693805E-2</v>
      </c>
      <c r="J34" s="836">
        <f t="shared" si="52"/>
        <v>8.9880502193314171E-2</v>
      </c>
      <c r="K34" s="836">
        <f t="shared" si="52"/>
        <v>8.678805614263263E-2</v>
      </c>
      <c r="L34" s="836">
        <f t="shared" si="52"/>
        <v>8.903229490876903E-2</v>
      </c>
      <c r="M34" s="836">
        <f t="shared" si="52"/>
        <v>9.2130518234165071E-2</v>
      </c>
      <c r="N34" s="836">
        <f t="shared" si="52"/>
        <v>9.5413683587231526E-2</v>
      </c>
      <c r="O34" s="836">
        <f t="shared" si="52"/>
        <v>8.150710372365122E-2</v>
      </c>
      <c r="P34" s="836">
        <f t="shared" si="52"/>
        <v>8.5982832206397158E-2</v>
      </c>
      <c r="Q34" s="836">
        <f t="shared" si="52"/>
        <v>8.1123244929797195E-2</v>
      </c>
      <c r="R34" s="836">
        <f t="shared" si="52"/>
        <v>5.0878478275260937E-2</v>
      </c>
      <c r="S34" s="836">
        <f t="shared" si="52"/>
        <v>4.7584287039901023E-2</v>
      </c>
      <c r="T34" s="836">
        <f t="shared" si="52"/>
        <v>5.6438411669367916E-2</v>
      </c>
      <c r="U34" s="836">
        <f t="shared" si="52"/>
        <v>6.6718403547671834E-2</v>
      </c>
      <c r="V34" s="836">
        <f t="shared" si="52"/>
        <v>7.7610630062647137E-2</v>
      </c>
      <c r="W34" s="836">
        <f t="shared" ref="W34:Y34" si="53">SUM(W28:W29)/W9</f>
        <v>8.8118755569037102E-2</v>
      </c>
      <c r="X34" s="836">
        <f t="shared" si="53"/>
        <v>8.322454925553853E-2</v>
      </c>
      <c r="Y34" s="836">
        <f t="shared" si="53"/>
        <v>8.2293687376532768E-2</v>
      </c>
    </row>
    <row r="35" spans="1:25" s="3" customFormat="1" hidden="1" outlineLevel="1">
      <c r="A35" s="13"/>
      <c r="B35" s="228"/>
      <c r="C35" s="228"/>
      <c r="D35" s="228"/>
      <c r="E35" s="228"/>
      <c r="F35" s="228"/>
      <c r="G35" s="228"/>
      <c r="H35" s="228"/>
      <c r="I35" s="228"/>
      <c r="J35" s="228"/>
      <c r="K35" s="228"/>
      <c r="L35" s="228"/>
      <c r="M35" s="1056"/>
      <c r="N35" s="228"/>
      <c r="O35" s="228"/>
      <c r="P35" s="228"/>
      <c r="Q35" s="1056"/>
      <c r="R35" s="228"/>
      <c r="S35" s="228"/>
      <c r="T35" s="228"/>
      <c r="U35" s="228"/>
      <c r="V35" s="228"/>
      <c r="W35" s="228"/>
      <c r="X35" s="228"/>
      <c r="Y35" s="228"/>
    </row>
    <row r="36" spans="1:25" s="3" customFormat="1" collapsed="1">
      <c r="A36" s="13" t="s">
        <v>1342</v>
      </c>
      <c r="B36" s="228"/>
      <c r="C36" s="228"/>
      <c r="D36" s="228"/>
      <c r="E36" s="228"/>
      <c r="F36" s="228"/>
      <c r="G36" s="228"/>
      <c r="H36" s="228"/>
      <c r="I36" s="228"/>
      <c r="J36" s="228"/>
      <c r="K36" s="228"/>
      <c r="L36" s="228"/>
      <c r="M36" s="8"/>
      <c r="N36" s="836">
        <f>+N22-N32</f>
        <v>2.4223502180115208E-2</v>
      </c>
      <c r="O36" s="836">
        <f>+O22-O32</f>
        <v>1.7411087380443835E-2</v>
      </c>
      <c r="P36" s="836">
        <f>+P22-P32</f>
        <v>1.5585287488610766E-2</v>
      </c>
      <c r="Q36" s="836">
        <f>+Q22-Q32</f>
        <v>8.6670133472005473E-3</v>
      </c>
      <c r="R36" s="1063">
        <v>-0.02</v>
      </c>
      <c r="S36" s="1063">
        <v>-0.02</v>
      </c>
      <c r="T36" s="1063">
        <v>-0.02</v>
      </c>
      <c r="U36" s="1063">
        <v>-0.01</v>
      </c>
      <c r="V36" s="836">
        <f>+V22-V32</f>
        <v>2.1946450660388639E-2</v>
      </c>
      <c r="W36" s="836">
        <f t="shared" ref="W36:Y36" si="54">+W22-W32</f>
        <v>1.8958424175782473E-2</v>
      </c>
      <c r="X36" s="836">
        <f t="shared" si="54"/>
        <v>1.608112454357985E-2</v>
      </c>
      <c r="Y36" s="836">
        <f t="shared" si="54"/>
        <v>1.3347808289878804E-2</v>
      </c>
    </row>
    <row r="37" spans="1:25" s="3" customFormat="1">
      <c r="A37" s="13"/>
      <c r="B37" s="228"/>
      <c r="C37" s="228"/>
      <c r="D37" s="228"/>
      <c r="E37" s="228"/>
      <c r="F37" s="228"/>
      <c r="G37" s="228"/>
      <c r="H37" s="228"/>
      <c r="I37" s="228"/>
      <c r="J37" s="228"/>
      <c r="K37" s="228"/>
      <c r="L37" s="228"/>
      <c r="M37" s="228"/>
      <c r="N37" s="986"/>
    </row>
    <row r="38" spans="1:25" ht="10.5">
      <c r="A38" s="1055" t="s">
        <v>968</v>
      </c>
    </row>
    <row r="40" spans="1:25" ht="10.5">
      <c r="A40" s="45" t="s">
        <v>1343</v>
      </c>
    </row>
    <row r="41" spans="1:25" ht="34.5" customHeight="1">
      <c r="A41" s="1611" t="s">
        <v>1344</v>
      </c>
      <c r="B41" s="1611"/>
      <c r="C41" s="1611"/>
      <c r="D41" s="1611"/>
      <c r="E41" s="1611"/>
      <c r="F41" s="1611"/>
      <c r="G41" s="1611"/>
      <c r="H41" s="1611"/>
      <c r="I41" s="1611"/>
      <c r="J41" s="1611"/>
      <c r="K41" s="1611"/>
      <c r="L41" s="1611"/>
      <c r="M41" s="1611"/>
      <c r="N41" s="1611"/>
      <c r="O41" s="1611"/>
      <c r="P41" s="1611"/>
      <c r="Q41" s="1611"/>
      <c r="R41" s="1611"/>
      <c r="S41" s="1611"/>
      <c r="T41" s="1611"/>
      <c r="U41" s="1611"/>
      <c r="V41" s="1611"/>
      <c r="W41" s="42"/>
      <c r="X41" s="42"/>
      <c r="Y41" s="42"/>
    </row>
    <row r="42" spans="1:25" ht="51.75" customHeight="1">
      <c r="A42" s="1611" t="s">
        <v>1345</v>
      </c>
      <c r="B42" s="1611"/>
      <c r="C42" s="1611"/>
      <c r="D42" s="1611"/>
      <c r="E42" s="1611"/>
      <c r="F42" s="1611"/>
      <c r="G42" s="1611"/>
      <c r="H42" s="1611"/>
      <c r="I42" s="1611"/>
      <c r="J42" s="1611"/>
      <c r="K42" s="1611"/>
      <c r="L42" s="1611"/>
      <c r="M42" s="1611"/>
      <c r="N42" s="1611"/>
      <c r="O42" s="1611"/>
      <c r="P42" s="1611"/>
      <c r="Q42" s="1611"/>
      <c r="R42" s="1611"/>
      <c r="S42" s="1611"/>
      <c r="T42" s="1611"/>
      <c r="U42" s="1611"/>
      <c r="V42" s="1611"/>
      <c r="W42" s="42"/>
      <c r="X42" s="42"/>
      <c r="Y42" s="42"/>
    </row>
    <row r="44" spans="1:25">
      <c r="C44" s="852" t="s">
        <v>1346</v>
      </c>
      <c r="M44" s="852" t="s">
        <v>1347</v>
      </c>
    </row>
    <row r="65" spans="1:25" ht="10.5">
      <c r="A65" s="45" t="s">
        <v>968</v>
      </c>
    </row>
    <row r="66" spans="1:25" ht="10.5">
      <c r="A66" s="45"/>
    </row>
    <row r="67" spans="1:25">
      <c r="A67" s="852" t="s">
        <v>1348</v>
      </c>
    </row>
    <row r="68" spans="1:25" ht="22.5" customHeight="1">
      <c r="A68" s="1611" t="s">
        <v>1349</v>
      </c>
      <c r="B68" s="1611"/>
      <c r="C68" s="1611"/>
      <c r="D68" s="1611"/>
      <c r="E68" s="1611"/>
      <c r="F68" s="1611"/>
      <c r="G68" s="1611"/>
      <c r="H68" s="1611"/>
      <c r="I68" s="1611"/>
      <c r="J68" s="1611"/>
      <c r="K68" s="1611"/>
      <c r="L68" s="1611"/>
      <c r="M68" s="1611"/>
      <c r="N68" s="1611"/>
      <c r="O68" s="1611"/>
      <c r="P68" s="1611"/>
      <c r="Q68" s="1611"/>
      <c r="R68" s="1611"/>
      <c r="S68" s="1611"/>
      <c r="T68" s="1611"/>
      <c r="U68" s="1611"/>
      <c r="V68" s="1611"/>
      <c r="W68" s="42"/>
      <c r="X68" s="42"/>
      <c r="Y68" s="42"/>
    </row>
    <row r="69" spans="1:25" ht="10.5">
      <c r="A69" s="45"/>
    </row>
    <row r="70" spans="1:25">
      <c r="A70" s="852" t="s">
        <v>1350</v>
      </c>
      <c r="B70" s="42"/>
      <c r="C70" s="42"/>
      <c r="D70" s="42"/>
      <c r="E70" s="42"/>
      <c r="F70" s="42"/>
      <c r="G70" s="42"/>
      <c r="H70" s="42"/>
      <c r="I70" s="42"/>
      <c r="J70" s="42"/>
      <c r="K70" s="42"/>
      <c r="L70" s="42"/>
      <c r="M70" s="42"/>
      <c r="N70" s="42"/>
      <c r="O70" s="42"/>
      <c r="P70" s="42"/>
      <c r="Q70" s="42"/>
      <c r="R70" s="42"/>
      <c r="S70" s="42"/>
      <c r="T70" s="42"/>
      <c r="U70" s="42"/>
      <c r="V70" s="42"/>
      <c r="W70" s="42"/>
      <c r="X70" s="42"/>
      <c r="Y70" s="42"/>
    </row>
    <row r="71" spans="1:25" ht="23.25" customHeight="1">
      <c r="A71" s="1611" t="s">
        <v>1351</v>
      </c>
      <c r="B71" s="1611"/>
      <c r="C71" s="1611"/>
      <c r="D71" s="1611"/>
      <c r="E71" s="1611"/>
      <c r="F71" s="1611"/>
      <c r="G71" s="1611"/>
      <c r="H71" s="1611"/>
      <c r="I71" s="1611"/>
      <c r="J71" s="1611"/>
      <c r="K71" s="1611"/>
      <c r="L71" s="1611"/>
      <c r="M71" s="1611"/>
      <c r="N71" s="1611"/>
      <c r="O71" s="1611"/>
      <c r="P71" s="1611"/>
      <c r="Q71" s="1611"/>
      <c r="R71" s="1611"/>
      <c r="S71" s="1611"/>
      <c r="T71" s="1611"/>
      <c r="U71" s="1611"/>
      <c r="V71" s="1611"/>
      <c r="W71" s="42"/>
      <c r="X71" s="42"/>
      <c r="Y71" s="42"/>
    </row>
    <row r="72" spans="1:25">
      <c r="A72" s="1611" t="s">
        <v>1352</v>
      </c>
      <c r="B72" s="1611"/>
      <c r="C72" s="1611"/>
      <c r="D72" s="1611"/>
      <c r="E72" s="1611"/>
      <c r="F72" s="1611"/>
      <c r="G72" s="1611"/>
      <c r="H72" s="1611"/>
      <c r="I72" s="1611"/>
      <c r="J72" s="1611"/>
      <c r="K72" s="1611"/>
      <c r="L72" s="1611"/>
      <c r="M72" s="1611"/>
      <c r="N72" s="1611"/>
      <c r="O72" s="1611"/>
      <c r="P72" s="1611"/>
      <c r="Q72" s="1611"/>
      <c r="R72" s="1611"/>
      <c r="S72" s="1611"/>
      <c r="T72" s="1611"/>
      <c r="U72" s="1611"/>
      <c r="V72" s="1611"/>
      <c r="W72" s="42"/>
      <c r="X72" s="42"/>
      <c r="Y72" s="42"/>
    </row>
    <row r="73" spans="1:25" ht="24.75" customHeight="1">
      <c r="A73" s="1611" t="s">
        <v>1353</v>
      </c>
      <c r="B73" s="1611"/>
      <c r="C73" s="1611"/>
      <c r="D73" s="1611"/>
      <c r="E73" s="1611"/>
      <c r="F73" s="1611"/>
      <c r="G73" s="1611"/>
      <c r="H73" s="1611"/>
      <c r="I73" s="1611"/>
      <c r="J73" s="1611"/>
      <c r="K73" s="1611"/>
      <c r="L73" s="1611"/>
      <c r="M73" s="1611"/>
      <c r="N73" s="1611"/>
      <c r="O73" s="1611"/>
      <c r="P73" s="1611"/>
      <c r="Q73" s="1611"/>
      <c r="R73" s="1611"/>
      <c r="S73" s="1611"/>
      <c r="T73" s="1611"/>
      <c r="U73" s="1611"/>
      <c r="V73" s="1611"/>
      <c r="W73" s="42"/>
      <c r="X73" s="42"/>
      <c r="Y73" s="42"/>
    </row>
    <row r="74" spans="1:25" ht="24" customHeight="1">
      <c r="A74" s="1611" t="s">
        <v>1354</v>
      </c>
      <c r="B74" s="1611"/>
      <c r="C74" s="1611"/>
      <c r="D74" s="1611"/>
      <c r="E74" s="1611"/>
      <c r="F74" s="1611"/>
      <c r="G74" s="1611"/>
      <c r="H74" s="1611"/>
      <c r="I74" s="1611"/>
      <c r="J74" s="1611"/>
      <c r="K74" s="1611"/>
      <c r="L74" s="1611"/>
      <c r="M74" s="1611"/>
      <c r="N74" s="1611"/>
      <c r="O74" s="1611"/>
      <c r="P74" s="1611"/>
      <c r="Q74" s="1611"/>
      <c r="R74" s="1611"/>
      <c r="S74" s="1611"/>
      <c r="T74" s="1611"/>
      <c r="U74" s="1611"/>
      <c r="V74" s="1611"/>
      <c r="W74" s="42"/>
      <c r="X74" s="42"/>
      <c r="Y74" s="42"/>
    </row>
    <row r="75" spans="1:25" ht="24.75" customHeight="1">
      <c r="A75" s="1611" t="s">
        <v>1355</v>
      </c>
      <c r="B75" s="1611"/>
      <c r="C75" s="1611"/>
      <c r="D75" s="1611"/>
      <c r="E75" s="1611"/>
      <c r="F75" s="1611"/>
      <c r="G75" s="1611"/>
      <c r="H75" s="1611"/>
      <c r="I75" s="1611"/>
      <c r="J75" s="1611"/>
      <c r="K75" s="1611"/>
      <c r="L75" s="1611"/>
      <c r="M75" s="1611"/>
      <c r="N75" s="1611"/>
      <c r="O75" s="1611"/>
      <c r="P75" s="1611"/>
      <c r="Q75" s="1611"/>
      <c r="R75" s="1611"/>
      <c r="S75" s="1611"/>
      <c r="T75" s="1611"/>
      <c r="U75" s="1611"/>
      <c r="V75" s="1611"/>
      <c r="W75" s="42"/>
      <c r="X75" s="42"/>
      <c r="Y75" s="42"/>
    </row>
    <row r="76" spans="1:25" ht="10.5">
      <c r="A76" s="45"/>
    </row>
    <row r="77" spans="1:25">
      <c r="A77" s="852" t="s">
        <v>1356</v>
      </c>
    </row>
    <row r="78" spans="1:25" ht="21.75" customHeight="1">
      <c r="A78" s="1611" t="s">
        <v>1357</v>
      </c>
      <c r="B78" s="1611"/>
      <c r="C78" s="1611"/>
      <c r="D78" s="1611"/>
      <c r="E78" s="1611"/>
      <c r="F78" s="1611"/>
      <c r="G78" s="1611"/>
      <c r="H78" s="1611"/>
      <c r="I78" s="1611"/>
      <c r="J78" s="1611"/>
      <c r="K78" s="1611"/>
      <c r="L78" s="1611"/>
      <c r="M78" s="1611"/>
      <c r="N78" s="1611"/>
      <c r="O78" s="1611"/>
      <c r="P78" s="1611"/>
      <c r="Q78" s="1611"/>
      <c r="R78" s="1611"/>
      <c r="S78" s="1611"/>
      <c r="T78" s="1611"/>
      <c r="U78" s="1611"/>
      <c r="V78" s="1611"/>
      <c r="W78" s="42"/>
      <c r="X78" s="42"/>
      <c r="Y78" s="42"/>
    </row>
    <row r="79" spans="1:25" ht="23.25" customHeight="1">
      <c r="A79" s="1611" t="s">
        <v>1358</v>
      </c>
      <c r="B79" s="1611"/>
      <c r="C79" s="1611"/>
      <c r="D79" s="1611"/>
      <c r="E79" s="1611"/>
      <c r="F79" s="1611"/>
      <c r="G79" s="1611"/>
      <c r="H79" s="1611"/>
      <c r="I79" s="1611"/>
      <c r="J79" s="1611"/>
      <c r="K79" s="1611"/>
      <c r="L79" s="1611"/>
      <c r="M79" s="1611"/>
      <c r="N79" s="1611"/>
      <c r="O79" s="1611"/>
      <c r="P79" s="1611"/>
      <c r="Q79" s="1611"/>
      <c r="R79" s="1611"/>
      <c r="S79" s="1611"/>
      <c r="T79" s="1611"/>
      <c r="U79" s="1611"/>
      <c r="V79" s="1611"/>
      <c r="W79" s="42"/>
      <c r="X79" s="42"/>
      <c r="Y79" s="42"/>
    </row>
    <row r="80" spans="1:25">
      <c r="A80" s="1611" t="s">
        <v>1359</v>
      </c>
      <c r="B80" s="1611"/>
      <c r="C80" s="1611"/>
      <c r="D80" s="1611"/>
      <c r="E80" s="1611"/>
      <c r="F80" s="1611"/>
      <c r="G80" s="1611"/>
      <c r="H80" s="1611"/>
      <c r="I80" s="1611"/>
      <c r="J80" s="1611"/>
      <c r="K80" s="1611"/>
      <c r="L80" s="1611"/>
      <c r="M80" s="1611"/>
      <c r="N80" s="1611"/>
      <c r="O80" s="1611"/>
      <c r="P80" s="1611"/>
      <c r="Q80" s="1611"/>
      <c r="R80" s="1611"/>
      <c r="S80" s="1611"/>
      <c r="T80" s="1611"/>
      <c r="U80" s="1611"/>
      <c r="V80" s="1611"/>
      <c r="W80" s="42"/>
      <c r="X80" s="42"/>
      <c r="Y80" s="42"/>
    </row>
    <row r="81" spans="1:25" ht="25.5" customHeight="1">
      <c r="A81" s="1611" t="s">
        <v>1360</v>
      </c>
      <c r="B81" s="1611"/>
      <c r="C81" s="1611"/>
      <c r="D81" s="1611"/>
      <c r="E81" s="1611"/>
      <c r="F81" s="1611"/>
      <c r="G81" s="1611"/>
      <c r="H81" s="1611"/>
      <c r="I81" s="1611"/>
      <c r="J81" s="1611"/>
      <c r="K81" s="1611"/>
      <c r="L81" s="1611"/>
      <c r="M81" s="1611"/>
      <c r="N81" s="1611"/>
      <c r="O81" s="1611"/>
      <c r="P81" s="1611"/>
      <c r="Q81" s="1611"/>
      <c r="R81" s="1611"/>
      <c r="S81" s="1611"/>
      <c r="T81" s="1611"/>
      <c r="U81" s="1611"/>
      <c r="V81" s="1611"/>
      <c r="W81" s="42"/>
      <c r="X81" s="42"/>
      <c r="Y81" s="42"/>
    </row>
    <row r="82" spans="1:25" ht="24.75" customHeight="1">
      <c r="A82" s="1611" t="s">
        <v>1361</v>
      </c>
      <c r="B82" s="1611"/>
      <c r="C82" s="1611"/>
      <c r="D82" s="1611"/>
      <c r="E82" s="1611"/>
      <c r="F82" s="1611"/>
      <c r="G82" s="1611"/>
      <c r="H82" s="1611"/>
      <c r="I82" s="1611"/>
      <c r="J82" s="1611"/>
      <c r="K82" s="1611"/>
      <c r="L82" s="1611"/>
      <c r="M82" s="1611"/>
      <c r="N82" s="1611"/>
      <c r="O82" s="1611"/>
      <c r="P82" s="1611"/>
      <c r="Q82" s="1611"/>
      <c r="R82" s="1611"/>
      <c r="S82" s="1611"/>
      <c r="T82" s="1611"/>
      <c r="U82" s="1611"/>
      <c r="V82" s="1611"/>
      <c r="W82" s="42"/>
      <c r="X82" s="42"/>
      <c r="Y82" s="42"/>
    </row>
    <row r="83" spans="1:25" ht="25.5" customHeight="1">
      <c r="A83" s="1611" t="s">
        <v>1362</v>
      </c>
      <c r="B83" s="1611"/>
      <c r="C83" s="1611"/>
      <c r="D83" s="1611"/>
      <c r="E83" s="1611"/>
      <c r="F83" s="1611"/>
      <c r="G83" s="1611"/>
      <c r="H83" s="1611"/>
      <c r="I83" s="1611"/>
      <c r="J83" s="1611"/>
      <c r="K83" s="1611"/>
      <c r="L83" s="1611"/>
      <c r="M83" s="1611"/>
      <c r="N83" s="1611"/>
      <c r="O83" s="1611"/>
      <c r="P83" s="1611"/>
      <c r="Q83" s="1611"/>
      <c r="R83" s="1611"/>
      <c r="S83" s="1611"/>
      <c r="T83" s="1611"/>
      <c r="U83" s="1611"/>
      <c r="V83" s="1611"/>
      <c r="W83" s="42"/>
      <c r="X83" s="42"/>
      <c r="Y83" s="42"/>
    </row>
    <row r="85" spans="1:25">
      <c r="A85" s="852" t="s">
        <v>1363</v>
      </c>
    </row>
    <row r="86" spans="1:25" ht="24.75" customHeight="1">
      <c r="A86" s="1611" t="s">
        <v>1364</v>
      </c>
      <c r="B86" s="1611"/>
      <c r="C86" s="1611"/>
      <c r="D86" s="1611"/>
      <c r="E86" s="1611"/>
      <c r="F86" s="1611"/>
      <c r="G86" s="1611"/>
      <c r="H86" s="1611"/>
      <c r="I86" s="1611"/>
      <c r="J86" s="1611"/>
      <c r="K86" s="1611"/>
      <c r="L86" s="1611"/>
      <c r="M86" s="1611"/>
      <c r="N86" s="1611"/>
      <c r="O86" s="1611"/>
      <c r="P86" s="1611"/>
      <c r="Q86" s="1611"/>
      <c r="R86" s="1611"/>
      <c r="S86" s="1611"/>
      <c r="T86" s="1611"/>
      <c r="U86" s="1611"/>
      <c r="V86" s="1611"/>
      <c r="W86" s="42"/>
      <c r="X86" s="42"/>
      <c r="Y86" s="42"/>
    </row>
    <row r="87" spans="1:25">
      <c r="A87" s="1611" t="s">
        <v>1365</v>
      </c>
      <c r="B87" s="1611"/>
      <c r="C87" s="1611"/>
      <c r="D87" s="1611"/>
      <c r="E87" s="1611"/>
      <c r="F87" s="1611"/>
      <c r="G87" s="1611"/>
      <c r="H87" s="1611"/>
      <c r="I87" s="1611"/>
      <c r="J87" s="1611"/>
      <c r="K87" s="1611"/>
      <c r="L87" s="1611"/>
      <c r="M87" s="1611"/>
      <c r="N87" s="1611"/>
      <c r="O87" s="1611"/>
      <c r="P87" s="1611"/>
      <c r="Q87" s="1611"/>
      <c r="R87" s="1611"/>
      <c r="S87" s="1611"/>
      <c r="T87" s="1611"/>
      <c r="U87" s="1611"/>
      <c r="V87" s="1611"/>
      <c r="W87" s="42"/>
      <c r="X87" s="42"/>
      <c r="Y87" s="42"/>
    </row>
    <row r="88" spans="1:25">
      <c r="A88" s="1611" t="s">
        <v>1366</v>
      </c>
      <c r="B88" s="1611"/>
      <c r="C88" s="1611"/>
      <c r="D88" s="1611"/>
      <c r="E88" s="1611"/>
      <c r="F88" s="1611"/>
      <c r="G88" s="1611"/>
      <c r="H88" s="1611"/>
      <c r="I88" s="1611"/>
      <c r="J88" s="1611"/>
      <c r="K88" s="1611"/>
      <c r="L88" s="1611"/>
      <c r="M88" s="1611"/>
      <c r="N88" s="1611"/>
      <c r="O88" s="1611"/>
      <c r="P88" s="1611"/>
      <c r="Q88" s="1611"/>
      <c r="R88" s="1611"/>
      <c r="S88" s="1611"/>
      <c r="T88" s="1611"/>
      <c r="U88" s="1611"/>
      <c r="V88" s="1611"/>
      <c r="W88" s="42"/>
      <c r="X88" s="42"/>
      <c r="Y88" s="42"/>
    </row>
    <row r="89" spans="1:25" ht="23.25" customHeight="1">
      <c r="A89" s="1611" t="s">
        <v>1367</v>
      </c>
      <c r="B89" s="1611"/>
      <c r="C89" s="1611"/>
      <c r="D89" s="1611"/>
      <c r="E89" s="1611"/>
      <c r="F89" s="1611"/>
      <c r="G89" s="1611"/>
      <c r="H89" s="1611"/>
      <c r="I89" s="1611"/>
      <c r="J89" s="1611"/>
      <c r="K89" s="1611"/>
      <c r="L89" s="1611"/>
      <c r="M89" s="1611"/>
      <c r="N89" s="1611"/>
      <c r="O89" s="1611"/>
      <c r="P89" s="1611"/>
      <c r="Q89" s="1611"/>
      <c r="R89" s="1611"/>
      <c r="S89" s="1611"/>
      <c r="T89" s="1611"/>
      <c r="U89" s="1611"/>
      <c r="V89" s="1611"/>
      <c r="W89" s="42"/>
      <c r="X89" s="42"/>
      <c r="Y89" s="42"/>
    </row>
    <row r="90" spans="1:25" ht="22.5" customHeight="1">
      <c r="A90" s="1611" t="s">
        <v>1368</v>
      </c>
      <c r="B90" s="1611"/>
      <c r="C90" s="1611"/>
      <c r="D90" s="1611"/>
      <c r="E90" s="1611"/>
      <c r="F90" s="1611"/>
      <c r="G90" s="1611"/>
      <c r="H90" s="1611"/>
      <c r="I90" s="1611"/>
      <c r="J90" s="1611"/>
      <c r="K90" s="1611"/>
      <c r="L90" s="1611"/>
      <c r="M90" s="1611"/>
      <c r="N90" s="1611"/>
      <c r="O90" s="1611"/>
      <c r="P90" s="1611"/>
      <c r="Q90" s="1611"/>
      <c r="R90" s="1611"/>
      <c r="S90" s="1611"/>
      <c r="T90" s="1611"/>
      <c r="U90" s="1611"/>
      <c r="V90" s="1611"/>
      <c r="W90" s="42"/>
      <c r="X90" s="42"/>
      <c r="Y90" s="42"/>
    </row>
    <row r="91" spans="1:25" ht="21.75" customHeight="1">
      <c r="A91" s="1611" t="s">
        <v>1369</v>
      </c>
      <c r="B91" s="1611"/>
      <c r="C91" s="1611"/>
      <c r="D91" s="1611"/>
      <c r="E91" s="1611"/>
      <c r="F91" s="1611"/>
      <c r="G91" s="1611"/>
      <c r="H91" s="1611"/>
      <c r="I91" s="1611"/>
      <c r="J91" s="1611"/>
      <c r="K91" s="1611"/>
      <c r="L91" s="1611"/>
      <c r="M91" s="1611"/>
      <c r="N91" s="1611"/>
      <c r="O91" s="1611"/>
      <c r="P91" s="1611"/>
      <c r="Q91" s="1611"/>
      <c r="R91" s="1611"/>
      <c r="S91" s="1611"/>
      <c r="T91" s="1611"/>
      <c r="U91" s="1611"/>
      <c r="V91" s="1611"/>
      <c r="W91" s="42"/>
      <c r="X91" s="42"/>
      <c r="Y91" s="42"/>
    </row>
    <row r="93" spans="1:25">
      <c r="A93" s="852" t="s">
        <v>1370</v>
      </c>
    </row>
    <row r="94" spans="1:25" ht="34.5" customHeight="1">
      <c r="A94" s="1611" t="s">
        <v>1371</v>
      </c>
      <c r="B94" s="1611"/>
      <c r="C94" s="1611"/>
      <c r="D94" s="1611"/>
      <c r="E94" s="1611"/>
      <c r="F94" s="1611"/>
      <c r="G94" s="1611"/>
      <c r="H94" s="1611"/>
      <c r="I94" s="1611"/>
      <c r="J94" s="1611"/>
      <c r="K94" s="1611"/>
      <c r="L94" s="1611"/>
      <c r="M94" s="1611"/>
      <c r="N94" s="1611"/>
      <c r="O94" s="1611"/>
      <c r="P94" s="1611"/>
      <c r="Q94" s="1611"/>
      <c r="R94" s="1611"/>
      <c r="S94" s="1611"/>
      <c r="T94" s="1611"/>
      <c r="U94" s="1611"/>
      <c r="V94" s="1611"/>
      <c r="W94" s="42"/>
      <c r="X94" s="42"/>
      <c r="Y94" s="42"/>
    </row>
    <row r="95" spans="1:25" ht="23.25" customHeight="1">
      <c r="A95" s="1611" t="s">
        <v>1372</v>
      </c>
      <c r="B95" s="1611"/>
      <c r="C95" s="1611"/>
      <c r="D95" s="1611"/>
      <c r="E95" s="1611"/>
      <c r="F95" s="1611"/>
      <c r="G95" s="1611"/>
      <c r="H95" s="1611"/>
      <c r="I95" s="1611"/>
      <c r="J95" s="1611"/>
      <c r="K95" s="1611"/>
      <c r="L95" s="1611"/>
      <c r="M95" s="1611"/>
      <c r="N95" s="1611"/>
      <c r="O95" s="1611"/>
      <c r="P95" s="1611"/>
      <c r="Q95" s="1611"/>
      <c r="R95" s="1611"/>
      <c r="S95" s="1611"/>
      <c r="T95" s="1611"/>
      <c r="U95" s="1611"/>
      <c r="V95" s="1611"/>
      <c r="W95" s="42"/>
      <c r="X95" s="42"/>
      <c r="Y95" s="42"/>
    </row>
    <row r="96" spans="1:25" ht="24.75" customHeight="1">
      <c r="A96" s="1611" t="s">
        <v>1373</v>
      </c>
      <c r="B96" s="1611"/>
      <c r="C96" s="1611"/>
      <c r="D96" s="1611"/>
      <c r="E96" s="1611"/>
      <c r="F96" s="1611"/>
      <c r="G96" s="1611"/>
      <c r="H96" s="1611"/>
      <c r="I96" s="1611"/>
      <c r="J96" s="1611"/>
      <c r="K96" s="1611"/>
      <c r="L96" s="1611"/>
      <c r="M96" s="1611"/>
      <c r="N96" s="1611"/>
      <c r="O96" s="1611"/>
      <c r="P96" s="1611"/>
      <c r="Q96" s="1611"/>
      <c r="R96" s="1611"/>
      <c r="S96" s="1611"/>
      <c r="T96" s="1611"/>
      <c r="U96" s="1611"/>
      <c r="V96" s="1611"/>
      <c r="W96" s="42"/>
      <c r="X96" s="42"/>
      <c r="Y96" s="42"/>
    </row>
    <row r="97" spans="1:25" ht="34.5" customHeight="1">
      <c r="A97" s="1611" t="s">
        <v>1374</v>
      </c>
      <c r="B97" s="1611"/>
      <c r="C97" s="1611"/>
      <c r="D97" s="1611"/>
      <c r="E97" s="1611"/>
      <c r="F97" s="1611"/>
      <c r="G97" s="1611"/>
      <c r="H97" s="1611"/>
      <c r="I97" s="1611"/>
      <c r="J97" s="1611"/>
      <c r="K97" s="1611"/>
      <c r="L97" s="1611"/>
      <c r="M97" s="1611"/>
      <c r="N97" s="1611"/>
      <c r="O97" s="1611"/>
      <c r="P97" s="1611"/>
      <c r="Q97" s="1611"/>
      <c r="R97" s="1611"/>
      <c r="S97" s="1611"/>
      <c r="T97" s="1611"/>
      <c r="U97" s="1611"/>
      <c r="V97" s="1611"/>
      <c r="W97" s="42"/>
      <c r="X97" s="42"/>
      <c r="Y97" s="42"/>
    </row>
    <row r="98" spans="1:25" ht="26.25" customHeight="1">
      <c r="A98" s="1611" t="s">
        <v>1375</v>
      </c>
      <c r="B98" s="1611"/>
      <c r="C98" s="1611"/>
      <c r="D98" s="1611"/>
      <c r="E98" s="1611"/>
      <c r="F98" s="1611"/>
      <c r="G98" s="1611"/>
      <c r="H98" s="1611"/>
      <c r="I98" s="1611"/>
      <c r="J98" s="1611"/>
      <c r="K98" s="1611"/>
      <c r="L98" s="1611"/>
      <c r="M98" s="1611"/>
      <c r="N98" s="1611"/>
      <c r="O98" s="1611"/>
      <c r="P98" s="1611"/>
      <c r="Q98" s="1611"/>
      <c r="R98" s="1611"/>
      <c r="S98" s="1611"/>
      <c r="T98" s="1611"/>
      <c r="U98" s="1611"/>
      <c r="V98" s="1611"/>
      <c r="W98" s="42"/>
      <c r="X98" s="42"/>
      <c r="Y98" s="42"/>
    </row>
    <row r="99" spans="1:25" ht="22.5" customHeight="1">
      <c r="A99" s="1611" t="s">
        <v>1376</v>
      </c>
      <c r="B99" s="1611"/>
      <c r="C99" s="1611"/>
      <c r="D99" s="1611"/>
      <c r="E99" s="1611"/>
      <c r="F99" s="1611"/>
      <c r="G99" s="1611"/>
      <c r="H99" s="1611"/>
      <c r="I99" s="1611"/>
      <c r="J99" s="1611"/>
      <c r="K99" s="1611"/>
      <c r="L99" s="1611"/>
      <c r="M99" s="1611"/>
      <c r="N99" s="1611"/>
      <c r="O99" s="1611"/>
      <c r="P99" s="1611"/>
      <c r="Q99" s="1611"/>
      <c r="R99" s="1611"/>
      <c r="S99" s="1611"/>
      <c r="T99" s="1611"/>
      <c r="U99" s="1611"/>
      <c r="V99" s="1611"/>
      <c r="W99" s="42"/>
      <c r="X99" s="42"/>
      <c r="Y99" s="42"/>
    </row>
    <row r="101" spans="1:25">
      <c r="A101" s="852" t="s">
        <v>1377</v>
      </c>
    </row>
    <row r="102" spans="1:25" ht="22.5" customHeight="1">
      <c r="A102" s="1611" t="s">
        <v>1378</v>
      </c>
      <c r="B102" s="1611"/>
      <c r="C102" s="1611"/>
      <c r="D102" s="1611"/>
      <c r="E102" s="1611"/>
      <c r="F102" s="1611"/>
      <c r="G102" s="1611"/>
      <c r="H102" s="1611"/>
      <c r="I102" s="1611"/>
      <c r="J102" s="1611"/>
      <c r="K102" s="1611"/>
      <c r="L102" s="1611"/>
      <c r="M102" s="1611"/>
      <c r="N102" s="1611"/>
      <c r="O102" s="1611"/>
      <c r="P102" s="1611"/>
      <c r="Q102" s="1611"/>
      <c r="R102" s="1611"/>
      <c r="S102" s="1611"/>
      <c r="T102" s="1611"/>
      <c r="U102" s="1611"/>
      <c r="V102" s="1611"/>
      <c r="W102" s="42"/>
      <c r="X102" s="42"/>
      <c r="Y102" s="42"/>
    </row>
    <row r="103" spans="1:25" ht="24.75" customHeight="1">
      <c r="A103" s="1611" t="s">
        <v>1379</v>
      </c>
      <c r="B103" s="1611"/>
      <c r="C103" s="1611"/>
      <c r="D103" s="1611"/>
      <c r="E103" s="1611"/>
      <c r="F103" s="1611"/>
      <c r="G103" s="1611"/>
      <c r="H103" s="1611"/>
      <c r="I103" s="1611"/>
      <c r="J103" s="1611"/>
      <c r="K103" s="1611"/>
      <c r="L103" s="1611"/>
      <c r="M103" s="1611"/>
      <c r="N103" s="1611"/>
      <c r="O103" s="1611"/>
      <c r="P103" s="1611"/>
      <c r="Q103" s="1611"/>
      <c r="R103" s="1611"/>
      <c r="S103" s="1611"/>
      <c r="T103" s="1611"/>
      <c r="U103" s="1611"/>
      <c r="V103" s="1611"/>
      <c r="W103" s="42"/>
      <c r="X103" s="42"/>
      <c r="Y103" s="42"/>
    </row>
    <row r="104" spans="1:25">
      <c r="A104" s="1611" t="s">
        <v>1380</v>
      </c>
      <c r="B104" s="1611"/>
      <c r="C104" s="1611"/>
      <c r="D104" s="1611"/>
      <c r="E104" s="1611"/>
      <c r="F104" s="1611"/>
      <c r="G104" s="1611"/>
      <c r="H104" s="1611"/>
      <c r="I104" s="1611"/>
      <c r="J104" s="1611"/>
      <c r="K104" s="1611"/>
      <c r="L104" s="1611"/>
      <c r="M104" s="1611"/>
      <c r="N104" s="1611"/>
      <c r="O104" s="1611"/>
      <c r="P104" s="1611"/>
      <c r="Q104" s="1611"/>
      <c r="R104" s="1611"/>
      <c r="S104" s="1611"/>
      <c r="T104" s="1611"/>
      <c r="U104" s="1611"/>
      <c r="V104" s="1611"/>
      <c r="W104" s="42"/>
      <c r="X104" s="42"/>
      <c r="Y104" s="42"/>
    </row>
    <row r="105" spans="1:25" ht="21" customHeight="1">
      <c r="A105" s="1611" t="s">
        <v>1381</v>
      </c>
      <c r="B105" s="1611"/>
      <c r="C105" s="1611"/>
      <c r="D105" s="1611"/>
      <c r="E105" s="1611"/>
      <c r="F105" s="1611"/>
      <c r="G105" s="1611"/>
      <c r="H105" s="1611"/>
      <c r="I105" s="1611"/>
      <c r="J105" s="1611"/>
      <c r="K105" s="1611"/>
      <c r="L105" s="1611"/>
      <c r="M105" s="1611"/>
      <c r="N105" s="1611"/>
      <c r="O105" s="1611"/>
      <c r="P105" s="1611"/>
      <c r="Q105" s="1611"/>
      <c r="R105" s="1611"/>
      <c r="S105" s="1611"/>
      <c r="T105" s="1611"/>
      <c r="U105" s="1611"/>
      <c r="V105" s="1611"/>
      <c r="W105" s="42"/>
      <c r="X105" s="42"/>
      <c r="Y105" s="42"/>
    </row>
    <row r="106" spans="1:25" ht="22.5" customHeight="1">
      <c r="A106" s="1611" t="s">
        <v>1382</v>
      </c>
      <c r="B106" s="1611"/>
      <c r="C106" s="1611"/>
      <c r="D106" s="1611"/>
      <c r="E106" s="1611"/>
      <c r="F106" s="1611"/>
      <c r="G106" s="1611"/>
      <c r="H106" s="1611"/>
      <c r="I106" s="1611"/>
      <c r="J106" s="1611"/>
      <c r="K106" s="1611"/>
      <c r="L106" s="1611"/>
      <c r="M106" s="1611"/>
      <c r="N106" s="1611"/>
      <c r="O106" s="1611"/>
      <c r="P106" s="1611"/>
      <c r="Q106" s="1611"/>
      <c r="R106" s="1611"/>
      <c r="S106" s="1611"/>
      <c r="T106" s="1611"/>
      <c r="U106" s="1611"/>
      <c r="V106" s="1611"/>
      <c r="W106" s="42"/>
      <c r="X106" s="42"/>
      <c r="Y106" s="42"/>
    </row>
    <row r="107" spans="1:25" ht="21.75" customHeight="1">
      <c r="A107" s="1611" t="s">
        <v>1383</v>
      </c>
      <c r="B107" s="1611"/>
      <c r="C107" s="1611"/>
      <c r="D107" s="1611"/>
      <c r="E107" s="1611"/>
      <c r="F107" s="1611"/>
      <c r="G107" s="1611"/>
      <c r="H107" s="1611"/>
      <c r="I107" s="1611"/>
      <c r="J107" s="1611"/>
      <c r="K107" s="1611"/>
      <c r="L107" s="1611"/>
      <c r="M107" s="1611"/>
      <c r="N107" s="1611"/>
      <c r="O107" s="1611"/>
      <c r="P107" s="1611"/>
      <c r="Q107" s="1611"/>
      <c r="R107" s="1611"/>
      <c r="S107" s="1611"/>
      <c r="T107" s="1611"/>
      <c r="U107" s="1611"/>
      <c r="V107" s="1611"/>
      <c r="W107" s="42"/>
      <c r="X107" s="42"/>
      <c r="Y107" s="42"/>
    </row>
    <row r="109" spans="1:25">
      <c r="A109" s="852" t="s">
        <v>1384</v>
      </c>
    </row>
    <row r="110" spans="1:25" ht="21" customHeight="1">
      <c r="A110" s="1611" t="s">
        <v>1385</v>
      </c>
      <c r="B110" s="1611"/>
      <c r="C110" s="1611"/>
      <c r="D110" s="1611"/>
      <c r="E110" s="1611"/>
      <c r="F110" s="1611"/>
      <c r="G110" s="1611"/>
      <c r="H110" s="1611"/>
      <c r="I110" s="1611"/>
      <c r="J110" s="1611"/>
      <c r="K110" s="1611"/>
      <c r="L110" s="1611"/>
      <c r="M110" s="1611"/>
      <c r="N110" s="1611"/>
      <c r="O110" s="1611"/>
      <c r="P110" s="1611"/>
      <c r="Q110" s="1611"/>
      <c r="R110" s="1611"/>
      <c r="S110" s="1611"/>
      <c r="T110" s="1611"/>
      <c r="U110" s="1611"/>
      <c r="V110" s="1611"/>
      <c r="W110" s="42"/>
      <c r="X110" s="42"/>
      <c r="Y110" s="42"/>
    </row>
    <row r="111" spans="1:25" ht="22.5" customHeight="1">
      <c r="A111" s="1611" t="s">
        <v>1386</v>
      </c>
      <c r="B111" s="1611"/>
      <c r="C111" s="1611"/>
      <c r="D111" s="1611"/>
      <c r="E111" s="1611"/>
      <c r="F111" s="1611"/>
      <c r="G111" s="1611"/>
      <c r="H111" s="1611"/>
      <c r="I111" s="1611"/>
      <c r="J111" s="1611"/>
      <c r="K111" s="1611"/>
      <c r="L111" s="1611"/>
      <c r="M111" s="1611"/>
      <c r="N111" s="1611"/>
      <c r="O111" s="1611"/>
      <c r="P111" s="1611"/>
      <c r="Q111" s="1611"/>
      <c r="R111" s="1611"/>
      <c r="S111" s="1611"/>
      <c r="T111" s="1611"/>
      <c r="U111" s="1611"/>
      <c r="V111" s="1611"/>
      <c r="W111" s="42"/>
      <c r="X111" s="42"/>
      <c r="Y111" s="42"/>
    </row>
    <row r="112" spans="1:25">
      <c r="A112" s="1611" t="s">
        <v>1387</v>
      </c>
      <c r="B112" s="1611"/>
      <c r="C112" s="1611"/>
      <c r="D112" s="1611"/>
      <c r="E112" s="1611"/>
      <c r="F112" s="1611"/>
      <c r="G112" s="1611"/>
      <c r="H112" s="1611"/>
      <c r="I112" s="1611"/>
      <c r="J112" s="1611"/>
      <c r="K112" s="1611"/>
      <c r="L112" s="1611"/>
      <c r="M112" s="1611"/>
      <c r="N112" s="1611"/>
      <c r="O112" s="1611"/>
      <c r="P112" s="1611"/>
      <c r="Q112" s="1611"/>
      <c r="R112" s="1611"/>
      <c r="S112" s="1611"/>
      <c r="T112" s="1611"/>
      <c r="U112" s="1611"/>
      <c r="V112" s="1611"/>
      <c r="W112" s="42"/>
      <c r="X112" s="42"/>
      <c r="Y112" s="42"/>
    </row>
    <row r="113" spans="1:25" ht="23.25" customHeight="1">
      <c r="A113" s="1611" t="s">
        <v>1388</v>
      </c>
      <c r="B113" s="1611"/>
      <c r="C113" s="1611"/>
      <c r="D113" s="1611"/>
      <c r="E113" s="1611"/>
      <c r="F113" s="1611"/>
      <c r="G113" s="1611"/>
      <c r="H113" s="1611"/>
      <c r="I113" s="1611"/>
      <c r="J113" s="1611"/>
      <c r="K113" s="1611"/>
      <c r="L113" s="1611"/>
      <c r="M113" s="1611"/>
      <c r="N113" s="1611"/>
      <c r="O113" s="1611"/>
      <c r="P113" s="1611"/>
      <c r="Q113" s="1611"/>
      <c r="R113" s="1611"/>
      <c r="S113" s="1611"/>
      <c r="T113" s="1611"/>
      <c r="U113" s="1611"/>
      <c r="V113" s="1611"/>
      <c r="W113" s="42"/>
      <c r="X113" s="42"/>
      <c r="Y113" s="42"/>
    </row>
    <row r="114" spans="1:25" ht="22.5" customHeight="1">
      <c r="A114" s="1611" t="s">
        <v>1389</v>
      </c>
      <c r="B114" s="1611"/>
      <c r="C114" s="1611"/>
      <c r="D114" s="1611"/>
      <c r="E114" s="1611"/>
      <c r="F114" s="1611"/>
      <c r="G114" s="1611"/>
      <c r="H114" s="1611"/>
      <c r="I114" s="1611"/>
      <c r="J114" s="1611"/>
      <c r="K114" s="1611"/>
      <c r="L114" s="1611"/>
      <c r="M114" s="1611"/>
      <c r="N114" s="1611"/>
      <c r="O114" s="1611"/>
      <c r="P114" s="1611"/>
      <c r="Q114" s="1611"/>
      <c r="R114" s="1611"/>
      <c r="S114" s="1611"/>
      <c r="T114" s="1611"/>
      <c r="U114" s="1611"/>
      <c r="V114" s="1611"/>
      <c r="W114" s="42"/>
      <c r="X114" s="42"/>
      <c r="Y114" s="42"/>
    </row>
    <row r="115" spans="1:25" ht="24.75" customHeight="1">
      <c r="A115" s="1611" t="s">
        <v>1390</v>
      </c>
      <c r="B115" s="1611"/>
      <c r="C115" s="1611"/>
      <c r="D115" s="1611"/>
      <c r="E115" s="1611"/>
      <c r="F115" s="1611"/>
      <c r="G115" s="1611"/>
      <c r="H115" s="1611"/>
      <c r="I115" s="1611"/>
      <c r="J115" s="1611"/>
      <c r="K115" s="1611"/>
      <c r="L115" s="1611"/>
      <c r="M115" s="1611"/>
      <c r="N115" s="1611"/>
      <c r="O115" s="1611"/>
      <c r="P115" s="1611"/>
      <c r="Q115" s="1611"/>
      <c r="R115" s="1611"/>
      <c r="S115" s="1611"/>
      <c r="T115" s="1611"/>
      <c r="U115" s="1611"/>
      <c r="V115" s="1611"/>
      <c r="W115" s="42"/>
      <c r="X115" s="42"/>
      <c r="Y115" s="42"/>
    </row>
    <row r="117" spans="1:25">
      <c r="A117" s="852" t="s">
        <v>1391</v>
      </c>
    </row>
    <row r="118" spans="1:25" ht="23.25" customHeight="1">
      <c r="A118" s="1611" t="s">
        <v>1392</v>
      </c>
      <c r="B118" s="1611"/>
      <c r="C118" s="1611"/>
      <c r="D118" s="1611"/>
      <c r="E118" s="1611"/>
      <c r="F118" s="1611"/>
      <c r="G118" s="1611"/>
      <c r="H118" s="1611"/>
      <c r="I118" s="1611"/>
      <c r="J118" s="1611"/>
      <c r="K118" s="1611"/>
      <c r="L118" s="1611"/>
      <c r="M118" s="1611"/>
      <c r="N118" s="1611"/>
      <c r="O118" s="1611"/>
      <c r="P118" s="1611"/>
      <c r="Q118" s="1611"/>
      <c r="R118" s="1611"/>
      <c r="S118" s="1611"/>
      <c r="T118" s="1611"/>
      <c r="U118" s="1611"/>
      <c r="V118" s="1611"/>
      <c r="W118" s="42"/>
      <c r="X118" s="42"/>
      <c r="Y118" s="42"/>
    </row>
    <row r="119" spans="1:25" ht="22.5" customHeight="1">
      <c r="A119" s="1611" t="s">
        <v>1393</v>
      </c>
      <c r="B119" s="1611"/>
      <c r="C119" s="1611"/>
      <c r="D119" s="1611"/>
      <c r="E119" s="1611"/>
      <c r="F119" s="1611"/>
      <c r="G119" s="1611"/>
      <c r="H119" s="1611"/>
      <c r="I119" s="1611"/>
      <c r="J119" s="1611"/>
      <c r="K119" s="1611"/>
      <c r="L119" s="1611"/>
      <c r="M119" s="1611"/>
      <c r="N119" s="1611"/>
      <c r="O119" s="1611"/>
      <c r="P119" s="1611"/>
      <c r="Q119" s="1611"/>
      <c r="R119" s="1611"/>
      <c r="S119" s="1611"/>
      <c r="T119" s="1611"/>
      <c r="U119" s="1611"/>
      <c r="V119" s="1611"/>
      <c r="W119" s="42"/>
      <c r="X119" s="42"/>
      <c r="Y119" s="42"/>
    </row>
    <row r="120" spans="1:25">
      <c r="A120" s="1611" t="s">
        <v>1394</v>
      </c>
      <c r="B120" s="1611"/>
      <c r="C120" s="1611"/>
      <c r="D120" s="1611"/>
      <c r="E120" s="1611"/>
      <c r="F120" s="1611"/>
      <c r="G120" s="1611"/>
      <c r="H120" s="1611"/>
      <c r="I120" s="1611"/>
      <c r="J120" s="1611"/>
      <c r="K120" s="1611"/>
      <c r="L120" s="1611"/>
      <c r="M120" s="1611"/>
      <c r="N120" s="1611"/>
      <c r="O120" s="1611"/>
      <c r="P120" s="1611"/>
      <c r="Q120" s="1611"/>
      <c r="R120" s="1611"/>
      <c r="S120" s="1611"/>
      <c r="T120" s="1611"/>
      <c r="U120" s="1611"/>
      <c r="V120" s="1611"/>
      <c r="W120" s="42"/>
      <c r="X120" s="42"/>
      <c r="Y120" s="42"/>
    </row>
    <row r="121" spans="1:25" ht="23.25" customHeight="1">
      <c r="A121" s="1611" t="s">
        <v>1395</v>
      </c>
      <c r="B121" s="1611"/>
      <c r="C121" s="1611"/>
      <c r="D121" s="1611"/>
      <c r="E121" s="1611"/>
      <c r="F121" s="1611"/>
      <c r="G121" s="1611"/>
      <c r="H121" s="1611"/>
      <c r="I121" s="1611"/>
      <c r="J121" s="1611"/>
      <c r="K121" s="1611"/>
      <c r="L121" s="1611"/>
      <c r="M121" s="1611"/>
      <c r="N121" s="1611"/>
      <c r="O121" s="1611"/>
      <c r="P121" s="1611"/>
      <c r="Q121" s="1611"/>
      <c r="R121" s="1611"/>
      <c r="S121" s="1611"/>
      <c r="T121" s="1611"/>
      <c r="U121" s="1611"/>
      <c r="V121" s="1611"/>
      <c r="W121" s="42"/>
      <c r="X121" s="42"/>
      <c r="Y121" s="42"/>
    </row>
    <row r="122" spans="1:25" ht="22.5" customHeight="1">
      <c r="A122" s="1611" t="s">
        <v>1396</v>
      </c>
      <c r="B122" s="1611"/>
      <c r="C122" s="1611"/>
      <c r="D122" s="1611"/>
      <c r="E122" s="1611"/>
      <c r="F122" s="1611"/>
      <c r="G122" s="1611"/>
      <c r="H122" s="1611"/>
      <c r="I122" s="1611"/>
      <c r="J122" s="1611"/>
      <c r="K122" s="1611"/>
      <c r="L122" s="1611"/>
      <c r="M122" s="1611"/>
      <c r="N122" s="1611"/>
      <c r="O122" s="1611"/>
      <c r="P122" s="1611"/>
      <c r="Q122" s="1611"/>
      <c r="R122" s="1611"/>
      <c r="S122" s="1611"/>
      <c r="T122" s="1611"/>
      <c r="U122" s="1611"/>
      <c r="V122" s="1611"/>
      <c r="W122" s="42"/>
      <c r="X122" s="42"/>
      <c r="Y122" s="42"/>
    </row>
    <row r="123" spans="1:25" ht="22.5" customHeight="1">
      <c r="A123" s="1611" t="s">
        <v>1397</v>
      </c>
      <c r="B123" s="1611"/>
      <c r="C123" s="1611"/>
      <c r="D123" s="1611"/>
      <c r="E123" s="1611"/>
      <c r="F123" s="1611"/>
      <c r="G123" s="1611"/>
      <c r="H123" s="1611"/>
      <c r="I123" s="1611"/>
      <c r="J123" s="1611"/>
      <c r="K123" s="1611"/>
      <c r="L123" s="1611"/>
      <c r="M123" s="1611"/>
      <c r="N123" s="1611"/>
      <c r="O123" s="1611"/>
      <c r="P123" s="1611"/>
      <c r="Q123" s="1611"/>
      <c r="R123" s="1611"/>
      <c r="S123" s="1611"/>
      <c r="T123" s="1611"/>
      <c r="U123" s="1611"/>
      <c r="V123" s="1611"/>
      <c r="W123" s="42"/>
      <c r="X123" s="42"/>
      <c r="Y123" s="42"/>
    </row>
    <row r="125" spans="1:25">
      <c r="A125" s="852" t="s">
        <v>1398</v>
      </c>
    </row>
    <row r="126" spans="1:25" ht="23.25" customHeight="1">
      <c r="A126" s="1611" t="s">
        <v>1399</v>
      </c>
      <c r="B126" s="1611"/>
      <c r="C126" s="1611"/>
      <c r="D126" s="1611"/>
      <c r="E126" s="1611"/>
      <c r="F126" s="1611"/>
      <c r="G126" s="1611"/>
      <c r="H126" s="1611"/>
      <c r="I126" s="1611"/>
      <c r="J126" s="1611"/>
      <c r="K126" s="1611"/>
      <c r="L126" s="1611"/>
      <c r="M126" s="1611"/>
      <c r="N126" s="1611"/>
      <c r="O126" s="1611"/>
      <c r="P126" s="1611"/>
      <c r="Q126" s="1611"/>
      <c r="R126" s="1611"/>
      <c r="S126" s="1611"/>
      <c r="T126" s="1611"/>
      <c r="U126" s="1611"/>
      <c r="V126" s="1611"/>
      <c r="W126" s="42"/>
      <c r="X126" s="42"/>
      <c r="Y126" s="42"/>
    </row>
    <row r="127" spans="1:25" ht="23.25" customHeight="1">
      <c r="A127" s="1611" t="s">
        <v>1400</v>
      </c>
      <c r="B127" s="1611"/>
      <c r="C127" s="1611"/>
      <c r="D127" s="1611"/>
      <c r="E127" s="1611"/>
      <c r="F127" s="1611"/>
      <c r="G127" s="1611"/>
      <c r="H127" s="1611"/>
      <c r="I127" s="1611"/>
      <c r="J127" s="1611"/>
      <c r="K127" s="1611"/>
      <c r="L127" s="1611"/>
      <c r="M127" s="1611"/>
      <c r="N127" s="1611"/>
      <c r="O127" s="1611"/>
      <c r="P127" s="1611"/>
      <c r="Q127" s="1611"/>
      <c r="R127" s="1611"/>
      <c r="S127" s="1611"/>
      <c r="T127" s="1611"/>
      <c r="U127" s="1611"/>
      <c r="V127" s="1611"/>
      <c r="W127" s="42"/>
      <c r="X127" s="42"/>
      <c r="Y127" s="42"/>
    </row>
    <row r="128" spans="1:25" ht="22.5" customHeight="1">
      <c r="A128" s="1611" t="s">
        <v>1401</v>
      </c>
      <c r="B128" s="1611"/>
      <c r="C128" s="1611"/>
      <c r="D128" s="1611"/>
      <c r="E128" s="1611"/>
      <c r="F128" s="1611"/>
      <c r="G128" s="1611"/>
      <c r="H128" s="1611"/>
      <c r="I128" s="1611"/>
      <c r="J128" s="1611"/>
      <c r="K128" s="1611"/>
      <c r="L128" s="1611"/>
      <c r="M128" s="1611"/>
      <c r="N128" s="1611"/>
      <c r="O128" s="1611"/>
      <c r="P128" s="1611"/>
      <c r="Q128" s="1611"/>
      <c r="R128" s="1611"/>
      <c r="S128" s="1611"/>
      <c r="T128" s="1611"/>
      <c r="U128" s="1611"/>
      <c r="V128" s="1611"/>
      <c r="W128" s="42"/>
      <c r="X128" s="42"/>
      <c r="Y128" s="42"/>
    </row>
    <row r="129" spans="1:25" ht="23.25" customHeight="1">
      <c r="A129" s="1611" t="s">
        <v>1402</v>
      </c>
      <c r="B129" s="1611"/>
      <c r="C129" s="1611"/>
      <c r="D129" s="1611"/>
      <c r="E129" s="1611"/>
      <c r="F129" s="1611"/>
      <c r="G129" s="1611"/>
      <c r="H129" s="1611"/>
      <c r="I129" s="1611"/>
      <c r="J129" s="1611"/>
      <c r="K129" s="1611"/>
      <c r="L129" s="1611"/>
      <c r="M129" s="1611"/>
      <c r="N129" s="1611"/>
      <c r="O129" s="1611"/>
      <c r="P129" s="1611"/>
      <c r="Q129" s="1611"/>
      <c r="R129" s="1611"/>
      <c r="S129" s="1611"/>
      <c r="T129" s="1611"/>
      <c r="U129" s="1611"/>
      <c r="V129" s="1611"/>
      <c r="W129" s="42"/>
      <c r="X129" s="42"/>
      <c r="Y129" s="42"/>
    </row>
    <row r="130" spans="1:25" ht="33" customHeight="1">
      <c r="A130" s="1611" t="s">
        <v>1403</v>
      </c>
      <c r="B130" s="1611"/>
      <c r="C130" s="1611"/>
      <c r="D130" s="1611"/>
      <c r="E130" s="1611"/>
      <c r="F130" s="1611"/>
      <c r="G130" s="1611"/>
      <c r="H130" s="1611"/>
      <c r="I130" s="1611"/>
      <c r="J130" s="1611"/>
      <c r="K130" s="1611"/>
      <c r="L130" s="1611"/>
      <c r="M130" s="1611"/>
      <c r="N130" s="1611"/>
      <c r="O130" s="1611"/>
      <c r="P130" s="1611"/>
      <c r="Q130" s="1611"/>
      <c r="R130" s="1611"/>
      <c r="S130" s="1611"/>
      <c r="T130" s="1611"/>
      <c r="U130" s="1611"/>
      <c r="V130" s="1611"/>
      <c r="W130" s="42"/>
      <c r="X130" s="42"/>
      <c r="Y130" s="42"/>
    </row>
    <row r="131" spans="1:25" ht="32.25" customHeight="1">
      <c r="A131" s="1611" t="s">
        <v>1404</v>
      </c>
      <c r="B131" s="1611"/>
      <c r="C131" s="1611"/>
      <c r="D131" s="1611"/>
      <c r="E131" s="1611"/>
      <c r="F131" s="1611"/>
      <c r="G131" s="1611"/>
      <c r="H131" s="1611"/>
      <c r="I131" s="1611"/>
      <c r="J131" s="1611"/>
      <c r="K131" s="1611"/>
      <c r="L131" s="1611"/>
      <c r="M131" s="1611"/>
      <c r="N131" s="1611"/>
      <c r="O131" s="1611"/>
      <c r="P131" s="1611"/>
      <c r="Q131" s="1611"/>
      <c r="R131" s="1611"/>
      <c r="S131" s="1611"/>
      <c r="T131" s="1611"/>
      <c r="U131" s="1611"/>
      <c r="V131" s="1611"/>
      <c r="W131" s="42"/>
      <c r="X131" s="42"/>
      <c r="Y131" s="42"/>
    </row>
    <row r="132" spans="1:25" ht="24.75" customHeight="1">
      <c r="A132" s="1611" t="s">
        <v>1405</v>
      </c>
      <c r="B132" s="1611"/>
      <c r="C132" s="1611"/>
      <c r="D132" s="1611"/>
      <c r="E132" s="1611"/>
      <c r="F132" s="1611"/>
      <c r="G132" s="1611"/>
      <c r="H132" s="1611"/>
      <c r="I132" s="1611"/>
      <c r="J132" s="1611"/>
      <c r="K132" s="1611"/>
      <c r="L132" s="1611"/>
      <c r="M132" s="1611"/>
      <c r="N132" s="1611"/>
      <c r="O132" s="1611"/>
      <c r="P132" s="1611"/>
      <c r="Q132" s="1611"/>
      <c r="R132" s="1611"/>
      <c r="S132" s="1611"/>
      <c r="T132" s="1611"/>
      <c r="U132" s="1611"/>
      <c r="V132" s="1611"/>
      <c r="W132" s="42"/>
      <c r="X132" s="42"/>
      <c r="Y132" s="42"/>
    </row>
    <row r="134" spans="1:25">
      <c r="A134" s="852" t="s">
        <v>1406</v>
      </c>
    </row>
    <row r="135" spans="1:25" ht="23.25" customHeight="1">
      <c r="A135" s="1611" t="s">
        <v>1407</v>
      </c>
      <c r="B135" s="1611"/>
      <c r="C135" s="1611"/>
      <c r="D135" s="1611"/>
      <c r="E135" s="1611"/>
      <c r="F135" s="1611"/>
      <c r="G135" s="1611"/>
      <c r="H135" s="1611"/>
      <c r="I135" s="1611"/>
      <c r="J135" s="1611"/>
      <c r="K135" s="1611"/>
      <c r="L135" s="1611"/>
      <c r="M135" s="1611"/>
      <c r="N135" s="1611"/>
      <c r="O135" s="1611"/>
      <c r="P135" s="1611"/>
      <c r="Q135" s="1611"/>
      <c r="R135" s="1611"/>
      <c r="S135" s="1611"/>
      <c r="T135" s="1611"/>
      <c r="U135" s="1611"/>
      <c r="V135" s="1611"/>
      <c r="W135" s="42"/>
      <c r="X135" s="42"/>
      <c r="Y135" s="42"/>
    </row>
    <row r="136" spans="1:25" ht="21.75" customHeight="1">
      <c r="A136" s="1611" t="s">
        <v>1408</v>
      </c>
      <c r="B136" s="1611"/>
      <c r="C136" s="1611"/>
      <c r="D136" s="1611"/>
      <c r="E136" s="1611"/>
      <c r="F136" s="1611"/>
      <c r="G136" s="1611"/>
      <c r="H136" s="1611"/>
      <c r="I136" s="1611"/>
      <c r="J136" s="1611"/>
      <c r="K136" s="1611"/>
      <c r="L136" s="1611"/>
      <c r="M136" s="1611"/>
      <c r="N136" s="1611"/>
      <c r="O136" s="1611"/>
      <c r="P136" s="1611"/>
      <c r="Q136" s="1611"/>
      <c r="R136" s="1611"/>
      <c r="S136" s="1611"/>
      <c r="T136" s="1611"/>
      <c r="U136" s="1611"/>
      <c r="V136" s="1611"/>
      <c r="W136" s="42"/>
      <c r="X136" s="42"/>
      <c r="Y136" s="42"/>
    </row>
    <row r="137" spans="1:25" ht="21" customHeight="1">
      <c r="A137" s="1611" t="s">
        <v>1409</v>
      </c>
      <c r="B137" s="1611"/>
      <c r="C137" s="1611"/>
      <c r="D137" s="1611"/>
      <c r="E137" s="1611"/>
      <c r="F137" s="1611"/>
      <c r="G137" s="1611"/>
      <c r="H137" s="1611"/>
      <c r="I137" s="1611"/>
      <c r="J137" s="1611"/>
      <c r="K137" s="1611"/>
      <c r="L137" s="1611"/>
      <c r="M137" s="1611"/>
      <c r="N137" s="1611"/>
      <c r="O137" s="1611"/>
      <c r="P137" s="1611"/>
      <c r="Q137" s="1611"/>
      <c r="R137" s="1611"/>
      <c r="S137" s="1611"/>
      <c r="T137" s="1611"/>
      <c r="U137" s="1611"/>
      <c r="V137" s="1611"/>
      <c r="W137" s="42"/>
      <c r="X137" s="42"/>
      <c r="Y137" s="42"/>
    </row>
    <row r="138" spans="1:25" ht="33" customHeight="1">
      <c r="A138" s="1611" t="s">
        <v>1410</v>
      </c>
      <c r="B138" s="1611"/>
      <c r="C138" s="1611"/>
      <c r="D138" s="1611"/>
      <c r="E138" s="1611"/>
      <c r="F138" s="1611"/>
      <c r="G138" s="1611"/>
      <c r="H138" s="1611"/>
      <c r="I138" s="1611"/>
      <c r="J138" s="1611"/>
      <c r="K138" s="1611"/>
      <c r="L138" s="1611"/>
      <c r="M138" s="1611"/>
      <c r="N138" s="1611"/>
      <c r="O138" s="1611"/>
      <c r="P138" s="1611"/>
      <c r="Q138" s="1611"/>
      <c r="R138" s="1611"/>
      <c r="S138" s="1611"/>
      <c r="T138" s="1611"/>
      <c r="U138" s="1611"/>
      <c r="V138" s="1611"/>
      <c r="W138" s="42"/>
      <c r="X138" s="42"/>
      <c r="Y138" s="42"/>
    </row>
    <row r="139" spans="1:25" ht="33" customHeight="1">
      <c r="A139" s="1611" t="s">
        <v>1411</v>
      </c>
      <c r="B139" s="1611"/>
      <c r="C139" s="1611"/>
      <c r="D139" s="1611"/>
      <c r="E139" s="1611"/>
      <c r="F139" s="1611"/>
      <c r="G139" s="1611"/>
      <c r="H139" s="1611"/>
      <c r="I139" s="1611"/>
      <c r="J139" s="1611"/>
      <c r="K139" s="1611"/>
      <c r="L139" s="1611"/>
      <c r="M139" s="1611"/>
      <c r="N139" s="1611"/>
      <c r="O139" s="1611"/>
      <c r="P139" s="1611"/>
      <c r="Q139" s="1611"/>
      <c r="R139" s="1611"/>
      <c r="S139" s="1611"/>
      <c r="T139" s="1611"/>
      <c r="U139" s="1611"/>
      <c r="V139" s="1611"/>
      <c r="W139" s="42"/>
      <c r="X139" s="42"/>
      <c r="Y139" s="42"/>
    </row>
    <row r="140" spans="1:25" ht="24" customHeight="1">
      <c r="A140" s="1611" t="s">
        <v>1412</v>
      </c>
      <c r="B140" s="1611"/>
      <c r="C140" s="1611"/>
      <c r="D140" s="1611"/>
      <c r="E140" s="1611"/>
      <c r="F140" s="1611"/>
      <c r="G140" s="1611"/>
      <c r="H140" s="1611"/>
      <c r="I140" s="1611"/>
      <c r="J140" s="1611"/>
      <c r="K140" s="1611"/>
      <c r="L140" s="1611"/>
      <c r="M140" s="1611"/>
      <c r="N140" s="1611"/>
      <c r="O140" s="1611"/>
      <c r="P140" s="1611"/>
      <c r="Q140" s="1611"/>
      <c r="R140" s="1611"/>
      <c r="S140" s="1611"/>
      <c r="T140" s="1611"/>
      <c r="U140" s="1611"/>
      <c r="V140" s="1611"/>
      <c r="W140" s="42"/>
      <c r="X140" s="42"/>
      <c r="Y140" s="42"/>
    </row>
    <row r="142" spans="1:25" ht="10.5">
      <c r="A142" s="1" t="s">
        <v>1413</v>
      </c>
    </row>
    <row r="144" spans="1:25" ht="10.5">
      <c r="A144" s="1"/>
      <c r="B144" s="1">
        <v>2018</v>
      </c>
      <c r="C144" s="1">
        <f>+B144+1</f>
        <v>2019</v>
      </c>
      <c r="D144" s="1">
        <f t="shared" ref="D144:K144" si="55">+C144+1</f>
        <v>2020</v>
      </c>
      <c r="E144" s="1050" t="s">
        <v>1414</v>
      </c>
      <c r="F144" s="1051">
        <v>2022</v>
      </c>
      <c r="G144" s="1036" t="s">
        <v>1415</v>
      </c>
      <c r="H144" s="1036">
        <v>2024</v>
      </c>
      <c r="I144" s="1">
        <f t="shared" si="55"/>
        <v>2025</v>
      </c>
      <c r="J144" s="1">
        <f t="shared" si="55"/>
        <v>2026</v>
      </c>
      <c r="K144" s="1">
        <f t="shared" si="55"/>
        <v>2027</v>
      </c>
      <c r="L144" s="1">
        <v>2028</v>
      </c>
      <c r="M144" s="1">
        <v>2029</v>
      </c>
      <c r="N144" s="1">
        <v>2030</v>
      </c>
      <c r="O144" s="1">
        <v>2031</v>
      </c>
      <c r="P144" s="1">
        <v>2032</v>
      </c>
      <c r="Q144" s="1">
        <v>2033</v>
      </c>
      <c r="R144" s="1">
        <v>2034</v>
      </c>
      <c r="S144" s="1" t="s">
        <v>1416</v>
      </c>
      <c r="T144" s="1"/>
    </row>
    <row r="145" spans="1:19" ht="10.5">
      <c r="A145" s="1038">
        <v>2018</v>
      </c>
      <c r="B145" s="1025">
        <v>4</v>
      </c>
      <c r="C145" s="1025">
        <v>4</v>
      </c>
      <c r="D145" s="1025">
        <v>4</v>
      </c>
      <c r="E145" s="1026"/>
      <c r="F145" s="1040"/>
      <c r="G145" s="1027"/>
      <c r="H145" s="1027"/>
      <c r="I145" s="1027"/>
      <c r="J145" s="1027"/>
      <c r="K145" s="1027"/>
      <c r="L145" s="1027"/>
      <c r="M145" s="1027"/>
      <c r="S145" s="1031">
        <v>12</v>
      </c>
    </row>
    <row r="146" spans="1:19" ht="10.5">
      <c r="A146" s="1038">
        <v>2019</v>
      </c>
      <c r="B146" s="1027"/>
      <c r="C146" s="1025">
        <v>4</v>
      </c>
      <c r="D146" s="1025">
        <v>4</v>
      </c>
      <c r="E146" s="1035">
        <f>+($S146-D146-C146)/2</f>
        <v>2</v>
      </c>
      <c r="F146" s="1041">
        <f>+E146</f>
        <v>2</v>
      </c>
      <c r="G146" s="1027"/>
      <c r="H146" s="1027"/>
      <c r="I146" s="1027"/>
      <c r="J146" s="1027"/>
      <c r="K146" s="1027"/>
      <c r="L146" s="1027"/>
      <c r="M146" s="1027"/>
      <c r="S146" s="1031">
        <v>12</v>
      </c>
    </row>
    <row r="147" spans="1:19" ht="10.5">
      <c r="A147" s="1038">
        <v>2020</v>
      </c>
      <c r="B147" s="1027"/>
      <c r="C147" s="1027"/>
      <c r="D147" s="1025">
        <v>4</v>
      </c>
      <c r="E147" s="1035">
        <f>+($S147-D147)/3</f>
        <v>2.6666666666666665</v>
      </c>
      <c r="F147" s="1041">
        <f>+E147</f>
        <v>2.6666666666666665</v>
      </c>
      <c r="G147" s="1046">
        <f>+(S147-F147-E147-D147)/3</f>
        <v>0.88888888888888928</v>
      </c>
      <c r="H147" s="1046">
        <f t="shared" ref="H147:I149" si="56">+G147</f>
        <v>0.88888888888888928</v>
      </c>
      <c r="I147" s="1046">
        <f t="shared" si="56"/>
        <v>0.88888888888888928</v>
      </c>
      <c r="J147" s="1027"/>
      <c r="K147" s="1027"/>
      <c r="L147" s="1027"/>
      <c r="M147" s="1027"/>
      <c r="N147" s="1027"/>
      <c r="O147" s="1027"/>
      <c r="P147" s="1027"/>
      <c r="Q147" s="1027"/>
      <c r="R147" s="1027"/>
      <c r="S147" s="1031">
        <v>12</v>
      </c>
    </row>
    <row r="148" spans="1:19" ht="10.5">
      <c r="A148" s="1039" t="s">
        <v>1414</v>
      </c>
      <c r="B148" s="1028"/>
      <c r="C148" s="1028"/>
      <c r="D148" s="1028"/>
      <c r="E148" s="1029">
        <v>3</v>
      </c>
      <c r="F148" s="1042">
        <v>3</v>
      </c>
      <c r="G148" s="1047">
        <f>+(S148-F148-E148)/4</f>
        <v>1.5</v>
      </c>
      <c r="H148" s="1047">
        <f t="shared" si="56"/>
        <v>1.5</v>
      </c>
      <c r="I148" s="1047">
        <f t="shared" si="56"/>
        <v>1.5</v>
      </c>
      <c r="J148" s="1047">
        <f>+I148</f>
        <v>1.5</v>
      </c>
      <c r="K148" s="1028"/>
      <c r="L148" s="1028"/>
      <c r="M148" s="1028"/>
      <c r="N148" s="1028"/>
      <c r="O148" s="1028"/>
      <c r="P148" s="1028"/>
      <c r="Q148" s="1028"/>
      <c r="R148" s="1028"/>
      <c r="S148" s="1032">
        <v>12</v>
      </c>
    </row>
    <row r="149" spans="1:19" ht="10.5">
      <c r="A149" s="1038">
        <v>2022</v>
      </c>
      <c r="B149" s="1027"/>
      <c r="C149" s="1027"/>
      <c r="D149" s="1027"/>
      <c r="E149" s="1026"/>
      <c r="F149" s="1043">
        <v>3</v>
      </c>
      <c r="G149" s="1046">
        <f>+(S149-F149)/5</f>
        <v>1.8</v>
      </c>
      <c r="H149" s="1046">
        <f t="shared" si="56"/>
        <v>1.8</v>
      </c>
      <c r="I149" s="1046">
        <f t="shared" si="56"/>
        <v>1.8</v>
      </c>
      <c r="J149" s="1046">
        <f>+I149</f>
        <v>1.8</v>
      </c>
      <c r="K149" s="1046">
        <f>+J149</f>
        <v>1.8</v>
      </c>
      <c r="L149" s="1027"/>
      <c r="M149" s="1027"/>
      <c r="N149" s="1027"/>
      <c r="O149" s="1027"/>
      <c r="P149" s="1027"/>
      <c r="Q149" s="1027"/>
      <c r="R149" s="1027"/>
      <c r="S149" s="1031">
        <v>12</v>
      </c>
    </row>
    <row r="150" spans="1:19" ht="10.5">
      <c r="A150" s="1039" t="s">
        <v>1415</v>
      </c>
      <c r="B150" s="1028"/>
      <c r="C150" s="1028"/>
      <c r="D150" s="1028"/>
      <c r="E150" s="1037"/>
      <c r="F150" s="1045"/>
      <c r="G150" s="1029">
        <v>2</v>
      </c>
      <c r="H150" s="1030">
        <v>2</v>
      </c>
      <c r="I150" s="1030">
        <v>2</v>
      </c>
      <c r="J150" s="1030">
        <v>2</v>
      </c>
      <c r="K150" s="1030">
        <v>2</v>
      </c>
      <c r="L150" s="1030">
        <v>2</v>
      </c>
      <c r="M150" s="1028"/>
      <c r="N150" s="1028"/>
      <c r="O150" s="1028"/>
      <c r="P150" s="1028"/>
      <c r="Q150" s="1028"/>
      <c r="R150" s="1028"/>
      <c r="S150" s="1032">
        <v>12</v>
      </c>
    </row>
    <row r="151" spans="1:19" ht="10.5">
      <c r="A151" s="1038">
        <v>2024</v>
      </c>
      <c r="B151" s="1027"/>
      <c r="C151" s="1027"/>
      <c r="D151" s="1027"/>
      <c r="E151" s="1026"/>
      <c r="F151" s="1040"/>
      <c r="G151" s="1027"/>
      <c r="H151" s="1025">
        <v>2</v>
      </c>
      <c r="I151" s="1025">
        <v>2</v>
      </c>
      <c r="J151" s="1025">
        <v>2</v>
      </c>
      <c r="K151" s="1025">
        <v>2</v>
      </c>
      <c r="L151" s="1025">
        <v>2</v>
      </c>
      <c r="M151" s="1025">
        <v>2</v>
      </c>
      <c r="N151" s="1027"/>
      <c r="O151" s="1027"/>
      <c r="P151" s="1027"/>
      <c r="Q151" s="1027"/>
      <c r="R151" s="1027"/>
      <c r="S151" s="1031">
        <v>12</v>
      </c>
    </row>
    <row r="152" spans="1:19" ht="10.5">
      <c r="A152" s="1038">
        <v>2025</v>
      </c>
      <c r="B152" s="1027"/>
      <c r="C152" s="1027"/>
      <c r="D152" s="1027"/>
      <c r="E152" s="1026"/>
      <c r="F152" s="1040"/>
      <c r="G152" s="1027"/>
      <c r="H152" s="1027"/>
      <c r="I152" s="1025">
        <v>2</v>
      </c>
      <c r="J152" s="1025">
        <v>2</v>
      </c>
      <c r="K152" s="1025">
        <v>2</v>
      </c>
      <c r="L152" s="1025">
        <v>2</v>
      </c>
      <c r="M152" s="1025">
        <v>2</v>
      </c>
      <c r="N152" s="1025">
        <v>2</v>
      </c>
      <c r="O152" s="1027"/>
      <c r="P152" s="1027"/>
      <c r="Q152" s="1027"/>
      <c r="R152" s="1027"/>
      <c r="S152" s="1031">
        <v>12</v>
      </c>
    </row>
    <row r="153" spans="1:19" ht="10.5">
      <c r="A153" s="1038">
        <v>2026</v>
      </c>
      <c r="B153" s="1027"/>
      <c r="C153" s="1027"/>
      <c r="D153" s="1027"/>
      <c r="E153" s="1026"/>
      <c r="F153" s="1040"/>
      <c r="G153" s="1027"/>
      <c r="H153" s="1027"/>
      <c r="I153" s="1027"/>
      <c r="J153" s="1025">
        <v>2</v>
      </c>
      <c r="K153" s="1025">
        <v>2</v>
      </c>
      <c r="L153" s="1025">
        <v>2</v>
      </c>
      <c r="M153" s="1025">
        <v>2</v>
      </c>
      <c r="N153" s="1025">
        <v>2</v>
      </c>
      <c r="O153" s="1025">
        <v>2</v>
      </c>
      <c r="S153" s="1031">
        <v>12</v>
      </c>
    </row>
    <row r="154" spans="1:19" ht="10.5">
      <c r="A154" s="1038">
        <v>2027</v>
      </c>
      <c r="B154" s="1027"/>
      <c r="C154" s="1027"/>
      <c r="D154" s="1027"/>
      <c r="E154" s="1026"/>
      <c r="F154" s="1040"/>
      <c r="G154" s="1027"/>
      <c r="H154" s="1027"/>
      <c r="I154" s="1027"/>
      <c r="J154" s="1027"/>
      <c r="K154" s="1025">
        <v>2</v>
      </c>
      <c r="L154" s="1025">
        <v>2</v>
      </c>
      <c r="M154" s="1025">
        <v>2</v>
      </c>
      <c r="N154" s="1025">
        <v>2</v>
      </c>
      <c r="O154" s="1025">
        <v>2</v>
      </c>
      <c r="P154" s="1025">
        <v>2</v>
      </c>
      <c r="S154" s="1031">
        <v>12</v>
      </c>
    </row>
    <row r="155" spans="1:19" ht="10.5">
      <c r="A155" s="1038">
        <v>2028</v>
      </c>
      <c r="B155" s="1027"/>
      <c r="C155" s="1027"/>
      <c r="D155" s="1027"/>
      <c r="E155" s="1026"/>
      <c r="F155" s="1040"/>
      <c r="G155" s="1027"/>
      <c r="H155" s="1027"/>
      <c r="I155" s="1027"/>
      <c r="J155" s="1027"/>
      <c r="K155" s="1027"/>
      <c r="L155" s="1025">
        <v>2</v>
      </c>
      <c r="M155" s="1025">
        <v>2</v>
      </c>
      <c r="N155" s="1025">
        <v>2</v>
      </c>
      <c r="O155" s="1025">
        <v>2</v>
      </c>
      <c r="P155" s="1025">
        <v>2</v>
      </c>
      <c r="Q155" s="1025">
        <v>2</v>
      </c>
      <c r="S155" s="1031">
        <v>12</v>
      </c>
    </row>
    <row r="156" spans="1:19" ht="10.5">
      <c r="A156" s="1038">
        <v>2029</v>
      </c>
      <c r="B156" s="1027"/>
      <c r="C156" s="1027"/>
      <c r="D156" s="1027"/>
      <c r="E156" s="1026"/>
      <c r="F156" s="1040"/>
      <c r="G156" s="1027"/>
      <c r="H156" s="1027"/>
      <c r="I156" s="1027"/>
      <c r="J156" s="1027"/>
      <c r="K156" s="1027"/>
      <c r="L156" s="1027"/>
      <c r="M156" s="1025">
        <v>2</v>
      </c>
      <c r="N156" s="1025">
        <v>2</v>
      </c>
      <c r="O156" s="1025">
        <v>2</v>
      </c>
      <c r="P156" s="1025">
        <v>2</v>
      </c>
      <c r="Q156" s="1025">
        <v>2</v>
      </c>
      <c r="R156" s="1025">
        <v>2</v>
      </c>
      <c r="S156" s="1031">
        <v>12</v>
      </c>
    </row>
    <row r="157" spans="1:19" s="1" customFormat="1" ht="10.5">
      <c r="A157" s="1038" t="s">
        <v>1417</v>
      </c>
      <c r="B157" s="1054" t="s">
        <v>1418</v>
      </c>
      <c r="C157" s="1054" t="s">
        <v>1418</v>
      </c>
      <c r="D157" s="1033">
        <f t="shared" ref="D157:L157" si="57">+SUM(D145:D156)</f>
        <v>12</v>
      </c>
      <c r="E157" s="1034">
        <f t="shared" si="57"/>
        <v>7.6666666666666661</v>
      </c>
      <c r="F157" s="1044">
        <f t="shared" si="57"/>
        <v>10.666666666666666</v>
      </c>
      <c r="G157" s="1033">
        <f t="shared" si="57"/>
        <v>6.1888888888888891</v>
      </c>
      <c r="H157" s="1033">
        <f t="shared" si="57"/>
        <v>8.18888888888889</v>
      </c>
      <c r="I157" s="1033">
        <f t="shared" si="57"/>
        <v>10.18888888888889</v>
      </c>
      <c r="J157" s="1033">
        <f t="shared" si="57"/>
        <v>11.3</v>
      </c>
      <c r="K157" s="1033">
        <f t="shared" si="57"/>
        <v>11.8</v>
      </c>
      <c r="L157" s="1033">
        <f t="shared" si="57"/>
        <v>12</v>
      </c>
      <c r="M157" s="1033">
        <f>+SUM(M145:M156)</f>
        <v>12</v>
      </c>
      <c r="N157" s="1054" t="s">
        <v>1418</v>
      </c>
      <c r="O157" s="1054" t="s">
        <v>1418</v>
      </c>
      <c r="P157" s="1054" t="s">
        <v>1418</v>
      </c>
      <c r="Q157" s="1054" t="s">
        <v>1418</v>
      </c>
      <c r="R157" s="1054" t="s">
        <v>1418</v>
      </c>
    </row>
    <row r="158" spans="1:19" s="3" customFormat="1">
      <c r="A158" s="3" t="s">
        <v>1419</v>
      </c>
      <c r="E158" s="1048" t="s">
        <v>1420</v>
      </c>
      <c r="F158" s="1049" t="s">
        <v>1421</v>
      </c>
      <c r="G158" s="932" t="s">
        <v>1420</v>
      </c>
      <c r="H158" s="932" t="s">
        <v>1421</v>
      </c>
      <c r="I158" s="932" t="s">
        <v>1421</v>
      </c>
      <c r="J158" s="932" t="s">
        <v>1421</v>
      </c>
      <c r="K158" s="932" t="s">
        <v>1421</v>
      </c>
      <c r="L158" s="932" t="s">
        <v>1421</v>
      </c>
      <c r="M158" s="932" t="s">
        <v>1418</v>
      </c>
    </row>
    <row r="160" spans="1:19">
      <c r="A160" s="1076" t="s">
        <v>1422</v>
      </c>
      <c r="B160" s="1076"/>
      <c r="C160" s="1076"/>
      <c r="D160" s="1076"/>
      <c r="E160" s="1076"/>
      <c r="F160" s="1076"/>
      <c r="G160" s="1076"/>
    </row>
    <row r="161" spans="1:7">
      <c r="A161" s="1077" t="s">
        <v>1423</v>
      </c>
      <c r="B161" s="1077"/>
      <c r="C161" s="1077"/>
      <c r="D161" s="1077"/>
      <c r="E161" s="1077"/>
      <c r="F161" s="1077"/>
      <c r="G161" s="1077"/>
    </row>
  </sheetData>
  <mergeCells count="57">
    <mergeCell ref="A73:V73"/>
    <mergeCell ref="A42:V42"/>
    <mergeCell ref="A41:V41"/>
    <mergeCell ref="A68:V68"/>
    <mergeCell ref="A71:V71"/>
    <mergeCell ref="A72:V72"/>
    <mergeCell ref="A89:V89"/>
    <mergeCell ref="A74:V74"/>
    <mergeCell ref="A75:V75"/>
    <mergeCell ref="A78:V78"/>
    <mergeCell ref="A79:V79"/>
    <mergeCell ref="A80:V80"/>
    <mergeCell ref="A81:V81"/>
    <mergeCell ref="A82:V82"/>
    <mergeCell ref="A83:V83"/>
    <mergeCell ref="A86:V86"/>
    <mergeCell ref="A87:V87"/>
    <mergeCell ref="A88:V88"/>
    <mergeCell ref="A90:V90"/>
    <mergeCell ref="A91:V91"/>
    <mergeCell ref="A94:V94"/>
    <mergeCell ref="A95:V95"/>
    <mergeCell ref="A96:V96"/>
    <mergeCell ref="A97:V97"/>
    <mergeCell ref="A98:V98"/>
    <mergeCell ref="A99:V99"/>
    <mergeCell ref="A102:V102"/>
    <mergeCell ref="A103:V103"/>
    <mergeCell ref="A119:V119"/>
    <mergeCell ref="A104:V104"/>
    <mergeCell ref="A105:V105"/>
    <mergeCell ref="A106:V106"/>
    <mergeCell ref="A107:V107"/>
    <mergeCell ref="A110:V110"/>
    <mergeCell ref="A111:V111"/>
    <mergeCell ref="A112:V112"/>
    <mergeCell ref="A113:V113"/>
    <mergeCell ref="A114:V114"/>
    <mergeCell ref="A115:V115"/>
    <mergeCell ref="A118:V118"/>
    <mergeCell ref="A135:V135"/>
    <mergeCell ref="A120:V120"/>
    <mergeCell ref="A121:V121"/>
    <mergeCell ref="A122:V122"/>
    <mergeCell ref="A123:V123"/>
    <mergeCell ref="A126:V126"/>
    <mergeCell ref="A127:V127"/>
    <mergeCell ref="A128:V128"/>
    <mergeCell ref="A129:V129"/>
    <mergeCell ref="A130:V130"/>
    <mergeCell ref="A131:V131"/>
    <mergeCell ref="A132:V132"/>
    <mergeCell ref="A136:V136"/>
    <mergeCell ref="A137:V137"/>
    <mergeCell ref="A138:V138"/>
    <mergeCell ref="A139:V139"/>
    <mergeCell ref="A140:V140"/>
  </mergeCells>
  <printOptions horizontalCentered="1"/>
  <pageMargins left="0.3" right="0.3" top="0.3" bottom="0.3" header="0.3" footer="0.3"/>
  <pageSetup scale="52" fitToHeight="0" orientation="portrait" r:id="rId1"/>
  <colBreaks count="1" manualBreakCount="1">
    <brk id="25" max="1048575" man="1"/>
  </col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T108"/>
  <sheetViews>
    <sheetView view="pageBreakPreview" zoomScale="75" zoomScaleNormal="85" zoomScaleSheetLayoutView="75" workbookViewId="0">
      <pane xSplit="3" ySplit="7" topLeftCell="D8" activePane="bottomRight" state="frozen"/>
      <selection pane="bottomRight" activeCell="L15" sqref="L15"/>
      <selection pane="bottomLeft" activeCell="L27" sqref="L27"/>
      <selection pane="topRight" activeCell="L27" sqref="L27"/>
    </sheetView>
  </sheetViews>
  <sheetFormatPr defaultRowHeight="9.9499999999999993"/>
  <cols>
    <col min="1" max="1" width="3.83203125" customWidth="1"/>
    <col min="2" max="2" width="30.83203125" customWidth="1"/>
    <col min="3" max="3" width="3.83203125" customWidth="1"/>
    <col min="4" max="18" width="10.33203125" customWidth="1"/>
    <col min="19" max="19" width="2.83203125" customWidth="1"/>
    <col min="20" max="20" width="50.83203125" customWidth="1"/>
  </cols>
  <sheetData>
    <row r="2" spans="2:20" s="1" customFormat="1" ht="10.5">
      <c r="B2" t="s">
        <v>60</v>
      </c>
      <c r="P2" s="53"/>
      <c r="Q2" s="53"/>
      <c r="R2" s="53">
        <f ca="1">+TODAY()</f>
        <v>45797</v>
      </c>
      <c r="S2" s="53"/>
      <c r="T2" s="53">
        <f ca="1">+TODAY()</f>
        <v>45797</v>
      </c>
    </row>
    <row r="3" spans="2:20" s="2" customFormat="1" ht="10.5">
      <c r="B3" s="2" t="s">
        <v>62</v>
      </c>
    </row>
    <row r="4" spans="2:20">
      <c r="B4" s="3" t="s">
        <v>63</v>
      </c>
    </row>
    <row r="5" spans="2:20" s="131" customFormat="1">
      <c r="B5" s="130"/>
      <c r="G5" s="132">
        <f ca="1">TODAY()</f>
        <v>45797</v>
      </c>
      <c r="H5" s="132">
        <v>44012</v>
      </c>
      <c r="I5" s="132">
        <v>44377</v>
      </c>
      <c r="J5" s="132">
        <v>44742</v>
      </c>
      <c r="K5" s="132">
        <v>45107</v>
      </c>
      <c r="L5" s="132">
        <v>45473</v>
      </c>
      <c r="M5" s="132">
        <v>45838</v>
      </c>
      <c r="N5" s="132">
        <v>46203</v>
      </c>
      <c r="O5" s="132">
        <v>46568</v>
      </c>
      <c r="P5" s="132">
        <v>46934</v>
      </c>
      <c r="Q5" s="132">
        <v>47299</v>
      </c>
      <c r="R5" s="132">
        <v>47664</v>
      </c>
    </row>
    <row r="6" spans="2:20" ht="12">
      <c r="D6" s="98" t="s">
        <v>205</v>
      </c>
      <c r="E6" s="98"/>
      <c r="F6" s="97"/>
      <c r="G6" s="97"/>
      <c r="H6" s="97"/>
      <c r="I6" s="97"/>
      <c r="J6" s="97"/>
      <c r="K6" s="97"/>
      <c r="L6" s="97"/>
      <c r="M6" s="97"/>
      <c r="N6" s="97"/>
      <c r="O6" s="97"/>
      <c r="P6" s="97"/>
      <c r="Q6" s="97"/>
      <c r="R6" s="97"/>
    </row>
    <row r="7" spans="2:20" ht="13.5">
      <c r="B7" s="7"/>
      <c r="D7" s="6" t="s">
        <v>257</v>
      </c>
      <c r="E7" s="6" t="s">
        <v>258</v>
      </c>
      <c r="F7" s="6" t="s">
        <v>259</v>
      </c>
      <c r="G7" s="6" t="s">
        <v>1424</v>
      </c>
      <c r="H7" s="6" t="s">
        <v>1425</v>
      </c>
      <c r="I7" s="6" t="s">
        <v>1426</v>
      </c>
      <c r="J7" s="6" t="s">
        <v>1427</v>
      </c>
      <c r="K7" s="6" t="s">
        <v>88</v>
      </c>
      <c r="L7" s="6" t="s">
        <v>192</v>
      </c>
      <c r="M7" s="6" t="s">
        <v>72</v>
      </c>
      <c r="N7" s="6" t="s">
        <v>73</v>
      </c>
      <c r="O7" s="6" t="s">
        <v>74</v>
      </c>
      <c r="P7" s="6" t="s">
        <v>75</v>
      </c>
      <c r="Q7" s="6" t="s">
        <v>76</v>
      </c>
      <c r="R7" s="6" t="s">
        <v>77</v>
      </c>
      <c r="S7" s="6"/>
      <c r="T7" s="6" t="s">
        <v>1428</v>
      </c>
    </row>
    <row r="8" spans="2:20">
      <c r="E8" s="54"/>
      <c r="F8" s="54">
        <f ca="1">+TODAY()</f>
        <v>45797</v>
      </c>
      <c r="G8" s="54">
        <v>43646</v>
      </c>
      <c r="H8" s="54">
        <v>44012</v>
      </c>
      <c r="I8" s="54">
        <v>44377</v>
      </c>
      <c r="J8" s="54">
        <v>44742</v>
      </c>
      <c r="K8" s="54">
        <v>45107</v>
      </c>
      <c r="L8" s="54">
        <v>45473</v>
      </c>
      <c r="M8" s="54">
        <v>45838</v>
      </c>
      <c r="N8" s="54">
        <v>46203</v>
      </c>
      <c r="O8" s="54">
        <v>46568</v>
      </c>
      <c r="P8" s="54">
        <v>46934</v>
      </c>
      <c r="Q8" s="54">
        <v>47299</v>
      </c>
      <c r="R8" s="54"/>
      <c r="S8" s="54"/>
    </row>
    <row r="9" spans="2:20">
      <c r="B9" t="s">
        <v>86</v>
      </c>
      <c r="D9" s="8">
        <f>+'Historical Financials'!BG12</f>
        <v>91154</v>
      </c>
      <c r="E9" s="8">
        <f>+'Historical Financials'!BH12</f>
        <v>96571</v>
      </c>
      <c r="F9" s="8">
        <f>+'Historical Financials'!BI12</f>
        <v>110360</v>
      </c>
      <c r="G9" s="8">
        <f>+F9*(1+G10)</f>
        <v>122499.6</v>
      </c>
      <c r="H9" s="8">
        <f t="shared" ref="H9:Q9" si="0">+G9*(1+H10)</f>
        <v>134749.56000000003</v>
      </c>
      <c r="I9" s="8">
        <f t="shared" si="0"/>
        <v>148224.51600000003</v>
      </c>
      <c r="J9" s="8">
        <f t="shared" si="0"/>
        <v>163046.96760000006</v>
      </c>
      <c r="K9" s="8">
        <f t="shared" si="0"/>
        <v>179351.66436000008</v>
      </c>
      <c r="L9" s="8">
        <f t="shared" si="0"/>
        <v>197286.83079600011</v>
      </c>
      <c r="M9" s="8">
        <f t="shared" si="0"/>
        <v>217015.51387560015</v>
      </c>
      <c r="N9" s="8">
        <f t="shared" si="0"/>
        <v>238717.06526316018</v>
      </c>
      <c r="O9" s="8">
        <f t="shared" si="0"/>
        <v>262588.77178947622</v>
      </c>
      <c r="P9" s="8">
        <f t="shared" si="0"/>
        <v>288847.64896842389</v>
      </c>
      <c r="Q9" s="8">
        <f t="shared" si="0"/>
        <v>317732.41386526631</v>
      </c>
      <c r="R9" s="8"/>
      <c r="S9" s="8"/>
    </row>
    <row r="10" spans="2:20">
      <c r="B10" s="13" t="s">
        <v>1429</v>
      </c>
      <c r="D10" s="33"/>
      <c r="E10" s="33">
        <f t="shared" ref="E10:F10" si="1">+E9/D9-1</f>
        <v>5.9426903920837271E-2</v>
      </c>
      <c r="F10" s="33">
        <f t="shared" si="1"/>
        <v>0.14278613662486661</v>
      </c>
      <c r="G10" s="55">
        <v>0.11</v>
      </c>
      <c r="H10" s="55">
        <v>0.1</v>
      </c>
      <c r="I10" s="33">
        <f>+H10</f>
        <v>0.1</v>
      </c>
      <c r="J10" s="33">
        <f t="shared" ref="J10:Q10" si="2">+I10</f>
        <v>0.1</v>
      </c>
      <c r="K10" s="33">
        <f t="shared" si="2"/>
        <v>0.1</v>
      </c>
      <c r="L10" s="33">
        <f t="shared" si="2"/>
        <v>0.1</v>
      </c>
      <c r="M10" s="33">
        <f t="shared" si="2"/>
        <v>0.1</v>
      </c>
      <c r="N10" s="33">
        <f t="shared" si="2"/>
        <v>0.1</v>
      </c>
      <c r="O10" s="33">
        <f t="shared" si="2"/>
        <v>0.1</v>
      </c>
      <c r="P10" s="33">
        <f t="shared" si="2"/>
        <v>0.1</v>
      </c>
      <c r="Q10" s="33">
        <f t="shared" si="2"/>
        <v>0.1</v>
      </c>
      <c r="R10" s="33"/>
      <c r="S10" s="33"/>
    </row>
    <row r="11" spans="2:20">
      <c r="B11" s="15" t="s">
        <v>1430</v>
      </c>
      <c r="D11" s="33"/>
      <c r="E11" s="21" t="e">
        <f>+'Historical Financials'!#REF!</f>
        <v>#REF!</v>
      </c>
      <c r="F11" s="21" t="e">
        <f>+'Historical Financials'!#REF!</f>
        <v>#REF!</v>
      </c>
      <c r="G11" s="57"/>
      <c r="H11" s="33"/>
      <c r="I11" s="33"/>
      <c r="J11" s="33"/>
      <c r="K11" s="33"/>
      <c r="L11" s="33"/>
      <c r="M11" s="33"/>
      <c r="N11" s="33"/>
      <c r="O11" s="33"/>
      <c r="P11" s="33"/>
      <c r="Q11" s="33"/>
      <c r="R11" s="33"/>
      <c r="S11" s="33"/>
    </row>
    <row r="12" spans="2:20">
      <c r="B12" s="18"/>
    </row>
    <row r="13" spans="2:20">
      <c r="B13" s="24" t="s">
        <v>127</v>
      </c>
    </row>
    <row r="14" spans="2:20">
      <c r="B14" s="17" t="s">
        <v>1431</v>
      </c>
      <c r="G14" s="8">
        <f>_xll.ciqfunctions.udf.CIQ("MSFT", "IQ_REVENUE_EST", "FY2019")</f>
        <v>124908.33136</v>
      </c>
      <c r="H14" s="8">
        <f>_xll.ciqfunctions.udf.CIQ("MSFT", "IQ_REVENUE_EST", "FY2020")</f>
        <v>141539.07156000001</v>
      </c>
    </row>
    <row r="15" spans="2:20">
      <c r="B15" s="19" t="s">
        <v>1429</v>
      </c>
      <c r="G15" s="33">
        <f>+G14/F9-1</f>
        <v>0.13182612685755712</v>
      </c>
      <c r="H15" s="33">
        <f>+H14/G9-1</f>
        <v>0.15542476514209036</v>
      </c>
    </row>
    <row r="16" spans="2:20">
      <c r="B16" s="18"/>
    </row>
    <row r="17" spans="2:20">
      <c r="B17" t="s">
        <v>121</v>
      </c>
      <c r="D17" s="8">
        <f>+'Historical Financials'!BG89</f>
        <v>33810</v>
      </c>
      <c r="E17" s="8">
        <f>+'Historical Financials'!BH89</f>
        <v>38109</v>
      </c>
      <c r="F17" s="8">
        <f>+'Historical Financials'!BI89</f>
        <v>45319</v>
      </c>
      <c r="G17" s="8">
        <f t="shared" ref="G17:Q17" si="3">+(G9-F9)*G20+F17</f>
        <v>51692.29</v>
      </c>
      <c r="H17" s="8">
        <f t="shared" si="3"/>
        <v>57817.270000000011</v>
      </c>
      <c r="I17" s="8">
        <f t="shared" si="3"/>
        <v>64554.748000000014</v>
      </c>
      <c r="J17" s="8">
        <f t="shared" si="3"/>
        <v>71965.973800000036</v>
      </c>
      <c r="K17" s="8">
        <f t="shared" si="3"/>
        <v>80118.322180000047</v>
      </c>
      <c r="L17" s="8">
        <f t="shared" si="3"/>
        <v>89085.905398000061</v>
      </c>
      <c r="M17" s="8">
        <f t="shared" si="3"/>
        <v>98950.246937800082</v>
      </c>
      <c r="N17" s="8">
        <f t="shared" si="3"/>
        <v>109801.0226315801</v>
      </c>
      <c r="O17" s="8">
        <f t="shared" si="3"/>
        <v>121736.87589473811</v>
      </c>
      <c r="P17" s="8">
        <f t="shared" si="3"/>
        <v>134866.31448421197</v>
      </c>
      <c r="Q17" s="8">
        <f t="shared" si="3"/>
        <v>149308.69693263317</v>
      </c>
      <c r="R17" s="8"/>
      <c r="S17" s="8"/>
      <c r="T17" s="56"/>
    </row>
    <row r="18" spans="2:20" s="3" customFormat="1">
      <c r="B18" s="13" t="s">
        <v>1429</v>
      </c>
      <c r="D18" s="33"/>
      <c r="E18" s="33">
        <f t="shared" ref="E18:Q18" si="4">+E17/D17-1</f>
        <v>0.12715173025732041</v>
      </c>
      <c r="F18" s="33">
        <f t="shared" si="4"/>
        <v>0.18919415361200764</v>
      </c>
      <c r="G18" s="33">
        <f t="shared" si="4"/>
        <v>0.14063174386019117</v>
      </c>
      <c r="H18" s="33">
        <f t="shared" si="4"/>
        <v>0.11848923698292357</v>
      </c>
      <c r="I18" s="33">
        <f t="shared" si="4"/>
        <v>0.1165305452851717</v>
      </c>
      <c r="J18" s="33">
        <f t="shared" si="4"/>
        <v>0.11480527814933184</v>
      </c>
      <c r="K18" s="33">
        <f t="shared" si="4"/>
        <v>0.11328059566950532</v>
      </c>
      <c r="L18" s="33">
        <f t="shared" si="4"/>
        <v>0.11192924382331348</v>
      </c>
      <c r="M18" s="33">
        <f t="shared" si="4"/>
        <v>0.11072841989684123</v>
      </c>
      <c r="N18" s="33">
        <f t="shared" si="4"/>
        <v>0.10965890464731021</v>
      </c>
      <c r="O18" s="33">
        <f t="shared" si="4"/>
        <v>0.10870439069777049</v>
      </c>
      <c r="P18" s="33">
        <f t="shared" si="4"/>
        <v>0.10785095718101423</v>
      </c>
      <c r="Q18" s="33">
        <f t="shared" si="4"/>
        <v>0.10708665468953615</v>
      </c>
      <c r="R18" s="33"/>
      <c r="S18" s="33"/>
    </row>
    <row r="19" spans="2:20">
      <c r="B19" s="13" t="s">
        <v>310</v>
      </c>
      <c r="D19" s="33">
        <f t="shared" ref="D19:Q19" si="5">+D17/D9</f>
        <v>0.37091076639533099</v>
      </c>
      <c r="E19" s="33">
        <f t="shared" si="5"/>
        <v>0.39462157376438062</v>
      </c>
      <c r="F19" s="33">
        <f t="shared" si="5"/>
        <v>0.41064697354113811</v>
      </c>
      <c r="G19" s="33">
        <f t="shared" si="5"/>
        <v>0.42197925544246673</v>
      </c>
      <c r="H19" s="33">
        <f t="shared" si="5"/>
        <v>0.4290720504022425</v>
      </c>
      <c r="I19" s="33">
        <f t="shared" si="5"/>
        <v>0.43552004582022047</v>
      </c>
      <c r="J19" s="33">
        <f t="shared" si="5"/>
        <v>0.44138185983656408</v>
      </c>
      <c r="K19" s="33">
        <f t="shared" si="5"/>
        <v>0.44671078166960376</v>
      </c>
      <c r="L19" s="33">
        <f t="shared" si="5"/>
        <v>0.45155525606327612</v>
      </c>
      <c r="M19" s="33">
        <f t="shared" si="5"/>
        <v>0.45595932369388742</v>
      </c>
      <c r="N19" s="33">
        <f t="shared" si="5"/>
        <v>0.45996302153989765</v>
      </c>
      <c r="O19" s="33">
        <f t="shared" si="5"/>
        <v>0.46360274685445241</v>
      </c>
      <c r="P19" s="33">
        <f t="shared" si="5"/>
        <v>0.46691158804950222</v>
      </c>
      <c r="Q19" s="33">
        <f t="shared" si="5"/>
        <v>0.46991962549954747</v>
      </c>
      <c r="R19" s="33"/>
      <c r="S19" s="33"/>
    </row>
    <row r="20" spans="2:20">
      <c r="B20" s="13" t="s">
        <v>1432</v>
      </c>
      <c r="D20" s="33"/>
      <c r="E20" s="33">
        <f>+(E17-D17)/(E9-D9)</f>
        <v>0.79361270075687651</v>
      </c>
      <c r="F20" s="33">
        <f>+(F17-E17)/(F9-E9)</f>
        <v>0.52288055696569724</v>
      </c>
      <c r="G20" s="55">
        <v>0.52500000000000002</v>
      </c>
      <c r="H20" s="55">
        <v>0.5</v>
      </c>
      <c r="I20" s="33">
        <f>+H20</f>
        <v>0.5</v>
      </c>
      <c r="J20" s="33">
        <f t="shared" ref="J20:Q20" si="6">+I20</f>
        <v>0.5</v>
      </c>
      <c r="K20" s="33">
        <f t="shared" si="6"/>
        <v>0.5</v>
      </c>
      <c r="L20" s="33">
        <f t="shared" si="6"/>
        <v>0.5</v>
      </c>
      <c r="M20" s="33">
        <f t="shared" si="6"/>
        <v>0.5</v>
      </c>
      <c r="N20" s="33">
        <f t="shared" si="6"/>
        <v>0.5</v>
      </c>
      <c r="O20" s="33">
        <f t="shared" si="6"/>
        <v>0.5</v>
      </c>
      <c r="P20" s="33">
        <f t="shared" si="6"/>
        <v>0.5</v>
      </c>
      <c r="Q20" s="33">
        <f t="shared" si="6"/>
        <v>0.5</v>
      </c>
      <c r="R20" s="33"/>
      <c r="S20" s="33"/>
    </row>
    <row r="21" spans="2:20">
      <c r="B21" s="13"/>
      <c r="D21" s="33"/>
      <c r="E21" s="33"/>
      <c r="F21" s="33"/>
      <c r="G21" s="57"/>
      <c r="H21" s="33"/>
      <c r="I21" s="33"/>
      <c r="J21" s="33"/>
      <c r="K21" s="33"/>
      <c r="L21" s="33"/>
      <c r="M21" s="33"/>
      <c r="N21" s="33"/>
      <c r="O21" s="33"/>
      <c r="P21" s="33"/>
      <c r="Q21" s="33"/>
      <c r="R21" s="33"/>
      <c r="S21" s="33"/>
    </row>
    <row r="22" spans="2:20">
      <c r="B22" s="24" t="s">
        <v>127</v>
      </c>
    </row>
    <row r="23" spans="2:20">
      <c r="B23" s="17" t="s">
        <v>1433</v>
      </c>
      <c r="G23" s="8">
        <f>_xll.ciqfunctions.udf.CIQ("MSFT", "IQ_EBITDA_EST", "FY2019")</f>
        <v>53488.584540000003</v>
      </c>
      <c r="H23" s="8">
        <f>_xll.ciqfunctions.udf.CIQ("MSFT", "IQ_EBITDA_EST", "FY2020")</f>
        <v>65053.824769999999</v>
      </c>
    </row>
    <row r="24" spans="2:20">
      <c r="B24" s="19" t="s">
        <v>1429</v>
      </c>
      <c r="G24" s="33">
        <f>+G23/F17-1</f>
        <v>0.18026842030936252</v>
      </c>
      <c r="H24" s="33">
        <f>+H23/G23-1</f>
        <v>0.21621884986227746</v>
      </c>
    </row>
    <row r="25" spans="2:20">
      <c r="B25" s="19" t="s">
        <v>310</v>
      </c>
      <c r="G25" s="33">
        <f>+G23/G9</f>
        <v>0.43664293222181949</v>
      </c>
      <c r="H25" s="33">
        <f>+H23/H9</f>
        <v>0.48277578620664874</v>
      </c>
    </row>
    <row r="26" spans="2:20">
      <c r="B26" s="19"/>
    </row>
    <row r="27" spans="2:20">
      <c r="B27" s="17" t="s">
        <v>278</v>
      </c>
      <c r="D27" s="8">
        <f>+'Historical Financials'!BG22+'Historical Financials'!BG18</f>
        <v>58374</v>
      </c>
      <c r="E27" s="8">
        <f>+'Historical Financials'!BH22+'Historical Financials'!BH18</f>
        <v>62310</v>
      </c>
      <c r="F27" s="8">
        <f>+'Historical Financials'!BI22+'Historical Financials'!BI18</f>
        <v>72007</v>
      </c>
      <c r="G27" s="8">
        <f>+G28*G9</f>
        <v>79012.242000000013</v>
      </c>
    </row>
    <row r="28" spans="2:20">
      <c r="B28" s="19" t="s">
        <v>310</v>
      </c>
      <c r="D28" s="33">
        <f>+D27/D9</f>
        <v>0.64038879259275516</v>
      </c>
      <c r="E28" s="33">
        <f t="shared" ref="E28:F28" si="7">+E27/E9</f>
        <v>0.64522475691460168</v>
      </c>
      <c r="F28" s="33">
        <f t="shared" si="7"/>
        <v>0.65247372236317502</v>
      </c>
      <c r="G28" s="55">
        <v>0.64500000000000002</v>
      </c>
    </row>
    <row r="29" spans="2:20">
      <c r="B29" s="19"/>
    </row>
    <row r="30" spans="2:20">
      <c r="B30" s="18" t="s">
        <v>1434</v>
      </c>
      <c r="D30" s="8">
        <f>+D27-D32</f>
        <v>31186</v>
      </c>
      <c r="E30" s="8">
        <f t="shared" ref="E30:F30" si="8">+E27-E32</f>
        <v>32979</v>
      </c>
      <c r="F30" s="8">
        <f t="shared" si="8"/>
        <v>36949</v>
      </c>
      <c r="G30" s="8">
        <f t="shared" ref="G30" si="9">+G27-G32</f>
        <v>39569.912000000011</v>
      </c>
      <c r="H30" s="8"/>
      <c r="I30" s="8"/>
      <c r="J30" s="8"/>
      <c r="K30" s="8"/>
      <c r="L30" s="8"/>
      <c r="M30" s="8"/>
      <c r="N30" s="8"/>
      <c r="O30" s="8"/>
      <c r="P30" s="8"/>
      <c r="Q30" s="8"/>
      <c r="R30" s="8"/>
    </row>
    <row r="31" spans="2:20">
      <c r="B31" s="20" t="s">
        <v>1429</v>
      </c>
      <c r="E31" s="33">
        <f t="shared" ref="E31" si="10">+E30/D30-1</f>
        <v>5.7493747194253819E-2</v>
      </c>
      <c r="F31" s="33">
        <f t="shared" ref="F31:G31" si="11">+F30/E30-1</f>
        <v>0.12037963552563746</v>
      </c>
      <c r="G31" s="33">
        <f t="shared" si="11"/>
        <v>7.0933232293161064E-2</v>
      </c>
      <c r="H31" s="33"/>
      <c r="I31" s="33"/>
      <c r="J31" s="33"/>
      <c r="K31" s="33"/>
      <c r="L31" s="33"/>
      <c r="M31" s="33"/>
      <c r="N31" s="33"/>
      <c r="O31" s="33"/>
      <c r="P31" s="33"/>
      <c r="Q31" s="33"/>
      <c r="R31" s="33"/>
      <c r="T31" s="27" t="s">
        <v>1435</v>
      </c>
    </row>
    <row r="32" spans="2:20">
      <c r="B32" s="17" t="s">
        <v>95</v>
      </c>
      <c r="D32" s="8">
        <f>+D17-D55</f>
        <v>27188</v>
      </c>
      <c r="E32" s="8">
        <f t="shared" ref="E32:Q32" si="12">+E17-E55</f>
        <v>29331</v>
      </c>
      <c r="F32" s="8">
        <f t="shared" si="12"/>
        <v>35058</v>
      </c>
      <c r="G32" s="8">
        <f t="shared" si="12"/>
        <v>39442.33</v>
      </c>
      <c r="H32" s="8">
        <f t="shared" si="12"/>
        <v>43729.203502000004</v>
      </c>
      <c r="I32" s="8">
        <f t="shared" si="12"/>
        <v>48413.098207600007</v>
      </c>
      <c r="J32" s="8">
        <f t="shared" si="12"/>
        <v>53533.514112820027</v>
      </c>
      <c r="K32" s="8">
        <f t="shared" si="12"/>
        <v>59134.177449880037</v>
      </c>
      <c r="L32" s="8">
        <f t="shared" si="12"/>
        <v>66397.919856460037</v>
      </c>
      <c r="M32" s="8">
        <f t="shared" si="12"/>
        <v>74427.493869857266</v>
      </c>
      <c r="N32" s="8">
        <f t="shared" si="12"/>
        <v>83303.42838736932</v>
      </c>
      <c r="O32" s="8">
        <f t="shared" si="12"/>
        <v>93114.699769685205</v>
      </c>
      <c r="P32" s="8">
        <f t="shared" si="12"/>
        <v>103959.6160445906</v>
      </c>
      <c r="Q32" s="8">
        <f t="shared" si="12"/>
        <v>115946.79347678021</v>
      </c>
      <c r="R32" s="8"/>
    </row>
    <row r="33" spans="2:20">
      <c r="B33" s="19" t="s">
        <v>1429</v>
      </c>
      <c r="E33" s="33">
        <f t="shared" ref="E33" si="13">+E32/D32-1</f>
        <v>7.882153891422683E-2</v>
      </c>
      <c r="F33" s="33">
        <f t="shared" ref="F33" si="14">+F32/E32-1</f>
        <v>0.19525416794517736</v>
      </c>
      <c r="G33" s="33">
        <f t="shared" ref="G33" si="15">+G32/F32-1</f>
        <v>0.12505933025272409</v>
      </c>
      <c r="H33" s="33">
        <f t="shared" ref="H33" si="16">+H32/G32-1</f>
        <v>0.10868712629299537</v>
      </c>
      <c r="I33" s="33">
        <f t="shared" ref="I33" si="17">+I32/H32-1</f>
        <v>0.10711136564346013</v>
      </c>
      <c r="J33" s="33">
        <f t="shared" ref="J33" si="18">+J32/I32-1</f>
        <v>0.10576509446396476</v>
      </c>
      <c r="K33" s="33">
        <f t="shared" ref="K33" si="19">+K32/J32-1</f>
        <v>0.10461975885343167</v>
      </c>
      <c r="L33" s="33">
        <f t="shared" ref="L33" si="20">+L32/K32-1</f>
        <v>0.12283492761417847</v>
      </c>
      <c r="M33" s="33">
        <f t="shared" ref="M33" si="21">+M32/L32-1</f>
        <v>0.12093110794367767</v>
      </c>
      <c r="N33" s="33">
        <f t="shared" ref="N33" si="22">+N32/M32-1</f>
        <v>0.11925612506894789</v>
      </c>
      <c r="O33" s="33">
        <f t="shared" ref="O33" si="23">+O32/N32-1</f>
        <v>0.11777752215301973</v>
      </c>
      <c r="P33" s="33">
        <f t="shared" ref="P33" si="24">+P32/O32-1</f>
        <v>0.11646835893505303</v>
      </c>
      <c r="Q33" s="33">
        <f t="shared" ref="Q33" si="25">+Q32/P32-1</f>
        <v>0.11530609565783734</v>
      </c>
      <c r="R33" s="33"/>
    </row>
    <row r="34" spans="2:20">
      <c r="B34" s="19" t="s">
        <v>310</v>
      </c>
      <c r="D34" s="33">
        <f>+D32/D9</f>
        <v>0.29826447550299495</v>
      </c>
      <c r="E34" s="33">
        <f t="shared" ref="E34:Q34" si="26">+E32/E9</f>
        <v>0.30372472067183731</v>
      </c>
      <c r="F34" s="33">
        <f t="shared" si="26"/>
        <v>0.31766944545125048</v>
      </c>
      <c r="G34" s="33">
        <f t="shared" si="26"/>
        <v>0.32197925544246675</v>
      </c>
      <c r="H34" s="33">
        <f t="shared" si="26"/>
        <v>0.32452205040224247</v>
      </c>
      <c r="I34" s="33">
        <f t="shared" si="26"/>
        <v>0.32662004582022042</v>
      </c>
      <c r="J34" s="33">
        <f t="shared" si="26"/>
        <v>0.3283318598365641</v>
      </c>
      <c r="K34" s="33">
        <f t="shared" si="26"/>
        <v>0.32971078166960371</v>
      </c>
      <c r="L34" s="33">
        <f t="shared" si="26"/>
        <v>0.33655525606327608</v>
      </c>
      <c r="M34" s="33">
        <f t="shared" si="26"/>
        <v>0.34295932369388737</v>
      </c>
      <c r="N34" s="33">
        <f t="shared" si="26"/>
        <v>0.34896302153989767</v>
      </c>
      <c r="O34" s="33">
        <f t="shared" si="26"/>
        <v>0.35460274685445237</v>
      </c>
      <c r="P34" s="33">
        <f t="shared" si="26"/>
        <v>0.35991158804950218</v>
      </c>
      <c r="Q34" s="33">
        <f t="shared" si="26"/>
        <v>0.36491962549954748</v>
      </c>
      <c r="R34" s="33"/>
      <c r="T34" s="27" t="s">
        <v>1436</v>
      </c>
    </row>
    <row r="35" spans="2:20">
      <c r="B35" s="19"/>
    </row>
    <row r="36" spans="2:20">
      <c r="B36" t="s">
        <v>133</v>
      </c>
      <c r="D36" s="11">
        <f>+-'Historical Financials'!BG114</f>
        <v>8900</v>
      </c>
      <c r="E36" s="11">
        <f>+-'Historical Financials'!BH114</f>
        <v>10200</v>
      </c>
      <c r="F36" s="11">
        <f>+-'Historical Financials'!BI114</f>
        <v>13600</v>
      </c>
      <c r="G36" s="11">
        <f>+G38*G9</f>
        <v>15312.45</v>
      </c>
      <c r="H36" s="11">
        <f t="shared" ref="H36:Q36" si="27">+H38*H9</f>
        <v>16574.195880000003</v>
      </c>
      <c r="I36" s="11">
        <f t="shared" si="27"/>
        <v>17935.166436000003</v>
      </c>
      <c r="J36" s="11">
        <f t="shared" si="27"/>
        <v>19402.589144400008</v>
      </c>
      <c r="K36" s="11">
        <f t="shared" si="27"/>
        <v>20984.14473012001</v>
      </c>
      <c r="L36" s="11">
        <f t="shared" si="27"/>
        <v>22687.985541540012</v>
      </c>
      <c r="M36" s="11">
        <f t="shared" si="27"/>
        <v>24522.753067942816</v>
      </c>
      <c r="N36" s="11">
        <f t="shared" si="27"/>
        <v>26497.594244210777</v>
      </c>
      <c r="O36" s="11">
        <f t="shared" si="27"/>
        <v>28622.176125052905</v>
      </c>
      <c r="P36" s="11">
        <f t="shared" si="27"/>
        <v>30906.698439621352</v>
      </c>
      <c r="Q36" s="11">
        <f t="shared" si="27"/>
        <v>33361.90345585296</v>
      </c>
      <c r="R36" s="11"/>
      <c r="S36" s="11"/>
    </row>
    <row r="37" spans="2:20">
      <c r="B37" s="13" t="s">
        <v>1429</v>
      </c>
      <c r="C37" s="3"/>
      <c r="D37" s="33"/>
      <c r="E37" s="33">
        <f t="shared" ref="E37" si="28">+E36/D36-1</f>
        <v>0.14606741573033699</v>
      </c>
      <c r="F37" s="33">
        <f t="shared" ref="F37" si="29">+F36/E36-1</f>
        <v>0.33333333333333326</v>
      </c>
      <c r="G37" s="33">
        <f t="shared" ref="G37" si="30">+G36/F36-1</f>
        <v>0.12591544117647069</v>
      </c>
      <c r="H37" s="33">
        <f t="shared" ref="H37" si="31">+H36/G36-1</f>
        <v>8.2400000000000251E-2</v>
      </c>
      <c r="I37" s="33">
        <f t="shared" ref="I37" si="32">+I36/H36-1</f>
        <v>8.2113821138211307E-2</v>
      </c>
      <c r="J37" s="33">
        <f t="shared" ref="J37" si="33">+J36/I36-1</f>
        <v>8.1818181818182012E-2</v>
      </c>
      <c r="K37" s="33">
        <f t="shared" ref="K37" si="34">+K36/J36-1</f>
        <v>8.1512605042016961E-2</v>
      </c>
      <c r="L37" s="33">
        <f t="shared" ref="L37" si="35">+L36/K36-1</f>
        <v>8.1196581196581352E-2</v>
      </c>
      <c r="M37" s="33">
        <f t="shared" ref="M37" si="36">+M36/L36-1</f>
        <v>8.0869565217391415E-2</v>
      </c>
      <c r="N37" s="33">
        <f t="shared" ref="N37" si="37">+N36/M36-1</f>
        <v>8.0530973451327315E-2</v>
      </c>
      <c r="O37" s="33">
        <f t="shared" ref="O37" si="38">+O36/N36-1</f>
        <v>8.0180180180180249E-2</v>
      </c>
      <c r="P37" s="33">
        <f t="shared" ref="P37" si="39">+P36/O36-1</f>
        <v>7.9816513761467922E-2</v>
      </c>
      <c r="Q37" s="33">
        <f t="shared" ref="Q37" si="40">+Q36/P36-1</f>
        <v>7.9439252336448885E-2</v>
      </c>
      <c r="R37" s="33"/>
      <c r="S37" s="11"/>
      <c r="T37" s="27" t="s">
        <v>1437</v>
      </c>
    </row>
    <row r="38" spans="2:20">
      <c r="B38" s="13" t="s">
        <v>173</v>
      </c>
      <c r="D38" s="33">
        <f>+D36/D9</f>
        <v>9.7636966013559465E-2</v>
      </c>
      <c r="E38" s="33">
        <f>+E36/E9</f>
        <v>0.10562177051081588</v>
      </c>
      <c r="F38" s="33">
        <f>+F36/F9</f>
        <v>0.12323305545487495</v>
      </c>
      <c r="G38" s="55">
        <v>0.125</v>
      </c>
      <c r="H38" s="55">
        <f>+G38-0.2%</f>
        <v>0.123</v>
      </c>
      <c r="I38" s="55">
        <f t="shared" ref="I38:Q38" si="41">+H38-0.2%</f>
        <v>0.121</v>
      </c>
      <c r="J38" s="55">
        <f t="shared" si="41"/>
        <v>0.11899999999999999</v>
      </c>
      <c r="K38" s="55">
        <f t="shared" si="41"/>
        <v>0.11699999999999999</v>
      </c>
      <c r="L38" s="55">
        <f t="shared" si="41"/>
        <v>0.11499999999999999</v>
      </c>
      <c r="M38" s="55">
        <f t="shared" si="41"/>
        <v>0.11299999999999999</v>
      </c>
      <c r="N38" s="55">
        <f t="shared" si="41"/>
        <v>0.11099999999999999</v>
      </c>
      <c r="O38" s="55">
        <f t="shared" si="41"/>
        <v>0.10899999999999999</v>
      </c>
      <c r="P38" s="55">
        <f t="shared" si="41"/>
        <v>0.10699999999999998</v>
      </c>
      <c r="Q38" s="55">
        <f t="shared" si="41"/>
        <v>0.10499999999999998</v>
      </c>
      <c r="R38" s="55"/>
      <c r="S38" s="57"/>
    </row>
    <row r="39" spans="2:20">
      <c r="B39" s="13"/>
    </row>
    <row r="40" spans="2:20">
      <c r="B40" s="24" t="s">
        <v>127</v>
      </c>
    </row>
    <row r="41" spans="2:20">
      <c r="B41" s="17" t="s">
        <v>1438</v>
      </c>
      <c r="G41" s="11">
        <f>-_xll.ciqfunctions.udf.CIQ("MSFT", "IQ_CAPEX_EST", "FY2019")</f>
        <v>14092.85039</v>
      </c>
      <c r="H41" s="11">
        <f>-_xll.ciqfunctions.udf.CIQ("MSFT", "IQ_CAPEX_EST", "FY2020")</f>
        <v>15636.53523</v>
      </c>
    </row>
    <row r="42" spans="2:20">
      <c r="B42" s="19" t="s">
        <v>173</v>
      </c>
      <c r="G42" s="33">
        <f>+G41/G9</f>
        <v>0.11504405230710957</v>
      </c>
      <c r="H42" s="33">
        <f>+H41/H9</f>
        <v>0.11604145668453386</v>
      </c>
    </row>
    <row r="43" spans="2:20">
      <c r="B43" s="19"/>
    </row>
    <row r="44" spans="2:20">
      <c r="B44" t="s">
        <v>312</v>
      </c>
      <c r="D44" s="8">
        <f t="shared" ref="D44:Q44" si="42">+D17-D36</f>
        <v>24910</v>
      </c>
      <c r="E44" s="8">
        <f t="shared" si="42"/>
        <v>27909</v>
      </c>
      <c r="F44" s="8">
        <f t="shared" si="42"/>
        <v>31719</v>
      </c>
      <c r="G44" s="8">
        <f t="shared" si="42"/>
        <v>36379.839999999997</v>
      </c>
      <c r="H44" s="8">
        <f t="shared" si="42"/>
        <v>41243.074120000005</v>
      </c>
      <c r="I44" s="8">
        <f t="shared" si="42"/>
        <v>46619.581564000007</v>
      </c>
      <c r="J44" s="8">
        <f t="shared" si="42"/>
        <v>52563.384655600028</v>
      </c>
      <c r="K44" s="8">
        <f t="shared" si="42"/>
        <v>59134.177449880037</v>
      </c>
      <c r="L44" s="8">
        <f t="shared" si="42"/>
        <v>66397.919856460052</v>
      </c>
      <c r="M44" s="8">
        <f t="shared" si="42"/>
        <v>74427.493869857266</v>
      </c>
      <c r="N44" s="8">
        <f t="shared" si="42"/>
        <v>83303.42838736932</v>
      </c>
      <c r="O44" s="8">
        <f t="shared" si="42"/>
        <v>93114.699769685205</v>
      </c>
      <c r="P44" s="8">
        <f t="shared" si="42"/>
        <v>103959.61604459061</v>
      </c>
      <c r="Q44" s="8">
        <f t="shared" si="42"/>
        <v>115946.79347678021</v>
      </c>
      <c r="R44" s="8"/>
      <c r="S44" s="8"/>
    </row>
    <row r="45" spans="2:20">
      <c r="B45" s="13" t="s">
        <v>1429</v>
      </c>
      <c r="D45" s="33"/>
      <c r="E45" s="33">
        <f t="shared" ref="E45:Q45" si="43">+E44/D44-1</f>
        <v>0.12039341629867528</v>
      </c>
      <c r="F45" s="33">
        <f t="shared" si="43"/>
        <v>0.13651510265505751</v>
      </c>
      <c r="G45" s="33">
        <f t="shared" si="43"/>
        <v>0.14694158075601371</v>
      </c>
      <c r="H45" s="33">
        <f t="shared" si="43"/>
        <v>0.13367937077238401</v>
      </c>
      <c r="I45" s="33">
        <f t="shared" si="43"/>
        <v>0.13036146210528887</v>
      </c>
      <c r="J45" s="33">
        <f t="shared" si="43"/>
        <v>0.1274958481435593</v>
      </c>
      <c r="K45" s="33">
        <f t="shared" si="43"/>
        <v>0.12500703364770804</v>
      </c>
      <c r="L45" s="33">
        <f t="shared" si="43"/>
        <v>0.12283492761417869</v>
      </c>
      <c r="M45" s="33">
        <f t="shared" si="43"/>
        <v>0.12093110794367745</v>
      </c>
      <c r="N45" s="33">
        <f t="shared" si="43"/>
        <v>0.11925612506894789</v>
      </c>
      <c r="O45" s="33">
        <f t="shared" si="43"/>
        <v>0.11777752215301973</v>
      </c>
      <c r="P45" s="33">
        <f t="shared" si="43"/>
        <v>0.11646835893505325</v>
      </c>
      <c r="Q45" s="33">
        <f t="shared" si="43"/>
        <v>0.11530609565783712</v>
      </c>
      <c r="R45" s="33"/>
      <c r="S45" s="33"/>
    </row>
    <row r="46" spans="2:20">
      <c r="B46" s="13" t="s">
        <v>310</v>
      </c>
      <c r="D46" s="33">
        <f t="shared" ref="D46:Q46" si="44">+D44/D9</f>
        <v>0.27327380038177151</v>
      </c>
      <c r="E46" s="33">
        <f t="shared" si="44"/>
        <v>0.28899980325356472</v>
      </c>
      <c r="F46" s="33">
        <f t="shared" si="44"/>
        <v>0.28741391808626315</v>
      </c>
      <c r="G46" s="33">
        <f t="shared" si="44"/>
        <v>0.29697925544246673</v>
      </c>
      <c r="H46" s="33">
        <f t="shared" si="44"/>
        <v>0.3060720504022425</v>
      </c>
      <c r="I46" s="33">
        <f t="shared" si="44"/>
        <v>0.31452004582022042</v>
      </c>
      <c r="J46" s="33">
        <f t="shared" si="44"/>
        <v>0.32238185983656409</v>
      </c>
      <c r="K46" s="33">
        <f t="shared" si="44"/>
        <v>0.32971078166960371</v>
      </c>
      <c r="L46" s="33">
        <f t="shared" si="44"/>
        <v>0.33655525606327613</v>
      </c>
      <c r="M46" s="33">
        <f t="shared" si="44"/>
        <v>0.34295932369388737</v>
      </c>
      <c r="N46" s="33">
        <f t="shared" si="44"/>
        <v>0.34896302153989767</v>
      </c>
      <c r="O46" s="33">
        <f t="shared" si="44"/>
        <v>0.35460274685445237</v>
      </c>
      <c r="P46" s="33">
        <f t="shared" si="44"/>
        <v>0.35991158804950224</v>
      </c>
      <c r="Q46" s="33">
        <f t="shared" si="44"/>
        <v>0.36491962549954748</v>
      </c>
      <c r="R46" s="33"/>
      <c r="S46" s="33"/>
    </row>
    <row r="47" spans="2:20">
      <c r="B47" s="13"/>
    </row>
    <row r="48" spans="2:20">
      <c r="B48" t="s">
        <v>1439</v>
      </c>
      <c r="D48" s="11">
        <f>+-'Historical Financials'!BG71</f>
        <v>439</v>
      </c>
      <c r="E48" s="11">
        <f>+-'Historical Financials'!BH71</f>
        <v>-876</v>
      </c>
      <c r="F48" s="11">
        <f>+-'Historical Financials'!BI71</f>
        <v>-1416</v>
      </c>
      <c r="G48" s="8">
        <f t="shared" ref="G48:Q48" si="45">+IF(G49*AVERAGE(F65:G65)&lt;0,0,G49*AVERAGE(F65:G65))</f>
        <v>0</v>
      </c>
      <c r="H48" s="8">
        <f t="shared" si="45"/>
        <v>0</v>
      </c>
      <c r="I48" s="8">
        <f t="shared" si="45"/>
        <v>0</v>
      </c>
      <c r="J48" s="8">
        <f t="shared" si="45"/>
        <v>0</v>
      </c>
      <c r="K48" s="8">
        <f t="shared" si="45"/>
        <v>0</v>
      </c>
      <c r="L48" s="8">
        <f t="shared" si="45"/>
        <v>0</v>
      </c>
      <c r="M48" s="8">
        <f t="shared" si="45"/>
        <v>0</v>
      </c>
      <c r="N48" s="8">
        <f t="shared" si="45"/>
        <v>0</v>
      </c>
      <c r="O48" s="8">
        <f t="shared" si="45"/>
        <v>0</v>
      </c>
      <c r="P48" s="8">
        <f t="shared" si="45"/>
        <v>0</v>
      </c>
      <c r="Q48" s="8">
        <f t="shared" si="45"/>
        <v>0</v>
      </c>
      <c r="R48" s="8"/>
      <c r="S48" s="8"/>
    </row>
    <row r="49" spans="2:20" s="3" customFormat="1">
      <c r="B49" s="13" t="s">
        <v>1440</v>
      </c>
      <c r="D49" s="14" t="str">
        <f>+IFERROR(D48/IF(OR(D65&lt;0,#REF!&lt;0),"n/a",AVERAGE(D65:D65)),"n/a ")</f>
        <v xml:space="preserve">n/a </v>
      </c>
      <c r="E49" s="14" t="str">
        <f>+IFERROR(E48/IF(OR(E65&lt;0,D65&lt;0),"n/a",AVERAGE(D65:E65)),"n/a ")</f>
        <v xml:space="preserve">n/a </v>
      </c>
      <c r="F49" s="14" t="str">
        <f>+IFERROR(F48/IF(OR(F65&lt;0,E65&lt;0),"n/a",AVERAGE(E65:F65)),"n/a ")</f>
        <v xml:space="preserve">n/a </v>
      </c>
      <c r="G49" s="57">
        <v>0.05</v>
      </c>
      <c r="H49" s="57">
        <v>5.5E-2</v>
      </c>
      <c r="I49" s="57">
        <v>0.06</v>
      </c>
      <c r="J49" s="57">
        <v>6.5000000000000002E-2</v>
      </c>
      <c r="K49" s="33">
        <f t="shared" ref="K49:Q49" si="46">+J49</f>
        <v>6.5000000000000002E-2</v>
      </c>
      <c r="L49" s="33">
        <f t="shared" si="46"/>
        <v>6.5000000000000002E-2</v>
      </c>
      <c r="M49" s="33">
        <f t="shared" si="46"/>
        <v>6.5000000000000002E-2</v>
      </c>
      <c r="N49" s="33">
        <f t="shared" si="46"/>
        <v>6.5000000000000002E-2</v>
      </c>
      <c r="O49" s="33">
        <f t="shared" si="46"/>
        <v>6.5000000000000002E-2</v>
      </c>
      <c r="P49" s="33">
        <f t="shared" si="46"/>
        <v>6.5000000000000002E-2</v>
      </c>
      <c r="Q49" s="33">
        <f t="shared" si="46"/>
        <v>6.5000000000000002E-2</v>
      </c>
      <c r="R49" s="33"/>
      <c r="S49" s="33"/>
    </row>
    <row r="51" spans="2:20">
      <c r="B51" t="s">
        <v>315</v>
      </c>
      <c r="D51" s="8">
        <f t="shared" ref="D51:Q51" si="47">MAX((D17-D55)*D52,0)</f>
        <v>5709.48</v>
      </c>
      <c r="E51" s="8">
        <f t="shared" si="47"/>
        <v>6159.51</v>
      </c>
      <c r="F51" s="8">
        <f t="shared" si="47"/>
        <v>7362.1799999999994</v>
      </c>
      <c r="G51" s="8">
        <f t="shared" si="47"/>
        <v>8282.8893000000007</v>
      </c>
      <c r="H51" s="8">
        <f t="shared" si="47"/>
        <v>9183.1327354200002</v>
      </c>
      <c r="I51" s="8">
        <f t="shared" si="47"/>
        <v>10166.750623596001</v>
      </c>
      <c r="J51" s="8">
        <f t="shared" si="47"/>
        <v>11242.037963692204</v>
      </c>
      <c r="K51" s="8">
        <f t="shared" si="47"/>
        <v>12418.177264474807</v>
      </c>
      <c r="L51" s="8">
        <f t="shared" si="47"/>
        <v>13943.563169856607</v>
      </c>
      <c r="M51" s="8">
        <f t="shared" si="47"/>
        <v>15629.773712670025</v>
      </c>
      <c r="N51" s="8">
        <f t="shared" si="47"/>
        <v>17493.719961347557</v>
      </c>
      <c r="O51" s="8">
        <f t="shared" si="47"/>
        <v>19554.086951633893</v>
      </c>
      <c r="P51" s="8">
        <f t="shared" si="47"/>
        <v>21831.519369364025</v>
      </c>
      <c r="Q51" s="8">
        <f t="shared" si="47"/>
        <v>24348.826630123844</v>
      </c>
      <c r="R51" s="8"/>
      <c r="S51" s="8"/>
    </row>
    <row r="52" spans="2:20" s="3" customFormat="1">
      <c r="B52" s="13" t="s">
        <v>1441</v>
      </c>
      <c r="D52" s="57">
        <v>0.21</v>
      </c>
      <c r="E52" s="33">
        <f t="shared" ref="E52:Q52" si="48">+D52</f>
        <v>0.21</v>
      </c>
      <c r="F52" s="33">
        <f t="shared" si="48"/>
        <v>0.21</v>
      </c>
      <c r="G52" s="33">
        <f t="shared" si="48"/>
        <v>0.21</v>
      </c>
      <c r="H52" s="33">
        <f t="shared" si="48"/>
        <v>0.21</v>
      </c>
      <c r="I52" s="33">
        <f t="shared" si="48"/>
        <v>0.21</v>
      </c>
      <c r="J52" s="33">
        <f t="shared" si="48"/>
        <v>0.21</v>
      </c>
      <c r="K52" s="33">
        <f t="shared" si="48"/>
        <v>0.21</v>
      </c>
      <c r="L52" s="33">
        <f t="shared" si="48"/>
        <v>0.21</v>
      </c>
      <c r="M52" s="33">
        <f t="shared" si="48"/>
        <v>0.21</v>
      </c>
      <c r="N52" s="33">
        <f t="shared" si="48"/>
        <v>0.21</v>
      </c>
      <c r="O52" s="33">
        <f t="shared" si="48"/>
        <v>0.21</v>
      </c>
      <c r="P52" s="33">
        <f t="shared" si="48"/>
        <v>0.21</v>
      </c>
      <c r="Q52" s="33">
        <f t="shared" si="48"/>
        <v>0.21</v>
      </c>
      <c r="R52" s="33"/>
      <c r="S52" s="33"/>
      <c r="T52" s="27" t="s">
        <v>1442</v>
      </c>
    </row>
    <row r="54" spans="2:20">
      <c r="B54" s="24" t="s">
        <v>127</v>
      </c>
      <c r="E54" s="8"/>
      <c r="F54" s="8"/>
      <c r="G54" s="8"/>
    </row>
    <row r="55" spans="2:20">
      <c r="B55" s="17" t="s">
        <v>187</v>
      </c>
      <c r="D55" s="11">
        <f>+'Historical Financials'!BG88</f>
        <v>6622</v>
      </c>
      <c r="E55" s="11">
        <f>+'Historical Financials'!BH88</f>
        <v>8778</v>
      </c>
      <c r="F55" s="11">
        <f>+'Historical Financials'!BI88</f>
        <v>10261</v>
      </c>
      <c r="G55" s="11">
        <f>+G57*G36</f>
        <v>12249.960000000001</v>
      </c>
      <c r="H55" s="11">
        <f t="shared" ref="H55:Q55" si="49">+H57*H36</f>
        <v>14088.066498000004</v>
      </c>
      <c r="I55" s="11">
        <f t="shared" si="49"/>
        <v>16141.649792400005</v>
      </c>
      <c r="J55" s="11">
        <f t="shared" si="49"/>
        <v>18432.459687180009</v>
      </c>
      <c r="K55" s="11">
        <f t="shared" si="49"/>
        <v>20984.144730120013</v>
      </c>
      <c r="L55" s="11">
        <f t="shared" si="49"/>
        <v>22687.985541540016</v>
      </c>
      <c r="M55" s="11">
        <f t="shared" si="49"/>
        <v>24522.75306794282</v>
      </c>
      <c r="N55" s="11">
        <f t="shared" si="49"/>
        <v>26497.594244210784</v>
      </c>
      <c r="O55" s="11">
        <f t="shared" si="49"/>
        <v>28622.176125052913</v>
      </c>
      <c r="P55" s="11">
        <f t="shared" si="49"/>
        <v>30906.698439621359</v>
      </c>
      <c r="Q55" s="11">
        <f t="shared" si="49"/>
        <v>33361.903455852967</v>
      </c>
      <c r="R55" s="11"/>
      <c r="S55" s="8"/>
    </row>
    <row r="56" spans="2:20" s="3" customFormat="1">
      <c r="B56" s="19" t="s">
        <v>173</v>
      </c>
      <c r="D56" s="33">
        <f t="shared" ref="D56:Q56" si="50">+D55/D9</f>
        <v>7.2646290892336041E-2</v>
      </c>
      <c r="E56" s="33">
        <f t="shared" si="50"/>
        <v>9.0896853092543306E-2</v>
      </c>
      <c r="F56" s="33">
        <f t="shared" si="50"/>
        <v>9.2977528089887643E-2</v>
      </c>
      <c r="G56" s="33">
        <f t="shared" si="50"/>
        <v>0.1</v>
      </c>
      <c r="H56" s="33">
        <f t="shared" si="50"/>
        <v>0.10455</v>
      </c>
      <c r="I56" s="33">
        <f t="shared" si="50"/>
        <v>0.10890000000000001</v>
      </c>
      <c r="J56" s="33">
        <f t="shared" si="50"/>
        <v>0.11305000000000001</v>
      </c>
      <c r="K56" s="33">
        <f t="shared" si="50"/>
        <v>0.11700000000000002</v>
      </c>
      <c r="L56" s="33">
        <f t="shared" si="50"/>
        <v>0.11500000000000002</v>
      </c>
      <c r="M56" s="33">
        <f t="shared" si="50"/>
        <v>0.11300000000000002</v>
      </c>
      <c r="N56" s="33">
        <f t="shared" si="50"/>
        <v>0.11100000000000002</v>
      </c>
      <c r="O56" s="33">
        <f t="shared" si="50"/>
        <v>0.10900000000000001</v>
      </c>
      <c r="P56" s="33">
        <f t="shared" si="50"/>
        <v>0.10700000000000001</v>
      </c>
      <c r="Q56" s="33">
        <f t="shared" si="50"/>
        <v>0.10500000000000001</v>
      </c>
      <c r="R56" s="33"/>
      <c r="S56" s="33"/>
    </row>
    <row r="57" spans="2:20">
      <c r="B57" s="19" t="s">
        <v>1443</v>
      </c>
      <c r="D57" s="33">
        <f>+D55/D36</f>
        <v>0.74404494382022468</v>
      </c>
      <c r="E57" s="33">
        <f>+E55/E36</f>
        <v>0.86058823529411765</v>
      </c>
      <c r="F57" s="33">
        <f>+F55/F36</f>
        <v>0.75448529411764709</v>
      </c>
      <c r="G57" s="57">
        <v>0.8</v>
      </c>
      <c r="H57" s="57">
        <f>+G57+5%</f>
        <v>0.85000000000000009</v>
      </c>
      <c r="I57" s="57">
        <f t="shared" ref="I57:K57" si="51">+H57+5%</f>
        <v>0.90000000000000013</v>
      </c>
      <c r="J57" s="57">
        <f t="shared" si="51"/>
        <v>0.95000000000000018</v>
      </c>
      <c r="K57" s="57">
        <f t="shared" si="51"/>
        <v>1.0000000000000002</v>
      </c>
      <c r="L57" s="33">
        <f t="shared" ref="L57:Q57" si="52">+K57</f>
        <v>1.0000000000000002</v>
      </c>
      <c r="M57" s="33">
        <f t="shared" si="52"/>
        <v>1.0000000000000002</v>
      </c>
      <c r="N57" s="33">
        <f t="shared" si="52"/>
        <v>1.0000000000000002</v>
      </c>
      <c r="O57" s="33">
        <f t="shared" si="52"/>
        <v>1.0000000000000002</v>
      </c>
      <c r="P57" s="33">
        <f t="shared" si="52"/>
        <v>1.0000000000000002</v>
      </c>
      <c r="Q57" s="33">
        <f t="shared" si="52"/>
        <v>1.0000000000000002</v>
      </c>
      <c r="R57" s="33"/>
      <c r="S57" s="33"/>
    </row>
    <row r="59" spans="2:20">
      <c r="B59" t="s">
        <v>143</v>
      </c>
      <c r="D59" s="8">
        <f t="shared" ref="D59:Q59" si="53">+D44-D48-D51</f>
        <v>18761.52</v>
      </c>
      <c r="E59" s="8">
        <f t="shared" si="53"/>
        <v>22625.489999999998</v>
      </c>
      <c r="F59" s="8">
        <f t="shared" si="53"/>
        <v>25772.82</v>
      </c>
      <c r="G59" s="8">
        <f t="shared" si="53"/>
        <v>28096.950699999994</v>
      </c>
      <c r="H59" s="8">
        <f t="shared" si="53"/>
        <v>32059.941384580005</v>
      </c>
      <c r="I59" s="8">
        <f t="shared" si="53"/>
        <v>36452.830940404005</v>
      </c>
      <c r="J59" s="8">
        <f t="shared" si="53"/>
        <v>41321.34669190782</v>
      </c>
      <c r="K59" s="8">
        <f t="shared" si="53"/>
        <v>46716.000185405232</v>
      </c>
      <c r="L59" s="8">
        <f t="shared" si="53"/>
        <v>52454.356686603445</v>
      </c>
      <c r="M59" s="8">
        <f t="shared" si="53"/>
        <v>58797.720157187243</v>
      </c>
      <c r="N59" s="8">
        <f t="shared" si="53"/>
        <v>65809.708426021767</v>
      </c>
      <c r="O59" s="8">
        <f t="shared" si="53"/>
        <v>73560.612818051304</v>
      </c>
      <c r="P59" s="8">
        <f t="shared" si="53"/>
        <v>82128.096675226581</v>
      </c>
      <c r="Q59" s="8">
        <f t="shared" si="53"/>
        <v>91597.96684665636</v>
      </c>
      <c r="R59" s="8"/>
      <c r="S59" s="8"/>
    </row>
    <row r="60" spans="2:20">
      <c r="B60" s="13" t="s">
        <v>1429</v>
      </c>
      <c r="D60" s="33"/>
      <c r="E60" s="33">
        <f t="shared" ref="E60:Q60" si="54">+E59/D59-1</f>
        <v>0.20595186317526504</v>
      </c>
      <c r="F60" s="33">
        <f t="shared" si="54"/>
        <v>0.13910549561578556</v>
      </c>
      <c r="G60" s="33">
        <f t="shared" si="54"/>
        <v>9.0177586309918567E-2</v>
      </c>
      <c r="H60" s="33">
        <f t="shared" si="54"/>
        <v>0.14104700281870852</v>
      </c>
      <c r="I60" s="33">
        <f t="shared" si="54"/>
        <v>0.13702113497739776</v>
      </c>
      <c r="J60" s="33">
        <f t="shared" si="54"/>
        <v>0.13355658877257715</v>
      </c>
      <c r="K60" s="33">
        <f t="shared" si="54"/>
        <v>0.13055367081135993</v>
      </c>
      <c r="L60" s="33">
        <f t="shared" si="54"/>
        <v>0.12283492761417869</v>
      </c>
      <c r="M60" s="33">
        <f t="shared" si="54"/>
        <v>0.12093110794367745</v>
      </c>
      <c r="N60" s="33">
        <f t="shared" si="54"/>
        <v>0.11925612506894789</v>
      </c>
      <c r="O60" s="33">
        <f t="shared" si="54"/>
        <v>0.11777752215301951</v>
      </c>
      <c r="P60" s="33">
        <f t="shared" si="54"/>
        <v>0.11646835893505325</v>
      </c>
      <c r="Q60" s="33">
        <f t="shared" si="54"/>
        <v>0.11530609565783712</v>
      </c>
      <c r="R60" s="33"/>
      <c r="S60" s="33"/>
    </row>
    <row r="62" spans="2:20" ht="11.45">
      <c r="B62" s="12" t="s">
        <v>200</v>
      </c>
      <c r="D62" s="10">
        <f t="shared" ref="D62:F62" si="55">+D63-D59</f>
        <v>5663.48</v>
      </c>
      <c r="E62" s="10">
        <f t="shared" si="55"/>
        <v>6681.510000000002</v>
      </c>
      <c r="F62" s="10">
        <f t="shared" si="55"/>
        <v>4511.18</v>
      </c>
      <c r="G62" s="58">
        <f>-17600*0.08</f>
        <v>-1408</v>
      </c>
      <c r="H62" s="58">
        <f t="shared" ref="H62:K62" si="56">-17600*0.08</f>
        <v>-1408</v>
      </c>
      <c r="I62" s="58">
        <f t="shared" si="56"/>
        <v>-1408</v>
      </c>
      <c r="J62" s="58">
        <f t="shared" si="56"/>
        <v>-1408</v>
      </c>
      <c r="K62" s="58">
        <f t="shared" si="56"/>
        <v>-1408</v>
      </c>
      <c r="L62" s="58">
        <f>-17600*0.15</f>
        <v>-2640</v>
      </c>
      <c r="M62" s="58">
        <f>-17600*0.2</f>
        <v>-3520</v>
      </c>
      <c r="N62" s="58">
        <f>-17600*0.25</f>
        <v>-4400</v>
      </c>
      <c r="O62" s="58">
        <v>0</v>
      </c>
      <c r="P62" s="58">
        <v>0</v>
      </c>
      <c r="Q62" s="58">
        <v>0</v>
      </c>
      <c r="R62" s="58"/>
      <c r="S62" s="58"/>
      <c r="T62" s="27" t="s">
        <v>1444</v>
      </c>
    </row>
    <row r="63" spans="2:20">
      <c r="B63" t="s">
        <v>147</v>
      </c>
      <c r="D63" s="11">
        <f>+'Historical Financials'!BG125</f>
        <v>24425</v>
      </c>
      <c r="E63" s="11">
        <f>+'Historical Financials'!BH125</f>
        <v>29307</v>
      </c>
      <c r="F63" s="11">
        <f>+'Historical Financials'!BI125</f>
        <v>30284</v>
      </c>
      <c r="G63" s="8">
        <f t="shared" ref="G63:Q63" si="57">+G59+G62</f>
        <v>26688.950699999994</v>
      </c>
      <c r="H63" s="8">
        <f t="shared" si="57"/>
        <v>30651.941384580005</v>
      </c>
      <c r="I63" s="8">
        <f t="shared" si="57"/>
        <v>35044.830940404005</v>
      </c>
      <c r="J63" s="8">
        <f t="shared" si="57"/>
        <v>39913.34669190782</v>
      </c>
      <c r="K63" s="8">
        <f t="shared" si="57"/>
        <v>45308.000185405232</v>
      </c>
      <c r="L63" s="8">
        <f t="shared" si="57"/>
        <v>49814.356686603445</v>
      </c>
      <c r="M63" s="8">
        <f t="shared" si="57"/>
        <v>55277.720157187243</v>
      </c>
      <c r="N63" s="8">
        <f t="shared" si="57"/>
        <v>61409.708426021767</v>
      </c>
      <c r="O63" s="8">
        <f t="shared" si="57"/>
        <v>73560.612818051304</v>
      </c>
      <c r="P63" s="8">
        <f t="shared" si="57"/>
        <v>82128.096675226581</v>
      </c>
      <c r="Q63" s="8">
        <f t="shared" si="57"/>
        <v>91597.96684665636</v>
      </c>
      <c r="R63" s="8"/>
      <c r="S63" s="8"/>
    </row>
    <row r="65" spans="2:19">
      <c r="B65" t="s">
        <v>148</v>
      </c>
      <c r="D65" s="11">
        <f>+'Historical Financials'!BG139</f>
        <v>-59779</v>
      </c>
      <c r="E65" s="11">
        <f>+'Historical Financials'!BH139</f>
        <v>-38877</v>
      </c>
      <c r="F65" s="11">
        <f>+'Historical Financials'!BI139</f>
        <v>-47659</v>
      </c>
      <c r="G65" s="11">
        <f t="shared" ref="G65:Q65" si="58">+G66*G17</f>
        <v>0</v>
      </c>
      <c r="H65" s="11">
        <f t="shared" si="58"/>
        <v>0</v>
      </c>
      <c r="I65" s="11">
        <f t="shared" si="58"/>
        <v>0</v>
      </c>
      <c r="J65" s="11">
        <f t="shared" si="58"/>
        <v>0</v>
      </c>
      <c r="K65" s="11">
        <f t="shared" si="58"/>
        <v>0</v>
      </c>
      <c r="L65" s="11">
        <f t="shared" si="58"/>
        <v>0</v>
      </c>
      <c r="M65" s="11">
        <f t="shared" si="58"/>
        <v>0</v>
      </c>
      <c r="N65" s="11">
        <f t="shared" si="58"/>
        <v>0</v>
      </c>
      <c r="O65" s="11">
        <f t="shared" si="58"/>
        <v>0</v>
      </c>
      <c r="P65" s="11">
        <f t="shared" si="58"/>
        <v>0</v>
      </c>
      <c r="Q65" s="11">
        <f t="shared" si="58"/>
        <v>0</v>
      </c>
      <c r="R65" s="11"/>
      <c r="S65" s="11"/>
    </row>
    <row r="66" spans="2:19" s="3" customFormat="1">
      <c r="B66" s="36" t="s">
        <v>1445</v>
      </c>
      <c r="D66" s="59">
        <f>+D65/D17</f>
        <v>-1.768086364980775</v>
      </c>
      <c r="E66" s="59">
        <f>+E65/E17</f>
        <v>-1.0201527198299614</v>
      </c>
      <c r="F66" s="59">
        <f>+F65/F17</f>
        <v>-1.0516339725060129</v>
      </c>
      <c r="G66" s="60">
        <v>0</v>
      </c>
      <c r="H66" s="59">
        <f t="shared" ref="H66:Q66" si="59">+G66</f>
        <v>0</v>
      </c>
      <c r="I66" s="59">
        <f t="shared" si="59"/>
        <v>0</v>
      </c>
      <c r="J66" s="59">
        <f t="shared" si="59"/>
        <v>0</v>
      </c>
      <c r="K66" s="59">
        <f t="shared" si="59"/>
        <v>0</v>
      </c>
      <c r="L66" s="59">
        <f t="shared" si="59"/>
        <v>0</v>
      </c>
      <c r="M66" s="59">
        <f t="shared" si="59"/>
        <v>0</v>
      </c>
      <c r="N66" s="59">
        <f t="shared" si="59"/>
        <v>0</v>
      </c>
      <c r="O66" s="59">
        <f t="shared" si="59"/>
        <v>0</v>
      </c>
      <c r="P66" s="59">
        <f t="shared" si="59"/>
        <v>0</v>
      </c>
      <c r="Q66" s="59">
        <f t="shared" si="59"/>
        <v>0</v>
      </c>
      <c r="R66" s="59"/>
      <c r="S66" s="59"/>
    </row>
    <row r="68" spans="2:19">
      <c r="F68" s="41" t="s">
        <v>1446</v>
      </c>
      <c r="G68" s="61">
        <v>-7500</v>
      </c>
    </row>
    <row r="70" spans="2:19">
      <c r="B70" t="s">
        <v>1447</v>
      </c>
      <c r="F70" s="61"/>
      <c r="G70" s="8">
        <f>+G63+G65-F65+G68</f>
        <v>66847.950699999987</v>
      </c>
      <c r="H70" s="8">
        <f t="shared" ref="H70:Q70" si="60">+H63+H65-G65</f>
        <v>30651.941384580005</v>
      </c>
      <c r="I70" s="8">
        <f t="shared" si="60"/>
        <v>35044.830940404005</v>
      </c>
      <c r="J70" s="8">
        <f t="shared" si="60"/>
        <v>39913.34669190782</v>
      </c>
      <c r="K70" s="8">
        <f t="shared" si="60"/>
        <v>45308.000185405232</v>
      </c>
      <c r="L70" s="8">
        <f t="shared" si="60"/>
        <v>49814.356686603445</v>
      </c>
      <c r="M70" s="8">
        <f t="shared" si="60"/>
        <v>55277.720157187243</v>
      </c>
      <c r="N70" s="8">
        <f t="shared" si="60"/>
        <v>61409.708426021767</v>
      </c>
      <c r="O70" s="8">
        <f t="shared" si="60"/>
        <v>73560.612818051304</v>
      </c>
      <c r="P70" s="8">
        <f t="shared" si="60"/>
        <v>82128.096675226581</v>
      </c>
      <c r="Q70" s="8">
        <f t="shared" si="60"/>
        <v>91597.96684665636</v>
      </c>
      <c r="R70" s="8"/>
      <c r="S70" s="8"/>
    </row>
    <row r="71" spans="2:19">
      <c r="B71" t="s">
        <v>1448</v>
      </c>
      <c r="F71" s="8"/>
      <c r="G71" s="8">
        <f>+G70</f>
        <v>66847.950699999987</v>
      </c>
      <c r="H71" s="8">
        <f t="shared" ref="H71:Q71" si="61">+G71+H70</f>
        <v>97499.892084579988</v>
      </c>
      <c r="I71" s="8">
        <f t="shared" si="61"/>
        <v>132544.72302498401</v>
      </c>
      <c r="J71" s="8">
        <f t="shared" si="61"/>
        <v>172458.06971689183</v>
      </c>
      <c r="K71" s="8">
        <f t="shared" si="61"/>
        <v>217766.06990229705</v>
      </c>
      <c r="L71" s="8">
        <f t="shared" si="61"/>
        <v>267580.4265889005</v>
      </c>
      <c r="M71" s="8">
        <f t="shared" si="61"/>
        <v>322858.14674608776</v>
      </c>
      <c r="N71" s="8">
        <f t="shared" si="61"/>
        <v>384267.85517210956</v>
      </c>
      <c r="O71" s="8">
        <f t="shared" si="61"/>
        <v>457828.46799016086</v>
      </c>
      <c r="P71" s="8">
        <f t="shared" si="61"/>
        <v>539956.56466538738</v>
      </c>
      <c r="Q71" s="8">
        <f t="shared" si="61"/>
        <v>631554.53151204379</v>
      </c>
      <c r="R71" s="8"/>
      <c r="S71" s="8"/>
    </row>
    <row r="72" spans="2:19">
      <c r="B72" s="13" t="s">
        <v>1449</v>
      </c>
      <c r="F72" s="33"/>
      <c r="G72" s="33">
        <f t="shared" ref="G72:Q72" si="62">+G71/$D$104</f>
        <v>8.1883877752258444E-2</v>
      </c>
      <c r="H72" s="33">
        <f t="shared" si="62"/>
        <v>0.11943027663093553</v>
      </c>
      <c r="I72" s="33">
        <f t="shared" si="62"/>
        <v>0.16235764572039077</v>
      </c>
      <c r="J72" s="33">
        <f t="shared" si="62"/>
        <v>0.21124859251801173</v>
      </c>
      <c r="K72" s="72">
        <f t="shared" si="62"/>
        <v>0.26674759749171284</v>
      </c>
      <c r="L72" s="33">
        <f t="shared" si="62"/>
        <v>0.32776656143181809</v>
      </c>
      <c r="M72" s="33">
        <f t="shared" si="62"/>
        <v>0.39547774827265381</v>
      </c>
      <c r="N72" s="33">
        <f t="shared" si="62"/>
        <v>0.47070017476295767</v>
      </c>
      <c r="O72" s="33">
        <f t="shared" si="62"/>
        <v>0.56080657539753287</v>
      </c>
      <c r="P72" s="33">
        <f t="shared" si="62"/>
        <v>0.66140752064356134</v>
      </c>
      <c r="Q72" s="33">
        <f t="shared" si="62"/>
        <v>0.77360836810539735</v>
      </c>
      <c r="R72" s="33"/>
      <c r="S72" s="33"/>
    </row>
    <row r="74" spans="2:19">
      <c r="B74" t="s">
        <v>1450</v>
      </c>
    </row>
    <row r="75" spans="2:19">
      <c r="B75" s="12" t="s">
        <v>1451</v>
      </c>
      <c r="E75" s="62">
        <f>+$D$106/E9</f>
        <v>7.9601122490188567</v>
      </c>
      <c r="F75" s="62">
        <f t="shared" ref="F75:Q75" si="63">+($D$106-F71+F65-$E65)/F9</f>
        <v>6.8859550561797755</v>
      </c>
      <c r="G75" s="62">
        <f t="shared" si="63"/>
        <v>6.0469181066713693</v>
      </c>
      <c r="H75" s="62">
        <f t="shared" si="63"/>
        <v>5.2697248726854458</v>
      </c>
      <c r="I75" s="62">
        <f t="shared" si="63"/>
        <v>4.5542282423443083</v>
      </c>
      <c r="J75" s="62">
        <f t="shared" si="63"/>
        <v>3.8954108722909355</v>
      </c>
      <c r="K75" s="62">
        <f t="shared" si="63"/>
        <v>3.2886615923105373</v>
      </c>
      <c r="L75" s="62">
        <f t="shared" si="63"/>
        <v>2.737195236155864</v>
      </c>
      <c r="M75" s="62">
        <f t="shared" si="63"/>
        <v>2.2336414784234129</v>
      </c>
      <c r="N75" s="62">
        <f t="shared" si="63"/>
        <v>1.7733342371699294</v>
      </c>
      <c r="O75" s="62">
        <f t="shared" si="63"/>
        <v>1.3319858637758275</v>
      </c>
      <c r="P75" s="62">
        <f t="shared" si="63"/>
        <v>0.92656608523710005</v>
      </c>
      <c r="Q75" s="62">
        <f t="shared" si="63"/>
        <v>0.5540463006163574</v>
      </c>
      <c r="R75" s="62"/>
      <c r="S75" s="62"/>
    </row>
    <row r="76" spans="2:19">
      <c r="B76" s="12" t="s">
        <v>1452</v>
      </c>
      <c r="E76" s="62">
        <f>+$D$106/E17</f>
        <v>20.171508042719566</v>
      </c>
      <c r="F76" s="62">
        <f t="shared" ref="F76:Q76" si="64">+($D$106-F71+F65-$E65)/F17</f>
        <v>16.768551821531808</v>
      </c>
      <c r="G76" s="62">
        <f t="shared" si="64"/>
        <v>14.329894251154284</v>
      </c>
      <c r="H76" s="62">
        <f t="shared" si="64"/>
        <v>12.281678258337342</v>
      </c>
      <c r="I76" s="62">
        <f t="shared" si="64"/>
        <v>10.456988802357587</v>
      </c>
      <c r="J76" s="62">
        <f t="shared" si="64"/>
        <v>8.8254892798116735</v>
      </c>
      <c r="K76" s="62">
        <f t="shared" si="64"/>
        <v>7.3619481043618444</v>
      </c>
      <c r="L76" s="62">
        <f t="shared" si="64"/>
        <v>6.0617060689739874</v>
      </c>
      <c r="M76" s="62">
        <f t="shared" si="64"/>
        <v>4.898773557974196</v>
      </c>
      <c r="N76" s="62">
        <f t="shared" si="64"/>
        <v>3.855384355101052</v>
      </c>
      <c r="O76" s="62">
        <f t="shared" si="64"/>
        <v>2.8731190071960535</v>
      </c>
      <c r="P76" s="62">
        <f t="shared" si="64"/>
        <v>1.9844572483364131</v>
      </c>
      <c r="Q76" s="62">
        <f t="shared" si="64"/>
        <v>1.1790235405201031</v>
      </c>
      <c r="R76" s="62"/>
      <c r="S76" s="62"/>
    </row>
    <row r="77" spans="2:19">
      <c r="B77" s="12" t="s">
        <v>1453</v>
      </c>
      <c r="E77" s="62">
        <f>$D$104/E59</f>
        <v>36.082091481775649</v>
      </c>
      <c r="F77" s="62">
        <f t="shared" ref="F77:Q77" si="65">($D$104-F$71)/F59</f>
        <v>31.675811960041624</v>
      </c>
      <c r="G77" s="62">
        <f t="shared" si="65"/>
        <v>26.676455295912245</v>
      </c>
      <c r="H77" s="62">
        <f t="shared" si="65"/>
        <v>22.422845359947544</v>
      </c>
      <c r="I77" s="62">
        <f t="shared" si="65"/>
        <v>18.759318805526963</v>
      </c>
      <c r="J77" s="62">
        <f t="shared" si="65"/>
        <v>15.583154515368442</v>
      </c>
      <c r="K77" s="62">
        <f t="shared" si="65"/>
        <v>12.813788160843384</v>
      </c>
      <c r="L77" s="62">
        <f t="shared" si="65"/>
        <v>10.462325878667359</v>
      </c>
      <c r="M77" s="62">
        <f t="shared" si="65"/>
        <v>8.3934692014344421</v>
      </c>
      <c r="N77" s="62">
        <f t="shared" si="65"/>
        <v>6.5660091065990995</v>
      </c>
      <c r="O77" s="62">
        <f t="shared" si="65"/>
        <v>4.8741645600028782</v>
      </c>
      <c r="P77" s="62">
        <f t="shared" si="65"/>
        <v>3.3656987867100114</v>
      </c>
      <c r="Q77" s="62">
        <f t="shared" si="65"/>
        <v>2.0177354896682709</v>
      </c>
      <c r="R77" s="62"/>
      <c r="S77" s="62"/>
    </row>
    <row r="78" spans="2:19">
      <c r="B78" s="12" t="s">
        <v>1454</v>
      </c>
      <c r="E78" s="62">
        <f>$D$104/(E59-E55+E36)</f>
        <v>33.948449505540914</v>
      </c>
      <c r="F78" s="62">
        <f t="shared" ref="F78:Q78" si="66">($D$104-F71)/(F59-F55+F36)</f>
        <v>28.042733157871957</v>
      </c>
      <c r="G78" s="62">
        <f t="shared" si="66"/>
        <v>24.05457326774162</v>
      </c>
      <c r="H78" s="62">
        <f t="shared" si="66"/>
        <v>20.809171403969405</v>
      </c>
      <c r="I78" s="62">
        <f t="shared" si="66"/>
        <v>17.879623027350679</v>
      </c>
      <c r="J78" s="62">
        <f t="shared" si="66"/>
        <v>15.225690586266937</v>
      </c>
      <c r="K78" s="62">
        <f t="shared" si="66"/>
        <v>12.813788160843385</v>
      </c>
      <c r="L78" s="62">
        <f t="shared" si="66"/>
        <v>10.462325878667361</v>
      </c>
      <c r="M78" s="62">
        <f t="shared" si="66"/>
        <v>8.3934692014344421</v>
      </c>
      <c r="N78" s="62">
        <f t="shared" si="66"/>
        <v>6.5660091065990995</v>
      </c>
      <c r="O78" s="62">
        <f t="shared" si="66"/>
        <v>4.8741645600028782</v>
      </c>
      <c r="P78" s="62">
        <f t="shared" si="66"/>
        <v>3.3656987867100114</v>
      </c>
      <c r="Q78" s="62">
        <f t="shared" si="66"/>
        <v>2.0177354896682713</v>
      </c>
      <c r="R78" s="62"/>
      <c r="S78" s="62"/>
    </row>
    <row r="79" spans="2:19">
      <c r="B79" s="12"/>
      <c r="E79" s="62"/>
      <c r="F79" s="62"/>
      <c r="G79" s="62"/>
      <c r="H79" s="62"/>
      <c r="I79" s="62"/>
      <c r="J79" s="62"/>
      <c r="K79" s="62"/>
      <c r="L79" s="62"/>
      <c r="M79" s="62"/>
      <c r="N79" s="62"/>
      <c r="O79" s="62"/>
      <c r="P79" s="62"/>
    </row>
    <row r="80" spans="2:19">
      <c r="B80" s="12" t="s">
        <v>1455</v>
      </c>
      <c r="E80" s="62"/>
      <c r="F80" s="62"/>
      <c r="G80" s="62">
        <f>+$D104/(G17-G55-G48-G51)</f>
        <v>26.199924698905139</v>
      </c>
      <c r="H80" s="62">
        <f>+$D104/(H17-H55-H48-H51)</f>
        <v>23.631486356757083</v>
      </c>
      <c r="I80" s="62"/>
      <c r="J80" s="62"/>
      <c r="K80" s="62"/>
      <c r="L80" s="62"/>
      <c r="M80" s="62"/>
      <c r="N80" s="62"/>
      <c r="O80" s="62"/>
      <c r="P80" s="62"/>
    </row>
    <row r="81" spans="2:19">
      <c r="B81" s="12" t="s">
        <v>1456</v>
      </c>
      <c r="F81" s="62"/>
      <c r="G81" s="62" t="str">
        <f>_xll.ciqfunctions.udf.CIQ("MSFT", "IQ_PE_EXCL_FWD", "FY2019")</f>
        <v>NA</v>
      </c>
      <c r="H81" s="62" t="str">
        <f>_xll.ciqfunctions.udf.CIQ("MSFT", "IQ_PE_EXCL_FWD", "FY2020")</f>
        <v>NA</v>
      </c>
      <c r="I81" s="62"/>
      <c r="J81" s="62"/>
      <c r="K81" s="62"/>
      <c r="L81" s="62"/>
      <c r="M81" s="62"/>
      <c r="N81" s="62"/>
      <c r="O81" s="62"/>
      <c r="P81" s="62"/>
    </row>
    <row r="83" spans="2:19" ht="10.5">
      <c r="B83" s="45" t="s">
        <v>1457</v>
      </c>
      <c r="C83" s="1"/>
    </row>
    <row r="85" spans="2:19" ht="11.45">
      <c r="B85" t="s">
        <v>1458</v>
      </c>
      <c r="J85" s="63"/>
      <c r="K85" s="64">
        <v>15</v>
      </c>
    </row>
    <row r="86" spans="2:19">
      <c r="B86" t="s">
        <v>1459</v>
      </c>
      <c r="J86" s="8"/>
      <c r="K86" s="8">
        <f>+K85*L59</f>
        <v>786815.35029905173</v>
      </c>
    </row>
    <row r="87" spans="2:19" ht="13.5">
      <c r="K87" s="6"/>
      <c r="L87" s="6" t="s">
        <v>576</v>
      </c>
    </row>
    <row r="88" spans="2:19">
      <c r="B88" t="s">
        <v>161</v>
      </c>
      <c r="E88" s="65"/>
      <c r="F88" s="8">
        <f>-D104</f>
        <v>-816375</v>
      </c>
      <c r="G88" s="8">
        <f t="shared" ref="G88:J88" si="67">+G70</f>
        <v>66847.950699999987</v>
      </c>
      <c r="H88" s="8">
        <f t="shared" si="67"/>
        <v>30651.941384580005</v>
      </c>
      <c r="I88" s="8">
        <f t="shared" si="67"/>
        <v>35044.830940404005</v>
      </c>
      <c r="J88" s="8">
        <f t="shared" si="67"/>
        <v>39913.34669190782</v>
      </c>
      <c r="K88" s="8">
        <f>+K70+K86</f>
        <v>832123.35048445698</v>
      </c>
      <c r="L88" s="8">
        <f>+SUM(G88:K88)</f>
        <v>1004581.4202013488</v>
      </c>
    </row>
    <row r="89" spans="2:19">
      <c r="J89" s="66"/>
      <c r="K89" s="66" t="s">
        <v>1460</v>
      </c>
      <c r="L89" s="62">
        <f>+L88/-F88</f>
        <v>1.2305391764830487</v>
      </c>
    </row>
    <row r="90" spans="2:19" ht="10.5">
      <c r="B90" s="67" t="s">
        <v>1461</v>
      </c>
      <c r="C90" s="68"/>
      <c r="D90" s="69" t="e">
        <f ca="1">+XIRR(F88:K88,F8:K8)</f>
        <v>#NUM!</v>
      </c>
    </row>
    <row r="92" spans="2:19" ht="10.5">
      <c r="B92" s="45" t="s">
        <v>1462</v>
      </c>
      <c r="C92" s="1"/>
    </row>
    <row r="94" spans="2:19" ht="11.45">
      <c r="B94" t="s">
        <v>1458</v>
      </c>
      <c r="O94" s="63"/>
      <c r="P94" s="64">
        <v>15</v>
      </c>
    </row>
    <row r="95" spans="2:19">
      <c r="B95" t="s">
        <v>1459</v>
      </c>
      <c r="O95" s="8"/>
      <c r="P95" s="8">
        <f>+P94*Q59</f>
        <v>1373969.5026998455</v>
      </c>
    </row>
    <row r="96" spans="2:19" ht="13.5">
      <c r="P96" s="6"/>
      <c r="Q96" s="6" t="s">
        <v>576</v>
      </c>
      <c r="R96" s="6"/>
      <c r="S96" s="6"/>
    </row>
    <row r="97" spans="2:19">
      <c r="B97" t="s">
        <v>161</v>
      </c>
      <c r="E97" s="65"/>
      <c r="F97" s="8">
        <f>-D104</f>
        <v>-816375</v>
      </c>
      <c r="G97" s="8">
        <f t="shared" ref="G97:O97" si="68">+G70</f>
        <v>66847.950699999987</v>
      </c>
      <c r="H97" s="8">
        <f t="shared" si="68"/>
        <v>30651.941384580005</v>
      </c>
      <c r="I97" s="8">
        <f t="shared" si="68"/>
        <v>35044.830940404005</v>
      </c>
      <c r="J97" s="8">
        <f t="shared" si="68"/>
        <v>39913.34669190782</v>
      </c>
      <c r="K97" s="8">
        <f t="shared" si="68"/>
        <v>45308.000185405232</v>
      </c>
      <c r="L97" s="8">
        <f t="shared" si="68"/>
        <v>49814.356686603445</v>
      </c>
      <c r="M97" s="8">
        <f t="shared" si="68"/>
        <v>55277.720157187243</v>
      </c>
      <c r="N97" s="8">
        <f t="shared" si="68"/>
        <v>61409.708426021767</v>
      </c>
      <c r="O97" s="8">
        <f t="shared" si="68"/>
        <v>73560.612818051304</v>
      </c>
      <c r="P97" s="8">
        <f>+P70+P95</f>
        <v>1456097.5993750719</v>
      </c>
      <c r="Q97" s="8">
        <f>+SUM(G97:P97)</f>
        <v>1913926.0673652329</v>
      </c>
      <c r="R97" s="8"/>
      <c r="S97" s="8"/>
    </row>
    <row r="98" spans="2:19">
      <c r="O98" s="66"/>
      <c r="P98" s="66" t="s">
        <v>1460</v>
      </c>
      <c r="Q98" s="62">
        <f>+Q97/-F97</f>
        <v>2.3444202325711014</v>
      </c>
      <c r="R98" s="62"/>
      <c r="S98" s="62"/>
    </row>
    <row r="99" spans="2:19" ht="10.5">
      <c r="B99" s="67" t="s">
        <v>1461</v>
      </c>
      <c r="C99" s="68"/>
      <c r="D99" s="69" t="e">
        <f ca="1">+XIRR(F97:P97,F8:P8)</f>
        <v>#NUM!</v>
      </c>
    </row>
    <row r="102" spans="2:19" ht="10.5">
      <c r="B102" s="46" t="s">
        <v>163</v>
      </c>
      <c r="C102" s="47"/>
      <c r="D102" s="47"/>
      <c r="E102" s="48"/>
    </row>
    <row r="103" spans="2:19" ht="13.5">
      <c r="D103" s="6" t="s">
        <v>164</v>
      </c>
      <c r="E103" s="6" t="s">
        <v>1463</v>
      </c>
      <c r="G103" s="9"/>
    </row>
    <row r="104" spans="2:19">
      <c r="B104" s="12" t="s">
        <v>166</v>
      </c>
      <c r="D104" s="65">
        <f>+E104*E108</f>
        <v>816375</v>
      </c>
      <c r="E104" s="70">
        <v>105</v>
      </c>
    </row>
    <row r="105" spans="2:19" ht="11.45">
      <c r="B105" s="12" t="s">
        <v>148</v>
      </c>
      <c r="D105" s="34">
        <f>+'Historical Financials'!O139</f>
        <v>-47659</v>
      </c>
      <c r="E105" s="71">
        <f>+D105/E108/1000</f>
        <v>-6.129774919614148E-3</v>
      </c>
    </row>
    <row r="106" spans="2:19">
      <c r="B106" t="s">
        <v>167</v>
      </c>
      <c r="D106" s="65">
        <f>SUM(D104:D105)</f>
        <v>768716</v>
      </c>
      <c r="E106" s="9">
        <f>+D106/E108/1000</f>
        <v>9.8870225080385857E-2</v>
      </c>
    </row>
    <row r="108" spans="2:19" s="3" customFormat="1">
      <c r="B108" s="13" t="s">
        <v>1464</v>
      </c>
      <c r="E108" s="40">
        <f>+'Historical Financials'!O75</f>
        <v>7775</v>
      </c>
    </row>
  </sheetData>
  <pageMargins left="0.5" right="0.5" top="0.5" bottom="0.5" header="0.3" footer="0.3"/>
  <pageSetup scale="63" fitToHeight="0"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C0ACA-EDC9-4879-8613-DC2163F12F8D}">
  <dimension ref="A1:EQ328"/>
  <sheetViews>
    <sheetView topLeftCell="H137" zoomScale="55" zoomScaleNormal="55" workbookViewId="0">
      <selection activeCell="CR190" sqref="CR190"/>
    </sheetView>
  </sheetViews>
  <sheetFormatPr defaultColWidth="13.1640625" defaultRowHeight="12.6" outlineLevelRow="4" outlineLevelCol="1"/>
  <cols>
    <col min="1" max="1" width="23.83203125" style="337" hidden="1" customWidth="1" outlineLevel="1"/>
    <col min="2" max="2" width="36.83203125" hidden="1" customWidth="1" outlineLevel="1"/>
    <col min="3" max="3" width="11.1640625" hidden="1" customWidth="1" outlineLevel="1"/>
    <col min="4" max="4" width="15.5" hidden="1" customWidth="1" outlineLevel="1"/>
    <col min="5" max="7" width="11.1640625" hidden="1" customWidth="1" outlineLevel="1"/>
    <col min="8" max="8" width="2.1640625" style="776" customWidth="1" collapsed="1"/>
    <col min="9" max="9" width="63.1640625" style="777" customWidth="1"/>
    <col min="10" max="45" width="13.1640625" style="482" hidden="1" customWidth="1" outlineLevel="1"/>
    <col min="46" max="47" width="11.5" style="482" hidden="1" customWidth="1" outlineLevel="1"/>
    <col min="48" max="48" width="12.1640625" style="482" hidden="1" customWidth="1" outlineLevel="1"/>
    <col min="49" max="49" width="12.83203125" style="482" hidden="1" customWidth="1" outlineLevel="1"/>
    <col min="50" max="50" width="11.5" style="482" hidden="1" customWidth="1" outlineLevel="1"/>
    <col min="51" max="51" width="12.1640625" style="482" hidden="1" customWidth="1" outlineLevel="1"/>
    <col min="52" max="52" width="12.83203125" style="482" hidden="1" customWidth="1" outlineLevel="1"/>
    <col min="53" max="73" width="11.5" style="482" hidden="1" customWidth="1" outlineLevel="1"/>
    <col min="74" max="74" width="11.5" style="482" customWidth="1" collapsed="1"/>
    <col min="75" max="80" width="11.5" style="482" customWidth="1"/>
    <col min="81" max="81" width="11.6640625" style="482" customWidth="1"/>
    <col min="82" max="93" width="11.5" style="482" customWidth="1"/>
    <col min="94" max="101" width="13.1640625" style="482"/>
    <col min="102" max="113" width="13.1640625" style="482" customWidth="1" outlineLevel="1"/>
    <col min="114" max="114" width="5.83203125" style="318" customWidth="1"/>
    <col min="115" max="124" width="11.5" style="482" hidden="1" customWidth="1" outlineLevel="1"/>
    <col min="125" max="125" width="12.83203125" style="482" hidden="1" customWidth="1" outlineLevel="1"/>
    <col min="126" max="126" width="13.1640625" style="482" hidden="1" customWidth="1" outlineLevel="1"/>
    <col min="127" max="127" width="12.1640625" style="482" hidden="1" customWidth="1" outlineLevel="1"/>
    <col min="128" max="129" width="11.5" style="482" hidden="1" customWidth="1" outlineLevel="1"/>
    <col min="130" max="130" width="11.5" style="482" customWidth="1" collapsed="1"/>
    <col min="131" max="131" width="12.1640625" style="482" customWidth="1"/>
    <col min="132" max="132" width="12.5" style="482" customWidth="1"/>
    <col min="133" max="139" width="11.5" style="482" customWidth="1"/>
    <col min="140" max="145" width="11.5" style="482" customWidth="1" outlineLevel="1"/>
    <col min="146" max="146" width="5.5" style="482" customWidth="1"/>
    <col min="147" max="147" width="26.5" style="482" customWidth="1"/>
    <col min="148" max="16384" width="13.1640625" style="482"/>
  </cols>
  <sheetData>
    <row r="1" spans="1:147" s="318" customFormat="1" ht="15" customHeight="1">
      <c r="A1" s="315"/>
      <c r="B1"/>
      <c r="C1"/>
      <c r="D1"/>
      <c r="E1"/>
      <c r="F1"/>
      <c r="G1"/>
      <c r="H1" s="316"/>
      <c r="I1" s="317">
        <v>95</v>
      </c>
      <c r="BW1" s="319"/>
      <c r="BY1" s="320"/>
      <c r="BZ1" s="320"/>
      <c r="CA1" s="320"/>
      <c r="CB1" s="320"/>
      <c r="CC1" s="320"/>
      <c r="CD1" s="320"/>
      <c r="CE1" s="320"/>
      <c r="CF1" s="320"/>
      <c r="CG1" s="320"/>
    </row>
    <row r="2" spans="1:147" s="326" customFormat="1" ht="15" hidden="1" customHeight="1" outlineLevel="1">
      <c r="A2" s="321"/>
      <c r="B2"/>
      <c r="C2"/>
      <c r="D2"/>
      <c r="E2"/>
      <c r="F2"/>
      <c r="G2"/>
      <c r="H2" s="322"/>
      <c r="I2" s="323"/>
      <c r="J2" s="324"/>
      <c r="K2" s="324"/>
      <c r="L2" s="324"/>
      <c r="M2" s="324"/>
      <c r="N2" s="324"/>
      <c r="O2" s="324"/>
      <c r="P2" s="324"/>
      <c r="Q2" s="324"/>
      <c r="R2" s="324"/>
      <c r="S2" s="324"/>
      <c r="T2" s="324"/>
      <c r="U2" s="324"/>
      <c r="V2" s="324"/>
      <c r="W2" s="324"/>
      <c r="X2" s="324"/>
      <c r="Y2" s="324"/>
      <c r="Z2" s="324"/>
      <c r="AA2" s="324"/>
      <c r="AB2" s="324"/>
      <c r="AC2" s="324"/>
      <c r="AD2" s="324"/>
      <c r="AE2" s="324"/>
      <c r="AF2" s="324"/>
      <c r="AG2" s="324"/>
      <c r="AH2" s="324"/>
      <c r="AI2" s="324"/>
      <c r="AJ2" s="324"/>
      <c r="AK2" s="324"/>
      <c r="AL2" s="324"/>
      <c r="AM2" s="324"/>
      <c r="AN2" s="324"/>
      <c r="AO2" s="324"/>
      <c r="AP2" s="324"/>
      <c r="AQ2" s="324"/>
      <c r="AR2" s="324"/>
      <c r="AS2" s="324"/>
      <c r="AT2" s="324"/>
      <c r="AU2" s="324"/>
      <c r="AV2" s="324"/>
      <c r="AW2" s="324"/>
      <c r="AX2" s="324"/>
      <c r="AY2" s="324"/>
      <c r="AZ2" s="324"/>
      <c r="BA2" s="324"/>
      <c r="BB2" s="324"/>
      <c r="BC2" s="324"/>
      <c r="BD2" s="324"/>
      <c r="BE2" s="324"/>
      <c r="BF2" s="324"/>
      <c r="BG2" s="324"/>
      <c r="BH2" s="324"/>
      <c r="BI2" s="324"/>
      <c r="BJ2" s="324"/>
      <c r="BK2" s="324"/>
      <c r="BL2" s="324"/>
      <c r="BM2" s="324"/>
      <c r="BN2" s="324"/>
      <c r="BO2" s="324"/>
      <c r="BP2" s="324"/>
      <c r="BQ2" s="324"/>
      <c r="BR2" s="324"/>
      <c r="BS2" s="324"/>
      <c r="BT2" s="324"/>
      <c r="BU2" s="324"/>
      <c r="BV2" s="324"/>
      <c r="BW2" s="319"/>
      <c r="BX2" s="324"/>
      <c r="BY2" s="324"/>
      <c r="BZ2" s="324"/>
      <c r="CA2" s="324"/>
      <c r="CB2" s="324"/>
      <c r="CC2" s="325"/>
      <c r="CD2" s="324"/>
      <c r="CE2" s="324"/>
      <c r="CF2" s="324"/>
      <c r="CG2" s="324"/>
      <c r="CH2" s="324"/>
      <c r="CI2" s="324"/>
      <c r="CJ2" s="324"/>
      <c r="CK2" s="324"/>
      <c r="CL2" s="324"/>
      <c r="CM2" s="324"/>
      <c r="CN2" s="324"/>
      <c r="CO2" s="324"/>
      <c r="CP2" s="324"/>
      <c r="CQ2" s="324"/>
      <c r="CR2" s="324"/>
      <c r="CS2" s="324"/>
      <c r="CT2" s="324"/>
      <c r="CU2" s="324"/>
      <c r="CV2" s="324"/>
      <c r="CW2" s="324"/>
      <c r="CX2" s="324"/>
      <c r="CY2" s="324"/>
      <c r="CZ2" s="324"/>
      <c r="DA2" s="324"/>
      <c r="DB2" s="324"/>
      <c r="DC2" s="324"/>
      <c r="DD2" s="324"/>
      <c r="DE2" s="324"/>
      <c r="DF2" s="324"/>
      <c r="DG2" s="324"/>
      <c r="DH2" s="324"/>
      <c r="DI2" s="324"/>
      <c r="DK2" s="324"/>
      <c r="DL2" s="324"/>
      <c r="DM2" s="324"/>
      <c r="DN2" s="324"/>
      <c r="DO2" s="324"/>
      <c r="DP2" s="324"/>
      <c r="DQ2" s="324"/>
      <c r="DR2" s="324"/>
      <c r="DS2" s="324"/>
      <c r="DT2" s="322"/>
      <c r="DU2" s="322"/>
      <c r="DV2" s="322"/>
      <c r="DW2" s="322"/>
      <c r="DX2" s="322"/>
      <c r="DY2" s="322"/>
      <c r="DZ2" s="322"/>
      <c r="EA2" s="322"/>
      <c r="EB2" s="327"/>
      <c r="EC2" s="324"/>
      <c r="ED2" s="324"/>
      <c r="EE2" s="324"/>
      <c r="EF2" s="324"/>
      <c r="EG2" s="324"/>
      <c r="EH2" s="324"/>
      <c r="EI2" s="324"/>
      <c r="EJ2" s="324"/>
      <c r="EK2" s="324"/>
      <c r="EL2" s="324"/>
      <c r="EM2" s="324"/>
      <c r="EN2" s="324"/>
      <c r="EO2" s="324"/>
    </row>
    <row r="3" spans="1:147" s="326" customFormat="1" ht="15" hidden="1" customHeight="1" outlineLevel="1">
      <c r="A3" s="321"/>
      <c r="B3"/>
      <c r="C3"/>
      <c r="D3"/>
      <c r="E3"/>
      <c r="F3"/>
      <c r="G3"/>
      <c r="H3" s="322"/>
      <c r="I3" s="323"/>
      <c r="J3" s="324"/>
      <c r="K3" s="324"/>
      <c r="L3" s="324"/>
      <c r="M3" s="324"/>
      <c r="N3" s="324"/>
      <c r="O3" s="324"/>
      <c r="P3" s="324"/>
      <c r="Q3" s="324"/>
      <c r="R3" s="324"/>
      <c r="S3" s="324"/>
      <c r="T3" s="324"/>
      <c r="U3" s="324"/>
      <c r="V3" s="324"/>
      <c r="W3" s="324"/>
      <c r="X3" s="324"/>
      <c r="Y3" s="324"/>
      <c r="Z3" s="324"/>
      <c r="AA3" s="324"/>
      <c r="AB3" s="324"/>
      <c r="AC3" s="324"/>
      <c r="AD3" s="324"/>
      <c r="AE3" s="324"/>
      <c r="AF3" s="324"/>
      <c r="AG3" s="324"/>
      <c r="AH3" s="324"/>
      <c r="AI3" s="324"/>
      <c r="AJ3" s="324"/>
      <c r="AK3" s="324"/>
      <c r="AL3" s="324"/>
      <c r="AM3" s="324"/>
      <c r="AN3" s="324"/>
      <c r="AO3" s="324"/>
      <c r="AP3" s="324"/>
      <c r="AQ3" s="324"/>
      <c r="AR3" s="324"/>
      <c r="AS3" s="324"/>
      <c r="AT3" s="324"/>
      <c r="AU3" s="324"/>
      <c r="AV3" s="324"/>
      <c r="AW3" s="324"/>
      <c r="AX3" s="324"/>
      <c r="AY3" s="324"/>
      <c r="AZ3" s="324"/>
      <c r="BA3" s="324"/>
      <c r="BB3" s="328"/>
      <c r="BC3" s="324"/>
      <c r="BD3" s="324"/>
      <c r="BE3" s="324"/>
      <c r="BF3" s="328"/>
      <c r="BG3" s="324"/>
      <c r="BH3" s="324"/>
      <c r="BI3" s="324"/>
      <c r="BJ3" s="328"/>
      <c r="BK3" s="324"/>
      <c r="BL3" s="324"/>
      <c r="BM3" s="324"/>
      <c r="BN3" s="328"/>
      <c r="BO3" s="324"/>
      <c r="BP3" s="324"/>
      <c r="BQ3" s="324"/>
      <c r="BR3" s="324"/>
      <c r="BS3" s="324"/>
      <c r="BT3" s="324"/>
      <c r="BU3" s="324"/>
      <c r="BV3" s="329"/>
      <c r="BW3" s="319"/>
      <c r="BX3" s="324"/>
      <c r="BY3" s="324"/>
      <c r="BZ3" s="324"/>
      <c r="CA3" s="324"/>
      <c r="CB3" s="324"/>
      <c r="CC3" s="324"/>
      <c r="CD3" s="324"/>
      <c r="CE3" s="324"/>
      <c r="CF3" s="324"/>
      <c r="CG3" s="324"/>
      <c r="CH3" s="324"/>
      <c r="CI3" s="324"/>
      <c r="CJ3" s="324"/>
      <c r="CK3" s="324"/>
      <c r="CL3" s="324"/>
      <c r="CM3" s="324"/>
      <c r="CN3" s="324"/>
      <c r="CO3" s="324"/>
      <c r="CP3" s="324"/>
      <c r="CQ3" s="324"/>
      <c r="CR3" s="324"/>
      <c r="CS3" s="324"/>
      <c r="CT3" s="324"/>
      <c r="CU3" s="324"/>
      <c r="CV3" s="324"/>
      <c r="CW3" s="324"/>
      <c r="CX3" s="324"/>
      <c r="CY3" s="324"/>
      <c r="CZ3" s="324"/>
      <c r="DA3" s="324"/>
      <c r="DB3" s="324"/>
      <c r="DC3" s="324"/>
      <c r="DD3" s="324"/>
      <c r="DE3" s="324"/>
      <c r="DF3" s="324"/>
      <c r="DG3" s="324"/>
      <c r="DH3" s="324"/>
      <c r="DI3" s="324"/>
      <c r="DK3" s="324"/>
      <c r="DL3" s="324"/>
      <c r="DM3" s="324"/>
      <c r="DN3" s="324"/>
      <c r="DO3" s="324"/>
      <c r="DP3" s="324"/>
      <c r="DQ3" s="324"/>
      <c r="DR3" s="324"/>
      <c r="DS3" s="324"/>
      <c r="DT3" s="322"/>
      <c r="DU3" s="322"/>
      <c r="DV3" s="330"/>
      <c r="DW3" s="322"/>
      <c r="DX3" s="322"/>
      <c r="DY3" s="322"/>
      <c r="DZ3" s="322"/>
      <c r="EA3" s="322"/>
      <c r="EB3" s="327"/>
      <c r="EC3" s="324"/>
      <c r="ED3" s="324"/>
      <c r="EE3" s="324"/>
      <c r="EF3" s="324"/>
      <c r="EG3" s="324"/>
      <c r="EH3" s="324"/>
      <c r="EI3" s="324"/>
      <c r="EJ3" s="324"/>
      <c r="EK3" s="324"/>
      <c r="EL3" s="324"/>
      <c r="EM3" s="324"/>
      <c r="EN3" s="324"/>
      <c r="EO3" s="324"/>
    </row>
    <row r="4" spans="1:147" s="326" customFormat="1" ht="15" hidden="1" customHeight="1" outlineLevel="1">
      <c r="A4" s="321"/>
      <c r="B4"/>
      <c r="C4"/>
      <c r="D4"/>
      <c r="E4"/>
      <c r="F4"/>
      <c r="G4"/>
      <c r="H4" s="322"/>
      <c r="I4" s="323"/>
      <c r="J4" s="324"/>
      <c r="K4" s="331"/>
      <c r="L4" s="324"/>
      <c r="M4" s="324"/>
      <c r="N4" s="324"/>
      <c r="O4" s="331"/>
      <c r="P4" s="324"/>
      <c r="Q4" s="324"/>
      <c r="R4" s="324"/>
      <c r="S4" s="331"/>
      <c r="T4" s="324"/>
      <c r="U4" s="324"/>
      <c r="V4" s="324"/>
      <c r="W4" s="331"/>
      <c r="X4" s="324"/>
      <c r="Y4" s="324"/>
      <c r="Z4" s="324"/>
      <c r="AA4" s="331"/>
      <c r="AB4" s="324"/>
      <c r="AC4" s="324"/>
      <c r="AD4" s="324"/>
      <c r="AE4" s="331"/>
      <c r="AF4" s="324"/>
      <c r="AG4" s="324"/>
      <c r="AH4" s="324"/>
      <c r="AI4" s="331"/>
      <c r="AJ4" s="324"/>
      <c r="AK4" s="324"/>
      <c r="AL4" s="324"/>
      <c r="AM4" s="331"/>
      <c r="AN4" s="324"/>
      <c r="AO4" s="324"/>
      <c r="AP4" s="324"/>
      <c r="AQ4" s="331"/>
      <c r="AR4" s="324"/>
      <c r="AS4" s="324"/>
      <c r="AT4" s="324"/>
      <c r="AU4" s="331"/>
      <c r="AV4" s="324"/>
      <c r="AW4" s="324"/>
      <c r="AX4" s="324"/>
      <c r="AY4" s="331"/>
      <c r="AZ4" s="324"/>
      <c r="BA4" s="324"/>
      <c r="BB4" s="324"/>
      <c r="BC4" s="324"/>
      <c r="BD4" s="324"/>
      <c r="BE4" s="324"/>
      <c r="BF4" s="324"/>
      <c r="BG4" s="324"/>
      <c r="BH4" s="324"/>
      <c r="BI4" s="324"/>
      <c r="BJ4" s="324"/>
      <c r="BK4" s="324"/>
      <c r="BL4" s="331"/>
      <c r="BM4" s="324"/>
      <c r="BN4" s="324"/>
      <c r="BO4" s="324"/>
      <c r="BP4" s="324"/>
      <c r="BQ4" s="324"/>
      <c r="BR4" s="324"/>
      <c r="BS4" s="324"/>
      <c r="BT4" s="324"/>
      <c r="BU4" s="324"/>
      <c r="BV4" s="329"/>
      <c r="BW4" s="319"/>
      <c r="BX4" s="324"/>
      <c r="BY4" s="324"/>
      <c r="BZ4" s="324"/>
      <c r="CA4" s="324"/>
      <c r="CB4" s="328"/>
      <c r="CC4" s="328"/>
      <c r="CD4" s="324"/>
      <c r="CE4" s="324"/>
      <c r="CF4" s="324"/>
      <c r="CG4" s="324"/>
      <c r="CH4" s="324"/>
      <c r="CI4" s="324"/>
      <c r="CJ4" s="324"/>
      <c r="CK4" s="324"/>
      <c r="CL4" s="324"/>
      <c r="CM4" s="324"/>
      <c r="CN4" s="324"/>
      <c r="CO4" s="324"/>
      <c r="CP4" s="324"/>
      <c r="CQ4" s="324"/>
      <c r="CR4" s="324"/>
      <c r="CS4" s="324"/>
      <c r="CT4" s="324"/>
      <c r="CU4" s="324"/>
      <c r="CV4" s="324"/>
      <c r="CW4" s="324"/>
      <c r="CX4" s="324"/>
      <c r="CY4" s="324"/>
      <c r="CZ4" s="324"/>
      <c r="DA4" s="324"/>
      <c r="DB4" s="324"/>
      <c r="DC4" s="324"/>
      <c r="DD4" s="324"/>
      <c r="DE4" s="324"/>
      <c r="DF4" s="324"/>
      <c r="DG4" s="324"/>
      <c r="DH4" s="324"/>
      <c r="DI4" s="324"/>
      <c r="DK4" s="324"/>
      <c r="DL4" s="324"/>
      <c r="DM4" s="324"/>
      <c r="DN4" s="324"/>
      <c r="DO4" s="324"/>
      <c r="DP4" s="324"/>
      <c r="DQ4" s="324"/>
      <c r="DR4" s="324"/>
      <c r="DS4" s="324"/>
      <c r="DT4" s="322"/>
      <c r="DU4" s="322"/>
      <c r="DV4" s="322"/>
      <c r="DW4" s="322"/>
      <c r="DX4" s="322"/>
      <c r="DY4" s="322"/>
      <c r="DZ4" s="322"/>
      <c r="EA4" s="322"/>
      <c r="EB4" s="327"/>
      <c r="EC4" s="324"/>
      <c r="ED4" s="324"/>
      <c r="EE4" s="324"/>
      <c r="EF4" s="324"/>
      <c r="EG4" s="324"/>
      <c r="EH4" s="324"/>
      <c r="EI4" s="324"/>
      <c r="EJ4" s="324"/>
      <c r="EK4" s="324"/>
      <c r="EL4" s="324"/>
      <c r="EM4" s="324"/>
      <c r="EN4" s="324"/>
      <c r="EO4" s="324"/>
    </row>
    <row r="5" spans="1:147" s="326" customFormat="1" ht="15" hidden="1" customHeight="1" outlineLevel="1">
      <c r="A5" s="321"/>
      <c r="B5"/>
      <c r="C5"/>
      <c r="D5"/>
      <c r="E5"/>
      <c r="F5"/>
      <c r="G5"/>
      <c r="H5" s="322"/>
      <c r="I5" s="323"/>
      <c r="J5" s="324"/>
      <c r="K5" s="324"/>
      <c r="L5" s="324"/>
      <c r="M5" s="324"/>
      <c r="N5" s="324"/>
      <c r="O5" s="324"/>
      <c r="P5" s="324"/>
      <c r="Q5" s="324"/>
      <c r="R5" s="324"/>
      <c r="S5" s="324"/>
      <c r="T5" s="324"/>
      <c r="U5" s="324"/>
      <c r="V5" s="324"/>
      <c r="W5" s="324"/>
      <c r="X5" s="324"/>
      <c r="Y5" s="324"/>
      <c r="Z5" s="324"/>
      <c r="AA5" s="324"/>
      <c r="AB5" s="324"/>
      <c r="AC5" s="324"/>
      <c r="AD5" s="324"/>
      <c r="AE5" s="324"/>
      <c r="AF5" s="324"/>
      <c r="AG5" s="324"/>
      <c r="AH5" s="324"/>
      <c r="AI5" s="324"/>
      <c r="AJ5" s="324"/>
      <c r="AK5" s="324"/>
      <c r="AL5" s="324"/>
      <c r="AM5" s="324"/>
      <c r="AN5" s="324"/>
      <c r="AO5" s="324"/>
      <c r="AP5" s="324"/>
      <c r="AQ5" s="324"/>
      <c r="AR5" s="324"/>
      <c r="AS5" s="324"/>
      <c r="AT5" s="324"/>
      <c r="AU5" s="324"/>
      <c r="AV5" s="324"/>
      <c r="AW5" s="324"/>
      <c r="AX5" s="324"/>
      <c r="AY5" s="324"/>
      <c r="AZ5" s="324"/>
      <c r="BA5" s="324"/>
      <c r="BB5" s="324"/>
      <c r="BC5" s="324"/>
      <c r="BD5" s="324"/>
      <c r="BE5" s="324"/>
      <c r="BF5" s="324"/>
      <c r="BG5" s="324"/>
      <c r="BH5" s="324"/>
      <c r="BI5" s="324"/>
      <c r="BJ5" s="324"/>
      <c r="BK5" s="324"/>
      <c r="BL5" s="324"/>
      <c r="BM5" s="324"/>
      <c r="BN5" s="324"/>
      <c r="BO5" s="324"/>
      <c r="BP5" s="324"/>
      <c r="BQ5" s="324"/>
      <c r="BR5" s="324"/>
      <c r="BS5" s="324"/>
      <c r="BT5" s="324"/>
      <c r="BU5" s="324"/>
      <c r="BV5" s="324"/>
      <c r="BW5" s="332"/>
      <c r="BX5" s="333"/>
      <c r="BY5" s="333"/>
      <c r="BZ5" s="324"/>
      <c r="CA5" s="324"/>
      <c r="CB5" s="324"/>
      <c r="CC5" s="324"/>
      <c r="CD5" s="324"/>
      <c r="CE5" s="324"/>
      <c r="CF5" s="324"/>
      <c r="CG5" s="324"/>
      <c r="CH5" s="324"/>
      <c r="CI5" s="324"/>
      <c r="CJ5" s="324"/>
      <c r="CK5" s="324"/>
      <c r="CL5" s="324"/>
      <c r="CM5" s="324"/>
      <c r="CN5" s="324"/>
      <c r="CO5" s="324"/>
      <c r="CP5" s="324"/>
      <c r="CQ5" s="324"/>
      <c r="CR5" s="324"/>
      <c r="CS5" s="324"/>
      <c r="CT5" s="324"/>
      <c r="CU5" s="324"/>
      <c r="CV5" s="324"/>
      <c r="CW5" s="324"/>
      <c r="CX5" s="324"/>
      <c r="CY5" s="324"/>
      <c r="CZ5" s="324"/>
      <c r="DA5" s="324"/>
      <c r="DB5" s="324"/>
      <c r="DC5" s="324"/>
      <c r="DD5" s="324"/>
      <c r="DE5" s="324"/>
      <c r="DF5" s="324"/>
      <c r="DG5" s="324"/>
      <c r="DH5" s="324"/>
      <c r="DI5" s="324"/>
      <c r="DK5" s="324"/>
      <c r="DL5" s="324"/>
      <c r="DM5" s="324"/>
      <c r="DN5" s="324"/>
      <c r="DO5" s="324"/>
      <c r="DP5" s="324"/>
      <c r="DQ5" s="324"/>
      <c r="DR5" s="324"/>
      <c r="DS5" s="324"/>
      <c r="DT5" s="322"/>
      <c r="DU5" s="322"/>
      <c r="DV5" s="322"/>
      <c r="DW5" s="322"/>
      <c r="DX5" s="322"/>
      <c r="DY5" s="322"/>
      <c r="DZ5" s="334"/>
      <c r="EA5" s="322"/>
      <c r="EB5" s="327"/>
      <c r="EC5" s="324"/>
      <c r="ED5" s="324"/>
      <c r="EE5" s="324"/>
      <c r="EF5" s="324"/>
      <c r="EG5" s="324"/>
      <c r="EH5" s="324"/>
      <c r="EI5" s="324"/>
      <c r="EJ5" s="324"/>
      <c r="EK5" s="324"/>
      <c r="EL5" s="324"/>
      <c r="EM5" s="324"/>
      <c r="EN5" s="324"/>
      <c r="EO5" s="324"/>
    </row>
    <row r="6" spans="1:147" s="326" customFormat="1" ht="15" customHeight="1" collapsed="1">
      <c r="A6" s="321"/>
      <c r="B6"/>
      <c r="C6"/>
      <c r="D6"/>
      <c r="E6"/>
      <c r="F6"/>
      <c r="G6"/>
      <c r="H6" s="322"/>
      <c r="I6" s="323"/>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34"/>
      <c r="BY6" s="334"/>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K6" s="322"/>
      <c r="DL6" s="322"/>
      <c r="DM6" s="322"/>
      <c r="DN6" s="322"/>
      <c r="DO6" s="322"/>
      <c r="DP6" s="322"/>
      <c r="DQ6" s="322"/>
      <c r="DR6" s="322"/>
      <c r="DS6" s="322"/>
      <c r="DT6" s="322"/>
      <c r="DU6" s="322"/>
      <c r="DV6" s="322"/>
      <c r="DW6" s="322"/>
      <c r="DX6" s="322"/>
      <c r="DY6" s="322"/>
      <c r="DZ6" s="322"/>
      <c r="EA6" s="322"/>
      <c r="EB6" s="322"/>
      <c r="EC6" s="322"/>
      <c r="ED6" s="322"/>
      <c r="EE6" s="335"/>
      <c r="EF6" s="335"/>
      <c r="EG6" s="322"/>
      <c r="EH6" s="336"/>
      <c r="EI6" s="336"/>
      <c r="EJ6" s="336"/>
      <c r="EK6" s="336"/>
      <c r="EL6" s="336"/>
      <c r="EM6" s="336"/>
      <c r="EN6" s="336"/>
      <c r="EO6" s="336"/>
    </row>
    <row r="7" spans="1:147" s="318" customFormat="1" ht="15" customHeight="1">
      <c r="A7" s="337"/>
      <c r="B7"/>
      <c r="C7"/>
      <c r="D7"/>
      <c r="E7"/>
      <c r="F7"/>
      <c r="G7"/>
      <c r="I7" s="338" t="s">
        <v>1465</v>
      </c>
      <c r="J7" s="339">
        <v>2000</v>
      </c>
      <c r="K7" s="339"/>
      <c r="L7" s="339"/>
      <c r="M7" s="340"/>
      <c r="N7" s="339">
        <v>2001</v>
      </c>
      <c r="O7" s="339"/>
      <c r="P7" s="339"/>
      <c r="Q7" s="340"/>
      <c r="R7" s="339">
        <v>2002</v>
      </c>
      <c r="S7" s="339"/>
      <c r="T7" s="339"/>
      <c r="U7" s="340"/>
      <c r="V7" s="339">
        <v>2003</v>
      </c>
      <c r="W7" s="339"/>
      <c r="X7" s="339"/>
      <c r="Y7" s="340"/>
      <c r="Z7" s="339">
        <v>2004</v>
      </c>
      <c r="AA7" s="339"/>
      <c r="AB7" s="339"/>
      <c r="AC7" s="340"/>
      <c r="AD7" s="339">
        <v>2005</v>
      </c>
      <c r="AE7" s="339"/>
      <c r="AF7" s="339"/>
      <c r="AG7" s="340"/>
      <c r="AH7" s="339">
        <v>2006</v>
      </c>
      <c r="AI7" s="339"/>
      <c r="AJ7" s="339"/>
      <c r="AK7" s="340"/>
      <c r="AL7" s="339">
        <v>2007</v>
      </c>
      <c r="AM7" s="339"/>
      <c r="AN7" s="339"/>
      <c r="AO7" s="340"/>
      <c r="AP7" s="339">
        <v>2008</v>
      </c>
      <c r="AQ7" s="339"/>
      <c r="AR7" s="339"/>
      <c r="AS7" s="340"/>
      <c r="AT7" s="339">
        <v>2009</v>
      </c>
      <c r="AU7" s="339"/>
      <c r="AV7" s="339"/>
      <c r="AW7" s="340"/>
      <c r="AX7" s="339">
        <v>2010</v>
      </c>
      <c r="AY7" s="339"/>
      <c r="AZ7" s="339"/>
      <c r="BA7" s="340"/>
      <c r="BB7" s="339">
        <v>2011</v>
      </c>
      <c r="BC7" s="339"/>
      <c r="BD7" s="339"/>
      <c r="BE7" s="340"/>
      <c r="BF7" s="339">
        <v>2012</v>
      </c>
      <c r="BG7" s="339"/>
      <c r="BH7" s="339"/>
      <c r="BI7" s="340"/>
      <c r="BJ7" s="339">
        <v>2013</v>
      </c>
      <c r="BK7" s="339"/>
      <c r="BL7" s="339"/>
      <c r="BM7" s="340"/>
      <c r="BN7" s="339">
        <v>2014</v>
      </c>
      <c r="BO7" s="339"/>
      <c r="BP7" s="339"/>
      <c r="BQ7" s="340"/>
      <c r="BR7" s="339">
        <v>2015</v>
      </c>
      <c r="BS7" s="339"/>
      <c r="BT7" s="339"/>
      <c r="BU7" s="340"/>
      <c r="BV7" s="339">
        <v>2016</v>
      </c>
      <c r="BW7" s="339"/>
      <c r="BX7" s="339"/>
      <c r="BY7" s="340"/>
      <c r="BZ7" s="339">
        <v>2017</v>
      </c>
      <c r="CA7" s="339"/>
      <c r="CB7" s="339"/>
      <c r="CC7" s="340"/>
      <c r="CD7" s="339">
        <v>2018</v>
      </c>
      <c r="CE7" s="339"/>
      <c r="CF7" s="339"/>
      <c r="CG7" s="340"/>
      <c r="CH7" s="339">
        <v>2019</v>
      </c>
      <c r="CI7" s="339"/>
      <c r="CJ7" s="339"/>
      <c r="CK7" s="340"/>
      <c r="CL7" s="339">
        <v>2020</v>
      </c>
      <c r="CM7" s="339"/>
      <c r="CN7" s="339"/>
      <c r="CO7" s="340"/>
      <c r="CP7" s="341">
        <v>2021</v>
      </c>
      <c r="CQ7" s="339"/>
      <c r="CR7" s="339"/>
      <c r="CS7" s="340"/>
      <c r="CT7" s="341">
        <v>2022</v>
      </c>
      <c r="CU7" s="339"/>
      <c r="CV7" s="339"/>
      <c r="CW7" s="340"/>
      <c r="CX7" s="341">
        <v>2023</v>
      </c>
      <c r="CY7" s="339"/>
      <c r="CZ7" s="339"/>
      <c r="DA7" s="340"/>
      <c r="DB7" s="341">
        <v>2024</v>
      </c>
      <c r="DC7" s="339"/>
      <c r="DD7" s="339"/>
      <c r="DE7" s="340"/>
      <c r="DF7" s="341">
        <v>2025</v>
      </c>
      <c r="DG7" s="339"/>
      <c r="DH7" s="339"/>
      <c r="DI7" s="340"/>
      <c r="DJ7" s="326"/>
      <c r="DK7" s="342"/>
      <c r="DL7" s="343"/>
      <c r="DM7" s="343"/>
      <c r="DN7" s="343"/>
      <c r="DO7" s="343"/>
      <c r="DP7" s="343"/>
      <c r="DQ7" s="343"/>
      <c r="DR7" s="343"/>
      <c r="DS7" s="343"/>
      <c r="DT7" s="344"/>
      <c r="DU7" s="344"/>
      <c r="DV7" s="344"/>
      <c r="DW7" s="344"/>
      <c r="DX7" s="344"/>
      <c r="DY7" s="344"/>
      <c r="DZ7" s="344"/>
      <c r="EA7" s="344"/>
      <c r="EB7" s="343"/>
      <c r="EC7" s="343"/>
      <c r="ED7" s="343"/>
      <c r="EE7" s="343"/>
      <c r="EF7" s="343"/>
      <c r="EG7" s="343"/>
      <c r="EH7" s="343"/>
      <c r="EI7" s="343"/>
      <c r="EJ7" s="343"/>
      <c r="EK7" s="343"/>
      <c r="EL7" s="343"/>
      <c r="EM7" s="343"/>
      <c r="EN7" s="343"/>
      <c r="EO7" s="343"/>
      <c r="EP7" s="345"/>
    </row>
    <row r="8" spans="1:147" s="318" customFormat="1" ht="15" customHeight="1" thickBot="1">
      <c r="A8" s="337"/>
      <c r="B8"/>
      <c r="C8"/>
      <c r="D8"/>
      <c r="E8"/>
      <c r="F8"/>
      <c r="G8"/>
      <c r="I8" s="346" t="s">
        <v>1466</v>
      </c>
      <c r="J8" s="347" t="s">
        <v>1467</v>
      </c>
      <c r="K8" s="347" t="s">
        <v>1468</v>
      </c>
      <c r="L8" s="347" t="s">
        <v>1469</v>
      </c>
      <c r="M8" s="348" t="s">
        <v>1470</v>
      </c>
      <c r="N8" s="347" t="s">
        <v>1471</v>
      </c>
      <c r="O8" s="347" t="s">
        <v>1472</v>
      </c>
      <c r="P8" s="347" t="s">
        <v>1473</v>
      </c>
      <c r="Q8" s="348" t="s">
        <v>1474</v>
      </c>
      <c r="R8" s="347" t="s">
        <v>1475</v>
      </c>
      <c r="S8" s="347" t="s">
        <v>1476</v>
      </c>
      <c r="T8" s="347" t="s">
        <v>1477</v>
      </c>
      <c r="U8" s="348" t="s">
        <v>1478</v>
      </c>
      <c r="V8" s="347" t="s">
        <v>1479</v>
      </c>
      <c r="W8" s="347" t="s">
        <v>1480</v>
      </c>
      <c r="X8" s="347" t="s">
        <v>1481</v>
      </c>
      <c r="Y8" s="348" t="s">
        <v>1482</v>
      </c>
      <c r="Z8" s="347" t="s">
        <v>1483</v>
      </c>
      <c r="AA8" s="347" t="s">
        <v>1484</v>
      </c>
      <c r="AB8" s="347" t="s">
        <v>1485</v>
      </c>
      <c r="AC8" s="348" t="s">
        <v>1486</v>
      </c>
      <c r="AD8" s="347" t="s">
        <v>1487</v>
      </c>
      <c r="AE8" s="347" t="s">
        <v>1488</v>
      </c>
      <c r="AF8" s="347" t="s">
        <v>1489</v>
      </c>
      <c r="AG8" s="348" t="s">
        <v>1490</v>
      </c>
      <c r="AH8" s="347" t="s">
        <v>1491</v>
      </c>
      <c r="AI8" s="347" t="s">
        <v>1492</v>
      </c>
      <c r="AJ8" s="347" t="s">
        <v>1493</v>
      </c>
      <c r="AK8" s="348" t="s">
        <v>1494</v>
      </c>
      <c r="AL8" s="347" t="s">
        <v>1495</v>
      </c>
      <c r="AM8" s="347" t="s">
        <v>1496</v>
      </c>
      <c r="AN8" s="347" t="s">
        <v>1497</v>
      </c>
      <c r="AO8" s="348" t="s">
        <v>1498</v>
      </c>
      <c r="AP8" s="347" t="s">
        <v>1499</v>
      </c>
      <c r="AQ8" s="347" t="s">
        <v>1500</v>
      </c>
      <c r="AR8" s="347" t="s">
        <v>1501</v>
      </c>
      <c r="AS8" s="348" t="s">
        <v>1502</v>
      </c>
      <c r="AT8" s="347" t="s">
        <v>1503</v>
      </c>
      <c r="AU8" s="347" t="s">
        <v>1504</v>
      </c>
      <c r="AV8" s="347" t="s">
        <v>1505</v>
      </c>
      <c r="AW8" s="348" t="s">
        <v>1506</v>
      </c>
      <c r="AX8" s="347" t="s">
        <v>1507</v>
      </c>
      <c r="AY8" s="347" t="s">
        <v>1508</v>
      </c>
      <c r="AZ8" s="347" t="s">
        <v>1509</v>
      </c>
      <c r="BA8" s="348" t="s">
        <v>1510</v>
      </c>
      <c r="BB8" s="347" t="s">
        <v>1511</v>
      </c>
      <c r="BC8" s="347" t="s">
        <v>1512</v>
      </c>
      <c r="BD8" s="347" t="s">
        <v>1513</v>
      </c>
      <c r="BE8" s="348" t="s">
        <v>1514</v>
      </c>
      <c r="BF8" s="347" t="s">
        <v>1515</v>
      </c>
      <c r="BG8" s="347" t="s">
        <v>1516</v>
      </c>
      <c r="BH8" s="347" t="s">
        <v>1517</v>
      </c>
      <c r="BI8" s="348" t="s">
        <v>1518</v>
      </c>
      <c r="BJ8" s="347" t="s">
        <v>1519</v>
      </c>
      <c r="BK8" s="347" t="s">
        <v>1520</v>
      </c>
      <c r="BL8" s="347" t="s">
        <v>1521</v>
      </c>
      <c r="BM8" s="348" t="s">
        <v>1522</v>
      </c>
      <c r="BN8" s="347" t="s">
        <v>1523</v>
      </c>
      <c r="BO8" s="347" t="s">
        <v>1524</v>
      </c>
      <c r="BP8" s="347" t="s">
        <v>1525</v>
      </c>
      <c r="BQ8" s="348" t="s">
        <v>1526</v>
      </c>
      <c r="BR8" s="347" t="s">
        <v>1527</v>
      </c>
      <c r="BS8" s="347" t="s">
        <v>1528</v>
      </c>
      <c r="BT8" s="347" t="s">
        <v>1529</v>
      </c>
      <c r="BU8" s="348" t="s">
        <v>1530</v>
      </c>
      <c r="BV8" s="347" t="s">
        <v>1531</v>
      </c>
      <c r="BW8" s="347" t="s">
        <v>1532</v>
      </c>
      <c r="BX8" s="347" t="s">
        <v>1533</v>
      </c>
      <c r="BY8" s="348" t="s">
        <v>1534</v>
      </c>
      <c r="BZ8" s="347" t="s">
        <v>1535</v>
      </c>
      <c r="CA8" s="347" t="s">
        <v>1536</v>
      </c>
      <c r="CB8" s="347" t="s">
        <v>1537</v>
      </c>
      <c r="CC8" s="348" t="s">
        <v>1538</v>
      </c>
      <c r="CD8" s="347" t="s">
        <v>1539</v>
      </c>
      <c r="CE8" s="347" t="s">
        <v>1540</v>
      </c>
      <c r="CF8" s="347" t="s">
        <v>1541</v>
      </c>
      <c r="CG8" s="348" t="s">
        <v>1542</v>
      </c>
      <c r="CH8" s="347" t="s">
        <v>1543</v>
      </c>
      <c r="CI8" s="347" t="s">
        <v>1544</v>
      </c>
      <c r="CJ8" s="347" t="s">
        <v>1545</v>
      </c>
      <c r="CK8" s="348" t="s">
        <v>1546</v>
      </c>
      <c r="CL8" s="347" t="s">
        <v>1547</v>
      </c>
      <c r="CM8" s="347" t="s">
        <v>1548</v>
      </c>
      <c r="CN8" s="347" t="s">
        <v>1549</v>
      </c>
      <c r="CO8" s="348" t="s">
        <v>1550</v>
      </c>
      <c r="CP8" s="347" t="s">
        <v>1551</v>
      </c>
      <c r="CQ8" s="347" t="s">
        <v>1552</v>
      </c>
      <c r="CR8" s="349" t="s">
        <v>1553</v>
      </c>
      <c r="CS8" s="348" t="s">
        <v>1554</v>
      </c>
      <c r="CT8" s="347" t="s">
        <v>1555</v>
      </c>
      <c r="CU8" s="347" t="s">
        <v>1556</v>
      </c>
      <c r="CV8" s="347" t="s">
        <v>1557</v>
      </c>
      <c r="CW8" s="348" t="s">
        <v>1558</v>
      </c>
      <c r="CX8" s="347" t="s">
        <v>1559</v>
      </c>
      <c r="CY8" s="347" t="s">
        <v>1330</v>
      </c>
      <c r="CZ8" s="347" t="s">
        <v>1331</v>
      </c>
      <c r="DA8" s="348" t="s">
        <v>1332</v>
      </c>
      <c r="DB8" s="347" t="s">
        <v>1560</v>
      </c>
      <c r="DC8" s="347" t="s">
        <v>1561</v>
      </c>
      <c r="DD8" s="347" t="s">
        <v>929</v>
      </c>
      <c r="DE8" s="348" t="s">
        <v>930</v>
      </c>
      <c r="DF8" s="347" t="s">
        <v>931</v>
      </c>
      <c r="DG8" s="347" t="s">
        <v>932</v>
      </c>
      <c r="DH8" s="347" t="s">
        <v>1562</v>
      </c>
      <c r="DI8" s="348" t="s">
        <v>1563</v>
      </c>
      <c r="DJ8" s="350"/>
      <c r="DK8" s="351">
        <v>2000</v>
      </c>
      <c r="DL8" s="352">
        <v>2001</v>
      </c>
      <c r="DM8" s="352">
        <v>2002</v>
      </c>
      <c r="DN8" s="352">
        <v>2003</v>
      </c>
      <c r="DO8" s="352">
        <v>2004</v>
      </c>
      <c r="DP8" s="352">
        <v>2005</v>
      </c>
      <c r="DQ8" s="352">
        <v>2006</v>
      </c>
      <c r="DR8" s="352">
        <v>2007</v>
      </c>
      <c r="DS8" s="352">
        <v>2008</v>
      </c>
      <c r="DT8" s="352">
        <v>2009</v>
      </c>
      <c r="DU8" s="352">
        <v>2010</v>
      </c>
      <c r="DV8" s="352">
        <v>2011</v>
      </c>
      <c r="DW8" s="352">
        <v>2012</v>
      </c>
      <c r="DX8" s="352">
        <v>2013</v>
      </c>
      <c r="DY8" s="352">
        <v>2014</v>
      </c>
      <c r="DZ8" s="352">
        <v>2015</v>
      </c>
      <c r="EA8" s="352">
        <v>2016</v>
      </c>
      <c r="EB8" s="352">
        <v>2017</v>
      </c>
      <c r="EC8" s="352">
        <v>2018</v>
      </c>
      <c r="ED8" s="352">
        <v>2019</v>
      </c>
      <c r="EE8" s="352">
        <v>2020</v>
      </c>
      <c r="EF8" s="353">
        <v>2021</v>
      </c>
      <c r="EG8" s="354">
        <v>2022</v>
      </c>
      <c r="EH8" s="353">
        <v>2023</v>
      </c>
      <c r="EI8" s="353">
        <v>2024</v>
      </c>
      <c r="EJ8" s="353">
        <v>2025</v>
      </c>
      <c r="EK8" s="353">
        <v>2026</v>
      </c>
      <c r="EL8" s="353">
        <v>2027</v>
      </c>
      <c r="EM8" s="353">
        <v>2028</v>
      </c>
      <c r="EN8" s="353">
        <v>2029</v>
      </c>
      <c r="EO8" s="353">
        <v>2030</v>
      </c>
      <c r="EP8" s="355"/>
      <c r="EQ8" s="356"/>
    </row>
    <row r="9" spans="1:147" s="318" customFormat="1" ht="12.95" outlineLevel="1">
      <c r="A9" s="337"/>
      <c r="B9"/>
      <c r="C9"/>
      <c r="D9"/>
      <c r="E9"/>
      <c r="F9"/>
      <c r="G9"/>
      <c r="H9" s="357" t="s">
        <v>1564</v>
      </c>
      <c r="I9" s="358" t="s">
        <v>1565</v>
      </c>
      <c r="J9" s="359"/>
      <c r="K9" s="359"/>
      <c r="L9" s="359"/>
      <c r="M9" s="360"/>
      <c r="N9" s="359"/>
      <c r="O9" s="359"/>
      <c r="P9" s="359"/>
      <c r="Q9" s="360"/>
      <c r="R9" s="359"/>
      <c r="S9" s="359"/>
      <c r="T9" s="359"/>
      <c r="U9" s="360"/>
      <c r="V9" s="359"/>
      <c r="W9" s="359"/>
      <c r="X9" s="359"/>
      <c r="Y9" s="360"/>
      <c r="Z9" s="359"/>
      <c r="AA9" s="359"/>
      <c r="AB9" s="359"/>
      <c r="AC9" s="360"/>
      <c r="AD9" s="359"/>
      <c r="AE9" s="359"/>
      <c r="AF9" s="359"/>
      <c r="AG9" s="360"/>
      <c r="AH9" s="359"/>
      <c r="AI9" s="359"/>
      <c r="AJ9" s="359"/>
      <c r="AK9" s="360"/>
      <c r="AL9" s="359"/>
      <c r="AM9" s="359"/>
      <c r="AN9" s="359"/>
      <c r="AO9" s="360"/>
      <c r="AP9" s="359"/>
      <c r="AQ9" s="359"/>
      <c r="AR9" s="359"/>
      <c r="AS9" s="360"/>
      <c r="AT9" s="359"/>
      <c r="AU9" s="359"/>
      <c r="AV9" s="359"/>
      <c r="AW9" s="360"/>
      <c r="AX9" s="359"/>
      <c r="AY9" s="359"/>
      <c r="AZ9" s="359"/>
      <c r="BA9" s="360"/>
      <c r="BB9" s="359"/>
      <c r="BC9" s="359"/>
      <c r="BD9" s="359"/>
      <c r="BE9" s="360"/>
      <c r="BF9" s="359"/>
      <c r="BG9" s="359"/>
      <c r="BH9" s="359"/>
      <c r="BI9" s="360"/>
      <c r="BJ9" s="359"/>
      <c r="BK9" s="359"/>
      <c r="BL9" s="359"/>
      <c r="BM9" s="360"/>
      <c r="BN9" s="359"/>
      <c r="BO9" s="359"/>
      <c r="BP9" s="359"/>
      <c r="BQ9" s="360"/>
      <c r="BR9" s="359"/>
      <c r="BS9" s="359"/>
      <c r="BT9" s="359"/>
      <c r="BU9" s="360"/>
      <c r="BV9" s="359"/>
      <c r="BW9" s="359"/>
      <c r="BX9" s="359"/>
      <c r="BY9" s="360"/>
      <c r="BZ9" s="361"/>
      <c r="CA9" s="359"/>
      <c r="CB9" s="359"/>
      <c r="CC9" s="360"/>
      <c r="CD9" s="359"/>
      <c r="CE9" s="359"/>
      <c r="CF9" s="359"/>
      <c r="CG9" s="360"/>
      <c r="CH9" s="359"/>
      <c r="CI9" s="359"/>
      <c r="CJ9" s="362"/>
      <c r="CK9" s="363"/>
      <c r="CL9" s="359"/>
      <c r="CM9" s="359"/>
      <c r="CN9" s="359"/>
      <c r="CO9" s="360"/>
      <c r="CP9" s="359"/>
      <c r="CQ9" s="359"/>
      <c r="CR9" s="359"/>
      <c r="CS9" s="360"/>
      <c r="CT9" s="359"/>
      <c r="CU9" s="359"/>
      <c r="CV9" s="359"/>
      <c r="CW9" s="360"/>
      <c r="CX9" s="359"/>
      <c r="CY9" s="359"/>
      <c r="CZ9" s="359"/>
      <c r="DA9" s="360"/>
      <c r="DB9" s="359"/>
      <c r="DC9" s="359"/>
      <c r="DD9" s="359"/>
      <c r="DE9" s="360"/>
      <c r="DF9" s="359"/>
      <c r="DG9" s="359"/>
      <c r="DH9" s="359"/>
      <c r="DI9" s="360"/>
      <c r="DJ9" s="364"/>
      <c r="DK9" s="365"/>
      <c r="DL9" s="366"/>
      <c r="DM9" s="366"/>
      <c r="DN9" s="366"/>
      <c r="DO9" s="366"/>
      <c r="DP9" s="366"/>
      <c r="DQ9" s="366"/>
      <c r="DR9" s="366"/>
      <c r="DS9" s="366"/>
      <c r="DT9" s="367"/>
      <c r="DU9" s="367"/>
      <c r="DV9" s="367"/>
      <c r="DW9" s="367"/>
      <c r="DX9" s="367"/>
      <c r="DY9" s="367"/>
      <c r="DZ9" s="367"/>
      <c r="EA9" s="367"/>
      <c r="EB9" s="366"/>
      <c r="EC9" s="366"/>
      <c r="ED9" s="366"/>
      <c r="EE9" s="366"/>
      <c r="EF9" s="366"/>
      <c r="EG9" s="366"/>
      <c r="EH9" s="366"/>
      <c r="EI9" s="366"/>
      <c r="EJ9" s="366"/>
      <c r="EK9" s="366"/>
      <c r="EL9" s="366"/>
      <c r="EM9" s="366"/>
      <c r="EN9" s="366"/>
      <c r="EO9" s="366"/>
      <c r="EP9" s="355"/>
      <c r="EQ9" s="353" t="s">
        <v>1566</v>
      </c>
    </row>
    <row r="10" spans="1:147" s="377" customFormat="1" ht="15" customHeight="1" outlineLevel="2">
      <c r="A10" s="368"/>
      <c r="B10"/>
      <c r="C10"/>
      <c r="D10"/>
      <c r="E10"/>
      <c r="F10"/>
      <c r="G10"/>
      <c r="H10" s="369"/>
      <c r="I10" s="370" t="s">
        <v>1567</v>
      </c>
      <c r="J10" s="369"/>
      <c r="K10" s="369"/>
      <c r="L10" s="369"/>
      <c r="M10" s="371"/>
      <c r="N10" s="369"/>
      <c r="O10" s="369"/>
      <c r="P10" s="369"/>
      <c r="Q10" s="371"/>
      <c r="R10" s="369"/>
      <c r="S10" s="369"/>
      <c r="T10" s="369"/>
      <c r="U10" s="371"/>
      <c r="V10" s="369"/>
      <c r="W10" s="369"/>
      <c r="X10" s="369"/>
      <c r="Y10" s="371"/>
      <c r="Z10" s="369"/>
      <c r="AA10" s="369"/>
      <c r="AB10" s="369"/>
      <c r="AC10" s="371"/>
      <c r="AD10" s="369"/>
      <c r="AE10" s="369"/>
      <c r="AF10" s="369"/>
      <c r="AG10" s="371"/>
      <c r="AH10" s="369"/>
      <c r="AI10" s="369"/>
      <c r="AJ10" s="369"/>
      <c r="AK10" s="371"/>
      <c r="AL10" s="369"/>
      <c r="AM10" s="369"/>
      <c r="AN10" s="369"/>
      <c r="AO10" s="371"/>
      <c r="AP10" s="369"/>
      <c r="AQ10" s="369"/>
      <c r="AR10" s="369"/>
      <c r="AS10" s="371"/>
      <c r="AT10" s="325">
        <v>690</v>
      </c>
      <c r="AU10" s="325">
        <v>747</v>
      </c>
      <c r="AV10" s="325">
        <v>411</v>
      </c>
      <c r="AW10" s="372">
        <v>1232</v>
      </c>
      <c r="AX10" s="325">
        <v>986</v>
      </c>
      <c r="AY10" s="325">
        <v>643</v>
      </c>
      <c r="AZ10" s="325">
        <v>397</v>
      </c>
      <c r="BA10" s="372">
        <v>1061</v>
      </c>
      <c r="BB10" s="325">
        <v>1061</v>
      </c>
      <c r="BC10" s="325">
        <v>768</v>
      </c>
      <c r="BD10" s="325">
        <v>369</v>
      </c>
      <c r="BE10" s="372">
        <v>1060</v>
      </c>
      <c r="BF10" s="325">
        <v>874</v>
      </c>
      <c r="BG10" s="325">
        <v>798</v>
      </c>
      <c r="BH10" s="325">
        <v>536</v>
      </c>
      <c r="BI10" s="372">
        <v>1413</v>
      </c>
      <c r="BJ10" s="325">
        <v>990</v>
      </c>
      <c r="BK10" s="325">
        <v>727</v>
      </c>
      <c r="BL10" s="325">
        <v>332</v>
      </c>
      <c r="BM10" s="372">
        <v>1152</v>
      </c>
      <c r="BN10" s="325">
        <v>769</v>
      </c>
      <c r="BO10" s="325">
        <v>587</v>
      </c>
      <c r="BP10" s="325">
        <v>337</v>
      </c>
      <c r="BQ10" s="372">
        <v>1094</v>
      </c>
      <c r="BR10" s="325">
        <v>784</v>
      </c>
      <c r="BS10" s="325">
        <v>528</v>
      </c>
      <c r="BT10" s="325">
        <v>425</v>
      </c>
      <c r="BU10" s="372">
        <v>711</v>
      </c>
      <c r="BV10" s="325">
        <v>645</v>
      </c>
      <c r="BW10" s="325">
        <v>501</v>
      </c>
      <c r="BX10" s="325">
        <v>355</v>
      </c>
      <c r="BY10" s="372">
        <v>696</v>
      </c>
      <c r="BZ10" s="373">
        <v>509</v>
      </c>
      <c r="CA10" s="325">
        <v>481</v>
      </c>
      <c r="CB10" s="325">
        <v>384</v>
      </c>
      <c r="CC10" s="372">
        <v>737</v>
      </c>
      <c r="CD10" s="373">
        <v>720</v>
      </c>
      <c r="CE10" s="325">
        <v>464</v>
      </c>
      <c r="CF10" s="325">
        <v>263</v>
      </c>
      <c r="CG10" s="372">
        <v>808</v>
      </c>
      <c r="CH10" s="373">
        <v>656</v>
      </c>
      <c r="CI10" s="325">
        <v>359</v>
      </c>
      <c r="CJ10" s="325">
        <v>260</v>
      </c>
      <c r="CK10" s="372">
        <v>699</v>
      </c>
      <c r="CL10" s="373">
        <v>543</v>
      </c>
      <c r="CM10" s="325">
        <v>533</v>
      </c>
      <c r="CN10" s="325">
        <v>408</v>
      </c>
      <c r="CO10" s="372">
        <v>866</v>
      </c>
      <c r="CP10" s="373">
        <v>675</v>
      </c>
      <c r="CQ10" s="325">
        <v>568</v>
      </c>
      <c r="CR10" s="325">
        <v>423</v>
      </c>
      <c r="CS10" s="372">
        <v>1006.7002939999999</v>
      </c>
      <c r="CT10" s="373">
        <v>318.61114699999996</v>
      </c>
      <c r="CU10" s="325">
        <v>163.34757349999995</v>
      </c>
      <c r="CV10" s="325">
        <v>142.78578675</v>
      </c>
      <c r="CW10" s="372">
        <v>1154.3956933750001</v>
      </c>
      <c r="CX10" s="369"/>
      <c r="CY10" s="369"/>
      <c r="CZ10" s="369"/>
      <c r="DA10" s="371"/>
      <c r="DB10" s="369"/>
      <c r="DC10" s="369"/>
      <c r="DD10" s="369"/>
      <c r="DE10" s="371"/>
      <c r="DF10" s="369"/>
      <c r="DG10" s="369"/>
      <c r="DH10" s="369"/>
      <c r="DI10" s="371"/>
      <c r="DJ10" s="374"/>
      <c r="DK10" s="375"/>
      <c r="DL10" s="369"/>
      <c r="DM10" s="369"/>
      <c r="DN10" s="369"/>
      <c r="DO10" s="369"/>
      <c r="DP10" s="369"/>
      <c r="DQ10" s="369"/>
      <c r="DR10" s="369"/>
      <c r="DS10" s="376">
        <v>1872</v>
      </c>
      <c r="DT10" s="376">
        <v>3080</v>
      </c>
      <c r="DU10" s="376">
        <v>3087</v>
      </c>
      <c r="DV10" s="376">
        <v>3258</v>
      </c>
      <c r="DW10" s="376">
        <v>3621</v>
      </c>
      <c r="DX10" s="376">
        <v>3201</v>
      </c>
      <c r="DY10" s="376">
        <v>2787</v>
      </c>
      <c r="DZ10" s="376">
        <v>2448</v>
      </c>
      <c r="EA10" s="376">
        <v>2197</v>
      </c>
      <c r="EB10" s="376">
        <v>2111</v>
      </c>
      <c r="EC10" s="376">
        <v>2255</v>
      </c>
      <c r="ED10" s="376">
        <v>1974</v>
      </c>
      <c r="EE10" s="376">
        <v>2350</v>
      </c>
      <c r="EF10" s="376">
        <v>2672.7002939999998</v>
      </c>
      <c r="EG10" s="376">
        <v>1779.140200625</v>
      </c>
      <c r="EH10" s="376">
        <v>3838.9041333333334</v>
      </c>
      <c r="EI10" s="376">
        <v>2739.6114386666673</v>
      </c>
      <c r="EJ10" s="376">
        <v>2572.3087678933334</v>
      </c>
      <c r="EK10" s="376">
        <v>3098.5172423802669</v>
      </c>
      <c r="EL10" s="376">
        <v>2763.7584339728542</v>
      </c>
      <c r="EM10" s="376">
        <v>2638.0543745818586</v>
      </c>
      <c r="EN10" s="376">
        <v>2652.4275659737978</v>
      </c>
      <c r="EO10" s="376">
        <v>3177.9009897690667</v>
      </c>
      <c r="EP10" s="375"/>
      <c r="EQ10" s="320">
        <v>3.909505285053827E-2</v>
      </c>
    </row>
    <row r="11" spans="1:147" s="377" customFormat="1" ht="15" customHeight="1" outlineLevel="2">
      <c r="A11" s="368"/>
      <c r="B11"/>
      <c r="C11"/>
      <c r="D11"/>
      <c r="E11"/>
      <c r="F11"/>
      <c r="G11"/>
      <c r="H11" s="369"/>
      <c r="I11" s="378" t="s">
        <v>1568</v>
      </c>
      <c r="J11" s="369"/>
      <c r="K11" s="369"/>
      <c r="L11" s="369"/>
      <c r="M11" s="371"/>
      <c r="N11" s="369"/>
      <c r="O11" s="369"/>
      <c r="P11" s="369"/>
      <c r="Q11" s="371"/>
      <c r="R11" s="369"/>
      <c r="S11" s="369"/>
      <c r="T11" s="369"/>
      <c r="U11" s="371"/>
      <c r="V11" s="369"/>
      <c r="W11" s="369"/>
      <c r="X11" s="369"/>
      <c r="Y11" s="371"/>
      <c r="Z11" s="369"/>
      <c r="AA11" s="369"/>
      <c r="AB11" s="369"/>
      <c r="AC11" s="371"/>
      <c r="AD11" s="369"/>
      <c r="AE11" s="369"/>
      <c r="AF11" s="369"/>
      <c r="AG11" s="371"/>
      <c r="AH11" s="369"/>
      <c r="AI11" s="369"/>
      <c r="AJ11" s="369"/>
      <c r="AK11" s="371"/>
      <c r="AL11" s="369"/>
      <c r="AM11" s="369"/>
      <c r="AN11" s="369"/>
      <c r="AO11" s="371"/>
      <c r="AP11" s="369"/>
      <c r="AQ11" s="369"/>
      <c r="AR11" s="369"/>
      <c r="AS11" s="371"/>
      <c r="AT11" s="325">
        <v>291</v>
      </c>
      <c r="AU11" s="325">
        <v>291</v>
      </c>
      <c r="AV11" s="325">
        <v>292</v>
      </c>
      <c r="AW11" s="372">
        <v>325</v>
      </c>
      <c r="AX11" s="325">
        <v>322</v>
      </c>
      <c r="AY11" s="325">
        <v>324</v>
      </c>
      <c r="AZ11" s="325">
        <v>348</v>
      </c>
      <c r="BA11" s="372">
        <v>366</v>
      </c>
      <c r="BB11" s="325">
        <v>388</v>
      </c>
      <c r="BC11" s="325">
        <v>378</v>
      </c>
      <c r="BD11" s="325">
        <v>385</v>
      </c>
      <c r="BE11" s="372">
        <v>347</v>
      </c>
      <c r="BF11" s="325">
        <v>298</v>
      </c>
      <c r="BG11" s="325">
        <v>277</v>
      </c>
      <c r="BH11" s="325">
        <v>305</v>
      </c>
      <c r="BI11" s="372">
        <v>355</v>
      </c>
      <c r="BJ11" s="325">
        <v>334</v>
      </c>
      <c r="BK11" s="325">
        <v>323</v>
      </c>
      <c r="BL11" s="325">
        <v>359</v>
      </c>
      <c r="BM11" s="372">
        <v>366</v>
      </c>
      <c r="BN11" s="325">
        <v>342</v>
      </c>
      <c r="BO11" s="325">
        <v>383</v>
      </c>
      <c r="BP11" s="325">
        <v>416</v>
      </c>
      <c r="BQ11" s="372">
        <v>481</v>
      </c>
      <c r="BR11" s="325">
        <v>494</v>
      </c>
      <c r="BS11" s="325">
        <v>516</v>
      </c>
      <c r="BT11" s="325">
        <v>565</v>
      </c>
      <c r="BU11" s="372">
        <v>642</v>
      </c>
      <c r="BV11" s="325">
        <v>810</v>
      </c>
      <c r="BW11" s="325">
        <v>1069</v>
      </c>
      <c r="BX11" s="325">
        <v>1213</v>
      </c>
      <c r="BY11" s="372">
        <v>1318</v>
      </c>
      <c r="BZ11" s="373">
        <v>1217</v>
      </c>
      <c r="CA11" s="325">
        <v>1150</v>
      </c>
      <c r="CB11" s="325">
        <v>1234</v>
      </c>
      <c r="CC11" s="372">
        <v>1306</v>
      </c>
      <c r="CD11" s="373">
        <v>1245</v>
      </c>
      <c r="CE11" s="325">
        <v>1177</v>
      </c>
      <c r="CF11" s="325">
        <v>1249</v>
      </c>
      <c r="CG11" s="372">
        <v>1573</v>
      </c>
      <c r="CH11" s="373">
        <v>1169</v>
      </c>
      <c r="CI11" s="325">
        <v>1037</v>
      </c>
      <c r="CJ11" s="325">
        <v>1022</v>
      </c>
      <c r="CK11" s="372">
        <v>1287</v>
      </c>
      <c r="CL11" s="373">
        <v>1245</v>
      </c>
      <c r="CM11" s="325">
        <v>1399</v>
      </c>
      <c r="CN11" s="325">
        <v>1546</v>
      </c>
      <c r="CO11" s="372">
        <v>1547</v>
      </c>
      <c r="CP11" s="373">
        <v>1600</v>
      </c>
      <c r="CQ11" s="325">
        <v>1728</v>
      </c>
      <c r="CR11" s="325">
        <v>1647</v>
      </c>
      <c r="CS11" s="372">
        <v>1810.2704308821208</v>
      </c>
      <c r="CT11" s="373">
        <v>1299.2147853158503</v>
      </c>
      <c r="CU11" s="325">
        <v>1423.600445928176</v>
      </c>
      <c r="CV11" s="325">
        <v>1970.9036079306268</v>
      </c>
      <c r="CW11" s="372">
        <v>2406.6445471350121</v>
      </c>
      <c r="CX11" s="369"/>
      <c r="CY11" s="369"/>
      <c r="CZ11" s="369"/>
      <c r="DA11" s="371"/>
      <c r="DB11" s="369"/>
      <c r="DC11" s="369"/>
      <c r="DD11" s="369"/>
      <c r="DE11" s="371"/>
      <c r="DF11" s="369"/>
      <c r="DG11" s="369"/>
      <c r="DH11" s="369"/>
      <c r="DI11" s="371"/>
      <c r="DJ11" s="374"/>
      <c r="DK11" s="375"/>
      <c r="DL11" s="369"/>
      <c r="DM11" s="369"/>
      <c r="DN11" s="369"/>
      <c r="DO11" s="369"/>
      <c r="DP11" s="369"/>
      <c r="DQ11" s="369"/>
      <c r="DR11" s="369"/>
      <c r="DS11" s="376">
        <v>1154</v>
      </c>
      <c r="DT11" s="376">
        <v>1199</v>
      </c>
      <c r="DU11" s="376">
        <v>1360</v>
      </c>
      <c r="DV11" s="376">
        <v>1498</v>
      </c>
      <c r="DW11" s="376">
        <v>1235</v>
      </c>
      <c r="DX11" s="376">
        <v>1382</v>
      </c>
      <c r="DY11" s="376">
        <v>1622</v>
      </c>
      <c r="DZ11" s="376">
        <v>2217</v>
      </c>
      <c r="EA11" s="376">
        <v>4410</v>
      </c>
      <c r="EB11" s="376">
        <v>4907</v>
      </c>
      <c r="EC11" s="376">
        <v>5244</v>
      </c>
      <c r="ED11" s="376">
        <v>4515</v>
      </c>
      <c r="EE11" s="376">
        <v>5737</v>
      </c>
      <c r="EF11" s="376">
        <v>6785.2704308821212</v>
      </c>
      <c r="EG11" s="376">
        <v>7100.3633863096657</v>
      </c>
      <c r="EH11" s="376">
        <v>6156.9274250695735</v>
      </c>
      <c r="EI11" s="376">
        <v>6349.4423935046607</v>
      </c>
      <c r="EJ11" s="376">
        <v>6110.9426537500894</v>
      </c>
      <c r="EK11" s="376">
        <v>6242.8431520793893</v>
      </c>
      <c r="EL11" s="376">
        <v>6032.7514485486399</v>
      </c>
      <c r="EM11" s="376">
        <v>6203.4860865568307</v>
      </c>
      <c r="EN11" s="376">
        <v>6029.2689285962551</v>
      </c>
      <c r="EO11" s="376">
        <v>6233.6205871999491</v>
      </c>
      <c r="EP11" s="375"/>
      <c r="EQ11" s="320">
        <v>2.5681882722863536E-2</v>
      </c>
    </row>
    <row r="12" spans="1:147" s="377" customFormat="1" ht="15" customHeight="1" outlineLevel="2">
      <c r="A12" s="368"/>
      <c r="B12"/>
      <c r="C12"/>
      <c r="D12"/>
      <c r="E12"/>
      <c r="F12"/>
      <c r="G12"/>
      <c r="H12" s="369"/>
      <c r="I12" s="379" t="s">
        <v>1569</v>
      </c>
      <c r="J12" s="369"/>
      <c r="K12" s="369"/>
      <c r="L12" s="369"/>
      <c r="M12" s="371"/>
      <c r="N12" s="369"/>
      <c r="O12" s="369"/>
      <c r="P12" s="369"/>
      <c r="Q12" s="371"/>
      <c r="R12" s="369"/>
      <c r="S12" s="369"/>
      <c r="T12" s="369"/>
      <c r="U12" s="371"/>
      <c r="V12" s="369"/>
      <c r="W12" s="369"/>
      <c r="X12" s="369"/>
      <c r="Y12" s="371"/>
      <c r="Z12" s="369"/>
      <c r="AA12" s="369"/>
      <c r="AB12" s="369"/>
      <c r="AC12" s="371"/>
      <c r="AD12" s="369"/>
      <c r="AE12" s="369"/>
      <c r="AF12" s="369"/>
      <c r="AG12" s="371"/>
      <c r="AH12" s="369"/>
      <c r="AI12" s="369"/>
      <c r="AJ12" s="369"/>
      <c r="AK12" s="371"/>
      <c r="AL12" s="369"/>
      <c r="AM12" s="369"/>
      <c r="AN12" s="369"/>
      <c r="AO12" s="371"/>
      <c r="AP12" s="369"/>
      <c r="AQ12" s="369"/>
      <c r="AR12" s="369"/>
      <c r="AS12" s="371"/>
      <c r="AT12" s="380">
        <v>981</v>
      </c>
      <c r="AU12" s="381">
        <v>1038</v>
      </c>
      <c r="AV12" s="381">
        <v>703</v>
      </c>
      <c r="AW12" s="382">
        <v>1557</v>
      </c>
      <c r="AX12" s="381">
        <v>1308</v>
      </c>
      <c r="AY12" s="381">
        <v>967</v>
      </c>
      <c r="AZ12" s="381">
        <v>745</v>
      </c>
      <c r="BA12" s="382">
        <v>1427</v>
      </c>
      <c r="BB12" s="380">
        <v>1449</v>
      </c>
      <c r="BC12" s="381">
        <v>1146</v>
      </c>
      <c r="BD12" s="381">
        <v>754</v>
      </c>
      <c r="BE12" s="382">
        <v>1407</v>
      </c>
      <c r="BF12" s="381">
        <v>1172</v>
      </c>
      <c r="BG12" s="381">
        <v>1075</v>
      </c>
      <c r="BH12" s="381">
        <v>841</v>
      </c>
      <c r="BI12" s="382">
        <v>1768</v>
      </c>
      <c r="BJ12" s="381">
        <v>1324</v>
      </c>
      <c r="BK12" s="381">
        <v>1050</v>
      </c>
      <c r="BL12" s="381">
        <v>691</v>
      </c>
      <c r="BM12" s="382">
        <v>1518</v>
      </c>
      <c r="BN12" s="381">
        <v>1111</v>
      </c>
      <c r="BO12" s="381">
        <v>970</v>
      </c>
      <c r="BP12" s="381">
        <v>753</v>
      </c>
      <c r="BQ12" s="382">
        <v>1575</v>
      </c>
      <c r="BR12" s="381">
        <v>1278</v>
      </c>
      <c r="BS12" s="381">
        <v>1044</v>
      </c>
      <c r="BT12" s="381">
        <v>990</v>
      </c>
      <c r="BU12" s="382">
        <v>1353</v>
      </c>
      <c r="BV12" s="381">
        <v>1455</v>
      </c>
      <c r="BW12" s="381">
        <v>1570</v>
      </c>
      <c r="BX12" s="381">
        <v>1568</v>
      </c>
      <c r="BY12" s="382">
        <v>2014</v>
      </c>
      <c r="BZ12" s="380">
        <v>1726</v>
      </c>
      <c r="CA12" s="381">
        <v>1631</v>
      </c>
      <c r="CB12" s="381">
        <v>1618</v>
      </c>
      <c r="CC12" s="382">
        <v>2043</v>
      </c>
      <c r="CD12" s="380">
        <v>1965</v>
      </c>
      <c r="CE12" s="381">
        <v>1641</v>
      </c>
      <c r="CF12" s="381">
        <v>1512</v>
      </c>
      <c r="CG12" s="382">
        <v>2381</v>
      </c>
      <c r="CH12" s="380">
        <v>1825</v>
      </c>
      <c r="CI12" s="381">
        <v>1396</v>
      </c>
      <c r="CJ12" s="381">
        <v>1282</v>
      </c>
      <c r="CK12" s="382">
        <v>1986</v>
      </c>
      <c r="CL12" s="380">
        <v>1788</v>
      </c>
      <c r="CM12" s="381">
        <v>1932</v>
      </c>
      <c r="CN12" s="381">
        <v>1954</v>
      </c>
      <c r="CO12" s="382">
        <v>2413</v>
      </c>
      <c r="CP12" s="380">
        <v>2275</v>
      </c>
      <c r="CQ12" s="381">
        <v>2296</v>
      </c>
      <c r="CR12" s="381">
        <v>2070</v>
      </c>
      <c r="CS12" s="382">
        <v>2816.9707248821205</v>
      </c>
      <c r="CT12" s="380">
        <v>1617.8259323158504</v>
      </c>
      <c r="CU12" s="381">
        <v>1586.9480194281759</v>
      </c>
      <c r="CV12" s="381">
        <v>2113.6893946806267</v>
      </c>
      <c r="CW12" s="382">
        <v>3561.0402405100122</v>
      </c>
      <c r="CX12" s="369"/>
      <c r="CY12" s="369"/>
      <c r="CZ12" s="369"/>
      <c r="DA12" s="371"/>
      <c r="DB12" s="369"/>
      <c r="DC12" s="369"/>
      <c r="DD12" s="369"/>
      <c r="DE12" s="371"/>
      <c r="DF12" s="369"/>
      <c r="DG12" s="369"/>
      <c r="DH12" s="369"/>
      <c r="DI12" s="371"/>
      <c r="DJ12" s="374"/>
      <c r="DK12" s="375"/>
      <c r="DL12" s="369"/>
      <c r="DM12" s="369"/>
      <c r="DN12" s="369"/>
      <c r="DO12" s="369"/>
      <c r="DP12" s="369"/>
      <c r="DQ12" s="369"/>
      <c r="DR12" s="369"/>
      <c r="DS12" s="383">
        <v>3026</v>
      </c>
      <c r="DT12" s="383">
        <v>4279</v>
      </c>
      <c r="DU12" s="383">
        <v>4447</v>
      </c>
      <c r="DV12" s="383">
        <v>4756</v>
      </c>
      <c r="DW12" s="383">
        <v>4856</v>
      </c>
      <c r="DX12" s="383">
        <v>4583</v>
      </c>
      <c r="DY12" s="383">
        <v>4409</v>
      </c>
      <c r="DZ12" s="381">
        <v>4665</v>
      </c>
      <c r="EA12" s="381">
        <v>6607</v>
      </c>
      <c r="EB12" s="381">
        <v>7018</v>
      </c>
      <c r="EC12" s="381">
        <v>7499</v>
      </c>
      <c r="ED12" s="381">
        <v>6489</v>
      </c>
      <c r="EE12" s="381">
        <v>8087</v>
      </c>
      <c r="EF12" s="381">
        <v>9457.9707248821214</v>
      </c>
      <c r="EG12" s="381">
        <v>8879.5035869346648</v>
      </c>
      <c r="EH12" s="381">
        <v>10354.055130025657</v>
      </c>
      <c r="EI12" s="381">
        <v>9750.5424748923979</v>
      </c>
      <c r="EJ12" s="381">
        <v>9353.275083748842</v>
      </c>
      <c r="EK12" s="381">
        <v>9969.6480875543457</v>
      </c>
      <c r="EL12" s="381">
        <v>9616.3899430978945</v>
      </c>
      <c r="EM12" s="381">
        <v>9681.0522572333175</v>
      </c>
      <c r="EN12" s="381">
        <v>9628.3912629519527</v>
      </c>
      <c r="EO12" s="381">
        <v>10364.850148417006</v>
      </c>
      <c r="EP12" s="375"/>
      <c r="EQ12" s="384">
        <v>4.7877062192594355E-2</v>
      </c>
    </row>
    <row r="13" spans="1:147" s="390" customFormat="1" ht="12.95" outlineLevel="2">
      <c r="A13" s="385"/>
      <c r="B13"/>
      <c r="C13"/>
      <c r="D13"/>
      <c r="E13"/>
      <c r="F13"/>
      <c r="G13"/>
      <c r="H13" s="386"/>
      <c r="I13" s="387" t="s">
        <v>1570</v>
      </c>
      <c r="J13" s="386"/>
      <c r="K13" s="386"/>
      <c r="L13" s="386"/>
      <c r="M13" s="388"/>
      <c r="N13" s="386"/>
      <c r="O13" s="386"/>
      <c r="P13" s="386"/>
      <c r="Q13" s="388"/>
      <c r="R13" s="386"/>
      <c r="S13" s="386"/>
      <c r="T13" s="386"/>
      <c r="U13" s="388"/>
      <c r="V13" s="386"/>
      <c r="W13" s="386"/>
      <c r="X13" s="386"/>
      <c r="Y13" s="388"/>
      <c r="Z13" s="386"/>
      <c r="AA13" s="386"/>
      <c r="AB13" s="386"/>
      <c r="AC13" s="388"/>
      <c r="AD13" s="386"/>
      <c r="AE13" s="386"/>
      <c r="AF13" s="386"/>
      <c r="AG13" s="388"/>
      <c r="AH13" s="386"/>
      <c r="AI13" s="386"/>
      <c r="AJ13" s="386"/>
      <c r="AK13" s="388"/>
      <c r="AL13" s="386"/>
      <c r="AM13" s="386"/>
      <c r="AN13" s="386"/>
      <c r="AO13" s="388"/>
      <c r="AP13" s="386"/>
      <c r="AQ13" s="386"/>
      <c r="AR13" s="386"/>
      <c r="AS13" s="388"/>
      <c r="AT13" s="325">
        <v>296</v>
      </c>
      <c r="AU13" s="325">
        <v>281</v>
      </c>
      <c r="AV13" s="325">
        <v>185</v>
      </c>
      <c r="AW13" s="372">
        <v>670</v>
      </c>
      <c r="AX13" s="325">
        <v>337</v>
      </c>
      <c r="AY13" s="325">
        <v>235</v>
      </c>
      <c r="AZ13" s="325">
        <v>194</v>
      </c>
      <c r="BA13" s="372">
        <v>585</v>
      </c>
      <c r="BB13" s="325">
        <v>299</v>
      </c>
      <c r="BC13" s="325">
        <v>213</v>
      </c>
      <c r="BD13" s="325">
        <v>138</v>
      </c>
      <c r="BE13" s="372">
        <v>483</v>
      </c>
      <c r="BF13" s="325">
        <v>257</v>
      </c>
      <c r="BG13" s="325">
        <v>229</v>
      </c>
      <c r="BH13" s="325">
        <v>146</v>
      </c>
      <c r="BI13" s="372">
        <v>483</v>
      </c>
      <c r="BJ13" s="325">
        <v>260</v>
      </c>
      <c r="BK13" s="325">
        <v>179</v>
      </c>
      <c r="BL13" s="325">
        <v>109</v>
      </c>
      <c r="BM13" s="372">
        <v>498</v>
      </c>
      <c r="BN13" s="325">
        <v>223</v>
      </c>
      <c r="BO13" s="325">
        <v>184</v>
      </c>
      <c r="BP13" s="325">
        <v>150</v>
      </c>
      <c r="BQ13" s="372">
        <v>425</v>
      </c>
      <c r="BR13" s="325">
        <v>202</v>
      </c>
      <c r="BS13" s="325">
        <v>147</v>
      </c>
      <c r="BT13" s="325">
        <v>179</v>
      </c>
      <c r="BU13" s="372">
        <v>343</v>
      </c>
      <c r="BV13" s="325">
        <v>169</v>
      </c>
      <c r="BW13" s="325">
        <v>149</v>
      </c>
      <c r="BX13" s="325">
        <v>111</v>
      </c>
      <c r="BY13" s="372">
        <v>313</v>
      </c>
      <c r="BZ13" s="373">
        <v>143</v>
      </c>
      <c r="CA13" s="325">
        <v>130</v>
      </c>
      <c r="CB13" s="325">
        <v>149</v>
      </c>
      <c r="CC13" s="372">
        <v>310</v>
      </c>
      <c r="CD13" s="373">
        <v>162</v>
      </c>
      <c r="CE13" s="325">
        <v>126</v>
      </c>
      <c r="CF13" s="325">
        <v>127</v>
      </c>
      <c r="CG13" s="372">
        <v>303</v>
      </c>
      <c r="CH13" s="373">
        <v>152</v>
      </c>
      <c r="CI13" s="325">
        <v>99</v>
      </c>
      <c r="CJ13" s="325">
        <v>137</v>
      </c>
      <c r="CK13" s="372">
        <v>268</v>
      </c>
      <c r="CL13" s="373">
        <v>119</v>
      </c>
      <c r="CM13" s="325">
        <v>137</v>
      </c>
      <c r="CN13" s="325">
        <v>101</v>
      </c>
      <c r="CO13" s="372">
        <v>349</v>
      </c>
      <c r="CP13" s="373">
        <v>140</v>
      </c>
      <c r="CQ13" s="325">
        <v>116</v>
      </c>
      <c r="CR13" s="325">
        <v>120</v>
      </c>
      <c r="CS13" s="372">
        <v>324.14409407999995</v>
      </c>
      <c r="CT13" s="373">
        <v>51.177783519999998</v>
      </c>
      <c r="CU13" s="325">
        <v>27.152349627499994</v>
      </c>
      <c r="CV13" s="325">
        <v>50.175025362500001</v>
      </c>
      <c r="CW13" s="372">
        <v>408.85607545475</v>
      </c>
      <c r="CX13" s="386"/>
      <c r="CY13" s="386"/>
      <c r="CZ13" s="386"/>
      <c r="DA13" s="388"/>
      <c r="DB13" s="386"/>
      <c r="DC13" s="386"/>
      <c r="DD13" s="386"/>
      <c r="DE13" s="388"/>
      <c r="DF13" s="386"/>
      <c r="DG13" s="386"/>
      <c r="DH13" s="386"/>
      <c r="DI13" s="388"/>
      <c r="DJ13" s="374"/>
      <c r="DK13" s="389"/>
      <c r="DL13" s="386"/>
      <c r="DM13" s="386"/>
      <c r="DN13" s="386"/>
      <c r="DO13" s="386"/>
      <c r="DP13" s="386"/>
      <c r="DQ13" s="386"/>
      <c r="DR13" s="386"/>
      <c r="DS13" s="376">
        <v>1160</v>
      </c>
      <c r="DT13" s="376">
        <v>1432</v>
      </c>
      <c r="DU13" s="376">
        <v>1351</v>
      </c>
      <c r="DV13" s="376">
        <v>1133</v>
      </c>
      <c r="DW13" s="376">
        <v>1115</v>
      </c>
      <c r="DX13" s="376">
        <v>1046</v>
      </c>
      <c r="DY13" s="376">
        <v>982</v>
      </c>
      <c r="DZ13" s="376">
        <v>871</v>
      </c>
      <c r="EA13" s="325">
        <v>742</v>
      </c>
      <c r="EB13" s="325">
        <v>732</v>
      </c>
      <c r="EC13" s="325">
        <v>718</v>
      </c>
      <c r="ED13" s="325">
        <v>656</v>
      </c>
      <c r="EE13" s="325">
        <v>706</v>
      </c>
      <c r="EF13" s="325">
        <v>700.14409407999995</v>
      </c>
      <c r="EG13" s="325">
        <v>537.36123396475</v>
      </c>
      <c r="EH13" s="325">
        <v>870.39765281111625</v>
      </c>
      <c r="EI13" s="325">
        <v>648.08759735041667</v>
      </c>
      <c r="EJ13" s="325">
        <v>599.28117694336083</v>
      </c>
      <c r="EK13" s="325">
        <v>702.06179534233274</v>
      </c>
      <c r="EL13" s="325">
        <v>639.82827732890144</v>
      </c>
      <c r="EM13" s="325">
        <v>599.65412862255039</v>
      </c>
      <c r="EN13" s="325">
        <v>603.16071711318102</v>
      </c>
      <c r="EO13" s="325">
        <v>706.10023024922066</v>
      </c>
      <c r="EP13" s="389"/>
      <c r="EQ13" s="320">
        <v>-2.1170043251674153E-2</v>
      </c>
    </row>
    <row r="14" spans="1:147" s="390" customFormat="1" ht="25.5" outlineLevel="2">
      <c r="A14" s="385"/>
      <c r="B14"/>
      <c r="C14"/>
      <c r="D14"/>
      <c r="E14"/>
      <c r="F14"/>
      <c r="G14"/>
      <c r="H14" s="386"/>
      <c r="I14" s="387" t="s">
        <v>1571</v>
      </c>
      <c r="J14" s="386"/>
      <c r="K14" s="386"/>
      <c r="L14" s="386"/>
      <c r="M14" s="388"/>
      <c r="N14" s="386"/>
      <c r="O14" s="386"/>
      <c r="P14" s="386"/>
      <c r="Q14" s="388"/>
      <c r="R14" s="386"/>
      <c r="S14" s="386"/>
      <c r="T14" s="386"/>
      <c r="U14" s="388"/>
      <c r="V14" s="386"/>
      <c r="W14" s="386"/>
      <c r="X14" s="386"/>
      <c r="Y14" s="388"/>
      <c r="Z14" s="386"/>
      <c r="AA14" s="386"/>
      <c r="AB14" s="386"/>
      <c r="AC14" s="388"/>
      <c r="AD14" s="386"/>
      <c r="AE14" s="386"/>
      <c r="AF14" s="386"/>
      <c r="AG14" s="388"/>
      <c r="AH14" s="386"/>
      <c r="AI14" s="386"/>
      <c r="AJ14" s="386"/>
      <c r="AK14" s="388"/>
      <c r="AL14" s="386"/>
      <c r="AM14" s="386"/>
      <c r="AN14" s="386"/>
      <c r="AO14" s="388"/>
      <c r="AP14" s="386"/>
      <c r="AQ14" s="386"/>
      <c r="AR14" s="386"/>
      <c r="AS14" s="388"/>
      <c r="AT14" s="325">
        <v>72</v>
      </c>
      <c r="AU14" s="325">
        <v>86</v>
      </c>
      <c r="AV14" s="325">
        <v>54</v>
      </c>
      <c r="AW14" s="372">
        <v>54</v>
      </c>
      <c r="AX14" s="325">
        <v>58</v>
      </c>
      <c r="AY14" s="325">
        <v>55</v>
      </c>
      <c r="AZ14" s="325">
        <v>64</v>
      </c>
      <c r="BA14" s="372">
        <v>76</v>
      </c>
      <c r="BB14" s="325">
        <v>66</v>
      </c>
      <c r="BC14" s="325">
        <v>62</v>
      </c>
      <c r="BD14" s="325">
        <v>63</v>
      </c>
      <c r="BE14" s="372">
        <v>65</v>
      </c>
      <c r="BF14" s="325">
        <v>69</v>
      </c>
      <c r="BG14" s="325">
        <v>71</v>
      </c>
      <c r="BH14" s="325">
        <v>62</v>
      </c>
      <c r="BI14" s="372">
        <v>60</v>
      </c>
      <c r="BJ14" s="325">
        <v>57</v>
      </c>
      <c r="BK14" s="325">
        <v>54</v>
      </c>
      <c r="BL14" s="325">
        <v>45</v>
      </c>
      <c r="BM14" s="372">
        <v>54</v>
      </c>
      <c r="BN14" s="325">
        <v>60</v>
      </c>
      <c r="BO14" s="325">
        <v>60</v>
      </c>
      <c r="BP14" s="325">
        <v>62</v>
      </c>
      <c r="BQ14" s="372">
        <v>68</v>
      </c>
      <c r="BR14" s="325">
        <v>59</v>
      </c>
      <c r="BS14" s="325">
        <v>61</v>
      </c>
      <c r="BT14" s="325">
        <v>71</v>
      </c>
      <c r="BU14" s="372">
        <v>82</v>
      </c>
      <c r="BV14" s="325">
        <v>142</v>
      </c>
      <c r="BW14" s="325">
        <v>241</v>
      </c>
      <c r="BX14" s="325">
        <v>237</v>
      </c>
      <c r="BY14" s="372">
        <v>230</v>
      </c>
      <c r="BZ14" s="373">
        <v>232</v>
      </c>
      <c r="CA14" s="325">
        <v>236</v>
      </c>
      <c r="CB14" s="325">
        <v>249</v>
      </c>
      <c r="CC14" s="372">
        <v>268</v>
      </c>
      <c r="CD14" s="373">
        <v>270</v>
      </c>
      <c r="CE14" s="325">
        <v>250</v>
      </c>
      <c r="CF14" s="325">
        <v>257</v>
      </c>
      <c r="CG14" s="372">
        <v>251</v>
      </c>
      <c r="CH14" s="373">
        <v>239</v>
      </c>
      <c r="CI14" s="325">
        <v>230</v>
      </c>
      <c r="CJ14" s="325">
        <v>246</v>
      </c>
      <c r="CK14" s="372">
        <v>251</v>
      </c>
      <c r="CL14" s="373">
        <v>258</v>
      </c>
      <c r="CM14" s="325">
        <v>271</v>
      </c>
      <c r="CN14" s="325">
        <v>290</v>
      </c>
      <c r="CO14" s="372">
        <v>313</v>
      </c>
      <c r="CP14" s="373">
        <v>296</v>
      </c>
      <c r="CQ14" s="325">
        <v>322</v>
      </c>
      <c r="CR14" s="325">
        <v>307</v>
      </c>
      <c r="CS14" s="372">
        <v>286.9261476452017</v>
      </c>
      <c r="CT14" s="373">
        <v>244.52729256113807</v>
      </c>
      <c r="CU14" s="325">
        <v>261.31670329534523</v>
      </c>
      <c r="CV14" s="325">
        <v>380.47884822645301</v>
      </c>
      <c r="CW14" s="372">
        <v>406.81236020324036</v>
      </c>
      <c r="CX14" s="386"/>
      <c r="CY14" s="386"/>
      <c r="CZ14" s="386"/>
      <c r="DA14" s="388"/>
      <c r="DB14" s="386"/>
      <c r="DC14" s="386"/>
      <c r="DD14" s="386"/>
      <c r="DE14" s="388"/>
      <c r="DF14" s="386"/>
      <c r="DG14" s="386"/>
      <c r="DH14" s="386"/>
      <c r="DI14" s="388"/>
      <c r="DJ14" s="374"/>
      <c r="DK14" s="389"/>
      <c r="DL14" s="386"/>
      <c r="DM14" s="386"/>
      <c r="DN14" s="386"/>
      <c r="DO14" s="386"/>
      <c r="DP14" s="386"/>
      <c r="DQ14" s="386"/>
      <c r="DR14" s="386"/>
      <c r="DS14" s="376">
        <v>193</v>
      </c>
      <c r="DT14" s="376">
        <v>212</v>
      </c>
      <c r="DU14" s="376">
        <v>253</v>
      </c>
      <c r="DV14" s="376">
        <v>256</v>
      </c>
      <c r="DW14" s="376">
        <v>262</v>
      </c>
      <c r="DX14" s="376">
        <v>210</v>
      </c>
      <c r="DY14" s="376">
        <v>250</v>
      </c>
      <c r="DZ14" s="376">
        <v>273</v>
      </c>
      <c r="EA14" s="376">
        <v>850</v>
      </c>
      <c r="EB14" s="376">
        <v>985</v>
      </c>
      <c r="EC14" s="376">
        <v>1028</v>
      </c>
      <c r="ED14" s="376">
        <v>966</v>
      </c>
      <c r="EE14" s="376">
        <v>1132</v>
      </c>
      <c r="EF14" s="376">
        <v>1211.9261476452016</v>
      </c>
      <c r="EG14" s="376">
        <v>1293.1352042861768</v>
      </c>
      <c r="EH14" s="376">
        <v>1313.7456598556655</v>
      </c>
      <c r="EI14" s="376">
        <v>1237.8579037457305</v>
      </c>
      <c r="EJ14" s="376">
        <v>1178.0546404998297</v>
      </c>
      <c r="EK14" s="376">
        <v>1172.6562484257843</v>
      </c>
      <c r="EL14" s="376">
        <v>1106.4846396594164</v>
      </c>
      <c r="EM14" s="376">
        <v>1070.5475436490301</v>
      </c>
      <c r="EN14" s="376">
        <v>1023.4096446718626</v>
      </c>
      <c r="EO14" s="376">
        <v>1021.0725098324348</v>
      </c>
      <c r="EP14" s="389"/>
      <c r="EQ14" s="320">
        <v>2.2600714377896791E-2</v>
      </c>
    </row>
    <row r="15" spans="1:147" s="390" customFormat="1" ht="25.5" outlineLevel="2">
      <c r="A15" s="385"/>
      <c r="B15"/>
      <c r="C15"/>
      <c r="D15"/>
      <c r="E15"/>
      <c r="F15"/>
      <c r="G15"/>
      <c r="H15" s="386"/>
      <c r="I15" s="387" t="s">
        <v>1572</v>
      </c>
      <c r="J15" s="386"/>
      <c r="K15" s="386"/>
      <c r="L15" s="386"/>
      <c r="M15" s="388"/>
      <c r="N15" s="386"/>
      <c r="O15" s="386"/>
      <c r="P15" s="386"/>
      <c r="Q15" s="388"/>
      <c r="R15" s="386"/>
      <c r="S15" s="386"/>
      <c r="T15" s="386"/>
      <c r="U15" s="388"/>
      <c r="V15" s="386"/>
      <c r="W15" s="386"/>
      <c r="X15" s="386"/>
      <c r="Y15" s="388"/>
      <c r="Z15" s="386"/>
      <c r="AA15" s="386"/>
      <c r="AB15" s="386"/>
      <c r="AC15" s="388"/>
      <c r="AD15" s="386"/>
      <c r="AE15" s="386"/>
      <c r="AF15" s="386"/>
      <c r="AG15" s="388"/>
      <c r="AH15" s="386"/>
      <c r="AI15" s="386"/>
      <c r="AJ15" s="386"/>
      <c r="AK15" s="388"/>
      <c r="AL15" s="386"/>
      <c r="AM15" s="386"/>
      <c r="AN15" s="386"/>
      <c r="AO15" s="388"/>
      <c r="AP15" s="386"/>
      <c r="AQ15" s="386"/>
      <c r="AR15" s="386"/>
      <c r="AS15" s="388"/>
      <c r="AT15" s="325">
        <v>64</v>
      </c>
      <c r="AU15" s="325">
        <v>54</v>
      </c>
      <c r="AV15" s="325">
        <v>45</v>
      </c>
      <c r="AW15" s="372">
        <v>136</v>
      </c>
      <c r="AX15" s="325">
        <v>99</v>
      </c>
      <c r="AY15" s="325">
        <v>51</v>
      </c>
      <c r="AZ15" s="325">
        <v>61</v>
      </c>
      <c r="BA15" s="372">
        <v>128</v>
      </c>
      <c r="BB15" s="325">
        <v>61</v>
      </c>
      <c r="BC15" s="325">
        <v>47</v>
      </c>
      <c r="BD15" s="325">
        <v>24</v>
      </c>
      <c r="BE15" s="372">
        <v>85</v>
      </c>
      <c r="BF15" s="325">
        <v>31</v>
      </c>
      <c r="BG15" s="325">
        <v>57</v>
      </c>
      <c r="BH15" s="325">
        <v>19</v>
      </c>
      <c r="BI15" s="372">
        <v>87</v>
      </c>
      <c r="BJ15" s="325">
        <v>61</v>
      </c>
      <c r="BK15" s="325">
        <v>38</v>
      </c>
      <c r="BL15" s="325">
        <v>17</v>
      </c>
      <c r="BM15" s="372">
        <v>97</v>
      </c>
      <c r="BN15" s="325">
        <v>54</v>
      </c>
      <c r="BO15" s="325">
        <v>49</v>
      </c>
      <c r="BP15" s="325">
        <v>33</v>
      </c>
      <c r="BQ15" s="372">
        <v>129</v>
      </c>
      <c r="BR15" s="325">
        <v>141</v>
      </c>
      <c r="BS15" s="325">
        <v>70</v>
      </c>
      <c r="BT15" s="325">
        <v>62</v>
      </c>
      <c r="BU15" s="372">
        <v>98</v>
      </c>
      <c r="BV15" s="325">
        <v>128</v>
      </c>
      <c r="BW15" s="325">
        <v>80</v>
      </c>
      <c r="BX15" s="325">
        <v>42</v>
      </c>
      <c r="BY15" s="372">
        <v>80</v>
      </c>
      <c r="BZ15" s="373">
        <v>88</v>
      </c>
      <c r="CA15" s="325">
        <v>75</v>
      </c>
      <c r="CB15" s="325">
        <v>37</v>
      </c>
      <c r="CC15" s="372">
        <v>101</v>
      </c>
      <c r="CD15" s="373">
        <v>146</v>
      </c>
      <c r="CE15" s="325">
        <v>49</v>
      </c>
      <c r="CF15" s="325">
        <v>20</v>
      </c>
      <c r="CG15" s="372">
        <v>157</v>
      </c>
      <c r="CH15" s="373">
        <v>111</v>
      </c>
      <c r="CI15" s="325">
        <v>51</v>
      </c>
      <c r="CJ15" s="325">
        <v>9</v>
      </c>
      <c r="CK15" s="372">
        <v>69</v>
      </c>
      <c r="CL15" s="373">
        <v>82</v>
      </c>
      <c r="CM15" s="325">
        <v>33</v>
      </c>
      <c r="CN15" s="325">
        <v>37</v>
      </c>
      <c r="CO15" s="372">
        <v>117</v>
      </c>
      <c r="CP15" s="373">
        <v>112</v>
      </c>
      <c r="CQ15" s="325">
        <v>88</v>
      </c>
      <c r="CR15" s="325">
        <v>72</v>
      </c>
      <c r="CS15" s="372">
        <v>78.178753969252654</v>
      </c>
      <c r="CT15" s="373">
        <v>36.70331231396321</v>
      </c>
      <c r="CU15" s="325">
        <v>11.485637351993178</v>
      </c>
      <c r="CV15" s="325">
        <v>41.191727067556542</v>
      </c>
      <c r="CW15" s="372">
        <v>144.23616711826983</v>
      </c>
      <c r="CX15" s="386"/>
      <c r="CY15" s="386"/>
      <c r="CZ15" s="386"/>
      <c r="DA15" s="388"/>
      <c r="DB15" s="386"/>
      <c r="DC15" s="386"/>
      <c r="DD15" s="386"/>
      <c r="DE15" s="388"/>
      <c r="DF15" s="386"/>
      <c r="DG15" s="386"/>
      <c r="DH15" s="386"/>
      <c r="DI15" s="388"/>
      <c r="DJ15" s="374"/>
      <c r="DK15" s="389"/>
      <c r="DL15" s="386"/>
      <c r="DM15" s="386"/>
      <c r="DN15" s="386"/>
      <c r="DO15" s="386"/>
      <c r="DP15" s="386"/>
      <c r="DQ15" s="386"/>
      <c r="DR15" s="386"/>
      <c r="DS15" s="376">
        <v>267</v>
      </c>
      <c r="DT15" s="376">
        <v>348</v>
      </c>
      <c r="DU15" s="376">
        <v>339</v>
      </c>
      <c r="DV15" s="376">
        <v>217</v>
      </c>
      <c r="DW15" s="376">
        <v>194</v>
      </c>
      <c r="DX15" s="376">
        <v>213</v>
      </c>
      <c r="DY15" s="376">
        <v>265</v>
      </c>
      <c r="DZ15" s="376">
        <v>371</v>
      </c>
      <c r="EA15" s="376">
        <v>330</v>
      </c>
      <c r="EB15" s="376">
        <v>301</v>
      </c>
      <c r="EC15" s="376">
        <v>372</v>
      </c>
      <c r="ED15" s="376">
        <v>240</v>
      </c>
      <c r="EE15" s="376">
        <v>269</v>
      </c>
      <c r="EF15" s="376">
        <v>350.17875396925263</v>
      </c>
      <c r="EG15" s="376">
        <v>233.61684385178276</v>
      </c>
      <c r="EH15" s="376">
        <v>216.63556648281792</v>
      </c>
      <c r="EI15" s="376">
        <v>263.42932171382796</v>
      </c>
      <c r="EJ15" s="376">
        <v>242.96463173057313</v>
      </c>
      <c r="EK15" s="376">
        <v>236.4307327838803</v>
      </c>
      <c r="EL15" s="376">
        <v>252.20310163079907</v>
      </c>
      <c r="EM15" s="376">
        <v>241.51165027320164</v>
      </c>
      <c r="EN15" s="376">
        <v>244.24234783972233</v>
      </c>
      <c r="EO15" s="376">
        <v>244.27062496017967</v>
      </c>
      <c r="EP15" s="389"/>
      <c r="EQ15" s="320">
        <v>-5.2179082728431858E-3</v>
      </c>
    </row>
    <row r="16" spans="1:147" s="390" customFormat="1" ht="25.5" outlineLevel="2">
      <c r="A16" s="385"/>
      <c r="B16"/>
      <c r="C16"/>
      <c r="D16"/>
      <c r="E16"/>
      <c r="F16"/>
      <c r="G16"/>
      <c r="H16" s="386"/>
      <c r="I16" s="387" t="s">
        <v>1573</v>
      </c>
      <c r="J16" s="386"/>
      <c r="K16" s="386"/>
      <c r="L16" s="386"/>
      <c r="M16" s="388"/>
      <c r="N16" s="386"/>
      <c r="O16" s="386"/>
      <c r="P16" s="386"/>
      <c r="Q16" s="388"/>
      <c r="R16" s="386"/>
      <c r="S16" s="386"/>
      <c r="T16" s="386"/>
      <c r="U16" s="388"/>
      <c r="V16" s="386"/>
      <c r="W16" s="386"/>
      <c r="X16" s="386"/>
      <c r="Y16" s="388"/>
      <c r="Z16" s="386"/>
      <c r="AA16" s="386"/>
      <c r="AB16" s="386"/>
      <c r="AC16" s="388"/>
      <c r="AD16" s="386"/>
      <c r="AE16" s="386"/>
      <c r="AF16" s="386"/>
      <c r="AG16" s="388"/>
      <c r="AH16" s="386"/>
      <c r="AI16" s="386"/>
      <c r="AJ16" s="386"/>
      <c r="AK16" s="388"/>
      <c r="AL16" s="386"/>
      <c r="AM16" s="386"/>
      <c r="AN16" s="386"/>
      <c r="AO16" s="388"/>
      <c r="AP16" s="386"/>
      <c r="AQ16" s="386"/>
      <c r="AR16" s="386"/>
      <c r="AS16" s="388"/>
      <c r="AT16" s="325">
        <v>52</v>
      </c>
      <c r="AU16" s="325">
        <v>51</v>
      </c>
      <c r="AV16" s="325">
        <v>55</v>
      </c>
      <c r="AW16" s="372">
        <v>152</v>
      </c>
      <c r="AX16" s="325">
        <v>43</v>
      </c>
      <c r="AY16" s="325">
        <v>29</v>
      </c>
      <c r="AZ16" s="325">
        <v>33</v>
      </c>
      <c r="BA16" s="372">
        <v>92</v>
      </c>
      <c r="BB16" s="325">
        <v>29</v>
      </c>
      <c r="BC16" s="325">
        <v>24</v>
      </c>
      <c r="BD16" s="325">
        <v>16</v>
      </c>
      <c r="BE16" s="372">
        <v>96</v>
      </c>
      <c r="BF16" s="325">
        <v>7</v>
      </c>
      <c r="BG16" s="325">
        <v>20</v>
      </c>
      <c r="BH16" s="325">
        <v>10</v>
      </c>
      <c r="BI16" s="372">
        <v>52</v>
      </c>
      <c r="BJ16" s="325">
        <v>38</v>
      </c>
      <c r="BK16" s="325">
        <v>14</v>
      </c>
      <c r="BL16" s="325">
        <v>4</v>
      </c>
      <c r="BM16" s="372">
        <v>6</v>
      </c>
      <c r="BN16" s="325">
        <v>5</v>
      </c>
      <c r="BO16" s="325">
        <v>7</v>
      </c>
      <c r="BP16" s="325">
        <v>8</v>
      </c>
      <c r="BQ16" s="372">
        <v>9</v>
      </c>
      <c r="BR16" s="325">
        <v>11</v>
      </c>
      <c r="BS16" s="325">
        <v>19</v>
      </c>
      <c r="BT16" s="325">
        <v>25</v>
      </c>
      <c r="BU16" s="372">
        <v>15</v>
      </c>
      <c r="BV16" s="325">
        <v>52</v>
      </c>
      <c r="BW16" s="325">
        <v>128</v>
      </c>
      <c r="BX16" s="325">
        <v>139</v>
      </c>
      <c r="BY16" s="372">
        <v>153</v>
      </c>
      <c r="BZ16" s="373">
        <v>122</v>
      </c>
      <c r="CA16" s="325">
        <v>120</v>
      </c>
      <c r="CB16" s="325">
        <v>117</v>
      </c>
      <c r="CC16" s="372">
        <v>124</v>
      </c>
      <c r="CD16" s="373">
        <v>84</v>
      </c>
      <c r="CE16" s="325">
        <v>85</v>
      </c>
      <c r="CF16" s="325">
        <v>109</v>
      </c>
      <c r="CG16" s="372">
        <v>121</v>
      </c>
      <c r="CH16" s="373">
        <v>61</v>
      </c>
      <c r="CI16" s="325">
        <v>53</v>
      </c>
      <c r="CJ16" s="325">
        <v>50</v>
      </c>
      <c r="CK16" s="372">
        <v>68</v>
      </c>
      <c r="CL16" s="373">
        <v>46</v>
      </c>
      <c r="CM16" s="325">
        <v>28</v>
      </c>
      <c r="CN16" s="325">
        <v>41</v>
      </c>
      <c r="CO16" s="372">
        <v>39</v>
      </c>
      <c r="CP16" s="373">
        <v>30</v>
      </c>
      <c r="CQ16" s="325">
        <v>29</v>
      </c>
      <c r="CR16" s="325">
        <v>28</v>
      </c>
      <c r="CS16" s="372">
        <v>25.760465518419984</v>
      </c>
      <c r="CT16" s="373">
        <v>16.168259323158505</v>
      </c>
      <c r="CU16" s="325">
        <v>20.617324252566288</v>
      </c>
      <c r="CV16" s="325">
        <v>24.507196978295269</v>
      </c>
      <c r="CW16" s="372">
        <v>26.700301803825091</v>
      </c>
      <c r="CX16" s="386"/>
      <c r="CY16" s="386"/>
      <c r="CZ16" s="386"/>
      <c r="DA16" s="388"/>
      <c r="DB16" s="386"/>
      <c r="DC16" s="386"/>
      <c r="DD16" s="386"/>
      <c r="DE16" s="388"/>
      <c r="DF16" s="386"/>
      <c r="DG16" s="386"/>
      <c r="DH16" s="386"/>
      <c r="DI16" s="388"/>
      <c r="DJ16" s="374"/>
      <c r="DK16" s="389"/>
      <c r="DL16" s="386"/>
      <c r="DM16" s="386"/>
      <c r="DN16" s="386"/>
      <c r="DO16" s="386"/>
      <c r="DP16" s="386"/>
      <c r="DQ16" s="386"/>
      <c r="DR16" s="386"/>
      <c r="DS16" s="376">
        <v>219</v>
      </c>
      <c r="DT16" s="376">
        <v>315</v>
      </c>
      <c r="DU16" s="376">
        <v>197</v>
      </c>
      <c r="DV16" s="376">
        <v>165</v>
      </c>
      <c r="DW16" s="376">
        <v>89</v>
      </c>
      <c r="DX16" s="376">
        <v>62</v>
      </c>
      <c r="DY16" s="376">
        <v>29</v>
      </c>
      <c r="DZ16" s="376">
        <v>70</v>
      </c>
      <c r="EA16" s="376">
        <v>472</v>
      </c>
      <c r="EB16" s="376">
        <v>483</v>
      </c>
      <c r="EC16" s="376">
        <v>399</v>
      </c>
      <c r="ED16" s="376">
        <v>232</v>
      </c>
      <c r="EE16" s="376">
        <v>154</v>
      </c>
      <c r="EF16" s="376">
        <v>112.76046551841998</v>
      </c>
      <c r="EG16" s="376">
        <v>87.993082357845154</v>
      </c>
      <c r="EH16" s="376">
        <v>105.18338634813547</v>
      </c>
      <c r="EI16" s="376">
        <v>96.652317904567155</v>
      </c>
      <c r="EJ16" s="376">
        <v>93.186132274479675</v>
      </c>
      <c r="EK16" s="376">
        <v>100.41985294232833</v>
      </c>
      <c r="EL16" s="376">
        <v>95.69101570749568</v>
      </c>
      <c r="EM16" s="376">
        <v>96.934912223981797</v>
      </c>
      <c r="EN16" s="376">
        <v>96.211579341245951</v>
      </c>
      <c r="EO16" s="376">
        <v>104.47482616671719</v>
      </c>
      <c r="EP16" s="389"/>
      <c r="EQ16" s="320">
        <v>-0.10993261322724002</v>
      </c>
    </row>
    <row r="17" spans="1:147" s="390" customFormat="1" ht="15" customHeight="1" outlineLevel="2">
      <c r="A17" s="385"/>
      <c r="B17"/>
      <c r="C17"/>
      <c r="D17"/>
      <c r="E17"/>
      <c r="F17"/>
      <c r="G17"/>
      <c r="H17" s="386"/>
      <c r="I17" s="379" t="s">
        <v>1574</v>
      </c>
      <c r="J17" s="386"/>
      <c r="K17" s="386"/>
      <c r="L17" s="386"/>
      <c r="M17" s="388"/>
      <c r="N17" s="386"/>
      <c r="O17" s="386"/>
      <c r="P17" s="386"/>
      <c r="Q17" s="388"/>
      <c r="R17" s="386"/>
      <c r="S17" s="386"/>
      <c r="T17" s="386"/>
      <c r="U17" s="388"/>
      <c r="V17" s="386"/>
      <c r="W17" s="386"/>
      <c r="X17" s="386"/>
      <c r="Y17" s="388"/>
      <c r="Z17" s="386"/>
      <c r="AA17" s="386"/>
      <c r="AB17" s="386"/>
      <c r="AC17" s="388"/>
      <c r="AD17" s="386"/>
      <c r="AE17" s="386"/>
      <c r="AF17" s="386"/>
      <c r="AG17" s="388"/>
      <c r="AH17" s="386"/>
      <c r="AI17" s="386"/>
      <c r="AJ17" s="386"/>
      <c r="AK17" s="388"/>
      <c r="AL17" s="386"/>
      <c r="AM17" s="386"/>
      <c r="AN17" s="386"/>
      <c r="AO17" s="388"/>
      <c r="AP17" s="386"/>
      <c r="AQ17" s="386"/>
      <c r="AR17" s="386"/>
      <c r="AS17" s="388"/>
      <c r="AT17" s="380">
        <v>497</v>
      </c>
      <c r="AU17" s="381">
        <v>566</v>
      </c>
      <c r="AV17" s="381">
        <v>364</v>
      </c>
      <c r="AW17" s="382">
        <v>545</v>
      </c>
      <c r="AX17" s="381">
        <v>771</v>
      </c>
      <c r="AY17" s="381">
        <v>597</v>
      </c>
      <c r="AZ17" s="381">
        <v>393</v>
      </c>
      <c r="BA17" s="382">
        <v>546</v>
      </c>
      <c r="BB17" s="381">
        <v>994</v>
      </c>
      <c r="BC17" s="381">
        <v>800</v>
      </c>
      <c r="BD17" s="381">
        <v>513</v>
      </c>
      <c r="BE17" s="382">
        <v>678</v>
      </c>
      <c r="BF17" s="381">
        <v>808</v>
      </c>
      <c r="BG17" s="381">
        <v>698</v>
      </c>
      <c r="BH17" s="381">
        <v>604</v>
      </c>
      <c r="BI17" s="382">
        <v>1086</v>
      </c>
      <c r="BJ17" s="381">
        <v>908</v>
      </c>
      <c r="BK17" s="381">
        <v>765</v>
      </c>
      <c r="BL17" s="381">
        <v>516</v>
      </c>
      <c r="BM17" s="382">
        <v>863</v>
      </c>
      <c r="BN17" s="381">
        <v>769</v>
      </c>
      <c r="BO17" s="381">
        <v>670</v>
      </c>
      <c r="BP17" s="381">
        <v>500</v>
      </c>
      <c r="BQ17" s="382">
        <v>944</v>
      </c>
      <c r="BR17" s="381">
        <v>865</v>
      </c>
      <c r="BS17" s="381">
        <v>747</v>
      </c>
      <c r="BT17" s="381">
        <v>653</v>
      </c>
      <c r="BU17" s="382">
        <v>815</v>
      </c>
      <c r="BV17" s="381">
        <v>964</v>
      </c>
      <c r="BW17" s="381">
        <v>972</v>
      </c>
      <c r="BX17" s="381">
        <v>1039</v>
      </c>
      <c r="BY17" s="382">
        <v>1238</v>
      </c>
      <c r="BZ17" s="380">
        <v>1141</v>
      </c>
      <c r="CA17" s="381">
        <v>1070</v>
      </c>
      <c r="CB17" s="381">
        <v>1066</v>
      </c>
      <c r="CC17" s="382">
        <v>1240</v>
      </c>
      <c r="CD17" s="380">
        <v>1303</v>
      </c>
      <c r="CE17" s="381">
        <v>1131</v>
      </c>
      <c r="CF17" s="381">
        <v>999</v>
      </c>
      <c r="CG17" s="382">
        <v>1549</v>
      </c>
      <c r="CH17" s="380">
        <v>1262</v>
      </c>
      <c r="CI17" s="381">
        <v>963</v>
      </c>
      <c r="CJ17" s="381">
        <v>840</v>
      </c>
      <c r="CK17" s="382">
        <v>1330</v>
      </c>
      <c r="CL17" s="380">
        <v>1283</v>
      </c>
      <c r="CM17" s="381">
        <v>1463</v>
      </c>
      <c r="CN17" s="381">
        <v>1485</v>
      </c>
      <c r="CO17" s="382">
        <v>1595</v>
      </c>
      <c r="CP17" s="380">
        <v>1697</v>
      </c>
      <c r="CQ17" s="381">
        <v>1741</v>
      </c>
      <c r="CR17" s="381">
        <v>1543</v>
      </c>
      <c r="CS17" s="382">
        <v>2101.9612636692464</v>
      </c>
      <c r="CT17" s="380">
        <v>1269.2492845975908</v>
      </c>
      <c r="CU17" s="381">
        <v>1266.3760049007712</v>
      </c>
      <c r="CV17" s="381">
        <v>1617.3365970458219</v>
      </c>
      <c r="CW17" s="382">
        <v>2574.4353359299266</v>
      </c>
      <c r="CX17" s="386"/>
      <c r="CY17" s="386"/>
      <c r="CZ17" s="386"/>
      <c r="DA17" s="388"/>
      <c r="DB17" s="386"/>
      <c r="DC17" s="386"/>
      <c r="DD17" s="386"/>
      <c r="DE17" s="388"/>
      <c r="DF17" s="386"/>
      <c r="DG17" s="386"/>
      <c r="DH17" s="386"/>
      <c r="DI17" s="388"/>
      <c r="DJ17" s="374"/>
      <c r="DK17" s="389"/>
      <c r="DL17" s="386"/>
      <c r="DM17" s="386"/>
      <c r="DN17" s="386"/>
      <c r="DO17" s="386"/>
      <c r="DP17" s="386"/>
      <c r="DQ17" s="386"/>
      <c r="DR17" s="386"/>
      <c r="DS17" s="381">
        <v>1187</v>
      </c>
      <c r="DT17" s="381">
        <v>1972</v>
      </c>
      <c r="DU17" s="381">
        <v>2307</v>
      </c>
      <c r="DV17" s="381">
        <v>2985</v>
      </c>
      <c r="DW17" s="381">
        <v>3196</v>
      </c>
      <c r="DX17" s="381">
        <v>3052</v>
      </c>
      <c r="DY17" s="381">
        <v>2883</v>
      </c>
      <c r="DZ17" s="381">
        <v>3080</v>
      </c>
      <c r="EA17" s="381">
        <v>4213</v>
      </c>
      <c r="EB17" s="381">
        <v>4517</v>
      </c>
      <c r="EC17" s="381">
        <v>4982</v>
      </c>
      <c r="ED17" s="381">
        <v>4395</v>
      </c>
      <c r="EE17" s="381">
        <v>5826</v>
      </c>
      <c r="EF17" s="381">
        <v>7082.9612636692473</v>
      </c>
      <c r="EG17" s="381">
        <v>6727.3972224741101</v>
      </c>
      <c r="EH17" s="381">
        <v>7848.0928645279218</v>
      </c>
      <c r="EI17" s="381">
        <v>7504.515334177855</v>
      </c>
      <c r="EJ17" s="381">
        <v>7239.7885023005983</v>
      </c>
      <c r="EK17" s="381">
        <v>7758.0794580600195</v>
      </c>
      <c r="EL17" s="381">
        <v>7522.1829087712822</v>
      </c>
      <c r="EM17" s="381">
        <v>7672.4040224645532</v>
      </c>
      <c r="EN17" s="381">
        <v>7661.3669739859415</v>
      </c>
      <c r="EO17" s="381">
        <v>8288.9319572084532</v>
      </c>
      <c r="EP17" s="389"/>
      <c r="EQ17" s="384">
        <v>6.5339530518477851E-2</v>
      </c>
    </row>
    <row r="18" spans="1:147" s="390" customFormat="1" ht="15" customHeight="1" outlineLevel="2">
      <c r="A18" s="385"/>
      <c r="B18"/>
      <c r="C18"/>
      <c r="D18"/>
      <c r="E18"/>
      <c r="F18"/>
      <c r="G18"/>
      <c r="H18" s="386"/>
      <c r="I18" s="378" t="s">
        <v>1575</v>
      </c>
      <c r="J18" s="386"/>
      <c r="K18" s="386"/>
      <c r="L18" s="386"/>
      <c r="M18" s="388"/>
      <c r="N18" s="386"/>
      <c r="O18" s="386"/>
      <c r="P18" s="386"/>
      <c r="Q18" s="388"/>
      <c r="R18" s="386"/>
      <c r="S18" s="386"/>
      <c r="T18" s="386"/>
      <c r="U18" s="388"/>
      <c r="V18" s="386"/>
      <c r="W18" s="386"/>
      <c r="X18" s="386"/>
      <c r="Y18" s="388"/>
      <c r="Z18" s="386"/>
      <c r="AA18" s="386"/>
      <c r="AB18" s="386"/>
      <c r="AC18" s="388"/>
      <c r="AD18" s="386"/>
      <c r="AE18" s="386"/>
      <c r="AF18" s="386"/>
      <c r="AG18" s="388"/>
      <c r="AH18" s="386"/>
      <c r="AI18" s="386"/>
      <c r="AJ18" s="386"/>
      <c r="AK18" s="388"/>
      <c r="AL18" s="386"/>
      <c r="AM18" s="386"/>
      <c r="AN18" s="386"/>
      <c r="AO18" s="388"/>
      <c r="AP18" s="386"/>
      <c r="AQ18" s="386"/>
      <c r="AR18" s="386"/>
      <c r="AS18" s="388"/>
      <c r="AT18" s="325">
        <v>117</v>
      </c>
      <c r="AU18" s="325">
        <v>123</v>
      </c>
      <c r="AV18" s="325">
        <v>122</v>
      </c>
      <c r="AW18" s="372">
        <v>265</v>
      </c>
      <c r="AX18" s="325">
        <v>134</v>
      </c>
      <c r="AY18" s="325">
        <v>97</v>
      </c>
      <c r="AZ18" s="325">
        <v>115</v>
      </c>
      <c r="BA18" s="372">
        <v>270</v>
      </c>
      <c r="BB18" s="325">
        <v>139</v>
      </c>
      <c r="BC18" s="325">
        <v>113</v>
      </c>
      <c r="BD18" s="325">
        <v>129</v>
      </c>
      <c r="BE18" s="372">
        <v>249</v>
      </c>
      <c r="BF18" s="325">
        <v>114</v>
      </c>
      <c r="BG18" s="325">
        <v>145</v>
      </c>
      <c r="BH18" s="325">
        <v>125</v>
      </c>
      <c r="BI18" s="372">
        <v>222</v>
      </c>
      <c r="BJ18" s="325">
        <v>125</v>
      </c>
      <c r="BK18" s="325">
        <v>123</v>
      </c>
      <c r="BL18" s="325">
        <v>140</v>
      </c>
      <c r="BM18" s="372">
        <v>197</v>
      </c>
      <c r="BN18" s="325">
        <v>143</v>
      </c>
      <c r="BO18" s="325">
        <v>112</v>
      </c>
      <c r="BP18" s="325">
        <v>131</v>
      </c>
      <c r="BQ18" s="372">
        <v>184</v>
      </c>
      <c r="BR18" s="325">
        <v>145</v>
      </c>
      <c r="BS18" s="325">
        <v>149</v>
      </c>
      <c r="BT18" s="325">
        <v>159</v>
      </c>
      <c r="BU18" s="372">
        <v>193</v>
      </c>
      <c r="BV18" s="325">
        <v>175</v>
      </c>
      <c r="BW18" s="325">
        <v>249</v>
      </c>
      <c r="BX18" s="325">
        <v>249</v>
      </c>
      <c r="BY18" s="372">
        <v>285</v>
      </c>
      <c r="BZ18" s="373">
        <v>225</v>
      </c>
      <c r="CA18" s="325">
        <v>252</v>
      </c>
      <c r="CB18" s="325">
        <v>273</v>
      </c>
      <c r="CC18" s="372">
        <v>318</v>
      </c>
      <c r="CD18" s="373">
        <v>259</v>
      </c>
      <c r="CE18" s="325">
        <v>255</v>
      </c>
      <c r="CF18" s="325">
        <v>263</v>
      </c>
      <c r="CG18" s="372">
        <v>325</v>
      </c>
      <c r="CH18" s="373">
        <v>249</v>
      </c>
      <c r="CI18" s="325">
        <v>244</v>
      </c>
      <c r="CJ18" s="325">
        <v>210</v>
      </c>
      <c r="CK18" s="372">
        <v>296</v>
      </c>
      <c r="CL18" s="373">
        <v>238</v>
      </c>
      <c r="CM18" s="325">
        <v>291</v>
      </c>
      <c r="CN18" s="325">
        <v>274</v>
      </c>
      <c r="CO18" s="372">
        <v>350</v>
      </c>
      <c r="CP18" s="373">
        <v>353</v>
      </c>
      <c r="CQ18" s="325">
        <v>335</v>
      </c>
      <c r="CR18" s="325">
        <v>329</v>
      </c>
      <c r="CS18" s="372">
        <v>335.5438003101325</v>
      </c>
      <c r="CT18" s="373">
        <v>343.32311644705652</v>
      </c>
      <c r="CU18" s="325">
        <v>340.85323011746829</v>
      </c>
      <c r="CV18" s="325">
        <v>389.07539160858937</v>
      </c>
      <c r="CW18" s="372">
        <v>451.58082195074189</v>
      </c>
      <c r="CX18" s="386"/>
      <c r="CY18" s="386"/>
      <c r="CZ18" s="386"/>
      <c r="DA18" s="388"/>
      <c r="DB18" s="386"/>
      <c r="DC18" s="386"/>
      <c r="DD18" s="386"/>
      <c r="DE18" s="388"/>
      <c r="DF18" s="386"/>
      <c r="DG18" s="386"/>
      <c r="DH18" s="386"/>
      <c r="DI18" s="388"/>
      <c r="DJ18" s="374"/>
      <c r="DK18" s="389"/>
      <c r="DL18" s="386"/>
      <c r="DM18" s="386"/>
      <c r="DN18" s="386"/>
      <c r="DO18" s="386"/>
      <c r="DP18" s="386"/>
      <c r="DQ18" s="386"/>
      <c r="DR18" s="386"/>
      <c r="DS18" s="376">
        <v>592</v>
      </c>
      <c r="DT18" s="376">
        <v>627</v>
      </c>
      <c r="DU18" s="376">
        <v>616</v>
      </c>
      <c r="DV18" s="376">
        <v>630</v>
      </c>
      <c r="DW18" s="376">
        <v>606</v>
      </c>
      <c r="DX18" s="376">
        <v>585</v>
      </c>
      <c r="DY18" s="376">
        <v>570</v>
      </c>
      <c r="DZ18" s="376">
        <v>646</v>
      </c>
      <c r="EA18" s="325">
        <v>958</v>
      </c>
      <c r="EB18" s="325">
        <v>1068</v>
      </c>
      <c r="EC18" s="325">
        <v>1102</v>
      </c>
      <c r="ED18" s="325">
        <v>999</v>
      </c>
      <c r="EE18" s="325">
        <v>1153</v>
      </c>
      <c r="EF18" s="325">
        <v>1352.5438003101326</v>
      </c>
      <c r="EG18" s="325">
        <v>1524.832560123856</v>
      </c>
      <c r="EH18" s="325">
        <v>1566.5987364525449</v>
      </c>
      <c r="EI18" s="325">
        <v>1590.8873202083801</v>
      </c>
      <c r="EJ18" s="325">
        <v>1617.5586573613482</v>
      </c>
      <c r="EK18" s="325">
        <v>1653.6401585013464</v>
      </c>
      <c r="EL18" s="325">
        <v>1681.9108795239827</v>
      </c>
      <c r="EM18" s="325">
        <v>1714.4397893827718</v>
      </c>
      <c r="EN18" s="325">
        <v>1746.5885974431492</v>
      </c>
      <c r="EO18" s="325">
        <v>1786.2463339671378</v>
      </c>
      <c r="EP18" s="389"/>
      <c r="EQ18" s="320">
        <v>8.3808438963138832E-2</v>
      </c>
    </row>
    <row r="19" spans="1:147" s="390" customFormat="1" ht="15" customHeight="1" outlineLevel="2">
      <c r="A19" s="385"/>
      <c r="B19"/>
      <c r="C19"/>
      <c r="D19"/>
      <c r="E19"/>
      <c r="F19"/>
      <c r="G19"/>
      <c r="H19" s="386"/>
      <c r="I19" s="378" t="s">
        <v>1576</v>
      </c>
      <c r="J19" s="386"/>
      <c r="K19" s="386"/>
      <c r="L19" s="386"/>
      <c r="M19" s="388"/>
      <c r="N19" s="386"/>
      <c r="O19" s="386"/>
      <c r="P19" s="386"/>
      <c r="Q19" s="388"/>
      <c r="R19" s="386"/>
      <c r="S19" s="386"/>
      <c r="T19" s="386"/>
      <c r="U19" s="388"/>
      <c r="V19" s="386"/>
      <c r="W19" s="386"/>
      <c r="X19" s="386"/>
      <c r="Y19" s="388"/>
      <c r="Z19" s="386"/>
      <c r="AA19" s="386"/>
      <c r="AB19" s="386"/>
      <c r="AC19" s="388"/>
      <c r="AD19" s="386"/>
      <c r="AE19" s="386"/>
      <c r="AF19" s="386"/>
      <c r="AG19" s="388"/>
      <c r="AH19" s="386"/>
      <c r="AI19" s="386"/>
      <c r="AJ19" s="386"/>
      <c r="AK19" s="388"/>
      <c r="AL19" s="386"/>
      <c r="AM19" s="386"/>
      <c r="AN19" s="386"/>
      <c r="AO19" s="388"/>
      <c r="AP19" s="386"/>
      <c r="AQ19" s="386"/>
      <c r="AR19" s="386"/>
      <c r="AS19" s="388"/>
      <c r="AT19" s="325">
        <v>83</v>
      </c>
      <c r="AU19" s="325">
        <v>118</v>
      </c>
      <c r="AV19" s="325">
        <v>128</v>
      </c>
      <c r="AW19" s="372">
        <v>215</v>
      </c>
      <c r="AX19" s="325">
        <v>56</v>
      </c>
      <c r="AY19" s="325">
        <v>125</v>
      </c>
      <c r="AZ19" s="325">
        <v>110</v>
      </c>
      <c r="BA19" s="372">
        <v>225</v>
      </c>
      <c r="BB19" s="325">
        <v>60</v>
      </c>
      <c r="BC19" s="325">
        <v>90</v>
      </c>
      <c r="BD19" s="325">
        <v>115</v>
      </c>
      <c r="BE19" s="372">
        <v>281</v>
      </c>
      <c r="BF19" s="325">
        <v>79</v>
      </c>
      <c r="BG19" s="325">
        <v>136</v>
      </c>
      <c r="BH19" s="325">
        <v>131</v>
      </c>
      <c r="BI19" s="372">
        <v>232</v>
      </c>
      <c r="BJ19" s="325">
        <v>107</v>
      </c>
      <c r="BK19" s="325">
        <v>116</v>
      </c>
      <c r="BL19" s="325">
        <v>144</v>
      </c>
      <c r="BM19" s="372">
        <v>239</v>
      </c>
      <c r="BN19" s="325">
        <v>104</v>
      </c>
      <c r="BO19" s="325">
        <v>141</v>
      </c>
      <c r="BP19" s="325">
        <v>221</v>
      </c>
      <c r="BQ19" s="372">
        <v>247</v>
      </c>
      <c r="BR19" s="325">
        <v>92</v>
      </c>
      <c r="BS19" s="325">
        <v>164</v>
      </c>
      <c r="BT19" s="325">
        <v>189</v>
      </c>
      <c r="BU19" s="372">
        <v>289</v>
      </c>
      <c r="BV19" s="325">
        <v>168</v>
      </c>
      <c r="BW19" s="325">
        <v>322</v>
      </c>
      <c r="BX19" s="325">
        <v>340</v>
      </c>
      <c r="BY19" s="372">
        <v>380</v>
      </c>
      <c r="BZ19" s="373">
        <v>246</v>
      </c>
      <c r="CA19" s="325">
        <v>308</v>
      </c>
      <c r="CB19" s="325">
        <v>345</v>
      </c>
      <c r="CC19" s="372">
        <v>479</v>
      </c>
      <c r="CD19" s="373">
        <v>251</v>
      </c>
      <c r="CE19" s="325">
        <v>226</v>
      </c>
      <c r="CF19" s="325">
        <v>263</v>
      </c>
      <c r="CG19" s="372">
        <v>321</v>
      </c>
      <c r="CH19" s="373">
        <v>207</v>
      </c>
      <c r="CI19" s="325">
        <v>191</v>
      </c>
      <c r="CJ19" s="325">
        <v>182</v>
      </c>
      <c r="CK19" s="372">
        <v>346</v>
      </c>
      <c r="CL19" s="373">
        <v>243</v>
      </c>
      <c r="CM19" s="325">
        <v>242</v>
      </c>
      <c r="CN19" s="325">
        <v>238</v>
      </c>
      <c r="CO19" s="372">
        <v>341</v>
      </c>
      <c r="CP19" s="373">
        <v>237</v>
      </c>
      <c r="CQ19" s="325">
        <v>245</v>
      </c>
      <c r="CR19" s="325">
        <v>244</v>
      </c>
      <c r="CS19" s="372">
        <v>317.84224292359977</v>
      </c>
      <c r="CT19" s="373">
        <v>230.91566138970515</v>
      </c>
      <c r="CU19" s="325">
        <v>263.4335383529114</v>
      </c>
      <c r="CV19" s="325">
        <v>289.00884790214735</v>
      </c>
      <c r="CW19" s="372">
        <v>400.4957189894447</v>
      </c>
      <c r="CX19" s="386"/>
      <c r="CY19" s="386"/>
      <c r="CZ19" s="386"/>
      <c r="DA19" s="388"/>
      <c r="DB19" s="386"/>
      <c r="DC19" s="386"/>
      <c r="DD19" s="386"/>
      <c r="DE19" s="388"/>
      <c r="DF19" s="386"/>
      <c r="DG19" s="386"/>
      <c r="DH19" s="386"/>
      <c r="DI19" s="388"/>
      <c r="DJ19" s="374"/>
      <c r="DK19" s="389"/>
      <c r="DL19" s="386"/>
      <c r="DM19" s="386"/>
      <c r="DN19" s="386"/>
      <c r="DO19" s="386"/>
      <c r="DP19" s="386"/>
      <c r="DQ19" s="386"/>
      <c r="DR19" s="386"/>
      <c r="DS19" s="376">
        <v>464</v>
      </c>
      <c r="DT19" s="376">
        <v>544</v>
      </c>
      <c r="DU19" s="376">
        <v>516</v>
      </c>
      <c r="DV19" s="376">
        <v>546</v>
      </c>
      <c r="DW19" s="376">
        <v>578</v>
      </c>
      <c r="DX19" s="376">
        <v>606</v>
      </c>
      <c r="DY19" s="376">
        <v>713</v>
      </c>
      <c r="DZ19" s="376">
        <v>734</v>
      </c>
      <c r="EA19" s="325">
        <v>1210</v>
      </c>
      <c r="EB19" s="325">
        <v>1378</v>
      </c>
      <c r="EC19" s="325">
        <v>1061</v>
      </c>
      <c r="ED19" s="325">
        <v>926</v>
      </c>
      <c r="EE19" s="325">
        <v>1064</v>
      </c>
      <c r="EF19" s="325">
        <v>1043.8422429235998</v>
      </c>
      <c r="EG19" s="325">
        <v>1183.8537666342086</v>
      </c>
      <c r="EH19" s="325">
        <v>1409.5153388846329</v>
      </c>
      <c r="EI19" s="325">
        <v>1269.4502741106082</v>
      </c>
      <c r="EJ19" s="325">
        <v>1293.6236161292641</v>
      </c>
      <c r="EK19" s="325">
        <v>1320.3772510696176</v>
      </c>
      <c r="EL19" s="325">
        <v>1345.6504681488204</v>
      </c>
      <c r="EM19" s="325">
        <v>1372.3014414370436</v>
      </c>
      <c r="EN19" s="325">
        <v>1399.2419712342212</v>
      </c>
      <c r="EO19" s="325">
        <v>1428.3431584236509</v>
      </c>
      <c r="EP19" s="389"/>
      <c r="EQ19" s="320">
        <v>4.5125673807696609E-2</v>
      </c>
    </row>
    <row r="20" spans="1:147" s="390" customFormat="1" ht="15" customHeight="1" outlineLevel="2">
      <c r="A20" s="385"/>
      <c r="B20"/>
      <c r="C20"/>
      <c r="D20"/>
      <c r="E20"/>
      <c r="F20"/>
      <c r="G20"/>
      <c r="H20" s="386"/>
      <c r="I20" s="378" t="s">
        <v>1577</v>
      </c>
      <c r="J20" s="386"/>
      <c r="K20" s="386"/>
      <c r="L20" s="386"/>
      <c r="M20" s="388"/>
      <c r="N20" s="386"/>
      <c r="O20" s="386"/>
      <c r="P20" s="386"/>
      <c r="Q20" s="388"/>
      <c r="R20" s="386"/>
      <c r="S20" s="386"/>
      <c r="T20" s="386"/>
      <c r="U20" s="388"/>
      <c r="V20" s="386"/>
      <c r="W20" s="386"/>
      <c r="X20" s="386"/>
      <c r="Y20" s="388"/>
      <c r="Z20" s="386"/>
      <c r="AA20" s="386"/>
      <c r="AB20" s="386"/>
      <c r="AC20" s="388"/>
      <c r="AD20" s="386"/>
      <c r="AE20" s="386"/>
      <c r="AF20" s="386"/>
      <c r="AG20" s="388"/>
      <c r="AH20" s="386"/>
      <c r="AI20" s="386"/>
      <c r="AJ20" s="386"/>
      <c r="AK20" s="388"/>
      <c r="AL20" s="386"/>
      <c r="AM20" s="386"/>
      <c r="AN20" s="386"/>
      <c r="AO20" s="388"/>
      <c r="AP20" s="386"/>
      <c r="AQ20" s="386"/>
      <c r="AR20" s="386"/>
      <c r="AS20" s="388"/>
      <c r="AT20" s="325">
        <v>118</v>
      </c>
      <c r="AU20" s="325">
        <v>107</v>
      </c>
      <c r="AV20" s="325">
        <v>105</v>
      </c>
      <c r="AW20" s="372">
        <v>497</v>
      </c>
      <c r="AX20" s="325">
        <v>70</v>
      </c>
      <c r="AY20" s="325">
        <v>75</v>
      </c>
      <c r="AZ20" s="325">
        <v>113</v>
      </c>
      <c r="BA20" s="372">
        <v>448</v>
      </c>
      <c r="BB20" s="325">
        <v>121</v>
      </c>
      <c r="BC20" s="325">
        <v>130</v>
      </c>
      <c r="BD20" s="325">
        <v>107</v>
      </c>
      <c r="BE20" s="372">
        <v>123</v>
      </c>
      <c r="BF20" s="325">
        <v>102</v>
      </c>
      <c r="BG20" s="325">
        <v>190</v>
      </c>
      <c r="BH20" s="325">
        <v>121</v>
      </c>
      <c r="BI20" s="372">
        <v>148</v>
      </c>
      <c r="BJ20" s="325">
        <v>89</v>
      </c>
      <c r="BK20" s="325">
        <v>96</v>
      </c>
      <c r="BL20" s="325">
        <v>162</v>
      </c>
      <c r="BM20" s="372">
        <v>143</v>
      </c>
      <c r="BN20" s="325">
        <v>95</v>
      </c>
      <c r="BO20" s="325">
        <v>107</v>
      </c>
      <c r="BP20" s="325">
        <v>140</v>
      </c>
      <c r="BQ20" s="372">
        <v>75</v>
      </c>
      <c r="BR20" s="325">
        <v>86</v>
      </c>
      <c r="BS20" s="325">
        <v>102</v>
      </c>
      <c r="BT20" s="325">
        <v>109</v>
      </c>
      <c r="BU20" s="372">
        <v>83</v>
      </c>
      <c r="BV20" s="325">
        <v>160</v>
      </c>
      <c r="BW20" s="325">
        <v>169</v>
      </c>
      <c r="BX20" s="325">
        <v>156</v>
      </c>
      <c r="BY20" s="372">
        <v>148</v>
      </c>
      <c r="BZ20" s="373">
        <v>177</v>
      </c>
      <c r="CA20" s="325">
        <v>171</v>
      </c>
      <c r="CB20" s="325">
        <v>191</v>
      </c>
      <c r="CC20" s="372">
        <v>222</v>
      </c>
      <c r="CD20" s="373">
        <v>198</v>
      </c>
      <c r="CE20" s="325">
        <v>216</v>
      </c>
      <c r="CF20" s="325">
        <v>208</v>
      </c>
      <c r="CG20" s="372">
        <v>209</v>
      </c>
      <c r="CH20" s="373">
        <v>179</v>
      </c>
      <c r="CI20" s="325">
        <v>192</v>
      </c>
      <c r="CJ20" s="325">
        <v>201</v>
      </c>
      <c r="CK20" s="372">
        <v>234</v>
      </c>
      <c r="CL20" s="373">
        <v>190</v>
      </c>
      <c r="CM20" s="325">
        <v>181</v>
      </c>
      <c r="CN20" s="325">
        <v>195</v>
      </c>
      <c r="CO20" s="372">
        <v>310</v>
      </c>
      <c r="CP20" s="373">
        <v>312</v>
      </c>
      <c r="CQ20" s="325">
        <v>202</v>
      </c>
      <c r="CR20" s="325">
        <v>146</v>
      </c>
      <c r="CS20" s="372">
        <v>203.89947091906805</v>
      </c>
      <c r="CT20" s="373">
        <v>293.86942849559216</v>
      </c>
      <c r="CU20" s="325">
        <v>194.08815482379757</v>
      </c>
      <c r="CV20" s="325">
        <v>165.84133653818958</v>
      </c>
      <c r="CW20" s="372">
        <v>251.66972108092409</v>
      </c>
      <c r="CX20" s="386"/>
      <c r="CY20" s="386"/>
      <c r="CZ20" s="386"/>
      <c r="DA20" s="388"/>
      <c r="DB20" s="386"/>
      <c r="DC20" s="386"/>
      <c r="DD20" s="386"/>
      <c r="DE20" s="388"/>
      <c r="DF20" s="386"/>
      <c r="DG20" s="386"/>
      <c r="DH20" s="386"/>
      <c r="DI20" s="388"/>
      <c r="DJ20" s="374"/>
      <c r="DK20" s="389"/>
      <c r="DL20" s="386"/>
      <c r="DM20" s="386"/>
      <c r="DN20" s="386"/>
      <c r="DO20" s="386"/>
      <c r="DP20" s="386"/>
      <c r="DQ20" s="386"/>
      <c r="DR20" s="386"/>
      <c r="DS20" s="376">
        <v>364</v>
      </c>
      <c r="DT20" s="376">
        <v>827</v>
      </c>
      <c r="DU20" s="376">
        <v>706</v>
      </c>
      <c r="DV20" s="376">
        <v>481</v>
      </c>
      <c r="DW20" s="376">
        <v>561</v>
      </c>
      <c r="DX20" s="376">
        <v>490</v>
      </c>
      <c r="DY20" s="376">
        <v>417</v>
      </c>
      <c r="DZ20" s="376">
        <v>380</v>
      </c>
      <c r="EA20" s="391">
        <v>633</v>
      </c>
      <c r="EB20" s="391">
        <v>761</v>
      </c>
      <c r="EC20" s="391">
        <v>831</v>
      </c>
      <c r="ED20" s="391">
        <v>806</v>
      </c>
      <c r="EE20" s="391">
        <v>876</v>
      </c>
      <c r="EF20" s="391">
        <v>863.89947091906811</v>
      </c>
      <c r="EG20" s="391">
        <v>905.46864093850343</v>
      </c>
      <c r="EH20" s="391">
        <v>905.54958789475108</v>
      </c>
      <c r="EI20" s="391">
        <v>935.10423616374283</v>
      </c>
      <c r="EJ20" s="391">
        <v>962.61185634758112</v>
      </c>
      <c r="EK20" s="391">
        <v>977.48264688994436</v>
      </c>
      <c r="EL20" s="391">
        <v>1005.8151003245798</v>
      </c>
      <c r="EM20" s="391">
        <v>1029.3943867390162</v>
      </c>
      <c r="EN20" s="391">
        <v>1055.2846306857789</v>
      </c>
      <c r="EO20" s="391">
        <v>1071.5979883299817</v>
      </c>
      <c r="EP20" s="389"/>
      <c r="EQ20" s="320">
        <v>1.6456926298613617E-2</v>
      </c>
    </row>
    <row r="21" spans="1:147" s="390" customFormat="1" ht="15" customHeight="1" outlineLevel="2">
      <c r="A21" s="385"/>
      <c r="B21"/>
      <c r="C21"/>
      <c r="D21"/>
      <c r="E21"/>
      <c r="F21"/>
      <c r="G21"/>
      <c r="H21" s="386"/>
      <c r="I21" s="379" t="s">
        <v>1578</v>
      </c>
      <c r="J21" s="392"/>
      <c r="K21" s="392"/>
      <c r="L21" s="392"/>
      <c r="M21" s="393"/>
      <c r="N21" s="392"/>
      <c r="O21" s="392"/>
      <c r="P21" s="392"/>
      <c r="Q21" s="393"/>
      <c r="R21" s="392"/>
      <c r="S21" s="392"/>
      <c r="T21" s="392"/>
      <c r="U21" s="393"/>
      <c r="V21" s="392"/>
      <c r="W21" s="392"/>
      <c r="X21" s="392"/>
      <c r="Y21" s="393"/>
      <c r="Z21" s="392"/>
      <c r="AA21" s="392"/>
      <c r="AB21" s="392"/>
      <c r="AC21" s="393"/>
      <c r="AD21" s="392"/>
      <c r="AE21" s="392"/>
      <c r="AF21" s="392"/>
      <c r="AG21" s="393"/>
      <c r="AH21" s="392"/>
      <c r="AI21" s="392"/>
      <c r="AJ21" s="392"/>
      <c r="AK21" s="393"/>
      <c r="AL21" s="392"/>
      <c r="AM21" s="392"/>
      <c r="AN21" s="392"/>
      <c r="AO21" s="393"/>
      <c r="AP21" s="392"/>
      <c r="AQ21" s="392"/>
      <c r="AR21" s="392"/>
      <c r="AS21" s="393"/>
      <c r="AT21" s="394">
        <v>179</v>
      </c>
      <c r="AU21" s="394">
        <v>218</v>
      </c>
      <c r="AV21" s="394">
        <v>9</v>
      </c>
      <c r="AW21" s="395">
        <v>-432</v>
      </c>
      <c r="AX21" s="394">
        <v>511</v>
      </c>
      <c r="AY21" s="394">
        <v>300</v>
      </c>
      <c r="AZ21" s="394">
        <v>55</v>
      </c>
      <c r="BA21" s="395">
        <v>-397</v>
      </c>
      <c r="BB21" s="394">
        <v>674</v>
      </c>
      <c r="BC21" s="394">
        <v>467</v>
      </c>
      <c r="BD21" s="394">
        <v>162</v>
      </c>
      <c r="BE21" s="395">
        <v>25</v>
      </c>
      <c r="BF21" s="394">
        <v>513</v>
      </c>
      <c r="BG21" s="394">
        <v>227</v>
      </c>
      <c r="BH21" s="394">
        <v>227</v>
      </c>
      <c r="BI21" s="395">
        <v>484</v>
      </c>
      <c r="BJ21" s="394">
        <v>587</v>
      </c>
      <c r="BK21" s="394">
        <v>430</v>
      </c>
      <c r="BL21" s="394">
        <v>70</v>
      </c>
      <c r="BM21" s="395">
        <v>284</v>
      </c>
      <c r="BN21" s="394">
        <v>427</v>
      </c>
      <c r="BO21" s="394">
        <v>310</v>
      </c>
      <c r="BP21" s="394">
        <v>8</v>
      </c>
      <c r="BQ21" s="395">
        <v>438</v>
      </c>
      <c r="BR21" s="394">
        <v>542</v>
      </c>
      <c r="BS21" s="394">
        <v>332</v>
      </c>
      <c r="BT21" s="394">
        <v>196</v>
      </c>
      <c r="BU21" s="395">
        <v>250</v>
      </c>
      <c r="BV21" s="394">
        <v>461</v>
      </c>
      <c r="BW21" s="394">
        <v>232</v>
      </c>
      <c r="BX21" s="394">
        <v>294</v>
      </c>
      <c r="BY21" s="395">
        <v>425</v>
      </c>
      <c r="BZ21" s="396">
        <v>493</v>
      </c>
      <c r="CA21" s="394">
        <v>339</v>
      </c>
      <c r="CB21" s="394">
        <v>257</v>
      </c>
      <c r="CC21" s="395">
        <v>221</v>
      </c>
      <c r="CD21" s="396">
        <v>595</v>
      </c>
      <c r="CE21" s="394">
        <v>434</v>
      </c>
      <c r="CF21" s="394">
        <v>265</v>
      </c>
      <c r="CG21" s="395">
        <v>694</v>
      </c>
      <c r="CH21" s="396">
        <v>570</v>
      </c>
      <c r="CI21" s="394">
        <v>336</v>
      </c>
      <c r="CJ21" s="394">
        <v>247</v>
      </c>
      <c r="CK21" s="395">
        <v>454</v>
      </c>
      <c r="CL21" s="396">
        <v>612</v>
      </c>
      <c r="CM21" s="394">
        <v>749</v>
      </c>
      <c r="CN21" s="394">
        <v>778</v>
      </c>
      <c r="CO21" s="395">
        <v>594</v>
      </c>
      <c r="CP21" s="396">
        <v>795</v>
      </c>
      <c r="CQ21" s="394">
        <v>959</v>
      </c>
      <c r="CR21" s="394">
        <v>824</v>
      </c>
      <c r="CS21" s="395">
        <v>1244.6757495164459</v>
      </c>
      <c r="CT21" s="396">
        <v>401.14107826523696</v>
      </c>
      <c r="CU21" s="394">
        <v>468.00108160659397</v>
      </c>
      <c r="CV21" s="394">
        <v>773.41102099689556</v>
      </c>
      <c r="CW21" s="395">
        <v>1470.6890739088162</v>
      </c>
      <c r="CX21" s="392"/>
      <c r="CY21" s="392"/>
      <c r="CZ21" s="392"/>
      <c r="DA21" s="393"/>
      <c r="DB21" s="392"/>
      <c r="DC21" s="392"/>
      <c r="DD21" s="392"/>
      <c r="DE21" s="393"/>
      <c r="DF21" s="392"/>
      <c r="DG21" s="392"/>
      <c r="DH21" s="392"/>
      <c r="DI21" s="393"/>
      <c r="DJ21" s="374"/>
      <c r="DK21" s="397"/>
      <c r="DL21" s="392"/>
      <c r="DM21" s="392"/>
      <c r="DN21" s="392"/>
      <c r="DO21" s="392"/>
      <c r="DP21" s="392"/>
      <c r="DQ21" s="392"/>
      <c r="DR21" s="392"/>
      <c r="DS21" s="398">
        <v>-233</v>
      </c>
      <c r="DT21" s="398">
        <v>-26</v>
      </c>
      <c r="DU21" s="398">
        <v>469</v>
      </c>
      <c r="DV21" s="398">
        <v>1328</v>
      </c>
      <c r="DW21" s="398">
        <v>1451</v>
      </c>
      <c r="DX21" s="398">
        <v>1371</v>
      </c>
      <c r="DY21" s="398">
        <v>1183</v>
      </c>
      <c r="DZ21" s="398">
        <v>1320</v>
      </c>
      <c r="EA21" s="394">
        <v>1412</v>
      </c>
      <c r="EB21" s="394">
        <v>1310</v>
      </c>
      <c r="EC21" s="394">
        <v>1988</v>
      </c>
      <c r="ED21" s="394">
        <v>1664</v>
      </c>
      <c r="EE21" s="394">
        <v>2733</v>
      </c>
      <c r="EF21" s="394">
        <v>3822.6757495164466</v>
      </c>
      <c r="EG21" s="394">
        <v>3113.2422547775432</v>
      </c>
      <c r="EH21" s="394">
        <v>3966.4292012959932</v>
      </c>
      <c r="EI21" s="394">
        <v>3709.0735036951246</v>
      </c>
      <c r="EJ21" s="394">
        <v>3365.9943724624045</v>
      </c>
      <c r="EK21" s="394">
        <v>3806.5794015991105</v>
      </c>
      <c r="EL21" s="394">
        <v>3488.8064607738993</v>
      </c>
      <c r="EM21" s="394">
        <v>3556.2684049057207</v>
      </c>
      <c r="EN21" s="394">
        <v>3460.2517746227913</v>
      </c>
      <c r="EO21" s="394">
        <v>4002.7444764876827</v>
      </c>
      <c r="EP21" s="389"/>
      <c r="EQ21" s="384">
        <v>7.9335476533730409E-2</v>
      </c>
    </row>
    <row r="22" spans="1:147" s="390" customFormat="1" ht="15" customHeight="1" outlineLevel="2">
      <c r="A22" s="385"/>
      <c r="B22"/>
      <c r="C22"/>
      <c r="D22"/>
      <c r="E22"/>
      <c r="F22"/>
      <c r="G22"/>
      <c r="H22" s="386"/>
      <c r="I22" s="378" t="s">
        <v>1579</v>
      </c>
      <c r="J22" s="399"/>
      <c r="K22" s="399"/>
      <c r="L22" s="399"/>
      <c r="M22" s="400"/>
      <c r="N22" s="399"/>
      <c r="O22" s="399"/>
      <c r="P22" s="399"/>
      <c r="Q22" s="400"/>
      <c r="R22" s="399"/>
      <c r="S22" s="399"/>
      <c r="T22" s="399"/>
      <c r="U22" s="400"/>
      <c r="V22" s="399"/>
      <c r="W22" s="399"/>
      <c r="X22" s="399"/>
      <c r="Y22" s="400"/>
      <c r="Z22" s="399"/>
      <c r="AA22" s="399"/>
      <c r="AB22" s="399"/>
      <c r="AC22" s="400"/>
      <c r="AD22" s="399"/>
      <c r="AE22" s="399"/>
      <c r="AF22" s="399"/>
      <c r="AG22" s="400"/>
      <c r="AH22" s="399"/>
      <c r="AI22" s="399"/>
      <c r="AJ22" s="399"/>
      <c r="AK22" s="400"/>
      <c r="AL22" s="399"/>
      <c r="AM22" s="399"/>
      <c r="AN22" s="399"/>
      <c r="AO22" s="400"/>
      <c r="AP22" s="399"/>
      <c r="AQ22" s="399"/>
      <c r="AR22" s="399"/>
      <c r="AS22" s="400"/>
      <c r="AT22" s="401">
        <v>-10</v>
      </c>
      <c r="AU22" s="401">
        <v>0</v>
      </c>
      <c r="AV22" s="401">
        <v>-11</v>
      </c>
      <c r="AW22" s="402">
        <v>3</v>
      </c>
      <c r="AX22" s="401">
        <v>0</v>
      </c>
      <c r="AY22" s="401">
        <v>-1</v>
      </c>
      <c r="AZ22" s="401">
        <v>-14</v>
      </c>
      <c r="BA22" s="402">
        <v>-8</v>
      </c>
      <c r="BB22" s="401">
        <v>-2</v>
      </c>
      <c r="BC22" s="401">
        <v>-2</v>
      </c>
      <c r="BD22" s="401">
        <v>-3</v>
      </c>
      <c r="BE22" s="402">
        <v>5</v>
      </c>
      <c r="BF22" s="401">
        <v>-1</v>
      </c>
      <c r="BG22" s="401">
        <v>-2</v>
      </c>
      <c r="BH22" s="401">
        <v>-1</v>
      </c>
      <c r="BI22" s="402">
        <v>-3</v>
      </c>
      <c r="BJ22" s="401">
        <v>-2</v>
      </c>
      <c r="BK22" s="401">
        <v>0</v>
      </c>
      <c r="BL22" s="401">
        <v>4</v>
      </c>
      <c r="BM22" s="402">
        <v>51</v>
      </c>
      <c r="BN22" s="401">
        <v>51</v>
      </c>
      <c r="BO22" s="401">
        <v>50</v>
      </c>
      <c r="BP22" s="401">
        <v>51</v>
      </c>
      <c r="BQ22" s="402">
        <v>50</v>
      </c>
      <c r="BR22" s="401">
        <v>50</v>
      </c>
      <c r="BS22" s="401">
        <v>50</v>
      </c>
      <c r="BT22" s="401">
        <v>51</v>
      </c>
      <c r="BU22" s="402">
        <v>49</v>
      </c>
      <c r="BV22" s="401">
        <v>52</v>
      </c>
      <c r="BW22" s="403">
        <v>65</v>
      </c>
      <c r="BX22" s="403">
        <v>63</v>
      </c>
      <c r="BY22" s="404">
        <v>125</v>
      </c>
      <c r="BZ22" s="405">
        <v>40</v>
      </c>
      <c r="CA22" s="406">
        <v>46</v>
      </c>
      <c r="CB22" s="406">
        <v>37</v>
      </c>
      <c r="CC22" s="404">
        <v>36</v>
      </c>
      <c r="CD22" s="405">
        <v>28</v>
      </c>
      <c r="CE22" s="406">
        <v>26</v>
      </c>
      <c r="CF22" s="406">
        <v>53</v>
      </c>
      <c r="CG22" s="404">
        <v>4</v>
      </c>
      <c r="CH22" s="405">
        <v>60</v>
      </c>
      <c r="CI22" s="406">
        <v>-34</v>
      </c>
      <c r="CJ22" s="406">
        <v>-2</v>
      </c>
      <c r="CK22" s="404">
        <v>7</v>
      </c>
      <c r="CL22" s="405">
        <v>8</v>
      </c>
      <c r="CM22" s="406">
        <v>22</v>
      </c>
      <c r="CN22" s="406">
        <v>56</v>
      </c>
      <c r="CO22" s="404">
        <v>31</v>
      </c>
      <c r="CP22" s="405">
        <v>30</v>
      </c>
      <c r="CQ22" s="406">
        <v>-43</v>
      </c>
      <c r="CR22" s="406">
        <v>65</v>
      </c>
      <c r="CS22" s="407">
        <v>28.856000000000002</v>
      </c>
      <c r="CT22" s="408">
        <v>19.8385</v>
      </c>
      <c r="CU22" s="391">
        <v>19.8385</v>
      </c>
      <c r="CV22" s="391">
        <v>19.8385</v>
      </c>
      <c r="CW22" s="407">
        <v>19.8385</v>
      </c>
      <c r="CX22" s="409"/>
      <c r="CY22" s="409"/>
      <c r="CZ22" s="409"/>
      <c r="DA22" s="410"/>
      <c r="DB22" s="409"/>
      <c r="DC22" s="409"/>
      <c r="DD22" s="409"/>
      <c r="DE22" s="410"/>
      <c r="DF22" s="409"/>
      <c r="DG22" s="409"/>
      <c r="DH22" s="409"/>
      <c r="DI22" s="410"/>
      <c r="DJ22" s="374"/>
      <c r="DK22" s="411"/>
      <c r="DL22" s="399"/>
      <c r="DM22" s="399"/>
      <c r="DN22" s="399"/>
      <c r="DO22" s="399"/>
      <c r="DP22" s="399"/>
      <c r="DQ22" s="399"/>
      <c r="DR22" s="399"/>
      <c r="DS22" s="401">
        <v>-46</v>
      </c>
      <c r="DT22" s="401">
        <v>-18</v>
      </c>
      <c r="DU22" s="401">
        <v>-23</v>
      </c>
      <c r="DV22" s="376">
        <v>-2</v>
      </c>
      <c r="DW22" s="376">
        <v>-7</v>
      </c>
      <c r="DX22" s="376">
        <v>53</v>
      </c>
      <c r="DY22" s="376">
        <v>202</v>
      </c>
      <c r="DZ22" s="376">
        <v>200</v>
      </c>
      <c r="EA22" s="325">
        <v>305</v>
      </c>
      <c r="EB22" s="412">
        <v>159</v>
      </c>
      <c r="EC22" s="412">
        <v>111</v>
      </c>
      <c r="ED22" s="412">
        <v>88</v>
      </c>
      <c r="EE22" s="412">
        <v>117</v>
      </c>
      <c r="EF22" s="412">
        <v>80.855999999999995</v>
      </c>
      <c r="EG22" s="412">
        <v>79.353999999999999</v>
      </c>
      <c r="EH22" s="412">
        <v>79.353999999999999</v>
      </c>
      <c r="EI22" s="412">
        <v>79.353999999999999</v>
      </c>
      <c r="EJ22" s="412">
        <v>79.353999999999999</v>
      </c>
      <c r="EK22" s="412">
        <v>39.677</v>
      </c>
      <c r="EL22" s="412">
        <v>0</v>
      </c>
      <c r="EM22" s="412">
        <v>0</v>
      </c>
      <c r="EN22" s="412">
        <v>0</v>
      </c>
      <c r="EO22" s="412">
        <v>0</v>
      </c>
      <c r="EP22" s="389"/>
      <c r="EQ22" s="320">
        <v>-9.2501866758593398E-2</v>
      </c>
    </row>
    <row r="23" spans="1:147" s="390" customFormat="1" ht="15" customHeight="1" outlineLevel="2">
      <c r="A23" s="385"/>
      <c r="B23"/>
      <c r="C23"/>
      <c r="D23"/>
      <c r="E23"/>
      <c r="F23"/>
      <c r="G23"/>
      <c r="I23" s="379" t="s">
        <v>1580</v>
      </c>
      <c r="J23" s="392"/>
      <c r="K23" s="392"/>
      <c r="L23" s="392"/>
      <c r="M23" s="393"/>
      <c r="N23" s="392"/>
      <c r="O23" s="392"/>
      <c r="P23" s="392"/>
      <c r="Q23" s="393"/>
      <c r="R23" s="392"/>
      <c r="S23" s="392"/>
      <c r="T23" s="392"/>
      <c r="U23" s="393"/>
      <c r="V23" s="392"/>
      <c r="W23" s="392"/>
      <c r="X23" s="392"/>
      <c r="Y23" s="393"/>
      <c r="Z23" s="392"/>
      <c r="AA23" s="392"/>
      <c r="AB23" s="392"/>
      <c r="AC23" s="393"/>
      <c r="AD23" s="392"/>
      <c r="AE23" s="392"/>
      <c r="AF23" s="392"/>
      <c r="AG23" s="393"/>
      <c r="AH23" s="392"/>
      <c r="AI23" s="392"/>
      <c r="AJ23" s="392"/>
      <c r="AK23" s="393"/>
      <c r="AL23" s="392"/>
      <c r="AM23" s="392"/>
      <c r="AN23" s="392"/>
      <c r="AO23" s="393"/>
      <c r="AP23" s="392"/>
      <c r="AQ23" s="392"/>
      <c r="AR23" s="392"/>
      <c r="AS23" s="393"/>
      <c r="AT23" s="394">
        <v>189</v>
      </c>
      <c r="AU23" s="394">
        <v>218</v>
      </c>
      <c r="AV23" s="394">
        <v>20</v>
      </c>
      <c r="AW23" s="395">
        <v>-435</v>
      </c>
      <c r="AX23" s="394">
        <v>511</v>
      </c>
      <c r="AY23" s="394">
        <v>301</v>
      </c>
      <c r="AZ23" s="394">
        <v>69</v>
      </c>
      <c r="BA23" s="395">
        <v>-389</v>
      </c>
      <c r="BB23" s="394">
        <v>676</v>
      </c>
      <c r="BC23" s="394">
        <v>469</v>
      </c>
      <c r="BD23" s="394">
        <v>165</v>
      </c>
      <c r="BE23" s="395">
        <v>20</v>
      </c>
      <c r="BF23" s="394">
        <v>514</v>
      </c>
      <c r="BG23" s="394">
        <v>229</v>
      </c>
      <c r="BH23" s="394">
        <v>228</v>
      </c>
      <c r="BI23" s="395">
        <v>487</v>
      </c>
      <c r="BJ23" s="394">
        <v>589</v>
      </c>
      <c r="BK23" s="394">
        <v>430</v>
      </c>
      <c r="BL23" s="394">
        <v>66</v>
      </c>
      <c r="BM23" s="395">
        <v>233</v>
      </c>
      <c r="BN23" s="394">
        <v>376</v>
      </c>
      <c r="BO23" s="394">
        <v>260</v>
      </c>
      <c r="BP23" s="394">
        <v>-43</v>
      </c>
      <c r="BQ23" s="395">
        <v>388</v>
      </c>
      <c r="BR23" s="394">
        <v>492</v>
      </c>
      <c r="BS23" s="394">
        <v>282</v>
      </c>
      <c r="BT23" s="394">
        <v>145</v>
      </c>
      <c r="BU23" s="395">
        <v>201</v>
      </c>
      <c r="BV23" s="394">
        <v>409</v>
      </c>
      <c r="BW23" s="394">
        <v>167</v>
      </c>
      <c r="BX23" s="394">
        <v>231</v>
      </c>
      <c r="BY23" s="395">
        <v>300</v>
      </c>
      <c r="BZ23" s="396">
        <v>453</v>
      </c>
      <c r="CA23" s="394">
        <v>293</v>
      </c>
      <c r="CB23" s="394">
        <v>220</v>
      </c>
      <c r="CC23" s="395">
        <v>185</v>
      </c>
      <c r="CD23" s="396">
        <v>567</v>
      </c>
      <c r="CE23" s="394">
        <v>408</v>
      </c>
      <c r="CF23" s="394">
        <v>212</v>
      </c>
      <c r="CG23" s="395">
        <v>690</v>
      </c>
      <c r="CH23" s="396">
        <v>510</v>
      </c>
      <c r="CI23" s="394">
        <v>370</v>
      </c>
      <c r="CJ23" s="394">
        <v>249</v>
      </c>
      <c r="CK23" s="395">
        <v>447</v>
      </c>
      <c r="CL23" s="396">
        <v>604</v>
      </c>
      <c r="CM23" s="394">
        <v>727</v>
      </c>
      <c r="CN23" s="394">
        <v>722</v>
      </c>
      <c r="CO23" s="395">
        <v>563</v>
      </c>
      <c r="CP23" s="396">
        <v>765</v>
      </c>
      <c r="CQ23" s="394">
        <v>1002</v>
      </c>
      <c r="CR23" s="394">
        <v>759</v>
      </c>
      <c r="CS23" s="395">
        <v>1215.8197495164459</v>
      </c>
      <c r="CT23" s="396">
        <v>381.30257826523695</v>
      </c>
      <c r="CU23" s="394">
        <v>448.16258160659396</v>
      </c>
      <c r="CV23" s="394">
        <v>753.57252099689561</v>
      </c>
      <c r="CW23" s="395">
        <v>1450.8505739088162</v>
      </c>
      <c r="CX23" s="392"/>
      <c r="CY23" s="392"/>
      <c r="CZ23" s="392"/>
      <c r="DA23" s="393"/>
      <c r="DB23" s="392"/>
      <c r="DC23" s="392"/>
      <c r="DD23" s="392"/>
      <c r="DE23" s="393"/>
      <c r="DF23" s="392"/>
      <c r="DG23" s="392"/>
      <c r="DH23" s="392"/>
      <c r="DI23" s="393"/>
      <c r="DJ23" s="374"/>
      <c r="DK23" s="397"/>
      <c r="DL23" s="392"/>
      <c r="DM23" s="392"/>
      <c r="DN23" s="392"/>
      <c r="DO23" s="392"/>
      <c r="DP23" s="392"/>
      <c r="DQ23" s="392"/>
      <c r="DR23" s="392"/>
      <c r="DS23" s="398">
        <v>-187</v>
      </c>
      <c r="DT23" s="398">
        <v>-8</v>
      </c>
      <c r="DU23" s="398">
        <v>492</v>
      </c>
      <c r="DV23" s="398">
        <v>1330</v>
      </c>
      <c r="DW23" s="398">
        <v>1458</v>
      </c>
      <c r="DX23" s="398">
        <v>1318</v>
      </c>
      <c r="DY23" s="398">
        <v>981</v>
      </c>
      <c r="DZ23" s="398">
        <v>1120</v>
      </c>
      <c r="EA23" s="394">
        <v>1107</v>
      </c>
      <c r="EB23" s="394">
        <v>1151</v>
      </c>
      <c r="EC23" s="394">
        <v>1877</v>
      </c>
      <c r="ED23" s="394">
        <v>1576</v>
      </c>
      <c r="EE23" s="394">
        <v>2616</v>
      </c>
      <c r="EF23" s="394">
        <v>3741.8197495164468</v>
      </c>
      <c r="EG23" s="394">
        <v>3033.8882547775434</v>
      </c>
      <c r="EH23" s="394">
        <v>3887.0752012959933</v>
      </c>
      <c r="EI23" s="394">
        <v>3629.7195036951248</v>
      </c>
      <c r="EJ23" s="394">
        <v>3286.6403724624047</v>
      </c>
      <c r="EK23" s="394">
        <v>3766.9024015991104</v>
      </c>
      <c r="EL23" s="394">
        <v>3488.8064607738993</v>
      </c>
      <c r="EM23" s="394">
        <v>3556.2684049057207</v>
      </c>
      <c r="EN23" s="394">
        <v>3460.2517746227913</v>
      </c>
      <c r="EO23" s="394">
        <v>4002.7444764876827</v>
      </c>
      <c r="EP23" s="389"/>
      <c r="EQ23" s="384">
        <v>8.5322562022741355E-2</v>
      </c>
    </row>
    <row r="24" spans="1:147" s="390" customFormat="1" ht="15" customHeight="1" outlineLevel="2">
      <c r="A24" s="385"/>
      <c r="B24"/>
      <c r="C24"/>
      <c r="D24"/>
      <c r="E24"/>
      <c r="F24"/>
      <c r="G24"/>
      <c r="I24" s="378" t="s">
        <v>1581</v>
      </c>
      <c r="J24" s="399"/>
      <c r="K24" s="399"/>
      <c r="L24" s="399"/>
      <c r="M24" s="400"/>
      <c r="N24" s="399"/>
      <c r="O24" s="399"/>
      <c r="P24" s="399"/>
      <c r="Q24" s="400"/>
      <c r="R24" s="399"/>
      <c r="S24" s="399"/>
      <c r="T24" s="399"/>
      <c r="U24" s="400"/>
      <c r="V24" s="399"/>
      <c r="W24" s="399"/>
      <c r="X24" s="399"/>
      <c r="Y24" s="400"/>
      <c r="Z24" s="399"/>
      <c r="AA24" s="399"/>
      <c r="AB24" s="399"/>
      <c r="AC24" s="400"/>
      <c r="AD24" s="399"/>
      <c r="AE24" s="399"/>
      <c r="AF24" s="399"/>
      <c r="AG24" s="400"/>
      <c r="AH24" s="399"/>
      <c r="AI24" s="399"/>
      <c r="AJ24" s="399"/>
      <c r="AK24" s="400"/>
      <c r="AL24" s="399"/>
      <c r="AM24" s="399"/>
      <c r="AN24" s="399"/>
      <c r="AO24" s="400"/>
      <c r="AP24" s="399"/>
      <c r="AQ24" s="399"/>
      <c r="AR24" s="399"/>
      <c r="AS24" s="400"/>
      <c r="AT24" s="401">
        <v>0</v>
      </c>
      <c r="AU24" s="401">
        <v>23</v>
      </c>
      <c r="AV24" s="401">
        <v>5</v>
      </c>
      <c r="AW24" s="402">
        <v>-149</v>
      </c>
      <c r="AX24" s="401">
        <v>130</v>
      </c>
      <c r="AY24" s="401">
        <v>82</v>
      </c>
      <c r="AZ24" s="401">
        <v>18</v>
      </c>
      <c r="BA24" s="402">
        <v>-156</v>
      </c>
      <c r="BB24" s="401">
        <v>173</v>
      </c>
      <c r="BC24" s="401">
        <v>134</v>
      </c>
      <c r="BD24" s="401">
        <v>17</v>
      </c>
      <c r="BE24" s="402">
        <v>-79</v>
      </c>
      <c r="BF24" s="401">
        <v>130</v>
      </c>
      <c r="BG24" s="401">
        <v>44</v>
      </c>
      <c r="BH24" s="401">
        <v>2</v>
      </c>
      <c r="BI24" s="402">
        <v>133</v>
      </c>
      <c r="BJ24" s="401">
        <v>133</v>
      </c>
      <c r="BK24" s="401">
        <v>106</v>
      </c>
      <c r="BL24" s="401">
        <v>10</v>
      </c>
      <c r="BM24" s="402">
        <v>59</v>
      </c>
      <c r="BN24" s="401">
        <v>83</v>
      </c>
      <c r="BO24" s="401">
        <v>56</v>
      </c>
      <c r="BP24" s="401">
        <v>-20</v>
      </c>
      <c r="BQ24" s="402">
        <v>27</v>
      </c>
      <c r="BR24" s="401">
        <v>98</v>
      </c>
      <c r="BS24" s="401">
        <v>70</v>
      </c>
      <c r="BT24" s="401">
        <v>18</v>
      </c>
      <c r="BU24" s="402">
        <v>42</v>
      </c>
      <c r="BV24" s="401">
        <v>46</v>
      </c>
      <c r="BW24" s="403">
        <v>16</v>
      </c>
      <c r="BX24" s="403">
        <v>32</v>
      </c>
      <c r="BY24" s="404">
        <v>46</v>
      </c>
      <c r="BZ24" s="405">
        <v>27</v>
      </c>
      <c r="CA24" s="406">
        <v>50</v>
      </c>
      <c r="CB24" s="406">
        <v>32</v>
      </c>
      <c r="CC24" s="404">
        <v>769</v>
      </c>
      <c r="CD24" s="405">
        <v>67</v>
      </c>
      <c r="CE24" s="406">
        <v>6</v>
      </c>
      <c r="CF24" s="406">
        <v>-48</v>
      </c>
      <c r="CG24" s="404">
        <v>40</v>
      </c>
      <c r="CH24" s="405">
        <v>120</v>
      </c>
      <c r="CI24" s="406">
        <v>42</v>
      </c>
      <c r="CJ24" s="406">
        <v>45</v>
      </c>
      <c r="CK24" s="404">
        <v>-78</v>
      </c>
      <c r="CL24" s="405">
        <v>99</v>
      </c>
      <c r="CM24" s="406">
        <v>147</v>
      </c>
      <c r="CN24" s="406">
        <v>118</v>
      </c>
      <c r="CO24" s="404">
        <v>55</v>
      </c>
      <c r="CP24" s="405">
        <v>146</v>
      </c>
      <c r="CQ24" s="406">
        <v>126</v>
      </c>
      <c r="CR24" s="406">
        <v>120</v>
      </c>
      <c r="CS24" s="413">
        <v>255.32214739845364</v>
      </c>
      <c r="CT24" s="408">
        <v>76.260515653047392</v>
      </c>
      <c r="CU24" s="391">
        <v>89.632516321318803</v>
      </c>
      <c r="CV24" s="391">
        <v>150.71450419937912</v>
      </c>
      <c r="CW24" s="413">
        <v>290.17011478176323</v>
      </c>
      <c r="CX24" s="409"/>
      <c r="CY24" s="409"/>
      <c r="CZ24" s="409"/>
      <c r="DA24" s="410"/>
      <c r="DB24" s="409"/>
      <c r="DC24" s="409"/>
      <c r="DD24" s="409"/>
      <c r="DE24" s="410"/>
      <c r="DF24" s="409"/>
      <c r="DG24" s="409"/>
      <c r="DH24" s="409"/>
      <c r="DI24" s="410"/>
      <c r="DJ24" s="374"/>
      <c r="DK24" s="411"/>
      <c r="DL24" s="399"/>
      <c r="DM24" s="399"/>
      <c r="DN24" s="399"/>
      <c r="DO24" s="399"/>
      <c r="DP24" s="399"/>
      <c r="DQ24" s="399"/>
      <c r="DR24" s="399"/>
      <c r="DS24" s="401">
        <v>-80</v>
      </c>
      <c r="DT24" s="401">
        <v>-121</v>
      </c>
      <c r="DU24" s="401">
        <v>74</v>
      </c>
      <c r="DV24" s="376">
        <v>245</v>
      </c>
      <c r="DW24" s="376">
        <v>309</v>
      </c>
      <c r="DX24" s="376">
        <v>308</v>
      </c>
      <c r="DY24" s="376">
        <v>146</v>
      </c>
      <c r="DZ24" s="376">
        <v>228</v>
      </c>
      <c r="EA24" s="325">
        <v>140</v>
      </c>
      <c r="EB24" s="412">
        <v>878</v>
      </c>
      <c r="EC24" s="412">
        <v>65</v>
      </c>
      <c r="ED24" s="412">
        <v>129</v>
      </c>
      <c r="EE24" s="412">
        <v>419</v>
      </c>
      <c r="EF24" s="412">
        <v>647.32214739845358</v>
      </c>
      <c r="EG24" s="412">
        <v>606.77765095550853</v>
      </c>
      <c r="EH24" s="412">
        <v>777.41504025919869</v>
      </c>
      <c r="EI24" s="412">
        <v>725.94390073902503</v>
      </c>
      <c r="EJ24" s="412">
        <v>657.32807449248094</v>
      </c>
      <c r="EK24" s="412">
        <v>0</v>
      </c>
      <c r="EL24" s="412">
        <v>1.706451240454827E-2</v>
      </c>
      <c r="EM24" s="412">
        <v>0</v>
      </c>
      <c r="EN24" s="412">
        <v>0</v>
      </c>
      <c r="EO24" s="412">
        <v>0</v>
      </c>
      <c r="EP24" s="389"/>
      <c r="EQ24" s="320">
        <v>0.14728749361355997</v>
      </c>
    </row>
    <row r="25" spans="1:147" s="390" customFormat="1" ht="15" customHeight="1" outlineLevel="2">
      <c r="A25" s="385"/>
      <c r="B25"/>
      <c r="C25"/>
      <c r="D25"/>
      <c r="E25"/>
      <c r="F25"/>
      <c r="G25"/>
      <c r="I25" s="379" t="s">
        <v>1582</v>
      </c>
      <c r="J25" s="392"/>
      <c r="K25" s="392"/>
      <c r="L25" s="392"/>
      <c r="M25" s="393"/>
      <c r="N25" s="392"/>
      <c r="O25" s="392"/>
      <c r="P25" s="392"/>
      <c r="Q25" s="393"/>
      <c r="R25" s="392"/>
      <c r="S25" s="392"/>
      <c r="T25" s="392"/>
      <c r="U25" s="393"/>
      <c r="V25" s="392"/>
      <c r="W25" s="392"/>
      <c r="X25" s="392"/>
      <c r="Y25" s="393"/>
      <c r="Z25" s="392"/>
      <c r="AA25" s="392"/>
      <c r="AB25" s="392"/>
      <c r="AC25" s="393"/>
      <c r="AD25" s="392"/>
      <c r="AE25" s="392"/>
      <c r="AF25" s="392"/>
      <c r="AG25" s="393"/>
      <c r="AH25" s="392"/>
      <c r="AI25" s="392"/>
      <c r="AJ25" s="392"/>
      <c r="AK25" s="393"/>
      <c r="AL25" s="392"/>
      <c r="AM25" s="392"/>
      <c r="AN25" s="392"/>
      <c r="AO25" s="393"/>
      <c r="AP25" s="392"/>
      <c r="AQ25" s="392"/>
      <c r="AR25" s="392"/>
      <c r="AS25" s="393"/>
      <c r="AT25" s="394">
        <v>189</v>
      </c>
      <c r="AU25" s="394">
        <v>195</v>
      </c>
      <c r="AV25" s="394">
        <v>15</v>
      </c>
      <c r="AW25" s="395">
        <v>-286</v>
      </c>
      <c r="AX25" s="394">
        <v>381</v>
      </c>
      <c r="AY25" s="394">
        <v>219</v>
      </c>
      <c r="AZ25" s="394">
        <v>51</v>
      </c>
      <c r="BA25" s="395">
        <v>-233</v>
      </c>
      <c r="BB25" s="394">
        <v>503</v>
      </c>
      <c r="BC25" s="394">
        <v>335</v>
      </c>
      <c r="BD25" s="394">
        <v>148</v>
      </c>
      <c r="BE25" s="395">
        <v>99</v>
      </c>
      <c r="BF25" s="394">
        <v>384</v>
      </c>
      <c r="BG25" s="394">
        <v>185</v>
      </c>
      <c r="BH25" s="394">
        <v>226</v>
      </c>
      <c r="BI25" s="395">
        <v>354</v>
      </c>
      <c r="BJ25" s="394">
        <v>456</v>
      </c>
      <c r="BK25" s="394">
        <v>324</v>
      </c>
      <c r="BL25" s="394">
        <v>56</v>
      </c>
      <c r="BM25" s="395">
        <v>174</v>
      </c>
      <c r="BN25" s="394">
        <v>293</v>
      </c>
      <c r="BO25" s="394">
        <v>204</v>
      </c>
      <c r="BP25" s="394">
        <v>-23</v>
      </c>
      <c r="BQ25" s="395">
        <v>361</v>
      </c>
      <c r="BR25" s="394">
        <v>394</v>
      </c>
      <c r="BS25" s="394">
        <v>212</v>
      </c>
      <c r="BT25" s="394">
        <v>127</v>
      </c>
      <c r="BU25" s="395">
        <v>159</v>
      </c>
      <c r="BV25" s="394">
        <v>363</v>
      </c>
      <c r="BW25" s="394">
        <v>151</v>
      </c>
      <c r="BX25" s="394">
        <v>199</v>
      </c>
      <c r="BY25" s="395">
        <v>254</v>
      </c>
      <c r="BZ25" s="396">
        <v>426</v>
      </c>
      <c r="CA25" s="394">
        <v>243</v>
      </c>
      <c r="CB25" s="394">
        <v>188</v>
      </c>
      <c r="CC25" s="395">
        <v>-584</v>
      </c>
      <c r="CD25" s="396">
        <v>500</v>
      </c>
      <c r="CE25" s="394">
        <v>402</v>
      </c>
      <c r="CF25" s="394">
        <v>260</v>
      </c>
      <c r="CG25" s="395">
        <v>650</v>
      </c>
      <c r="CH25" s="396">
        <v>390</v>
      </c>
      <c r="CI25" s="394">
        <v>328</v>
      </c>
      <c r="CJ25" s="394">
        <v>204</v>
      </c>
      <c r="CK25" s="395">
        <v>525</v>
      </c>
      <c r="CL25" s="396">
        <v>505</v>
      </c>
      <c r="CM25" s="394">
        <v>580</v>
      </c>
      <c r="CN25" s="394">
        <v>604</v>
      </c>
      <c r="CO25" s="395">
        <v>508</v>
      </c>
      <c r="CP25" s="396">
        <v>619</v>
      </c>
      <c r="CQ25" s="394">
        <v>876</v>
      </c>
      <c r="CR25" s="394">
        <v>639</v>
      </c>
      <c r="CS25" s="395">
        <v>960.4976021179923</v>
      </c>
      <c r="CT25" s="396">
        <v>305.04206261218957</v>
      </c>
      <c r="CU25" s="394">
        <v>358.53006528527516</v>
      </c>
      <c r="CV25" s="394">
        <v>602.85801679751648</v>
      </c>
      <c r="CW25" s="395">
        <v>1160.6804591270529</v>
      </c>
      <c r="CX25" s="392"/>
      <c r="CY25" s="392"/>
      <c r="CZ25" s="392"/>
      <c r="DA25" s="393"/>
      <c r="DB25" s="392"/>
      <c r="DC25" s="392"/>
      <c r="DD25" s="392"/>
      <c r="DE25" s="393"/>
      <c r="DF25" s="392"/>
      <c r="DG25" s="392"/>
      <c r="DH25" s="392"/>
      <c r="DI25" s="393"/>
      <c r="DJ25" s="374"/>
      <c r="DK25" s="397"/>
      <c r="DL25" s="392"/>
      <c r="DM25" s="392"/>
      <c r="DN25" s="392"/>
      <c r="DO25" s="392"/>
      <c r="DP25" s="392"/>
      <c r="DQ25" s="392"/>
      <c r="DR25" s="392"/>
      <c r="DS25" s="398">
        <v>-107</v>
      </c>
      <c r="DT25" s="398">
        <v>113</v>
      </c>
      <c r="DU25" s="398">
        <v>418</v>
      </c>
      <c r="DV25" s="398">
        <v>1085</v>
      </c>
      <c r="DW25" s="398">
        <v>1149</v>
      </c>
      <c r="DX25" s="398">
        <v>1010</v>
      </c>
      <c r="DY25" s="398">
        <v>835</v>
      </c>
      <c r="DZ25" s="398">
        <v>892</v>
      </c>
      <c r="EA25" s="394">
        <v>967</v>
      </c>
      <c r="EB25" s="394">
        <v>273</v>
      </c>
      <c r="EC25" s="394">
        <v>1812</v>
      </c>
      <c r="ED25" s="394">
        <v>1447</v>
      </c>
      <c r="EE25" s="394">
        <v>2197</v>
      </c>
      <c r="EF25" s="394">
        <v>3094.4976021179932</v>
      </c>
      <c r="EG25" s="394">
        <v>2427.110603822035</v>
      </c>
      <c r="EH25" s="394">
        <v>3109.6601610367948</v>
      </c>
      <c r="EI25" s="394">
        <v>2903.7756029560996</v>
      </c>
      <c r="EJ25" s="394">
        <v>2629.3122979699237</v>
      </c>
      <c r="EK25" s="394">
        <v>3766.9024015991104</v>
      </c>
      <c r="EL25" s="394">
        <v>3488.7893962614949</v>
      </c>
      <c r="EM25" s="394">
        <v>3556.2684049057207</v>
      </c>
      <c r="EN25" s="394">
        <v>3460.2517746227913</v>
      </c>
      <c r="EO25" s="394">
        <v>4002.7444764876827</v>
      </c>
      <c r="EP25" s="389"/>
      <c r="EQ25" s="384">
        <v>7.2218382817486937E-2</v>
      </c>
    </row>
    <row r="26" spans="1:147" s="390" customFormat="1" ht="15" customHeight="1" outlineLevel="2">
      <c r="A26" s="385"/>
      <c r="B26"/>
      <c r="C26"/>
      <c r="D26"/>
      <c r="E26"/>
      <c r="F26"/>
      <c r="G26"/>
      <c r="I26" s="379"/>
      <c r="J26" s="369"/>
      <c r="K26" s="369"/>
      <c r="L26" s="369"/>
      <c r="M26" s="371"/>
      <c r="N26" s="369"/>
      <c r="O26" s="369"/>
      <c r="P26" s="369"/>
      <c r="Q26" s="371"/>
      <c r="R26" s="369"/>
      <c r="S26" s="369"/>
      <c r="T26" s="369"/>
      <c r="U26" s="371"/>
      <c r="V26" s="369"/>
      <c r="W26" s="369"/>
      <c r="X26" s="369"/>
      <c r="Y26" s="371"/>
      <c r="Z26" s="369"/>
      <c r="AA26" s="369"/>
      <c r="AB26" s="369"/>
      <c r="AC26" s="371"/>
      <c r="AD26" s="369"/>
      <c r="AE26" s="369"/>
      <c r="AF26" s="369"/>
      <c r="AG26" s="371"/>
      <c r="AH26" s="369"/>
      <c r="AI26" s="369"/>
      <c r="AJ26" s="369"/>
      <c r="AK26" s="371"/>
      <c r="AL26" s="369"/>
      <c r="AM26" s="369"/>
      <c r="AN26" s="369"/>
      <c r="AO26" s="371"/>
      <c r="AP26" s="369"/>
      <c r="AQ26" s="369"/>
      <c r="AR26" s="369"/>
      <c r="AS26" s="371"/>
      <c r="AT26" s="369"/>
      <c r="AU26" s="369"/>
      <c r="AV26" s="369"/>
      <c r="AW26" s="371"/>
      <c r="AX26" s="369"/>
      <c r="AY26" s="369"/>
      <c r="AZ26" s="369"/>
      <c r="BA26" s="371"/>
      <c r="BB26" s="369"/>
      <c r="BC26" s="369"/>
      <c r="BD26" s="369"/>
      <c r="BE26" s="371"/>
      <c r="BF26" s="369"/>
      <c r="BG26" s="369"/>
      <c r="BH26" s="369"/>
      <c r="BI26" s="371"/>
      <c r="BJ26" s="369"/>
      <c r="BK26" s="369"/>
      <c r="BL26" s="369"/>
      <c r="BM26" s="371"/>
      <c r="BN26" s="369"/>
      <c r="BO26" s="369"/>
      <c r="BP26" s="369"/>
      <c r="BQ26" s="371"/>
      <c r="BR26" s="369"/>
      <c r="BS26" s="369"/>
      <c r="BT26" s="369"/>
      <c r="BU26" s="371"/>
      <c r="BV26" s="369"/>
      <c r="BW26" s="369"/>
      <c r="BX26" s="369"/>
      <c r="BY26" s="371"/>
      <c r="BZ26" s="375"/>
      <c r="CA26" s="369"/>
      <c r="CB26" s="369"/>
      <c r="CC26" s="371"/>
      <c r="CD26" s="375"/>
      <c r="CE26" s="369"/>
      <c r="CF26" s="369"/>
      <c r="CG26" s="371"/>
      <c r="CH26" s="375"/>
      <c r="CI26" s="369"/>
      <c r="CJ26" s="369"/>
      <c r="CK26" s="371"/>
      <c r="CL26" s="375"/>
      <c r="CM26" s="369"/>
      <c r="CN26" s="369"/>
      <c r="CO26" s="371"/>
      <c r="CP26" s="375"/>
      <c r="CQ26" s="369"/>
      <c r="CR26" s="369"/>
      <c r="CS26" s="371"/>
      <c r="CT26" s="375"/>
      <c r="CU26" s="369"/>
      <c r="CV26" s="369"/>
      <c r="CW26" s="371"/>
      <c r="CX26" s="369"/>
      <c r="CY26" s="369"/>
      <c r="CZ26" s="369"/>
      <c r="DA26" s="371"/>
      <c r="DB26" s="369"/>
      <c r="DC26" s="369"/>
      <c r="DD26" s="369"/>
      <c r="DE26" s="371"/>
      <c r="DF26" s="369"/>
      <c r="DG26" s="369"/>
      <c r="DH26" s="369"/>
      <c r="DI26" s="371"/>
      <c r="DJ26" s="374"/>
      <c r="DK26" s="375"/>
      <c r="DL26" s="369"/>
      <c r="DM26" s="369"/>
      <c r="DN26" s="369"/>
      <c r="DO26" s="369"/>
      <c r="DP26" s="369"/>
      <c r="DQ26" s="369"/>
      <c r="DR26" s="369"/>
      <c r="DS26" s="414"/>
      <c r="DT26" s="414"/>
      <c r="DU26" s="414"/>
      <c r="DV26" s="369"/>
      <c r="DW26" s="414"/>
      <c r="DX26" s="414"/>
      <c r="DY26" s="414"/>
      <c r="DZ26" s="414"/>
      <c r="EA26" s="369"/>
      <c r="EB26" s="369"/>
      <c r="EC26" s="369"/>
      <c r="ED26" s="369"/>
      <c r="EE26" s="369"/>
      <c r="EF26" s="369"/>
      <c r="EG26" s="369"/>
      <c r="EH26" s="369"/>
      <c r="EI26" s="369"/>
      <c r="EJ26" s="369"/>
      <c r="EK26" s="369"/>
      <c r="EL26" s="369"/>
      <c r="EM26" s="369"/>
      <c r="EN26" s="369"/>
      <c r="EO26" s="369"/>
      <c r="EP26" s="389"/>
      <c r="EQ26" s="386"/>
    </row>
    <row r="27" spans="1:147" s="416" customFormat="1" ht="15" customHeight="1" outlineLevel="2">
      <c r="A27" s="415"/>
      <c r="B27"/>
      <c r="C27"/>
      <c r="D27"/>
      <c r="E27"/>
      <c r="F27"/>
      <c r="G27"/>
      <c r="I27" s="417" t="s">
        <v>1583</v>
      </c>
      <c r="J27" s="418"/>
      <c r="K27" s="418"/>
      <c r="L27" s="418"/>
      <c r="M27" s="419"/>
      <c r="N27" s="418"/>
      <c r="O27" s="418"/>
      <c r="P27" s="418"/>
      <c r="Q27" s="419"/>
      <c r="R27" s="418"/>
      <c r="S27" s="418"/>
      <c r="T27" s="418"/>
      <c r="U27" s="419"/>
      <c r="V27" s="418"/>
      <c r="W27" s="418"/>
      <c r="X27" s="418"/>
      <c r="Y27" s="419"/>
      <c r="Z27" s="418"/>
      <c r="AA27" s="418"/>
      <c r="AB27" s="418"/>
      <c r="AC27" s="419"/>
      <c r="AD27" s="418"/>
      <c r="AE27" s="418"/>
      <c r="AF27" s="418"/>
      <c r="AG27" s="419"/>
      <c r="AH27" s="418"/>
      <c r="AI27" s="418"/>
      <c r="AJ27" s="418"/>
      <c r="AK27" s="419"/>
      <c r="AL27" s="418"/>
      <c r="AM27" s="418"/>
      <c r="AN27" s="418"/>
      <c r="AO27" s="419"/>
      <c r="AP27" s="418"/>
      <c r="AQ27" s="418"/>
      <c r="AR27" s="418"/>
      <c r="AS27" s="419"/>
      <c r="AT27" s="418" t="s">
        <v>273</v>
      </c>
      <c r="AU27" s="418" t="s">
        <v>273</v>
      </c>
      <c r="AV27" s="418" t="s">
        <v>273</v>
      </c>
      <c r="AW27" s="419" t="s">
        <v>273</v>
      </c>
      <c r="AX27" s="418" t="s">
        <v>273</v>
      </c>
      <c r="AY27" s="418" t="s">
        <v>273</v>
      </c>
      <c r="AZ27" s="418" t="s">
        <v>273</v>
      </c>
      <c r="BA27" s="419" t="s">
        <v>273</v>
      </c>
      <c r="BB27" s="418">
        <v>0.42881500426257457</v>
      </c>
      <c r="BC27" s="418">
        <v>0.29360210341805432</v>
      </c>
      <c r="BD27" s="418">
        <v>0.12982456140350876</v>
      </c>
      <c r="BE27" s="419">
        <v>8.6918349429323971E-2</v>
      </c>
      <c r="BF27" s="418">
        <v>0.34285714285714286</v>
      </c>
      <c r="BG27" s="418">
        <v>0.16681695220919748</v>
      </c>
      <c r="BH27" s="418">
        <v>0.20378719567177639</v>
      </c>
      <c r="BI27" s="419">
        <v>0.31863186318631864</v>
      </c>
      <c r="BJ27" s="418">
        <v>0.40970350404312667</v>
      </c>
      <c r="BK27" s="418">
        <v>0.28980322003577819</v>
      </c>
      <c r="BL27" s="418">
        <v>4.9910873440285206E-2</v>
      </c>
      <c r="BM27" s="419">
        <v>0.23355704697986576</v>
      </c>
      <c r="BN27" s="418">
        <v>0.4132581100141044</v>
      </c>
      <c r="BO27" s="418">
        <v>0.28491620111731841</v>
      </c>
      <c r="BP27" s="418">
        <v>-3.2033426183844013E-2</v>
      </c>
      <c r="BQ27" s="419">
        <v>0.50111049416990561</v>
      </c>
      <c r="BR27" s="418">
        <v>0.54495159059474407</v>
      </c>
      <c r="BS27" s="418">
        <v>0.29160935350756534</v>
      </c>
      <c r="BT27" s="418">
        <v>0.17397260273972603</v>
      </c>
      <c r="BU27" s="419">
        <v>0.21691678035470668</v>
      </c>
      <c r="BV27" s="418">
        <v>0.49387755102040815</v>
      </c>
      <c r="BW27" s="418">
        <v>0.20433017591339647</v>
      </c>
      <c r="BX27" s="418">
        <v>0.26819407008086255</v>
      </c>
      <c r="BY27" s="419">
        <v>0.34139784946236557</v>
      </c>
      <c r="BZ27" s="420">
        <v>0.56875834445927909</v>
      </c>
      <c r="CA27" s="418">
        <v>0.32228116710875332</v>
      </c>
      <c r="CB27" s="418">
        <v>0.24900662251655628</v>
      </c>
      <c r="CC27" s="419">
        <v>-0.7714663143989432</v>
      </c>
      <c r="CD27" s="420">
        <v>0.65876152832674573</v>
      </c>
      <c r="CE27" s="418">
        <v>0.52825229960578191</v>
      </c>
      <c r="CF27" s="418">
        <v>0.34076015727391873</v>
      </c>
      <c r="CG27" s="419">
        <v>0.85190039318479682</v>
      </c>
      <c r="CH27" s="420">
        <v>0.51047120418848169</v>
      </c>
      <c r="CI27" s="418">
        <v>0.42819843342036551</v>
      </c>
      <c r="CJ27" s="418">
        <v>0.26597131681877445</v>
      </c>
      <c r="CK27" s="419">
        <v>0.68359375</v>
      </c>
      <c r="CL27" s="420">
        <v>0.65669700910273077</v>
      </c>
      <c r="CM27" s="418">
        <v>0.75226977950713358</v>
      </c>
      <c r="CN27" s="418">
        <v>0.78238341968911918</v>
      </c>
      <c r="CO27" s="419">
        <v>0.65717981888745147</v>
      </c>
      <c r="CP27" s="420">
        <v>0.79870967741935484</v>
      </c>
      <c r="CQ27" s="418">
        <v>1.1274131274131274</v>
      </c>
      <c r="CR27" s="418">
        <v>0.82133676092544983</v>
      </c>
      <c r="CS27" s="419">
        <v>1.233833959690914</v>
      </c>
      <c r="CT27" s="420">
        <v>0.39120703126580653</v>
      </c>
      <c r="CU27" s="418">
        <v>0.4591978576260759</v>
      </c>
      <c r="CV27" s="418">
        <v>0.77162348642966183</v>
      </c>
      <c r="CW27" s="419">
        <v>1.4843588836441619</v>
      </c>
      <c r="CX27" s="418"/>
      <c r="CY27" s="418"/>
      <c r="CZ27" s="418"/>
      <c r="DA27" s="419"/>
      <c r="DB27" s="418"/>
      <c r="DC27" s="418"/>
      <c r="DD27" s="418"/>
      <c r="DE27" s="419"/>
      <c r="DF27" s="418"/>
      <c r="DG27" s="418"/>
      <c r="DH27" s="418"/>
      <c r="DI27" s="419"/>
      <c r="DJ27" s="374"/>
      <c r="DK27" s="420"/>
      <c r="DL27" s="418"/>
      <c r="DM27" s="418"/>
      <c r="DN27" s="418"/>
      <c r="DO27" s="418"/>
      <c r="DP27" s="418"/>
      <c r="DQ27" s="418"/>
      <c r="DR27" s="418"/>
      <c r="DS27" s="421">
        <v>-0.113107822410148</v>
      </c>
      <c r="DT27" s="421">
        <v>8.8074824629773965E-2</v>
      </c>
      <c r="DU27" s="421">
        <v>0.34206219312602293</v>
      </c>
      <c r="DV27" s="418">
        <v>0.94491617679076856</v>
      </c>
      <c r="DW27" s="421">
        <v>1.0330411328388402</v>
      </c>
      <c r="DX27" s="421">
        <v>0.98584675451439729</v>
      </c>
      <c r="DY27" s="421">
        <v>1.1664454843891876</v>
      </c>
      <c r="DZ27" s="421">
        <v>1.2248541023000343</v>
      </c>
      <c r="EA27" s="422">
        <v>1.3067567567567568</v>
      </c>
      <c r="EB27" s="418">
        <v>0.36147482818295379</v>
      </c>
      <c r="EC27" s="418">
        <v>2.3816539101552592</v>
      </c>
      <c r="ED27" s="418">
        <v>1.8915032679738562</v>
      </c>
      <c r="EE27" s="418">
        <v>2.8644067796610169</v>
      </c>
      <c r="EF27" s="418">
        <v>4.0034079155638125</v>
      </c>
      <c r="EG27" s="418">
        <v>3.1092251239760786</v>
      </c>
      <c r="EH27" s="418">
        <v>3.961157898833878</v>
      </c>
      <c r="EI27" s="418">
        <v>3.6731850345089856</v>
      </c>
      <c r="EJ27" s="418">
        <v>3.3028774227703259</v>
      </c>
      <c r="EK27" s="418">
        <v>4.6989971441225045</v>
      </c>
      <c r="EL27" s="418">
        <v>4.321814240652988</v>
      </c>
      <c r="EM27" s="418">
        <v>4.3747818667834864</v>
      </c>
      <c r="EN27" s="418">
        <v>4.2270764401985277</v>
      </c>
      <c r="EO27" s="418">
        <v>4.8558000779205317</v>
      </c>
      <c r="EP27" s="420"/>
      <c r="EQ27" s="320">
        <v>6.4147988169627634E-2</v>
      </c>
    </row>
    <row r="28" spans="1:147" s="416" customFormat="1" ht="15" customHeight="1" outlineLevel="2">
      <c r="A28" s="415"/>
      <c r="B28"/>
      <c r="C28"/>
      <c r="D28"/>
      <c r="E28"/>
      <c r="F28"/>
      <c r="G28"/>
      <c r="H28" s="418"/>
      <c r="I28" s="423" t="s">
        <v>1584</v>
      </c>
      <c r="J28" s="418"/>
      <c r="K28" s="418"/>
      <c r="L28" s="418"/>
      <c r="M28" s="419"/>
      <c r="N28" s="418"/>
      <c r="O28" s="418"/>
      <c r="P28" s="418"/>
      <c r="Q28" s="419"/>
      <c r="R28" s="418"/>
      <c r="S28" s="418"/>
      <c r="T28" s="418"/>
      <c r="U28" s="419"/>
      <c r="V28" s="418"/>
      <c r="W28" s="418"/>
      <c r="X28" s="418"/>
      <c r="Y28" s="419"/>
      <c r="Z28" s="418"/>
      <c r="AA28" s="418"/>
      <c r="AB28" s="418"/>
      <c r="AC28" s="419"/>
      <c r="AD28" s="418"/>
      <c r="AE28" s="418"/>
      <c r="AF28" s="418"/>
      <c r="AG28" s="419"/>
      <c r="AH28" s="418"/>
      <c r="AI28" s="418"/>
      <c r="AJ28" s="418"/>
      <c r="AK28" s="419"/>
      <c r="AL28" s="418"/>
      <c r="AM28" s="418"/>
      <c r="AN28" s="418"/>
      <c r="AO28" s="419"/>
      <c r="AP28" s="418"/>
      <c r="AQ28" s="418"/>
      <c r="AR28" s="418"/>
      <c r="AS28" s="419"/>
      <c r="AT28" s="418" t="s">
        <v>273</v>
      </c>
      <c r="AU28" s="418" t="s">
        <v>273</v>
      </c>
      <c r="AV28" s="418" t="s">
        <v>273</v>
      </c>
      <c r="AW28" s="419" t="s">
        <v>273</v>
      </c>
      <c r="AX28" s="418" t="s">
        <v>273</v>
      </c>
      <c r="AY28" s="418" t="s">
        <v>273</v>
      </c>
      <c r="AZ28" s="418" t="s">
        <v>273</v>
      </c>
      <c r="BA28" s="419" t="s">
        <v>273</v>
      </c>
      <c r="BB28" s="418">
        <v>0.42554991539763115</v>
      </c>
      <c r="BC28" s="418">
        <v>0.29130434782608694</v>
      </c>
      <c r="BD28" s="418">
        <v>0.1289198606271777</v>
      </c>
      <c r="BE28" s="419">
        <v>8.6312118570183088E-2</v>
      </c>
      <c r="BF28" s="418">
        <v>0.34072759538598046</v>
      </c>
      <c r="BG28" s="418">
        <v>0.16591928251121077</v>
      </c>
      <c r="BH28" s="418">
        <v>0.20287253141831238</v>
      </c>
      <c r="BI28" s="419">
        <v>0.31748878923766816</v>
      </c>
      <c r="BJ28" s="418">
        <v>0.40714285714285714</v>
      </c>
      <c r="BK28" s="418">
        <v>0.28748890860692106</v>
      </c>
      <c r="BL28" s="418">
        <v>4.9382716049382713E-2</v>
      </c>
      <c r="BM28" s="419">
        <v>0.22985468956406868</v>
      </c>
      <c r="BN28" s="418">
        <v>0.40694444444444444</v>
      </c>
      <c r="BO28" s="418">
        <v>0.2813793103448276</v>
      </c>
      <c r="BP28" s="418">
        <v>-3.2033426183844013E-2</v>
      </c>
      <c r="BQ28" s="419">
        <v>0.49492733753770224</v>
      </c>
      <c r="BR28" s="418">
        <v>0.53898768809849518</v>
      </c>
      <c r="BS28" s="418">
        <v>0.28843537414965986</v>
      </c>
      <c r="BT28" s="418">
        <v>0.17185385656292287</v>
      </c>
      <c r="BU28" s="419">
        <v>0.21370967741935484</v>
      </c>
      <c r="BV28" s="418">
        <v>0.48659517426273458</v>
      </c>
      <c r="BW28" s="418">
        <v>0.20133333333333334</v>
      </c>
      <c r="BX28" s="418">
        <v>0.26322751322751325</v>
      </c>
      <c r="BY28" s="419">
        <v>0.33553500660501984</v>
      </c>
      <c r="BZ28" s="420">
        <v>0.55978975032851508</v>
      </c>
      <c r="CA28" s="418">
        <v>0.31806282722513091</v>
      </c>
      <c r="CB28" s="418">
        <v>0.24543080939947781</v>
      </c>
      <c r="CC28" s="419">
        <v>-0.7714663143989432</v>
      </c>
      <c r="CD28" s="420">
        <v>0.64935064935064934</v>
      </c>
      <c r="CE28" s="418">
        <v>0.52207792207792203</v>
      </c>
      <c r="CF28" s="418">
        <v>0.33722438391699094</v>
      </c>
      <c r="CG28" s="419">
        <v>0.8430609597924773</v>
      </c>
      <c r="CH28" s="420">
        <v>0.50649350649350644</v>
      </c>
      <c r="CI28" s="418">
        <v>0.42597402597402595</v>
      </c>
      <c r="CJ28" s="418">
        <v>0.26459143968871596</v>
      </c>
      <c r="CK28" s="419">
        <v>0.67917205692108662</v>
      </c>
      <c r="CL28" s="420">
        <v>0.65245478036175708</v>
      </c>
      <c r="CM28" s="418">
        <v>0.74742268041237114</v>
      </c>
      <c r="CN28" s="418">
        <v>0.77535301668806167</v>
      </c>
      <c r="CO28" s="419">
        <v>0.6512820512820513</v>
      </c>
      <c r="CP28" s="420">
        <v>0.79054916985951473</v>
      </c>
      <c r="CQ28" s="418">
        <v>1.1187739463601531</v>
      </c>
      <c r="CR28" s="418">
        <v>0.81609195402298851</v>
      </c>
      <c r="CS28" s="419">
        <v>1.2243969602871878</v>
      </c>
      <c r="CT28" s="420">
        <v>0.38772630214878334</v>
      </c>
      <c r="CU28" s="418">
        <v>0.45511752216837686</v>
      </c>
      <c r="CV28" s="418">
        <v>0.76477144310329448</v>
      </c>
      <c r="CW28" s="419">
        <v>1.4711886749668119</v>
      </c>
      <c r="CX28" s="418"/>
      <c r="CY28" s="418"/>
      <c r="CZ28" s="418"/>
      <c r="DA28" s="419"/>
      <c r="DB28" s="418"/>
      <c r="DC28" s="418"/>
      <c r="DD28" s="418"/>
      <c r="DE28" s="419"/>
      <c r="DF28" s="418"/>
      <c r="DG28" s="418"/>
      <c r="DH28" s="418"/>
      <c r="DI28" s="419"/>
      <c r="DJ28" s="374"/>
      <c r="DK28" s="420"/>
      <c r="DL28" s="418"/>
      <c r="DM28" s="418"/>
      <c r="DN28" s="418"/>
      <c r="DO28" s="418"/>
      <c r="DP28" s="418"/>
      <c r="DQ28" s="418"/>
      <c r="DR28" s="418"/>
      <c r="DS28" s="421">
        <v>-0.113107822410148</v>
      </c>
      <c r="DT28" s="421">
        <v>8.6193745232646835E-2</v>
      </c>
      <c r="DU28" s="421">
        <v>0.33818770226537215</v>
      </c>
      <c r="DV28" s="418">
        <v>0.93797276853252642</v>
      </c>
      <c r="DW28" s="421">
        <v>1.027957951241333</v>
      </c>
      <c r="DX28" s="421">
        <v>0.97631706138231034</v>
      </c>
      <c r="DY28" s="421">
        <v>1.1547503803070114</v>
      </c>
      <c r="DZ28" s="421">
        <v>1.2099016615801967</v>
      </c>
      <c r="EA28" s="422">
        <v>1.2854769026254569</v>
      </c>
      <c r="EB28" s="418">
        <v>0.35826771653543305</v>
      </c>
      <c r="EC28" s="418">
        <v>2.3517196625567811</v>
      </c>
      <c r="ED28" s="418">
        <v>1.8767833981841764</v>
      </c>
      <c r="EE28" s="418">
        <v>2.8266323576712771</v>
      </c>
      <c r="EF28" s="418">
        <v>3.9502554044753362</v>
      </c>
      <c r="EG28" s="418">
        <v>3.0803374846482985</v>
      </c>
      <c r="EH28" s="418">
        <v>3.9245604009934336</v>
      </c>
      <c r="EI28" s="418">
        <v>3.639481886465858</v>
      </c>
      <c r="EJ28" s="418">
        <v>3.2727807595516385</v>
      </c>
      <c r="EK28" s="418">
        <v>4.6564736333651551</v>
      </c>
      <c r="EL28" s="418">
        <v>4.2829734664475705</v>
      </c>
      <c r="EM28" s="418">
        <v>4.3357359299823814</v>
      </c>
      <c r="EN28" s="418">
        <v>4.1896087414208241</v>
      </c>
      <c r="EO28" s="418">
        <v>4.8130560932310802</v>
      </c>
      <c r="EP28" s="420"/>
      <c r="EQ28" s="320">
        <v>6.5227964359150903E-2</v>
      </c>
    </row>
    <row r="29" spans="1:147" s="416" customFormat="1" ht="15" customHeight="1" outlineLevel="2">
      <c r="A29" s="415"/>
      <c r="B29"/>
      <c r="C29"/>
      <c r="D29"/>
      <c r="E29"/>
      <c r="F29"/>
      <c r="G29"/>
      <c r="H29" s="418"/>
      <c r="I29" s="424" t="s">
        <v>1585</v>
      </c>
      <c r="J29" s="425"/>
      <c r="K29" s="425"/>
      <c r="L29" s="425"/>
      <c r="M29" s="426"/>
      <c r="N29" s="425"/>
      <c r="O29" s="425"/>
      <c r="P29" s="425"/>
      <c r="Q29" s="426"/>
      <c r="R29" s="425"/>
      <c r="S29" s="425"/>
      <c r="T29" s="425"/>
      <c r="U29" s="426"/>
      <c r="V29" s="425"/>
      <c r="W29" s="425"/>
      <c r="X29" s="425"/>
      <c r="Y29" s="426"/>
      <c r="Z29" s="425"/>
      <c r="AA29" s="425"/>
      <c r="AB29" s="425"/>
      <c r="AC29" s="426"/>
      <c r="AD29" s="425"/>
      <c r="AE29" s="425"/>
      <c r="AF29" s="425"/>
      <c r="AG29" s="426"/>
      <c r="AH29" s="425"/>
      <c r="AI29" s="425"/>
      <c r="AJ29" s="425"/>
      <c r="AK29" s="426"/>
      <c r="AL29" s="425"/>
      <c r="AM29" s="425"/>
      <c r="AN29" s="425"/>
      <c r="AO29" s="426"/>
      <c r="AP29" s="425"/>
      <c r="AQ29" s="425"/>
      <c r="AR29" s="425"/>
      <c r="AS29" s="426"/>
      <c r="AT29" s="425">
        <v>0.08</v>
      </c>
      <c r="AU29" s="425">
        <v>0.08</v>
      </c>
      <c r="AV29" s="425">
        <v>0.04</v>
      </c>
      <c r="AW29" s="426">
        <v>0.83</v>
      </c>
      <c r="AX29" s="425">
        <v>0.09</v>
      </c>
      <c r="AY29" s="425">
        <v>0.06</v>
      </c>
      <c r="AZ29" s="425">
        <v>0.12</v>
      </c>
      <c r="BA29" s="426">
        <v>0.55000000000000004</v>
      </c>
      <c r="BB29" s="425">
        <v>0.13</v>
      </c>
      <c r="BC29" s="425">
        <v>0.1</v>
      </c>
      <c r="BD29" s="425">
        <v>0.08</v>
      </c>
      <c r="BE29" s="426">
        <v>0.63</v>
      </c>
      <c r="BF29" s="425">
        <v>0.06</v>
      </c>
      <c r="BG29" s="425">
        <v>0.2</v>
      </c>
      <c r="BH29" s="425">
        <v>0.15</v>
      </c>
      <c r="BI29" s="426">
        <v>0.8</v>
      </c>
      <c r="BJ29" s="425">
        <v>0.18</v>
      </c>
      <c r="BK29" s="425">
        <v>0.08</v>
      </c>
      <c r="BL29" s="425">
        <v>0.08</v>
      </c>
      <c r="BM29" s="426">
        <v>0.8</v>
      </c>
      <c r="BN29" s="425">
        <v>0.19</v>
      </c>
      <c r="BO29" s="425">
        <v>0.06</v>
      </c>
      <c r="BP29" s="425">
        <v>0.23</v>
      </c>
      <c r="BQ29" s="426">
        <v>0.94</v>
      </c>
      <c r="BR29" s="425">
        <v>0.16</v>
      </c>
      <c r="BS29" s="425">
        <v>0.13</v>
      </c>
      <c r="BT29" s="425">
        <v>0.21</v>
      </c>
      <c r="BU29" s="426">
        <v>0.83</v>
      </c>
      <c r="BV29" s="425">
        <v>0.23</v>
      </c>
      <c r="BW29" s="425">
        <v>0.54</v>
      </c>
      <c r="BX29" s="425">
        <v>0.52</v>
      </c>
      <c r="BY29" s="426">
        <v>0.92</v>
      </c>
      <c r="BZ29" s="427">
        <v>0.31</v>
      </c>
      <c r="CA29" s="425">
        <v>0.43</v>
      </c>
      <c r="CB29" s="425">
        <v>0.6</v>
      </c>
      <c r="CC29" s="426">
        <v>0.95</v>
      </c>
      <c r="CD29" s="427">
        <v>0.38</v>
      </c>
      <c r="CE29" s="425">
        <v>0.41</v>
      </c>
      <c r="CF29" s="425">
        <v>0.52</v>
      </c>
      <c r="CG29" s="426">
        <v>1.29</v>
      </c>
      <c r="CH29" s="427">
        <v>0.31</v>
      </c>
      <c r="CI29" s="425">
        <v>0.38</v>
      </c>
      <c r="CJ29" s="425">
        <v>0.32</v>
      </c>
      <c r="CK29" s="426">
        <v>1.24</v>
      </c>
      <c r="CL29" s="427">
        <v>0.57999999999999996</v>
      </c>
      <c r="CM29" s="425">
        <v>0.97</v>
      </c>
      <c r="CN29" s="425">
        <v>0.71</v>
      </c>
      <c r="CO29" s="426">
        <v>1.21</v>
      </c>
      <c r="CP29" s="427">
        <v>0.84</v>
      </c>
      <c r="CQ29" s="425">
        <v>0.91</v>
      </c>
      <c r="CR29" s="425">
        <v>0.72</v>
      </c>
      <c r="CS29" s="426">
        <v>1.32</v>
      </c>
      <c r="CT29" s="427">
        <v>0.55000000000000004</v>
      </c>
      <c r="CU29" s="425">
        <v>0.5</v>
      </c>
      <c r="CV29" s="425">
        <v>0.83</v>
      </c>
      <c r="CW29" s="426">
        <v>1.56</v>
      </c>
      <c r="CX29" s="425"/>
      <c r="CY29" s="425"/>
      <c r="CZ29" s="425"/>
      <c r="DA29" s="426"/>
      <c r="DB29" s="425"/>
      <c r="DC29" s="425"/>
      <c r="DD29" s="425"/>
      <c r="DE29" s="426"/>
      <c r="DF29" s="425"/>
      <c r="DG29" s="425"/>
      <c r="DH29" s="425"/>
      <c r="DI29" s="426"/>
      <c r="DJ29" s="428"/>
      <c r="DK29" s="427"/>
      <c r="DL29" s="425"/>
      <c r="DM29" s="425"/>
      <c r="DN29" s="425"/>
      <c r="DO29" s="425"/>
      <c r="DP29" s="425"/>
      <c r="DQ29" s="425"/>
      <c r="DR29" s="425"/>
      <c r="DS29" s="429">
        <v>0</v>
      </c>
      <c r="DT29" s="429">
        <v>0.69</v>
      </c>
      <c r="DU29" s="429">
        <v>0.8</v>
      </c>
      <c r="DV29" s="429">
        <v>0.94</v>
      </c>
      <c r="DW29" s="429">
        <v>1.21</v>
      </c>
      <c r="DX29" s="429">
        <v>0.97</v>
      </c>
      <c r="DY29" s="429">
        <v>1.46</v>
      </c>
      <c r="DZ29" s="429">
        <v>1.34</v>
      </c>
      <c r="EA29" s="425">
        <v>2.2200000000000002</v>
      </c>
      <c r="EB29" s="425">
        <v>2.29</v>
      </c>
      <c r="EC29" s="425">
        <v>2.6</v>
      </c>
      <c r="ED29" s="425">
        <v>2.2599999999999998</v>
      </c>
      <c r="EE29" s="425">
        <v>3.48</v>
      </c>
      <c r="EF29" s="425">
        <v>3.8</v>
      </c>
      <c r="EG29" s="425">
        <v>3.45</v>
      </c>
      <c r="EH29" s="425">
        <v>4.4000000000000004</v>
      </c>
      <c r="EI29" s="425">
        <v>3.98</v>
      </c>
      <c r="EJ29" s="425">
        <v>3.65</v>
      </c>
      <c r="EK29" s="425">
        <v>5.22</v>
      </c>
      <c r="EL29" s="425">
        <v>4.79</v>
      </c>
      <c r="EM29" s="425">
        <v>4.9000000000000004</v>
      </c>
      <c r="EN29" s="425">
        <v>4.76</v>
      </c>
      <c r="EO29" s="425">
        <v>5.45</v>
      </c>
      <c r="EP29" s="430"/>
      <c r="EQ29" s="384">
        <v>3.4131952289882195E-2</v>
      </c>
    </row>
    <row r="30" spans="1:147" s="416" customFormat="1" ht="15" customHeight="1" outlineLevel="2">
      <c r="A30" s="415"/>
      <c r="B30"/>
      <c r="C30"/>
      <c r="D30"/>
      <c r="E30"/>
      <c r="F30"/>
      <c r="G30"/>
      <c r="H30" s="418"/>
      <c r="I30" s="424" t="s">
        <v>1586</v>
      </c>
      <c r="J30" s="425"/>
      <c r="K30" s="425"/>
      <c r="L30" s="425"/>
      <c r="M30" s="426"/>
      <c r="N30" s="425"/>
      <c r="O30" s="425"/>
      <c r="P30" s="425"/>
      <c r="Q30" s="426"/>
      <c r="R30" s="425"/>
      <c r="S30" s="425"/>
      <c r="T30" s="425"/>
      <c r="U30" s="426"/>
      <c r="V30" s="425"/>
      <c r="W30" s="425"/>
      <c r="X30" s="425"/>
      <c r="Y30" s="426"/>
      <c r="Z30" s="425"/>
      <c r="AA30" s="425"/>
      <c r="AB30" s="425"/>
      <c r="AC30" s="426"/>
      <c r="AD30" s="425"/>
      <c r="AE30" s="425"/>
      <c r="AF30" s="425"/>
      <c r="AG30" s="426"/>
      <c r="AH30" s="425"/>
      <c r="AI30" s="425"/>
      <c r="AJ30" s="425"/>
      <c r="AK30" s="426"/>
      <c r="AL30" s="425"/>
      <c r="AM30" s="425"/>
      <c r="AN30" s="425"/>
      <c r="AO30" s="426"/>
      <c r="AP30" s="425"/>
      <c r="AQ30" s="425"/>
      <c r="AR30" s="425"/>
      <c r="AS30" s="426"/>
      <c r="AT30" s="425">
        <v>0.18</v>
      </c>
      <c r="AU30" s="425">
        <v>0.19</v>
      </c>
      <c r="AV30" s="425">
        <v>0.04</v>
      </c>
      <c r="AW30" s="426">
        <v>0.25</v>
      </c>
      <c r="AX30" s="425">
        <v>0.34</v>
      </c>
      <c r="AY30" s="425">
        <v>0.19</v>
      </c>
      <c r="AZ30" s="425">
        <v>0.05</v>
      </c>
      <c r="BA30" s="426">
        <v>0.02</v>
      </c>
      <c r="BB30" s="425">
        <v>0.45</v>
      </c>
      <c r="BC30" s="425">
        <v>0.31</v>
      </c>
      <c r="BD30" s="425">
        <v>0.15</v>
      </c>
      <c r="BE30" s="426">
        <v>0.15</v>
      </c>
      <c r="BF30" s="425">
        <v>0.36</v>
      </c>
      <c r="BG30" s="425">
        <v>0.19</v>
      </c>
      <c r="BH30" s="425">
        <v>0.23</v>
      </c>
      <c r="BI30" s="426">
        <v>0.36</v>
      </c>
      <c r="BJ30" s="425">
        <v>0.43</v>
      </c>
      <c r="BK30" s="425">
        <v>0.3</v>
      </c>
      <c r="BL30" s="425">
        <v>0.1</v>
      </c>
      <c r="BM30" s="426">
        <v>0.28000000000000003</v>
      </c>
      <c r="BN30" s="425">
        <v>0.42</v>
      </c>
      <c r="BO30" s="425">
        <v>0.3</v>
      </c>
      <c r="BP30" s="425">
        <v>0.05</v>
      </c>
      <c r="BQ30" s="426">
        <v>0.47</v>
      </c>
      <c r="BR30" s="425">
        <v>0.55000000000000004</v>
      </c>
      <c r="BS30" s="425">
        <v>0.31</v>
      </c>
      <c r="BT30" s="425">
        <v>0.2</v>
      </c>
      <c r="BU30" s="426">
        <v>0.25</v>
      </c>
      <c r="BV30" s="425">
        <v>0.59</v>
      </c>
      <c r="BW30" s="425">
        <v>0.45</v>
      </c>
      <c r="BX30" s="425">
        <v>0.49</v>
      </c>
      <c r="BY30" s="426">
        <v>0.66</v>
      </c>
      <c r="BZ30" s="427">
        <v>0.72</v>
      </c>
      <c r="CA30" s="425">
        <v>0.55000000000000004</v>
      </c>
      <c r="CB30" s="425">
        <v>0.47</v>
      </c>
      <c r="CC30" s="426">
        <v>0.5</v>
      </c>
      <c r="CD30" s="427">
        <v>0.79</v>
      </c>
      <c r="CE30" s="425">
        <v>0.61</v>
      </c>
      <c r="CF30" s="425">
        <v>0.42</v>
      </c>
      <c r="CG30" s="426">
        <v>0.9</v>
      </c>
      <c r="CH30" s="427">
        <v>0.78</v>
      </c>
      <c r="CI30" s="425">
        <v>0.53</v>
      </c>
      <c r="CJ30" s="425">
        <v>0.38</v>
      </c>
      <c r="CK30" s="426">
        <v>0.62</v>
      </c>
      <c r="CL30" s="427">
        <v>0.76</v>
      </c>
      <c r="CM30" s="425">
        <v>0.81</v>
      </c>
      <c r="CN30" s="425">
        <v>0.88</v>
      </c>
      <c r="CO30" s="426">
        <v>0.76</v>
      </c>
      <c r="CP30" s="427">
        <v>0.98</v>
      </c>
      <c r="CQ30" s="425">
        <v>1.2</v>
      </c>
      <c r="CR30" s="425">
        <v>0.89</v>
      </c>
      <c r="CS30" s="426">
        <v>1.33</v>
      </c>
      <c r="CT30" s="427">
        <v>0.55000000000000004</v>
      </c>
      <c r="CU30" s="425">
        <v>0.5</v>
      </c>
      <c r="CV30" s="425">
        <v>0.83</v>
      </c>
      <c r="CW30" s="426">
        <v>1.56</v>
      </c>
      <c r="CX30" s="425"/>
      <c r="CY30" s="425"/>
      <c r="CZ30" s="425"/>
      <c r="DA30" s="426"/>
      <c r="DB30" s="425"/>
      <c r="DC30" s="425"/>
      <c r="DD30" s="425"/>
      <c r="DE30" s="426"/>
      <c r="DF30" s="425"/>
      <c r="DG30" s="425"/>
      <c r="DH30" s="425"/>
      <c r="DI30" s="426"/>
      <c r="DJ30" s="374"/>
      <c r="DK30" s="427"/>
      <c r="DL30" s="425"/>
      <c r="DM30" s="425"/>
      <c r="DN30" s="425"/>
      <c r="DO30" s="425"/>
      <c r="DP30" s="425"/>
      <c r="DQ30" s="425"/>
      <c r="DR30" s="425"/>
      <c r="DS30" s="429">
        <v>-0.11</v>
      </c>
      <c r="DT30" s="429">
        <v>0.48</v>
      </c>
      <c r="DU30" s="429">
        <v>0.61</v>
      </c>
      <c r="DV30" s="429">
        <v>1.07</v>
      </c>
      <c r="DW30" s="429">
        <v>1.1299999999999999</v>
      </c>
      <c r="DX30" s="429">
        <v>1.1100000000000001</v>
      </c>
      <c r="DY30" s="429">
        <v>1.24</v>
      </c>
      <c r="DZ30" s="429">
        <v>1.3</v>
      </c>
      <c r="EA30" s="425">
        <v>2.19</v>
      </c>
      <c r="EB30" s="425">
        <v>2.23</v>
      </c>
      <c r="EC30" s="425">
        <v>2.73</v>
      </c>
      <c r="ED30" s="425">
        <v>2.3199999999999998</v>
      </c>
      <c r="EE30" s="425">
        <v>3.21</v>
      </c>
      <c r="EF30" s="425">
        <v>4.4000000000000004</v>
      </c>
      <c r="EG30" s="425">
        <v>3.45</v>
      </c>
      <c r="EH30" s="425">
        <v>4.3</v>
      </c>
      <c r="EI30" s="425">
        <v>4.03</v>
      </c>
      <c r="EJ30" s="425">
        <v>3.68</v>
      </c>
      <c r="EK30" s="425">
        <v>5.18</v>
      </c>
      <c r="EL30" s="425">
        <v>4.82</v>
      </c>
      <c r="EM30" s="425">
        <v>4.8899999999999997</v>
      </c>
      <c r="EN30" s="425">
        <v>4.76</v>
      </c>
      <c r="EO30" s="425">
        <v>5.4</v>
      </c>
      <c r="EP30" s="430"/>
      <c r="EQ30" s="384">
        <v>5.852227966037149E-2</v>
      </c>
    </row>
    <row r="31" spans="1:147" s="416" customFormat="1" ht="15" customHeight="1" outlineLevel="2">
      <c r="A31" s="415"/>
      <c r="B31"/>
      <c r="C31"/>
      <c r="D31"/>
      <c r="E31"/>
      <c r="F31"/>
      <c r="G31"/>
      <c r="H31" s="418"/>
      <c r="I31" s="424"/>
      <c r="J31" s="425"/>
      <c r="K31" s="425"/>
      <c r="L31" s="425"/>
      <c r="M31" s="426"/>
      <c r="N31" s="425"/>
      <c r="O31" s="425"/>
      <c r="P31" s="425"/>
      <c r="Q31" s="426"/>
      <c r="R31" s="425"/>
      <c r="S31" s="425"/>
      <c r="T31" s="425"/>
      <c r="U31" s="426"/>
      <c r="V31" s="425"/>
      <c r="W31" s="425"/>
      <c r="X31" s="425"/>
      <c r="Y31" s="426"/>
      <c r="Z31" s="425"/>
      <c r="AA31" s="425"/>
      <c r="AB31" s="425"/>
      <c r="AC31" s="426"/>
      <c r="AD31" s="425"/>
      <c r="AE31" s="425"/>
      <c r="AF31" s="425"/>
      <c r="AG31" s="426"/>
      <c r="AH31" s="425"/>
      <c r="AI31" s="425"/>
      <c r="AJ31" s="425"/>
      <c r="AK31" s="426"/>
      <c r="AL31" s="425"/>
      <c r="AM31" s="425"/>
      <c r="AN31" s="425"/>
      <c r="AO31" s="426"/>
      <c r="AP31" s="425"/>
      <c r="AQ31" s="425"/>
      <c r="AR31" s="425"/>
      <c r="AS31" s="426"/>
      <c r="AT31" s="425"/>
      <c r="AU31" s="425"/>
      <c r="AV31" s="425"/>
      <c r="AW31" s="426"/>
      <c r="AX31" s="425"/>
      <c r="AY31" s="425"/>
      <c r="AZ31" s="425"/>
      <c r="BA31" s="426"/>
      <c r="BB31" s="425"/>
      <c r="BC31" s="425"/>
      <c r="BD31" s="425"/>
      <c r="BE31" s="426"/>
      <c r="BF31" s="425"/>
      <c r="BG31" s="425"/>
      <c r="BH31" s="425"/>
      <c r="BI31" s="426"/>
      <c r="BJ31" s="425"/>
      <c r="BK31" s="425"/>
      <c r="BL31" s="425"/>
      <c r="BM31" s="426"/>
      <c r="BN31" s="425"/>
      <c r="BO31" s="425"/>
      <c r="BP31" s="425"/>
      <c r="BQ31" s="426"/>
      <c r="BR31" s="425"/>
      <c r="BS31" s="425"/>
      <c r="BT31" s="425"/>
      <c r="BU31" s="426"/>
      <c r="BV31" s="425"/>
      <c r="BW31" s="425"/>
      <c r="BX31" s="425"/>
      <c r="BY31" s="426"/>
      <c r="BZ31" s="427"/>
      <c r="CA31" s="425"/>
      <c r="CB31" s="425"/>
      <c r="CC31" s="426"/>
      <c r="CD31" s="427"/>
      <c r="CE31" s="425"/>
      <c r="CF31" s="425"/>
      <c r="CG31" s="426"/>
      <c r="CH31" s="427"/>
      <c r="CI31" s="425"/>
      <c r="CJ31" s="425"/>
      <c r="CK31" s="426"/>
      <c r="CL31" s="427"/>
      <c r="CM31" s="425"/>
      <c r="CN31" s="425"/>
      <c r="CO31" s="426"/>
      <c r="CP31" s="427"/>
      <c r="CQ31" s="425"/>
      <c r="CR31" s="425"/>
      <c r="CS31" s="426"/>
      <c r="CT31" s="427"/>
      <c r="CU31" s="425"/>
      <c r="CV31" s="425"/>
      <c r="CW31" s="426"/>
      <c r="CX31" s="425"/>
      <c r="CY31" s="425"/>
      <c r="CZ31" s="425"/>
      <c r="DA31" s="426"/>
      <c r="DB31" s="425"/>
      <c r="DC31" s="425"/>
      <c r="DD31" s="425"/>
      <c r="DE31" s="426"/>
      <c r="DF31" s="425"/>
      <c r="DG31" s="425"/>
      <c r="DH31" s="425"/>
      <c r="DI31" s="426"/>
      <c r="DJ31" s="374"/>
      <c r="DK31" s="427"/>
      <c r="DL31" s="425"/>
      <c r="DM31" s="425"/>
      <c r="DN31" s="425"/>
      <c r="DO31" s="425"/>
      <c r="DP31" s="425"/>
      <c r="DQ31" s="425"/>
      <c r="DR31" s="425"/>
      <c r="DS31" s="431"/>
      <c r="DT31" s="431"/>
      <c r="DU31" s="431"/>
      <c r="DV31" s="425"/>
      <c r="DW31" s="431"/>
      <c r="DX31" s="431"/>
      <c r="DY31" s="431"/>
      <c r="DZ31" s="431"/>
      <c r="EA31" s="384"/>
      <c r="EB31" s="384"/>
      <c r="EC31" s="384"/>
      <c r="ED31" s="384"/>
      <c r="EE31" s="384"/>
      <c r="EF31" s="425"/>
      <c r="EG31" s="425"/>
      <c r="EH31" s="425"/>
      <c r="EI31" s="425"/>
      <c r="EJ31" s="425"/>
      <c r="EK31" s="425"/>
      <c r="EL31" s="425"/>
      <c r="EM31" s="425"/>
      <c r="EN31" s="425"/>
      <c r="EO31" s="425"/>
      <c r="EP31" s="420"/>
      <c r="EQ31" s="418"/>
    </row>
    <row r="32" spans="1:147" s="416" customFormat="1" ht="15" customHeight="1" outlineLevel="2">
      <c r="A32" s="415"/>
      <c r="B32"/>
      <c r="C32"/>
      <c r="D32"/>
      <c r="E32"/>
      <c r="F32"/>
      <c r="G32"/>
      <c r="H32" s="418"/>
      <c r="I32" s="424"/>
      <c r="J32" s="425"/>
      <c r="K32" s="425"/>
      <c r="L32" s="425"/>
      <c r="M32" s="426"/>
      <c r="N32" s="425"/>
      <c r="O32" s="425"/>
      <c r="P32" s="425"/>
      <c r="Q32" s="426"/>
      <c r="R32" s="425"/>
      <c r="S32" s="425"/>
      <c r="T32" s="425"/>
      <c r="U32" s="426"/>
      <c r="V32" s="425"/>
      <c r="W32" s="425"/>
      <c r="X32" s="425"/>
      <c r="Y32" s="426"/>
      <c r="Z32" s="425"/>
      <c r="AA32" s="425"/>
      <c r="AB32" s="425"/>
      <c r="AC32" s="426"/>
      <c r="AD32" s="425"/>
      <c r="AE32" s="425"/>
      <c r="AF32" s="425"/>
      <c r="AG32" s="426"/>
      <c r="AH32" s="425"/>
      <c r="AI32" s="425"/>
      <c r="AJ32" s="425"/>
      <c r="AK32" s="426"/>
      <c r="AL32" s="425"/>
      <c r="AM32" s="425"/>
      <c r="AN32" s="425"/>
      <c r="AO32" s="426"/>
      <c r="AP32" s="425"/>
      <c r="AQ32" s="425"/>
      <c r="AR32" s="425"/>
      <c r="AS32" s="426"/>
      <c r="AT32" s="425"/>
      <c r="AU32" s="425"/>
      <c r="AV32" s="425"/>
      <c r="AW32" s="426"/>
      <c r="AX32" s="425"/>
      <c r="AY32" s="425"/>
      <c r="AZ32" s="425"/>
      <c r="BA32" s="426"/>
      <c r="BB32" s="425"/>
      <c r="BC32" s="425"/>
      <c r="BD32" s="425"/>
      <c r="BE32" s="426"/>
      <c r="BF32" s="425"/>
      <c r="BG32" s="425"/>
      <c r="BH32" s="425"/>
      <c r="BI32" s="426"/>
      <c r="BJ32" s="425"/>
      <c r="BK32" s="425"/>
      <c r="BL32" s="425"/>
      <c r="BM32" s="426"/>
      <c r="BN32" s="425"/>
      <c r="BO32" s="425"/>
      <c r="BP32" s="425"/>
      <c r="BQ32" s="426"/>
      <c r="BR32" s="425"/>
      <c r="BS32" s="425"/>
      <c r="BT32" s="425"/>
      <c r="BU32" s="426"/>
      <c r="BV32" s="425"/>
      <c r="BW32" s="425"/>
      <c r="BX32" s="425"/>
      <c r="BY32" s="426"/>
      <c r="BZ32" s="427"/>
      <c r="CA32" s="425"/>
      <c r="CB32" s="425"/>
      <c r="CC32" s="426"/>
      <c r="CD32" s="427"/>
      <c r="CE32" s="425"/>
      <c r="CF32" s="425"/>
      <c r="CG32" s="426"/>
      <c r="CH32" s="427"/>
      <c r="CI32" s="425"/>
      <c r="CJ32" s="425"/>
      <c r="CK32" s="426"/>
      <c r="CL32" s="427"/>
      <c r="CM32" s="425"/>
      <c r="CN32" s="425"/>
      <c r="CO32" s="426"/>
      <c r="CP32" s="427"/>
      <c r="CQ32" s="425"/>
      <c r="CR32" s="425"/>
      <c r="CS32" s="426"/>
      <c r="CT32" s="427"/>
      <c r="CU32" s="425"/>
      <c r="CV32" s="425"/>
      <c r="CW32" s="426"/>
      <c r="CX32" s="425"/>
      <c r="CY32" s="425"/>
      <c r="CZ32" s="425"/>
      <c r="DA32" s="426"/>
      <c r="DB32" s="425"/>
      <c r="DC32" s="425"/>
      <c r="DD32" s="425"/>
      <c r="DE32" s="426"/>
      <c r="DF32" s="425"/>
      <c r="DG32" s="425"/>
      <c r="DH32" s="425"/>
      <c r="DI32" s="426"/>
      <c r="DJ32" s="374"/>
      <c r="DK32" s="427"/>
      <c r="DL32" s="425"/>
      <c r="DM32" s="425"/>
      <c r="DN32" s="425"/>
      <c r="DO32" s="425"/>
      <c r="DP32" s="425"/>
      <c r="DQ32" s="425"/>
      <c r="DR32" s="425"/>
      <c r="DS32" s="431"/>
      <c r="DT32" s="431"/>
      <c r="DU32" s="431"/>
      <c r="DV32" s="425"/>
      <c r="DW32" s="431"/>
      <c r="DX32" s="431"/>
      <c r="DY32" s="431"/>
      <c r="DZ32" s="431"/>
      <c r="EA32" s="432"/>
      <c r="EB32" s="432"/>
      <c r="EC32" s="425"/>
      <c r="ED32" s="425"/>
      <c r="EE32" s="384"/>
      <c r="EF32" s="433"/>
      <c r="EG32" s="425"/>
      <c r="EH32" s="425"/>
      <c r="EI32" s="425"/>
      <c r="EJ32" s="425"/>
      <c r="EK32" s="425"/>
      <c r="EL32" s="425"/>
      <c r="EM32" s="425"/>
      <c r="EN32" s="425"/>
      <c r="EO32" s="425"/>
      <c r="EP32" s="420"/>
      <c r="EQ32" s="418"/>
    </row>
    <row r="33" spans="1:147" s="439" customFormat="1" ht="15" customHeight="1" outlineLevel="2">
      <c r="A33" s="434"/>
      <c r="B33"/>
      <c r="C33"/>
      <c r="D33"/>
      <c r="E33"/>
      <c r="F33"/>
      <c r="G33"/>
      <c r="H33" s="325"/>
      <c r="I33" s="435" t="s">
        <v>1587</v>
      </c>
      <c r="J33" s="401"/>
      <c r="K33" s="401"/>
      <c r="L33" s="401"/>
      <c r="M33" s="402"/>
      <c r="N33" s="401"/>
      <c r="O33" s="401"/>
      <c r="P33" s="401"/>
      <c r="Q33" s="402"/>
      <c r="R33" s="401"/>
      <c r="S33" s="401"/>
      <c r="T33" s="401"/>
      <c r="U33" s="402"/>
      <c r="V33" s="401"/>
      <c r="W33" s="401"/>
      <c r="X33" s="401"/>
      <c r="Y33" s="402"/>
      <c r="Z33" s="401"/>
      <c r="AA33" s="401"/>
      <c r="AB33" s="401"/>
      <c r="AC33" s="402"/>
      <c r="AD33" s="401"/>
      <c r="AE33" s="401"/>
      <c r="AF33" s="401"/>
      <c r="AG33" s="402"/>
      <c r="AH33" s="401"/>
      <c r="AI33" s="401"/>
      <c r="AJ33" s="401"/>
      <c r="AK33" s="402"/>
      <c r="AL33" s="401"/>
      <c r="AM33" s="401"/>
      <c r="AN33" s="401"/>
      <c r="AO33" s="402"/>
      <c r="AP33" s="401"/>
      <c r="AQ33" s="401"/>
      <c r="AR33" s="401"/>
      <c r="AS33" s="402"/>
      <c r="AT33" s="401">
        <v>1308</v>
      </c>
      <c r="AU33" s="401">
        <v>1289</v>
      </c>
      <c r="AV33" s="401">
        <v>127</v>
      </c>
      <c r="AW33" s="402">
        <v>1222</v>
      </c>
      <c r="AX33" s="401">
        <v>1248</v>
      </c>
      <c r="AY33" s="401">
        <v>1232</v>
      </c>
      <c r="AZ33" s="401">
        <v>1212</v>
      </c>
      <c r="BA33" s="402">
        <v>1198</v>
      </c>
      <c r="BB33" s="401">
        <v>1173</v>
      </c>
      <c r="BC33" s="401">
        <v>1141</v>
      </c>
      <c r="BD33" s="401">
        <v>1140</v>
      </c>
      <c r="BE33" s="402">
        <v>1139</v>
      </c>
      <c r="BF33" s="401">
        <v>1120</v>
      </c>
      <c r="BG33" s="401">
        <v>1109</v>
      </c>
      <c r="BH33" s="401">
        <v>1109</v>
      </c>
      <c r="BI33" s="402">
        <v>1111</v>
      </c>
      <c r="BJ33" s="401">
        <v>1113</v>
      </c>
      <c r="BK33" s="401">
        <v>1118</v>
      </c>
      <c r="BL33" s="401">
        <v>1122</v>
      </c>
      <c r="BM33" s="402">
        <v>745</v>
      </c>
      <c r="BN33" s="401">
        <v>709</v>
      </c>
      <c r="BO33" s="401">
        <v>716</v>
      </c>
      <c r="BP33" s="401">
        <v>718</v>
      </c>
      <c r="BQ33" s="402">
        <v>720.4</v>
      </c>
      <c r="BR33" s="401">
        <v>723</v>
      </c>
      <c r="BS33" s="401">
        <v>727</v>
      </c>
      <c r="BT33" s="401">
        <v>730</v>
      </c>
      <c r="BU33" s="402">
        <v>733</v>
      </c>
      <c r="BV33" s="401">
        <v>735</v>
      </c>
      <c r="BW33" s="403">
        <v>739</v>
      </c>
      <c r="BX33" s="403">
        <v>742</v>
      </c>
      <c r="BY33" s="436">
        <v>744</v>
      </c>
      <c r="BZ33" s="437">
        <v>749</v>
      </c>
      <c r="CA33" s="403">
        <v>754</v>
      </c>
      <c r="CB33" s="403">
        <v>755</v>
      </c>
      <c r="CC33" s="436">
        <v>757</v>
      </c>
      <c r="CD33" s="437">
        <v>759</v>
      </c>
      <c r="CE33" s="403">
        <v>761</v>
      </c>
      <c r="CF33" s="403">
        <v>763</v>
      </c>
      <c r="CG33" s="436">
        <v>763</v>
      </c>
      <c r="CH33" s="437">
        <v>764</v>
      </c>
      <c r="CI33" s="403">
        <v>766</v>
      </c>
      <c r="CJ33" s="403">
        <v>767</v>
      </c>
      <c r="CK33" s="436">
        <v>768</v>
      </c>
      <c r="CL33" s="437">
        <v>769</v>
      </c>
      <c r="CM33" s="403">
        <v>771</v>
      </c>
      <c r="CN33" s="403">
        <v>772</v>
      </c>
      <c r="CO33" s="436">
        <v>773</v>
      </c>
      <c r="CP33" s="437">
        <v>775</v>
      </c>
      <c r="CQ33" s="403">
        <v>777</v>
      </c>
      <c r="CR33" s="403">
        <v>778</v>
      </c>
      <c r="CS33" s="413">
        <v>778.46584994192017</v>
      </c>
      <c r="CT33" s="373">
        <v>779.74585892585355</v>
      </c>
      <c r="CU33" s="325">
        <v>780.7746907591752</v>
      </c>
      <c r="CV33" s="325">
        <v>781.28520891318237</v>
      </c>
      <c r="CW33" s="413">
        <v>781.9405885708278</v>
      </c>
      <c r="CX33" s="412"/>
      <c r="CY33" s="412"/>
      <c r="CZ33" s="412"/>
      <c r="DA33" s="413"/>
      <c r="DB33" s="412"/>
      <c r="DC33" s="412"/>
      <c r="DD33" s="412"/>
      <c r="DE33" s="413"/>
      <c r="DF33" s="412"/>
      <c r="DG33" s="412"/>
      <c r="DH33" s="412"/>
      <c r="DI33" s="413"/>
      <c r="DJ33" s="374"/>
      <c r="DK33" s="438"/>
      <c r="DL33" s="401"/>
      <c r="DM33" s="401"/>
      <c r="DN33" s="401"/>
      <c r="DO33" s="401"/>
      <c r="DP33" s="401"/>
      <c r="DQ33" s="401"/>
      <c r="DR33" s="401"/>
      <c r="DS33" s="401">
        <v>946</v>
      </c>
      <c r="DT33" s="401">
        <v>1283</v>
      </c>
      <c r="DU33" s="401">
        <v>1222</v>
      </c>
      <c r="DV33" s="376">
        <v>1148.25</v>
      </c>
      <c r="DW33" s="376">
        <v>1112.25</v>
      </c>
      <c r="DX33" s="376">
        <v>1024.5</v>
      </c>
      <c r="DY33" s="376">
        <v>715.85</v>
      </c>
      <c r="DZ33" s="376">
        <v>728.25</v>
      </c>
      <c r="EA33" s="325">
        <v>740</v>
      </c>
      <c r="EB33" s="412">
        <v>755.23931049999999</v>
      </c>
      <c r="EC33" s="412">
        <v>760.81583150000006</v>
      </c>
      <c r="ED33" s="412">
        <v>765</v>
      </c>
      <c r="EE33" s="412">
        <v>767</v>
      </c>
      <c r="EF33" s="412">
        <v>772.96584994192017</v>
      </c>
      <c r="EG33" s="412">
        <v>780.61591137480741</v>
      </c>
      <c r="EH33" s="412">
        <v>785.03817329580454</v>
      </c>
      <c r="EI33" s="412">
        <v>790.53344050887517</v>
      </c>
      <c r="EJ33" s="412">
        <v>796.06717459243714</v>
      </c>
      <c r="EK33" s="412">
        <v>801.63964481458424</v>
      </c>
      <c r="EL33" s="412">
        <v>807.25112232828621</v>
      </c>
      <c r="EM33" s="412">
        <v>812.90188018458412</v>
      </c>
      <c r="EN33" s="412">
        <v>818.59219334587624</v>
      </c>
      <c r="EO33" s="412">
        <v>824.32233869929723</v>
      </c>
      <c r="EP33" s="430"/>
      <c r="EQ33" s="320">
        <v>7.5839025563921858E-3</v>
      </c>
    </row>
    <row r="34" spans="1:147" s="439" customFormat="1" ht="15" customHeight="1" outlineLevel="2">
      <c r="A34" s="434"/>
      <c r="B34"/>
      <c r="C34"/>
      <c r="D34"/>
      <c r="E34"/>
      <c r="F34"/>
      <c r="G34"/>
      <c r="H34" s="325"/>
      <c r="I34" s="435" t="s">
        <v>1588</v>
      </c>
      <c r="J34" s="401"/>
      <c r="K34" s="401"/>
      <c r="L34" s="401"/>
      <c r="M34" s="402"/>
      <c r="N34" s="401"/>
      <c r="O34" s="401"/>
      <c r="P34" s="401"/>
      <c r="Q34" s="402"/>
      <c r="R34" s="401"/>
      <c r="S34" s="401"/>
      <c r="T34" s="401"/>
      <c r="U34" s="402"/>
      <c r="V34" s="401"/>
      <c r="W34" s="401"/>
      <c r="X34" s="401"/>
      <c r="Y34" s="402"/>
      <c r="Z34" s="401"/>
      <c r="AA34" s="401"/>
      <c r="AB34" s="401"/>
      <c r="AC34" s="402"/>
      <c r="AD34" s="401"/>
      <c r="AE34" s="401"/>
      <c r="AF34" s="401"/>
      <c r="AG34" s="402"/>
      <c r="AH34" s="401"/>
      <c r="AI34" s="401"/>
      <c r="AJ34" s="401"/>
      <c r="AK34" s="402"/>
      <c r="AL34" s="401"/>
      <c r="AM34" s="401"/>
      <c r="AN34" s="401"/>
      <c r="AO34" s="402"/>
      <c r="AP34" s="401"/>
      <c r="AQ34" s="401"/>
      <c r="AR34" s="401"/>
      <c r="AS34" s="402"/>
      <c r="AT34" s="401">
        <v>1359</v>
      </c>
      <c r="AU34" s="401">
        <v>1332</v>
      </c>
      <c r="AV34" s="401">
        <v>1297</v>
      </c>
      <c r="AW34" s="402">
        <v>1236</v>
      </c>
      <c r="AX34" s="401">
        <v>1264</v>
      </c>
      <c r="AY34" s="401">
        <v>1248</v>
      </c>
      <c r="AZ34" s="401">
        <v>1227</v>
      </c>
      <c r="BA34" s="402">
        <v>1198</v>
      </c>
      <c r="BB34" s="401">
        <v>1182</v>
      </c>
      <c r="BC34" s="401">
        <v>1150</v>
      </c>
      <c r="BD34" s="401">
        <v>1148</v>
      </c>
      <c r="BE34" s="402">
        <v>1147</v>
      </c>
      <c r="BF34" s="401">
        <v>1127</v>
      </c>
      <c r="BG34" s="401">
        <v>1115</v>
      </c>
      <c r="BH34" s="401">
        <v>1114</v>
      </c>
      <c r="BI34" s="402">
        <v>1115</v>
      </c>
      <c r="BJ34" s="401">
        <v>1120</v>
      </c>
      <c r="BK34" s="401">
        <v>1127</v>
      </c>
      <c r="BL34" s="401">
        <v>1134</v>
      </c>
      <c r="BM34" s="402">
        <v>757</v>
      </c>
      <c r="BN34" s="401">
        <v>720</v>
      </c>
      <c r="BO34" s="401">
        <v>725</v>
      </c>
      <c r="BP34" s="401">
        <v>718</v>
      </c>
      <c r="BQ34" s="402">
        <v>729.4</v>
      </c>
      <c r="BR34" s="401">
        <v>731</v>
      </c>
      <c r="BS34" s="401">
        <v>735</v>
      </c>
      <c r="BT34" s="401">
        <v>739</v>
      </c>
      <c r="BU34" s="402">
        <v>744</v>
      </c>
      <c r="BV34" s="401">
        <v>746</v>
      </c>
      <c r="BW34" s="403">
        <v>750</v>
      </c>
      <c r="BX34" s="403">
        <v>756</v>
      </c>
      <c r="BY34" s="436">
        <v>757</v>
      </c>
      <c r="BZ34" s="437">
        <v>761</v>
      </c>
      <c r="CA34" s="403">
        <v>764</v>
      </c>
      <c r="CB34" s="403">
        <v>766</v>
      </c>
      <c r="CC34" s="436">
        <v>757</v>
      </c>
      <c r="CD34" s="437">
        <v>770</v>
      </c>
      <c r="CE34" s="403">
        <v>770</v>
      </c>
      <c r="CF34" s="403">
        <v>771</v>
      </c>
      <c r="CG34" s="436">
        <v>771</v>
      </c>
      <c r="CH34" s="437">
        <v>770</v>
      </c>
      <c r="CI34" s="403">
        <v>770</v>
      </c>
      <c r="CJ34" s="403">
        <v>771</v>
      </c>
      <c r="CK34" s="436">
        <v>773</v>
      </c>
      <c r="CL34" s="437">
        <v>774</v>
      </c>
      <c r="CM34" s="403">
        <v>776</v>
      </c>
      <c r="CN34" s="403">
        <v>779</v>
      </c>
      <c r="CO34" s="436">
        <v>780</v>
      </c>
      <c r="CP34" s="437">
        <v>783</v>
      </c>
      <c r="CQ34" s="403">
        <v>783</v>
      </c>
      <c r="CR34" s="403">
        <v>783</v>
      </c>
      <c r="CS34" s="413">
        <v>784.46584994192017</v>
      </c>
      <c r="CT34" s="373">
        <v>786.74585892585355</v>
      </c>
      <c r="CU34" s="325">
        <v>787.7746907591752</v>
      </c>
      <c r="CV34" s="325">
        <v>788.28520891318237</v>
      </c>
      <c r="CW34" s="413">
        <v>788.9405885708278</v>
      </c>
      <c r="CX34" s="412"/>
      <c r="CY34" s="412"/>
      <c r="CZ34" s="412"/>
      <c r="DA34" s="413"/>
      <c r="DB34" s="412"/>
      <c r="DC34" s="412"/>
      <c r="DD34" s="412"/>
      <c r="DE34" s="413"/>
      <c r="DF34" s="412"/>
      <c r="DG34" s="412"/>
      <c r="DH34" s="412"/>
      <c r="DI34" s="413"/>
      <c r="DJ34" s="374"/>
      <c r="DK34" s="438"/>
      <c r="DL34" s="401"/>
      <c r="DM34" s="401"/>
      <c r="DN34" s="401"/>
      <c r="DO34" s="401"/>
      <c r="DP34" s="401"/>
      <c r="DQ34" s="401"/>
      <c r="DR34" s="401"/>
      <c r="DS34" s="401">
        <v>946</v>
      </c>
      <c r="DT34" s="401">
        <v>1311</v>
      </c>
      <c r="DU34" s="401">
        <v>1236</v>
      </c>
      <c r="DV34" s="376">
        <v>1156.75</v>
      </c>
      <c r="DW34" s="376">
        <v>1117.75</v>
      </c>
      <c r="DX34" s="376">
        <v>1034.5</v>
      </c>
      <c r="DY34" s="376">
        <v>723.1</v>
      </c>
      <c r="DZ34" s="376">
        <v>737.25</v>
      </c>
      <c r="EA34" s="325">
        <v>752.25</v>
      </c>
      <c r="EB34" s="412">
        <v>762</v>
      </c>
      <c r="EC34" s="412">
        <v>770.5</v>
      </c>
      <c r="ED34" s="412">
        <v>771</v>
      </c>
      <c r="EE34" s="412">
        <v>777.25</v>
      </c>
      <c r="EF34" s="412">
        <v>783.36646248548004</v>
      </c>
      <c r="EG34" s="412">
        <v>787.93658679225973</v>
      </c>
      <c r="EH34" s="412">
        <v>792.35884871325686</v>
      </c>
      <c r="EI34" s="412">
        <v>797.85411592632749</v>
      </c>
      <c r="EJ34" s="412">
        <v>803.38785000988946</v>
      </c>
      <c r="EK34" s="412">
        <v>808.96032023203657</v>
      </c>
      <c r="EL34" s="412">
        <v>814.57179774573854</v>
      </c>
      <c r="EM34" s="412">
        <v>820.22255560203644</v>
      </c>
      <c r="EN34" s="412">
        <v>825.91286876332856</v>
      </c>
      <c r="EO34" s="412">
        <v>831.64301411674955</v>
      </c>
      <c r="EP34" s="373"/>
      <c r="EQ34" s="320">
        <v>6.5623685184998948E-3</v>
      </c>
    </row>
    <row r="35" spans="1:147" s="439" customFormat="1" ht="15" customHeight="1" outlineLevel="2">
      <c r="A35" s="434"/>
      <c r="B35"/>
      <c r="C35"/>
      <c r="D35"/>
      <c r="E35"/>
      <c r="F35"/>
      <c r="G35"/>
      <c r="H35" s="325"/>
      <c r="I35" s="435" t="s">
        <v>1589</v>
      </c>
      <c r="J35" s="401"/>
      <c r="K35" s="401"/>
      <c r="L35" s="401"/>
      <c r="M35" s="402"/>
      <c r="N35" s="401"/>
      <c r="O35" s="401"/>
      <c r="P35" s="401"/>
      <c r="Q35" s="402"/>
      <c r="R35" s="401"/>
      <c r="S35" s="401"/>
      <c r="T35" s="401"/>
      <c r="U35" s="402"/>
      <c r="V35" s="401"/>
      <c r="W35" s="401"/>
      <c r="X35" s="401"/>
      <c r="Y35" s="402"/>
      <c r="Z35" s="401"/>
      <c r="AA35" s="401"/>
      <c r="AB35" s="401"/>
      <c r="AC35" s="402"/>
      <c r="AD35" s="401"/>
      <c r="AE35" s="401"/>
      <c r="AF35" s="401"/>
      <c r="AG35" s="402"/>
      <c r="AH35" s="401"/>
      <c r="AI35" s="401"/>
      <c r="AJ35" s="401"/>
      <c r="AK35" s="402"/>
      <c r="AL35" s="401"/>
      <c r="AM35" s="401"/>
      <c r="AN35" s="401"/>
      <c r="AO35" s="402"/>
      <c r="AP35" s="401"/>
      <c r="AQ35" s="401"/>
      <c r="AR35" s="401"/>
      <c r="AS35" s="402"/>
      <c r="AT35" s="325">
        <v>1359</v>
      </c>
      <c r="AU35" s="325">
        <v>1332</v>
      </c>
      <c r="AV35" s="325">
        <v>1297</v>
      </c>
      <c r="AW35" s="372">
        <v>1236</v>
      </c>
      <c r="AX35" s="325">
        <v>1264</v>
      </c>
      <c r="AY35" s="325">
        <v>1248</v>
      </c>
      <c r="AZ35" s="325">
        <v>1227</v>
      </c>
      <c r="BA35" s="372">
        <v>1198</v>
      </c>
      <c r="BB35" s="325">
        <v>1182</v>
      </c>
      <c r="BC35" s="325">
        <v>1150</v>
      </c>
      <c r="BD35" s="325">
        <v>1148</v>
      </c>
      <c r="BE35" s="372">
        <v>1147</v>
      </c>
      <c r="BF35" s="325">
        <v>1127</v>
      </c>
      <c r="BG35" s="325">
        <v>1115</v>
      </c>
      <c r="BH35" s="325">
        <v>1114</v>
      </c>
      <c r="BI35" s="372">
        <v>1115</v>
      </c>
      <c r="BJ35" s="325">
        <v>1120</v>
      </c>
      <c r="BK35" s="325">
        <v>1127</v>
      </c>
      <c r="BL35" s="325">
        <v>1134</v>
      </c>
      <c r="BM35" s="402">
        <v>780</v>
      </c>
      <c r="BN35" s="401">
        <v>737</v>
      </c>
      <c r="BO35" s="401">
        <v>741</v>
      </c>
      <c r="BP35" s="401">
        <v>742</v>
      </c>
      <c r="BQ35" s="402">
        <v>741</v>
      </c>
      <c r="BR35" s="401">
        <v>741</v>
      </c>
      <c r="BS35" s="401">
        <v>744</v>
      </c>
      <c r="BT35" s="401">
        <v>747</v>
      </c>
      <c r="BU35" s="402">
        <v>750</v>
      </c>
      <c r="BV35" s="401">
        <v>750</v>
      </c>
      <c r="BW35" s="401">
        <v>750</v>
      </c>
      <c r="BX35" s="401">
        <v>756</v>
      </c>
      <c r="BY35" s="402">
        <v>757</v>
      </c>
      <c r="BZ35" s="438">
        <v>761</v>
      </c>
      <c r="CA35" s="401">
        <v>764</v>
      </c>
      <c r="CB35" s="401">
        <v>766</v>
      </c>
      <c r="CC35" s="402">
        <v>757</v>
      </c>
      <c r="CD35" s="438">
        <v>770</v>
      </c>
      <c r="CE35" s="401">
        <v>770</v>
      </c>
      <c r="CF35" s="401">
        <v>771</v>
      </c>
      <c r="CG35" s="402">
        <v>771</v>
      </c>
      <c r="CH35" s="438">
        <v>770</v>
      </c>
      <c r="CI35" s="401">
        <v>770</v>
      </c>
      <c r="CJ35" s="401">
        <v>771</v>
      </c>
      <c r="CK35" s="402">
        <v>773</v>
      </c>
      <c r="CL35" s="438">
        <v>774</v>
      </c>
      <c r="CM35" s="401">
        <v>776</v>
      </c>
      <c r="CN35" s="401">
        <v>779</v>
      </c>
      <c r="CO35" s="402">
        <v>780</v>
      </c>
      <c r="CP35" s="438">
        <v>783</v>
      </c>
      <c r="CQ35" s="401">
        <v>783</v>
      </c>
      <c r="CR35" s="401">
        <v>783</v>
      </c>
      <c r="CS35" s="413">
        <v>784.46584994192017</v>
      </c>
      <c r="CT35" s="373">
        <v>786.74585892585355</v>
      </c>
      <c r="CU35" s="325">
        <v>787.7746907591752</v>
      </c>
      <c r="CV35" s="325">
        <v>788.28520891318237</v>
      </c>
      <c r="CW35" s="413">
        <v>788.9405885708278</v>
      </c>
      <c r="CX35" s="412"/>
      <c r="CY35" s="412"/>
      <c r="CZ35" s="412"/>
      <c r="DA35" s="413"/>
      <c r="DB35" s="412"/>
      <c r="DC35" s="412"/>
      <c r="DD35" s="412"/>
      <c r="DE35" s="413"/>
      <c r="DF35" s="412"/>
      <c r="DG35" s="412"/>
      <c r="DH35" s="412"/>
      <c r="DI35" s="413"/>
      <c r="DJ35" s="374"/>
      <c r="DK35" s="438"/>
      <c r="DL35" s="401"/>
      <c r="DM35" s="401"/>
      <c r="DN35" s="401"/>
      <c r="DO35" s="401"/>
      <c r="DP35" s="401"/>
      <c r="DQ35" s="401"/>
      <c r="DR35" s="401"/>
      <c r="DS35" s="376">
        <v>946</v>
      </c>
      <c r="DT35" s="376">
        <v>1311</v>
      </c>
      <c r="DU35" s="376">
        <v>1236</v>
      </c>
      <c r="DV35" s="376">
        <v>1156.75</v>
      </c>
      <c r="DW35" s="376">
        <v>1117.75</v>
      </c>
      <c r="DX35" s="376">
        <v>1040.25</v>
      </c>
      <c r="DY35" s="376">
        <v>740.25</v>
      </c>
      <c r="DZ35" s="376">
        <v>745.5</v>
      </c>
      <c r="EA35" s="325">
        <v>753.25</v>
      </c>
      <c r="EB35" s="412">
        <v>762</v>
      </c>
      <c r="EC35" s="412">
        <v>770.5</v>
      </c>
      <c r="ED35" s="412">
        <v>771</v>
      </c>
      <c r="EE35" s="412">
        <v>777.25</v>
      </c>
      <c r="EF35" s="412">
        <v>783.36646248548004</v>
      </c>
      <c r="EG35" s="412">
        <v>787.93658679225973</v>
      </c>
      <c r="EH35" s="412">
        <v>792.35884871325686</v>
      </c>
      <c r="EI35" s="412">
        <v>797.85411592632749</v>
      </c>
      <c r="EJ35" s="412">
        <v>803.38785000988946</v>
      </c>
      <c r="EK35" s="412">
        <v>808.96032023203657</v>
      </c>
      <c r="EL35" s="412">
        <v>814.57179774573854</v>
      </c>
      <c r="EM35" s="412">
        <v>820.22255560203644</v>
      </c>
      <c r="EN35" s="412">
        <v>825.91286876332856</v>
      </c>
      <c r="EO35" s="412">
        <v>831.64301411674955</v>
      </c>
      <c r="EP35" s="373"/>
      <c r="EQ35" s="320">
        <v>6.5623685184998948E-3</v>
      </c>
    </row>
    <row r="36" spans="1:147" s="390" customFormat="1" ht="15" customHeight="1" outlineLevel="2">
      <c r="A36" s="385"/>
      <c r="B36"/>
      <c r="C36"/>
      <c r="D36"/>
      <c r="E36"/>
      <c r="F36"/>
      <c r="G36"/>
      <c r="H36" s="386"/>
      <c r="I36" s="378"/>
      <c r="J36" s="386"/>
      <c r="K36" s="386"/>
      <c r="L36" s="386"/>
      <c r="M36" s="388"/>
      <c r="N36" s="386"/>
      <c r="O36" s="386"/>
      <c r="P36" s="386"/>
      <c r="Q36" s="388"/>
      <c r="R36" s="386"/>
      <c r="S36" s="386"/>
      <c r="T36" s="386"/>
      <c r="U36" s="388"/>
      <c r="V36" s="386"/>
      <c r="W36" s="386"/>
      <c r="X36" s="386"/>
      <c r="Y36" s="388"/>
      <c r="Z36" s="386"/>
      <c r="AA36" s="386"/>
      <c r="AB36" s="386"/>
      <c r="AC36" s="388"/>
      <c r="AD36" s="386"/>
      <c r="AE36" s="386"/>
      <c r="AF36" s="386"/>
      <c r="AG36" s="388"/>
      <c r="AH36" s="386"/>
      <c r="AI36" s="386"/>
      <c r="AJ36" s="386"/>
      <c r="AK36" s="388"/>
      <c r="AL36" s="386"/>
      <c r="AM36" s="386"/>
      <c r="AN36" s="386"/>
      <c r="AO36" s="388"/>
      <c r="AP36" s="386"/>
      <c r="AQ36" s="386"/>
      <c r="AR36" s="386"/>
      <c r="AS36" s="388"/>
      <c r="AT36" s="386"/>
      <c r="AU36" s="386"/>
      <c r="AV36" s="386"/>
      <c r="AW36" s="388"/>
      <c r="AX36" s="386"/>
      <c r="AY36" s="386"/>
      <c r="AZ36" s="386"/>
      <c r="BA36" s="388"/>
      <c r="BB36" s="386"/>
      <c r="BC36" s="386"/>
      <c r="BD36" s="386"/>
      <c r="BE36" s="388"/>
      <c r="BF36" s="386"/>
      <c r="BG36" s="386"/>
      <c r="BH36" s="386"/>
      <c r="BI36" s="388"/>
      <c r="BJ36" s="386"/>
      <c r="BK36" s="386"/>
      <c r="BL36" s="386"/>
      <c r="BM36" s="388"/>
      <c r="BN36" s="386"/>
      <c r="BO36" s="386"/>
      <c r="BP36" s="386"/>
      <c r="BQ36" s="388"/>
      <c r="BR36" s="386"/>
      <c r="BS36" s="386"/>
      <c r="BT36" s="386"/>
      <c r="BU36" s="388"/>
      <c r="BV36" s="386"/>
      <c r="BW36" s="386"/>
      <c r="BX36" s="386"/>
      <c r="BY36" s="388"/>
      <c r="BZ36" s="389"/>
      <c r="CA36" s="386"/>
      <c r="CB36" s="386"/>
      <c r="CC36" s="388"/>
      <c r="CD36" s="386"/>
      <c r="CE36" s="386"/>
      <c r="CF36" s="386"/>
      <c r="CG36" s="388"/>
      <c r="CH36" s="386"/>
      <c r="CI36" s="386"/>
      <c r="CJ36" s="386"/>
      <c r="CK36" s="388"/>
      <c r="CL36" s="386"/>
      <c r="CM36" s="386"/>
      <c r="CN36" s="386"/>
      <c r="CO36" s="388"/>
      <c r="CP36" s="389"/>
      <c r="CQ36" s="386"/>
      <c r="CR36" s="386"/>
      <c r="CS36" s="388"/>
      <c r="CT36" s="389"/>
      <c r="CU36" s="386"/>
      <c r="CV36" s="386"/>
      <c r="CW36" s="388"/>
      <c r="CX36" s="386"/>
      <c r="CY36" s="386"/>
      <c r="CZ36" s="386"/>
      <c r="DA36" s="388"/>
      <c r="DB36" s="386"/>
      <c r="DC36" s="386"/>
      <c r="DD36" s="386"/>
      <c r="DE36" s="388"/>
      <c r="DF36" s="386"/>
      <c r="DG36" s="386"/>
      <c r="DH36" s="386"/>
      <c r="DI36" s="388"/>
      <c r="DJ36" s="440"/>
      <c r="DK36" s="389"/>
      <c r="DL36" s="386"/>
      <c r="DM36" s="386"/>
      <c r="DN36" s="386"/>
      <c r="DO36" s="386"/>
      <c r="DP36" s="386"/>
      <c r="DQ36" s="386"/>
      <c r="DR36" s="386"/>
      <c r="DS36" s="399"/>
      <c r="DT36" s="399"/>
      <c r="DU36" s="399"/>
      <c r="DV36" s="386"/>
      <c r="DW36" s="399"/>
      <c r="DX36" s="399"/>
      <c r="DY36" s="399"/>
      <c r="DZ36" s="399"/>
      <c r="EA36" s="386"/>
      <c r="EB36" s="386"/>
      <c r="EC36" s="386"/>
      <c r="ED36" s="386"/>
      <c r="EE36" s="320"/>
      <c r="EF36" s="320"/>
      <c r="EG36" s="386"/>
      <c r="EH36" s="386"/>
      <c r="EI36" s="386"/>
      <c r="EJ36" s="386"/>
      <c r="EK36" s="386"/>
      <c r="EL36" s="386"/>
      <c r="EM36" s="386"/>
      <c r="EN36" s="386"/>
      <c r="EO36" s="386"/>
      <c r="EP36" s="389"/>
      <c r="EQ36" s="386"/>
    </row>
    <row r="37" spans="1:147" s="447" customFormat="1" ht="15" customHeight="1" outlineLevel="2">
      <c r="A37" s="441"/>
      <c r="B37"/>
      <c r="C37"/>
      <c r="D37"/>
      <c r="E37"/>
      <c r="F37"/>
      <c r="G37"/>
      <c r="H37" s="442"/>
      <c r="I37" s="443" t="s">
        <v>1590</v>
      </c>
      <c r="J37" s="442"/>
      <c r="K37" s="442"/>
      <c r="L37" s="442"/>
      <c r="M37" s="444"/>
      <c r="N37" s="442"/>
      <c r="O37" s="442"/>
      <c r="P37" s="442"/>
      <c r="Q37" s="444"/>
      <c r="R37" s="442"/>
      <c r="S37" s="442"/>
      <c r="T37" s="442"/>
      <c r="U37" s="444"/>
      <c r="V37" s="442"/>
      <c r="W37" s="442"/>
      <c r="X37" s="442"/>
      <c r="Y37" s="444"/>
      <c r="Z37" s="442"/>
      <c r="AA37" s="442"/>
      <c r="AB37" s="442"/>
      <c r="AC37" s="444"/>
      <c r="AD37" s="442"/>
      <c r="AE37" s="442"/>
      <c r="AF37" s="442"/>
      <c r="AG37" s="444"/>
      <c r="AH37" s="442"/>
      <c r="AI37" s="442"/>
      <c r="AJ37" s="442"/>
      <c r="AK37" s="444"/>
      <c r="AL37" s="442"/>
      <c r="AM37" s="442"/>
      <c r="AN37" s="442"/>
      <c r="AO37" s="444"/>
      <c r="AP37" s="442"/>
      <c r="AQ37" s="442"/>
      <c r="AR37" s="442"/>
      <c r="AS37" s="444"/>
      <c r="AT37" s="442"/>
      <c r="AU37" s="442"/>
      <c r="AV37" s="442"/>
      <c r="AW37" s="444"/>
      <c r="AX37" s="442"/>
      <c r="AY37" s="442"/>
      <c r="AZ37" s="442"/>
      <c r="BA37" s="444"/>
      <c r="BB37" s="442"/>
      <c r="BC37" s="442"/>
      <c r="BD37" s="442"/>
      <c r="BE37" s="444"/>
      <c r="BF37" s="442"/>
      <c r="BG37" s="442"/>
      <c r="BH37" s="442"/>
      <c r="BI37" s="444"/>
      <c r="BJ37" s="442"/>
      <c r="BK37" s="442"/>
      <c r="BL37" s="442"/>
      <c r="BM37" s="444"/>
      <c r="BN37" s="442"/>
      <c r="BO37" s="442"/>
      <c r="BP37" s="442"/>
      <c r="BQ37" s="444"/>
      <c r="BR37" s="442"/>
      <c r="BS37" s="442"/>
      <c r="BT37" s="442"/>
      <c r="BU37" s="444"/>
      <c r="BV37" s="442"/>
      <c r="BW37" s="442"/>
      <c r="BX37" s="442"/>
      <c r="BY37" s="444"/>
      <c r="BZ37" s="442"/>
      <c r="CA37" s="442"/>
      <c r="CB37" s="442"/>
      <c r="CC37" s="444"/>
      <c r="CD37" s="442"/>
      <c r="CE37" s="442"/>
      <c r="CF37" s="442"/>
      <c r="CG37" s="444"/>
      <c r="CH37" s="442"/>
      <c r="CI37" s="442"/>
      <c r="CJ37" s="442"/>
      <c r="CK37" s="444"/>
      <c r="CL37" s="442"/>
      <c r="CM37" s="442"/>
      <c r="CN37" s="442"/>
      <c r="CO37" s="444"/>
      <c r="CP37" s="445"/>
      <c r="CQ37" s="442"/>
      <c r="CR37" s="442"/>
      <c r="CS37" s="444"/>
      <c r="CT37" s="445"/>
      <c r="CU37" s="442"/>
      <c r="CV37" s="442"/>
      <c r="CW37" s="444"/>
      <c r="CX37" s="442"/>
      <c r="CY37" s="442"/>
      <c r="CZ37" s="442"/>
      <c r="DA37" s="444"/>
      <c r="DB37" s="442"/>
      <c r="DC37" s="442"/>
      <c r="DD37" s="442"/>
      <c r="DE37" s="444"/>
      <c r="DF37" s="442"/>
      <c r="DG37" s="442"/>
      <c r="DH37" s="442"/>
      <c r="DI37" s="444"/>
      <c r="DJ37" s="446"/>
      <c r="DK37" s="445"/>
      <c r="DL37" s="442"/>
      <c r="DM37" s="442"/>
      <c r="DN37" s="442"/>
      <c r="DO37" s="442"/>
      <c r="DP37" s="442"/>
      <c r="DQ37" s="442"/>
      <c r="DR37" s="442"/>
      <c r="DS37" s="442"/>
      <c r="DT37" s="442"/>
      <c r="DU37" s="442"/>
      <c r="DV37" s="442"/>
      <c r="DW37" s="442"/>
      <c r="DX37" s="442"/>
      <c r="DY37" s="442"/>
      <c r="DZ37" s="442"/>
      <c r="EA37" s="442"/>
      <c r="EB37" s="442"/>
      <c r="EC37" s="442"/>
      <c r="ED37" s="442"/>
      <c r="EE37" s="442"/>
      <c r="EF37" s="442"/>
      <c r="EG37" s="442"/>
      <c r="EH37" s="442"/>
      <c r="EI37" s="442"/>
      <c r="EJ37" s="442"/>
      <c r="EK37" s="442"/>
      <c r="EL37" s="442"/>
      <c r="EM37" s="442"/>
      <c r="EN37" s="442"/>
      <c r="EO37" s="442"/>
      <c r="EP37" s="445"/>
      <c r="EQ37" s="442"/>
    </row>
    <row r="38" spans="1:147" s="390" customFormat="1" ht="13.9" customHeight="1" outlineLevel="2">
      <c r="A38" s="385"/>
      <c r="B38"/>
      <c r="C38"/>
      <c r="D38"/>
      <c r="E38"/>
      <c r="F38"/>
      <c r="G38"/>
      <c r="H38" s="386"/>
      <c r="I38" s="379" t="s">
        <v>1591</v>
      </c>
      <c r="J38" s="386"/>
      <c r="K38" s="386"/>
      <c r="L38" s="386"/>
      <c r="M38" s="388"/>
      <c r="N38" s="386"/>
      <c r="O38" s="386"/>
      <c r="P38" s="386"/>
      <c r="Q38" s="388"/>
      <c r="R38" s="386"/>
      <c r="S38" s="386"/>
      <c r="T38" s="386"/>
      <c r="U38" s="388"/>
      <c r="V38" s="386"/>
      <c r="W38" s="386"/>
      <c r="X38" s="386"/>
      <c r="Y38" s="388"/>
      <c r="Z38" s="386"/>
      <c r="AA38" s="386"/>
      <c r="AB38" s="386"/>
      <c r="AC38" s="388"/>
      <c r="AD38" s="386"/>
      <c r="AE38" s="386"/>
      <c r="AF38" s="386"/>
      <c r="AG38" s="388"/>
      <c r="AH38" s="386"/>
      <c r="AI38" s="386"/>
      <c r="AJ38" s="386"/>
      <c r="AK38" s="388"/>
      <c r="AL38" s="386"/>
      <c r="AM38" s="386"/>
      <c r="AN38" s="386"/>
      <c r="AO38" s="388"/>
      <c r="AP38" s="386"/>
      <c r="AQ38" s="386"/>
      <c r="AR38" s="386"/>
      <c r="AS38" s="388"/>
      <c r="AT38" s="448">
        <v>724</v>
      </c>
      <c r="AU38" s="448">
        <v>801</v>
      </c>
      <c r="AV38" s="448">
        <v>755</v>
      </c>
      <c r="AW38" s="449">
        <v>2495</v>
      </c>
      <c r="AX38" s="448">
        <v>714</v>
      </c>
      <c r="AY38" s="448">
        <v>683</v>
      </c>
      <c r="AZ38" s="448">
        <v>857</v>
      </c>
      <c r="BA38" s="449">
        <v>2548</v>
      </c>
      <c r="BB38" s="448">
        <v>755</v>
      </c>
      <c r="BC38" s="448">
        <v>699</v>
      </c>
      <c r="BD38" s="448">
        <v>627</v>
      </c>
      <c r="BE38" s="449">
        <v>2408</v>
      </c>
      <c r="BF38" s="448">
        <v>587</v>
      </c>
      <c r="BG38" s="448">
        <v>1054</v>
      </c>
      <c r="BH38" s="448">
        <v>751</v>
      </c>
      <c r="BI38" s="449">
        <v>2595</v>
      </c>
      <c r="BJ38" s="448">
        <v>804</v>
      </c>
      <c r="BK38" s="448">
        <v>608</v>
      </c>
      <c r="BL38" s="448">
        <v>657</v>
      </c>
      <c r="BM38" s="449">
        <v>2272</v>
      </c>
      <c r="BN38" s="448">
        <v>772</v>
      </c>
      <c r="BO38" s="448">
        <v>658</v>
      </c>
      <c r="BP38" s="448">
        <v>1170</v>
      </c>
      <c r="BQ38" s="449">
        <v>2213</v>
      </c>
      <c r="BR38" s="448">
        <v>703</v>
      </c>
      <c r="BS38" s="448">
        <v>759</v>
      </c>
      <c r="BT38" s="448">
        <v>1040</v>
      </c>
      <c r="BU38" s="449">
        <v>2118</v>
      </c>
      <c r="BV38" s="448">
        <v>908</v>
      </c>
      <c r="BW38" s="448">
        <v>1609</v>
      </c>
      <c r="BX38" s="448">
        <v>1630</v>
      </c>
      <c r="BY38" s="449">
        <v>2452</v>
      </c>
      <c r="BZ38" s="448">
        <v>1196</v>
      </c>
      <c r="CA38" s="448">
        <v>1418</v>
      </c>
      <c r="CB38" s="448">
        <v>1902</v>
      </c>
      <c r="CC38" s="449">
        <v>2659</v>
      </c>
      <c r="CD38" s="448">
        <v>1384</v>
      </c>
      <c r="CE38" s="448">
        <v>1385</v>
      </c>
      <c r="CF38" s="448">
        <v>1658</v>
      </c>
      <c r="CG38" s="449">
        <v>2835</v>
      </c>
      <c r="CH38" s="448">
        <v>1258</v>
      </c>
      <c r="CI38" s="448">
        <v>1207</v>
      </c>
      <c r="CJ38" s="448">
        <v>1214</v>
      </c>
      <c r="CK38" s="449">
        <v>2708</v>
      </c>
      <c r="CL38" s="448">
        <v>1522</v>
      </c>
      <c r="CM38" s="448">
        <v>2078</v>
      </c>
      <c r="CN38" s="448">
        <v>1767</v>
      </c>
      <c r="CO38" s="449">
        <v>3051</v>
      </c>
      <c r="CP38" s="450">
        <v>2066</v>
      </c>
      <c r="CQ38" s="448">
        <v>1921</v>
      </c>
      <c r="CR38" s="448">
        <v>2060</v>
      </c>
      <c r="CS38" s="449">
        <v>2806.9707248821205</v>
      </c>
      <c r="CT38" s="450">
        <v>1616.8259323158504</v>
      </c>
      <c r="CU38" s="448">
        <v>1585.9480194281759</v>
      </c>
      <c r="CV38" s="448">
        <v>2112.6893946806267</v>
      </c>
      <c r="CW38" s="449">
        <v>3560.0402405100122</v>
      </c>
      <c r="CX38" s="386"/>
      <c r="CY38" s="386"/>
      <c r="CZ38" s="386"/>
      <c r="DA38" s="388"/>
      <c r="DB38" s="386"/>
      <c r="DC38" s="386"/>
      <c r="DD38" s="386"/>
      <c r="DE38" s="388"/>
      <c r="DF38" s="386"/>
      <c r="DG38" s="386"/>
      <c r="DH38" s="386"/>
      <c r="DI38" s="388"/>
      <c r="DJ38" s="440"/>
      <c r="DK38" s="389"/>
      <c r="DL38" s="386"/>
      <c r="DM38" s="386"/>
      <c r="DN38" s="386"/>
      <c r="DO38" s="386"/>
      <c r="DP38" s="386"/>
      <c r="DQ38" s="386"/>
      <c r="DR38" s="386"/>
      <c r="DS38" s="448">
        <v>3722</v>
      </c>
      <c r="DT38" s="448">
        <v>4775</v>
      </c>
      <c r="DU38" s="448">
        <v>4802</v>
      </c>
      <c r="DV38" s="448">
        <v>4489</v>
      </c>
      <c r="DW38" s="448">
        <v>4987</v>
      </c>
      <c r="DX38" s="448">
        <v>4341</v>
      </c>
      <c r="DY38" s="448">
        <v>4813</v>
      </c>
      <c r="DZ38" s="448">
        <v>4620</v>
      </c>
      <c r="EA38" s="448">
        <v>6599</v>
      </c>
      <c r="EB38" s="448">
        <v>7175</v>
      </c>
      <c r="EC38" s="448">
        <v>7262</v>
      </c>
      <c r="ED38" s="448">
        <v>6387</v>
      </c>
      <c r="EE38" s="448">
        <v>8418</v>
      </c>
      <c r="EF38" s="448">
        <v>8853.9707248821214</v>
      </c>
      <c r="EG38" s="448">
        <v>8875.5035869346648</v>
      </c>
      <c r="EH38" s="448">
        <v>10518.338634813546</v>
      </c>
      <c r="EI38" s="448">
        <v>9665.2317904567153</v>
      </c>
      <c r="EJ38" s="448">
        <v>9318.6132274479678</v>
      </c>
      <c r="EK38" s="448">
        <v>10041.985294232833</v>
      </c>
      <c r="EL38" s="448">
        <v>9569.1015707495681</v>
      </c>
      <c r="EM38" s="448">
        <v>9693.4912223981792</v>
      </c>
      <c r="EN38" s="448">
        <v>9621.1579341245942</v>
      </c>
      <c r="EO38" s="448">
        <v>10447.482616671719</v>
      </c>
      <c r="EP38" s="389"/>
      <c r="EQ38" s="320">
        <v>3.5144164221690755E-2</v>
      </c>
    </row>
    <row r="39" spans="1:147" s="390" customFormat="1" ht="15" customHeight="1" outlineLevel="2">
      <c r="A39" s="385"/>
      <c r="B39"/>
      <c r="C39"/>
      <c r="D39"/>
      <c r="E39"/>
      <c r="F39"/>
      <c r="G39"/>
      <c r="H39" s="386"/>
      <c r="I39" s="451" t="s">
        <v>1592</v>
      </c>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448"/>
      <c r="AU39" s="448"/>
      <c r="AV39" s="448"/>
      <c r="AW39" s="449"/>
      <c r="AX39" s="320">
        <v>-1.3812154696132617E-2</v>
      </c>
      <c r="AY39" s="320">
        <v>-0.14731585518102375</v>
      </c>
      <c r="AZ39" s="320">
        <v>0.13509933774834426</v>
      </c>
      <c r="BA39" s="452">
        <v>2.1242484969939968E-2</v>
      </c>
      <c r="BB39" s="320">
        <v>5.7422969187675088E-2</v>
      </c>
      <c r="BC39" s="320">
        <v>2.3426061493411421E-2</v>
      </c>
      <c r="BD39" s="320">
        <v>-0.26837806301050171</v>
      </c>
      <c r="BE39" s="452">
        <v>-5.4945054945054972E-2</v>
      </c>
      <c r="BF39" s="320">
        <v>-0.22251655629139078</v>
      </c>
      <c r="BG39" s="320">
        <v>0.50786838340486407</v>
      </c>
      <c r="BH39" s="320">
        <v>0.19776714513556626</v>
      </c>
      <c r="BI39" s="452">
        <v>7.7657807308970206E-2</v>
      </c>
      <c r="BJ39" s="320">
        <v>0.36967632027257236</v>
      </c>
      <c r="BK39" s="320">
        <v>-0.42314990512333961</v>
      </c>
      <c r="BL39" s="320">
        <v>-0.12516644474034622</v>
      </c>
      <c r="BM39" s="452">
        <v>-0.12447013487475911</v>
      </c>
      <c r="BN39" s="320">
        <v>-3.9800995024875663E-2</v>
      </c>
      <c r="BO39" s="320">
        <v>8.2236842105263053E-2</v>
      </c>
      <c r="BP39" s="320">
        <v>0.78082191780821919</v>
      </c>
      <c r="BQ39" s="452">
        <v>-2.5968309859154881E-2</v>
      </c>
      <c r="BR39" s="320">
        <v>-8.9378238341968896E-2</v>
      </c>
      <c r="BS39" s="320">
        <v>0.15349544072948329</v>
      </c>
      <c r="BT39" s="320">
        <v>-0.11111111111111116</v>
      </c>
      <c r="BU39" s="452">
        <v>-4.2928151830094907E-2</v>
      </c>
      <c r="BV39" s="320">
        <v>0.29160739687055481</v>
      </c>
      <c r="BW39" s="320">
        <v>1.1198945981554678</v>
      </c>
      <c r="BX39" s="320">
        <v>0.56730769230769229</v>
      </c>
      <c r="BY39" s="452">
        <v>0.15769593956562789</v>
      </c>
      <c r="BZ39" s="320">
        <v>0.31718061674008813</v>
      </c>
      <c r="CA39" s="320">
        <v>-0.11870727159726535</v>
      </c>
      <c r="CB39" s="320">
        <v>0.1668711656441717</v>
      </c>
      <c r="CC39" s="452">
        <v>8.4420880913540053E-2</v>
      </c>
      <c r="CD39" s="320">
        <v>0.15719063545150491</v>
      </c>
      <c r="CE39" s="320">
        <v>-2.3272214386459766E-2</v>
      </c>
      <c r="CF39" s="320">
        <v>-0.12828601472134593</v>
      </c>
      <c r="CG39" s="452">
        <v>6.6190297104174567E-2</v>
      </c>
      <c r="CH39" s="320">
        <v>-9.1040462427745661E-2</v>
      </c>
      <c r="CI39" s="320">
        <v>-0.12851985559566792</v>
      </c>
      <c r="CJ39" s="320">
        <v>-0.26779252110977081</v>
      </c>
      <c r="CK39" s="452">
        <v>-4.4797178130511428E-2</v>
      </c>
      <c r="CL39" s="320">
        <v>0.20985691573926868</v>
      </c>
      <c r="CM39" s="320">
        <v>0.72162386081193031</v>
      </c>
      <c r="CN39" s="320">
        <v>0.45551894563426698</v>
      </c>
      <c r="CO39" s="452">
        <v>0.12666174298375177</v>
      </c>
      <c r="CP39" s="453">
        <v>0.35742444152431019</v>
      </c>
      <c r="CQ39" s="320">
        <v>-7.5553416746871993E-2</v>
      </c>
      <c r="CR39" s="320">
        <v>0.16581777023203159</v>
      </c>
      <c r="CS39" s="452">
        <v>-7.9983374342143421E-2</v>
      </c>
      <c r="CT39" s="453">
        <v>-0.21741242385486426</v>
      </c>
      <c r="CU39" s="320">
        <v>-0.17441539852775845</v>
      </c>
      <c r="CV39" s="320">
        <v>2.55773760585567E-2</v>
      </c>
      <c r="CW39" s="452">
        <v>0.2682854897460738</v>
      </c>
      <c r="CX39" s="389"/>
      <c r="CY39" s="386"/>
      <c r="CZ39" s="386"/>
      <c r="DA39" s="388"/>
      <c r="DB39" s="389"/>
      <c r="DC39" s="386"/>
      <c r="DD39" s="386"/>
      <c r="DE39" s="388"/>
      <c r="DF39" s="389"/>
      <c r="DG39" s="386"/>
      <c r="DH39" s="386"/>
      <c r="DI39" s="388"/>
      <c r="DJ39" s="454"/>
      <c r="DK39" s="448"/>
      <c r="DL39" s="320" t="e">
        <v>#DIV/0!</v>
      </c>
      <c r="DM39" s="320" t="e">
        <v>#DIV/0!</v>
      </c>
      <c r="DN39" s="320" t="e">
        <v>#DIV/0!</v>
      </c>
      <c r="DO39" s="320" t="e">
        <v>#DIV/0!</v>
      </c>
      <c r="DP39" s="320" t="e">
        <v>#DIV/0!</v>
      </c>
      <c r="DQ39" s="320" t="e">
        <v>#DIV/0!</v>
      </c>
      <c r="DR39" s="320" t="e">
        <v>#DIV/0!</v>
      </c>
      <c r="DS39" s="320" t="e">
        <v>#DIV/0!</v>
      </c>
      <c r="DT39" s="320">
        <v>0.28291241268135403</v>
      </c>
      <c r="DU39" s="320">
        <v>5.6544502617801307E-3</v>
      </c>
      <c r="DV39" s="320">
        <v>-6.5181174510620554E-2</v>
      </c>
      <c r="DW39" s="320">
        <v>0.11093784807306739</v>
      </c>
      <c r="DX39" s="320">
        <v>-0.12953679566873877</v>
      </c>
      <c r="DY39" s="320">
        <v>0.1087307072103203</v>
      </c>
      <c r="DZ39" s="320">
        <v>-4.0099729898192438E-2</v>
      </c>
      <c r="EA39" s="320">
        <v>0.42835497835497827</v>
      </c>
      <c r="EB39" s="320">
        <v>8.7285952417032853E-2</v>
      </c>
      <c r="EC39" s="320">
        <v>1.2125435540069729E-2</v>
      </c>
      <c r="ED39" s="320">
        <v>-0.12049022307904156</v>
      </c>
      <c r="EE39" s="320">
        <v>0.31798966651009875</v>
      </c>
      <c r="EF39" s="320">
        <v>5.1790297562618326E-2</v>
      </c>
      <c r="EG39" s="320">
        <v>2.4320005929125976E-3</v>
      </c>
      <c r="EH39" s="320">
        <v>0.18509767156167278</v>
      </c>
      <c r="EI39" s="320">
        <v>-8.1106615215184474E-2</v>
      </c>
      <c r="EJ39" s="320">
        <v>-3.5862415979613926E-2</v>
      </c>
      <c r="EK39" s="320">
        <v>7.7626579098075688E-2</v>
      </c>
      <c r="EL39" s="320">
        <v>-4.7090660823297936E-2</v>
      </c>
      <c r="EM39" s="320">
        <v>1.299909408724842E-2</v>
      </c>
      <c r="EN39" s="320">
        <v>-7.4620471215209871E-3</v>
      </c>
      <c r="EO39" s="320">
        <v>8.5886198751222498E-2</v>
      </c>
      <c r="EP39" s="389"/>
      <c r="EQ39" s="320"/>
    </row>
    <row r="40" spans="1:147" s="390" customFormat="1" ht="15" customHeight="1" outlineLevel="2">
      <c r="A40" s="385"/>
      <c r="B40"/>
      <c r="C40"/>
      <c r="D40"/>
      <c r="E40"/>
      <c r="F40"/>
      <c r="G40"/>
      <c r="H40" s="386"/>
      <c r="I40" s="379"/>
      <c r="J40" s="386"/>
      <c r="K40" s="386"/>
      <c r="L40" s="386"/>
      <c r="M40" s="388"/>
      <c r="N40" s="386"/>
      <c r="O40" s="386"/>
      <c r="P40" s="386"/>
      <c r="Q40" s="388"/>
      <c r="R40" s="386"/>
      <c r="S40" s="386"/>
      <c r="T40" s="386"/>
      <c r="U40" s="388"/>
      <c r="V40" s="386"/>
      <c r="W40" s="386"/>
      <c r="X40" s="386"/>
      <c r="Y40" s="388"/>
      <c r="Z40" s="386"/>
      <c r="AA40" s="386"/>
      <c r="AB40" s="386"/>
      <c r="AC40" s="388"/>
      <c r="AD40" s="386"/>
      <c r="AE40" s="386"/>
      <c r="AF40" s="386"/>
      <c r="AG40" s="388"/>
      <c r="AH40" s="386"/>
      <c r="AI40" s="386"/>
      <c r="AJ40" s="386"/>
      <c r="AK40" s="388"/>
      <c r="AL40" s="386"/>
      <c r="AM40" s="386"/>
      <c r="AN40" s="386"/>
      <c r="AO40" s="388"/>
      <c r="AP40" s="386"/>
      <c r="AQ40" s="386"/>
      <c r="AR40" s="386"/>
      <c r="AS40" s="388"/>
      <c r="AT40" s="448"/>
      <c r="AU40" s="448"/>
      <c r="AV40" s="448"/>
      <c r="AW40" s="449"/>
      <c r="AX40" s="448"/>
      <c r="AY40" s="448"/>
      <c r="AZ40" s="448"/>
      <c r="BA40" s="449"/>
      <c r="BB40" s="448"/>
      <c r="BC40" s="448"/>
      <c r="BD40" s="448"/>
      <c r="BE40" s="449"/>
      <c r="BF40" s="448"/>
      <c r="BG40" s="448"/>
      <c r="BH40" s="448"/>
      <c r="BI40" s="449"/>
      <c r="BJ40" s="448"/>
      <c r="BK40" s="448"/>
      <c r="BL40" s="448"/>
      <c r="BM40" s="449"/>
      <c r="BN40" s="448"/>
      <c r="BO40" s="448"/>
      <c r="BP40" s="448"/>
      <c r="BQ40" s="449"/>
      <c r="BR40" s="448"/>
      <c r="BS40" s="448"/>
      <c r="BT40" s="448"/>
      <c r="BU40" s="449"/>
      <c r="BV40" s="448"/>
      <c r="BW40" s="448"/>
      <c r="BX40" s="448"/>
      <c r="BY40" s="449"/>
      <c r="BZ40" s="448"/>
      <c r="CA40" s="448"/>
      <c r="CB40" s="448"/>
      <c r="CC40" s="449"/>
      <c r="CD40" s="448"/>
      <c r="CE40" s="448"/>
      <c r="CF40" s="448"/>
      <c r="CG40" s="449"/>
      <c r="CH40" s="384"/>
      <c r="CI40" s="384"/>
      <c r="CJ40" s="384"/>
      <c r="CK40" s="455"/>
      <c r="CL40" s="448"/>
      <c r="CM40" s="384"/>
      <c r="CN40" s="384"/>
      <c r="CO40" s="455"/>
      <c r="CP40" s="450"/>
      <c r="CQ40" s="448"/>
      <c r="CR40" s="384"/>
      <c r="CS40" s="455"/>
      <c r="CT40" s="450"/>
      <c r="CU40" s="448"/>
      <c r="CV40" s="384"/>
      <c r="CW40" s="455"/>
      <c r="CX40" s="386"/>
      <c r="CY40" s="386"/>
      <c r="CZ40" s="386"/>
      <c r="DA40" s="388"/>
      <c r="DB40" s="386"/>
      <c r="DC40" s="386"/>
      <c r="DD40" s="386"/>
      <c r="DE40" s="388"/>
      <c r="DF40" s="386"/>
      <c r="DG40" s="386"/>
      <c r="DH40" s="386"/>
      <c r="DI40" s="388"/>
      <c r="DJ40" s="454"/>
      <c r="DK40" s="389"/>
      <c r="DL40" s="386"/>
      <c r="DM40" s="386"/>
      <c r="DN40" s="386"/>
      <c r="DO40" s="386"/>
      <c r="DP40" s="386"/>
      <c r="DQ40" s="386"/>
      <c r="DR40" s="386"/>
      <c r="DS40" s="448"/>
      <c r="DT40" s="448"/>
      <c r="DU40" s="448"/>
      <c r="DV40" s="448"/>
      <c r="DW40" s="448"/>
      <c r="DX40" s="448"/>
      <c r="DY40" s="448"/>
      <c r="DZ40" s="448"/>
      <c r="EA40" s="448"/>
      <c r="EB40" s="448"/>
      <c r="EC40" s="448"/>
      <c r="ED40" s="384"/>
      <c r="EE40" s="384"/>
      <c r="EF40" s="384"/>
      <c r="EG40" s="448"/>
      <c r="EH40" s="448"/>
      <c r="EI40" s="448"/>
      <c r="EJ40" s="448"/>
      <c r="EK40" s="448"/>
      <c r="EL40" s="448"/>
      <c r="EM40" s="448"/>
      <c r="EN40" s="448"/>
      <c r="EO40" s="448"/>
      <c r="EP40" s="389"/>
      <c r="EQ40" s="386"/>
    </row>
    <row r="41" spans="1:147" s="390" customFormat="1" ht="15" customHeight="1" outlineLevel="2">
      <c r="A41" s="385"/>
      <c r="B41"/>
      <c r="C41"/>
      <c r="D41"/>
      <c r="E41"/>
      <c r="F41"/>
      <c r="G41"/>
      <c r="H41" s="386"/>
      <c r="I41" s="379" t="s">
        <v>1593</v>
      </c>
      <c r="J41" s="386"/>
      <c r="K41" s="386"/>
      <c r="L41" s="386"/>
      <c r="M41" s="388"/>
      <c r="N41" s="386"/>
      <c r="O41" s="386"/>
      <c r="P41" s="386"/>
      <c r="Q41" s="388"/>
      <c r="R41" s="386"/>
      <c r="S41" s="386"/>
      <c r="T41" s="386"/>
      <c r="U41" s="388"/>
      <c r="V41" s="386"/>
      <c r="W41" s="386"/>
      <c r="X41" s="386"/>
      <c r="Y41" s="388"/>
      <c r="Z41" s="386"/>
      <c r="AA41" s="386"/>
      <c r="AB41" s="386"/>
      <c r="AC41" s="388"/>
      <c r="AD41" s="386"/>
      <c r="AE41" s="386"/>
      <c r="AF41" s="386"/>
      <c r="AG41" s="388"/>
      <c r="AH41" s="386"/>
      <c r="AI41" s="386"/>
      <c r="AJ41" s="386"/>
      <c r="AK41" s="388"/>
      <c r="AL41" s="386"/>
      <c r="AM41" s="386"/>
      <c r="AN41" s="386"/>
      <c r="AO41" s="388"/>
      <c r="AP41" s="386"/>
      <c r="AQ41" s="386"/>
      <c r="AR41" s="386"/>
      <c r="AS41" s="388"/>
      <c r="AT41" s="448">
        <v>378</v>
      </c>
      <c r="AU41" s="448">
        <v>449</v>
      </c>
      <c r="AV41" s="448">
        <v>396</v>
      </c>
      <c r="AW41" s="449">
        <v>1427</v>
      </c>
      <c r="AX41" s="448">
        <v>407</v>
      </c>
      <c r="AY41" s="448">
        <v>392</v>
      </c>
      <c r="AZ41" s="448">
        <v>519</v>
      </c>
      <c r="BA41" s="449">
        <v>1496</v>
      </c>
      <c r="BB41" s="448">
        <v>500</v>
      </c>
      <c r="BC41" s="448">
        <v>478</v>
      </c>
      <c r="BD41" s="448">
        <v>415</v>
      </c>
      <c r="BE41" s="449">
        <v>1489</v>
      </c>
      <c r="BF41" s="448">
        <v>367</v>
      </c>
      <c r="BG41" s="448">
        <v>743</v>
      </c>
      <c r="BH41" s="448">
        <v>498</v>
      </c>
      <c r="BI41" s="449">
        <v>1719</v>
      </c>
      <c r="BJ41" s="448">
        <v>547</v>
      </c>
      <c r="BK41" s="448">
        <v>433</v>
      </c>
      <c r="BL41" s="448">
        <v>488</v>
      </c>
      <c r="BM41" s="449">
        <v>1394</v>
      </c>
      <c r="BN41" s="448">
        <v>559</v>
      </c>
      <c r="BO41" s="448">
        <v>455</v>
      </c>
      <c r="BP41" s="448">
        <v>683</v>
      </c>
      <c r="BQ41" s="449">
        <v>1432</v>
      </c>
      <c r="BR41" s="448">
        <v>508</v>
      </c>
      <c r="BS41" s="448">
        <v>570</v>
      </c>
      <c r="BT41" s="448">
        <v>685</v>
      </c>
      <c r="BU41" s="449">
        <v>1381</v>
      </c>
      <c r="BV41" s="448">
        <v>651</v>
      </c>
      <c r="BW41" s="448">
        <v>1210</v>
      </c>
      <c r="BX41" s="448">
        <v>1205</v>
      </c>
      <c r="BY41" s="449">
        <v>1614</v>
      </c>
      <c r="BZ41" s="448">
        <v>860</v>
      </c>
      <c r="CA41" s="448">
        <v>1082</v>
      </c>
      <c r="CB41" s="448">
        <v>1309</v>
      </c>
      <c r="CC41" s="449">
        <v>1821</v>
      </c>
      <c r="CD41" s="448">
        <v>1007</v>
      </c>
      <c r="CE41" s="448">
        <v>1026</v>
      </c>
      <c r="CF41" s="448">
        <v>1173</v>
      </c>
      <c r="CG41" s="449">
        <v>2013</v>
      </c>
      <c r="CH41" s="448">
        <v>884</v>
      </c>
      <c r="CI41" s="448">
        <v>878</v>
      </c>
      <c r="CJ41" s="448">
        <v>836</v>
      </c>
      <c r="CK41" s="449">
        <v>1965</v>
      </c>
      <c r="CL41" s="448">
        <v>1148</v>
      </c>
      <c r="CM41" s="448">
        <v>1628</v>
      </c>
      <c r="CN41" s="448">
        <v>1349</v>
      </c>
      <c r="CO41" s="449">
        <v>2021</v>
      </c>
      <c r="CP41" s="450">
        <v>1574</v>
      </c>
      <c r="CQ41" s="448">
        <v>1471</v>
      </c>
      <c r="CR41" s="448">
        <v>1573</v>
      </c>
      <c r="CS41" s="449">
        <v>2101.9657495164456</v>
      </c>
      <c r="CT41" s="450">
        <v>1272.8160782652369</v>
      </c>
      <c r="CU41" s="448">
        <v>1269.8230816065941</v>
      </c>
      <c r="CV41" s="448">
        <v>1620.7210209968957</v>
      </c>
      <c r="CW41" s="449">
        <v>2582.5899739088163</v>
      </c>
      <c r="CX41" s="386"/>
      <c r="CY41" s="386"/>
      <c r="CZ41" s="386"/>
      <c r="DA41" s="388"/>
      <c r="DB41" s="386"/>
      <c r="DC41" s="386"/>
      <c r="DD41" s="386"/>
      <c r="DE41" s="388"/>
      <c r="DF41" s="386"/>
      <c r="DG41" s="386"/>
      <c r="DH41" s="386"/>
      <c r="DI41" s="388"/>
      <c r="DJ41" s="454"/>
      <c r="DK41" s="389"/>
      <c r="DL41" s="386"/>
      <c r="DM41" s="386"/>
      <c r="DN41" s="386"/>
      <c r="DO41" s="386"/>
      <c r="DP41" s="386"/>
      <c r="DQ41" s="386"/>
      <c r="DR41" s="386"/>
      <c r="DS41" s="448">
        <v>1883</v>
      </c>
      <c r="DT41" s="448">
        <v>2650</v>
      </c>
      <c r="DU41" s="448">
        <v>2814</v>
      </c>
      <c r="DV41" s="448">
        <v>2882</v>
      </c>
      <c r="DW41" s="448">
        <v>3327</v>
      </c>
      <c r="DX41" s="448">
        <v>2862</v>
      </c>
      <c r="DY41" s="448">
        <v>3129</v>
      </c>
      <c r="DZ41" s="448">
        <v>3144</v>
      </c>
      <c r="EA41" s="448">
        <v>4680</v>
      </c>
      <c r="EB41" s="448">
        <v>5072</v>
      </c>
      <c r="EC41" s="448">
        <v>5219</v>
      </c>
      <c r="ED41" s="448">
        <v>4563</v>
      </c>
      <c r="EE41" s="448">
        <v>6146</v>
      </c>
      <c r="EF41" s="448">
        <v>6719.9657495164465</v>
      </c>
      <c r="EG41" s="448">
        <v>6745.9501547775417</v>
      </c>
      <c r="EH41" s="448">
        <v>7975.5381072196442</v>
      </c>
      <c r="EI41" s="448">
        <v>7474.7116367022782</v>
      </c>
      <c r="EJ41" s="448">
        <v>7240.6446705639064</v>
      </c>
      <c r="EK41" s="448">
        <v>7827.2070695848015</v>
      </c>
      <c r="EL41" s="448">
        <v>7515.7902813230394</v>
      </c>
      <c r="EM41" s="448">
        <v>7703.4489236564459</v>
      </c>
      <c r="EN41" s="448">
        <v>7680.0057178810912</v>
      </c>
      <c r="EO41" s="448">
        <v>8365.4362701088812</v>
      </c>
      <c r="EP41" s="389"/>
      <c r="EQ41" s="320">
        <v>5.014790845976469E-2</v>
      </c>
    </row>
    <row r="42" spans="1:147" s="390" customFormat="1" ht="15" customHeight="1" outlineLevel="2">
      <c r="A42" s="385"/>
      <c r="B42"/>
      <c r="C42"/>
      <c r="D42"/>
      <c r="E42"/>
      <c r="F42"/>
      <c r="G42"/>
      <c r="H42" s="386"/>
      <c r="I42" s="451" t="s">
        <v>310</v>
      </c>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20">
        <v>0.52209944751381221</v>
      </c>
      <c r="AU42" s="320">
        <v>0.56054931335830216</v>
      </c>
      <c r="AV42" s="320">
        <v>0.52450331125827809</v>
      </c>
      <c r="AW42" s="452">
        <v>0.57194388777555105</v>
      </c>
      <c r="AX42" s="320">
        <v>0.57002801120448177</v>
      </c>
      <c r="AY42" s="320">
        <v>0.57393850658857981</v>
      </c>
      <c r="AZ42" s="320">
        <v>0.60560093348891486</v>
      </c>
      <c r="BA42" s="452">
        <v>0.58712715855572994</v>
      </c>
      <c r="BB42" s="320">
        <v>0.66225165562913912</v>
      </c>
      <c r="BC42" s="320">
        <v>0.68383404864091557</v>
      </c>
      <c r="BD42" s="320">
        <v>0.6618819776714514</v>
      </c>
      <c r="BE42" s="452">
        <v>0.61835548172757471</v>
      </c>
      <c r="BF42" s="320">
        <v>0.62521294718909715</v>
      </c>
      <c r="BG42" s="320">
        <v>0.70493358633776093</v>
      </c>
      <c r="BH42" s="320">
        <v>0.66311584553928093</v>
      </c>
      <c r="BI42" s="452">
        <v>0.66242774566473983</v>
      </c>
      <c r="BJ42" s="320">
        <v>0.68034825870646765</v>
      </c>
      <c r="BK42" s="320">
        <v>0.71217105263157898</v>
      </c>
      <c r="BL42" s="320">
        <v>0.74277016742770163</v>
      </c>
      <c r="BM42" s="452">
        <v>0.613556338028169</v>
      </c>
      <c r="BN42" s="320">
        <v>0.72409326424870468</v>
      </c>
      <c r="BO42" s="320">
        <v>0.69148936170212771</v>
      </c>
      <c r="BP42" s="320">
        <v>0.5837606837606838</v>
      </c>
      <c r="BQ42" s="452">
        <v>0.64708540442837781</v>
      </c>
      <c r="BR42" s="320">
        <v>0.72261735419630158</v>
      </c>
      <c r="BS42" s="320">
        <v>0.75098814229249011</v>
      </c>
      <c r="BT42" s="320">
        <v>0.65865384615384615</v>
      </c>
      <c r="BU42" s="452">
        <v>0.6520302171860245</v>
      </c>
      <c r="BV42" s="320">
        <v>0.71696035242290745</v>
      </c>
      <c r="BW42" s="320">
        <v>0.7520198881292729</v>
      </c>
      <c r="BX42" s="320">
        <v>0.73926380368098155</v>
      </c>
      <c r="BY42" s="452">
        <v>0.65823817292006526</v>
      </c>
      <c r="BZ42" s="320">
        <v>0.71906354515050164</v>
      </c>
      <c r="CA42" s="320">
        <v>0.76304654442877295</v>
      </c>
      <c r="CB42" s="320">
        <v>0.68822292323869616</v>
      </c>
      <c r="CC42" s="452">
        <v>0.68484392628807822</v>
      </c>
      <c r="CD42" s="320">
        <v>0.72760115606936415</v>
      </c>
      <c r="CE42" s="320">
        <v>0.74079422382671478</v>
      </c>
      <c r="CF42" s="320">
        <v>0.70747889022919175</v>
      </c>
      <c r="CG42" s="452">
        <v>0.71005291005291005</v>
      </c>
      <c r="CH42" s="320">
        <v>0.70270270270270274</v>
      </c>
      <c r="CI42" s="320">
        <v>0.72742336371168181</v>
      </c>
      <c r="CJ42" s="320">
        <v>0.6886326194398682</v>
      </c>
      <c r="CK42" s="452">
        <v>0.72562776957163955</v>
      </c>
      <c r="CL42" s="320">
        <v>0.75427069645203682</v>
      </c>
      <c r="CM42" s="320">
        <v>0.78344562078922042</v>
      </c>
      <c r="CN42" s="320">
        <v>0.76344086021505375</v>
      </c>
      <c r="CO42" s="452">
        <v>0.66240576860045886</v>
      </c>
      <c r="CP42" s="453">
        <v>0.76185866408518876</v>
      </c>
      <c r="CQ42" s="320">
        <v>0.76574700676730867</v>
      </c>
      <c r="CR42" s="320">
        <v>0.76359223300970869</v>
      </c>
      <c r="CS42" s="452">
        <v>0.7488377883259606</v>
      </c>
      <c r="CT42" s="453">
        <v>0.78723136042364616</v>
      </c>
      <c r="CU42" s="320">
        <v>0.80067131208022646</v>
      </c>
      <c r="CV42" s="320">
        <v>0.76713643996963343</v>
      </c>
      <c r="CW42" s="452">
        <v>0.72543842188110597</v>
      </c>
      <c r="CX42" s="389"/>
      <c r="CY42" s="386"/>
      <c r="CZ42" s="386"/>
      <c r="DA42" s="388"/>
      <c r="DB42" s="389"/>
      <c r="DC42" s="386"/>
      <c r="DD42" s="386"/>
      <c r="DE42" s="388"/>
      <c r="DF42" s="389"/>
      <c r="DG42" s="386"/>
      <c r="DH42" s="386"/>
      <c r="DI42" s="388"/>
      <c r="DJ42" s="454"/>
      <c r="DK42" s="448"/>
      <c r="DL42" s="456" t="e">
        <v>#DIV/0!</v>
      </c>
      <c r="DM42" s="456" t="e">
        <v>#DIV/0!</v>
      </c>
      <c r="DN42" s="456" t="e">
        <v>#DIV/0!</v>
      </c>
      <c r="DO42" s="456" t="e">
        <v>#DIV/0!</v>
      </c>
      <c r="DP42" s="456" t="e">
        <v>#DIV/0!</v>
      </c>
      <c r="DQ42" s="456" t="e">
        <v>#DIV/0!</v>
      </c>
      <c r="DR42" s="456" t="e">
        <v>#DIV/0!</v>
      </c>
      <c r="DS42" s="456">
        <v>0.50591080064481464</v>
      </c>
      <c r="DT42" s="456">
        <v>0.55497382198952883</v>
      </c>
      <c r="DU42" s="456">
        <v>0.5860058309037901</v>
      </c>
      <c r="DV42" s="456">
        <v>0.64201381153931836</v>
      </c>
      <c r="DW42" s="456">
        <v>0.66713454982955689</v>
      </c>
      <c r="DX42" s="456">
        <v>0.65929509329647551</v>
      </c>
      <c r="DY42" s="456">
        <v>0.65011427384167875</v>
      </c>
      <c r="DZ42" s="456">
        <v>0.68051948051948052</v>
      </c>
      <c r="EA42" s="456">
        <v>0.70919836338839215</v>
      </c>
      <c r="EB42" s="456">
        <v>0.70689895470383279</v>
      </c>
      <c r="EC42" s="456">
        <v>0.71867254199944919</v>
      </c>
      <c r="ED42" s="456">
        <v>0.71441991545326444</v>
      </c>
      <c r="EE42" s="456">
        <v>0.73010216203373723</v>
      </c>
      <c r="EF42" s="456">
        <v>0.7589776336882923</v>
      </c>
      <c r="EG42" s="456">
        <v>0.76006393200133815</v>
      </c>
      <c r="EH42" s="456">
        <v>0.75825074511503621</v>
      </c>
      <c r="EI42" s="456">
        <v>0.77336082556061203</v>
      </c>
      <c r="EJ42" s="456">
        <v>0.7770088202863269</v>
      </c>
      <c r="EK42" s="456">
        <v>0.77944817087911988</v>
      </c>
      <c r="EL42" s="456">
        <v>0.78542277200787525</v>
      </c>
      <c r="EM42" s="456">
        <v>0.79470324436427409</v>
      </c>
      <c r="EN42" s="456">
        <v>0.79824131050187108</v>
      </c>
      <c r="EO42" s="456">
        <v>0.80071310736230539</v>
      </c>
      <c r="EP42" s="389"/>
      <c r="EQ42" s="386"/>
    </row>
    <row r="43" spans="1:147" s="390" customFormat="1" ht="15" customHeight="1" outlineLevel="2">
      <c r="A43" s="385"/>
      <c r="B43"/>
      <c r="C43"/>
      <c r="D43"/>
      <c r="E43"/>
      <c r="F43"/>
      <c r="G43"/>
      <c r="H43" s="386"/>
      <c r="I43" s="451" t="s">
        <v>1594</v>
      </c>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448"/>
      <c r="AU43" s="448"/>
      <c r="AV43" s="448"/>
      <c r="AW43" s="449"/>
      <c r="AX43" s="457">
        <v>479.28563690669557</v>
      </c>
      <c r="AY43" s="457">
        <v>133.89193230277652</v>
      </c>
      <c r="AZ43" s="457">
        <v>810.97622230636773</v>
      </c>
      <c r="BA43" s="458">
        <v>151.83270780178893</v>
      </c>
      <c r="BB43" s="457">
        <v>922.23644424657357</v>
      </c>
      <c r="BC43" s="457">
        <v>1098.9554205233576</v>
      </c>
      <c r="BD43" s="457">
        <v>562.81044182536539</v>
      </c>
      <c r="BE43" s="458">
        <v>312.28323171844761</v>
      </c>
      <c r="BF43" s="457">
        <v>-370.38708440041978</v>
      </c>
      <c r="BG43" s="457">
        <v>210.9953769684536</v>
      </c>
      <c r="BH43" s="457">
        <v>12.338678678295301</v>
      </c>
      <c r="BI43" s="458">
        <v>440.72263937165121</v>
      </c>
      <c r="BJ43" s="457">
        <v>551.35311517370496</v>
      </c>
      <c r="BK43" s="457">
        <v>72.374662938180506</v>
      </c>
      <c r="BL43" s="457">
        <v>796.54321888420702</v>
      </c>
      <c r="BM43" s="458">
        <v>-488.71407636570831</v>
      </c>
      <c r="BN43" s="457">
        <v>437.45005542237038</v>
      </c>
      <c r="BO43" s="457">
        <v>-206.8169092945127</v>
      </c>
      <c r="BP43" s="457">
        <v>-1590.0948366701784</v>
      </c>
      <c r="BQ43" s="458">
        <v>335.29066400208808</v>
      </c>
      <c r="BR43" s="457">
        <v>-14.759100524031066</v>
      </c>
      <c r="BS43" s="457">
        <v>594.98780590362401</v>
      </c>
      <c r="BT43" s="457">
        <v>748.93162393162345</v>
      </c>
      <c r="BU43" s="458">
        <v>49.448127576466881</v>
      </c>
      <c r="BV43" s="457">
        <v>-56.570017733941214</v>
      </c>
      <c r="BW43" s="457">
        <v>10.317458367827825</v>
      </c>
      <c r="BX43" s="457">
        <v>806.09957527135396</v>
      </c>
      <c r="BY43" s="458">
        <v>62.079557340407597</v>
      </c>
      <c r="BZ43" s="457">
        <v>21.031927275941833</v>
      </c>
      <c r="CA43" s="457">
        <v>110.2665629950006</v>
      </c>
      <c r="CB43" s="457">
        <v>-510.40880442285385</v>
      </c>
      <c r="CC43" s="458">
        <v>266.05753368012961</v>
      </c>
      <c r="CD43" s="457">
        <v>85.376109188625151</v>
      </c>
      <c r="CE43" s="457">
        <v>-222.52320602058174</v>
      </c>
      <c r="CF43" s="457">
        <v>192.55966990495588</v>
      </c>
      <c r="CG43" s="458">
        <v>252.08983764831828</v>
      </c>
      <c r="CH43" s="457">
        <v>-248.98453366661411</v>
      </c>
      <c r="CI43" s="457">
        <v>-133.70860115032968</v>
      </c>
      <c r="CJ43" s="457">
        <v>-188.46270789323549</v>
      </c>
      <c r="CK43" s="458">
        <v>155.748595187295</v>
      </c>
      <c r="CL43" s="457">
        <v>515.67993749334073</v>
      </c>
      <c r="CM43" s="457">
        <v>560.22257077538609</v>
      </c>
      <c r="CN43" s="457">
        <v>748.0824077518555</v>
      </c>
      <c r="CO43" s="458">
        <v>-632.22000971180694</v>
      </c>
      <c r="CP43" s="459">
        <v>75.879676331519491</v>
      </c>
      <c r="CQ43" s="457">
        <v>-176.98614021911752</v>
      </c>
      <c r="CR43" s="457">
        <v>1.5137279465493592</v>
      </c>
      <c r="CS43" s="458">
        <v>864.32019725501743</v>
      </c>
      <c r="CT43" s="459">
        <v>253.72696338457402</v>
      </c>
      <c r="CU43" s="457">
        <v>349.24305312917789</v>
      </c>
      <c r="CV43" s="457">
        <v>35.442069599247446</v>
      </c>
      <c r="CW43" s="458">
        <v>-233.9936644485463</v>
      </c>
      <c r="CX43" s="389"/>
      <c r="CY43" s="386"/>
      <c r="CZ43" s="386"/>
      <c r="DA43" s="388"/>
      <c r="DB43" s="389"/>
      <c r="DC43" s="386"/>
      <c r="DD43" s="386"/>
      <c r="DE43" s="388"/>
      <c r="DF43" s="389"/>
      <c r="DG43" s="386"/>
      <c r="DH43" s="386"/>
      <c r="DI43" s="388"/>
      <c r="DJ43" s="454"/>
      <c r="DK43" s="448"/>
      <c r="DL43" s="448"/>
      <c r="DM43" s="457" t="e">
        <v>#DIV/0!</v>
      </c>
      <c r="DN43" s="457" t="e">
        <v>#DIV/0!</v>
      </c>
      <c r="DO43" s="457" t="e">
        <v>#DIV/0!</v>
      </c>
      <c r="DP43" s="457" t="e">
        <v>#DIV/0!</v>
      </c>
      <c r="DQ43" s="457" t="e">
        <v>#DIV/0!</v>
      </c>
      <c r="DR43" s="457" t="e">
        <v>#DIV/0!</v>
      </c>
      <c r="DS43" s="457" t="e">
        <v>#DIV/0!</v>
      </c>
      <c r="DT43" s="457">
        <v>490.63021344714184</v>
      </c>
      <c r="DU43" s="457">
        <v>310.3200891426128</v>
      </c>
      <c r="DV43" s="457">
        <v>560.07980635528259</v>
      </c>
      <c r="DW43" s="457">
        <v>251.20738290238532</v>
      </c>
      <c r="DX43" s="457">
        <v>-78.394565330813791</v>
      </c>
      <c r="DY43" s="457">
        <v>-91.808194547967631</v>
      </c>
      <c r="DZ43" s="457">
        <v>304.05206677801777</v>
      </c>
      <c r="EA43" s="457">
        <v>286.78882868911626</v>
      </c>
      <c r="EB43" s="457">
        <v>-22.994086845593564</v>
      </c>
      <c r="EC43" s="457">
        <v>117.73587295616394</v>
      </c>
      <c r="ED43" s="457">
        <v>-42.526265461847458</v>
      </c>
      <c r="EE43" s="457">
        <v>156.82246580472793</v>
      </c>
      <c r="EF43" s="457">
        <v>288.75471654555065</v>
      </c>
      <c r="EG43" s="457">
        <v>10.862983130458526</v>
      </c>
      <c r="EH43" s="457">
        <v>-18.131868863019427</v>
      </c>
      <c r="EI43" s="457">
        <v>151.10080445575824</v>
      </c>
      <c r="EJ43" s="457">
        <v>36.479947257148652</v>
      </c>
      <c r="EK43" s="457">
        <v>24.39350592792988</v>
      </c>
      <c r="EL43" s="457">
        <v>59.746011287553635</v>
      </c>
      <c r="EM43" s="457">
        <v>92.804723563988389</v>
      </c>
      <c r="EN43" s="457">
        <v>35.380661375969957</v>
      </c>
      <c r="EO43" s="457">
        <v>24.717968604343056</v>
      </c>
      <c r="EP43" s="389"/>
      <c r="EQ43" s="386"/>
    </row>
    <row r="44" spans="1:147" s="390" customFormat="1" ht="15" customHeight="1" outlineLevel="3">
      <c r="A44" s="385"/>
      <c r="B44"/>
      <c r="C44"/>
      <c r="D44"/>
      <c r="E44"/>
      <c r="F44"/>
      <c r="G44"/>
      <c r="H44" s="386"/>
      <c r="I44" s="379"/>
      <c r="J44" s="386"/>
      <c r="K44" s="386"/>
      <c r="L44" s="386"/>
      <c r="M44" s="388"/>
      <c r="N44" s="386"/>
      <c r="O44" s="386"/>
      <c r="P44" s="386"/>
      <c r="Q44" s="388"/>
      <c r="R44" s="386"/>
      <c r="S44" s="386"/>
      <c r="T44" s="386"/>
      <c r="U44" s="388"/>
      <c r="V44" s="386"/>
      <c r="W44" s="386"/>
      <c r="X44" s="386"/>
      <c r="Y44" s="388"/>
      <c r="Z44" s="386"/>
      <c r="AA44" s="386"/>
      <c r="AB44" s="386"/>
      <c r="AC44" s="388"/>
      <c r="AD44" s="386"/>
      <c r="AE44" s="386"/>
      <c r="AF44" s="386"/>
      <c r="AG44" s="388"/>
      <c r="AH44" s="386"/>
      <c r="AI44" s="386"/>
      <c r="AJ44" s="386"/>
      <c r="AK44" s="388"/>
      <c r="AL44" s="386"/>
      <c r="AM44" s="386"/>
      <c r="AN44" s="386"/>
      <c r="AO44" s="388"/>
      <c r="AP44" s="386"/>
      <c r="AQ44" s="386"/>
      <c r="AR44" s="386"/>
      <c r="AS44" s="388"/>
      <c r="AT44" s="448"/>
      <c r="AU44" s="448"/>
      <c r="AV44" s="448"/>
      <c r="AW44" s="449"/>
      <c r="AX44" s="448"/>
      <c r="AY44" s="448"/>
      <c r="AZ44" s="448"/>
      <c r="BA44" s="449"/>
      <c r="BB44" s="448"/>
      <c r="BC44" s="448"/>
      <c r="BD44" s="448"/>
      <c r="BE44" s="449"/>
      <c r="BF44" s="448"/>
      <c r="BG44" s="448"/>
      <c r="BH44" s="448"/>
      <c r="BI44" s="449"/>
      <c r="BJ44" s="448"/>
      <c r="BK44" s="448"/>
      <c r="BL44" s="448"/>
      <c r="BM44" s="449"/>
      <c r="BN44" s="448"/>
      <c r="BO44" s="448"/>
      <c r="BP44" s="448"/>
      <c r="BQ44" s="449"/>
      <c r="BR44" s="448"/>
      <c r="BS44" s="448"/>
      <c r="BT44" s="448"/>
      <c r="BU44" s="449"/>
      <c r="BV44" s="448"/>
      <c r="BW44" s="448"/>
      <c r="BX44" s="448"/>
      <c r="BY44" s="449"/>
      <c r="BZ44" s="448"/>
      <c r="CA44" s="448"/>
      <c r="CB44" s="448"/>
      <c r="CC44" s="449"/>
      <c r="CD44" s="448"/>
      <c r="CE44" s="448"/>
      <c r="CF44" s="448"/>
      <c r="CG44" s="449"/>
      <c r="CH44" s="448"/>
      <c r="CI44" s="384"/>
      <c r="CJ44" s="384"/>
      <c r="CK44" s="455"/>
      <c r="CL44" s="448"/>
      <c r="CM44" s="384"/>
      <c r="CN44" s="384"/>
      <c r="CO44" s="460"/>
      <c r="CP44" s="450"/>
      <c r="CQ44" s="448"/>
      <c r="CR44" s="448"/>
      <c r="CS44" s="449"/>
      <c r="CT44" s="450"/>
      <c r="CU44" s="448"/>
      <c r="CV44" s="448"/>
      <c r="CW44" s="449"/>
      <c r="CX44" s="386"/>
      <c r="CY44" s="386"/>
      <c r="CZ44" s="386"/>
      <c r="DA44" s="388"/>
      <c r="DB44" s="386"/>
      <c r="DC44" s="386"/>
      <c r="DD44" s="386"/>
      <c r="DE44" s="388"/>
      <c r="DF44" s="386"/>
      <c r="DG44" s="386"/>
      <c r="DH44" s="386"/>
      <c r="DI44" s="388"/>
      <c r="DJ44" s="454"/>
      <c r="DK44" s="389"/>
      <c r="DL44" s="386"/>
      <c r="DM44" s="386"/>
      <c r="DN44" s="386"/>
      <c r="DO44" s="386"/>
      <c r="DP44" s="386"/>
      <c r="DQ44" s="386"/>
      <c r="DR44" s="386"/>
      <c r="DS44" s="448"/>
      <c r="DT44" s="448"/>
      <c r="DU44" s="448"/>
      <c r="DV44" s="448"/>
      <c r="DW44" s="448"/>
      <c r="DX44" s="448"/>
      <c r="DY44" s="448"/>
      <c r="DZ44" s="448"/>
      <c r="EA44" s="448"/>
      <c r="EB44" s="448"/>
      <c r="EC44" s="448"/>
      <c r="ED44" s="448"/>
      <c r="EE44" s="448"/>
      <c r="EF44" s="448"/>
      <c r="EG44" s="448"/>
      <c r="EH44" s="448"/>
      <c r="EI44" s="448"/>
      <c r="EJ44" s="448"/>
      <c r="EK44" s="448"/>
      <c r="EL44" s="448"/>
      <c r="EM44" s="448"/>
      <c r="EN44" s="448"/>
      <c r="EO44" s="448"/>
      <c r="EP44" s="389"/>
      <c r="EQ44" s="386"/>
    </row>
    <row r="45" spans="1:147" s="377" customFormat="1" ht="15" customHeight="1" outlineLevel="3">
      <c r="A45" s="368"/>
      <c r="B45"/>
      <c r="C45"/>
      <c r="D45"/>
      <c r="E45"/>
      <c r="F45"/>
      <c r="G45"/>
      <c r="H45" s="369"/>
      <c r="I45" s="379" t="s">
        <v>1595</v>
      </c>
      <c r="J45" s="369"/>
      <c r="K45" s="369"/>
      <c r="L45" s="369"/>
      <c r="M45" s="371"/>
      <c r="N45" s="369"/>
      <c r="O45" s="369"/>
      <c r="P45" s="369"/>
      <c r="Q45" s="371"/>
      <c r="R45" s="369"/>
      <c r="S45" s="369"/>
      <c r="T45" s="369"/>
      <c r="U45" s="371"/>
      <c r="V45" s="369"/>
      <c r="W45" s="369"/>
      <c r="X45" s="369"/>
      <c r="Y45" s="371"/>
      <c r="Z45" s="369"/>
      <c r="AA45" s="369"/>
      <c r="AB45" s="369"/>
      <c r="AC45" s="371"/>
      <c r="AD45" s="369"/>
      <c r="AE45" s="369"/>
      <c r="AF45" s="369"/>
      <c r="AG45" s="371"/>
      <c r="AH45" s="369"/>
      <c r="AI45" s="369"/>
      <c r="AJ45" s="369"/>
      <c r="AK45" s="371"/>
      <c r="AL45" s="369"/>
      <c r="AM45" s="369"/>
      <c r="AN45" s="369"/>
      <c r="AO45" s="371"/>
      <c r="AP45" s="369"/>
      <c r="AQ45" s="369"/>
      <c r="AR45" s="369"/>
      <c r="AS45" s="371"/>
      <c r="AT45" s="448">
        <v>119</v>
      </c>
      <c r="AU45" s="448">
        <v>156</v>
      </c>
      <c r="AV45" s="448">
        <v>75</v>
      </c>
      <c r="AW45" s="449">
        <v>884</v>
      </c>
      <c r="AX45" s="448">
        <v>165</v>
      </c>
      <c r="AY45" s="448">
        <v>101</v>
      </c>
      <c r="AZ45" s="448">
        <v>204</v>
      </c>
      <c r="BA45" s="449">
        <v>901</v>
      </c>
      <c r="BB45" s="448">
        <v>218</v>
      </c>
      <c r="BC45" s="448">
        <v>165</v>
      </c>
      <c r="BD45" s="448">
        <v>85</v>
      </c>
      <c r="BE45" s="449">
        <v>890</v>
      </c>
      <c r="BF45" s="448">
        <v>90</v>
      </c>
      <c r="BG45" s="448">
        <v>300</v>
      </c>
      <c r="BH45" s="448">
        <v>154</v>
      </c>
      <c r="BI45" s="449">
        <v>1154</v>
      </c>
      <c r="BJ45" s="448">
        <v>246</v>
      </c>
      <c r="BK45" s="448">
        <v>118</v>
      </c>
      <c r="BL45" s="448">
        <v>104</v>
      </c>
      <c r="BM45" s="449">
        <v>850</v>
      </c>
      <c r="BN45" s="448">
        <v>240</v>
      </c>
      <c r="BO45" s="448">
        <v>113</v>
      </c>
      <c r="BP45" s="448">
        <v>260</v>
      </c>
      <c r="BQ45" s="449">
        <v>914</v>
      </c>
      <c r="BR45" s="448">
        <v>204</v>
      </c>
      <c r="BS45" s="448">
        <v>173</v>
      </c>
      <c r="BT45" s="448">
        <v>251</v>
      </c>
      <c r="BU45" s="449">
        <v>838</v>
      </c>
      <c r="BV45" s="448">
        <v>252</v>
      </c>
      <c r="BW45" s="448">
        <v>588</v>
      </c>
      <c r="BX45" s="448">
        <v>574</v>
      </c>
      <c r="BY45" s="449">
        <v>919</v>
      </c>
      <c r="BZ45" s="448">
        <v>351</v>
      </c>
      <c r="CA45" s="448">
        <v>470</v>
      </c>
      <c r="CB45" s="448">
        <v>625</v>
      </c>
      <c r="CC45" s="449">
        <v>932</v>
      </c>
      <c r="CD45" s="448">
        <v>395</v>
      </c>
      <c r="CE45" s="448">
        <v>385</v>
      </c>
      <c r="CF45" s="448">
        <v>492</v>
      </c>
      <c r="CG45" s="449">
        <v>1207</v>
      </c>
      <c r="CH45" s="448">
        <v>303</v>
      </c>
      <c r="CI45" s="448">
        <v>307</v>
      </c>
      <c r="CJ45" s="448">
        <v>299</v>
      </c>
      <c r="CK45" s="449">
        <v>1144</v>
      </c>
      <c r="CL45" s="448">
        <v>517</v>
      </c>
      <c r="CM45" s="448">
        <v>963</v>
      </c>
      <c r="CN45" s="448">
        <v>706</v>
      </c>
      <c r="CO45" s="449">
        <v>1154</v>
      </c>
      <c r="CP45" s="450">
        <v>819</v>
      </c>
      <c r="CQ45" s="448">
        <v>728</v>
      </c>
      <c r="CR45" s="448">
        <v>920</v>
      </c>
      <c r="CS45" s="449">
        <v>1323.6757495164459</v>
      </c>
      <c r="CT45" s="450">
        <v>560.99107826523687</v>
      </c>
      <c r="CU45" s="448">
        <v>514.4510816065939</v>
      </c>
      <c r="CV45" s="448">
        <v>841.91102099689556</v>
      </c>
      <c r="CW45" s="449">
        <v>1560.1890739088162</v>
      </c>
      <c r="CX45" s="369"/>
      <c r="CY45" s="369"/>
      <c r="CZ45" s="369"/>
      <c r="DA45" s="371"/>
      <c r="DB45" s="369"/>
      <c r="DC45" s="369"/>
      <c r="DD45" s="369"/>
      <c r="DE45" s="371"/>
      <c r="DF45" s="369"/>
      <c r="DG45" s="369"/>
      <c r="DH45" s="369"/>
      <c r="DI45" s="371"/>
      <c r="DJ45" s="374"/>
      <c r="DK45" s="375"/>
      <c r="DL45" s="369"/>
      <c r="DM45" s="369"/>
      <c r="DN45" s="369"/>
      <c r="DO45" s="369"/>
      <c r="DP45" s="369"/>
      <c r="DQ45" s="369"/>
      <c r="DR45" s="369"/>
      <c r="DS45" s="461">
        <v>767</v>
      </c>
      <c r="DT45" s="461">
        <v>1234</v>
      </c>
      <c r="DU45" s="461">
        <v>1371</v>
      </c>
      <c r="DV45" s="448">
        <v>1358</v>
      </c>
      <c r="DW45" s="461">
        <v>1698</v>
      </c>
      <c r="DX45" s="461">
        <v>1318</v>
      </c>
      <c r="DY45" s="461">
        <v>1527</v>
      </c>
      <c r="DZ45" s="461">
        <v>1466</v>
      </c>
      <c r="EA45" s="448">
        <v>2333</v>
      </c>
      <c r="EB45" s="448">
        <v>2378</v>
      </c>
      <c r="EC45" s="448">
        <v>2479</v>
      </c>
      <c r="ED45" s="448">
        <v>2053</v>
      </c>
      <c r="EE45" s="448">
        <v>3397</v>
      </c>
      <c r="EF45" s="448">
        <v>3847.6757495164456</v>
      </c>
      <c r="EG45" s="448">
        <v>3534.542254777542</v>
      </c>
      <c r="EH45" s="448">
        <v>4442.4395928196427</v>
      </c>
      <c r="EI45" s="448">
        <v>4044.2248084422781</v>
      </c>
      <c r="EJ45" s="448">
        <v>3748.2969716937055</v>
      </c>
      <c r="EK45" s="448">
        <v>4271.8287713517457</v>
      </c>
      <c r="EL45" s="448">
        <v>3896.1889352860198</v>
      </c>
      <c r="EM45" s="448">
        <v>4018.4089140409869</v>
      </c>
      <c r="EN45" s="448">
        <v>3928.2878050490494</v>
      </c>
      <c r="EO45" s="448">
        <v>4545.7771249656807</v>
      </c>
      <c r="EP45" s="375"/>
      <c r="EQ45" s="320">
        <v>4.4563714612880334E-2</v>
      </c>
    </row>
    <row r="46" spans="1:147" s="377" customFormat="1" ht="15" customHeight="1" outlineLevel="3">
      <c r="A46" s="368"/>
      <c r="B46"/>
      <c r="C46"/>
      <c r="D46"/>
      <c r="E46"/>
      <c r="F46"/>
      <c r="G46"/>
      <c r="H46" s="369"/>
      <c r="I46" s="451" t="s">
        <v>310</v>
      </c>
      <c r="J46" s="369"/>
      <c r="K46" s="369"/>
      <c r="L46" s="369"/>
      <c r="M46" s="371"/>
      <c r="N46" s="369"/>
      <c r="O46" s="369"/>
      <c r="P46" s="369"/>
      <c r="Q46" s="371"/>
      <c r="R46" s="369"/>
      <c r="S46" s="369"/>
      <c r="T46" s="369"/>
      <c r="U46" s="371"/>
      <c r="V46" s="369"/>
      <c r="W46" s="369"/>
      <c r="X46" s="369"/>
      <c r="Y46" s="371"/>
      <c r="Z46" s="369"/>
      <c r="AA46" s="369"/>
      <c r="AB46" s="369"/>
      <c r="AC46" s="371"/>
      <c r="AD46" s="369"/>
      <c r="AE46" s="369"/>
      <c r="AF46" s="369"/>
      <c r="AG46" s="371"/>
      <c r="AH46" s="369"/>
      <c r="AI46" s="369"/>
      <c r="AJ46" s="369"/>
      <c r="AK46" s="371"/>
      <c r="AL46" s="369"/>
      <c r="AM46" s="369"/>
      <c r="AN46" s="369"/>
      <c r="AO46" s="371"/>
      <c r="AP46" s="369"/>
      <c r="AQ46" s="369"/>
      <c r="AR46" s="369"/>
      <c r="AS46" s="371"/>
      <c r="AT46" s="456">
        <v>0.1643646408839779</v>
      </c>
      <c r="AU46" s="456">
        <v>0.19475655430711611</v>
      </c>
      <c r="AV46" s="456">
        <v>9.9337748344370855E-2</v>
      </c>
      <c r="AW46" s="462">
        <v>0.35430861723446894</v>
      </c>
      <c r="AX46" s="456">
        <v>0.23109243697478993</v>
      </c>
      <c r="AY46" s="456">
        <v>0.14787701317715959</v>
      </c>
      <c r="AZ46" s="456">
        <v>0.23803967327887982</v>
      </c>
      <c r="BA46" s="462">
        <v>0.35361067503924648</v>
      </c>
      <c r="BB46" s="456">
        <v>0.28874172185430463</v>
      </c>
      <c r="BC46" s="456">
        <v>0.23605150214592274</v>
      </c>
      <c r="BD46" s="456">
        <v>0.13556618819776714</v>
      </c>
      <c r="BE46" s="462">
        <v>0.36960132890365449</v>
      </c>
      <c r="BF46" s="456">
        <v>0.15332197614991483</v>
      </c>
      <c r="BG46" s="456">
        <v>0.28462998102466791</v>
      </c>
      <c r="BH46" s="456">
        <v>0.20505992010652463</v>
      </c>
      <c r="BI46" s="462">
        <v>0.44470134874759154</v>
      </c>
      <c r="BJ46" s="456">
        <v>0.30597014925373134</v>
      </c>
      <c r="BK46" s="456">
        <v>0.19407894736842105</v>
      </c>
      <c r="BL46" s="456">
        <v>0.15829528158295281</v>
      </c>
      <c r="BM46" s="462">
        <v>0.37411971830985913</v>
      </c>
      <c r="BN46" s="456">
        <v>0.31088082901554404</v>
      </c>
      <c r="BO46" s="456">
        <v>0.17173252279635259</v>
      </c>
      <c r="BP46" s="456">
        <v>0.22222222222222221</v>
      </c>
      <c r="BQ46" s="462">
        <v>0.41301400813375511</v>
      </c>
      <c r="BR46" s="456">
        <v>0.29018492176386912</v>
      </c>
      <c r="BS46" s="456">
        <v>0.22793148880105402</v>
      </c>
      <c r="BT46" s="456">
        <v>0.24134615384615385</v>
      </c>
      <c r="BU46" s="462">
        <v>0.39565627950897075</v>
      </c>
      <c r="BV46" s="456">
        <v>0.27753303964757708</v>
      </c>
      <c r="BW46" s="456">
        <v>0.36544437538844005</v>
      </c>
      <c r="BX46" s="456">
        <v>0.3521472392638037</v>
      </c>
      <c r="BY46" s="462">
        <v>0.37479608482871124</v>
      </c>
      <c r="BZ46" s="456">
        <v>0.29347826086956524</v>
      </c>
      <c r="CA46" s="456">
        <v>0.33145275035260929</v>
      </c>
      <c r="CB46" s="456">
        <v>0.32860147213459517</v>
      </c>
      <c r="CC46" s="462">
        <v>0.35050770966528771</v>
      </c>
      <c r="CD46" s="456">
        <v>0.28540462427745666</v>
      </c>
      <c r="CE46" s="456">
        <v>0.27797833935018051</v>
      </c>
      <c r="CF46" s="456">
        <v>0.29674306393244876</v>
      </c>
      <c r="CG46" s="462">
        <v>0.42574955908289241</v>
      </c>
      <c r="CH46" s="456">
        <v>0.24085850556438793</v>
      </c>
      <c r="CI46" s="456">
        <v>0.25434962717481358</v>
      </c>
      <c r="CJ46" s="456">
        <v>0.24629324546952225</v>
      </c>
      <c r="CK46" s="462">
        <v>0.42245199409158052</v>
      </c>
      <c r="CL46" s="456">
        <v>0.33968462549277267</v>
      </c>
      <c r="CM46" s="456">
        <v>0.46342637151106836</v>
      </c>
      <c r="CN46" s="456">
        <v>0.39954725523486134</v>
      </c>
      <c r="CO46" s="462">
        <v>0.3782366437233694</v>
      </c>
      <c r="CP46" s="463">
        <v>0.39641819941916745</v>
      </c>
      <c r="CQ46" s="456">
        <v>0.37896928682977615</v>
      </c>
      <c r="CR46" s="456">
        <v>0.44660194174757284</v>
      </c>
      <c r="CS46" s="462">
        <v>0.47156735116004245</v>
      </c>
      <c r="CT46" s="463">
        <v>0.34697060892739695</v>
      </c>
      <c r="CU46" s="456">
        <v>0.32438079640976042</v>
      </c>
      <c r="CV46" s="456">
        <v>0.39850203400304685</v>
      </c>
      <c r="CW46" s="462">
        <v>0.43825040406995602</v>
      </c>
      <c r="CX46" s="369"/>
      <c r="CY46" s="369"/>
      <c r="CZ46" s="369"/>
      <c r="DA46" s="371"/>
      <c r="DB46" s="369"/>
      <c r="DC46" s="369"/>
      <c r="DD46" s="369"/>
      <c r="DE46" s="371"/>
      <c r="DF46" s="369"/>
      <c r="DG46" s="369"/>
      <c r="DH46" s="369"/>
      <c r="DI46" s="371"/>
      <c r="DJ46" s="374"/>
      <c r="DK46" s="375"/>
      <c r="DL46" s="369"/>
      <c r="DM46" s="369"/>
      <c r="DN46" s="369"/>
      <c r="DO46" s="369"/>
      <c r="DP46" s="369"/>
      <c r="DQ46" s="369"/>
      <c r="DR46" s="369"/>
      <c r="DS46" s="456">
        <v>0.2060720042987641</v>
      </c>
      <c r="DT46" s="456">
        <v>0.25842931937172775</v>
      </c>
      <c r="DU46" s="456">
        <v>0.285506039150354</v>
      </c>
      <c r="DV46" s="456">
        <v>0.30251726442414789</v>
      </c>
      <c r="DW46" s="456">
        <v>0.34048526168036897</v>
      </c>
      <c r="DX46" s="456">
        <v>0.30361667818475008</v>
      </c>
      <c r="DY46" s="456">
        <v>0.31726573862455848</v>
      </c>
      <c r="DZ46" s="456">
        <v>0.31731601731601733</v>
      </c>
      <c r="EA46" s="456">
        <v>0.35353841491135019</v>
      </c>
      <c r="EB46" s="456">
        <v>0.33142857142857141</v>
      </c>
      <c r="EC46" s="456">
        <v>0.34136601487193613</v>
      </c>
      <c r="ED46" s="456">
        <v>0.32143416314388601</v>
      </c>
      <c r="EE46" s="456">
        <v>0.40354003326205751</v>
      </c>
      <c r="EF46" s="456">
        <v>0.43457064283072522</v>
      </c>
      <c r="EG46" s="456">
        <v>0.39823568546359722</v>
      </c>
      <c r="EH46" s="456">
        <v>0.42235183207698579</v>
      </c>
      <c r="EI46" s="456">
        <v>0.4184301935143942</v>
      </c>
      <c r="EJ46" s="456">
        <v>0.40223763774776056</v>
      </c>
      <c r="EK46" s="456">
        <v>0.42539683600264588</v>
      </c>
      <c r="EL46" s="456">
        <v>0.40716350500403592</v>
      </c>
      <c r="EM46" s="456">
        <v>0.41454712464750432</v>
      </c>
      <c r="EN46" s="456">
        <v>0.40829678007010856</v>
      </c>
      <c r="EO46" s="456">
        <v>0.43510741216373905</v>
      </c>
      <c r="EP46" s="375"/>
      <c r="EQ46" s="369"/>
    </row>
    <row r="47" spans="1:147" s="377" customFormat="1" ht="15" customHeight="1" outlineLevel="3">
      <c r="A47" s="368"/>
      <c r="B47"/>
      <c r="C47"/>
      <c r="D47"/>
      <c r="E47"/>
      <c r="F47"/>
      <c r="G47"/>
      <c r="H47" s="369"/>
      <c r="I47" s="451" t="s">
        <v>1596</v>
      </c>
      <c r="J47" s="369"/>
      <c r="K47" s="369"/>
      <c r="L47" s="369"/>
      <c r="M47" s="371"/>
      <c r="N47" s="369"/>
      <c r="O47" s="369"/>
      <c r="P47" s="369"/>
      <c r="Q47" s="371"/>
      <c r="R47" s="369"/>
      <c r="S47" s="369"/>
      <c r="T47" s="369"/>
      <c r="U47" s="371"/>
      <c r="V47" s="369"/>
      <c r="W47" s="369"/>
      <c r="X47" s="369"/>
      <c r="Y47" s="371"/>
      <c r="Z47" s="369"/>
      <c r="AA47" s="369"/>
      <c r="AB47" s="369"/>
      <c r="AC47" s="371"/>
      <c r="AD47" s="369"/>
      <c r="AE47" s="369"/>
      <c r="AF47" s="369"/>
      <c r="AG47" s="371"/>
      <c r="AH47" s="369"/>
      <c r="AI47" s="369"/>
      <c r="AJ47" s="369"/>
      <c r="AK47" s="371"/>
      <c r="AL47" s="369"/>
      <c r="AM47" s="369"/>
      <c r="AN47" s="369"/>
      <c r="AO47" s="371"/>
      <c r="AP47" s="369"/>
      <c r="AQ47" s="369"/>
      <c r="AR47" s="369"/>
      <c r="AS47" s="371"/>
      <c r="AT47" s="456"/>
      <c r="AU47" s="456"/>
      <c r="AV47" s="456"/>
      <c r="AW47" s="462"/>
      <c r="AX47" s="457">
        <v>667.27796090812035</v>
      </c>
      <c r="AY47" s="457">
        <v>-468.79541129956516</v>
      </c>
      <c r="AZ47" s="457">
        <v>1387.0192493450895</v>
      </c>
      <c r="BA47" s="458">
        <v>-6.9794219522245626</v>
      </c>
      <c r="BB47" s="457">
        <v>576.4928487951471</v>
      </c>
      <c r="BC47" s="457">
        <v>881.74488968763148</v>
      </c>
      <c r="BD47" s="457">
        <v>-1024.7348508111268</v>
      </c>
      <c r="BE47" s="458">
        <v>159.90653864408011</v>
      </c>
      <c r="BF47" s="457">
        <v>-1354.1974570438981</v>
      </c>
      <c r="BG47" s="457">
        <v>485.7847887874517</v>
      </c>
      <c r="BH47" s="457">
        <v>694.93731908757491</v>
      </c>
      <c r="BI47" s="458">
        <v>751.00019843937048</v>
      </c>
      <c r="BJ47" s="457">
        <v>1526.481731038165</v>
      </c>
      <c r="BK47" s="457">
        <v>-905.51033656246864</v>
      </c>
      <c r="BL47" s="457">
        <v>-467.64638523571824</v>
      </c>
      <c r="BM47" s="458">
        <v>-705.81630437732417</v>
      </c>
      <c r="BN47" s="457">
        <v>49.106797618126976</v>
      </c>
      <c r="BO47" s="457">
        <v>-223.46424572068452</v>
      </c>
      <c r="BP47" s="457">
        <v>639.26940639269401</v>
      </c>
      <c r="BQ47" s="458">
        <v>388.9428982389598</v>
      </c>
      <c r="BR47" s="457">
        <v>-206.95907251674916</v>
      </c>
      <c r="BS47" s="457">
        <v>561.98966004701424</v>
      </c>
      <c r="BT47" s="457">
        <v>191.23931623931639</v>
      </c>
      <c r="BU47" s="458">
        <v>-173.57728624784352</v>
      </c>
      <c r="BV47" s="457">
        <v>-126.51882116292035</v>
      </c>
      <c r="BW47" s="457">
        <v>1375.1288658738604</v>
      </c>
      <c r="BX47" s="457">
        <v>1108.0108541764985</v>
      </c>
      <c r="BY47" s="458">
        <v>-208.60194680259514</v>
      </c>
      <c r="BZ47" s="457">
        <v>159.4522122198816</v>
      </c>
      <c r="CA47" s="457">
        <v>-339.91625035830754</v>
      </c>
      <c r="CB47" s="457">
        <v>-235.45767129208528</v>
      </c>
      <c r="CC47" s="458">
        <v>-242.88375163423527</v>
      </c>
      <c r="CD47" s="457">
        <v>-80.736365921085792</v>
      </c>
      <c r="CE47" s="457">
        <v>-534.74411002428781</v>
      </c>
      <c r="CF47" s="457">
        <v>-318.58408202146416</v>
      </c>
      <c r="CG47" s="458">
        <v>752.41849417604703</v>
      </c>
      <c r="CH47" s="457">
        <v>-445.46118713068739</v>
      </c>
      <c r="CI47" s="457">
        <v>-236.2871217536694</v>
      </c>
      <c r="CJ47" s="457">
        <v>-504.4981846292651</v>
      </c>
      <c r="CK47" s="458">
        <v>-32.975649913118964</v>
      </c>
      <c r="CL47" s="457">
        <v>988.26119928384753</v>
      </c>
      <c r="CM47" s="457">
        <v>2090.767443362548</v>
      </c>
      <c r="CN47" s="457">
        <v>1532.5400976533908</v>
      </c>
      <c r="CO47" s="458">
        <v>-442.15350368211114</v>
      </c>
      <c r="CP47" s="459">
        <v>567.33573926394774</v>
      </c>
      <c r="CQ47" s="457">
        <v>-844.57084681292201</v>
      </c>
      <c r="CR47" s="457">
        <v>470.54686512711498</v>
      </c>
      <c r="CS47" s="458">
        <v>933.30707436673049</v>
      </c>
      <c r="CT47" s="459">
        <v>-494.47590491770501</v>
      </c>
      <c r="CU47" s="457">
        <v>-545.88490420015739</v>
      </c>
      <c r="CV47" s="457">
        <v>-480.99907744525996</v>
      </c>
      <c r="CW47" s="458">
        <v>-333.16947090086421</v>
      </c>
      <c r="CX47" s="369"/>
      <c r="CY47" s="369"/>
      <c r="CZ47" s="369"/>
      <c r="DA47" s="371"/>
      <c r="DB47" s="369"/>
      <c r="DC47" s="369"/>
      <c r="DD47" s="369"/>
      <c r="DE47" s="371"/>
      <c r="DF47" s="369"/>
      <c r="DG47" s="369"/>
      <c r="DH47" s="369"/>
      <c r="DI47" s="371"/>
      <c r="DJ47" s="374"/>
      <c r="DK47" s="375"/>
      <c r="DL47" s="369"/>
      <c r="DM47" s="369"/>
      <c r="DN47" s="369"/>
      <c r="DO47" s="369"/>
      <c r="DP47" s="369"/>
      <c r="DQ47" s="369"/>
      <c r="DR47" s="369"/>
      <c r="DS47" s="456"/>
      <c r="DT47" s="457">
        <v>523.5731507296365</v>
      </c>
      <c r="DU47" s="457">
        <v>270.76719778626244</v>
      </c>
      <c r="DV47" s="457">
        <v>170.11225273793895</v>
      </c>
      <c r="DW47" s="457">
        <v>379.67997256221076</v>
      </c>
      <c r="DX47" s="457">
        <v>-368.6858349561889</v>
      </c>
      <c r="DY47" s="457">
        <v>136.49060439808403</v>
      </c>
      <c r="DZ47" s="457">
        <v>0.50278691458849334</v>
      </c>
      <c r="EA47" s="457">
        <v>362.22397595332853</v>
      </c>
      <c r="EB47" s="457">
        <v>-221.0984348277878</v>
      </c>
      <c r="EC47" s="457">
        <v>99.374434433647238</v>
      </c>
      <c r="ED47" s="457">
        <v>-199.3185172805012</v>
      </c>
      <c r="EE47" s="457">
        <v>821.05870118171492</v>
      </c>
      <c r="EF47" s="457">
        <v>310.30609568667711</v>
      </c>
      <c r="EG47" s="457">
        <v>-363.34957367127998</v>
      </c>
      <c r="EH47" s="457">
        <v>241.16146613388568</v>
      </c>
      <c r="EI47" s="457">
        <v>-39.216385625915898</v>
      </c>
      <c r="EJ47" s="457">
        <v>-161.92555766633643</v>
      </c>
      <c r="EK47" s="457">
        <v>231.59198254885328</v>
      </c>
      <c r="EL47" s="457">
        <v>-182.33330998609964</v>
      </c>
      <c r="EM47" s="457">
        <v>73.83619643468397</v>
      </c>
      <c r="EN47" s="457">
        <v>-62.503445773957608</v>
      </c>
      <c r="EO47" s="457">
        <v>268.10632093630494</v>
      </c>
      <c r="EP47" s="375"/>
      <c r="EQ47" s="369"/>
    </row>
    <row r="48" spans="1:147" s="377" customFormat="1" ht="15" customHeight="1" outlineLevel="3">
      <c r="A48" s="368"/>
      <c r="B48"/>
      <c r="C48"/>
      <c r="D48"/>
      <c r="E48"/>
      <c r="F48"/>
      <c r="G48"/>
      <c r="H48" s="369"/>
      <c r="I48" s="451" t="s">
        <v>1432</v>
      </c>
      <c r="J48" s="369"/>
      <c r="K48" s="369"/>
      <c r="L48" s="369"/>
      <c r="M48" s="371"/>
      <c r="N48" s="369"/>
      <c r="O48" s="369"/>
      <c r="P48" s="369"/>
      <c r="Q48" s="371"/>
      <c r="R48" s="369"/>
      <c r="S48" s="369"/>
      <c r="T48" s="369"/>
      <c r="U48" s="371"/>
      <c r="V48" s="369"/>
      <c r="W48" s="369"/>
      <c r="X48" s="369"/>
      <c r="Y48" s="371"/>
      <c r="Z48" s="369"/>
      <c r="AA48" s="369"/>
      <c r="AB48" s="369"/>
      <c r="AC48" s="371"/>
      <c r="AD48" s="369"/>
      <c r="AE48" s="369"/>
      <c r="AF48" s="369"/>
      <c r="AG48" s="371"/>
      <c r="AH48" s="369"/>
      <c r="AI48" s="369"/>
      <c r="AJ48" s="369"/>
      <c r="AK48" s="371"/>
      <c r="AL48" s="369"/>
      <c r="AM48" s="369"/>
      <c r="AN48" s="369"/>
      <c r="AO48" s="371"/>
      <c r="AP48" s="369"/>
      <c r="AQ48" s="369"/>
      <c r="AR48" s="369"/>
      <c r="AS48" s="371"/>
      <c r="AT48" s="456">
        <v>0.1643646408839779</v>
      </c>
      <c r="AU48" s="456">
        <v>0.19475655430711611</v>
      </c>
      <c r="AV48" s="456">
        <v>9.9337748344370855E-2</v>
      </c>
      <c r="AW48" s="462">
        <v>0.35430861723446894</v>
      </c>
      <c r="AX48" s="456">
        <v>-4.5999999999999996</v>
      </c>
      <c r="AY48" s="456">
        <v>0.46610169491525422</v>
      </c>
      <c r="AZ48" s="456">
        <v>1.2647058823529411</v>
      </c>
      <c r="BA48" s="462">
        <v>0.32075471698113206</v>
      </c>
      <c r="BB48" s="456">
        <v>1.2926829268292683</v>
      </c>
      <c r="BC48" s="456">
        <v>4</v>
      </c>
      <c r="BD48" s="456">
        <v>0.5173913043478261</v>
      </c>
      <c r="BE48" s="462">
        <v>7.857142857142857E-2</v>
      </c>
      <c r="BF48" s="456">
        <v>0.76190476190476186</v>
      </c>
      <c r="BG48" s="456">
        <v>0.38028169014084506</v>
      </c>
      <c r="BH48" s="456">
        <v>0.55645161290322576</v>
      </c>
      <c r="BI48" s="462">
        <v>1.411764705882353</v>
      </c>
      <c r="BJ48" s="456">
        <v>0.71889400921658986</v>
      </c>
      <c r="BK48" s="456">
        <v>0.40807174887892378</v>
      </c>
      <c r="BL48" s="456">
        <v>0.53191489361702127</v>
      </c>
      <c r="BM48" s="462">
        <v>0.94117647058823528</v>
      </c>
      <c r="BN48" s="456">
        <v>0.1875</v>
      </c>
      <c r="BO48" s="456">
        <v>-0.1</v>
      </c>
      <c r="BP48" s="456">
        <v>0.30409356725146197</v>
      </c>
      <c r="BQ48" s="462">
        <v>-1.0847457627118644</v>
      </c>
      <c r="BR48" s="456">
        <v>0.52173913043478259</v>
      </c>
      <c r="BS48" s="456">
        <v>0.59405940594059403</v>
      </c>
      <c r="BT48" s="456">
        <v>6.9230769230769235E-2</v>
      </c>
      <c r="BU48" s="462">
        <v>0.8</v>
      </c>
      <c r="BV48" s="456">
        <v>0.23414634146341465</v>
      </c>
      <c r="BW48" s="456">
        <v>0.48823529411764705</v>
      </c>
      <c r="BX48" s="456">
        <v>0.5474576271186441</v>
      </c>
      <c r="BY48" s="462">
        <v>0.24251497005988024</v>
      </c>
      <c r="BZ48" s="456">
        <v>0.34375</v>
      </c>
      <c r="CA48" s="456">
        <v>0.61780104712041883</v>
      </c>
      <c r="CB48" s="456">
        <v>0.1875</v>
      </c>
      <c r="CC48" s="462">
        <v>6.280193236714976E-2</v>
      </c>
      <c r="CD48" s="456">
        <v>0.23404255319148937</v>
      </c>
      <c r="CE48" s="456">
        <v>2.5757575757575757</v>
      </c>
      <c r="CF48" s="456">
        <v>0.54508196721311475</v>
      </c>
      <c r="CG48" s="462">
        <v>1.5625</v>
      </c>
      <c r="CH48" s="456">
        <v>0.73015873015873012</v>
      </c>
      <c r="CI48" s="456">
        <v>0.43820224719101125</v>
      </c>
      <c r="CJ48" s="456">
        <v>0.43468468468468469</v>
      </c>
      <c r="CK48" s="462">
        <v>0.49606299212598426</v>
      </c>
      <c r="CL48" s="456">
        <v>0.81060606060606055</v>
      </c>
      <c r="CM48" s="456">
        <v>0.75315729047072333</v>
      </c>
      <c r="CN48" s="456">
        <v>0.73598553345388784</v>
      </c>
      <c r="CO48" s="462">
        <v>2.9154518950437316E-2</v>
      </c>
      <c r="CP48" s="463">
        <v>0.55514705882352944</v>
      </c>
      <c r="CQ48" s="456">
        <v>1.4968152866242037</v>
      </c>
      <c r="CR48" s="456">
        <v>0.7303754266211604</v>
      </c>
      <c r="CS48" s="462">
        <v>-0.6953089928840841</v>
      </c>
      <c r="CT48" s="463">
        <v>0.57440742976326487</v>
      </c>
      <c r="CU48" s="456">
        <v>0.6373605612745461</v>
      </c>
      <c r="CV48" s="456">
        <v>-1.482062556923184</v>
      </c>
      <c r="CW48" s="462">
        <v>0.31406572631634294</v>
      </c>
      <c r="CX48" s="369"/>
      <c r="CY48" s="369"/>
      <c r="CZ48" s="369"/>
      <c r="DA48" s="371"/>
      <c r="DB48" s="369"/>
      <c r="DC48" s="369"/>
      <c r="DD48" s="369"/>
      <c r="DE48" s="371"/>
      <c r="DF48" s="369"/>
      <c r="DG48" s="369"/>
      <c r="DH48" s="369"/>
      <c r="DI48" s="371"/>
      <c r="DJ48" s="374"/>
      <c r="DK48" s="375"/>
      <c r="DL48" s="369"/>
      <c r="DM48" s="369"/>
      <c r="DN48" s="369"/>
      <c r="DO48" s="369"/>
      <c r="DP48" s="369"/>
      <c r="DQ48" s="369"/>
      <c r="DR48" s="369"/>
      <c r="DS48" s="461"/>
      <c r="DT48" s="456">
        <v>0.44349477682811017</v>
      </c>
      <c r="DU48" s="456">
        <v>5.0740740740740744</v>
      </c>
      <c r="DV48" s="456">
        <v>4.1533546325878593E-2</v>
      </c>
      <c r="DW48" s="456">
        <v>0.68273092369477917</v>
      </c>
      <c r="DX48" s="456">
        <v>0.58823529411764708</v>
      </c>
      <c r="DY48" s="456">
        <v>0.44279661016949151</v>
      </c>
      <c r="DZ48" s="456">
        <v>0.31606217616580312</v>
      </c>
      <c r="EA48" s="456">
        <v>0.43810005053057099</v>
      </c>
      <c r="EB48" s="456">
        <v>7.8125E-2</v>
      </c>
      <c r="EC48" s="456">
        <v>1.1609195402298851</v>
      </c>
      <c r="ED48" s="456">
        <v>0.48685714285714288</v>
      </c>
      <c r="EE48" s="456">
        <v>0.66174298375184637</v>
      </c>
      <c r="EF48" s="456">
        <v>1.0337293854726144</v>
      </c>
      <c r="EG48" s="456">
        <v>-14.542121431643034</v>
      </c>
      <c r="EH48" s="456">
        <v>0.55264059481462657</v>
      </c>
      <c r="EI48" s="456">
        <v>0.46678184217075902</v>
      </c>
      <c r="EJ48" s="456">
        <v>0.85375645833805036</v>
      </c>
      <c r="EK48" s="456">
        <v>0.72373792643798862</v>
      </c>
      <c r="EL48" s="456">
        <v>0.79435983395402243</v>
      </c>
      <c r="EM48" s="456">
        <v>0.98255744859087524</v>
      </c>
      <c r="EN48" s="456">
        <v>1.2459147253346761</v>
      </c>
      <c r="EO48" s="456">
        <v>0.74727202630960499</v>
      </c>
      <c r="EP48" s="375"/>
      <c r="EQ48" s="369"/>
    </row>
    <row r="49" spans="1:147" s="377" customFormat="1" ht="15" customHeight="1" outlineLevel="4">
      <c r="A49" s="368"/>
      <c r="B49"/>
      <c r="C49"/>
      <c r="D49"/>
      <c r="E49"/>
      <c r="F49"/>
      <c r="G49"/>
      <c r="H49" s="369"/>
      <c r="I49" s="451" t="s">
        <v>1597</v>
      </c>
      <c r="J49" s="369"/>
      <c r="K49" s="369"/>
      <c r="L49" s="369"/>
      <c r="M49" s="371"/>
      <c r="N49" s="369"/>
      <c r="O49" s="369"/>
      <c r="P49" s="369"/>
      <c r="Q49" s="371"/>
      <c r="R49" s="369"/>
      <c r="S49" s="369"/>
      <c r="T49" s="369"/>
      <c r="U49" s="371"/>
      <c r="V49" s="369"/>
      <c r="W49" s="369"/>
      <c r="X49" s="369"/>
      <c r="Y49" s="371"/>
      <c r="Z49" s="369"/>
      <c r="AA49" s="369"/>
      <c r="AB49" s="369"/>
      <c r="AC49" s="371"/>
      <c r="AD49" s="369"/>
      <c r="AE49" s="369"/>
      <c r="AF49" s="369"/>
      <c r="AG49" s="371"/>
      <c r="AH49" s="369"/>
      <c r="AI49" s="369"/>
      <c r="AJ49" s="369"/>
      <c r="AK49" s="371"/>
      <c r="AL49" s="369"/>
      <c r="AM49" s="369"/>
      <c r="AN49" s="369"/>
      <c r="AO49" s="371"/>
      <c r="AP49" s="369"/>
      <c r="AQ49" s="369"/>
      <c r="AR49" s="369"/>
      <c r="AS49" s="371"/>
      <c r="AT49" s="456"/>
      <c r="AU49" s="456"/>
      <c r="AV49" s="456"/>
      <c r="AW49" s="462"/>
      <c r="AX49" s="456"/>
      <c r="AY49" s="456"/>
      <c r="AZ49" s="456"/>
      <c r="BA49" s="462"/>
      <c r="BB49" s="456"/>
      <c r="BC49" s="456"/>
      <c r="BD49" s="456"/>
      <c r="BE49" s="462"/>
      <c r="BF49" s="456"/>
      <c r="BG49" s="456"/>
      <c r="BH49" s="456"/>
      <c r="BI49" s="462"/>
      <c r="BJ49" s="456"/>
      <c r="BK49" s="456"/>
      <c r="BL49" s="456"/>
      <c r="BM49" s="462"/>
      <c r="BN49" s="456"/>
      <c r="BO49" s="456"/>
      <c r="BP49" s="456"/>
      <c r="BQ49" s="462"/>
      <c r="BR49" s="463">
        <v>0.56862745098039214</v>
      </c>
      <c r="BS49" s="456">
        <v>0.53757225433526012</v>
      </c>
      <c r="BT49" s="456">
        <v>0.62948207171314741</v>
      </c>
      <c r="BU49" s="462">
        <v>0.74224343675417659</v>
      </c>
      <c r="BV49" s="463">
        <v>0.68650793650793651</v>
      </c>
      <c r="BW49" s="456">
        <v>0.68707482993197277</v>
      </c>
      <c r="BX49" s="456">
        <v>0.68989547038327526</v>
      </c>
      <c r="BY49" s="462">
        <v>0.75734494015233955</v>
      </c>
      <c r="BZ49" s="463">
        <v>0.67236467236467234</v>
      </c>
      <c r="CA49" s="456">
        <v>0.70425531914893613</v>
      </c>
      <c r="CB49" s="456">
        <v>0.73280000000000001</v>
      </c>
      <c r="CC49" s="462">
        <v>0.77467811158798283</v>
      </c>
      <c r="CD49" s="456">
        <v>0.74936708860759493</v>
      </c>
      <c r="CE49" s="456">
        <v>0.81558441558441563</v>
      </c>
      <c r="CF49" s="456">
        <v>0.81097560975609762</v>
      </c>
      <c r="CG49" s="462">
        <v>0.82435791217895604</v>
      </c>
      <c r="CH49" s="456">
        <v>0.79867986798679869</v>
      </c>
      <c r="CI49" s="456">
        <v>0.9543973941368078</v>
      </c>
      <c r="CJ49" s="456">
        <v>0.82608695652173914</v>
      </c>
      <c r="CK49" s="462">
        <v>0.83741258741258739</v>
      </c>
      <c r="CL49" s="456">
        <v>0.87040618955512572</v>
      </c>
      <c r="CM49" s="456">
        <v>0.78504672897196259</v>
      </c>
      <c r="CN49" s="456">
        <v>0.78328611898016998</v>
      </c>
      <c r="CO49" s="462">
        <v>0.81715771230502598</v>
      </c>
      <c r="CP49" s="463">
        <v>0.8070818070818071</v>
      </c>
      <c r="CQ49" s="456">
        <v>0.97802197802197799</v>
      </c>
      <c r="CR49" s="456">
        <v>0.61630434782608701</v>
      </c>
      <c r="CS49" s="462">
        <v>0.78261296242043599</v>
      </c>
      <c r="CT49" s="463">
        <v>0.771721831924572</v>
      </c>
      <c r="CU49" s="456">
        <v>0.76916363757957606</v>
      </c>
      <c r="CV49" s="456">
        <v>0.7811573912155042</v>
      </c>
      <c r="CW49" s="462">
        <v>0.78983212979420769</v>
      </c>
      <c r="CX49" s="369"/>
      <c r="CY49" s="369"/>
      <c r="CZ49" s="369"/>
      <c r="DA49" s="371"/>
      <c r="DB49" s="369"/>
      <c r="DC49" s="369"/>
      <c r="DD49" s="369"/>
      <c r="DE49" s="371"/>
      <c r="DF49" s="369"/>
      <c r="DG49" s="369"/>
      <c r="DH49" s="369"/>
      <c r="DI49" s="371"/>
      <c r="DJ49" s="374"/>
      <c r="DK49" s="375"/>
      <c r="DL49" s="369"/>
      <c r="DM49" s="369"/>
      <c r="DN49" s="369"/>
      <c r="DO49" s="369"/>
      <c r="DP49" s="369"/>
      <c r="DQ49" s="369"/>
      <c r="DR49" s="369"/>
      <c r="DS49" s="461"/>
      <c r="DT49" s="456"/>
      <c r="DU49" s="456"/>
      <c r="DV49" s="456"/>
      <c r="DW49" s="456"/>
      <c r="DX49" s="456"/>
      <c r="DY49" s="456">
        <v>0.69220694171578256</v>
      </c>
      <c r="DZ49" s="456">
        <v>0.67462482946794</v>
      </c>
      <c r="EA49" s="456">
        <v>0.71538791255893697</v>
      </c>
      <c r="EB49" s="456">
        <v>0.73465096719932721</v>
      </c>
      <c r="EC49" s="456">
        <v>0.8083904800322711</v>
      </c>
      <c r="ED49" s="456">
        <v>0.84754018509498297</v>
      </c>
      <c r="EE49" s="456">
        <v>0.79540771268766564</v>
      </c>
      <c r="EF49" s="456">
        <v>0.7734346637673809</v>
      </c>
      <c r="EG49" s="456">
        <v>0.76914587741804707</v>
      </c>
      <c r="EH49" s="456">
        <v>0.78547900031786544</v>
      </c>
      <c r="EI49" s="456">
        <v>0.78443442428915855</v>
      </c>
      <c r="EJ49" s="456">
        <v>0.7831211774717719</v>
      </c>
      <c r="EK49" s="456">
        <v>0.98849224385828127</v>
      </c>
      <c r="EL49" s="456">
        <v>1.0015805746818547</v>
      </c>
      <c r="EM49" s="456">
        <v>0.99959423382500801</v>
      </c>
      <c r="EN49" s="456">
        <v>1.0002413685202038</v>
      </c>
      <c r="EO49" s="456">
        <v>0.99761719608715971</v>
      </c>
      <c r="EP49" s="375"/>
      <c r="EQ49" s="369"/>
    </row>
    <row r="50" spans="1:147" s="377" customFormat="1" ht="15" customHeight="1" outlineLevel="3">
      <c r="A50" s="368"/>
      <c r="B50"/>
      <c r="C50"/>
      <c r="D50"/>
      <c r="E50"/>
      <c r="F50"/>
      <c r="G50"/>
      <c r="H50" s="369"/>
      <c r="I50" s="379"/>
      <c r="J50" s="369"/>
      <c r="K50" s="369"/>
      <c r="L50" s="369"/>
      <c r="M50" s="371"/>
      <c r="N50" s="369"/>
      <c r="O50" s="369"/>
      <c r="P50" s="369"/>
      <c r="Q50" s="371"/>
      <c r="R50" s="369"/>
      <c r="S50" s="369"/>
      <c r="T50" s="369"/>
      <c r="U50" s="371"/>
      <c r="V50" s="369"/>
      <c r="W50" s="369"/>
      <c r="X50" s="369"/>
      <c r="Y50" s="371"/>
      <c r="Z50" s="369"/>
      <c r="AA50" s="369"/>
      <c r="AB50" s="369"/>
      <c r="AC50" s="371"/>
      <c r="AD50" s="369"/>
      <c r="AE50" s="369"/>
      <c r="AF50" s="369"/>
      <c r="AG50" s="371"/>
      <c r="AH50" s="369"/>
      <c r="AI50" s="369"/>
      <c r="AJ50" s="369"/>
      <c r="AK50" s="371"/>
      <c r="AL50" s="369"/>
      <c r="AM50" s="369"/>
      <c r="AN50" s="369"/>
      <c r="AO50" s="371"/>
      <c r="AP50" s="369"/>
      <c r="AQ50" s="369"/>
      <c r="AR50" s="369"/>
      <c r="AS50" s="371"/>
      <c r="AT50" s="448"/>
      <c r="AU50" s="448"/>
      <c r="AV50" s="448"/>
      <c r="AW50" s="449"/>
      <c r="AX50" s="448"/>
      <c r="AY50" s="448"/>
      <c r="AZ50" s="448"/>
      <c r="BA50" s="449"/>
      <c r="BB50" s="448"/>
      <c r="BC50" s="448"/>
      <c r="BD50" s="448"/>
      <c r="BE50" s="449"/>
      <c r="BF50" s="448"/>
      <c r="BG50" s="448"/>
      <c r="BH50" s="448"/>
      <c r="BI50" s="449"/>
      <c r="BJ50" s="448"/>
      <c r="BK50" s="448"/>
      <c r="BL50" s="448"/>
      <c r="BM50" s="449"/>
      <c r="BN50" s="448"/>
      <c r="BO50" s="448"/>
      <c r="BP50" s="448"/>
      <c r="BQ50" s="449"/>
      <c r="BR50" s="448"/>
      <c r="BS50" s="448"/>
      <c r="BT50" s="448"/>
      <c r="BU50" s="449"/>
      <c r="BV50" s="448"/>
      <c r="BW50" s="448"/>
      <c r="BX50" s="448"/>
      <c r="BY50" s="449"/>
      <c r="BZ50" s="448"/>
      <c r="CA50" s="448"/>
      <c r="CB50" s="448"/>
      <c r="CC50" s="449"/>
      <c r="CD50" s="448"/>
      <c r="CE50" s="448"/>
      <c r="CF50" s="448"/>
      <c r="CG50" s="449"/>
      <c r="CH50" s="448"/>
      <c r="CI50" s="448"/>
      <c r="CJ50" s="448"/>
      <c r="CK50" s="449"/>
      <c r="CL50" s="448"/>
      <c r="CM50" s="448"/>
      <c r="CN50" s="448"/>
      <c r="CO50" s="449"/>
      <c r="CP50" s="450"/>
      <c r="CQ50" s="448"/>
      <c r="CR50" s="448"/>
      <c r="CS50" s="449"/>
      <c r="CT50" s="450"/>
      <c r="CU50" s="448"/>
      <c r="CV50" s="448"/>
      <c r="CW50" s="449"/>
      <c r="CX50" s="369"/>
      <c r="CY50" s="369"/>
      <c r="CZ50" s="369"/>
      <c r="DA50" s="371"/>
      <c r="DB50" s="369"/>
      <c r="DC50" s="369"/>
      <c r="DD50" s="369"/>
      <c r="DE50" s="371"/>
      <c r="DF50" s="369"/>
      <c r="DG50" s="369"/>
      <c r="DH50" s="369"/>
      <c r="DI50" s="371"/>
      <c r="DJ50" s="374"/>
      <c r="DK50" s="375"/>
      <c r="DL50" s="369"/>
      <c r="DM50" s="369"/>
      <c r="DN50" s="369"/>
      <c r="DO50" s="369"/>
      <c r="DP50" s="369"/>
      <c r="DQ50" s="369"/>
      <c r="DR50" s="369"/>
      <c r="DS50" s="461"/>
      <c r="DT50" s="461"/>
      <c r="DU50" s="461"/>
      <c r="DV50" s="448"/>
      <c r="DW50" s="461"/>
      <c r="DX50" s="461"/>
      <c r="DY50" s="461"/>
      <c r="DZ50" s="461"/>
      <c r="EA50" s="448"/>
      <c r="EB50" s="448"/>
      <c r="EC50" s="448"/>
      <c r="ED50" s="448"/>
      <c r="EE50" s="448"/>
      <c r="EF50" s="448"/>
      <c r="EG50" s="384"/>
      <c r="EH50" s="448"/>
      <c r="EI50" s="384"/>
      <c r="EJ50" s="448"/>
      <c r="EK50" s="448"/>
      <c r="EL50" s="448"/>
      <c r="EM50" s="448"/>
      <c r="EN50" s="448"/>
      <c r="EO50" s="448"/>
      <c r="EP50" s="375"/>
      <c r="EQ50" s="369"/>
    </row>
    <row r="51" spans="1:147" s="377" customFormat="1" ht="15" customHeight="1" outlineLevel="3">
      <c r="A51" s="368"/>
      <c r="B51"/>
      <c r="C51"/>
      <c r="D51"/>
      <c r="E51"/>
      <c r="F51"/>
      <c r="G51"/>
      <c r="H51" s="369"/>
      <c r="I51" s="379" t="s">
        <v>1598</v>
      </c>
      <c r="J51" s="369"/>
      <c r="K51" s="369"/>
      <c r="L51" s="369"/>
      <c r="M51" s="371"/>
      <c r="N51" s="369"/>
      <c r="O51" s="369"/>
      <c r="P51" s="369"/>
      <c r="Q51" s="371"/>
      <c r="R51" s="369"/>
      <c r="S51" s="369"/>
      <c r="T51" s="369"/>
      <c r="U51" s="371"/>
      <c r="V51" s="369"/>
      <c r="W51" s="369"/>
      <c r="X51" s="369"/>
      <c r="Y51" s="371"/>
      <c r="Z51" s="369"/>
      <c r="AA51" s="369"/>
      <c r="AB51" s="369"/>
      <c r="AC51" s="371"/>
      <c r="AD51" s="369"/>
      <c r="AE51" s="369"/>
      <c r="AF51" s="369"/>
      <c r="AG51" s="371"/>
      <c r="AH51" s="369"/>
      <c r="AI51" s="369"/>
      <c r="AJ51" s="369"/>
      <c r="AK51" s="371"/>
      <c r="AL51" s="369"/>
      <c r="AM51" s="369"/>
      <c r="AN51" s="369"/>
      <c r="AO51" s="371"/>
      <c r="AP51" s="369"/>
      <c r="AQ51" s="369"/>
      <c r="AR51" s="369"/>
      <c r="AS51" s="371"/>
      <c r="AT51" s="448">
        <v>188</v>
      </c>
      <c r="AU51" s="448">
        <v>216</v>
      </c>
      <c r="AV51" s="448">
        <v>133</v>
      </c>
      <c r="AW51" s="449">
        <v>1044</v>
      </c>
      <c r="AX51" s="448">
        <v>198</v>
      </c>
      <c r="AY51" s="448">
        <v>149</v>
      </c>
      <c r="AZ51" s="448">
        <v>220</v>
      </c>
      <c r="BA51" s="449">
        <v>1002</v>
      </c>
      <c r="BB51" s="448">
        <v>244</v>
      </c>
      <c r="BC51" s="448">
        <v>191</v>
      </c>
      <c r="BD51" s="448">
        <v>110</v>
      </c>
      <c r="BE51" s="449">
        <v>961</v>
      </c>
      <c r="BF51" s="448">
        <v>113</v>
      </c>
      <c r="BG51" s="448">
        <v>322</v>
      </c>
      <c r="BH51" s="448">
        <v>178</v>
      </c>
      <c r="BI51" s="449">
        <v>1205</v>
      </c>
      <c r="BJ51" s="448">
        <v>270</v>
      </c>
      <c r="BK51" s="448">
        <v>141</v>
      </c>
      <c r="BL51" s="448">
        <v>125</v>
      </c>
      <c r="BM51" s="449">
        <v>890</v>
      </c>
      <c r="BN51" s="448">
        <v>259</v>
      </c>
      <c r="BO51" s="448">
        <v>132</v>
      </c>
      <c r="BP51" s="448">
        <v>283</v>
      </c>
      <c r="BQ51" s="449">
        <v>943</v>
      </c>
      <c r="BR51" s="448">
        <v>224</v>
      </c>
      <c r="BS51" s="448">
        <v>193</v>
      </c>
      <c r="BT51" s="448">
        <v>275</v>
      </c>
      <c r="BU51" s="449">
        <v>862</v>
      </c>
      <c r="BV51" s="448">
        <v>277</v>
      </c>
      <c r="BW51" s="448">
        <v>619</v>
      </c>
      <c r="BX51" s="448">
        <v>607</v>
      </c>
      <c r="BY51" s="449">
        <v>1015</v>
      </c>
      <c r="BZ51" s="448">
        <v>385</v>
      </c>
      <c r="CA51" s="448">
        <v>503</v>
      </c>
      <c r="CB51" s="448">
        <v>658</v>
      </c>
      <c r="CC51" s="449">
        <v>986</v>
      </c>
      <c r="CD51" s="448">
        <v>430</v>
      </c>
      <c r="CE51" s="448">
        <v>421</v>
      </c>
      <c r="CF51" s="448">
        <v>527</v>
      </c>
      <c r="CG51" s="449">
        <v>1239</v>
      </c>
      <c r="CH51" s="448">
        <v>336</v>
      </c>
      <c r="CI51" s="448">
        <v>340</v>
      </c>
      <c r="CJ51" s="448">
        <v>329</v>
      </c>
      <c r="CK51" s="449">
        <v>1198</v>
      </c>
      <c r="CL51" s="448">
        <v>569</v>
      </c>
      <c r="CM51" s="448">
        <v>992</v>
      </c>
      <c r="CN51" s="448">
        <v>736</v>
      </c>
      <c r="CO51" s="449">
        <v>1181</v>
      </c>
      <c r="CP51" s="450">
        <v>877</v>
      </c>
      <c r="CQ51" s="448">
        <v>767</v>
      </c>
      <c r="CR51" s="448">
        <v>764</v>
      </c>
      <c r="CS51" s="449">
        <v>1360.5545203356478</v>
      </c>
      <c r="CT51" s="450">
        <v>587.23098432628808</v>
      </c>
      <c r="CU51" s="448">
        <v>539.09313159771466</v>
      </c>
      <c r="CV51" s="448">
        <v>879.95743010114688</v>
      </c>
      <c r="CW51" s="449">
        <v>1624.2877982379964</v>
      </c>
      <c r="CX51" s="369"/>
      <c r="CY51" s="369"/>
      <c r="CZ51" s="369"/>
      <c r="DA51" s="371"/>
      <c r="DB51" s="369"/>
      <c r="DC51" s="369"/>
      <c r="DD51" s="369"/>
      <c r="DE51" s="371"/>
      <c r="DF51" s="369"/>
      <c r="DG51" s="369"/>
      <c r="DH51" s="369"/>
      <c r="DI51" s="371"/>
      <c r="DJ51" s="374"/>
      <c r="DK51" s="375"/>
      <c r="DL51" s="369"/>
      <c r="DM51" s="369"/>
      <c r="DN51" s="369"/>
      <c r="DO51" s="369"/>
      <c r="DP51" s="369"/>
      <c r="DQ51" s="369"/>
      <c r="DR51" s="369"/>
      <c r="DS51" s="461">
        <v>1152</v>
      </c>
      <c r="DT51" s="461">
        <v>1581</v>
      </c>
      <c r="DU51" s="461">
        <v>1569</v>
      </c>
      <c r="DV51" s="448">
        <v>1506</v>
      </c>
      <c r="DW51" s="448">
        <v>1818</v>
      </c>
      <c r="DX51" s="448">
        <v>1426</v>
      </c>
      <c r="DY51" s="448">
        <v>1617</v>
      </c>
      <c r="DZ51" s="448">
        <v>1554</v>
      </c>
      <c r="EA51" s="448">
        <v>2518</v>
      </c>
      <c r="EB51" s="448">
        <v>2532</v>
      </c>
      <c r="EC51" s="448">
        <v>2617</v>
      </c>
      <c r="ED51" s="448">
        <v>2203</v>
      </c>
      <c r="EE51" s="448">
        <v>3535</v>
      </c>
      <c r="EF51" s="448">
        <v>3825.5545203356478</v>
      </c>
      <c r="EG51" s="448">
        <v>3687.5693442631455</v>
      </c>
      <c r="EH51" s="448">
        <v>4620.8787257518798</v>
      </c>
      <c r="EI51" s="448">
        <v>4209.9840305154485</v>
      </c>
      <c r="EJ51" s="448">
        <v>3907.3026481174356</v>
      </c>
      <c r="EK51" s="448">
        <v>4441.3127888401696</v>
      </c>
      <c r="EL51" s="448">
        <v>4059.6675643186841</v>
      </c>
      <c r="EM51" s="448">
        <v>4182.9868024139532</v>
      </c>
      <c r="EN51" s="448">
        <v>4091.9704565192328</v>
      </c>
      <c r="EO51" s="448">
        <v>4721.9795774887698</v>
      </c>
      <c r="EP51" s="375"/>
      <c r="EQ51" s="320">
        <v>4.4654688077793159E-2</v>
      </c>
    </row>
    <row r="52" spans="1:147" s="377" customFormat="1" ht="15" customHeight="1" outlineLevel="3">
      <c r="A52" s="368"/>
      <c r="B52"/>
      <c r="C52"/>
      <c r="D52"/>
      <c r="E52"/>
      <c r="F52"/>
      <c r="G52"/>
      <c r="H52" s="369"/>
      <c r="I52" s="451" t="s">
        <v>310</v>
      </c>
      <c r="J52" s="369"/>
      <c r="K52" s="369"/>
      <c r="L52" s="369"/>
      <c r="M52" s="371"/>
      <c r="N52" s="369"/>
      <c r="O52" s="369"/>
      <c r="P52" s="369"/>
      <c r="Q52" s="371"/>
      <c r="R52" s="369"/>
      <c r="S52" s="369"/>
      <c r="T52" s="369"/>
      <c r="U52" s="371"/>
      <c r="V52" s="369"/>
      <c r="W52" s="369"/>
      <c r="X52" s="369"/>
      <c r="Y52" s="371"/>
      <c r="Z52" s="369"/>
      <c r="AA52" s="369"/>
      <c r="AB52" s="369"/>
      <c r="AC52" s="371"/>
      <c r="AD52" s="369"/>
      <c r="AE52" s="369"/>
      <c r="AF52" s="369"/>
      <c r="AG52" s="371"/>
      <c r="AH52" s="369"/>
      <c r="AI52" s="369"/>
      <c r="AJ52" s="369"/>
      <c r="AK52" s="371"/>
      <c r="AL52" s="369"/>
      <c r="AM52" s="369"/>
      <c r="AN52" s="369"/>
      <c r="AO52" s="371"/>
      <c r="AP52" s="369"/>
      <c r="AQ52" s="369"/>
      <c r="AR52" s="369"/>
      <c r="AS52" s="371"/>
      <c r="AT52" s="456">
        <v>0.25966850828729282</v>
      </c>
      <c r="AU52" s="456">
        <v>0.2696629213483146</v>
      </c>
      <c r="AV52" s="456">
        <v>0.176158940397351</v>
      </c>
      <c r="AW52" s="462">
        <v>0.418436873747495</v>
      </c>
      <c r="AX52" s="456">
        <v>0.27731092436974791</v>
      </c>
      <c r="AY52" s="456">
        <v>0.21815519765739386</v>
      </c>
      <c r="AZ52" s="456">
        <v>0.25670945157526254</v>
      </c>
      <c r="BA52" s="462">
        <v>0.39324960753532184</v>
      </c>
      <c r="BB52" s="456">
        <v>0.32317880794701986</v>
      </c>
      <c r="BC52" s="456">
        <v>0.27324749642346208</v>
      </c>
      <c r="BD52" s="456">
        <v>0.17543859649122806</v>
      </c>
      <c r="BE52" s="462">
        <v>0.39908637873754155</v>
      </c>
      <c r="BF52" s="456">
        <v>0.19250425894378195</v>
      </c>
      <c r="BG52" s="456">
        <v>0.30550284629981023</v>
      </c>
      <c r="BH52" s="456">
        <v>0.23701731025299599</v>
      </c>
      <c r="BI52" s="462">
        <v>0.46435452793834298</v>
      </c>
      <c r="BJ52" s="456">
        <v>0.33582089552238809</v>
      </c>
      <c r="BK52" s="456">
        <v>0.23190789473684212</v>
      </c>
      <c r="BL52" s="456">
        <v>0.19025875190258751</v>
      </c>
      <c r="BM52" s="462">
        <v>0.39172535211267606</v>
      </c>
      <c r="BN52" s="456">
        <v>0.33549222797927464</v>
      </c>
      <c r="BO52" s="456">
        <v>0.20060790273556231</v>
      </c>
      <c r="BP52" s="456">
        <v>0.24188034188034188</v>
      </c>
      <c r="BQ52" s="462">
        <v>0.42611839132399459</v>
      </c>
      <c r="BR52" s="456">
        <v>0.31863442389758179</v>
      </c>
      <c r="BS52" s="456">
        <v>0.25428194993412384</v>
      </c>
      <c r="BT52" s="456">
        <v>0.26442307692307693</v>
      </c>
      <c r="BU52" s="462">
        <v>0.40698772426817753</v>
      </c>
      <c r="BV52" s="456">
        <v>0.30506607929515417</v>
      </c>
      <c r="BW52" s="456">
        <v>0.38471100062150404</v>
      </c>
      <c r="BX52" s="456">
        <v>0.37239263803680983</v>
      </c>
      <c r="BY52" s="462">
        <v>0.41394779771615009</v>
      </c>
      <c r="BZ52" s="456">
        <v>0.32190635451505017</v>
      </c>
      <c r="CA52" s="456">
        <v>0.35472496473906912</v>
      </c>
      <c r="CB52" s="456">
        <v>0.3459516298633018</v>
      </c>
      <c r="CC52" s="462">
        <v>0.37081609627679579</v>
      </c>
      <c r="CD52" s="456">
        <v>0.31069364161849711</v>
      </c>
      <c r="CE52" s="456">
        <v>0.303971119133574</v>
      </c>
      <c r="CF52" s="456">
        <v>0.3178528347406514</v>
      </c>
      <c r="CG52" s="462">
        <v>0.43703703703703706</v>
      </c>
      <c r="CH52" s="456">
        <v>0.26709062003179651</v>
      </c>
      <c r="CI52" s="456">
        <v>0.28169014084507044</v>
      </c>
      <c r="CJ52" s="456">
        <v>0.27100494233937394</v>
      </c>
      <c r="CK52" s="462">
        <v>0.44239290989660268</v>
      </c>
      <c r="CL52" s="456">
        <v>0.37385019710906703</v>
      </c>
      <c r="CM52" s="456">
        <v>0.4773820981713186</v>
      </c>
      <c r="CN52" s="456">
        <v>0.41652518392756083</v>
      </c>
      <c r="CO52" s="462">
        <v>0.38708620124549326</v>
      </c>
      <c r="CP52" s="463">
        <v>0.4244917715392062</v>
      </c>
      <c r="CQ52" s="456">
        <v>0.39927121290994272</v>
      </c>
      <c r="CR52" s="456">
        <v>0.37087378640776697</v>
      </c>
      <c r="CS52" s="462">
        <v>0.48470563240120168</v>
      </c>
      <c r="CT52" s="463">
        <v>0.36319987983194424</v>
      </c>
      <c r="CU52" s="456">
        <v>0.33991853767823249</v>
      </c>
      <c r="CV52" s="456">
        <v>0.41651055394925635</v>
      </c>
      <c r="CW52" s="462">
        <v>0.45625546019257934</v>
      </c>
      <c r="CX52" s="369"/>
      <c r="CY52" s="369"/>
      <c r="CZ52" s="369"/>
      <c r="DA52" s="371"/>
      <c r="DB52" s="369"/>
      <c r="DC52" s="369"/>
      <c r="DD52" s="369"/>
      <c r="DE52" s="371"/>
      <c r="DF52" s="369"/>
      <c r="DG52" s="369"/>
      <c r="DH52" s="369"/>
      <c r="DI52" s="371"/>
      <c r="DJ52" s="374"/>
      <c r="DK52" s="375"/>
      <c r="DL52" s="369"/>
      <c r="DM52" s="369"/>
      <c r="DN52" s="369"/>
      <c r="DO52" s="369"/>
      <c r="DP52" s="369"/>
      <c r="DQ52" s="369"/>
      <c r="DR52" s="369"/>
      <c r="DS52" s="456">
        <v>0.30951101558301986</v>
      </c>
      <c r="DT52" s="456">
        <v>0.3310994764397906</v>
      </c>
      <c r="DU52" s="456">
        <v>0.32673885880882964</v>
      </c>
      <c r="DV52" s="456">
        <v>0.33548674537758966</v>
      </c>
      <c r="DW52" s="456">
        <v>0.36454782434329258</v>
      </c>
      <c r="DX52" s="456">
        <v>0.32849573830914536</v>
      </c>
      <c r="DY52" s="456">
        <v>0.33596509453563267</v>
      </c>
      <c r="DZ52" s="456">
        <v>0.33636363636363636</v>
      </c>
      <c r="EA52" s="456">
        <v>0.38157296560084863</v>
      </c>
      <c r="EB52" s="456">
        <v>0.35289198606271777</v>
      </c>
      <c r="EC52" s="456">
        <v>0.36036904434040207</v>
      </c>
      <c r="ED52" s="456">
        <v>0.34491936746516361</v>
      </c>
      <c r="EE52" s="456">
        <v>0.41993347588500829</v>
      </c>
      <c r="EF52" s="456">
        <v>0.43207218989156754</v>
      </c>
      <c r="EG52" s="456">
        <v>0.4154771960986523</v>
      </c>
      <c r="EH52" s="456">
        <v>0.43931640596336363</v>
      </c>
      <c r="EI52" s="456">
        <v>0.43558024492204261</v>
      </c>
      <c r="EJ52" s="456">
        <v>0.41930087157265833</v>
      </c>
      <c r="EK52" s="456">
        <v>0.44227437689944038</v>
      </c>
      <c r="EL52" s="456">
        <v>0.42424751522421994</v>
      </c>
      <c r="EM52" s="456">
        <v>0.43152530976131409</v>
      </c>
      <c r="EN52" s="456">
        <v>0.42530956092153072</v>
      </c>
      <c r="EO52" s="456">
        <v>0.45197295374807356</v>
      </c>
      <c r="EP52" s="375"/>
      <c r="EQ52" s="369"/>
    </row>
    <row r="53" spans="1:147" s="377" customFormat="1" ht="15" customHeight="1" outlineLevel="3">
      <c r="A53" s="368"/>
      <c r="B53"/>
      <c r="C53"/>
      <c r="D53"/>
      <c r="E53"/>
      <c r="F53"/>
      <c r="G53"/>
      <c r="H53" s="369"/>
      <c r="I53" s="451" t="s">
        <v>1596</v>
      </c>
      <c r="J53" s="369"/>
      <c r="K53" s="369"/>
      <c r="L53" s="369"/>
      <c r="M53" s="371"/>
      <c r="N53" s="369"/>
      <c r="O53" s="369"/>
      <c r="P53" s="369"/>
      <c r="Q53" s="371"/>
      <c r="R53" s="369"/>
      <c r="S53" s="369"/>
      <c r="T53" s="369"/>
      <c r="U53" s="371"/>
      <c r="V53" s="369"/>
      <c r="W53" s="369"/>
      <c r="X53" s="369"/>
      <c r="Y53" s="371"/>
      <c r="Z53" s="369"/>
      <c r="AA53" s="369"/>
      <c r="AB53" s="369"/>
      <c r="AC53" s="371"/>
      <c r="AD53" s="369"/>
      <c r="AE53" s="369"/>
      <c r="AF53" s="369"/>
      <c r="AG53" s="371"/>
      <c r="AH53" s="369"/>
      <c r="AI53" s="369"/>
      <c r="AJ53" s="369"/>
      <c r="AK53" s="371"/>
      <c r="AL53" s="369"/>
      <c r="AM53" s="369"/>
      <c r="AN53" s="369"/>
      <c r="AO53" s="371"/>
      <c r="AP53" s="369"/>
      <c r="AQ53" s="369"/>
      <c r="AR53" s="369"/>
      <c r="AS53" s="371"/>
      <c r="AT53" s="456"/>
      <c r="AU53" s="456"/>
      <c r="AV53" s="456"/>
      <c r="AW53" s="462"/>
      <c r="AX53" s="457">
        <v>176.42416082455094</v>
      </c>
      <c r="AY53" s="457">
        <v>-515.07723690920739</v>
      </c>
      <c r="AZ53" s="457">
        <v>805.5051117791154</v>
      </c>
      <c r="BA53" s="458">
        <v>-251.87266212173154</v>
      </c>
      <c r="BB53" s="457">
        <v>458.67883577271948</v>
      </c>
      <c r="BC53" s="457">
        <v>550.92298766068222</v>
      </c>
      <c r="BD53" s="457">
        <v>-812.70855084034474</v>
      </c>
      <c r="BE53" s="458">
        <v>58.36771202219704</v>
      </c>
      <c r="BF53" s="457">
        <v>-1306.7454900323792</v>
      </c>
      <c r="BG53" s="457">
        <v>322.55349876348151</v>
      </c>
      <c r="BH53" s="457">
        <v>615.78713761767938</v>
      </c>
      <c r="BI53" s="458">
        <v>652.68149200801429</v>
      </c>
      <c r="BJ53" s="457">
        <v>1433.1663657860613</v>
      </c>
      <c r="BK53" s="457">
        <v>-735.94951562968106</v>
      </c>
      <c r="BL53" s="457">
        <v>-467.58558350408487</v>
      </c>
      <c r="BM53" s="458">
        <v>-726.29175825666914</v>
      </c>
      <c r="BN53" s="457">
        <v>-3.2866754311344781</v>
      </c>
      <c r="BO53" s="457">
        <v>-312.9999200127981</v>
      </c>
      <c r="BP53" s="457">
        <v>516.21589977754377</v>
      </c>
      <c r="BQ53" s="458">
        <v>343.93039211318535</v>
      </c>
      <c r="BR53" s="457">
        <v>-168.57804081692851</v>
      </c>
      <c r="BS53" s="457">
        <v>536.74047198561527</v>
      </c>
      <c r="BT53" s="457">
        <v>225.42735042735046</v>
      </c>
      <c r="BU53" s="458">
        <v>-191.30667055817062</v>
      </c>
      <c r="BV53" s="457">
        <v>-135.68344602427618</v>
      </c>
      <c r="BW53" s="457">
        <v>1304.2905068738021</v>
      </c>
      <c r="BX53" s="457">
        <v>1079.695611137329</v>
      </c>
      <c r="BY53" s="458">
        <v>69.600734479725588</v>
      </c>
      <c r="BZ53" s="457">
        <v>168.40275219896006</v>
      </c>
      <c r="CA53" s="457">
        <v>-299.86035882434925</v>
      </c>
      <c r="CB53" s="457">
        <v>-264.41008173508027</v>
      </c>
      <c r="CC53" s="458">
        <v>-431.31701439354299</v>
      </c>
      <c r="CD53" s="457">
        <v>-112.12712896553067</v>
      </c>
      <c r="CE53" s="457">
        <v>-507.53845605495115</v>
      </c>
      <c r="CF53" s="457">
        <v>-280.98795122650398</v>
      </c>
      <c r="CG53" s="458">
        <v>662.20940760241263</v>
      </c>
      <c r="CH53" s="457">
        <v>-436.03021586700595</v>
      </c>
      <c r="CI53" s="457">
        <v>-222.80978288503562</v>
      </c>
      <c r="CJ53" s="457">
        <v>-468.4789240127746</v>
      </c>
      <c r="CK53" s="458">
        <v>53.558728595656248</v>
      </c>
      <c r="CL53" s="457">
        <v>1067.5957707727052</v>
      </c>
      <c r="CM53" s="457">
        <v>1956.9195732624817</v>
      </c>
      <c r="CN53" s="457">
        <v>1455.2024158818688</v>
      </c>
      <c r="CO53" s="458">
        <v>-553.06708651109432</v>
      </c>
      <c r="CP53" s="459">
        <v>506.41574430139167</v>
      </c>
      <c r="CQ53" s="457">
        <v>-781.10885261375881</v>
      </c>
      <c r="CR53" s="457">
        <v>-456.51397519793858</v>
      </c>
      <c r="CS53" s="458">
        <v>976.19431155708423</v>
      </c>
      <c r="CT53" s="459">
        <v>-612.91891707261959</v>
      </c>
      <c r="CU53" s="457">
        <v>-593.52675231710225</v>
      </c>
      <c r="CV53" s="457">
        <v>456.36767541489377</v>
      </c>
      <c r="CW53" s="458">
        <v>-284.50172208622337</v>
      </c>
      <c r="CX53" s="369"/>
      <c r="CY53" s="369"/>
      <c r="CZ53" s="369"/>
      <c r="DA53" s="371"/>
      <c r="DB53" s="369"/>
      <c r="DC53" s="369"/>
      <c r="DD53" s="369"/>
      <c r="DE53" s="371"/>
      <c r="DF53" s="369"/>
      <c r="DG53" s="369"/>
      <c r="DH53" s="369"/>
      <c r="DI53" s="371"/>
      <c r="DJ53" s="374"/>
      <c r="DK53" s="375"/>
      <c r="DL53" s="369"/>
      <c r="DM53" s="369"/>
      <c r="DN53" s="369"/>
      <c r="DO53" s="369"/>
      <c r="DP53" s="369"/>
      <c r="DQ53" s="369"/>
      <c r="DR53" s="369"/>
      <c r="DS53" s="456"/>
      <c r="DT53" s="457">
        <v>215.8846085677074</v>
      </c>
      <c r="DU53" s="457">
        <v>-43.606176309609609</v>
      </c>
      <c r="DV53" s="457">
        <v>87.478865687600219</v>
      </c>
      <c r="DW53" s="457">
        <v>290.61078965702927</v>
      </c>
      <c r="DX53" s="457">
        <v>-360.52086034147226</v>
      </c>
      <c r="DY53" s="457">
        <v>74.693562264873108</v>
      </c>
      <c r="DZ53" s="457">
        <v>3.9854182800369564</v>
      </c>
      <c r="EA53" s="457">
        <v>452.09329237212268</v>
      </c>
      <c r="EB53" s="457">
        <v>-286.80979538130867</v>
      </c>
      <c r="EC53" s="457">
        <v>74.770582776843014</v>
      </c>
      <c r="ED53" s="457">
        <v>-154.49676875238461</v>
      </c>
      <c r="EE53" s="457">
        <v>750.14108419844683</v>
      </c>
      <c r="EF53" s="457">
        <v>121.38714006559248</v>
      </c>
      <c r="EG53" s="457">
        <v>-165.94993792915236</v>
      </c>
      <c r="EH53" s="457">
        <v>238.3920986471133</v>
      </c>
      <c r="EI53" s="457">
        <v>-37.36161041321018</v>
      </c>
      <c r="EJ53" s="457">
        <v>-162.79373349384286</v>
      </c>
      <c r="EK53" s="457">
        <v>229.73505326782052</v>
      </c>
      <c r="EL53" s="457">
        <v>-180.26861675220439</v>
      </c>
      <c r="EM53" s="457">
        <v>72.777945370941509</v>
      </c>
      <c r="EN53" s="457">
        <v>-62.157488397833745</v>
      </c>
      <c r="EO53" s="457">
        <v>266.63392826542844</v>
      </c>
      <c r="EP53" s="375"/>
      <c r="EQ53" s="369"/>
    </row>
    <row r="54" spans="1:147" s="377" customFormat="1" ht="15" customHeight="1" outlineLevel="3">
      <c r="A54" s="368"/>
      <c r="B54"/>
      <c r="C54"/>
      <c r="D54"/>
      <c r="E54"/>
      <c r="F54"/>
      <c r="G54"/>
      <c r="H54" s="369"/>
      <c r="I54" s="451" t="s">
        <v>1432</v>
      </c>
      <c r="J54" s="369"/>
      <c r="K54" s="369"/>
      <c r="L54" s="369"/>
      <c r="M54" s="371"/>
      <c r="N54" s="369"/>
      <c r="O54" s="369"/>
      <c r="P54" s="369"/>
      <c r="Q54" s="371"/>
      <c r="R54" s="369"/>
      <c r="S54" s="369"/>
      <c r="T54" s="369"/>
      <c r="U54" s="371"/>
      <c r="V54" s="369"/>
      <c r="W54" s="369"/>
      <c r="X54" s="369"/>
      <c r="Y54" s="371"/>
      <c r="Z54" s="369"/>
      <c r="AA54" s="369"/>
      <c r="AB54" s="369"/>
      <c r="AC54" s="371"/>
      <c r="AD54" s="369"/>
      <c r="AE54" s="369"/>
      <c r="AF54" s="369"/>
      <c r="AG54" s="371"/>
      <c r="AH54" s="369"/>
      <c r="AI54" s="369"/>
      <c r="AJ54" s="369"/>
      <c r="AK54" s="371"/>
      <c r="AL54" s="369"/>
      <c r="AM54" s="369"/>
      <c r="AN54" s="369"/>
      <c r="AO54" s="371"/>
      <c r="AP54" s="369"/>
      <c r="AQ54" s="369"/>
      <c r="AR54" s="369"/>
      <c r="AS54" s="371"/>
      <c r="AT54" s="448"/>
      <c r="AU54" s="448"/>
      <c r="AV54" s="448"/>
      <c r="AW54" s="449"/>
      <c r="AX54" s="456">
        <v>-1</v>
      </c>
      <c r="AY54" s="456">
        <v>0.56779661016949157</v>
      </c>
      <c r="AZ54" s="456">
        <v>0.8529411764705882</v>
      </c>
      <c r="BA54" s="462">
        <v>-0.79245283018867929</v>
      </c>
      <c r="BB54" s="456">
        <v>1.1219512195121952</v>
      </c>
      <c r="BC54" s="456">
        <v>2.625</v>
      </c>
      <c r="BD54" s="456">
        <v>0.47826086956521741</v>
      </c>
      <c r="BE54" s="462">
        <v>0.29285714285714287</v>
      </c>
      <c r="BF54" s="456">
        <v>0.77976190476190477</v>
      </c>
      <c r="BG54" s="456">
        <v>0.36901408450704226</v>
      </c>
      <c r="BH54" s="456">
        <v>0.54838709677419351</v>
      </c>
      <c r="BI54" s="462">
        <v>1.304812834224599</v>
      </c>
      <c r="BJ54" s="456">
        <v>0.72350230414746541</v>
      </c>
      <c r="BK54" s="456">
        <v>0.40582959641255606</v>
      </c>
      <c r="BL54" s="456">
        <v>0.56382978723404253</v>
      </c>
      <c r="BM54" s="462">
        <v>0.97523219814241491</v>
      </c>
      <c r="BN54" s="456">
        <v>0.34375</v>
      </c>
      <c r="BO54" s="456">
        <v>-0.18</v>
      </c>
      <c r="BP54" s="456">
        <v>0.30799220272904482</v>
      </c>
      <c r="BQ54" s="462">
        <v>-0.89830508474576276</v>
      </c>
      <c r="BR54" s="456">
        <v>0.50724637681159424</v>
      </c>
      <c r="BS54" s="456">
        <v>0.60396039603960394</v>
      </c>
      <c r="BT54" s="456">
        <v>6.1538461538461542E-2</v>
      </c>
      <c r="BU54" s="462">
        <v>0.85263157894736841</v>
      </c>
      <c r="BV54" s="456">
        <v>0.25853658536585367</v>
      </c>
      <c r="BW54" s="456">
        <v>0.50117647058823533</v>
      </c>
      <c r="BX54" s="456">
        <v>0.56271186440677967</v>
      </c>
      <c r="BY54" s="462">
        <v>0.45808383233532934</v>
      </c>
      <c r="BZ54" s="456">
        <v>0.375</v>
      </c>
      <c r="CA54" s="456">
        <v>0.60732984293193715</v>
      </c>
      <c r="CB54" s="456">
        <v>0.1875</v>
      </c>
      <c r="CC54" s="462">
        <v>-0.14009661835748793</v>
      </c>
      <c r="CD54" s="456">
        <v>0.23936170212765959</v>
      </c>
      <c r="CE54" s="456">
        <v>2.4848484848484849</v>
      </c>
      <c r="CF54" s="456">
        <v>0.53688524590163933</v>
      </c>
      <c r="CG54" s="462">
        <v>1.4375</v>
      </c>
      <c r="CH54" s="456">
        <v>0.74603174603174605</v>
      </c>
      <c r="CI54" s="456">
        <v>0.4550561797752809</v>
      </c>
      <c r="CJ54" s="456">
        <v>0.44594594594594594</v>
      </c>
      <c r="CK54" s="462">
        <v>0.32283464566929132</v>
      </c>
      <c r="CL54" s="456">
        <v>0.88257575757575757</v>
      </c>
      <c r="CM54" s="456">
        <v>0.74856486796785304</v>
      </c>
      <c r="CN54" s="456">
        <v>0.73598553345388784</v>
      </c>
      <c r="CO54" s="462">
        <v>-4.9562682215743441E-2</v>
      </c>
      <c r="CP54" s="463">
        <v>0.56617647058823528</v>
      </c>
      <c r="CQ54" s="456">
        <v>1.4331210191082802</v>
      </c>
      <c r="CR54" s="456">
        <v>9.556313993174062E-2</v>
      </c>
      <c r="CS54" s="462">
        <v>-0.73579090151750504</v>
      </c>
      <c r="CT54" s="463">
        <v>0.64511519368805548</v>
      </c>
      <c r="CU54" s="456">
        <v>0.68021346423120055</v>
      </c>
      <c r="CV54" s="456">
        <v>2.2007736244459664</v>
      </c>
      <c r="CW54" s="462">
        <v>0.35021106608259667</v>
      </c>
      <c r="CX54" s="369"/>
      <c r="CY54" s="369"/>
      <c r="CZ54" s="369"/>
      <c r="DA54" s="371"/>
      <c r="DB54" s="369"/>
      <c r="DC54" s="369"/>
      <c r="DD54" s="369"/>
      <c r="DE54" s="371"/>
      <c r="DF54" s="369"/>
      <c r="DG54" s="369"/>
      <c r="DH54" s="369"/>
      <c r="DI54" s="371"/>
      <c r="DJ54" s="374"/>
      <c r="DK54" s="375"/>
      <c r="DL54" s="369"/>
      <c r="DM54" s="369"/>
      <c r="DN54" s="369"/>
      <c r="DO54" s="369"/>
      <c r="DP54" s="369"/>
      <c r="DQ54" s="369"/>
      <c r="DR54" s="369"/>
      <c r="DS54" s="456">
        <v>0.30951101558301986</v>
      </c>
      <c r="DT54" s="456">
        <v>0.40740740740740738</v>
      </c>
      <c r="DU54" s="456">
        <v>-0.44444444444444442</v>
      </c>
      <c r="DV54" s="456">
        <v>0.2012779552715655</v>
      </c>
      <c r="DW54" s="456">
        <v>0.62650602409638556</v>
      </c>
      <c r="DX54" s="456">
        <v>0.60681114551083593</v>
      </c>
      <c r="DY54" s="456">
        <v>0.40466101694915252</v>
      </c>
      <c r="DZ54" s="456">
        <v>0.32642487046632124</v>
      </c>
      <c r="EA54" s="456">
        <v>0.48711470439615967</v>
      </c>
      <c r="EB54" s="456">
        <v>2.4305555555555556E-2</v>
      </c>
      <c r="EC54" s="456">
        <v>0.97701149425287359</v>
      </c>
      <c r="ED54" s="456">
        <v>0.47314285714285714</v>
      </c>
      <c r="EE54" s="456">
        <v>0.65583456425406206</v>
      </c>
      <c r="EF54" s="456">
        <v>0.66645419922222637</v>
      </c>
      <c r="EG54" s="456">
        <v>-6.4081205617626766</v>
      </c>
      <c r="EH54" s="456">
        <v>0.56810900320988444</v>
      </c>
      <c r="EI54" s="456">
        <v>0.4816450576553637</v>
      </c>
      <c r="EJ54" s="456">
        <v>0.87324054364155379</v>
      </c>
      <c r="EK54" s="456">
        <v>0.73822333656899664</v>
      </c>
      <c r="EL54" s="456">
        <v>0.80705933735736213</v>
      </c>
      <c r="EM54" s="456">
        <v>0.99139467359900835</v>
      </c>
      <c r="EN54" s="456">
        <v>1.2582912800876811</v>
      </c>
      <c r="EO54" s="456">
        <v>0.76242321484038167</v>
      </c>
      <c r="EP54" s="375"/>
      <c r="EQ54" s="369"/>
    </row>
    <row r="55" spans="1:147" s="377" customFormat="1" ht="15" customHeight="1" outlineLevel="3">
      <c r="A55" s="368"/>
      <c r="B55"/>
      <c r="C55"/>
      <c r="D55"/>
      <c r="E55"/>
      <c r="F55"/>
      <c r="G55"/>
      <c r="H55" s="369"/>
      <c r="I55" s="379"/>
      <c r="J55" s="369"/>
      <c r="K55" s="369"/>
      <c r="L55" s="369"/>
      <c r="M55" s="371"/>
      <c r="N55" s="369"/>
      <c r="O55" s="369"/>
      <c r="P55" s="369"/>
      <c r="Q55" s="371"/>
      <c r="R55" s="369"/>
      <c r="S55" s="369"/>
      <c r="T55" s="369"/>
      <c r="U55" s="371"/>
      <c r="V55" s="369"/>
      <c r="W55" s="369"/>
      <c r="X55" s="369"/>
      <c r="Y55" s="371"/>
      <c r="Z55" s="369"/>
      <c r="AA55" s="369"/>
      <c r="AB55" s="369"/>
      <c r="AC55" s="371"/>
      <c r="AD55" s="369"/>
      <c r="AE55" s="369"/>
      <c r="AF55" s="369"/>
      <c r="AG55" s="371"/>
      <c r="AH55" s="369"/>
      <c r="AI55" s="369"/>
      <c r="AJ55" s="369"/>
      <c r="AK55" s="371"/>
      <c r="AL55" s="369"/>
      <c r="AM55" s="369"/>
      <c r="AN55" s="369"/>
      <c r="AO55" s="371"/>
      <c r="AP55" s="369"/>
      <c r="AQ55" s="369"/>
      <c r="AR55" s="369"/>
      <c r="AS55" s="371"/>
      <c r="AT55" s="448"/>
      <c r="AU55" s="448"/>
      <c r="AV55" s="448"/>
      <c r="AW55" s="449"/>
      <c r="AX55" s="448"/>
      <c r="AY55" s="448"/>
      <c r="AZ55" s="448"/>
      <c r="BA55" s="449"/>
      <c r="BB55" s="448"/>
      <c r="BC55" s="448"/>
      <c r="BD55" s="448"/>
      <c r="BE55" s="449"/>
      <c r="BF55" s="448"/>
      <c r="BG55" s="448"/>
      <c r="BH55" s="448"/>
      <c r="BI55" s="449"/>
      <c r="BJ55" s="448"/>
      <c r="BK55" s="448"/>
      <c r="BL55" s="448"/>
      <c r="BM55" s="449"/>
      <c r="BN55" s="448"/>
      <c r="BO55" s="448"/>
      <c r="BP55" s="448"/>
      <c r="BQ55" s="449"/>
      <c r="BR55" s="448"/>
      <c r="BS55" s="448"/>
      <c r="BT55" s="448"/>
      <c r="BU55" s="449"/>
      <c r="BV55" s="448"/>
      <c r="BW55" s="448"/>
      <c r="BX55" s="448"/>
      <c r="BY55" s="449"/>
      <c r="BZ55" s="448"/>
      <c r="CA55" s="448"/>
      <c r="CB55" s="448"/>
      <c r="CC55" s="449"/>
      <c r="CD55" s="448"/>
      <c r="CE55" s="448"/>
      <c r="CF55" s="448"/>
      <c r="CG55" s="449"/>
      <c r="CH55" s="448"/>
      <c r="CI55" s="448"/>
      <c r="CJ55" s="448"/>
      <c r="CK55" s="449"/>
      <c r="CL55" s="448"/>
      <c r="CM55" s="448"/>
      <c r="CN55" s="448"/>
      <c r="CO55" s="449"/>
      <c r="CP55" s="450"/>
      <c r="CQ55" s="448"/>
      <c r="CR55" s="448"/>
      <c r="CS55" s="449"/>
      <c r="CT55" s="450"/>
      <c r="CU55" s="448"/>
      <c r="CV55" s="448"/>
      <c r="CW55" s="449"/>
      <c r="CX55" s="369"/>
      <c r="CY55" s="369"/>
      <c r="CZ55" s="369"/>
      <c r="DA55" s="371"/>
      <c r="DB55" s="369"/>
      <c r="DC55" s="369"/>
      <c r="DD55" s="369"/>
      <c r="DE55" s="371"/>
      <c r="DF55" s="369"/>
      <c r="DG55" s="369"/>
      <c r="DH55" s="369"/>
      <c r="DI55" s="371"/>
      <c r="DJ55" s="374"/>
      <c r="DK55" s="375"/>
      <c r="DL55" s="369"/>
      <c r="DM55" s="369"/>
      <c r="DN55" s="369"/>
      <c r="DO55" s="369"/>
      <c r="DP55" s="369"/>
      <c r="DQ55" s="369"/>
      <c r="DR55" s="369"/>
      <c r="DS55" s="461"/>
      <c r="DT55" s="461"/>
      <c r="DU55" s="461"/>
      <c r="DV55" s="448"/>
      <c r="DW55" s="448"/>
      <c r="DX55" s="448"/>
      <c r="DY55" s="448"/>
      <c r="DZ55" s="448"/>
      <c r="EA55" s="448"/>
      <c r="EB55" s="448"/>
      <c r="EC55" s="448"/>
      <c r="ED55" s="448"/>
      <c r="EE55" s="448"/>
      <c r="EF55" s="448"/>
      <c r="EG55" s="448"/>
      <c r="EH55" s="448"/>
      <c r="EI55" s="448"/>
      <c r="EJ55" s="448"/>
      <c r="EK55" s="448"/>
      <c r="EL55" s="448"/>
      <c r="EM55" s="448"/>
      <c r="EN55" s="448"/>
      <c r="EO55" s="448"/>
      <c r="EP55" s="375"/>
      <c r="EQ55" s="369"/>
    </row>
    <row r="56" spans="1:147" s="377" customFormat="1" ht="15" customHeight="1" outlineLevel="3">
      <c r="A56" s="368"/>
      <c r="B56"/>
      <c r="C56"/>
      <c r="D56"/>
      <c r="E56"/>
      <c r="F56"/>
      <c r="G56"/>
      <c r="H56" s="369"/>
      <c r="I56" s="379" t="s">
        <v>1599</v>
      </c>
      <c r="J56" s="369"/>
      <c r="K56" s="369"/>
      <c r="L56" s="369"/>
      <c r="M56" s="371"/>
      <c r="N56" s="369"/>
      <c r="O56" s="369"/>
      <c r="P56" s="369"/>
      <c r="Q56" s="371"/>
      <c r="R56" s="369"/>
      <c r="S56" s="369"/>
      <c r="T56" s="369"/>
      <c r="U56" s="371"/>
      <c r="V56" s="369"/>
      <c r="W56" s="369"/>
      <c r="X56" s="369"/>
      <c r="Y56" s="371"/>
      <c r="Z56" s="369"/>
      <c r="AA56" s="369"/>
      <c r="AB56" s="369"/>
      <c r="AC56" s="371"/>
      <c r="AD56" s="369"/>
      <c r="AE56" s="369"/>
      <c r="AF56" s="369"/>
      <c r="AG56" s="371"/>
      <c r="AH56" s="369"/>
      <c r="AI56" s="369"/>
      <c r="AJ56" s="369"/>
      <c r="AK56" s="371"/>
      <c r="AL56" s="369"/>
      <c r="AM56" s="369"/>
      <c r="AN56" s="369"/>
      <c r="AO56" s="371"/>
      <c r="AP56" s="369"/>
      <c r="AQ56" s="369"/>
      <c r="AR56" s="369"/>
      <c r="AS56" s="371"/>
      <c r="AT56" s="448">
        <v>111</v>
      </c>
      <c r="AU56" s="448">
        <v>112</v>
      </c>
      <c r="AV56" s="448">
        <v>55</v>
      </c>
      <c r="AW56" s="449">
        <v>1030</v>
      </c>
      <c r="AX56" s="448">
        <v>116</v>
      </c>
      <c r="AY56" s="448">
        <v>72</v>
      </c>
      <c r="AZ56" s="448">
        <v>148</v>
      </c>
      <c r="BA56" s="449">
        <v>655</v>
      </c>
      <c r="BB56" s="448">
        <v>156</v>
      </c>
      <c r="BC56" s="448">
        <v>118</v>
      </c>
      <c r="BD56" s="448">
        <v>87</v>
      </c>
      <c r="BE56" s="449">
        <v>725</v>
      </c>
      <c r="BF56" s="448">
        <v>67</v>
      </c>
      <c r="BG56" s="448">
        <v>224</v>
      </c>
      <c r="BH56" s="448">
        <v>168</v>
      </c>
      <c r="BI56" s="449">
        <v>891</v>
      </c>
      <c r="BJ56" s="448">
        <v>199</v>
      </c>
      <c r="BK56" s="448">
        <v>90</v>
      </c>
      <c r="BL56" s="448">
        <v>90</v>
      </c>
      <c r="BM56" s="449">
        <v>621</v>
      </c>
      <c r="BN56" s="448">
        <v>141</v>
      </c>
      <c r="BO56" s="448">
        <v>45</v>
      </c>
      <c r="BP56" s="448">
        <v>173</v>
      </c>
      <c r="BQ56" s="449">
        <v>698</v>
      </c>
      <c r="BR56" s="448">
        <v>116</v>
      </c>
      <c r="BS56" s="448">
        <v>93</v>
      </c>
      <c r="BT56" s="448">
        <v>158</v>
      </c>
      <c r="BU56" s="449">
        <v>622</v>
      </c>
      <c r="BV56" s="448">
        <v>173</v>
      </c>
      <c r="BW56" s="448">
        <v>404</v>
      </c>
      <c r="BX56" s="448">
        <v>396</v>
      </c>
      <c r="BY56" s="449">
        <v>696</v>
      </c>
      <c r="BZ56" s="448">
        <v>236</v>
      </c>
      <c r="CA56" s="448">
        <v>331</v>
      </c>
      <c r="CB56" s="448">
        <v>458</v>
      </c>
      <c r="CC56" s="449">
        <v>722</v>
      </c>
      <c r="CD56" s="448">
        <v>296</v>
      </c>
      <c r="CE56" s="448">
        <v>314</v>
      </c>
      <c r="CF56" s="448">
        <v>399</v>
      </c>
      <c r="CG56" s="449">
        <v>995</v>
      </c>
      <c r="CH56" s="448">
        <v>242</v>
      </c>
      <c r="CI56" s="448">
        <v>293</v>
      </c>
      <c r="CJ56" s="448">
        <v>247</v>
      </c>
      <c r="CK56" s="449">
        <v>958</v>
      </c>
      <c r="CL56" s="448">
        <v>450</v>
      </c>
      <c r="CM56" s="448">
        <v>756</v>
      </c>
      <c r="CN56" s="448">
        <v>553</v>
      </c>
      <c r="CO56" s="449">
        <v>943</v>
      </c>
      <c r="CP56" s="450">
        <v>661</v>
      </c>
      <c r="CQ56" s="448">
        <v>712</v>
      </c>
      <c r="CR56" s="448">
        <v>567</v>
      </c>
      <c r="CS56" s="449">
        <v>1035.9257996131566</v>
      </c>
      <c r="CT56" s="450">
        <v>432.92906261218957</v>
      </c>
      <c r="CU56" s="448">
        <v>395.69706528527513</v>
      </c>
      <c r="CV56" s="448">
        <v>657.6650167975165</v>
      </c>
      <c r="CW56" s="449">
        <v>1232.2874591270529</v>
      </c>
      <c r="CX56" s="369"/>
      <c r="CY56" s="369"/>
      <c r="CZ56" s="369"/>
      <c r="DA56" s="371"/>
      <c r="DB56" s="369"/>
      <c r="DC56" s="369"/>
      <c r="DD56" s="369"/>
      <c r="DE56" s="371"/>
      <c r="DF56" s="369"/>
      <c r="DG56" s="369"/>
      <c r="DH56" s="369"/>
      <c r="DI56" s="371"/>
      <c r="DJ56" s="374"/>
      <c r="DK56" s="375"/>
      <c r="DL56" s="369"/>
      <c r="DM56" s="369"/>
      <c r="DN56" s="369"/>
      <c r="DO56" s="369"/>
      <c r="DP56" s="369"/>
      <c r="DQ56" s="369"/>
      <c r="DR56" s="369"/>
      <c r="DS56" s="461">
        <v>0</v>
      </c>
      <c r="DT56" s="461">
        <v>910</v>
      </c>
      <c r="DU56" s="461">
        <v>991</v>
      </c>
      <c r="DV56" s="448">
        <v>1086</v>
      </c>
      <c r="DW56" s="448">
        <v>1350</v>
      </c>
      <c r="DX56" s="448">
        <v>1000</v>
      </c>
      <c r="DY56" s="448">
        <v>1057</v>
      </c>
      <c r="DZ56" s="448">
        <v>989</v>
      </c>
      <c r="EA56" s="448">
        <v>1669</v>
      </c>
      <c r="EB56" s="448">
        <v>1747</v>
      </c>
      <c r="EC56" s="448">
        <v>2004</v>
      </c>
      <c r="ED56" s="448">
        <v>1740</v>
      </c>
      <c r="EE56" s="448">
        <v>2702</v>
      </c>
      <c r="EF56" s="448">
        <v>2975.9257996131573</v>
      </c>
      <c r="EG56" s="448">
        <v>2718.5786038220349</v>
      </c>
      <c r="EH56" s="448">
        <v>3489.4430103404784</v>
      </c>
      <c r="EI56" s="448">
        <v>3172.4291593063508</v>
      </c>
      <c r="EJ56" s="448">
        <v>2935.3707379866514</v>
      </c>
      <c r="EK56" s="448">
        <v>4222.6696075718519</v>
      </c>
      <c r="EL56" s="448">
        <v>3902.3471528728555</v>
      </c>
      <c r="EM56" s="448">
        <v>4016.778379626383</v>
      </c>
      <c r="EN56" s="448">
        <v>3929.2359700634893</v>
      </c>
      <c r="EO56" s="448">
        <v>4534.9454294454126</v>
      </c>
      <c r="EP56" s="375"/>
      <c r="EQ56" s="320">
        <v>4.0942276244360309E-2</v>
      </c>
    </row>
    <row r="57" spans="1:147" s="377" customFormat="1" ht="15" customHeight="1" outlineLevel="3">
      <c r="A57" s="368"/>
      <c r="B57"/>
      <c r="C57"/>
      <c r="D57"/>
      <c r="E57"/>
      <c r="F57"/>
      <c r="G57"/>
      <c r="H57" s="369"/>
      <c r="I57" s="464" t="s">
        <v>1600</v>
      </c>
      <c r="J57" s="465"/>
      <c r="K57" s="465"/>
      <c r="L57" s="465"/>
      <c r="M57" s="466"/>
      <c r="N57" s="465"/>
      <c r="O57" s="465"/>
      <c r="P57" s="465"/>
      <c r="Q57" s="466"/>
      <c r="R57" s="465"/>
      <c r="S57" s="465"/>
      <c r="T57" s="465"/>
      <c r="U57" s="466"/>
      <c r="V57" s="465"/>
      <c r="W57" s="465"/>
      <c r="X57" s="465"/>
      <c r="Y57" s="466"/>
      <c r="Z57" s="465"/>
      <c r="AA57" s="465"/>
      <c r="AB57" s="465"/>
      <c r="AC57" s="466"/>
      <c r="AD57" s="465"/>
      <c r="AE57" s="465"/>
      <c r="AF57" s="465"/>
      <c r="AG57" s="466"/>
      <c r="AH57" s="465"/>
      <c r="AI57" s="465"/>
      <c r="AJ57" s="465"/>
      <c r="AK57" s="466"/>
      <c r="AL57" s="465"/>
      <c r="AM57" s="465"/>
      <c r="AN57" s="465"/>
      <c r="AO57" s="466"/>
      <c r="AP57" s="465"/>
      <c r="AQ57" s="465"/>
      <c r="AR57" s="465"/>
      <c r="AS57" s="466"/>
      <c r="AT57" s="467">
        <v>245</v>
      </c>
      <c r="AU57" s="467">
        <v>257</v>
      </c>
      <c r="AV57" s="467">
        <v>50</v>
      </c>
      <c r="AW57" s="468">
        <v>306</v>
      </c>
      <c r="AX57" s="467">
        <v>424</v>
      </c>
      <c r="AY57" s="467">
        <v>237</v>
      </c>
      <c r="AZ57" s="467">
        <v>67</v>
      </c>
      <c r="BA57" s="468">
        <v>27</v>
      </c>
      <c r="BB57" s="467">
        <v>537</v>
      </c>
      <c r="BC57" s="467">
        <v>356</v>
      </c>
      <c r="BD57" s="467">
        <v>168</v>
      </c>
      <c r="BE57" s="468">
        <v>176</v>
      </c>
      <c r="BF57" s="467">
        <v>402</v>
      </c>
      <c r="BG57" s="467">
        <v>207</v>
      </c>
      <c r="BH57" s="467">
        <v>251</v>
      </c>
      <c r="BI57" s="468">
        <v>406</v>
      </c>
      <c r="BJ57" s="467">
        <v>476</v>
      </c>
      <c r="BK57" s="467">
        <v>341</v>
      </c>
      <c r="BL57" s="467">
        <v>113</v>
      </c>
      <c r="BM57" s="468">
        <v>220</v>
      </c>
      <c r="BN57" s="467">
        <v>312</v>
      </c>
      <c r="BO57" s="467">
        <v>219</v>
      </c>
      <c r="BP57" s="467">
        <v>40</v>
      </c>
      <c r="BQ57" s="468">
        <v>349</v>
      </c>
      <c r="BR57" s="467">
        <v>411</v>
      </c>
      <c r="BS57" s="467">
        <v>229</v>
      </c>
      <c r="BT57" s="467">
        <v>147</v>
      </c>
      <c r="BU57" s="468">
        <v>184</v>
      </c>
      <c r="BV57" s="467">
        <v>441</v>
      </c>
      <c r="BW57" s="467">
        <v>341</v>
      </c>
      <c r="BX57" s="467">
        <v>370</v>
      </c>
      <c r="BY57" s="468">
        <v>496</v>
      </c>
      <c r="BZ57" s="467">
        <v>546</v>
      </c>
      <c r="CA57" s="467">
        <v>417</v>
      </c>
      <c r="CB57" s="467">
        <v>358</v>
      </c>
      <c r="CC57" s="468">
        <v>375</v>
      </c>
      <c r="CD57" s="467">
        <v>605</v>
      </c>
      <c r="CE57" s="467">
        <v>473</v>
      </c>
      <c r="CF57" s="467">
        <v>325</v>
      </c>
      <c r="CG57" s="468">
        <v>697</v>
      </c>
      <c r="CH57" s="467">
        <v>603</v>
      </c>
      <c r="CI57" s="467">
        <v>408</v>
      </c>
      <c r="CJ57" s="467">
        <v>295</v>
      </c>
      <c r="CK57" s="468">
        <v>482</v>
      </c>
      <c r="CL57" s="467">
        <v>591</v>
      </c>
      <c r="CM57" s="467">
        <v>631</v>
      </c>
      <c r="CN57" s="467">
        <v>683</v>
      </c>
      <c r="CO57" s="468">
        <v>590</v>
      </c>
      <c r="CP57" s="469">
        <v>768</v>
      </c>
      <c r="CQ57" s="467">
        <v>941</v>
      </c>
      <c r="CR57" s="467">
        <v>700</v>
      </c>
      <c r="CS57" s="468">
        <v>1041.4557996131566</v>
      </c>
      <c r="CT57" s="469">
        <v>433.48206261218957</v>
      </c>
      <c r="CU57" s="467">
        <v>396.25006528527513</v>
      </c>
      <c r="CV57" s="467">
        <v>658.2180167975165</v>
      </c>
      <c r="CW57" s="468">
        <v>1232.840459127053</v>
      </c>
      <c r="CX57" s="465"/>
      <c r="CY57" s="465"/>
      <c r="CZ57" s="465"/>
      <c r="DA57" s="466"/>
      <c r="DB57" s="465"/>
      <c r="DC57" s="465"/>
      <c r="DD57" s="465"/>
      <c r="DE57" s="466"/>
      <c r="DF57" s="465"/>
      <c r="DG57" s="465"/>
      <c r="DH57" s="465"/>
      <c r="DI57" s="466"/>
      <c r="DJ57" s="470"/>
      <c r="DK57" s="471"/>
      <c r="DL57" s="465"/>
      <c r="DM57" s="465"/>
      <c r="DN57" s="465"/>
      <c r="DO57" s="465"/>
      <c r="DP57" s="465"/>
      <c r="DQ57" s="465"/>
      <c r="DR57" s="465"/>
      <c r="DS57" s="467">
        <v>-107</v>
      </c>
      <c r="DT57" s="467">
        <v>631</v>
      </c>
      <c r="DU57" s="467">
        <v>755</v>
      </c>
      <c r="DV57" s="467">
        <v>1237</v>
      </c>
      <c r="DW57" s="467">
        <v>1266</v>
      </c>
      <c r="DX57" s="467">
        <v>1150</v>
      </c>
      <c r="DY57" s="467">
        <v>920</v>
      </c>
      <c r="DZ57" s="467">
        <v>971</v>
      </c>
      <c r="EA57" s="467">
        <v>1648</v>
      </c>
      <c r="EB57" s="467">
        <v>1696</v>
      </c>
      <c r="EC57" s="467">
        <v>2100</v>
      </c>
      <c r="ED57" s="467">
        <v>1788</v>
      </c>
      <c r="EE57" s="467">
        <v>2495</v>
      </c>
      <c r="EF57" s="467">
        <v>3450.4557996131575</v>
      </c>
      <c r="EG57" s="467">
        <v>2720.7906038220349</v>
      </c>
      <c r="EH57" s="467">
        <v>3408.4313610367949</v>
      </c>
      <c r="EI57" s="467">
        <v>3214.4976509560997</v>
      </c>
      <c r="EJ57" s="467">
        <v>2952.4632278899235</v>
      </c>
      <c r="EK57" s="467">
        <v>4186.9986104951104</v>
      </c>
      <c r="EL57" s="467">
        <v>3925.6660432372341</v>
      </c>
      <c r="EM57" s="467">
        <v>4010.6444644476342</v>
      </c>
      <c r="EN57" s="467">
        <v>3932.8028765463814</v>
      </c>
      <c r="EO57" s="468">
        <v>4494.1976224882164</v>
      </c>
      <c r="EP57" s="375"/>
      <c r="EQ57" s="320">
        <v>6.5394966696822321E-2</v>
      </c>
    </row>
    <row r="58" spans="1:147" s="390" customFormat="1" ht="15" customHeight="1" outlineLevel="3">
      <c r="A58" s="385"/>
      <c r="B58"/>
      <c r="C58"/>
      <c r="D58"/>
      <c r="E58"/>
      <c r="F58"/>
      <c r="G58"/>
      <c r="H58" s="386"/>
      <c r="I58" s="378"/>
      <c r="J58" s="386"/>
      <c r="K58" s="386"/>
      <c r="L58" s="386"/>
      <c r="M58" s="388"/>
      <c r="N58" s="386"/>
      <c r="O58" s="386"/>
      <c r="P58" s="386"/>
      <c r="Q58" s="388"/>
      <c r="R58" s="386"/>
      <c r="S58" s="386"/>
      <c r="T58" s="386"/>
      <c r="U58" s="388"/>
      <c r="V58" s="386"/>
      <c r="W58" s="386"/>
      <c r="X58" s="386"/>
      <c r="Y58" s="388"/>
      <c r="Z58" s="386"/>
      <c r="AA58" s="386"/>
      <c r="AB58" s="386"/>
      <c r="AC58" s="388"/>
      <c r="AD58" s="386"/>
      <c r="AE58" s="386"/>
      <c r="AF58" s="386"/>
      <c r="AG58" s="388"/>
      <c r="AH58" s="386"/>
      <c r="AI58" s="386"/>
      <c r="AJ58" s="386"/>
      <c r="AK58" s="388"/>
      <c r="AL58" s="386"/>
      <c r="AM58" s="386"/>
      <c r="AN58" s="386"/>
      <c r="AO58" s="388"/>
      <c r="AP58" s="386"/>
      <c r="AQ58" s="386"/>
      <c r="AR58" s="386"/>
      <c r="AS58" s="388"/>
      <c r="AT58" s="386"/>
      <c r="AU58" s="386"/>
      <c r="AV58" s="386"/>
      <c r="AW58" s="388"/>
      <c r="AX58" s="472"/>
      <c r="AY58" s="386"/>
      <c r="AZ58" s="386"/>
      <c r="BA58" s="388"/>
      <c r="BB58" s="386"/>
      <c r="BC58" s="386"/>
      <c r="BD58" s="386"/>
      <c r="BE58" s="388"/>
      <c r="BF58" s="386"/>
      <c r="BG58" s="386"/>
      <c r="BH58" s="386"/>
      <c r="BI58" s="388"/>
      <c r="BJ58" s="386"/>
      <c r="BK58" s="386"/>
      <c r="BL58" s="386"/>
      <c r="BM58" s="388"/>
      <c r="BN58" s="386"/>
      <c r="BO58" s="386"/>
      <c r="BP58" s="386"/>
      <c r="BQ58" s="388"/>
      <c r="BR58" s="386"/>
      <c r="BS58" s="386"/>
      <c r="BT58" s="386"/>
      <c r="BU58" s="388"/>
      <c r="BV58" s="386"/>
      <c r="BW58" s="386"/>
      <c r="BX58" s="386"/>
      <c r="BY58" s="388"/>
      <c r="BZ58" s="386"/>
      <c r="CA58" s="386"/>
      <c r="CB58" s="386"/>
      <c r="CC58" s="388"/>
      <c r="CD58" s="386"/>
      <c r="CE58" s="386"/>
      <c r="CF58" s="386"/>
      <c r="CG58" s="388"/>
      <c r="CH58" s="386"/>
      <c r="CI58" s="386"/>
      <c r="CJ58" s="386"/>
      <c r="CK58" s="388"/>
      <c r="CL58" s="386"/>
      <c r="CM58" s="386"/>
      <c r="CN58" s="386"/>
      <c r="CO58" s="388"/>
      <c r="CP58" s="389"/>
      <c r="CQ58" s="386"/>
      <c r="CR58" s="386"/>
      <c r="CS58" s="388"/>
      <c r="CT58" s="389"/>
      <c r="CU58" s="386"/>
      <c r="CV58" s="386"/>
      <c r="CW58" s="388"/>
      <c r="CX58" s="386"/>
      <c r="CY58" s="386"/>
      <c r="CZ58" s="386"/>
      <c r="DA58" s="388"/>
      <c r="DB58" s="386"/>
      <c r="DC58" s="386"/>
      <c r="DD58" s="386"/>
      <c r="DE58" s="388"/>
      <c r="DF58" s="386"/>
      <c r="DG58" s="386"/>
      <c r="DH58" s="386"/>
      <c r="DI58" s="388"/>
      <c r="DJ58" s="454"/>
      <c r="DK58" s="389"/>
      <c r="DL58" s="386"/>
      <c r="DM58" s="386"/>
      <c r="DN58" s="386"/>
      <c r="DO58" s="386"/>
      <c r="DP58" s="386"/>
      <c r="DQ58" s="386"/>
      <c r="DR58" s="386"/>
      <c r="DS58" s="386"/>
      <c r="DT58" s="386"/>
      <c r="DU58" s="386"/>
      <c r="DV58" s="386"/>
      <c r="DW58" s="386"/>
      <c r="DX58" s="386"/>
      <c r="DY58" s="386"/>
      <c r="DZ58" s="386"/>
      <c r="EA58" s="386"/>
      <c r="EB58" s="386"/>
      <c r="EC58" s="386"/>
      <c r="ED58" s="386"/>
      <c r="EE58" s="386"/>
      <c r="EF58" s="386"/>
      <c r="EG58" s="386"/>
      <c r="EH58" s="386"/>
      <c r="EI58" s="386"/>
      <c r="EJ58" s="386"/>
      <c r="EK58" s="386"/>
      <c r="EL58" s="386"/>
      <c r="EM58" s="386"/>
      <c r="EN58" s="386"/>
      <c r="EO58" s="386"/>
      <c r="EP58" s="389"/>
      <c r="EQ58" s="386"/>
    </row>
    <row r="59" spans="1:147" ht="15" customHeight="1" outlineLevel="2">
      <c r="A59" s="473"/>
      <c r="H59" s="474" t="s">
        <v>1564</v>
      </c>
      <c r="I59" s="475" t="s">
        <v>1601</v>
      </c>
      <c r="J59" s="356"/>
      <c r="K59" s="476"/>
      <c r="L59" s="356"/>
      <c r="M59" s="477"/>
      <c r="N59" s="356"/>
      <c r="O59" s="476"/>
      <c r="P59" s="356"/>
      <c r="Q59" s="477"/>
      <c r="R59" s="356"/>
      <c r="S59" s="476"/>
      <c r="T59" s="356"/>
      <c r="U59" s="477"/>
      <c r="V59" s="356"/>
      <c r="W59" s="476"/>
      <c r="X59" s="356"/>
      <c r="Y59" s="477"/>
      <c r="Z59" s="356"/>
      <c r="AA59" s="476"/>
      <c r="AB59" s="356"/>
      <c r="AC59" s="477"/>
      <c r="AD59" s="356"/>
      <c r="AE59" s="476"/>
      <c r="AF59" s="356"/>
      <c r="AG59" s="477"/>
      <c r="AH59" s="356"/>
      <c r="AI59" s="476"/>
      <c r="AJ59" s="356"/>
      <c r="AK59" s="477"/>
      <c r="AL59" s="356"/>
      <c r="AM59" s="476"/>
      <c r="AN59" s="356"/>
      <c r="AO59" s="477"/>
      <c r="AP59" s="356"/>
      <c r="AQ59" s="476"/>
      <c r="AR59" s="356"/>
      <c r="AS59" s="478"/>
      <c r="AT59" s="479"/>
      <c r="AU59" s="479"/>
      <c r="AV59" s="479"/>
      <c r="AW59" s="478"/>
      <c r="AX59" s="479"/>
      <c r="AY59" s="479"/>
      <c r="AZ59" s="479"/>
      <c r="BA59" s="478"/>
      <c r="BB59" s="479"/>
      <c r="BC59" s="479"/>
      <c r="BD59" s="479"/>
      <c r="BE59" s="478"/>
      <c r="BF59" s="479"/>
      <c r="BG59" s="479"/>
      <c r="BH59" s="479"/>
      <c r="BI59" s="478"/>
      <c r="BJ59" s="479"/>
      <c r="BK59" s="479"/>
      <c r="BL59" s="479"/>
      <c r="BM59" s="478"/>
      <c r="BN59" s="325"/>
      <c r="BO59" s="325"/>
      <c r="BP59" s="356"/>
      <c r="BQ59" s="372"/>
      <c r="BR59" s="325"/>
      <c r="BS59" s="325"/>
      <c r="BT59" s="356"/>
      <c r="BU59" s="477"/>
      <c r="BV59" s="356"/>
      <c r="BW59" s="356"/>
      <c r="BX59" s="356"/>
      <c r="BY59" s="477"/>
      <c r="BZ59" s="356"/>
      <c r="CA59" s="356"/>
      <c r="CB59" s="356"/>
      <c r="CC59" s="477"/>
      <c r="CD59" s="356"/>
      <c r="CE59" s="356"/>
      <c r="CF59" s="356"/>
      <c r="CG59" s="477"/>
      <c r="CH59" s="356"/>
      <c r="CI59" s="356"/>
      <c r="CJ59" s="356"/>
      <c r="CK59" s="477"/>
      <c r="CL59" s="356"/>
      <c r="CM59" s="356"/>
      <c r="CN59" s="356"/>
      <c r="CO59" s="477"/>
      <c r="CP59" s="355"/>
      <c r="CQ59" s="356"/>
      <c r="CR59" s="356"/>
      <c r="CS59" s="477"/>
      <c r="CT59" s="355"/>
      <c r="CU59" s="356"/>
      <c r="CV59" s="356"/>
      <c r="CW59" s="477"/>
      <c r="CX59" s="356"/>
      <c r="CY59" s="356"/>
      <c r="CZ59" s="356"/>
      <c r="DA59" s="477"/>
      <c r="DB59" s="356"/>
      <c r="DC59" s="356"/>
      <c r="DD59" s="356"/>
      <c r="DE59" s="477"/>
      <c r="DF59" s="356"/>
      <c r="DG59" s="356"/>
      <c r="DH59" s="356"/>
      <c r="DI59" s="477"/>
      <c r="DJ59" s="480"/>
      <c r="DK59" s="355"/>
      <c r="DL59" s="356"/>
      <c r="DM59" s="356"/>
      <c r="DN59" s="356"/>
      <c r="DO59" s="356"/>
      <c r="DP59" s="356"/>
      <c r="DQ59" s="356"/>
      <c r="DR59" s="356"/>
      <c r="DS59" s="481"/>
      <c r="DT59" s="481"/>
      <c r="DU59" s="481"/>
      <c r="DV59" s="356"/>
      <c r="DW59" s="356"/>
      <c r="DX59" s="356"/>
      <c r="DY59" s="356"/>
      <c r="DZ59" s="356"/>
      <c r="EA59" s="356"/>
      <c r="EB59" s="356"/>
      <c r="EC59" s="356"/>
      <c r="ED59" s="356"/>
      <c r="EE59" s="356"/>
      <c r="EF59" s="356"/>
      <c r="EG59" s="356"/>
      <c r="EH59" s="356"/>
      <c r="EI59" s="356"/>
      <c r="EJ59" s="356"/>
      <c r="EK59" s="356"/>
      <c r="EL59" s="356"/>
      <c r="EM59" s="356"/>
      <c r="EN59" s="356"/>
      <c r="EO59" s="356"/>
      <c r="EP59" s="355"/>
      <c r="EQ59" s="356"/>
    </row>
    <row r="60" spans="1:147" s="390" customFormat="1" ht="15" customHeight="1" outlineLevel="2">
      <c r="A60" s="385"/>
      <c r="B60"/>
      <c r="C60"/>
      <c r="D60"/>
      <c r="E60"/>
      <c r="F60"/>
      <c r="G60"/>
      <c r="H60" s="386"/>
      <c r="I60" s="378" t="s">
        <v>300</v>
      </c>
      <c r="J60" s="386"/>
      <c r="K60" s="386"/>
      <c r="L60" s="386"/>
      <c r="M60" s="388"/>
      <c r="N60" s="386"/>
      <c r="O60" s="386"/>
      <c r="P60" s="386"/>
      <c r="Q60" s="388"/>
      <c r="R60" s="386"/>
      <c r="S60" s="386"/>
      <c r="T60" s="386"/>
      <c r="U60" s="388"/>
      <c r="V60" s="386"/>
      <c r="W60" s="386"/>
      <c r="X60" s="386"/>
      <c r="Y60" s="388"/>
      <c r="Z60" s="386"/>
      <c r="AA60" s="386"/>
      <c r="AB60" s="386"/>
      <c r="AC60" s="388"/>
      <c r="AD60" s="386"/>
      <c r="AE60" s="386"/>
      <c r="AF60" s="386"/>
      <c r="AG60" s="388"/>
      <c r="AH60" s="386"/>
      <c r="AI60" s="386"/>
      <c r="AJ60" s="386"/>
      <c r="AK60" s="388"/>
      <c r="AL60" s="386"/>
      <c r="AM60" s="386"/>
      <c r="AN60" s="386"/>
      <c r="AO60" s="388"/>
      <c r="AP60" s="386"/>
      <c r="AQ60" s="386"/>
      <c r="AR60" s="386"/>
      <c r="AS60" s="478"/>
      <c r="AT60" s="479">
        <v>189</v>
      </c>
      <c r="AU60" s="479">
        <v>195</v>
      </c>
      <c r="AV60" s="479">
        <v>15</v>
      </c>
      <c r="AW60" s="478">
        <v>-286</v>
      </c>
      <c r="AX60" s="479">
        <v>381</v>
      </c>
      <c r="AY60" s="479">
        <v>219</v>
      </c>
      <c r="AZ60" s="479">
        <v>51</v>
      </c>
      <c r="BA60" s="478">
        <v>-233</v>
      </c>
      <c r="BB60" s="483">
        <v>503</v>
      </c>
      <c r="BC60" s="483">
        <v>335</v>
      </c>
      <c r="BD60" s="483">
        <v>148</v>
      </c>
      <c r="BE60" s="484">
        <v>99</v>
      </c>
      <c r="BF60" s="483">
        <v>384</v>
      </c>
      <c r="BG60" s="483">
        <v>185</v>
      </c>
      <c r="BH60" s="483">
        <v>226</v>
      </c>
      <c r="BI60" s="484">
        <v>354</v>
      </c>
      <c r="BJ60" s="483">
        <v>456</v>
      </c>
      <c r="BK60" s="483">
        <v>324</v>
      </c>
      <c r="BL60" s="483">
        <v>56</v>
      </c>
      <c r="BM60" s="484">
        <v>174</v>
      </c>
      <c r="BN60" s="376">
        <v>293</v>
      </c>
      <c r="BO60" s="376">
        <v>204</v>
      </c>
      <c r="BP60" s="376">
        <v>-23</v>
      </c>
      <c r="BQ60" s="485">
        <v>361</v>
      </c>
      <c r="BR60" s="325">
        <v>394</v>
      </c>
      <c r="BS60" s="325">
        <v>212</v>
      </c>
      <c r="BT60" s="325">
        <v>127</v>
      </c>
      <c r="BU60" s="372">
        <v>159</v>
      </c>
      <c r="BV60" s="325">
        <v>363</v>
      </c>
      <c r="BW60" s="325">
        <v>151</v>
      </c>
      <c r="BX60" s="325">
        <v>199</v>
      </c>
      <c r="BY60" s="372">
        <v>254</v>
      </c>
      <c r="BZ60" s="373">
        <v>426</v>
      </c>
      <c r="CA60" s="325">
        <v>243</v>
      </c>
      <c r="CB60" s="325">
        <v>188</v>
      </c>
      <c r="CC60" s="372">
        <v>-584</v>
      </c>
      <c r="CD60" s="373">
        <v>500</v>
      </c>
      <c r="CE60" s="325">
        <v>402</v>
      </c>
      <c r="CF60" s="325">
        <v>260</v>
      </c>
      <c r="CG60" s="372">
        <v>650</v>
      </c>
      <c r="CH60" s="373">
        <v>390</v>
      </c>
      <c r="CI60" s="325">
        <v>328</v>
      </c>
      <c r="CJ60" s="325">
        <v>204</v>
      </c>
      <c r="CK60" s="372">
        <v>525</v>
      </c>
      <c r="CL60" s="373">
        <v>505</v>
      </c>
      <c r="CM60" s="325">
        <v>580</v>
      </c>
      <c r="CN60" s="325">
        <v>604</v>
      </c>
      <c r="CO60" s="372">
        <v>508</v>
      </c>
      <c r="CP60" s="373">
        <v>619</v>
      </c>
      <c r="CQ60" s="325">
        <v>876</v>
      </c>
      <c r="CR60" s="325">
        <v>639</v>
      </c>
      <c r="CS60" s="372">
        <v>960.4976021179923</v>
      </c>
      <c r="CT60" s="373">
        <v>305.04206261218957</v>
      </c>
      <c r="CU60" s="325">
        <v>358.53006528527516</v>
      </c>
      <c r="CV60" s="325">
        <v>602.85801679751648</v>
      </c>
      <c r="CW60" s="372">
        <v>1160.6804591270529</v>
      </c>
      <c r="CX60" s="325"/>
      <c r="CY60" s="325"/>
      <c r="CZ60" s="325"/>
      <c r="DA60" s="372"/>
      <c r="DB60" s="325"/>
      <c r="DC60" s="325"/>
      <c r="DD60" s="325"/>
      <c r="DE60" s="372"/>
      <c r="DF60" s="325"/>
      <c r="DG60" s="325"/>
      <c r="DH60" s="325"/>
      <c r="DI60" s="372"/>
      <c r="DJ60" s="486"/>
      <c r="DK60" s="373"/>
      <c r="DL60" s="325"/>
      <c r="DM60" s="325"/>
      <c r="DN60" s="325"/>
      <c r="DO60" s="325"/>
      <c r="DP60" s="325"/>
      <c r="DQ60" s="325"/>
      <c r="DR60" s="325"/>
      <c r="DS60" s="376">
        <v>-107</v>
      </c>
      <c r="DT60" s="376">
        <v>113</v>
      </c>
      <c r="DU60" s="376">
        <v>418</v>
      </c>
      <c r="DV60" s="325">
        <v>1085</v>
      </c>
      <c r="DW60" s="325">
        <v>1149</v>
      </c>
      <c r="DX60" s="376">
        <v>1010</v>
      </c>
      <c r="DY60" s="376">
        <v>835</v>
      </c>
      <c r="DZ60" s="376">
        <v>892</v>
      </c>
      <c r="EA60" s="376">
        <v>967</v>
      </c>
      <c r="EB60" s="325">
        <v>273</v>
      </c>
      <c r="EC60" s="325">
        <v>1812</v>
      </c>
      <c r="ED60" s="325">
        <v>1447</v>
      </c>
      <c r="EE60" s="325">
        <v>2197</v>
      </c>
      <c r="EF60" s="325">
        <v>3094.4976021179923</v>
      </c>
      <c r="EG60" s="325">
        <v>2427.1106038220341</v>
      </c>
      <c r="EH60" s="325">
        <v>3109.6601610367948</v>
      </c>
      <c r="EI60" s="325">
        <v>2903.7756029560996</v>
      </c>
      <c r="EJ60" s="325">
        <v>2629.3122979699237</v>
      </c>
      <c r="EK60" s="325">
        <v>3766.9024015991104</v>
      </c>
      <c r="EL60" s="325">
        <v>3488.7893962614949</v>
      </c>
      <c r="EM60" s="325">
        <v>3556.2684049057207</v>
      </c>
      <c r="EN60" s="325">
        <v>3460.2517746227913</v>
      </c>
      <c r="EO60" s="325">
        <v>4002.7444764876827</v>
      </c>
      <c r="EP60" s="389"/>
      <c r="EQ60" s="386"/>
    </row>
    <row r="61" spans="1:147" s="390" customFormat="1" ht="15" customHeight="1" outlineLevel="2">
      <c r="A61" s="385"/>
      <c r="B61"/>
      <c r="C61"/>
      <c r="D61"/>
      <c r="E61"/>
      <c r="F61"/>
      <c r="G61"/>
      <c r="H61" s="386"/>
      <c r="I61" s="378" t="s">
        <v>1602</v>
      </c>
      <c r="J61" s="386"/>
      <c r="K61" s="386"/>
      <c r="L61" s="386"/>
      <c r="M61" s="388"/>
      <c r="N61" s="386"/>
      <c r="O61" s="386"/>
      <c r="P61" s="386"/>
      <c r="Q61" s="388"/>
      <c r="R61" s="386"/>
      <c r="S61" s="386"/>
      <c r="T61" s="386"/>
      <c r="U61" s="388"/>
      <c r="V61" s="386"/>
      <c r="W61" s="386"/>
      <c r="X61" s="386"/>
      <c r="Y61" s="388"/>
      <c r="Z61" s="386"/>
      <c r="AA61" s="386"/>
      <c r="AB61" s="386"/>
      <c r="AC61" s="388"/>
      <c r="AD61" s="386"/>
      <c r="AE61" s="386"/>
      <c r="AF61" s="386"/>
      <c r="AG61" s="388"/>
      <c r="AH61" s="386"/>
      <c r="AI61" s="386"/>
      <c r="AJ61" s="386"/>
      <c r="AK61" s="388"/>
      <c r="AL61" s="386"/>
      <c r="AM61" s="386"/>
      <c r="AN61" s="386"/>
      <c r="AO61" s="388"/>
      <c r="AP61" s="386"/>
      <c r="AQ61" s="386"/>
      <c r="AR61" s="386"/>
      <c r="AS61" s="478"/>
      <c r="AT61" s="483">
        <v>-10</v>
      </c>
      <c r="AU61" s="483">
        <v>0</v>
      </c>
      <c r="AV61" s="483">
        <v>-11</v>
      </c>
      <c r="AW61" s="484">
        <v>3</v>
      </c>
      <c r="AX61" s="483">
        <v>0</v>
      </c>
      <c r="AY61" s="483">
        <v>-1</v>
      </c>
      <c r="AZ61" s="483">
        <v>-14</v>
      </c>
      <c r="BA61" s="484">
        <v>-8</v>
      </c>
      <c r="BB61" s="483">
        <v>-2</v>
      </c>
      <c r="BC61" s="483">
        <v>-2</v>
      </c>
      <c r="BD61" s="483">
        <v>-3</v>
      </c>
      <c r="BE61" s="484">
        <v>5</v>
      </c>
      <c r="BF61" s="483">
        <v>-1</v>
      </c>
      <c r="BG61" s="483">
        <v>-2</v>
      </c>
      <c r="BH61" s="483">
        <v>-1</v>
      </c>
      <c r="BI61" s="484">
        <v>-3</v>
      </c>
      <c r="BJ61" s="483">
        <v>-2</v>
      </c>
      <c r="BK61" s="483">
        <v>0</v>
      </c>
      <c r="BL61" s="483">
        <v>4</v>
      </c>
      <c r="BM61" s="484">
        <v>51</v>
      </c>
      <c r="BN61" s="376">
        <v>51</v>
      </c>
      <c r="BO61" s="376">
        <v>50</v>
      </c>
      <c r="BP61" s="376">
        <v>51</v>
      </c>
      <c r="BQ61" s="485">
        <v>50</v>
      </c>
      <c r="BR61" s="376">
        <v>50</v>
      </c>
      <c r="BS61" s="376">
        <v>50</v>
      </c>
      <c r="BT61" s="376">
        <v>51</v>
      </c>
      <c r="BU61" s="485">
        <v>49</v>
      </c>
      <c r="BV61" s="376">
        <v>52</v>
      </c>
      <c r="BW61" s="376">
        <v>65</v>
      </c>
      <c r="BX61" s="376">
        <v>63</v>
      </c>
      <c r="BY61" s="485">
        <v>125</v>
      </c>
      <c r="BZ61" s="487">
        <v>40</v>
      </c>
      <c r="CA61" s="376">
        <v>46</v>
      </c>
      <c r="CB61" s="376">
        <v>37</v>
      </c>
      <c r="CC61" s="485">
        <v>36</v>
      </c>
      <c r="CD61" s="487">
        <v>28</v>
      </c>
      <c r="CE61" s="376">
        <v>26</v>
      </c>
      <c r="CF61" s="376">
        <v>53</v>
      </c>
      <c r="CG61" s="485">
        <v>4</v>
      </c>
      <c r="CH61" s="487">
        <v>60</v>
      </c>
      <c r="CI61" s="376">
        <v>-34</v>
      </c>
      <c r="CJ61" s="376">
        <v>-2</v>
      </c>
      <c r="CK61" s="485">
        <v>7</v>
      </c>
      <c r="CL61" s="487">
        <v>8</v>
      </c>
      <c r="CM61" s="376">
        <v>22</v>
      </c>
      <c r="CN61" s="376">
        <v>56</v>
      </c>
      <c r="CO61" s="485">
        <v>31</v>
      </c>
      <c r="CP61" s="487">
        <v>30</v>
      </c>
      <c r="CQ61" s="376">
        <v>-43</v>
      </c>
      <c r="CR61" s="376">
        <v>65</v>
      </c>
      <c r="CS61" s="485">
        <v>28.856000000000002</v>
      </c>
      <c r="CT61" s="487">
        <v>19.8385</v>
      </c>
      <c r="CU61" s="376">
        <v>19.8385</v>
      </c>
      <c r="CV61" s="376">
        <v>19.8385</v>
      </c>
      <c r="CW61" s="485">
        <v>19.8385</v>
      </c>
      <c r="CX61" s="325"/>
      <c r="CY61" s="325"/>
      <c r="CZ61" s="325"/>
      <c r="DA61" s="372"/>
      <c r="DB61" s="325"/>
      <c r="DC61" s="325"/>
      <c r="DD61" s="325"/>
      <c r="DE61" s="372"/>
      <c r="DF61" s="325"/>
      <c r="DG61" s="325"/>
      <c r="DH61" s="325"/>
      <c r="DI61" s="372"/>
      <c r="DJ61" s="486"/>
      <c r="DK61" s="373"/>
      <c r="DL61" s="325"/>
      <c r="DM61" s="325"/>
      <c r="DN61" s="325"/>
      <c r="DO61" s="325"/>
      <c r="DP61" s="325"/>
      <c r="DQ61" s="325"/>
      <c r="DR61" s="325"/>
      <c r="DS61" s="376">
        <v>-46</v>
      </c>
      <c r="DT61" s="376">
        <v>-18</v>
      </c>
      <c r="DU61" s="376">
        <v>-23</v>
      </c>
      <c r="DV61" s="376">
        <v>-2</v>
      </c>
      <c r="DW61" s="325">
        <v>-7</v>
      </c>
      <c r="DX61" s="376">
        <v>53</v>
      </c>
      <c r="DY61" s="376">
        <v>202</v>
      </c>
      <c r="DZ61" s="376">
        <v>200</v>
      </c>
      <c r="EA61" s="376">
        <v>305</v>
      </c>
      <c r="EB61" s="325">
        <v>159</v>
      </c>
      <c r="EC61" s="325">
        <v>111</v>
      </c>
      <c r="ED61" s="325">
        <v>31</v>
      </c>
      <c r="EE61" s="325">
        <v>117</v>
      </c>
      <c r="EF61" s="325">
        <v>80.855999999999995</v>
      </c>
      <c r="EG61" s="325">
        <v>79.353999999999999</v>
      </c>
      <c r="EH61" s="325">
        <v>79.353999999999999</v>
      </c>
      <c r="EI61" s="325">
        <v>79.353999999999999</v>
      </c>
      <c r="EJ61" s="325">
        <v>79.353999999999999</v>
      </c>
      <c r="EK61" s="325">
        <v>39.677</v>
      </c>
      <c r="EL61" s="325">
        <v>0</v>
      </c>
      <c r="EM61" s="325">
        <v>0</v>
      </c>
      <c r="EN61" s="325">
        <v>0</v>
      </c>
      <c r="EO61" s="325">
        <v>0</v>
      </c>
      <c r="EP61" s="389"/>
      <c r="EQ61" s="386"/>
    </row>
    <row r="62" spans="1:147" s="390" customFormat="1" ht="15" customHeight="1" outlineLevel="2">
      <c r="A62" s="385"/>
      <c r="B62"/>
      <c r="C62"/>
      <c r="D62"/>
      <c r="E62"/>
      <c r="F62"/>
      <c r="G62"/>
      <c r="H62" s="386"/>
      <c r="I62" s="378" t="s">
        <v>1603</v>
      </c>
      <c r="J62" s="386"/>
      <c r="K62" s="386"/>
      <c r="L62" s="386"/>
      <c r="M62" s="388"/>
      <c r="N62" s="386"/>
      <c r="O62" s="386"/>
      <c r="P62" s="386"/>
      <c r="Q62" s="388"/>
      <c r="R62" s="386"/>
      <c r="S62" s="386"/>
      <c r="T62" s="386"/>
      <c r="U62" s="388"/>
      <c r="V62" s="386"/>
      <c r="W62" s="386"/>
      <c r="X62" s="386"/>
      <c r="Y62" s="388"/>
      <c r="Z62" s="386"/>
      <c r="AA62" s="386"/>
      <c r="AB62" s="386"/>
      <c r="AC62" s="388"/>
      <c r="AD62" s="386"/>
      <c r="AE62" s="386"/>
      <c r="AF62" s="386"/>
      <c r="AG62" s="388"/>
      <c r="AH62" s="386"/>
      <c r="AI62" s="386"/>
      <c r="AJ62" s="386"/>
      <c r="AK62" s="388"/>
      <c r="AL62" s="386"/>
      <c r="AM62" s="386"/>
      <c r="AN62" s="386"/>
      <c r="AO62" s="388"/>
      <c r="AP62" s="386"/>
      <c r="AQ62" s="386"/>
      <c r="AR62" s="386"/>
      <c r="AS62" s="478"/>
      <c r="AT62" s="483">
        <v>0</v>
      </c>
      <c r="AU62" s="483">
        <v>23</v>
      </c>
      <c r="AV62" s="483">
        <v>5</v>
      </c>
      <c r="AW62" s="484">
        <v>-149</v>
      </c>
      <c r="AX62" s="483">
        <v>130</v>
      </c>
      <c r="AY62" s="483">
        <v>82</v>
      </c>
      <c r="AZ62" s="483">
        <v>18</v>
      </c>
      <c r="BA62" s="484">
        <v>-156</v>
      </c>
      <c r="BB62" s="483">
        <v>173</v>
      </c>
      <c r="BC62" s="483">
        <v>134</v>
      </c>
      <c r="BD62" s="483">
        <v>17</v>
      </c>
      <c r="BE62" s="484">
        <v>-79</v>
      </c>
      <c r="BF62" s="483">
        <v>130</v>
      </c>
      <c r="BG62" s="483">
        <v>44</v>
      </c>
      <c r="BH62" s="483">
        <v>2</v>
      </c>
      <c r="BI62" s="484">
        <v>133</v>
      </c>
      <c r="BJ62" s="483">
        <v>133</v>
      </c>
      <c r="BK62" s="483">
        <v>106</v>
      </c>
      <c r="BL62" s="483">
        <v>10</v>
      </c>
      <c r="BM62" s="484">
        <v>59</v>
      </c>
      <c r="BN62" s="376">
        <v>83</v>
      </c>
      <c r="BO62" s="376">
        <v>56</v>
      </c>
      <c r="BP62" s="376">
        <v>-20</v>
      </c>
      <c r="BQ62" s="485">
        <v>27</v>
      </c>
      <c r="BR62" s="376">
        <v>98</v>
      </c>
      <c r="BS62" s="376">
        <v>70</v>
      </c>
      <c r="BT62" s="376">
        <v>18</v>
      </c>
      <c r="BU62" s="485">
        <v>42</v>
      </c>
      <c r="BV62" s="376">
        <v>46</v>
      </c>
      <c r="BW62" s="376">
        <v>16</v>
      </c>
      <c r="BX62" s="376">
        <v>32</v>
      </c>
      <c r="BY62" s="485">
        <v>46</v>
      </c>
      <c r="BZ62" s="487">
        <v>27</v>
      </c>
      <c r="CA62" s="376">
        <v>50</v>
      </c>
      <c r="CB62" s="376">
        <v>32</v>
      </c>
      <c r="CC62" s="485">
        <v>769</v>
      </c>
      <c r="CD62" s="487">
        <v>67</v>
      </c>
      <c r="CE62" s="376">
        <v>6</v>
      </c>
      <c r="CF62" s="376">
        <v>-48</v>
      </c>
      <c r="CG62" s="485">
        <v>40</v>
      </c>
      <c r="CH62" s="487">
        <v>120</v>
      </c>
      <c r="CI62" s="376">
        <v>42</v>
      </c>
      <c r="CJ62" s="376">
        <v>45</v>
      </c>
      <c r="CK62" s="485">
        <v>-78</v>
      </c>
      <c r="CL62" s="487">
        <v>99</v>
      </c>
      <c r="CM62" s="376">
        <v>147</v>
      </c>
      <c r="CN62" s="376">
        <v>118</v>
      </c>
      <c r="CO62" s="485">
        <v>55</v>
      </c>
      <c r="CP62" s="487">
        <v>146</v>
      </c>
      <c r="CQ62" s="376">
        <v>126</v>
      </c>
      <c r="CR62" s="376">
        <v>120</v>
      </c>
      <c r="CS62" s="485">
        <v>255.32214739845364</v>
      </c>
      <c r="CT62" s="487">
        <v>76.260515653047392</v>
      </c>
      <c r="CU62" s="376">
        <v>89.632516321318803</v>
      </c>
      <c r="CV62" s="376">
        <v>150.71450419937912</v>
      </c>
      <c r="CW62" s="485">
        <v>290.17011478176323</v>
      </c>
      <c r="CX62" s="325"/>
      <c r="CY62" s="325"/>
      <c r="CZ62" s="325"/>
      <c r="DA62" s="372"/>
      <c r="DB62" s="325"/>
      <c r="DC62" s="325"/>
      <c r="DD62" s="325"/>
      <c r="DE62" s="372"/>
      <c r="DF62" s="325"/>
      <c r="DG62" s="325"/>
      <c r="DH62" s="325"/>
      <c r="DI62" s="372"/>
      <c r="DJ62" s="486"/>
      <c r="DK62" s="373"/>
      <c r="DL62" s="325"/>
      <c r="DM62" s="325"/>
      <c r="DN62" s="325"/>
      <c r="DO62" s="325"/>
      <c r="DP62" s="325"/>
      <c r="DQ62" s="325"/>
      <c r="DR62" s="325"/>
      <c r="DS62" s="376">
        <v>-80</v>
      </c>
      <c r="DT62" s="376">
        <v>-121</v>
      </c>
      <c r="DU62" s="376">
        <v>74</v>
      </c>
      <c r="DV62" s="376">
        <v>245</v>
      </c>
      <c r="DW62" s="325">
        <v>309</v>
      </c>
      <c r="DX62" s="376">
        <v>308</v>
      </c>
      <c r="DY62" s="376">
        <v>146</v>
      </c>
      <c r="DZ62" s="376">
        <v>228</v>
      </c>
      <c r="EA62" s="376">
        <v>140</v>
      </c>
      <c r="EB62" s="325">
        <v>878</v>
      </c>
      <c r="EC62" s="325">
        <v>65</v>
      </c>
      <c r="ED62" s="325">
        <v>129</v>
      </c>
      <c r="EE62" s="325">
        <v>419</v>
      </c>
      <c r="EF62" s="325">
        <v>647.32214739845358</v>
      </c>
      <c r="EG62" s="325">
        <v>606.77765095550853</v>
      </c>
      <c r="EH62" s="325">
        <v>777.41504025919869</v>
      </c>
      <c r="EI62" s="325">
        <v>725.94390073902503</v>
      </c>
      <c r="EJ62" s="325">
        <v>657.32807449248094</v>
      </c>
      <c r="EK62" s="325">
        <v>0</v>
      </c>
      <c r="EL62" s="325">
        <v>1.706451240454827E-2</v>
      </c>
      <c r="EM62" s="325">
        <v>0</v>
      </c>
      <c r="EN62" s="325">
        <v>0</v>
      </c>
      <c r="EO62" s="325">
        <v>0</v>
      </c>
      <c r="EP62" s="389"/>
      <c r="EQ62" s="386"/>
    </row>
    <row r="63" spans="1:147" s="377" customFormat="1" ht="15" customHeight="1" outlineLevel="2">
      <c r="A63" s="368"/>
      <c r="B63"/>
      <c r="C63"/>
      <c r="D63"/>
      <c r="E63"/>
      <c r="F63"/>
      <c r="G63"/>
      <c r="H63" s="369"/>
      <c r="I63" s="379" t="s">
        <v>1578</v>
      </c>
      <c r="J63" s="369"/>
      <c r="K63" s="369"/>
      <c r="L63" s="369"/>
      <c r="M63" s="371"/>
      <c r="N63" s="369"/>
      <c r="O63" s="369"/>
      <c r="P63" s="369"/>
      <c r="Q63" s="371"/>
      <c r="R63" s="369"/>
      <c r="S63" s="369"/>
      <c r="T63" s="369"/>
      <c r="U63" s="371"/>
      <c r="V63" s="369"/>
      <c r="W63" s="369"/>
      <c r="X63" s="369"/>
      <c r="Y63" s="371"/>
      <c r="Z63" s="369"/>
      <c r="AA63" s="369"/>
      <c r="AB63" s="369"/>
      <c r="AC63" s="371"/>
      <c r="AD63" s="369"/>
      <c r="AE63" s="369"/>
      <c r="AF63" s="369"/>
      <c r="AG63" s="371"/>
      <c r="AH63" s="369"/>
      <c r="AI63" s="369"/>
      <c r="AJ63" s="369"/>
      <c r="AK63" s="371"/>
      <c r="AL63" s="369"/>
      <c r="AM63" s="369"/>
      <c r="AN63" s="369"/>
      <c r="AO63" s="371"/>
      <c r="AP63" s="369"/>
      <c r="AQ63" s="369"/>
      <c r="AR63" s="369"/>
      <c r="AS63" s="488"/>
      <c r="AT63" s="383">
        <v>179</v>
      </c>
      <c r="AU63" s="383">
        <v>218</v>
      </c>
      <c r="AV63" s="383">
        <v>9</v>
      </c>
      <c r="AW63" s="489">
        <v>-432</v>
      </c>
      <c r="AX63" s="383">
        <v>511</v>
      </c>
      <c r="AY63" s="383">
        <v>300</v>
      </c>
      <c r="AZ63" s="383">
        <v>55</v>
      </c>
      <c r="BA63" s="489">
        <v>-397</v>
      </c>
      <c r="BB63" s="383">
        <v>674</v>
      </c>
      <c r="BC63" s="383">
        <v>467</v>
      </c>
      <c r="BD63" s="383">
        <v>162</v>
      </c>
      <c r="BE63" s="489">
        <v>25</v>
      </c>
      <c r="BF63" s="383">
        <v>513</v>
      </c>
      <c r="BG63" s="383">
        <v>227</v>
      </c>
      <c r="BH63" s="383">
        <v>227</v>
      </c>
      <c r="BI63" s="489">
        <v>484</v>
      </c>
      <c r="BJ63" s="383">
        <v>587</v>
      </c>
      <c r="BK63" s="383">
        <v>430</v>
      </c>
      <c r="BL63" s="383">
        <v>70</v>
      </c>
      <c r="BM63" s="489">
        <v>284</v>
      </c>
      <c r="BN63" s="383">
        <v>427</v>
      </c>
      <c r="BO63" s="383">
        <v>310</v>
      </c>
      <c r="BP63" s="383">
        <v>8</v>
      </c>
      <c r="BQ63" s="489">
        <v>438</v>
      </c>
      <c r="BR63" s="383">
        <v>542</v>
      </c>
      <c r="BS63" s="383">
        <v>332</v>
      </c>
      <c r="BT63" s="383">
        <v>196</v>
      </c>
      <c r="BU63" s="489">
        <v>250</v>
      </c>
      <c r="BV63" s="383">
        <v>461</v>
      </c>
      <c r="BW63" s="383">
        <v>232</v>
      </c>
      <c r="BX63" s="383">
        <v>294</v>
      </c>
      <c r="BY63" s="489">
        <v>425</v>
      </c>
      <c r="BZ63" s="490">
        <v>493</v>
      </c>
      <c r="CA63" s="383">
        <v>339</v>
      </c>
      <c r="CB63" s="383">
        <v>257</v>
      </c>
      <c r="CC63" s="489">
        <v>221</v>
      </c>
      <c r="CD63" s="490">
        <v>595</v>
      </c>
      <c r="CE63" s="383">
        <v>434</v>
      </c>
      <c r="CF63" s="383">
        <v>265</v>
      </c>
      <c r="CG63" s="489">
        <v>694</v>
      </c>
      <c r="CH63" s="490">
        <v>570</v>
      </c>
      <c r="CI63" s="383">
        <v>336</v>
      </c>
      <c r="CJ63" s="383">
        <v>247</v>
      </c>
      <c r="CK63" s="489">
        <v>454</v>
      </c>
      <c r="CL63" s="490">
        <v>612</v>
      </c>
      <c r="CM63" s="383">
        <v>749</v>
      </c>
      <c r="CN63" s="383">
        <v>778</v>
      </c>
      <c r="CO63" s="489">
        <v>594</v>
      </c>
      <c r="CP63" s="490">
        <v>795</v>
      </c>
      <c r="CQ63" s="383">
        <v>959</v>
      </c>
      <c r="CR63" s="383">
        <v>824</v>
      </c>
      <c r="CS63" s="489">
        <v>1244.6757495164459</v>
      </c>
      <c r="CT63" s="490">
        <v>401.14107826523696</v>
      </c>
      <c r="CU63" s="383">
        <v>468.00108160659397</v>
      </c>
      <c r="CV63" s="383">
        <v>773.41102099689556</v>
      </c>
      <c r="CW63" s="489">
        <v>1470.6890739088162</v>
      </c>
      <c r="CX63" s="448"/>
      <c r="CY63" s="448"/>
      <c r="CZ63" s="448"/>
      <c r="DA63" s="449"/>
      <c r="DB63" s="448"/>
      <c r="DC63" s="448"/>
      <c r="DD63" s="448"/>
      <c r="DE63" s="449"/>
      <c r="DF63" s="448"/>
      <c r="DG63" s="448"/>
      <c r="DH63" s="448"/>
      <c r="DI63" s="449"/>
      <c r="DJ63" s="491"/>
      <c r="DK63" s="450"/>
      <c r="DL63" s="448"/>
      <c r="DM63" s="448"/>
      <c r="DN63" s="448"/>
      <c r="DO63" s="448"/>
      <c r="DP63" s="448"/>
      <c r="DQ63" s="448"/>
      <c r="DR63" s="448"/>
      <c r="DS63" s="383">
        <v>-233</v>
      </c>
      <c r="DT63" s="383">
        <v>-26</v>
      </c>
      <c r="DU63" s="383">
        <v>469</v>
      </c>
      <c r="DV63" s="383">
        <v>1328</v>
      </c>
      <c r="DW63" s="383">
        <v>1451</v>
      </c>
      <c r="DX63" s="383">
        <v>1371</v>
      </c>
      <c r="DY63" s="383">
        <v>1183</v>
      </c>
      <c r="DZ63" s="383">
        <v>1320</v>
      </c>
      <c r="EA63" s="383">
        <v>1412</v>
      </c>
      <c r="EB63" s="383">
        <v>1310</v>
      </c>
      <c r="EC63" s="383">
        <v>1988</v>
      </c>
      <c r="ED63" s="383">
        <v>1607</v>
      </c>
      <c r="EE63" s="383">
        <v>2733</v>
      </c>
      <c r="EF63" s="383">
        <v>3822.6757495164461</v>
      </c>
      <c r="EG63" s="383">
        <v>3113.2422547775423</v>
      </c>
      <c r="EH63" s="383">
        <v>3966.4292012959932</v>
      </c>
      <c r="EI63" s="383">
        <v>3709.0735036951246</v>
      </c>
      <c r="EJ63" s="383">
        <v>3365.9943724624045</v>
      </c>
      <c r="EK63" s="383">
        <v>3806.5794015991105</v>
      </c>
      <c r="EL63" s="383">
        <v>3488.8064607738993</v>
      </c>
      <c r="EM63" s="383">
        <v>3556.2684049057207</v>
      </c>
      <c r="EN63" s="383">
        <v>3460.2517746227913</v>
      </c>
      <c r="EO63" s="383">
        <v>4002.7444764876827</v>
      </c>
      <c r="EP63" s="375"/>
      <c r="EQ63" s="320">
        <v>0.14814480561806431</v>
      </c>
    </row>
    <row r="64" spans="1:147" s="390" customFormat="1" ht="15" customHeight="1" outlineLevel="2">
      <c r="A64" s="385"/>
      <c r="B64"/>
      <c r="C64"/>
      <c r="D64"/>
      <c r="E64"/>
      <c r="F64"/>
      <c r="G64"/>
      <c r="H64" s="386"/>
      <c r="I64" s="378" t="s">
        <v>1604</v>
      </c>
      <c r="J64" s="386"/>
      <c r="K64" s="386"/>
      <c r="L64" s="386"/>
      <c r="M64" s="388"/>
      <c r="N64" s="386"/>
      <c r="O64" s="386"/>
      <c r="P64" s="386"/>
      <c r="Q64" s="388"/>
      <c r="R64" s="386"/>
      <c r="S64" s="386"/>
      <c r="T64" s="386"/>
      <c r="U64" s="388"/>
      <c r="V64" s="386"/>
      <c r="W64" s="386"/>
      <c r="X64" s="386"/>
      <c r="Y64" s="388"/>
      <c r="Z64" s="386"/>
      <c r="AA64" s="386"/>
      <c r="AB64" s="386"/>
      <c r="AC64" s="388"/>
      <c r="AD64" s="386"/>
      <c r="AE64" s="386"/>
      <c r="AF64" s="386"/>
      <c r="AG64" s="388"/>
      <c r="AH64" s="386"/>
      <c r="AI64" s="386"/>
      <c r="AJ64" s="386"/>
      <c r="AK64" s="388"/>
      <c r="AL64" s="386"/>
      <c r="AM64" s="386"/>
      <c r="AN64" s="386"/>
      <c r="AO64" s="388"/>
      <c r="AP64" s="386"/>
      <c r="AQ64" s="386"/>
      <c r="AR64" s="386"/>
      <c r="AS64" s="478"/>
      <c r="AT64" s="492">
        <v>28</v>
      </c>
      <c r="AU64" s="492">
        <v>43</v>
      </c>
      <c r="AV64" s="492">
        <v>36</v>
      </c>
      <c r="AW64" s="493">
        <v>47</v>
      </c>
      <c r="AX64" s="492">
        <v>44</v>
      </c>
      <c r="AY64" s="492">
        <v>17</v>
      </c>
      <c r="AZ64" s="492">
        <v>34</v>
      </c>
      <c r="BA64" s="493">
        <v>37</v>
      </c>
      <c r="BB64" s="483">
        <v>23</v>
      </c>
      <c r="BC64" s="483">
        <v>20</v>
      </c>
      <c r="BD64" s="483">
        <v>18</v>
      </c>
      <c r="BE64" s="484">
        <v>43</v>
      </c>
      <c r="BF64" s="483">
        <v>21</v>
      </c>
      <c r="BG64" s="483">
        <v>31</v>
      </c>
      <c r="BH64" s="483">
        <v>34</v>
      </c>
      <c r="BI64" s="484">
        <v>40</v>
      </c>
      <c r="BJ64" s="483">
        <v>26</v>
      </c>
      <c r="BK64" s="483">
        <v>24</v>
      </c>
      <c r="BL64" s="483">
        <v>25</v>
      </c>
      <c r="BM64" s="484">
        <v>34</v>
      </c>
      <c r="BN64" s="376">
        <v>31</v>
      </c>
      <c r="BO64" s="401">
        <v>22</v>
      </c>
      <c r="BP64" s="401">
        <v>22</v>
      </c>
      <c r="BQ64" s="402">
        <v>29</v>
      </c>
      <c r="BR64" s="376">
        <v>23</v>
      </c>
      <c r="BS64" s="376">
        <v>21</v>
      </c>
      <c r="BT64" s="401">
        <v>28</v>
      </c>
      <c r="BU64" s="402">
        <v>22</v>
      </c>
      <c r="BV64" s="401">
        <v>44</v>
      </c>
      <c r="BW64" s="325">
        <v>41</v>
      </c>
      <c r="BX64" s="325">
        <v>32</v>
      </c>
      <c r="BY64" s="372">
        <v>40</v>
      </c>
      <c r="BZ64" s="373">
        <v>33</v>
      </c>
      <c r="CA64" s="325">
        <v>38</v>
      </c>
      <c r="CB64" s="325">
        <v>47</v>
      </c>
      <c r="CC64" s="372">
        <v>58</v>
      </c>
      <c r="CD64" s="373">
        <v>54</v>
      </c>
      <c r="CE64" s="325">
        <v>56</v>
      </c>
      <c r="CF64" s="325">
        <v>55</v>
      </c>
      <c r="CG64" s="372">
        <v>44</v>
      </c>
      <c r="CH64" s="373">
        <v>63</v>
      </c>
      <c r="CI64" s="325">
        <v>37</v>
      </c>
      <c r="CJ64" s="325">
        <v>27</v>
      </c>
      <c r="CK64" s="372">
        <v>39</v>
      </c>
      <c r="CL64" s="373">
        <v>43</v>
      </c>
      <c r="CM64" s="325">
        <v>42</v>
      </c>
      <c r="CN64" s="325">
        <v>53</v>
      </c>
      <c r="CO64" s="372">
        <v>80</v>
      </c>
      <c r="CP64" s="373">
        <v>151</v>
      </c>
      <c r="CQ64" s="325">
        <v>43</v>
      </c>
      <c r="CR64" s="325">
        <v>65</v>
      </c>
      <c r="CS64" s="372">
        <v>84</v>
      </c>
      <c r="CT64" s="373">
        <v>158.55000000000001</v>
      </c>
      <c r="CU64" s="325">
        <v>45.15</v>
      </c>
      <c r="CV64" s="325">
        <v>67.2</v>
      </c>
      <c r="CW64" s="372">
        <v>88.2</v>
      </c>
      <c r="CX64" s="325"/>
      <c r="CY64" s="325"/>
      <c r="CZ64" s="325"/>
      <c r="DA64" s="372"/>
      <c r="DB64" s="325"/>
      <c r="DC64" s="325"/>
      <c r="DD64" s="325"/>
      <c r="DE64" s="372"/>
      <c r="DF64" s="325"/>
      <c r="DG64" s="325"/>
      <c r="DH64" s="325"/>
      <c r="DI64" s="372"/>
      <c r="DJ64" s="486"/>
      <c r="DK64" s="373"/>
      <c r="DL64" s="325"/>
      <c r="DM64" s="325"/>
      <c r="DN64" s="325"/>
      <c r="DO64" s="325"/>
      <c r="DP64" s="325"/>
      <c r="DQ64" s="325"/>
      <c r="DR64" s="325"/>
      <c r="DS64" s="401">
        <v>90</v>
      </c>
      <c r="DT64" s="376">
        <v>154</v>
      </c>
      <c r="DU64" s="376">
        <v>132</v>
      </c>
      <c r="DV64" s="376">
        <v>104</v>
      </c>
      <c r="DW64" s="325">
        <v>126</v>
      </c>
      <c r="DX64" s="376">
        <v>109</v>
      </c>
      <c r="DY64" s="376">
        <v>104</v>
      </c>
      <c r="DZ64" s="376">
        <v>94</v>
      </c>
      <c r="EA64" s="376">
        <v>157</v>
      </c>
      <c r="EB64" s="325">
        <v>176</v>
      </c>
      <c r="EC64" s="325">
        <v>209</v>
      </c>
      <c r="ED64" s="325">
        <v>166</v>
      </c>
      <c r="EE64" s="325">
        <v>218</v>
      </c>
      <c r="EF64" s="325">
        <v>343</v>
      </c>
      <c r="EG64" s="325">
        <v>359.1</v>
      </c>
      <c r="EH64" s="325">
        <v>373.46400000000006</v>
      </c>
      <c r="EI64" s="325">
        <v>388.40256000000005</v>
      </c>
      <c r="EJ64" s="325">
        <v>403.93866240000006</v>
      </c>
      <c r="EK64" s="325">
        <v>420.09620889600006</v>
      </c>
      <c r="EL64" s="325">
        <v>436.90005725184011</v>
      </c>
      <c r="EM64" s="325">
        <v>454.37605954191372</v>
      </c>
      <c r="EN64" s="325">
        <v>472.55110192359029</v>
      </c>
      <c r="EO64" s="325">
        <v>491.45314600053393</v>
      </c>
      <c r="EP64" s="389"/>
      <c r="EQ64" s="386"/>
    </row>
    <row r="65" spans="1:147" s="390" customFormat="1" ht="15" customHeight="1" outlineLevel="2">
      <c r="A65" s="385"/>
      <c r="B65"/>
      <c r="C65"/>
      <c r="D65"/>
      <c r="E65"/>
      <c r="F65"/>
      <c r="G65"/>
      <c r="H65" s="386"/>
      <c r="I65" s="378" t="s">
        <v>1605</v>
      </c>
      <c r="J65" s="386"/>
      <c r="K65" s="386"/>
      <c r="L65" s="386"/>
      <c r="M65" s="388"/>
      <c r="N65" s="386"/>
      <c r="O65" s="386"/>
      <c r="P65" s="386"/>
      <c r="Q65" s="388"/>
      <c r="R65" s="386"/>
      <c r="S65" s="386"/>
      <c r="T65" s="386"/>
      <c r="U65" s="388"/>
      <c r="V65" s="386"/>
      <c r="W65" s="386"/>
      <c r="X65" s="386"/>
      <c r="Y65" s="388"/>
      <c r="Z65" s="386"/>
      <c r="AA65" s="386"/>
      <c r="AB65" s="386"/>
      <c r="AC65" s="388"/>
      <c r="AD65" s="386"/>
      <c r="AE65" s="386"/>
      <c r="AF65" s="386"/>
      <c r="AG65" s="388"/>
      <c r="AH65" s="386"/>
      <c r="AI65" s="386"/>
      <c r="AJ65" s="386"/>
      <c r="AK65" s="388"/>
      <c r="AL65" s="386"/>
      <c r="AM65" s="386"/>
      <c r="AN65" s="386"/>
      <c r="AO65" s="388"/>
      <c r="AP65" s="386"/>
      <c r="AQ65" s="386"/>
      <c r="AR65" s="386"/>
      <c r="AS65" s="478"/>
      <c r="AT65" s="492">
        <v>46</v>
      </c>
      <c r="AU65" s="492">
        <v>38</v>
      </c>
      <c r="AV65" s="492">
        <v>33</v>
      </c>
      <c r="AW65" s="478">
        <v>142</v>
      </c>
      <c r="AX65" s="492">
        <v>17</v>
      </c>
      <c r="AY65" s="492">
        <v>10</v>
      </c>
      <c r="AZ65" s="492">
        <v>18</v>
      </c>
      <c r="BA65" s="493">
        <v>77</v>
      </c>
      <c r="BB65" s="492">
        <v>8</v>
      </c>
      <c r="BC65" s="492">
        <v>7</v>
      </c>
      <c r="BD65" s="492">
        <v>7</v>
      </c>
      <c r="BE65" s="493">
        <v>50</v>
      </c>
      <c r="BF65" s="492">
        <v>3</v>
      </c>
      <c r="BG65" s="492">
        <v>2</v>
      </c>
      <c r="BH65" s="492">
        <v>3</v>
      </c>
      <c r="BI65" s="493">
        <v>23</v>
      </c>
      <c r="BJ65" s="479">
        <v>2</v>
      </c>
      <c r="BK65" s="479">
        <v>2</v>
      </c>
      <c r="BL65" s="479">
        <v>2</v>
      </c>
      <c r="BM65" s="478">
        <v>9</v>
      </c>
      <c r="BN65" s="325">
        <v>1</v>
      </c>
      <c r="BO65" s="325">
        <v>1</v>
      </c>
      <c r="BP65" s="401">
        <v>2</v>
      </c>
      <c r="BQ65" s="372">
        <v>8</v>
      </c>
      <c r="BR65" s="325">
        <v>1</v>
      </c>
      <c r="BS65" s="325">
        <v>1</v>
      </c>
      <c r="BT65" s="325">
        <v>1</v>
      </c>
      <c r="BU65" s="402">
        <v>7</v>
      </c>
      <c r="BV65" s="401">
        <v>82</v>
      </c>
      <c r="BW65" s="325">
        <v>203</v>
      </c>
      <c r="BX65" s="325">
        <v>211</v>
      </c>
      <c r="BY65" s="372">
        <v>212</v>
      </c>
      <c r="BZ65" s="373">
        <v>190</v>
      </c>
      <c r="CA65" s="325">
        <v>194</v>
      </c>
      <c r="CB65" s="325">
        <v>187</v>
      </c>
      <c r="CC65" s="372">
        <v>185</v>
      </c>
      <c r="CD65" s="373">
        <v>119</v>
      </c>
      <c r="CE65" s="325">
        <v>77</v>
      </c>
      <c r="CF65" s="325">
        <v>83</v>
      </c>
      <c r="CG65" s="372">
        <v>91</v>
      </c>
      <c r="CH65" s="373">
        <v>54</v>
      </c>
      <c r="CI65" s="325">
        <v>47</v>
      </c>
      <c r="CJ65" s="325">
        <v>50</v>
      </c>
      <c r="CK65" s="372">
        <v>56</v>
      </c>
      <c r="CL65" s="373">
        <v>33</v>
      </c>
      <c r="CM65" s="325">
        <v>14</v>
      </c>
      <c r="CN65" s="325">
        <v>16</v>
      </c>
      <c r="CO65" s="372">
        <v>18</v>
      </c>
      <c r="CP65" s="373">
        <v>5</v>
      </c>
      <c r="CQ65" s="325">
        <v>2</v>
      </c>
      <c r="CR65" s="325">
        <v>2</v>
      </c>
      <c r="CS65" s="372">
        <v>2</v>
      </c>
      <c r="CT65" s="373">
        <v>2</v>
      </c>
      <c r="CU65" s="325">
        <v>2</v>
      </c>
      <c r="CV65" s="325">
        <v>2</v>
      </c>
      <c r="CW65" s="372">
        <v>2</v>
      </c>
      <c r="CX65" s="325"/>
      <c r="CY65" s="325"/>
      <c r="CZ65" s="325"/>
      <c r="DA65" s="372"/>
      <c r="DB65" s="325"/>
      <c r="DC65" s="325"/>
      <c r="DD65" s="325"/>
      <c r="DE65" s="372"/>
      <c r="DF65" s="325"/>
      <c r="DG65" s="325"/>
      <c r="DH65" s="325"/>
      <c r="DI65" s="372"/>
      <c r="DJ65" s="486"/>
      <c r="DK65" s="373"/>
      <c r="DL65" s="325"/>
      <c r="DM65" s="325"/>
      <c r="DN65" s="325"/>
      <c r="DO65" s="325"/>
      <c r="DP65" s="325"/>
      <c r="DQ65" s="325"/>
      <c r="DR65" s="325"/>
      <c r="DS65" s="401">
        <v>292</v>
      </c>
      <c r="DT65" s="325">
        <v>259</v>
      </c>
      <c r="DU65" s="325">
        <v>122</v>
      </c>
      <c r="DV65" s="325">
        <v>72</v>
      </c>
      <c r="DW65" s="325">
        <v>31</v>
      </c>
      <c r="DX65" s="376">
        <v>15</v>
      </c>
      <c r="DY65" s="376">
        <v>12</v>
      </c>
      <c r="DZ65" s="376">
        <v>10</v>
      </c>
      <c r="EA65" s="376">
        <v>708</v>
      </c>
      <c r="EB65" s="325">
        <v>756</v>
      </c>
      <c r="EC65" s="325">
        <v>370</v>
      </c>
      <c r="ED65" s="325">
        <v>207</v>
      </c>
      <c r="EE65" s="325">
        <v>81</v>
      </c>
      <c r="EF65" s="325">
        <v>11</v>
      </c>
      <c r="EG65" s="325">
        <v>8</v>
      </c>
      <c r="EH65" s="325">
        <v>0</v>
      </c>
      <c r="EI65" s="325">
        <v>0</v>
      </c>
      <c r="EJ65" s="325">
        <v>0</v>
      </c>
      <c r="EK65" s="325">
        <v>0</v>
      </c>
      <c r="EL65" s="325">
        <v>0</v>
      </c>
      <c r="EM65" s="325">
        <v>0</v>
      </c>
      <c r="EN65" s="325">
        <v>0</v>
      </c>
      <c r="EO65" s="325">
        <v>0</v>
      </c>
      <c r="EP65" s="389"/>
      <c r="EQ65" s="386"/>
    </row>
    <row r="66" spans="1:147" s="390" customFormat="1" ht="15" customHeight="1" outlineLevel="2">
      <c r="A66" s="385"/>
      <c r="B66"/>
      <c r="C66"/>
      <c r="D66"/>
      <c r="E66"/>
      <c r="F66"/>
      <c r="G66"/>
      <c r="H66" s="386"/>
      <c r="I66" s="378" t="s">
        <v>1606</v>
      </c>
      <c r="J66" s="399"/>
      <c r="K66" s="399"/>
      <c r="L66" s="399"/>
      <c r="M66" s="400"/>
      <c r="N66" s="399"/>
      <c r="O66" s="399"/>
      <c r="P66" s="399"/>
      <c r="Q66" s="400"/>
      <c r="R66" s="399"/>
      <c r="S66" s="399"/>
      <c r="T66" s="399"/>
      <c r="U66" s="400"/>
      <c r="V66" s="399"/>
      <c r="W66" s="399"/>
      <c r="X66" s="399"/>
      <c r="Y66" s="400"/>
      <c r="Z66" s="399"/>
      <c r="AA66" s="399"/>
      <c r="AB66" s="399"/>
      <c r="AC66" s="400"/>
      <c r="AD66" s="399"/>
      <c r="AE66" s="399"/>
      <c r="AF66" s="399"/>
      <c r="AG66" s="400"/>
      <c r="AH66" s="399"/>
      <c r="AI66" s="399"/>
      <c r="AJ66" s="399"/>
      <c r="AK66" s="400"/>
      <c r="AL66" s="399"/>
      <c r="AM66" s="399"/>
      <c r="AN66" s="399"/>
      <c r="AO66" s="400"/>
      <c r="AP66" s="399"/>
      <c r="AQ66" s="399"/>
      <c r="AR66" s="399"/>
      <c r="AS66" s="493"/>
      <c r="AT66" s="492">
        <v>33</v>
      </c>
      <c r="AU66" s="492">
        <v>21</v>
      </c>
      <c r="AV66" s="492">
        <v>6</v>
      </c>
      <c r="AW66" s="493">
        <v>403</v>
      </c>
      <c r="AX66" s="492">
        <v>3</v>
      </c>
      <c r="AY66" s="492">
        <v>1</v>
      </c>
      <c r="AZ66" s="483">
        <v>0</v>
      </c>
      <c r="BA66" s="493">
        <v>325</v>
      </c>
      <c r="BB66" s="492">
        <v>19</v>
      </c>
      <c r="BC66" s="492">
        <v>3</v>
      </c>
      <c r="BD66" s="492">
        <v>3</v>
      </c>
      <c r="BE66" s="493">
        <v>14</v>
      </c>
      <c r="BF66" s="483">
        <v>0</v>
      </c>
      <c r="BG66" s="483">
        <v>0</v>
      </c>
      <c r="BH66" s="483">
        <v>0</v>
      </c>
      <c r="BI66" s="484">
        <v>0</v>
      </c>
      <c r="BJ66" s="483">
        <v>0</v>
      </c>
      <c r="BK66" s="483">
        <v>0</v>
      </c>
      <c r="BL66" s="483">
        <v>39</v>
      </c>
      <c r="BM66" s="484">
        <v>14</v>
      </c>
      <c r="BN66" s="376">
        <v>0</v>
      </c>
      <c r="BO66" s="376">
        <v>0</v>
      </c>
      <c r="BP66" s="376">
        <v>48</v>
      </c>
      <c r="BQ66" s="485">
        <v>-36</v>
      </c>
      <c r="BR66" s="376">
        <v>0</v>
      </c>
      <c r="BS66" s="376">
        <v>0</v>
      </c>
      <c r="BT66" s="376">
        <v>0</v>
      </c>
      <c r="BU66" s="402">
        <v>5</v>
      </c>
      <c r="BV66" s="401">
        <v>34</v>
      </c>
      <c r="BW66" s="403">
        <v>4</v>
      </c>
      <c r="BX66" s="403">
        <v>4</v>
      </c>
      <c r="BY66" s="494">
        <v>4</v>
      </c>
      <c r="BZ66" s="495">
        <v>31</v>
      </c>
      <c r="CA66" s="403">
        <v>4</v>
      </c>
      <c r="CB66" s="403">
        <v>2</v>
      </c>
      <c r="CC66" s="494">
        <v>8</v>
      </c>
      <c r="CD66" s="495">
        <v>0</v>
      </c>
      <c r="CE66" s="401">
        <v>0</v>
      </c>
      <c r="CF66" s="401">
        <v>0</v>
      </c>
      <c r="CG66" s="402">
        <v>10</v>
      </c>
      <c r="CH66" s="496">
        <v>0</v>
      </c>
      <c r="CI66" s="401">
        <v>22</v>
      </c>
      <c r="CJ66" s="401">
        <v>28</v>
      </c>
      <c r="CK66" s="402">
        <v>18</v>
      </c>
      <c r="CL66" s="438">
        <v>0</v>
      </c>
      <c r="CM66" s="401">
        <v>6</v>
      </c>
      <c r="CN66" s="401">
        <v>9</v>
      </c>
      <c r="CO66" s="402">
        <v>55</v>
      </c>
      <c r="CP66" s="438">
        <v>0</v>
      </c>
      <c r="CQ66" s="401">
        <v>0</v>
      </c>
      <c r="CR66" s="401">
        <v>3</v>
      </c>
      <c r="CS66" s="402">
        <v>0</v>
      </c>
      <c r="CT66" s="438">
        <v>0</v>
      </c>
      <c r="CU66" s="401">
        <v>0</v>
      </c>
      <c r="CV66" s="401">
        <v>0</v>
      </c>
      <c r="CW66" s="402">
        <v>0</v>
      </c>
      <c r="CX66" s="325"/>
      <c r="CY66" s="325"/>
      <c r="CZ66" s="325"/>
      <c r="DA66" s="372"/>
      <c r="DB66" s="325"/>
      <c r="DC66" s="325"/>
      <c r="DD66" s="325"/>
      <c r="DE66" s="372"/>
      <c r="DF66" s="325"/>
      <c r="DG66" s="325"/>
      <c r="DH66" s="325"/>
      <c r="DI66" s="372"/>
      <c r="DJ66" s="486"/>
      <c r="DK66" s="438"/>
      <c r="DL66" s="401"/>
      <c r="DM66" s="401"/>
      <c r="DN66" s="401"/>
      <c r="DO66" s="401"/>
      <c r="DP66" s="401"/>
      <c r="DQ66" s="401"/>
      <c r="DR66" s="401"/>
      <c r="DS66" s="401">
        <v>122</v>
      </c>
      <c r="DT66" s="376">
        <v>463</v>
      </c>
      <c r="DU66" s="376">
        <v>329</v>
      </c>
      <c r="DV66" s="325">
        <v>39</v>
      </c>
      <c r="DW66" s="325">
        <v>0</v>
      </c>
      <c r="DX66" s="376">
        <v>53</v>
      </c>
      <c r="DY66" s="376">
        <v>12</v>
      </c>
      <c r="DZ66" s="376">
        <v>5</v>
      </c>
      <c r="EA66" s="376">
        <v>46</v>
      </c>
      <c r="EB66" s="325">
        <v>45</v>
      </c>
      <c r="EC66" s="401">
        <v>10</v>
      </c>
      <c r="ED66" s="401">
        <v>68</v>
      </c>
      <c r="EE66" s="401">
        <v>70</v>
      </c>
      <c r="EF66" s="401">
        <v>3</v>
      </c>
      <c r="EG66" s="401">
        <v>0</v>
      </c>
      <c r="EH66" s="401">
        <v>0</v>
      </c>
      <c r="EI66" s="401">
        <v>0</v>
      </c>
      <c r="EJ66" s="401">
        <v>0</v>
      </c>
      <c r="EK66" s="401">
        <v>0</v>
      </c>
      <c r="EL66" s="401">
        <v>0</v>
      </c>
      <c r="EM66" s="401">
        <v>0</v>
      </c>
      <c r="EN66" s="401">
        <v>0</v>
      </c>
      <c r="EO66" s="401">
        <v>0</v>
      </c>
      <c r="EP66" s="389"/>
      <c r="EQ66" s="386"/>
    </row>
    <row r="67" spans="1:147" s="390" customFormat="1" ht="15" customHeight="1" outlineLevel="2">
      <c r="A67" s="385"/>
      <c r="B67"/>
      <c r="C67"/>
      <c r="D67"/>
      <c r="E67"/>
      <c r="F67"/>
      <c r="G67"/>
      <c r="H67" s="386"/>
      <c r="I67" s="379" t="s">
        <v>1607</v>
      </c>
      <c r="J67" s="386"/>
      <c r="K67" s="386"/>
      <c r="L67" s="386"/>
      <c r="M67" s="388"/>
      <c r="N67" s="386"/>
      <c r="O67" s="386"/>
      <c r="P67" s="386"/>
      <c r="Q67" s="388"/>
      <c r="R67" s="386"/>
      <c r="S67" s="386"/>
      <c r="T67" s="386"/>
      <c r="U67" s="388"/>
      <c r="V67" s="386"/>
      <c r="W67" s="386"/>
      <c r="X67" s="386"/>
      <c r="Y67" s="388"/>
      <c r="Z67" s="386"/>
      <c r="AA67" s="386"/>
      <c r="AB67" s="386"/>
      <c r="AC67" s="388"/>
      <c r="AD67" s="386"/>
      <c r="AE67" s="386"/>
      <c r="AF67" s="386"/>
      <c r="AG67" s="388"/>
      <c r="AH67" s="386"/>
      <c r="AI67" s="386"/>
      <c r="AJ67" s="386"/>
      <c r="AK67" s="388"/>
      <c r="AL67" s="386"/>
      <c r="AM67" s="386"/>
      <c r="AN67" s="386"/>
      <c r="AO67" s="388"/>
      <c r="AP67" s="386"/>
      <c r="AQ67" s="386"/>
      <c r="AR67" s="386"/>
      <c r="AS67" s="478"/>
      <c r="AT67" s="383">
        <v>286</v>
      </c>
      <c r="AU67" s="383">
        <v>320</v>
      </c>
      <c r="AV67" s="383">
        <v>84</v>
      </c>
      <c r="AW67" s="489">
        <v>160</v>
      </c>
      <c r="AX67" s="383">
        <v>575</v>
      </c>
      <c r="AY67" s="383">
        <v>328</v>
      </c>
      <c r="AZ67" s="383">
        <v>107</v>
      </c>
      <c r="BA67" s="489">
        <v>42</v>
      </c>
      <c r="BB67" s="383">
        <v>724</v>
      </c>
      <c r="BC67" s="383">
        <v>497</v>
      </c>
      <c r="BD67" s="383">
        <v>190</v>
      </c>
      <c r="BE67" s="489">
        <v>132</v>
      </c>
      <c r="BF67" s="383">
        <v>537</v>
      </c>
      <c r="BG67" s="383">
        <v>260</v>
      </c>
      <c r="BH67" s="383">
        <v>264</v>
      </c>
      <c r="BI67" s="489">
        <v>547</v>
      </c>
      <c r="BJ67" s="383">
        <v>615</v>
      </c>
      <c r="BK67" s="383">
        <v>456</v>
      </c>
      <c r="BL67" s="383">
        <v>136</v>
      </c>
      <c r="BM67" s="489">
        <v>341</v>
      </c>
      <c r="BN67" s="383">
        <v>459</v>
      </c>
      <c r="BO67" s="383">
        <v>333</v>
      </c>
      <c r="BP67" s="383">
        <v>80</v>
      </c>
      <c r="BQ67" s="489">
        <v>439</v>
      </c>
      <c r="BR67" s="383">
        <v>566</v>
      </c>
      <c r="BS67" s="383">
        <v>354</v>
      </c>
      <c r="BT67" s="383">
        <v>225</v>
      </c>
      <c r="BU67" s="489">
        <v>284</v>
      </c>
      <c r="BV67" s="383">
        <v>621</v>
      </c>
      <c r="BW67" s="383">
        <v>480</v>
      </c>
      <c r="BX67" s="383">
        <v>541</v>
      </c>
      <c r="BY67" s="489">
        <v>681</v>
      </c>
      <c r="BZ67" s="490">
        <v>747</v>
      </c>
      <c r="CA67" s="383">
        <v>575</v>
      </c>
      <c r="CB67" s="383">
        <v>493</v>
      </c>
      <c r="CC67" s="489">
        <v>472</v>
      </c>
      <c r="CD67" s="490">
        <v>768</v>
      </c>
      <c r="CE67" s="383">
        <v>567</v>
      </c>
      <c r="CF67" s="383">
        <v>403</v>
      </c>
      <c r="CG67" s="489">
        <v>839</v>
      </c>
      <c r="CH67" s="490">
        <v>744</v>
      </c>
      <c r="CI67" s="383">
        <v>442</v>
      </c>
      <c r="CJ67" s="383">
        <v>352</v>
      </c>
      <c r="CK67" s="489">
        <v>567</v>
      </c>
      <c r="CL67" s="490">
        <v>688</v>
      </c>
      <c r="CM67" s="383">
        <v>811</v>
      </c>
      <c r="CN67" s="383">
        <v>856</v>
      </c>
      <c r="CO67" s="489">
        <v>747</v>
      </c>
      <c r="CP67" s="490">
        <v>951</v>
      </c>
      <c r="CQ67" s="383">
        <v>1004</v>
      </c>
      <c r="CR67" s="383">
        <v>894</v>
      </c>
      <c r="CS67" s="489">
        <v>1330.6757495164459</v>
      </c>
      <c r="CT67" s="490">
        <v>561.69107826523691</v>
      </c>
      <c r="CU67" s="383">
        <v>515.15108160659395</v>
      </c>
      <c r="CV67" s="383">
        <v>842.6110209968956</v>
      </c>
      <c r="CW67" s="489">
        <v>1560.8890739088163</v>
      </c>
      <c r="CX67" s="325"/>
      <c r="CY67" s="325"/>
      <c r="CZ67" s="325"/>
      <c r="DA67" s="372"/>
      <c r="DB67" s="325"/>
      <c r="DC67" s="325"/>
      <c r="DD67" s="325"/>
      <c r="DE67" s="372"/>
      <c r="DF67" s="325"/>
      <c r="DG67" s="325"/>
      <c r="DH67" s="325"/>
      <c r="DI67" s="372"/>
      <c r="DJ67" s="486"/>
      <c r="DK67" s="373"/>
      <c r="DL67" s="325"/>
      <c r="DM67" s="325"/>
      <c r="DN67" s="325"/>
      <c r="DO67" s="325"/>
      <c r="DP67" s="325"/>
      <c r="DQ67" s="325"/>
      <c r="DR67" s="325"/>
      <c r="DS67" s="383">
        <v>271</v>
      </c>
      <c r="DT67" s="383">
        <v>850</v>
      </c>
      <c r="DU67" s="383">
        <v>1052</v>
      </c>
      <c r="DV67" s="383">
        <v>1543</v>
      </c>
      <c r="DW67" s="383">
        <v>1608</v>
      </c>
      <c r="DX67" s="383">
        <v>1548</v>
      </c>
      <c r="DY67" s="383">
        <v>1311</v>
      </c>
      <c r="DZ67" s="383">
        <v>1429</v>
      </c>
      <c r="EA67" s="383">
        <v>2323</v>
      </c>
      <c r="EB67" s="383">
        <v>2287</v>
      </c>
      <c r="EC67" s="383">
        <v>2577</v>
      </c>
      <c r="ED67" s="383">
        <v>2105</v>
      </c>
      <c r="EE67" s="383">
        <v>3159</v>
      </c>
      <c r="EF67" s="383">
        <v>4236.6757495164456</v>
      </c>
      <c r="EG67" s="383">
        <v>3537.3422547775422</v>
      </c>
      <c r="EH67" s="383">
        <v>4339.8932012959931</v>
      </c>
      <c r="EI67" s="383">
        <v>4097.476063695125</v>
      </c>
      <c r="EJ67" s="383">
        <v>3769.9330348624044</v>
      </c>
      <c r="EK67" s="383">
        <v>4226.675610495111</v>
      </c>
      <c r="EL67" s="383">
        <v>3925.7065180257396</v>
      </c>
      <c r="EM67" s="383">
        <v>4010.6444644476342</v>
      </c>
      <c r="EN67" s="383">
        <v>3932.8028765463814</v>
      </c>
      <c r="EO67" s="383">
        <v>4494.1976224882164</v>
      </c>
      <c r="EP67" s="389"/>
      <c r="EQ67" s="320">
        <v>0.1098720757698457</v>
      </c>
    </row>
    <row r="68" spans="1:147" s="390" customFormat="1" ht="15" customHeight="1" outlineLevel="2">
      <c r="A68" s="385"/>
      <c r="B68"/>
      <c r="C68"/>
      <c r="D68"/>
      <c r="E68"/>
      <c r="F68"/>
      <c r="G68"/>
      <c r="H68" s="386"/>
      <c r="I68" s="378" t="s">
        <v>1608</v>
      </c>
      <c r="J68" s="386"/>
      <c r="K68" s="386"/>
      <c r="L68" s="386"/>
      <c r="M68" s="388"/>
      <c r="N68" s="386"/>
      <c r="O68" s="386"/>
      <c r="P68" s="386"/>
      <c r="Q68" s="388"/>
      <c r="R68" s="386"/>
      <c r="S68" s="386"/>
      <c r="T68" s="386"/>
      <c r="U68" s="388"/>
      <c r="V68" s="386"/>
      <c r="W68" s="386"/>
      <c r="X68" s="386"/>
      <c r="Y68" s="388"/>
      <c r="Z68" s="386"/>
      <c r="AA68" s="386"/>
      <c r="AB68" s="386"/>
      <c r="AC68" s="388"/>
      <c r="AD68" s="386"/>
      <c r="AE68" s="386"/>
      <c r="AF68" s="386"/>
      <c r="AG68" s="388"/>
      <c r="AH68" s="386"/>
      <c r="AI68" s="386"/>
      <c r="AJ68" s="386"/>
      <c r="AK68" s="388"/>
      <c r="AL68" s="386"/>
      <c r="AM68" s="386"/>
      <c r="AN68" s="386"/>
      <c r="AO68" s="388"/>
      <c r="AP68" s="386"/>
      <c r="AQ68" s="386"/>
      <c r="AR68" s="386"/>
      <c r="AS68" s="478"/>
      <c r="AT68" s="492">
        <v>-167</v>
      </c>
      <c r="AU68" s="492">
        <v>-164</v>
      </c>
      <c r="AV68" s="492">
        <v>-9</v>
      </c>
      <c r="AW68" s="484">
        <v>724</v>
      </c>
      <c r="AX68" s="483">
        <v>-410</v>
      </c>
      <c r="AY68" s="483">
        <v>-227</v>
      </c>
      <c r="AZ68" s="483">
        <v>97</v>
      </c>
      <c r="BA68" s="484">
        <v>859</v>
      </c>
      <c r="BB68" s="483">
        <v>-506</v>
      </c>
      <c r="BC68" s="483">
        <v>-332</v>
      </c>
      <c r="BD68" s="483">
        <v>-105</v>
      </c>
      <c r="BE68" s="484">
        <v>758</v>
      </c>
      <c r="BF68" s="483">
        <v>-447</v>
      </c>
      <c r="BG68" s="483">
        <v>40</v>
      </c>
      <c r="BH68" s="483">
        <v>-110</v>
      </c>
      <c r="BI68" s="484">
        <v>607</v>
      </c>
      <c r="BJ68" s="483">
        <v>-369</v>
      </c>
      <c r="BK68" s="483">
        <v>-338</v>
      </c>
      <c r="BL68" s="483">
        <v>-32</v>
      </c>
      <c r="BM68" s="484">
        <v>509</v>
      </c>
      <c r="BN68" s="401">
        <v>-219</v>
      </c>
      <c r="BO68" s="401">
        <v>-220</v>
      </c>
      <c r="BP68" s="401">
        <v>180</v>
      </c>
      <c r="BQ68" s="402">
        <v>475</v>
      </c>
      <c r="BR68" s="401">
        <v>-362</v>
      </c>
      <c r="BS68" s="401">
        <v>-181</v>
      </c>
      <c r="BT68" s="401">
        <v>26</v>
      </c>
      <c r="BU68" s="402">
        <v>554</v>
      </c>
      <c r="BV68" s="376">
        <v>-369</v>
      </c>
      <c r="BW68" s="376">
        <v>108</v>
      </c>
      <c r="BX68" s="376">
        <v>33</v>
      </c>
      <c r="BY68" s="485">
        <v>238</v>
      </c>
      <c r="BZ68" s="487">
        <v>-396</v>
      </c>
      <c r="CA68" s="376">
        <v>-105</v>
      </c>
      <c r="CB68" s="376">
        <v>132</v>
      </c>
      <c r="CC68" s="485">
        <v>460</v>
      </c>
      <c r="CD68" s="487">
        <v>-373</v>
      </c>
      <c r="CE68" s="376">
        <v>-182</v>
      </c>
      <c r="CF68" s="376">
        <v>89</v>
      </c>
      <c r="CG68" s="485">
        <v>368</v>
      </c>
      <c r="CH68" s="487">
        <v>-441</v>
      </c>
      <c r="CI68" s="376">
        <v>-135</v>
      </c>
      <c r="CJ68" s="376">
        <v>-53</v>
      </c>
      <c r="CK68" s="485">
        <v>577</v>
      </c>
      <c r="CL68" s="487">
        <v>-171</v>
      </c>
      <c r="CM68" s="376">
        <v>152</v>
      </c>
      <c r="CN68" s="376">
        <v>-150</v>
      </c>
      <c r="CO68" s="485">
        <v>407</v>
      </c>
      <c r="CP68" s="487">
        <v>-132</v>
      </c>
      <c r="CQ68" s="376">
        <v>-276</v>
      </c>
      <c r="CR68" s="376">
        <v>26</v>
      </c>
      <c r="CS68" s="485">
        <v>-7</v>
      </c>
      <c r="CT68" s="487">
        <v>-0.70000000000000007</v>
      </c>
      <c r="CU68" s="376">
        <v>-0.70000000000000007</v>
      </c>
      <c r="CV68" s="376">
        <v>-0.70000000000000007</v>
      </c>
      <c r="CW68" s="485">
        <v>-0.70000000000000007</v>
      </c>
      <c r="CX68" s="325"/>
      <c r="CY68" s="325"/>
      <c r="CZ68" s="325"/>
      <c r="DA68" s="372"/>
      <c r="DB68" s="325"/>
      <c r="DC68" s="325"/>
      <c r="DD68" s="325"/>
      <c r="DE68" s="372"/>
      <c r="DF68" s="325"/>
      <c r="DG68" s="325"/>
      <c r="DH68" s="325"/>
      <c r="DI68" s="372"/>
      <c r="DJ68" s="486"/>
      <c r="DK68" s="373"/>
      <c r="DL68" s="325"/>
      <c r="DM68" s="325"/>
      <c r="DN68" s="325"/>
      <c r="DO68" s="325"/>
      <c r="DP68" s="325"/>
      <c r="DQ68" s="325"/>
      <c r="DR68" s="325"/>
      <c r="DS68" s="401">
        <v>496</v>
      </c>
      <c r="DT68" s="376">
        <v>384</v>
      </c>
      <c r="DU68" s="376">
        <v>319</v>
      </c>
      <c r="DV68" s="376">
        <v>-185</v>
      </c>
      <c r="DW68" s="376">
        <v>90</v>
      </c>
      <c r="DX68" s="376">
        <v>-230</v>
      </c>
      <c r="DY68" s="376">
        <v>216</v>
      </c>
      <c r="DZ68" s="376">
        <v>37</v>
      </c>
      <c r="EA68" s="376">
        <v>10</v>
      </c>
      <c r="EB68" s="325">
        <v>91</v>
      </c>
      <c r="EC68" s="376">
        <v>-98</v>
      </c>
      <c r="ED68" s="376">
        <v>-52</v>
      </c>
      <c r="EE68" s="376">
        <v>238</v>
      </c>
      <c r="EF68" s="376">
        <v>-389</v>
      </c>
      <c r="EG68" s="376">
        <v>-2.8000000000000003</v>
      </c>
      <c r="EH68" s="376">
        <v>102.54639152364996</v>
      </c>
      <c r="EI68" s="376">
        <v>-53.251255252846789</v>
      </c>
      <c r="EJ68" s="376">
        <v>-21.63606316869889</v>
      </c>
      <c r="EK68" s="376">
        <v>45.153160856634869</v>
      </c>
      <c r="EL68" s="376">
        <v>-29.517582739719693</v>
      </c>
      <c r="EM68" s="376">
        <v>7.7644495933527953</v>
      </c>
      <c r="EN68" s="376">
        <v>-4.5150714973320527</v>
      </c>
      <c r="EO68" s="376">
        <v>51.579502477463876</v>
      </c>
      <c r="EP68" s="389"/>
      <c r="EQ68" s="386"/>
    </row>
    <row r="69" spans="1:147" s="390" customFormat="1" ht="15" customHeight="1" outlineLevel="2">
      <c r="A69" s="385"/>
      <c r="B69"/>
      <c r="C69"/>
      <c r="D69"/>
      <c r="E69"/>
      <c r="F69"/>
      <c r="G69"/>
      <c r="H69" s="386"/>
      <c r="I69" s="379" t="s">
        <v>1609</v>
      </c>
      <c r="J69" s="386"/>
      <c r="K69" s="386"/>
      <c r="L69" s="386"/>
      <c r="M69" s="388"/>
      <c r="N69" s="386"/>
      <c r="O69" s="386"/>
      <c r="P69" s="386"/>
      <c r="Q69" s="388"/>
      <c r="R69" s="386"/>
      <c r="S69" s="386"/>
      <c r="T69" s="386"/>
      <c r="U69" s="388"/>
      <c r="V69" s="386"/>
      <c r="W69" s="386"/>
      <c r="X69" s="386"/>
      <c r="Y69" s="388"/>
      <c r="Z69" s="386"/>
      <c r="AA69" s="386"/>
      <c r="AB69" s="386"/>
      <c r="AC69" s="388"/>
      <c r="AD69" s="386"/>
      <c r="AE69" s="386"/>
      <c r="AF69" s="386"/>
      <c r="AG69" s="388"/>
      <c r="AH69" s="386"/>
      <c r="AI69" s="386"/>
      <c r="AJ69" s="386"/>
      <c r="AK69" s="388"/>
      <c r="AL69" s="386"/>
      <c r="AM69" s="386"/>
      <c r="AN69" s="386"/>
      <c r="AO69" s="388"/>
      <c r="AP69" s="386"/>
      <c r="AQ69" s="386"/>
      <c r="AR69" s="386"/>
      <c r="AS69" s="478"/>
      <c r="AT69" s="490">
        <v>119</v>
      </c>
      <c r="AU69" s="383">
        <v>156</v>
      </c>
      <c r="AV69" s="383">
        <v>75</v>
      </c>
      <c r="AW69" s="489">
        <v>884</v>
      </c>
      <c r="AX69" s="490">
        <v>165</v>
      </c>
      <c r="AY69" s="383">
        <v>101</v>
      </c>
      <c r="AZ69" s="383">
        <v>204</v>
      </c>
      <c r="BA69" s="489">
        <v>901</v>
      </c>
      <c r="BB69" s="490">
        <v>218</v>
      </c>
      <c r="BC69" s="383">
        <v>165</v>
      </c>
      <c r="BD69" s="383">
        <v>85</v>
      </c>
      <c r="BE69" s="489">
        <v>890</v>
      </c>
      <c r="BF69" s="490">
        <v>90</v>
      </c>
      <c r="BG69" s="383">
        <v>300</v>
      </c>
      <c r="BH69" s="383">
        <v>154</v>
      </c>
      <c r="BI69" s="489">
        <v>1154</v>
      </c>
      <c r="BJ69" s="490">
        <v>246</v>
      </c>
      <c r="BK69" s="383">
        <v>118</v>
      </c>
      <c r="BL69" s="383">
        <v>104</v>
      </c>
      <c r="BM69" s="489">
        <v>850</v>
      </c>
      <c r="BN69" s="490">
        <v>240</v>
      </c>
      <c r="BO69" s="383">
        <v>113</v>
      </c>
      <c r="BP69" s="383">
        <v>260</v>
      </c>
      <c r="BQ69" s="489">
        <v>914</v>
      </c>
      <c r="BR69" s="490">
        <v>204</v>
      </c>
      <c r="BS69" s="383">
        <v>173</v>
      </c>
      <c r="BT69" s="383">
        <v>251</v>
      </c>
      <c r="BU69" s="489">
        <v>838</v>
      </c>
      <c r="BV69" s="490">
        <v>252</v>
      </c>
      <c r="BW69" s="383">
        <v>588</v>
      </c>
      <c r="BX69" s="383">
        <v>574</v>
      </c>
      <c r="BY69" s="489">
        <v>919</v>
      </c>
      <c r="BZ69" s="490">
        <v>351</v>
      </c>
      <c r="CA69" s="383">
        <v>470</v>
      </c>
      <c r="CB69" s="383">
        <v>625</v>
      </c>
      <c r="CC69" s="489">
        <v>932</v>
      </c>
      <c r="CD69" s="490">
        <v>395</v>
      </c>
      <c r="CE69" s="383">
        <v>385</v>
      </c>
      <c r="CF69" s="383">
        <v>492</v>
      </c>
      <c r="CG69" s="489">
        <v>1207</v>
      </c>
      <c r="CH69" s="490">
        <v>303</v>
      </c>
      <c r="CI69" s="383">
        <v>307</v>
      </c>
      <c r="CJ69" s="383">
        <v>299</v>
      </c>
      <c r="CK69" s="489">
        <v>1144</v>
      </c>
      <c r="CL69" s="490">
        <v>517</v>
      </c>
      <c r="CM69" s="383">
        <v>963</v>
      </c>
      <c r="CN69" s="383">
        <v>706</v>
      </c>
      <c r="CO69" s="489">
        <v>1154</v>
      </c>
      <c r="CP69" s="490">
        <v>819</v>
      </c>
      <c r="CQ69" s="383">
        <v>728</v>
      </c>
      <c r="CR69" s="383">
        <v>920</v>
      </c>
      <c r="CS69" s="489">
        <v>1323.6757495164459</v>
      </c>
      <c r="CT69" s="490">
        <v>560.99107826523687</v>
      </c>
      <c r="CU69" s="383">
        <v>514.4510816065939</v>
      </c>
      <c r="CV69" s="383">
        <v>841.91102099689556</v>
      </c>
      <c r="CW69" s="489">
        <v>1560.1890739088162</v>
      </c>
      <c r="CX69" s="325"/>
      <c r="CY69" s="325"/>
      <c r="CZ69" s="325"/>
      <c r="DA69" s="372"/>
      <c r="DB69" s="325"/>
      <c r="DC69" s="325"/>
      <c r="DD69" s="325"/>
      <c r="DE69" s="372"/>
      <c r="DF69" s="325"/>
      <c r="DG69" s="325"/>
      <c r="DH69" s="325"/>
      <c r="DI69" s="372"/>
      <c r="DJ69" s="486"/>
      <c r="DK69" s="373"/>
      <c r="DL69" s="325"/>
      <c r="DM69" s="325"/>
      <c r="DN69" s="325"/>
      <c r="DO69" s="325"/>
      <c r="DP69" s="325"/>
      <c r="DQ69" s="325"/>
      <c r="DR69" s="325"/>
      <c r="DS69" s="383">
        <v>767</v>
      </c>
      <c r="DT69" s="383">
        <v>1234</v>
      </c>
      <c r="DU69" s="383">
        <v>1371</v>
      </c>
      <c r="DV69" s="383">
        <v>1358</v>
      </c>
      <c r="DW69" s="383">
        <v>1698</v>
      </c>
      <c r="DX69" s="383">
        <v>1318</v>
      </c>
      <c r="DY69" s="383">
        <v>1527</v>
      </c>
      <c r="DZ69" s="383">
        <v>1466</v>
      </c>
      <c r="EA69" s="383">
        <v>2333</v>
      </c>
      <c r="EB69" s="383">
        <v>2378</v>
      </c>
      <c r="EC69" s="383">
        <v>2479</v>
      </c>
      <c r="ED69" s="383">
        <v>2053</v>
      </c>
      <c r="EE69" s="383">
        <v>3397</v>
      </c>
      <c r="EF69" s="383">
        <v>3847.6757495164456</v>
      </c>
      <c r="EG69" s="383">
        <v>3534.542254777542</v>
      </c>
      <c r="EH69" s="383">
        <v>4442.4395928196427</v>
      </c>
      <c r="EI69" s="383">
        <v>4044.2248084422781</v>
      </c>
      <c r="EJ69" s="383">
        <v>3748.2969716937055</v>
      </c>
      <c r="EK69" s="383">
        <v>4271.8287713517457</v>
      </c>
      <c r="EL69" s="383">
        <v>3896.1889352860198</v>
      </c>
      <c r="EM69" s="383">
        <v>4018.4089140409869</v>
      </c>
      <c r="EN69" s="383">
        <v>3928.2878050490494</v>
      </c>
      <c r="EO69" s="383">
        <v>4545.7771249656807</v>
      </c>
      <c r="EP69" s="389"/>
      <c r="EQ69" s="320">
        <v>0.12374817869898869</v>
      </c>
    </row>
    <row r="70" spans="1:147" s="390" customFormat="1" ht="15" customHeight="1" outlineLevel="2">
      <c r="A70" s="385"/>
      <c r="B70"/>
      <c r="C70"/>
      <c r="D70"/>
      <c r="E70"/>
      <c r="F70"/>
      <c r="G70"/>
      <c r="H70" s="386"/>
      <c r="I70" s="378" t="s">
        <v>1610</v>
      </c>
      <c r="J70" s="386"/>
      <c r="K70" s="386"/>
      <c r="L70" s="386"/>
      <c r="M70" s="388"/>
      <c r="N70" s="386"/>
      <c r="O70" s="386"/>
      <c r="P70" s="386"/>
      <c r="Q70" s="388"/>
      <c r="R70" s="386"/>
      <c r="S70" s="386"/>
      <c r="T70" s="386"/>
      <c r="U70" s="388"/>
      <c r="V70" s="386"/>
      <c r="W70" s="386"/>
      <c r="X70" s="386"/>
      <c r="Y70" s="388"/>
      <c r="Z70" s="386"/>
      <c r="AA70" s="386"/>
      <c r="AB70" s="386"/>
      <c r="AC70" s="388"/>
      <c r="AD70" s="386"/>
      <c r="AE70" s="386"/>
      <c r="AF70" s="386"/>
      <c r="AG70" s="388"/>
      <c r="AH70" s="386"/>
      <c r="AI70" s="386"/>
      <c r="AJ70" s="386"/>
      <c r="AK70" s="388"/>
      <c r="AL70" s="386"/>
      <c r="AM70" s="386"/>
      <c r="AN70" s="386"/>
      <c r="AO70" s="388"/>
      <c r="AP70" s="386"/>
      <c r="AQ70" s="386"/>
      <c r="AR70" s="386"/>
      <c r="AS70" s="478"/>
      <c r="AT70" s="483">
        <v>69</v>
      </c>
      <c r="AU70" s="483">
        <v>60</v>
      </c>
      <c r="AV70" s="483">
        <v>58</v>
      </c>
      <c r="AW70" s="493">
        <v>160</v>
      </c>
      <c r="AX70" s="483">
        <v>33</v>
      </c>
      <c r="AY70" s="483">
        <v>48</v>
      </c>
      <c r="AZ70" s="483">
        <v>16</v>
      </c>
      <c r="BA70" s="493">
        <v>101</v>
      </c>
      <c r="BB70" s="483">
        <v>26</v>
      </c>
      <c r="BC70" s="483">
        <v>26</v>
      </c>
      <c r="BD70" s="483">
        <v>25</v>
      </c>
      <c r="BE70" s="484">
        <v>71</v>
      </c>
      <c r="BF70" s="483">
        <v>23</v>
      </c>
      <c r="BG70" s="483">
        <v>22</v>
      </c>
      <c r="BH70" s="483">
        <v>24</v>
      </c>
      <c r="BI70" s="484">
        <v>51</v>
      </c>
      <c r="BJ70" s="483">
        <v>24</v>
      </c>
      <c r="BK70" s="483">
        <v>23</v>
      </c>
      <c r="BL70" s="483">
        <v>21</v>
      </c>
      <c r="BM70" s="484">
        <v>40</v>
      </c>
      <c r="BN70" s="487">
        <v>19</v>
      </c>
      <c r="BO70" s="376">
        <v>19</v>
      </c>
      <c r="BP70" s="376">
        <v>23</v>
      </c>
      <c r="BQ70" s="485">
        <v>29</v>
      </c>
      <c r="BR70" s="487">
        <v>20</v>
      </c>
      <c r="BS70" s="376">
        <v>20</v>
      </c>
      <c r="BT70" s="376">
        <v>24</v>
      </c>
      <c r="BU70" s="485">
        <v>24</v>
      </c>
      <c r="BV70" s="487">
        <v>25</v>
      </c>
      <c r="BW70" s="376">
        <v>31</v>
      </c>
      <c r="BX70" s="376">
        <v>33</v>
      </c>
      <c r="BY70" s="485">
        <v>96</v>
      </c>
      <c r="BZ70" s="487">
        <v>34</v>
      </c>
      <c r="CA70" s="376">
        <v>33</v>
      </c>
      <c r="CB70" s="376">
        <v>33</v>
      </c>
      <c r="CC70" s="485">
        <v>54</v>
      </c>
      <c r="CD70" s="487">
        <v>35</v>
      </c>
      <c r="CE70" s="376">
        <v>36</v>
      </c>
      <c r="CF70" s="376">
        <v>35</v>
      </c>
      <c r="CG70" s="485">
        <v>32</v>
      </c>
      <c r="CH70" s="487">
        <v>33</v>
      </c>
      <c r="CI70" s="376">
        <v>33</v>
      </c>
      <c r="CJ70" s="376">
        <v>30</v>
      </c>
      <c r="CK70" s="485">
        <v>54</v>
      </c>
      <c r="CL70" s="487">
        <v>52</v>
      </c>
      <c r="CM70" s="376">
        <v>29</v>
      </c>
      <c r="CN70" s="376">
        <v>30</v>
      </c>
      <c r="CO70" s="485">
        <v>27</v>
      </c>
      <c r="CP70" s="487">
        <v>58</v>
      </c>
      <c r="CQ70" s="376">
        <v>39</v>
      </c>
      <c r="CR70" s="376">
        <v>-156</v>
      </c>
      <c r="CS70" s="485">
        <v>36.878770819201982</v>
      </c>
      <c r="CT70" s="487">
        <v>26.239906061051261</v>
      </c>
      <c r="CU70" s="376">
        <v>24.642049991120743</v>
      </c>
      <c r="CV70" s="376">
        <v>38.046409104251275</v>
      </c>
      <c r="CW70" s="485">
        <v>64.098724329180214</v>
      </c>
      <c r="CX70" s="325"/>
      <c r="CY70" s="325"/>
      <c r="CZ70" s="325"/>
      <c r="DA70" s="372"/>
      <c r="DB70" s="325"/>
      <c r="DC70" s="325"/>
      <c r="DD70" s="325"/>
      <c r="DE70" s="372"/>
      <c r="DF70" s="325"/>
      <c r="DG70" s="325"/>
      <c r="DH70" s="325"/>
      <c r="DI70" s="372"/>
      <c r="DJ70" s="486"/>
      <c r="DK70" s="373"/>
      <c r="DL70" s="325"/>
      <c r="DM70" s="325"/>
      <c r="DN70" s="325"/>
      <c r="DO70" s="325"/>
      <c r="DP70" s="325"/>
      <c r="DQ70" s="325"/>
      <c r="DR70" s="325"/>
      <c r="DS70" s="376">
        <v>385</v>
      </c>
      <c r="DT70" s="376">
        <v>347</v>
      </c>
      <c r="DU70" s="376">
        <v>198</v>
      </c>
      <c r="DV70" s="376">
        <v>148</v>
      </c>
      <c r="DW70" s="325">
        <v>120</v>
      </c>
      <c r="DX70" s="376">
        <v>108</v>
      </c>
      <c r="DY70" s="376">
        <v>90</v>
      </c>
      <c r="DZ70" s="376">
        <v>88</v>
      </c>
      <c r="EA70" s="376">
        <v>185</v>
      </c>
      <c r="EB70" s="325">
        <v>154</v>
      </c>
      <c r="EC70" s="376">
        <v>138</v>
      </c>
      <c r="ED70" s="376">
        <v>150</v>
      </c>
      <c r="EE70" s="376">
        <v>138</v>
      </c>
      <c r="EF70" s="376">
        <v>-22.121229180798018</v>
      </c>
      <c r="EG70" s="376">
        <v>153.02708948560348</v>
      </c>
      <c r="EH70" s="376">
        <v>178.43913293223679</v>
      </c>
      <c r="EI70" s="376">
        <v>165.75922207317078</v>
      </c>
      <c r="EJ70" s="376">
        <v>159.00567642373034</v>
      </c>
      <c r="EK70" s="376">
        <v>169.48401748842389</v>
      </c>
      <c r="EL70" s="376">
        <v>163.47862903266423</v>
      </c>
      <c r="EM70" s="376">
        <v>164.57788837296641</v>
      </c>
      <c r="EN70" s="376">
        <v>163.6826514701832</v>
      </c>
      <c r="EO70" s="376">
        <v>176.20245252308914</v>
      </c>
      <c r="EP70" s="389"/>
      <c r="EQ70" s="386"/>
    </row>
    <row r="71" spans="1:147" s="377" customFormat="1" ht="15" customHeight="1" outlineLevel="2">
      <c r="A71" s="368"/>
      <c r="B71"/>
      <c r="C71"/>
      <c r="D71"/>
      <c r="E71"/>
      <c r="F71"/>
      <c r="G71"/>
      <c r="H71" s="369"/>
      <c r="I71" s="379" t="s">
        <v>1611</v>
      </c>
      <c r="J71" s="369"/>
      <c r="K71" s="369"/>
      <c r="L71" s="369"/>
      <c r="M71" s="371"/>
      <c r="N71" s="369"/>
      <c r="O71" s="369"/>
      <c r="P71" s="369"/>
      <c r="Q71" s="371"/>
      <c r="R71" s="369"/>
      <c r="S71" s="369"/>
      <c r="T71" s="369"/>
      <c r="U71" s="371"/>
      <c r="V71" s="369"/>
      <c r="W71" s="369"/>
      <c r="X71" s="369"/>
      <c r="Y71" s="371"/>
      <c r="Z71" s="369"/>
      <c r="AA71" s="369"/>
      <c r="AB71" s="369"/>
      <c r="AC71" s="371"/>
      <c r="AD71" s="369"/>
      <c r="AE71" s="369"/>
      <c r="AF71" s="369"/>
      <c r="AG71" s="371"/>
      <c r="AH71" s="369"/>
      <c r="AI71" s="369"/>
      <c r="AJ71" s="369"/>
      <c r="AK71" s="371"/>
      <c r="AL71" s="369"/>
      <c r="AM71" s="369"/>
      <c r="AN71" s="369"/>
      <c r="AO71" s="371"/>
      <c r="AP71" s="369"/>
      <c r="AQ71" s="369"/>
      <c r="AR71" s="369"/>
      <c r="AS71" s="488"/>
      <c r="AT71" s="497">
        <v>188</v>
      </c>
      <c r="AU71" s="498">
        <v>216</v>
      </c>
      <c r="AV71" s="498">
        <v>133</v>
      </c>
      <c r="AW71" s="499">
        <v>1044</v>
      </c>
      <c r="AX71" s="498">
        <v>198</v>
      </c>
      <c r="AY71" s="498">
        <v>149</v>
      </c>
      <c r="AZ71" s="498">
        <v>220</v>
      </c>
      <c r="BA71" s="499">
        <v>1002</v>
      </c>
      <c r="BB71" s="498">
        <v>244</v>
      </c>
      <c r="BC71" s="498">
        <v>191</v>
      </c>
      <c r="BD71" s="498">
        <v>110</v>
      </c>
      <c r="BE71" s="500">
        <v>961</v>
      </c>
      <c r="BF71" s="498">
        <v>113</v>
      </c>
      <c r="BG71" s="498">
        <v>322</v>
      </c>
      <c r="BH71" s="498">
        <v>178</v>
      </c>
      <c r="BI71" s="500">
        <v>1205</v>
      </c>
      <c r="BJ71" s="498">
        <v>270</v>
      </c>
      <c r="BK71" s="498">
        <v>141</v>
      </c>
      <c r="BL71" s="498">
        <v>125</v>
      </c>
      <c r="BM71" s="500">
        <v>890</v>
      </c>
      <c r="BN71" s="380">
        <v>259</v>
      </c>
      <c r="BO71" s="381">
        <v>132</v>
      </c>
      <c r="BP71" s="381">
        <v>283</v>
      </c>
      <c r="BQ71" s="382">
        <v>943</v>
      </c>
      <c r="BR71" s="381">
        <v>224</v>
      </c>
      <c r="BS71" s="381">
        <v>193</v>
      </c>
      <c r="BT71" s="501">
        <v>275</v>
      </c>
      <c r="BU71" s="502">
        <v>862</v>
      </c>
      <c r="BV71" s="501">
        <v>277</v>
      </c>
      <c r="BW71" s="501">
        <v>619</v>
      </c>
      <c r="BX71" s="501">
        <v>607</v>
      </c>
      <c r="BY71" s="502">
        <v>1015</v>
      </c>
      <c r="BZ71" s="503">
        <v>385</v>
      </c>
      <c r="CA71" s="501">
        <v>503</v>
      </c>
      <c r="CB71" s="501">
        <v>658</v>
      </c>
      <c r="CC71" s="502">
        <v>986</v>
      </c>
      <c r="CD71" s="501">
        <v>430</v>
      </c>
      <c r="CE71" s="501">
        <v>421</v>
      </c>
      <c r="CF71" s="501">
        <v>527</v>
      </c>
      <c r="CG71" s="502">
        <v>1239</v>
      </c>
      <c r="CH71" s="501">
        <v>336</v>
      </c>
      <c r="CI71" s="501">
        <v>340</v>
      </c>
      <c r="CJ71" s="501">
        <v>329</v>
      </c>
      <c r="CK71" s="502">
        <v>1198</v>
      </c>
      <c r="CL71" s="503">
        <v>569</v>
      </c>
      <c r="CM71" s="501">
        <v>992</v>
      </c>
      <c r="CN71" s="501">
        <v>736</v>
      </c>
      <c r="CO71" s="502">
        <v>1181</v>
      </c>
      <c r="CP71" s="503">
        <v>877</v>
      </c>
      <c r="CQ71" s="501">
        <v>767</v>
      </c>
      <c r="CR71" s="501">
        <v>764</v>
      </c>
      <c r="CS71" s="382">
        <v>1360.5545203356478</v>
      </c>
      <c r="CT71" s="380">
        <v>587.23098432628808</v>
      </c>
      <c r="CU71" s="381">
        <v>539.09313159771466</v>
      </c>
      <c r="CV71" s="381">
        <v>879.95743010114688</v>
      </c>
      <c r="CW71" s="382">
        <v>1624.2877982379964</v>
      </c>
      <c r="CX71" s="448"/>
      <c r="CY71" s="448"/>
      <c r="CZ71" s="448"/>
      <c r="DA71" s="449"/>
      <c r="DB71" s="448"/>
      <c r="DC71" s="448"/>
      <c r="DD71" s="448"/>
      <c r="DE71" s="449"/>
      <c r="DF71" s="448"/>
      <c r="DG71" s="448"/>
      <c r="DH71" s="448"/>
      <c r="DI71" s="449"/>
      <c r="DJ71" s="491"/>
      <c r="DK71" s="450"/>
      <c r="DL71" s="448"/>
      <c r="DM71" s="448"/>
      <c r="DN71" s="448"/>
      <c r="DO71" s="448"/>
      <c r="DP71" s="448"/>
      <c r="DQ71" s="448"/>
      <c r="DR71" s="448"/>
      <c r="DS71" s="383">
        <v>1152</v>
      </c>
      <c r="DT71" s="383">
        <v>1581</v>
      </c>
      <c r="DU71" s="383">
        <v>1569</v>
      </c>
      <c r="DV71" s="381">
        <v>1506</v>
      </c>
      <c r="DW71" s="381">
        <v>1818</v>
      </c>
      <c r="DX71" s="381">
        <v>1426</v>
      </c>
      <c r="DY71" s="381">
        <v>1617</v>
      </c>
      <c r="DZ71" s="381">
        <v>1554</v>
      </c>
      <c r="EA71" s="381">
        <v>2518</v>
      </c>
      <c r="EB71" s="381">
        <v>2532</v>
      </c>
      <c r="EC71" s="381">
        <v>2617</v>
      </c>
      <c r="ED71" s="381">
        <v>2203</v>
      </c>
      <c r="EE71" s="381">
        <v>3535</v>
      </c>
      <c r="EF71" s="381">
        <v>3825.5545203356478</v>
      </c>
      <c r="EG71" s="381">
        <v>3687.5693442631455</v>
      </c>
      <c r="EH71" s="381">
        <v>4620.8787257518798</v>
      </c>
      <c r="EI71" s="381">
        <v>4209.9840305154485</v>
      </c>
      <c r="EJ71" s="381">
        <v>3907.3026481174356</v>
      </c>
      <c r="EK71" s="381">
        <v>4441.3127888401696</v>
      </c>
      <c r="EL71" s="381">
        <v>4059.6675643186841</v>
      </c>
      <c r="EM71" s="381">
        <v>4182.9868024139532</v>
      </c>
      <c r="EN71" s="381">
        <v>4091.9704565192328</v>
      </c>
      <c r="EO71" s="381">
        <v>4721.9795774887698</v>
      </c>
      <c r="EP71" s="375"/>
      <c r="EQ71" s="320">
        <v>0.12042855752695569</v>
      </c>
    </row>
    <row r="72" spans="1:147" s="377" customFormat="1" ht="15" customHeight="1" outlineLevel="2">
      <c r="A72" s="368"/>
      <c r="B72"/>
      <c r="C72"/>
      <c r="D72"/>
      <c r="E72"/>
      <c r="F72"/>
      <c r="G72"/>
      <c r="H72" s="369"/>
      <c r="I72" s="379"/>
      <c r="J72" s="369"/>
      <c r="K72" s="369"/>
      <c r="L72" s="369"/>
      <c r="M72" s="371"/>
      <c r="N72" s="369"/>
      <c r="O72" s="369"/>
      <c r="P72" s="369"/>
      <c r="Q72" s="371"/>
      <c r="R72" s="369"/>
      <c r="S72" s="369"/>
      <c r="T72" s="369"/>
      <c r="U72" s="371"/>
      <c r="V72" s="369"/>
      <c r="W72" s="369"/>
      <c r="X72" s="369"/>
      <c r="Y72" s="371"/>
      <c r="Z72" s="369"/>
      <c r="AA72" s="369"/>
      <c r="AB72" s="369"/>
      <c r="AC72" s="371"/>
      <c r="AD72" s="369"/>
      <c r="AE72" s="369"/>
      <c r="AF72" s="369"/>
      <c r="AG72" s="371"/>
      <c r="AH72" s="369"/>
      <c r="AI72" s="369"/>
      <c r="AJ72" s="369"/>
      <c r="AK72" s="371"/>
      <c r="AL72" s="369"/>
      <c r="AM72" s="369"/>
      <c r="AN72" s="369"/>
      <c r="AO72" s="371"/>
      <c r="AP72" s="369"/>
      <c r="AQ72" s="369"/>
      <c r="AR72" s="369"/>
      <c r="AS72" s="488"/>
      <c r="AT72" s="504"/>
      <c r="AU72" s="504"/>
      <c r="AV72" s="504"/>
      <c r="AW72" s="488"/>
      <c r="AX72" s="504"/>
      <c r="AY72" s="504"/>
      <c r="AZ72" s="504"/>
      <c r="BA72" s="488"/>
      <c r="BB72" s="504"/>
      <c r="BC72" s="504"/>
      <c r="BD72" s="504"/>
      <c r="BE72" s="505"/>
      <c r="BF72" s="504"/>
      <c r="BG72" s="504"/>
      <c r="BH72" s="504"/>
      <c r="BI72" s="505"/>
      <c r="BJ72" s="504"/>
      <c r="BK72" s="504"/>
      <c r="BL72" s="504"/>
      <c r="BM72" s="505"/>
      <c r="BN72" s="448"/>
      <c r="BO72" s="448"/>
      <c r="BP72" s="448"/>
      <c r="BQ72" s="449"/>
      <c r="BR72" s="448"/>
      <c r="BS72" s="448"/>
      <c r="BT72" s="448"/>
      <c r="BU72" s="449"/>
      <c r="BV72" s="448"/>
      <c r="BW72" s="448"/>
      <c r="BX72" s="448"/>
      <c r="BY72" s="449"/>
      <c r="BZ72" s="450"/>
      <c r="CA72" s="448"/>
      <c r="CB72" s="448"/>
      <c r="CC72" s="449"/>
      <c r="CD72" s="448"/>
      <c r="CE72" s="448"/>
      <c r="CF72" s="448"/>
      <c r="CG72" s="449"/>
      <c r="CH72" s="448"/>
      <c r="CI72" s="448"/>
      <c r="CJ72" s="448"/>
      <c r="CK72" s="449"/>
      <c r="CL72" s="450"/>
      <c r="CM72" s="448"/>
      <c r="CN72" s="448"/>
      <c r="CO72" s="449"/>
      <c r="CP72" s="450"/>
      <c r="CQ72" s="448"/>
      <c r="CR72" s="448"/>
      <c r="CS72" s="449"/>
      <c r="CT72" s="450"/>
      <c r="CU72" s="448"/>
      <c r="CV72" s="448"/>
      <c r="CW72" s="449"/>
      <c r="CX72" s="448"/>
      <c r="CY72" s="448"/>
      <c r="CZ72" s="448"/>
      <c r="DA72" s="449"/>
      <c r="DB72" s="448"/>
      <c r="DC72" s="448"/>
      <c r="DD72" s="448"/>
      <c r="DE72" s="449"/>
      <c r="DF72" s="448"/>
      <c r="DG72" s="448"/>
      <c r="DH72" s="448"/>
      <c r="DI72" s="449"/>
      <c r="DJ72" s="491"/>
      <c r="DK72" s="450"/>
      <c r="DL72" s="448"/>
      <c r="DM72" s="448"/>
      <c r="DN72" s="448"/>
      <c r="DO72" s="448"/>
      <c r="DP72" s="448"/>
      <c r="DQ72" s="448"/>
      <c r="DR72" s="448"/>
      <c r="DS72" s="461"/>
      <c r="DT72" s="461"/>
      <c r="DU72" s="461"/>
      <c r="DV72" s="448"/>
      <c r="DW72" s="448"/>
      <c r="DX72" s="448"/>
      <c r="DY72" s="448"/>
      <c r="DZ72" s="448"/>
      <c r="EA72" s="448"/>
      <c r="EB72" s="448"/>
      <c r="EC72" s="448"/>
      <c r="ED72" s="448"/>
      <c r="EE72" s="448"/>
      <c r="EF72" s="448"/>
      <c r="EG72" s="448"/>
      <c r="EH72" s="448"/>
      <c r="EI72" s="448"/>
      <c r="EJ72" s="448"/>
      <c r="EK72" s="448"/>
      <c r="EL72" s="448"/>
      <c r="EM72" s="448"/>
      <c r="EN72" s="448"/>
      <c r="EO72" s="448"/>
      <c r="EP72" s="375"/>
      <c r="EQ72" s="369"/>
    </row>
    <row r="73" spans="1:147" s="390" customFormat="1" ht="15" customHeight="1" outlineLevel="2">
      <c r="A73" s="385"/>
      <c r="B73"/>
      <c r="C73"/>
      <c r="D73"/>
      <c r="E73"/>
      <c r="F73"/>
      <c r="G73"/>
      <c r="H73" s="386"/>
      <c r="I73" s="378" t="s">
        <v>1612</v>
      </c>
      <c r="J73" s="386"/>
      <c r="K73" s="386"/>
      <c r="L73" s="386"/>
      <c r="M73" s="388"/>
      <c r="N73" s="386"/>
      <c r="O73" s="386"/>
      <c r="P73" s="386"/>
      <c r="Q73" s="388"/>
      <c r="R73" s="386"/>
      <c r="S73" s="386"/>
      <c r="T73" s="386"/>
      <c r="U73" s="388"/>
      <c r="V73" s="386"/>
      <c r="W73" s="386"/>
      <c r="X73" s="386"/>
      <c r="Y73" s="388"/>
      <c r="Z73" s="386"/>
      <c r="AA73" s="386"/>
      <c r="AB73" s="386"/>
      <c r="AC73" s="388"/>
      <c r="AD73" s="386"/>
      <c r="AE73" s="386"/>
      <c r="AF73" s="386"/>
      <c r="AG73" s="388"/>
      <c r="AH73" s="386"/>
      <c r="AI73" s="386"/>
      <c r="AJ73" s="386"/>
      <c r="AK73" s="388"/>
      <c r="AL73" s="386"/>
      <c r="AM73" s="386"/>
      <c r="AN73" s="386"/>
      <c r="AO73" s="388"/>
      <c r="AP73" s="386"/>
      <c r="AQ73" s="386"/>
      <c r="AR73" s="386"/>
      <c r="AS73" s="478"/>
      <c r="AT73" s="479">
        <v>189</v>
      </c>
      <c r="AU73" s="479">
        <v>195</v>
      </c>
      <c r="AV73" s="479">
        <v>15</v>
      </c>
      <c r="AW73" s="478">
        <v>-286</v>
      </c>
      <c r="AX73" s="479">
        <v>381</v>
      </c>
      <c r="AY73" s="479">
        <v>219</v>
      </c>
      <c r="AZ73" s="479">
        <v>51</v>
      </c>
      <c r="BA73" s="478">
        <v>-233</v>
      </c>
      <c r="BB73" s="479">
        <v>503</v>
      </c>
      <c r="BC73" s="479">
        <v>335</v>
      </c>
      <c r="BD73" s="479">
        <v>148</v>
      </c>
      <c r="BE73" s="484">
        <v>99</v>
      </c>
      <c r="BF73" s="479">
        <v>384</v>
      </c>
      <c r="BG73" s="479">
        <v>185</v>
      </c>
      <c r="BH73" s="479">
        <v>226</v>
      </c>
      <c r="BI73" s="484">
        <v>354</v>
      </c>
      <c r="BJ73" s="479">
        <v>456</v>
      </c>
      <c r="BK73" s="479">
        <v>324</v>
      </c>
      <c r="BL73" s="479">
        <v>56</v>
      </c>
      <c r="BM73" s="484">
        <v>174</v>
      </c>
      <c r="BN73" s="325">
        <v>293</v>
      </c>
      <c r="BO73" s="325">
        <v>204</v>
      </c>
      <c r="BP73" s="325">
        <v>-23</v>
      </c>
      <c r="BQ73" s="485">
        <v>361</v>
      </c>
      <c r="BR73" s="325">
        <v>394</v>
      </c>
      <c r="BS73" s="325">
        <v>212</v>
      </c>
      <c r="BT73" s="325">
        <v>127</v>
      </c>
      <c r="BU73" s="372">
        <v>159</v>
      </c>
      <c r="BV73" s="325">
        <v>363</v>
      </c>
      <c r="BW73" s="325">
        <v>151</v>
      </c>
      <c r="BX73" s="325">
        <v>199</v>
      </c>
      <c r="BY73" s="372">
        <v>254</v>
      </c>
      <c r="BZ73" s="373">
        <v>426</v>
      </c>
      <c r="CA73" s="325">
        <v>243</v>
      </c>
      <c r="CB73" s="325">
        <v>188</v>
      </c>
      <c r="CC73" s="372">
        <v>-584</v>
      </c>
      <c r="CD73" s="373">
        <v>500</v>
      </c>
      <c r="CE73" s="325">
        <v>402</v>
      </c>
      <c r="CF73" s="325">
        <v>260</v>
      </c>
      <c r="CG73" s="372">
        <v>650</v>
      </c>
      <c r="CH73" s="373">
        <v>390</v>
      </c>
      <c r="CI73" s="325">
        <v>328</v>
      </c>
      <c r="CJ73" s="325">
        <v>204</v>
      </c>
      <c r="CK73" s="372">
        <v>525</v>
      </c>
      <c r="CL73" s="373">
        <v>505</v>
      </c>
      <c r="CM73" s="325">
        <v>580</v>
      </c>
      <c r="CN73" s="325">
        <v>604</v>
      </c>
      <c r="CO73" s="372">
        <v>508</v>
      </c>
      <c r="CP73" s="373">
        <v>619</v>
      </c>
      <c r="CQ73" s="325">
        <v>876</v>
      </c>
      <c r="CR73" s="325">
        <v>639</v>
      </c>
      <c r="CS73" s="372">
        <v>960.4976021179923</v>
      </c>
      <c r="CT73" s="373">
        <v>305.04206261218957</v>
      </c>
      <c r="CU73" s="325">
        <v>358.53006528527516</v>
      </c>
      <c r="CV73" s="325">
        <v>602.85801679751648</v>
      </c>
      <c r="CW73" s="372">
        <v>1160.6804591270529</v>
      </c>
      <c r="CX73" s="325"/>
      <c r="CY73" s="325"/>
      <c r="CZ73" s="325"/>
      <c r="DA73" s="372"/>
      <c r="DB73" s="325"/>
      <c r="DC73" s="325"/>
      <c r="DD73" s="325"/>
      <c r="DE73" s="372"/>
      <c r="DF73" s="325"/>
      <c r="DG73" s="325"/>
      <c r="DH73" s="325"/>
      <c r="DI73" s="372"/>
      <c r="DJ73" s="486"/>
      <c r="DK73" s="373"/>
      <c r="DL73" s="325"/>
      <c r="DM73" s="325"/>
      <c r="DN73" s="325"/>
      <c r="DO73" s="325"/>
      <c r="DP73" s="325"/>
      <c r="DQ73" s="325"/>
      <c r="DR73" s="325"/>
      <c r="DS73" s="376">
        <v>-107</v>
      </c>
      <c r="DT73" s="376">
        <v>113</v>
      </c>
      <c r="DU73" s="376">
        <v>418</v>
      </c>
      <c r="DV73" s="325">
        <v>1085</v>
      </c>
      <c r="DW73" s="325">
        <v>1149</v>
      </c>
      <c r="DX73" s="325">
        <v>1010</v>
      </c>
      <c r="DY73" s="325">
        <v>835</v>
      </c>
      <c r="DZ73" s="325">
        <v>892</v>
      </c>
      <c r="EA73" s="325">
        <v>967</v>
      </c>
      <c r="EB73" s="325">
        <v>273</v>
      </c>
      <c r="EC73" s="325">
        <v>1812</v>
      </c>
      <c r="ED73" s="325">
        <v>1447</v>
      </c>
      <c r="EE73" s="325">
        <v>2197</v>
      </c>
      <c r="EF73" s="325">
        <v>3094.4976021179932</v>
      </c>
      <c r="EG73" s="325">
        <v>2427.110603822035</v>
      </c>
      <c r="EH73" s="325">
        <v>3109.6601610367948</v>
      </c>
      <c r="EI73" s="325">
        <v>2903.7756029560996</v>
      </c>
      <c r="EJ73" s="325">
        <v>2629.3122979699237</v>
      </c>
      <c r="EK73" s="325">
        <v>3766.9024015991104</v>
      </c>
      <c r="EL73" s="325">
        <v>3488.7893962614949</v>
      </c>
      <c r="EM73" s="325">
        <v>3556.2684049057207</v>
      </c>
      <c r="EN73" s="325">
        <v>3460.2517746227913</v>
      </c>
      <c r="EO73" s="325">
        <v>4002.7444764876827</v>
      </c>
      <c r="EP73" s="389"/>
      <c r="EQ73" s="386"/>
    </row>
    <row r="74" spans="1:147" s="390" customFormat="1" ht="15" customHeight="1" outlineLevel="2">
      <c r="A74" s="385"/>
      <c r="B74"/>
      <c r="C74"/>
      <c r="D74"/>
      <c r="E74"/>
      <c r="F74"/>
      <c r="G74"/>
      <c r="H74" s="386"/>
      <c r="I74" s="378" t="s">
        <v>1604</v>
      </c>
      <c r="J74" s="386"/>
      <c r="K74" s="386"/>
      <c r="L74" s="386"/>
      <c r="M74" s="388"/>
      <c r="N74" s="386"/>
      <c r="O74" s="386"/>
      <c r="P74" s="386"/>
      <c r="Q74" s="388"/>
      <c r="R74" s="386"/>
      <c r="S74" s="386"/>
      <c r="T74" s="386"/>
      <c r="U74" s="388"/>
      <c r="V74" s="386"/>
      <c r="W74" s="386"/>
      <c r="X74" s="386"/>
      <c r="Y74" s="388"/>
      <c r="Z74" s="386"/>
      <c r="AA74" s="386"/>
      <c r="AB74" s="386"/>
      <c r="AC74" s="388"/>
      <c r="AD74" s="386"/>
      <c r="AE74" s="386"/>
      <c r="AF74" s="386"/>
      <c r="AG74" s="388"/>
      <c r="AH74" s="386"/>
      <c r="AI74" s="386"/>
      <c r="AJ74" s="386"/>
      <c r="AK74" s="388"/>
      <c r="AL74" s="386"/>
      <c r="AM74" s="386"/>
      <c r="AN74" s="386"/>
      <c r="AO74" s="388"/>
      <c r="AP74" s="386"/>
      <c r="AQ74" s="386"/>
      <c r="AR74" s="386"/>
      <c r="AS74" s="478"/>
      <c r="AT74" s="492">
        <v>17</v>
      </c>
      <c r="AU74" s="492">
        <v>27</v>
      </c>
      <c r="AV74" s="492">
        <v>23</v>
      </c>
      <c r="AW74" s="493">
        <v>47</v>
      </c>
      <c r="AX74" s="492">
        <v>30</v>
      </c>
      <c r="AY74" s="492">
        <v>12</v>
      </c>
      <c r="AZ74" s="492">
        <v>21</v>
      </c>
      <c r="BA74" s="493">
        <v>24</v>
      </c>
      <c r="BB74" s="492">
        <v>15</v>
      </c>
      <c r="BC74" s="492">
        <v>15</v>
      </c>
      <c r="BD74" s="492">
        <v>13</v>
      </c>
      <c r="BE74" s="493">
        <v>33</v>
      </c>
      <c r="BF74" s="492">
        <v>16</v>
      </c>
      <c r="BG74" s="492">
        <v>21</v>
      </c>
      <c r="BH74" s="492">
        <v>23</v>
      </c>
      <c r="BI74" s="493">
        <v>38</v>
      </c>
      <c r="BJ74" s="492">
        <v>18</v>
      </c>
      <c r="BK74" s="492">
        <v>15</v>
      </c>
      <c r="BL74" s="492">
        <v>16</v>
      </c>
      <c r="BM74" s="493">
        <v>23</v>
      </c>
      <c r="BN74" s="401">
        <v>18</v>
      </c>
      <c r="BO74" s="401">
        <v>14</v>
      </c>
      <c r="BP74" s="401">
        <v>14</v>
      </c>
      <c r="BQ74" s="402">
        <v>19</v>
      </c>
      <c r="BR74" s="401">
        <v>16</v>
      </c>
      <c r="BS74" s="401">
        <v>16</v>
      </c>
      <c r="BT74" s="401">
        <v>19</v>
      </c>
      <c r="BU74" s="402">
        <v>15</v>
      </c>
      <c r="BV74" s="401">
        <v>44</v>
      </c>
      <c r="BW74" s="325">
        <v>41</v>
      </c>
      <c r="BX74" s="325">
        <v>32</v>
      </c>
      <c r="BY74" s="372">
        <v>40</v>
      </c>
      <c r="BZ74" s="373">
        <v>33</v>
      </c>
      <c r="CA74" s="325">
        <v>38</v>
      </c>
      <c r="CB74" s="325">
        <v>47</v>
      </c>
      <c r="CC74" s="372">
        <v>58</v>
      </c>
      <c r="CD74" s="373">
        <v>54</v>
      </c>
      <c r="CE74" s="325">
        <v>56</v>
      </c>
      <c r="CF74" s="325">
        <v>55</v>
      </c>
      <c r="CG74" s="372">
        <v>44</v>
      </c>
      <c r="CH74" s="373">
        <v>63</v>
      </c>
      <c r="CI74" s="325">
        <v>37</v>
      </c>
      <c r="CJ74" s="325">
        <v>27</v>
      </c>
      <c r="CK74" s="372">
        <v>39</v>
      </c>
      <c r="CL74" s="373">
        <v>43</v>
      </c>
      <c r="CM74" s="325">
        <v>42</v>
      </c>
      <c r="CN74" s="325">
        <v>53</v>
      </c>
      <c r="CO74" s="372">
        <v>80</v>
      </c>
      <c r="CP74" s="373">
        <v>151</v>
      </c>
      <c r="CQ74" s="325">
        <v>43</v>
      </c>
      <c r="CR74" s="325">
        <v>65</v>
      </c>
      <c r="CS74" s="372">
        <v>84</v>
      </c>
      <c r="CT74" s="373">
        <v>158.55000000000001</v>
      </c>
      <c r="CU74" s="325">
        <v>45.15</v>
      </c>
      <c r="CV74" s="325">
        <v>67.2</v>
      </c>
      <c r="CW74" s="372">
        <v>88.2</v>
      </c>
      <c r="CX74" s="325"/>
      <c r="CY74" s="325"/>
      <c r="CZ74" s="325"/>
      <c r="DA74" s="372"/>
      <c r="DB74" s="325"/>
      <c r="DC74" s="325"/>
      <c r="DD74" s="325"/>
      <c r="DE74" s="372"/>
      <c r="DF74" s="325"/>
      <c r="DG74" s="325"/>
      <c r="DH74" s="325"/>
      <c r="DI74" s="372"/>
      <c r="DJ74" s="486"/>
      <c r="DK74" s="373"/>
      <c r="DL74" s="325"/>
      <c r="DM74" s="325"/>
      <c r="DN74" s="325"/>
      <c r="DO74" s="325"/>
      <c r="DP74" s="325"/>
      <c r="DQ74" s="325"/>
      <c r="DR74" s="325"/>
      <c r="DS74" s="401"/>
      <c r="DT74" s="401">
        <v>96</v>
      </c>
      <c r="DU74" s="401">
        <v>87</v>
      </c>
      <c r="DV74" s="325">
        <v>76</v>
      </c>
      <c r="DW74" s="325">
        <v>98</v>
      </c>
      <c r="DX74" s="325">
        <v>72</v>
      </c>
      <c r="DY74" s="325">
        <v>65</v>
      </c>
      <c r="DZ74" s="325">
        <v>66</v>
      </c>
      <c r="EA74" s="325">
        <v>157</v>
      </c>
      <c r="EB74" s="325">
        <v>176</v>
      </c>
      <c r="EC74" s="325">
        <v>209</v>
      </c>
      <c r="ED74" s="325">
        <v>166</v>
      </c>
      <c r="EE74" s="325">
        <v>218</v>
      </c>
      <c r="EF74" s="325">
        <v>343</v>
      </c>
      <c r="EG74" s="325">
        <v>359.1</v>
      </c>
      <c r="EH74" s="325">
        <v>373.46400000000006</v>
      </c>
      <c r="EI74" s="325">
        <v>388.40256000000005</v>
      </c>
      <c r="EJ74" s="325">
        <v>403.93866240000006</v>
      </c>
      <c r="EK74" s="325">
        <v>420.09620889600006</v>
      </c>
      <c r="EL74" s="325">
        <v>436.90005725184011</v>
      </c>
      <c r="EM74" s="325">
        <v>454.37605954191372</v>
      </c>
      <c r="EN74" s="325">
        <v>472.55110192359029</v>
      </c>
      <c r="EO74" s="325">
        <v>491.45314600053393</v>
      </c>
      <c r="EP74" s="389"/>
      <c r="EQ74" s="386"/>
    </row>
    <row r="75" spans="1:147" s="390" customFormat="1" ht="15" customHeight="1" outlineLevel="2">
      <c r="A75" s="385"/>
      <c r="B75"/>
      <c r="C75"/>
      <c r="D75"/>
      <c r="E75"/>
      <c r="F75"/>
      <c r="G75"/>
      <c r="H75" s="386"/>
      <c r="I75" s="378" t="s">
        <v>1613</v>
      </c>
      <c r="J75" s="386"/>
      <c r="K75" s="386"/>
      <c r="L75" s="386"/>
      <c r="M75" s="388"/>
      <c r="N75" s="386"/>
      <c r="O75" s="386"/>
      <c r="P75" s="386"/>
      <c r="Q75" s="388"/>
      <c r="R75" s="386"/>
      <c r="S75" s="386"/>
      <c r="T75" s="386"/>
      <c r="U75" s="388"/>
      <c r="V75" s="386"/>
      <c r="W75" s="386"/>
      <c r="X75" s="386"/>
      <c r="Y75" s="388"/>
      <c r="Z75" s="386"/>
      <c r="AA75" s="386"/>
      <c r="AB75" s="386"/>
      <c r="AC75" s="388"/>
      <c r="AD75" s="386"/>
      <c r="AE75" s="386"/>
      <c r="AF75" s="386"/>
      <c r="AG75" s="388"/>
      <c r="AH75" s="386"/>
      <c r="AI75" s="386"/>
      <c r="AJ75" s="386"/>
      <c r="AK75" s="388"/>
      <c r="AL75" s="386"/>
      <c r="AM75" s="386"/>
      <c r="AN75" s="386"/>
      <c r="AO75" s="388"/>
      <c r="AP75" s="386"/>
      <c r="AQ75" s="386"/>
      <c r="AR75" s="386"/>
      <c r="AS75" s="478"/>
      <c r="AT75" s="492">
        <v>19</v>
      </c>
      <c r="AU75" s="492">
        <v>22</v>
      </c>
      <c r="AV75" s="492">
        <v>9</v>
      </c>
      <c r="AW75" s="493">
        <v>142</v>
      </c>
      <c r="AX75" s="492">
        <v>11</v>
      </c>
      <c r="AY75" s="492">
        <v>6</v>
      </c>
      <c r="AZ75" s="492">
        <v>-5</v>
      </c>
      <c r="BA75" s="493">
        <v>38</v>
      </c>
      <c r="BB75" s="492">
        <v>5</v>
      </c>
      <c r="BC75" s="492">
        <v>4</v>
      </c>
      <c r="BD75" s="492">
        <v>5</v>
      </c>
      <c r="BE75" s="493">
        <v>1</v>
      </c>
      <c r="BF75" s="492">
        <v>2</v>
      </c>
      <c r="BG75" s="492">
        <v>1</v>
      </c>
      <c r="BH75" s="492">
        <v>2</v>
      </c>
      <c r="BI75" s="493">
        <v>14</v>
      </c>
      <c r="BJ75" s="492">
        <v>2</v>
      </c>
      <c r="BK75" s="492">
        <v>2</v>
      </c>
      <c r="BL75" s="492">
        <v>2</v>
      </c>
      <c r="BM75" s="493">
        <v>9</v>
      </c>
      <c r="BN75" s="401">
        <v>1</v>
      </c>
      <c r="BO75" s="401">
        <v>1</v>
      </c>
      <c r="BP75" s="401">
        <v>1</v>
      </c>
      <c r="BQ75" s="402">
        <v>5</v>
      </c>
      <c r="BR75" s="401">
        <v>1</v>
      </c>
      <c r="BS75" s="401">
        <v>1</v>
      </c>
      <c r="BT75" s="401">
        <v>1</v>
      </c>
      <c r="BU75" s="402">
        <v>5</v>
      </c>
      <c r="BV75" s="401">
        <v>82</v>
      </c>
      <c r="BW75" s="325">
        <v>203</v>
      </c>
      <c r="BX75" s="325">
        <v>211</v>
      </c>
      <c r="BY75" s="372">
        <v>212</v>
      </c>
      <c r="BZ75" s="373">
        <v>190</v>
      </c>
      <c r="CA75" s="325">
        <v>194</v>
      </c>
      <c r="CB75" s="325">
        <v>187</v>
      </c>
      <c r="CC75" s="372">
        <v>185</v>
      </c>
      <c r="CD75" s="373">
        <v>119</v>
      </c>
      <c r="CE75" s="325">
        <v>77</v>
      </c>
      <c r="CF75" s="325">
        <v>83</v>
      </c>
      <c r="CG75" s="372">
        <v>91</v>
      </c>
      <c r="CH75" s="373">
        <v>54</v>
      </c>
      <c r="CI75" s="325">
        <v>47</v>
      </c>
      <c r="CJ75" s="325">
        <v>50</v>
      </c>
      <c r="CK75" s="372">
        <v>56</v>
      </c>
      <c r="CL75" s="373">
        <v>33</v>
      </c>
      <c r="CM75" s="325">
        <v>14</v>
      </c>
      <c r="CN75" s="325">
        <v>16</v>
      </c>
      <c r="CO75" s="372">
        <v>18</v>
      </c>
      <c r="CP75" s="373">
        <v>5</v>
      </c>
      <c r="CQ75" s="325">
        <v>2</v>
      </c>
      <c r="CR75" s="325">
        <v>2</v>
      </c>
      <c r="CS75" s="372">
        <v>2</v>
      </c>
      <c r="CT75" s="373">
        <v>2</v>
      </c>
      <c r="CU75" s="325">
        <v>2</v>
      </c>
      <c r="CV75" s="325">
        <v>2</v>
      </c>
      <c r="CW75" s="372">
        <v>2</v>
      </c>
      <c r="CX75" s="325"/>
      <c r="CY75" s="325"/>
      <c r="CZ75" s="325"/>
      <c r="DA75" s="372"/>
      <c r="DB75" s="325"/>
      <c r="DC75" s="325"/>
      <c r="DD75" s="325"/>
      <c r="DE75" s="372"/>
      <c r="DF75" s="325"/>
      <c r="DG75" s="325"/>
      <c r="DH75" s="325"/>
      <c r="DI75" s="372"/>
      <c r="DJ75" s="486"/>
      <c r="DK75" s="373"/>
      <c r="DL75" s="325"/>
      <c r="DM75" s="325"/>
      <c r="DN75" s="325"/>
      <c r="DO75" s="325"/>
      <c r="DP75" s="325"/>
      <c r="DQ75" s="325"/>
      <c r="DR75" s="325"/>
      <c r="DS75" s="401"/>
      <c r="DT75" s="401">
        <v>141</v>
      </c>
      <c r="DU75" s="401">
        <v>50</v>
      </c>
      <c r="DV75" s="325">
        <v>15</v>
      </c>
      <c r="DW75" s="325">
        <v>19</v>
      </c>
      <c r="DX75" s="325">
        <v>15</v>
      </c>
      <c r="DY75" s="325">
        <v>8</v>
      </c>
      <c r="DZ75" s="325">
        <v>8</v>
      </c>
      <c r="EA75" s="325">
        <v>708</v>
      </c>
      <c r="EB75" s="325">
        <v>756</v>
      </c>
      <c r="EC75" s="325">
        <v>370</v>
      </c>
      <c r="ED75" s="325">
        <v>207</v>
      </c>
      <c r="EE75" s="325">
        <v>81</v>
      </c>
      <c r="EF75" s="325">
        <v>11</v>
      </c>
      <c r="EG75" s="325">
        <v>8</v>
      </c>
      <c r="EH75" s="325">
        <v>0</v>
      </c>
      <c r="EI75" s="325">
        <v>0</v>
      </c>
      <c r="EJ75" s="325">
        <v>0</v>
      </c>
      <c r="EK75" s="325">
        <v>0</v>
      </c>
      <c r="EL75" s="325">
        <v>0</v>
      </c>
      <c r="EM75" s="325">
        <v>0</v>
      </c>
      <c r="EN75" s="325">
        <v>0</v>
      </c>
      <c r="EO75" s="325">
        <v>0</v>
      </c>
      <c r="EP75" s="389"/>
      <c r="EQ75" s="386"/>
    </row>
    <row r="76" spans="1:147" s="390" customFormat="1" ht="15" customHeight="1" outlineLevel="2">
      <c r="A76" s="385"/>
      <c r="B76"/>
      <c r="C76"/>
      <c r="D76"/>
      <c r="E76"/>
      <c r="F76"/>
      <c r="G76"/>
      <c r="H76" s="386"/>
      <c r="I76" s="378" t="s">
        <v>1606</v>
      </c>
      <c r="J76" s="386"/>
      <c r="K76" s="386"/>
      <c r="L76" s="386"/>
      <c r="M76" s="388"/>
      <c r="N76" s="386"/>
      <c r="O76" s="386"/>
      <c r="P76" s="386"/>
      <c r="Q76" s="388"/>
      <c r="R76" s="386"/>
      <c r="S76" s="386"/>
      <c r="T76" s="386"/>
      <c r="U76" s="388"/>
      <c r="V76" s="386"/>
      <c r="W76" s="386"/>
      <c r="X76" s="386"/>
      <c r="Y76" s="388"/>
      <c r="Z76" s="386"/>
      <c r="AA76" s="386"/>
      <c r="AB76" s="386"/>
      <c r="AC76" s="388"/>
      <c r="AD76" s="386"/>
      <c r="AE76" s="386"/>
      <c r="AF76" s="386"/>
      <c r="AG76" s="388"/>
      <c r="AH76" s="386"/>
      <c r="AI76" s="386"/>
      <c r="AJ76" s="386"/>
      <c r="AK76" s="388"/>
      <c r="AL76" s="386"/>
      <c r="AM76" s="386"/>
      <c r="AN76" s="386"/>
      <c r="AO76" s="388"/>
      <c r="AP76" s="386"/>
      <c r="AQ76" s="386"/>
      <c r="AR76" s="386"/>
      <c r="AS76" s="478"/>
      <c r="AT76" s="492">
        <v>0</v>
      </c>
      <c r="AU76" s="492">
        <v>0</v>
      </c>
      <c r="AV76" s="492">
        <v>0</v>
      </c>
      <c r="AW76" s="493">
        <v>0</v>
      </c>
      <c r="AX76" s="492">
        <v>0</v>
      </c>
      <c r="AY76" s="492">
        <v>0</v>
      </c>
      <c r="AZ76" s="492">
        <v>0</v>
      </c>
      <c r="BA76" s="493">
        <v>0</v>
      </c>
      <c r="BB76" s="492">
        <v>14</v>
      </c>
      <c r="BC76" s="492">
        <v>2</v>
      </c>
      <c r="BD76" s="492">
        <v>2</v>
      </c>
      <c r="BE76" s="493">
        <v>31</v>
      </c>
      <c r="BF76" s="492">
        <v>0</v>
      </c>
      <c r="BG76" s="492">
        <v>0</v>
      </c>
      <c r="BH76" s="492">
        <v>0</v>
      </c>
      <c r="BI76" s="493">
        <v>0</v>
      </c>
      <c r="BJ76" s="492">
        <v>0</v>
      </c>
      <c r="BK76" s="492">
        <v>0</v>
      </c>
      <c r="BL76" s="492">
        <v>39</v>
      </c>
      <c r="BM76" s="493">
        <v>14</v>
      </c>
      <c r="BN76" s="401">
        <v>0</v>
      </c>
      <c r="BO76" s="401">
        <v>0</v>
      </c>
      <c r="BP76" s="401">
        <v>48</v>
      </c>
      <c r="BQ76" s="402">
        <v>-36</v>
      </c>
      <c r="BR76" s="401">
        <v>0</v>
      </c>
      <c r="BS76" s="401">
        <v>0</v>
      </c>
      <c r="BT76" s="401">
        <v>0</v>
      </c>
      <c r="BU76" s="402">
        <v>5</v>
      </c>
      <c r="BV76" s="401">
        <v>0</v>
      </c>
      <c r="BW76" s="325">
        <v>0</v>
      </c>
      <c r="BX76" s="325">
        <v>0</v>
      </c>
      <c r="BY76" s="372">
        <v>0</v>
      </c>
      <c r="BZ76" s="373">
        <v>0</v>
      </c>
      <c r="CA76" s="325">
        <v>0</v>
      </c>
      <c r="CB76" s="325">
        <v>0</v>
      </c>
      <c r="CC76" s="372">
        <v>0</v>
      </c>
      <c r="CD76" s="373">
        <v>0</v>
      </c>
      <c r="CE76" s="325">
        <v>0</v>
      </c>
      <c r="CF76" s="325">
        <v>0</v>
      </c>
      <c r="CG76" s="372">
        <v>0</v>
      </c>
      <c r="CH76" s="373">
        <v>0</v>
      </c>
      <c r="CI76" s="325">
        <v>0</v>
      </c>
      <c r="CJ76" s="325">
        <v>0</v>
      </c>
      <c r="CK76" s="372">
        <v>0</v>
      </c>
      <c r="CL76" s="373">
        <v>0</v>
      </c>
      <c r="CM76" s="325">
        <v>0</v>
      </c>
      <c r="CN76" s="325">
        <v>0</v>
      </c>
      <c r="CO76" s="372">
        <v>0</v>
      </c>
      <c r="CP76" s="373">
        <v>0</v>
      </c>
      <c r="CQ76" s="325">
        <v>0</v>
      </c>
      <c r="CR76" s="325">
        <v>0</v>
      </c>
      <c r="CS76" s="372">
        <v>0</v>
      </c>
      <c r="CT76" s="373">
        <v>0</v>
      </c>
      <c r="CU76" s="325">
        <v>0</v>
      </c>
      <c r="CV76" s="325">
        <v>0</v>
      </c>
      <c r="CW76" s="372">
        <v>0</v>
      </c>
      <c r="CX76" s="325"/>
      <c r="CY76" s="325"/>
      <c r="CZ76" s="325"/>
      <c r="DA76" s="372"/>
      <c r="DB76" s="325"/>
      <c r="DC76" s="325"/>
      <c r="DD76" s="325"/>
      <c r="DE76" s="372"/>
      <c r="DF76" s="325"/>
      <c r="DG76" s="325"/>
      <c r="DH76" s="325"/>
      <c r="DI76" s="372"/>
      <c r="DJ76" s="486"/>
      <c r="DK76" s="373"/>
      <c r="DL76" s="325"/>
      <c r="DM76" s="325"/>
      <c r="DN76" s="325"/>
      <c r="DO76" s="325"/>
      <c r="DP76" s="325"/>
      <c r="DQ76" s="325"/>
      <c r="DR76" s="325"/>
      <c r="DS76" s="401"/>
      <c r="DT76" s="401">
        <v>0</v>
      </c>
      <c r="DU76" s="401">
        <v>0</v>
      </c>
      <c r="DV76" s="325">
        <v>49</v>
      </c>
      <c r="DW76" s="325">
        <v>0</v>
      </c>
      <c r="DX76" s="325">
        <v>53</v>
      </c>
      <c r="DY76" s="325">
        <v>12</v>
      </c>
      <c r="DZ76" s="325">
        <v>5</v>
      </c>
      <c r="EA76" s="325">
        <v>0</v>
      </c>
      <c r="EB76" s="325">
        <v>0</v>
      </c>
      <c r="EC76" s="325">
        <v>0</v>
      </c>
      <c r="ED76" s="325">
        <v>0</v>
      </c>
      <c r="EE76" s="325">
        <v>0</v>
      </c>
      <c r="EF76" s="325">
        <v>0</v>
      </c>
      <c r="EG76" s="325">
        <v>0</v>
      </c>
      <c r="EH76" s="325">
        <v>0</v>
      </c>
      <c r="EI76" s="325">
        <v>0</v>
      </c>
      <c r="EJ76" s="325">
        <v>0</v>
      </c>
      <c r="EK76" s="325">
        <v>0</v>
      </c>
      <c r="EL76" s="325">
        <v>0</v>
      </c>
      <c r="EM76" s="325">
        <v>0</v>
      </c>
      <c r="EN76" s="325">
        <v>0</v>
      </c>
      <c r="EO76" s="325">
        <v>0</v>
      </c>
      <c r="EP76" s="389"/>
      <c r="EQ76" s="386"/>
    </row>
    <row r="77" spans="1:147" s="390" customFormat="1" ht="15" customHeight="1" outlineLevel="2">
      <c r="A77" s="385"/>
      <c r="B77"/>
      <c r="C77"/>
      <c r="D77"/>
      <c r="E77"/>
      <c r="F77"/>
      <c r="G77"/>
      <c r="H77" s="386"/>
      <c r="I77" s="378" t="s">
        <v>1614</v>
      </c>
      <c r="J77" s="386"/>
      <c r="K77" s="386"/>
      <c r="L77" s="386"/>
      <c r="M77" s="388"/>
      <c r="N77" s="386"/>
      <c r="O77" s="386"/>
      <c r="P77" s="386"/>
      <c r="Q77" s="388"/>
      <c r="R77" s="386"/>
      <c r="S77" s="386"/>
      <c r="T77" s="386"/>
      <c r="U77" s="388"/>
      <c r="V77" s="386"/>
      <c r="W77" s="386"/>
      <c r="X77" s="386"/>
      <c r="Y77" s="388"/>
      <c r="Z77" s="386"/>
      <c r="AA77" s="386"/>
      <c r="AB77" s="386"/>
      <c r="AC77" s="388"/>
      <c r="AD77" s="386"/>
      <c r="AE77" s="386"/>
      <c r="AF77" s="386"/>
      <c r="AG77" s="388"/>
      <c r="AH77" s="386"/>
      <c r="AI77" s="386"/>
      <c r="AJ77" s="386"/>
      <c r="AK77" s="388"/>
      <c r="AL77" s="386"/>
      <c r="AM77" s="386"/>
      <c r="AN77" s="386"/>
      <c r="AO77" s="388"/>
      <c r="AP77" s="386"/>
      <c r="AQ77" s="386"/>
      <c r="AR77" s="386"/>
      <c r="AS77" s="478"/>
      <c r="AT77" s="492">
        <v>0</v>
      </c>
      <c r="AU77" s="492">
        <v>0</v>
      </c>
      <c r="AV77" s="492">
        <v>0</v>
      </c>
      <c r="AW77" s="493">
        <v>409</v>
      </c>
      <c r="AX77" s="492">
        <v>0</v>
      </c>
      <c r="AY77" s="492">
        <v>0</v>
      </c>
      <c r="AZ77" s="492">
        <v>0</v>
      </c>
      <c r="BA77" s="493">
        <v>198</v>
      </c>
      <c r="BB77" s="492">
        <v>0</v>
      </c>
      <c r="BC77" s="492">
        <v>0</v>
      </c>
      <c r="BD77" s="492">
        <v>0</v>
      </c>
      <c r="BE77" s="493">
        <v>12</v>
      </c>
      <c r="BF77" s="492">
        <v>0</v>
      </c>
      <c r="BG77" s="492">
        <v>0</v>
      </c>
      <c r="BH77" s="492">
        <v>0</v>
      </c>
      <c r="BI77" s="493">
        <v>0</v>
      </c>
      <c r="BJ77" s="492">
        <v>0</v>
      </c>
      <c r="BK77" s="492">
        <v>0</v>
      </c>
      <c r="BL77" s="492">
        <v>0</v>
      </c>
      <c r="BM77" s="493">
        <v>0</v>
      </c>
      <c r="BN77" s="401">
        <v>0</v>
      </c>
      <c r="BO77" s="401">
        <v>0</v>
      </c>
      <c r="BP77" s="401">
        <v>0</v>
      </c>
      <c r="BQ77" s="402">
        <v>0</v>
      </c>
      <c r="BR77" s="401">
        <v>0</v>
      </c>
      <c r="BS77" s="401">
        <v>0</v>
      </c>
      <c r="BT77" s="401">
        <v>0</v>
      </c>
      <c r="BU77" s="485">
        <v>0</v>
      </c>
      <c r="BV77" s="401">
        <v>0</v>
      </c>
      <c r="BW77" s="325">
        <v>0</v>
      </c>
      <c r="BX77" s="325">
        <v>0</v>
      </c>
      <c r="BY77" s="372">
        <v>0</v>
      </c>
      <c r="BZ77" s="373">
        <v>0</v>
      </c>
      <c r="CA77" s="325">
        <v>0</v>
      </c>
      <c r="CB77" s="325">
        <v>0</v>
      </c>
      <c r="CC77" s="372">
        <v>0</v>
      </c>
      <c r="CD77" s="373">
        <v>0</v>
      </c>
      <c r="CE77" s="325">
        <v>0</v>
      </c>
      <c r="CF77" s="325">
        <v>0</v>
      </c>
      <c r="CG77" s="372">
        <v>0</v>
      </c>
      <c r="CH77" s="373">
        <v>0</v>
      </c>
      <c r="CI77" s="325">
        <v>0</v>
      </c>
      <c r="CJ77" s="325">
        <v>0</v>
      </c>
      <c r="CK77" s="372">
        <v>0</v>
      </c>
      <c r="CL77" s="373">
        <v>0</v>
      </c>
      <c r="CM77" s="325">
        <v>0</v>
      </c>
      <c r="CN77" s="325">
        <v>0</v>
      </c>
      <c r="CO77" s="372">
        <v>0</v>
      </c>
      <c r="CP77" s="373">
        <v>0</v>
      </c>
      <c r="CQ77" s="325">
        <v>0</v>
      </c>
      <c r="CR77" s="325">
        <v>0</v>
      </c>
      <c r="CS77" s="372">
        <v>0</v>
      </c>
      <c r="CT77" s="373">
        <v>0</v>
      </c>
      <c r="CU77" s="325">
        <v>0</v>
      </c>
      <c r="CV77" s="325">
        <v>0</v>
      </c>
      <c r="CW77" s="372">
        <v>0</v>
      </c>
      <c r="CX77" s="325"/>
      <c r="CY77" s="325"/>
      <c r="CZ77" s="325"/>
      <c r="DA77" s="372"/>
      <c r="DB77" s="325"/>
      <c r="DC77" s="325"/>
      <c r="DD77" s="325"/>
      <c r="DE77" s="372"/>
      <c r="DF77" s="325"/>
      <c r="DG77" s="325"/>
      <c r="DH77" s="325"/>
      <c r="DI77" s="372"/>
      <c r="DJ77" s="486"/>
      <c r="DK77" s="373"/>
      <c r="DL77" s="325"/>
      <c r="DM77" s="325"/>
      <c r="DN77" s="325"/>
      <c r="DO77" s="325"/>
      <c r="DP77" s="325"/>
      <c r="DQ77" s="325"/>
      <c r="DR77" s="325"/>
      <c r="DS77" s="401"/>
      <c r="DT77" s="401">
        <v>249</v>
      </c>
      <c r="DU77" s="401">
        <v>198</v>
      </c>
      <c r="DV77" s="325">
        <v>12</v>
      </c>
      <c r="DW77" s="325">
        <v>0</v>
      </c>
      <c r="DX77" s="325">
        <v>0</v>
      </c>
      <c r="DY77" s="325">
        <v>0</v>
      </c>
      <c r="DZ77" s="325">
        <v>0</v>
      </c>
      <c r="EA77" s="325">
        <v>0</v>
      </c>
      <c r="EB77" s="325">
        <v>0</v>
      </c>
      <c r="EC77" s="325">
        <v>0</v>
      </c>
      <c r="ED77" s="325">
        <v>0</v>
      </c>
      <c r="EE77" s="325">
        <v>0</v>
      </c>
      <c r="EF77" s="325">
        <v>0</v>
      </c>
      <c r="EG77" s="325">
        <v>0</v>
      </c>
      <c r="EH77" s="325">
        <v>0</v>
      </c>
      <c r="EI77" s="325">
        <v>0</v>
      </c>
      <c r="EJ77" s="325">
        <v>0</v>
      </c>
      <c r="EK77" s="325">
        <v>0</v>
      </c>
      <c r="EL77" s="325">
        <v>0</v>
      </c>
      <c r="EM77" s="325">
        <v>0</v>
      </c>
      <c r="EN77" s="325">
        <v>0</v>
      </c>
      <c r="EO77" s="325">
        <v>0</v>
      </c>
      <c r="EP77" s="389"/>
      <c r="EQ77" s="386"/>
    </row>
    <row r="78" spans="1:147" s="390" customFormat="1" ht="15" customHeight="1" outlineLevel="2">
      <c r="A78" s="385"/>
      <c r="B78"/>
      <c r="C78"/>
      <c r="D78"/>
      <c r="E78"/>
      <c r="F78"/>
      <c r="G78"/>
      <c r="H78" s="386"/>
      <c r="I78" s="378" t="s">
        <v>1615</v>
      </c>
      <c r="J78" s="386"/>
      <c r="K78" s="386"/>
      <c r="L78" s="386"/>
      <c r="M78" s="388"/>
      <c r="N78" s="386"/>
      <c r="O78" s="386"/>
      <c r="P78" s="386"/>
      <c r="Q78" s="388"/>
      <c r="R78" s="386"/>
      <c r="S78" s="386"/>
      <c r="T78" s="386"/>
      <c r="U78" s="388"/>
      <c r="V78" s="386"/>
      <c r="W78" s="386"/>
      <c r="X78" s="386"/>
      <c r="Y78" s="388"/>
      <c r="Z78" s="386"/>
      <c r="AA78" s="386"/>
      <c r="AB78" s="386"/>
      <c r="AC78" s="388"/>
      <c r="AD78" s="386"/>
      <c r="AE78" s="386"/>
      <c r="AF78" s="386"/>
      <c r="AG78" s="388"/>
      <c r="AH78" s="386"/>
      <c r="AI78" s="386"/>
      <c r="AJ78" s="386"/>
      <c r="AK78" s="388"/>
      <c r="AL78" s="386"/>
      <c r="AM78" s="386"/>
      <c r="AN78" s="386"/>
      <c r="AO78" s="388"/>
      <c r="AP78" s="386"/>
      <c r="AQ78" s="386"/>
      <c r="AR78" s="386"/>
      <c r="AS78" s="478"/>
      <c r="AT78" s="492">
        <v>20</v>
      </c>
      <c r="AU78" s="492">
        <v>13</v>
      </c>
      <c r="AV78" s="492">
        <v>3</v>
      </c>
      <c r="AW78" s="493">
        <v>-6</v>
      </c>
      <c r="AX78" s="492">
        <v>2</v>
      </c>
      <c r="AY78" s="492">
        <v>0</v>
      </c>
      <c r="AZ78" s="492">
        <v>0</v>
      </c>
      <c r="BA78" s="493">
        <v>0</v>
      </c>
      <c r="BB78" s="492">
        <v>0</v>
      </c>
      <c r="BC78" s="492">
        <v>0</v>
      </c>
      <c r="BD78" s="492">
        <v>0</v>
      </c>
      <c r="BE78" s="493">
        <v>0</v>
      </c>
      <c r="BF78" s="492">
        <v>0</v>
      </c>
      <c r="BG78" s="492">
        <v>0</v>
      </c>
      <c r="BH78" s="492">
        <v>0</v>
      </c>
      <c r="BI78" s="493">
        <v>0</v>
      </c>
      <c r="BJ78" s="492">
        <v>0</v>
      </c>
      <c r="BK78" s="492">
        <v>0</v>
      </c>
      <c r="BL78" s="492">
        <v>0</v>
      </c>
      <c r="BM78" s="493">
        <v>0</v>
      </c>
      <c r="BN78" s="401">
        <v>0</v>
      </c>
      <c r="BO78" s="401">
        <v>0</v>
      </c>
      <c r="BP78" s="401">
        <v>0</v>
      </c>
      <c r="BQ78" s="402">
        <v>0</v>
      </c>
      <c r="BR78" s="401">
        <v>0</v>
      </c>
      <c r="BS78" s="401">
        <v>0</v>
      </c>
      <c r="BT78" s="401">
        <v>0</v>
      </c>
      <c r="BU78" s="485">
        <v>0</v>
      </c>
      <c r="BV78" s="401">
        <v>-48</v>
      </c>
      <c r="BW78" s="403">
        <v>-54</v>
      </c>
      <c r="BX78" s="403">
        <v>-72</v>
      </c>
      <c r="BY78" s="436">
        <v>-10</v>
      </c>
      <c r="BZ78" s="437">
        <v>-103</v>
      </c>
      <c r="CA78" s="403">
        <v>-58</v>
      </c>
      <c r="CB78" s="403">
        <v>-64</v>
      </c>
      <c r="CC78" s="436">
        <v>716</v>
      </c>
      <c r="CD78" s="437">
        <v>-68</v>
      </c>
      <c r="CE78" s="403">
        <v>-62</v>
      </c>
      <c r="CF78" s="403">
        <v>-73</v>
      </c>
      <c r="CG78" s="436">
        <v>-88</v>
      </c>
      <c r="CH78" s="437">
        <v>96</v>
      </c>
      <c r="CI78" s="403">
        <v>-4</v>
      </c>
      <c r="CJ78" s="403">
        <v>14</v>
      </c>
      <c r="CK78" s="436">
        <v>-138</v>
      </c>
      <c r="CL78" s="437">
        <v>10</v>
      </c>
      <c r="CM78" s="403">
        <v>-5</v>
      </c>
      <c r="CN78" s="403">
        <v>10</v>
      </c>
      <c r="CO78" s="436">
        <v>-16</v>
      </c>
      <c r="CP78" s="437">
        <v>-7</v>
      </c>
      <c r="CQ78" s="403">
        <v>20</v>
      </c>
      <c r="CR78" s="403">
        <v>-6</v>
      </c>
      <c r="CS78" s="372">
        <v>-5.041802504835573</v>
      </c>
      <c r="CT78" s="373">
        <v>-32.11</v>
      </c>
      <c r="CU78" s="325">
        <v>-9.4299999999999926</v>
      </c>
      <c r="CV78" s="325">
        <v>-13.840000000000032</v>
      </c>
      <c r="CW78" s="372">
        <v>-18.04000000000002</v>
      </c>
      <c r="CX78" s="325"/>
      <c r="CY78" s="325"/>
      <c r="CZ78" s="325"/>
      <c r="DA78" s="372"/>
      <c r="DB78" s="325"/>
      <c r="DC78" s="325"/>
      <c r="DD78" s="325"/>
      <c r="DE78" s="372"/>
      <c r="DF78" s="325"/>
      <c r="DG78" s="325"/>
      <c r="DH78" s="325"/>
      <c r="DI78" s="372"/>
      <c r="DJ78" s="486"/>
      <c r="DK78" s="373"/>
      <c r="DL78" s="325"/>
      <c r="DM78" s="325"/>
      <c r="DN78" s="325"/>
      <c r="DO78" s="325"/>
      <c r="DP78" s="325"/>
      <c r="DQ78" s="325"/>
      <c r="DR78" s="325"/>
      <c r="DS78" s="376"/>
      <c r="DT78" s="376">
        <v>32</v>
      </c>
      <c r="DU78" s="376">
        <v>2</v>
      </c>
      <c r="DV78" s="325">
        <v>0</v>
      </c>
      <c r="DW78" s="325">
        <v>0</v>
      </c>
      <c r="DX78" s="325">
        <v>0</v>
      </c>
      <c r="DY78" s="325">
        <v>0</v>
      </c>
      <c r="DZ78" s="325">
        <v>0</v>
      </c>
      <c r="EA78" s="325">
        <v>-184</v>
      </c>
      <c r="EB78" s="325">
        <v>491</v>
      </c>
      <c r="EC78" s="325">
        <v>-291</v>
      </c>
      <c r="ED78" s="325">
        <v>-32</v>
      </c>
      <c r="EE78" s="325">
        <v>-1</v>
      </c>
      <c r="EF78" s="325">
        <v>1.958197495164427</v>
      </c>
      <c r="EG78" s="325">
        <v>-73.420000000000044</v>
      </c>
      <c r="EH78" s="325">
        <v>-74.69279999999992</v>
      </c>
      <c r="EI78" s="325">
        <v>-77.680512000000022</v>
      </c>
      <c r="EJ78" s="506">
        <v>-80.787732480000045</v>
      </c>
      <c r="EK78" s="506">
        <v>0</v>
      </c>
      <c r="EL78" s="506">
        <v>-2.3410276101139552E-2</v>
      </c>
      <c r="EM78" s="506">
        <v>0</v>
      </c>
      <c r="EN78" s="506">
        <v>0</v>
      </c>
      <c r="EO78" s="506">
        <v>0</v>
      </c>
      <c r="EP78" s="389"/>
      <c r="EQ78" s="386"/>
    </row>
    <row r="79" spans="1:147" s="377" customFormat="1" ht="15" customHeight="1" outlineLevel="2">
      <c r="A79" s="368"/>
      <c r="B79"/>
      <c r="C79"/>
      <c r="D79"/>
      <c r="E79"/>
      <c r="F79"/>
      <c r="G79"/>
      <c r="H79" s="369"/>
      <c r="I79" s="379" t="s">
        <v>1616</v>
      </c>
      <c r="J79" s="369"/>
      <c r="K79" s="369"/>
      <c r="L79" s="369"/>
      <c r="M79" s="371"/>
      <c r="N79" s="369"/>
      <c r="O79" s="369"/>
      <c r="P79" s="369"/>
      <c r="Q79" s="371"/>
      <c r="R79" s="369"/>
      <c r="S79" s="369"/>
      <c r="T79" s="369"/>
      <c r="U79" s="371"/>
      <c r="V79" s="369"/>
      <c r="W79" s="369"/>
      <c r="X79" s="369"/>
      <c r="Y79" s="371"/>
      <c r="Z79" s="369"/>
      <c r="AA79" s="369"/>
      <c r="AB79" s="369"/>
      <c r="AC79" s="371"/>
      <c r="AD79" s="369"/>
      <c r="AE79" s="369"/>
      <c r="AF79" s="369"/>
      <c r="AG79" s="371"/>
      <c r="AH79" s="369"/>
      <c r="AI79" s="369"/>
      <c r="AJ79" s="369"/>
      <c r="AK79" s="371"/>
      <c r="AL79" s="369"/>
      <c r="AM79" s="369"/>
      <c r="AN79" s="369"/>
      <c r="AO79" s="371"/>
      <c r="AP79" s="369"/>
      <c r="AQ79" s="369"/>
      <c r="AR79" s="369"/>
      <c r="AS79" s="488"/>
      <c r="AT79" s="497">
        <v>245</v>
      </c>
      <c r="AU79" s="498">
        <v>257</v>
      </c>
      <c r="AV79" s="498">
        <v>50</v>
      </c>
      <c r="AW79" s="499">
        <v>306</v>
      </c>
      <c r="AX79" s="498">
        <v>424</v>
      </c>
      <c r="AY79" s="498">
        <v>237</v>
      </c>
      <c r="AZ79" s="498">
        <v>67</v>
      </c>
      <c r="BA79" s="499">
        <v>27</v>
      </c>
      <c r="BB79" s="498">
        <v>537</v>
      </c>
      <c r="BC79" s="498">
        <v>356</v>
      </c>
      <c r="BD79" s="498">
        <v>168</v>
      </c>
      <c r="BE79" s="500">
        <v>176</v>
      </c>
      <c r="BF79" s="498">
        <v>402</v>
      </c>
      <c r="BG79" s="498">
        <v>207</v>
      </c>
      <c r="BH79" s="498">
        <v>251</v>
      </c>
      <c r="BI79" s="500">
        <v>406</v>
      </c>
      <c r="BJ79" s="498">
        <v>476</v>
      </c>
      <c r="BK79" s="498">
        <v>341</v>
      </c>
      <c r="BL79" s="498">
        <v>113</v>
      </c>
      <c r="BM79" s="500">
        <v>220</v>
      </c>
      <c r="BN79" s="381">
        <v>312</v>
      </c>
      <c r="BO79" s="381">
        <v>219</v>
      </c>
      <c r="BP79" s="381">
        <v>40</v>
      </c>
      <c r="BQ79" s="489">
        <v>349</v>
      </c>
      <c r="BR79" s="381">
        <v>411</v>
      </c>
      <c r="BS79" s="381">
        <v>229</v>
      </c>
      <c r="BT79" s="381">
        <v>147</v>
      </c>
      <c r="BU79" s="382">
        <v>184</v>
      </c>
      <c r="BV79" s="381">
        <v>441</v>
      </c>
      <c r="BW79" s="381">
        <v>341</v>
      </c>
      <c r="BX79" s="381">
        <v>370</v>
      </c>
      <c r="BY79" s="382">
        <v>496</v>
      </c>
      <c r="BZ79" s="380">
        <v>546</v>
      </c>
      <c r="CA79" s="381">
        <v>417</v>
      </c>
      <c r="CB79" s="381">
        <v>358</v>
      </c>
      <c r="CC79" s="382">
        <v>375</v>
      </c>
      <c r="CD79" s="380">
        <v>605</v>
      </c>
      <c r="CE79" s="381">
        <v>473</v>
      </c>
      <c r="CF79" s="381">
        <v>325</v>
      </c>
      <c r="CG79" s="382">
        <v>697</v>
      </c>
      <c r="CH79" s="380">
        <v>603</v>
      </c>
      <c r="CI79" s="381">
        <v>408</v>
      </c>
      <c r="CJ79" s="381">
        <v>295</v>
      </c>
      <c r="CK79" s="382">
        <v>482</v>
      </c>
      <c r="CL79" s="380">
        <v>591</v>
      </c>
      <c r="CM79" s="381">
        <v>631</v>
      </c>
      <c r="CN79" s="381">
        <v>683</v>
      </c>
      <c r="CO79" s="382">
        <v>590</v>
      </c>
      <c r="CP79" s="380">
        <v>768</v>
      </c>
      <c r="CQ79" s="381">
        <v>941</v>
      </c>
      <c r="CR79" s="381">
        <v>700</v>
      </c>
      <c r="CS79" s="382">
        <v>1041.4557996131566</v>
      </c>
      <c r="CT79" s="380">
        <v>433.48206261218957</v>
      </c>
      <c r="CU79" s="381">
        <v>396.25006528527513</v>
      </c>
      <c r="CV79" s="381">
        <v>658.2180167975165</v>
      </c>
      <c r="CW79" s="382">
        <v>1232.840459127053</v>
      </c>
      <c r="CX79" s="448"/>
      <c r="CY79" s="448"/>
      <c r="CZ79" s="448"/>
      <c r="DA79" s="449"/>
      <c r="DB79" s="448"/>
      <c r="DC79" s="448"/>
      <c r="DD79" s="448"/>
      <c r="DE79" s="449"/>
      <c r="DF79" s="448"/>
      <c r="DG79" s="448"/>
      <c r="DH79" s="448"/>
      <c r="DI79" s="449"/>
      <c r="DJ79" s="491"/>
      <c r="DK79" s="450"/>
      <c r="DL79" s="448"/>
      <c r="DM79" s="448"/>
      <c r="DN79" s="448"/>
      <c r="DO79" s="448"/>
      <c r="DP79" s="448"/>
      <c r="DQ79" s="448"/>
      <c r="DR79" s="448"/>
      <c r="DS79" s="383">
        <v>-107</v>
      </c>
      <c r="DT79" s="383">
        <v>631</v>
      </c>
      <c r="DU79" s="383">
        <v>755</v>
      </c>
      <c r="DV79" s="381">
        <v>1237</v>
      </c>
      <c r="DW79" s="381">
        <v>1266</v>
      </c>
      <c r="DX79" s="381">
        <v>1150</v>
      </c>
      <c r="DY79" s="381">
        <v>920</v>
      </c>
      <c r="DZ79" s="381">
        <v>971</v>
      </c>
      <c r="EA79" s="381">
        <v>1648</v>
      </c>
      <c r="EB79" s="381">
        <v>1696</v>
      </c>
      <c r="EC79" s="381">
        <v>2100</v>
      </c>
      <c r="ED79" s="381">
        <v>1788</v>
      </c>
      <c r="EE79" s="381">
        <v>2495</v>
      </c>
      <c r="EF79" s="381">
        <v>3450.4557996131575</v>
      </c>
      <c r="EG79" s="381">
        <v>2720.7906038220349</v>
      </c>
      <c r="EH79" s="381">
        <v>3408.4313610367949</v>
      </c>
      <c r="EI79" s="381">
        <v>3214.4976509560997</v>
      </c>
      <c r="EJ79" s="381">
        <v>2952.4632278899235</v>
      </c>
      <c r="EK79" s="381">
        <v>4186.9986104951104</v>
      </c>
      <c r="EL79" s="381">
        <v>3925.6660432372341</v>
      </c>
      <c r="EM79" s="381">
        <v>4010.6444644476342</v>
      </c>
      <c r="EN79" s="381">
        <v>3932.8028765463814</v>
      </c>
      <c r="EO79" s="381">
        <v>4494.1976224882164</v>
      </c>
      <c r="EP79" s="375"/>
      <c r="EQ79" s="320">
        <v>0.10170939147788061</v>
      </c>
    </row>
    <row r="80" spans="1:147" s="390" customFormat="1" ht="15" customHeight="1" outlineLevel="2">
      <c r="A80" s="385"/>
      <c r="B80"/>
      <c r="C80"/>
      <c r="D80"/>
      <c r="E80"/>
      <c r="F80"/>
      <c r="G80"/>
      <c r="H80" s="386"/>
      <c r="I80" s="378" t="s">
        <v>1608</v>
      </c>
      <c r="J80" s="386"/>
      <c r="K80" s="386"/>
      <c r="L80" s="386"/>
      <c r="M80" s="388"/>
      <c r="N80" s="386"/>
      <c r="O80" s="386"/>
      <c r="P80" s="386"/>
      <c r="Q80" s="388"/>
      <c r="R80" s="386"/>
      <c r="S80" s="386"/>
      <c r="T80" s="386"/>
      <c r="U80" s="388"/>
      <c r="V80" s="386"/>
      <c r="W80" s="386"/>
      <c r="X80" s="386"/>
      <c r="Y80" s="388"/>
      <c r="Z80" s="386"/>
      <c r="AA80" s="386"/>
      <c r="AB80" s="386"/>
      <c r="AC80" s="388"/>
      <c r="AD80" s="386"/>
      <c r="AE80" s="386"/>
      <c r="AF80" s="386"/>
      <c r="AG80" s="388"/>
      <c r="AH80" s="386"/>
      <c r="AI80" s="386"/>
      <c r="AJ80" s="386"/>
      <c r="AK80" s="388"/>
      <c r="AL80" s="386"/>
      <c r="AM80" s="386"/>
      <c r="AN80" s="386"/>
      <c r="AO80" s="388"/>
      <c r="AP80" s="386"/>
      <c r="AQ80" s="386"/>
      <c r="AR80" s="386"/>
      <c r="AS80" s="478"/>
      <c r="AT80" s="492">
        <v>-134</v>
      </c>
      <c r="AU80" s="492">
        <v>-145</v>
      </c>
      <c r="AV80" s="492">
        <v>5</v>
      </c>
      <c r="AW80" s="493">
        <v>724</v>
      </c>
      <c r="AX80" s="492">
        <v>-308</v>
      </c>
      <c r="AY80" s="492">
        <v>-165</v>
      </c>
      <c r="AZ80" s="492">
        <v>81</v>
      </c>
      <c r="BA80" s="493">
        <v>628</v>
      </c>
      <c r="BB80" s="492">
        <v>-381</v>
      </c>
      <c r="BC80" s="492">
        <v>-238</v>
      </c>
      <c r="BD80" s="492">
        <v>-81</v>
      </c>
      <c r="BE80" s="493">
        <v>549</v>
      </c>
      <c r="BF80" s="492">
        <v>-335</v>
      </c>
      <c r="BG80" s="492">
        <v>17</v>
      </c>
      <c r="BH80" s="492">
        <v>-83</v>
      </c>
      <c r="BI80" s="493">
        <v>485</v>
      </c>
      <c r="BJ80" s="492">
        <v>-277</v>
      </c>
      <c r="BK80" s="492">
        <v>-251</v>
      </c>
      <c r="BL80" s="492">
        <v>-23</v>
      </c>
      <c r="BM80" s="493">
        <v>401</v>
      </c>
      <c r="BN80" s="401">
        <v>-171</v>
      </c>
      <c r="BO80" s="401">
        <v>-174</v>
      </c>
      <c r="BP80" s="401">
        <v>133</v>
      </c>
      <c r="BQ80" s="402">
        <v>349</v>
      </c>
      <c r="BR80" s="401">
        <v>-295</v>
      </c>
      <c r="BS80" s="401">
        <v>-136</v>
      </c>
      <c r="BT80" s="401">
        <v>11</v>
      </c>
      <c r="BU80" s="402">
        <v>438</v>
      </c>
      <c r="BV80" s="401">
        <v>-268</v>
      </c>
      <c r="BW80" s="403">
        <v>63</v>
      </c>
      <c r="BX80" s="403">
        <v>26</v>
      </c>
      <c r="BY80" s="436">
        <v>200</v>
      </c>
      <c r="BZ80" s="437">
        <v>-310</v>
      </c>
      <c r="CA80" s="403">
        <v>-86</v>
      </c>
      <c r="CB80" s="403">
        <v>100</v>
      </c>
      <c r="CC80" s="436">
        <v>347</v>
      </c>
      <c r="CD80" s="437">
        <v>-309</v>
      </c>
      <c r="CE80" s="403">
        <v>-159</v>
      </c>
      <c r="CF80" s="403">
        <v>74</v>
      </c>
      <c r="CG80" s="436">
        <v>298</v>
      </c>
      <c r="CH80" s="437">
        <v>-361</v>
      </c>
      <c r="CI80" s="403">
        <v>-115</v>
      </c>
      <c r="CJ80" s="403">
        <v>-48</v>
      </c>
      <c r="CK80" s="436">
        <v>476</v>
      </c>
      <c r="CL80" s="437">
        <v>-141</v>
      </c>
      <c r="CM80" s="403">
        <v>125</v>
      </c>
      <c r="CN80" s="403">
        <v>-130</v>
      </c>
      <c r="CO80" s="436">
        <v>353</v>
      </c>
      <c r="CP80" s="437">
        <v>-107</v>
      </c>
      <c r="CQ80" s="403">
        <v>-229</v>
      </c>
      <c r="CR80" s="403">
        <v>-133</v>
      </c>
      <c r="CS80" s="372">
        <v>-5.53</v>
      </c>
      <c r="CT80" s="373">
        <v>-0.55300000000000005</v>
      </c>
      <c r="CU80" s="325">
        <v>-0.55300000000000005</v>
      </c>
      <c r="CV80" s="325">
        <v>-0.55300000000000005</v>
      </c>
      <c r="CW80" s="372">
        <v>-0.55300000000000005</v>
      </c>
      <c r="CX80" s="325"/>
      <c r="CY80" s="325"/>
      <c r="CZ80" s="325"/>
      <c r="DA80" s="372"/>
      <c r="DB80" s="325"/>
      <c r="DC80" s="325"/>
      <c r="DD80" s="325"/>
      <c r="DE80" s="372"/>
      <c r="DF80" s="325"/>
      <c r="DG80" s="325"/>
      <c r="DH80" s="325"/>
      <c r="DI80" s="372"/>
      <c r="DJ80" s="486"/>
      <c r="DK80" s="373"/>
      <c r="DL80" s="325"/>
      <c r="DM80" s="325"/>
      <c r="DN80" s="325"/>
      <c r="DO80" s="325"/>
      <c r="DP80" s="325"/>
      <c r="DQ80" s="325"/>
      <c r="DR80" s="325"/>
      <c r="DS80" s="401"/>
      <c r="DT80" s="401">
        <v>279</v>
      </c>
      <c r="DU80" s="401">
        <v>236</v>
      </c>
      <c r="DV80" s="325">
        <v>-151</v>
      </c>
      <c r="DW80" s="325">
        <v>84</v>
      </c>
      <c r="DX80" s="325">
        <v>-150</v>
      </c>
      <c r="DY80" s="325">
        <v>137</v>
      </c>
      <c r="DZ80" s="325">
        <v>18</v>
      </c>
      <c r="EA80" s="325">
        <v>21</v>
      </c>
      <c r="EB80" s="325">
        <v>51</v>
      </c>
      <c r="EC80" s="325">
        <v>-96</v>
      </c>
      <c r="ED80" s="325">
        <v>-48</v>
      </c>
      <c r="EE80" s="325">
        <v>207</v>
      </c>
      <c r="EF80" s="325">
        <v>-474.53</v>
      </c>
      <c r="EG80" s="325">
        <v>-2.2120000000000002</v>
      </c>
      <c r="EH80" s="325">
        <v>81.01164930368347</v>
      </c>
      <c r="EI80" s="325">
        <v>-42.068491649748964</v>
      </c>
      <c r="EJ80" s="325">
        <v>-17.092489903272124</v>
      </c>
      <c r="EK80" s="325">
        <v>35.67099707674155</v>
      </c>
      <c r="EL80" s="325">
        <v>-23.318890364378557</v>
      </c>
      <c r="EM80" s="325">
        <v>6.1339151787487083</v>
      </c>
      <c r="EN80" s="325">
        <v>-3.5669064828923216</v>
      </c>
      <c r="EO80" s="325">
        <v>40.747806957196467</v>
      </c>
      <c r="EP80" s="389"/>
      <c r="EQ80" s="386"/>
    </row>
    <row r="81" spans="1:147" s="377" customFormat="1" ht="15" customHeight="1" outlineLevel="2">
      <c r="A81" s="368"/>
      <c r="B81"/>
      <c r="C81"/>
      <c r="D81"/>
      <c r="E81"/>
      <c r="F81"/>
      <c r="G81"/>
      <c r="H81" s="369"/>
      <c r="I81" s="379" t="s">
        <v>1617</v>
      </c>
      <c r="J81" s="369"/>
      <c r="K81" s="369"/>
      <c r="L81" s="369"/>
      <c r="M81" s="371"/>
      <c r="N81" s="369"/>
      <c r="O81" s="369"/>
      <c r="P81" s="369"/>
      <c r="Q81" s="371"/>
      <c r="R81" s="369"/>
      <c r="S81" s="369"/>
      <c r="T81" s="369"/>
      <c r="U81" s="371"/>
      <c r="V81" s="369"/>
      <c r="W81" s="369"/>
      <c r="X81" s="369"/>
      <c r="Y81" s="371"/>
      <c r="Z81" s="369"/>
      <c r="AA81" s="369"/>
      <c r="AB81" s="369"/>
      <c r="AC81" s="371"/>
      <c r="AD81" s="369"/>
      <c r="AE81" s="369"/>
      <c r="AF81" s="369"/>
      <c r="AG81" s="371"/>
      <c r="AH81" s="369"/>
      <c r="AI81" s="369"/>
      <c r="AJ81" s="369"/>
      <c r="AK81" s="371"/>
      <c r="AL81" s="369"/>
      <c r="AM81" s="369"/>
      <c r="AN81" s="369"/>
      <c r="AO81" s="371"/>
      <c r="AP81" s="369"/>
      <c r="AQ81" s="369"/>
      <c r="AR81" s="369"/>
      <c r="AS81" s="488"/>
      <c r="AT81" s="380">
        <v>111</v>
      </c>
      <c r="AU81" s="381">
        <v>112</v>
      </c>
      <c r="AV81" s="381">
        <v>55</v>
      </c>
      <c r="AW81" s="381">
        <v>1030</v>
      </c>
      <c r="AX81" s="380">
        <v>116</v>
      </c>
      <c r="AY81" s="381">
        <v>72</v>
      </c>
      <c r="AZ81" s="381">
        <v>148</v>
      </c>
      <c r="BA81" s="381">
        <v>655</v>
      </c>
      <c r="BB81" s="380">
        <v>156</v>
      </c>
      <c r="BC81" s="381">
        <v>118</v>
      </c>
      <c r="BD81" s="381">
        <v>87</v>
      </c>
      <c r="BE81" s="381">
        <v>725</v>
      </c>
      <c r="BF81" s="380">
        <v>67</v>
      </c>
      <c r="BG81" s="381">
        <v>224</v>
      </c>
      <c r="BH81" s="381">
        <v>168</v>
      </c>
      <c r="BI81" s="381">
        <v>891</v>
      </c>
      <c r="BJ81" s="380">
        <v>199</v>
      </c>
      <c r="BK81" s="381">
        <v>90</v>
      </c>
      <c r="BL81" s="381">
        <v>90</v>
      </c>
      <c r="BM81" s="381">
        <v>621</v>
      </c>
      <c r="BN81" s="380">
        <v>141</v>
      </c>
      <c r="BO81" s="381">
        <v>45</v>
      </c>
      <c r="BP81" s="381">
        <v>173</v>
      </c>
      <c r="BQ81" s="381">
        <v>698</v>
      </c>
      <c r="BR81" s="380">
        <v>116</v>
      </c>
      <c r="BS81" s="381">
        <v>93</v>
      </c>
      <c r="BT81" s="381">
        <v>158</v>
      </c>
      <c r="BU81" s="382">
        <v>622</v>
      </c>
      <c r="BV81" s="381">
        <v>173</v>
      </c>
      <c r="BW81" s="381">
        <v>404</v>
      </c>
      <c r="BX81" s="381">
        <v>396</v>
      </c>
      <c r="BY81" s="382">
        <v>696</v>
      </c>
      <c r="BZ81" s="380">
        <v>236</v>
      </c>
      <c r="CA81" s="381">
        <v>331</v>
      </c>
      <c r="CB81" s="381">
        <v>458</v>
      </c>
      <c r="CC81" s="382">
        <v>722</v>
      </c>
      <c r="CD81" s="380">
        <v>296</v>
      </c>
      <c r="CE81" s="381">
        <v>314</v>
      </c>
      <c r="CF81" s="381">
        <v>399</v>
      </c>
      <c r="CG81" s="382">
        <v>995</v>
      </c>
      <c r="CH81" s="380">
        <v>242</v>
      </c>
      <c r="CI81" s="381">
        <v>293</v>
      </c>
      <c r="CJ81" s="381">
        <v>247</v>
      </c>
      <c r="CK81" s="382">
        <v>958</v>
      </c>
      <c r="CL81" s="380">
        <v>450</v>
      </c>
      <c r="CM81" s="381">
        <v>756</v>
      </c>
      <c r="CN81" s="381">
        <v>553</v>
      </c>
      <c r="CO81" s="382">
        <v>943</v>
      </c>
      <c r="CP81" s="380">
        <v>661</v>
      </c>
      <c r="CQ81" s="381">
        <v>712</v>
      </c>
      <c r="CR81" s="381">
        <v>567</v>
      </c>
      <c r="CS81" s="382">
        <v>1035.9257996131566</v>
      </c>
      <c r="CT81" s="380">
        <v>432.92906261218957</v>
      </c>
      <c r="CU81" s="381">
        <v>395.69706528527513</v>
      </c>
      <c r="CV81" s="381">
        <v>657.6650167975165</v>
      </c>
      <c r="CW81" s="382">
        <v>1232.2874591270529</v>
      </c>
      <c r="CX81" s="448"/>
      <c r="CY81" s="448"/>
      <c r="CZ81" s="448"/>
      <c r="DA81" s="449"/>
      <c r="DB81" s="448"/>
      <c r="DC81" s="448"/>
      <c r="DD81" s="448"/>
      <c r="DE81" s="449"/>
      <c r="DF81" s="448"/>
      <c r="DG81" s="448"/>
      <c r="DH81" s="448"/>
      <c r="DI81" s="449"/>
      <c r="DJ81" s="491"/>
      <c r="DK81" s="450"/>
      <c r="DL81" s="448"/>
      <c r="DM81" s="448"/>
      <c r="DN81" s="448"/>
      <c r="DO81" s="448"/>
      <c r="DP81" s="448"/>
      <c r="DQ81" s="448"/>
      <c r="DR81" s="448"/>
      <c r="DS81" s="507"/>
      <c r="DT81" s="381">
        <v>910</v>
      </c>
      <c r="DU81" s="381">
        <v>991</v>
      </c>
      <c r="DV81" s="381">
        <v>1086</v>
      </c>
      <c r="DW81" s="381">
        <v>1350</v>
      </c>
      <c r="DX81" s="381">
        <v>1000</v>
      </c>
      <c r="DY81" s="381">
        <v>1057</v>
      </c>
      <c r="DZ81" s="381">
        <v>989</v>
      </c>
      <c r="EA81" s="381">
        <v>1669</v>
      </c>
      <c r="EB81" s="381">
        <v>1747</v>
      </c>
      <c r="EC81" s="381">
        <v>2004</v>
      </c>
      <c r="ED81" s="381">
        <v>1740</v>
      </c>
      <c r="EE81" s="381">
        <v>2702</v>
      </c>
      <c r="EF81" s="381">
        <v>2975.9257996131573</v>
      </c>
      <c r="EG81" s="381">
        <v>2718.5786038220349</v>
      </c>
      <c r="EH81" s="381">
        <v>3489.4430103404784</v>
      </c>
      <c r="EI81" s="381">
        <v>3172.4291593063508</v>
      </c>
      <c r="EJ81" s="381">
        <v>2935.3707379866514</v>
      </c>
      <c r="EK81" s="381">
        <v>4222.6696075718519</v>
      </c>
      <c r="EL81" s="381">
        <v>3902.3471528728555</v>
      </c>
      <c r="EM81" s="381">
        <v>4016.778379626383</v>
      </c>
      <c r="EN81" s="381">
        <v>3929.2359700634893</v>
      </c>
      <c r="EO81" s="381">
        <v>4534.9454294454126</v>
      </c>
      <c r="EP81" s="375"/>
      <c r="EQ81" s="320">
        <v>0.11730483602188424</v>
      </c>
    </row>
    <row r="82" spans="1:147" s="377" customFormat="1" ht="15" customHeight="1" outlineLevel="2">
      <c r="A82" s="368"/>
      <c r="B82"/>
      <c r="C82"/>
      <c r="D82"/>
      <c r="E82"/>
      <c r="F82"/>
      <c r="G82"/>
      <c r="H82" s="369"/>
      <c r="I82" s="379"/>
      <c r="J82" s="369"/>
      <c r="K82" s="369"/>
      <c r="L82" s="369"/>
      <c r="M82" s="371"/>
      <c r="N82" s="369"/>
      <c r="O82" s="369"/>
      <c r="P82" s="369"/>
      <c r="Q82" s="371"/>
      <c r="R82" s="369"/>
      <c r="S82" s="369"/>
      <c r="T82" s="369"/>
      <c r="U82" s="371"/>
      <c r="V82" s="369"/>
      <c r="W82" s="369"/>
      <c r="X82" s="369"/>
      <c r="Y82" s="371"/>
      <c r="Z82" s="369"/>
      <c r="AA82" s="369"/>
      <c r="AB82" s="369"/>
      <c r="AC82" s="371"/>
      <c r="AD82" s="369"/>
      <c r="AE82" s="369"/>
      <c r="AF82" s="369"/>
      <c r="AG82" s="371"/>
      <c r="AH82" s="369"/>
      <c r="AI82" s="369"/>
      <c r="AJ82" s="369"/>
      <c r="AK82" s="371"/>
      <c r="AL82" s="369"/>
      <c r="AM82" s="369"/>
      <c r="AN82" s="369"/>
      <c r="AO82" s="371"/>
      <c r="AP82" s="369"/>
      <c r="AQ82" s="369"/>
      <c r="AR82" s="369"/>
      <c r="AS82" s="488"/>
      <c r="AT82" s="448"/>
      <c r="AU82" s="448"/>
      <c r="AV82" s="448"/>
      <c r="AW82" s="448"/>
      <c r="AX82" s="448"/>
      <c r="AY82" s="448"/>
      <c r="AZ82" s="448"/>
      <c r="BA82" s="448"/>
      <c r="BB82" s="448"/>
      <c r="BC82" s="448"/>
      <c r="BD82" s="448"/>
      <c r="BE82" s="448"/>
      <c r="BF82" s="448"/>
      <c r="BG82" s="448"/>
      <c r="BH82" s="448"/>
      <c r="BI82" s="448"/>
      <c r="BJ82" s="448"/>
      <c r="BK82" s="448"/>
      <c r="BL82" s="448"/>
      <c r="BM82" s="448"/>
      <c r="BN82" s="448"/>
      <c r="BO82" s="448"/>
      <c r="BP82" s="448"/>
      <c r="BQ82" s="448"/>
      <c r="BR82" s="448"/>
      <c r="BS82" s="448"/>
      <c r="BT82" s="448"/>
      <c r="BU82" s="449"/>
      <c r="BV82" s="448"/>
      <c r="BW82" s="448"/>
      <c r="BX82" s="448"/>
      <c r="BY82" s="449"/>
      <c r="BZ82" s="450"/>
      <c r="CA82" s="448"/>
      <c r="CB82" s="448"/>
      <c r="CC82" s="449"/>
      <c r="CD82" s="450"/>
      <c r="CE82" s="448"/>
      <c r="CF82" s="448"/>
      <c r="CG82" s="449"/>
      <c r="CH82" s="450"/>
      <c r="CI82" s="448"/>
      <c r="CJ82" s="448"/>
      <c r="CK82" s="449"/>
      <c r="CL82" s="450"/>
      <c r="CM82" s="448"/>
      <c r="CN82" s="448"/>
      <c r="CO82" s="449"/>
      <c r="CP82" s="450"/>
      <c r="CQ82" s="448"/>
      <c r="CR82" s="448"/>
      <c r="CS82" s="449"/>
      <c r="CT82" s="450"/>
      <c r="CU82" s="448"/>
      <c r="CV82" s="448"/>
      <c r="CW82" s="449"/>
      <c r="CX82" s="448"/>
      <c r="CY82" s="448"/>
      <c r="CZ82" s="448"/>
      <c r="DA82" s="449"/>
      <c r="DB82" s="448"/>
      <c r="DC82" s="448"/>
      <c r="DD82" s="448"/>
      <c r="DE82" s="449"/>
      <c r="DF82" s="448"/>
      <c r="DG82" s="448"/>
      <c r="DH82" s="448"/>
      <c r="DI82" s="449"/>
      <c r="DJ82" s="491"/>
      <c r="DK82" s="450"/>
      <c r="DL82" s="448"/>
      <c r="DM82" s="448"/>
      <c r="DN82" s="448"/>
      <c r="DO82" s="448"/>
      <c r="DP82" s="448"/>
      <c r="DQ82" s="448"/>
      <c r="DR82" s="448"/>
      <c r="DS82" s="507"/>
      <c r="DT82" s="448"/>
      <c r="DU82" s="448"/>
      <c r="DV82" s="448"/>
      <c r="DW82" s="448"/>
      <c r="DX82" s="448"/>
      <c r="DY82" s="448"/>
      <c r="DZ82" s="448"/>
      <c r="EA82" s="448"/>
      <c r="EB82" s="448"/>
      <c r="EC82" s="448"/>
      <c r="ED82" s="448"/>
      <c r="EE82" s="448"/>
      <c r="EF82" s="448"/>
      <c r="EG82" s="448"/>
      <c r="EH82" s="448"/>
      <c r="EI82" s="448"/>
      <c r="EJ82" s="448"/>
      <c r="EK82" s="448"/>
      <c r="EL82" s="448"/>
      <c r="EM82" s="448"/>
      <c r="EN82" s="448"/>
      <c r="EO82" s="448"/>
      <c r="EP82" s="375"/>
      <c r="EQ82" s="320"/>
    </row>
    <row r="83" spans="1:147" s="377" customFormat="1" ht="15" customHeight="1" outlineLevel="2">
      <c r="A83" s="368"/>
      <c r="B83"/>
      <c r="C83"/>
      <c r="D83"/>
      <c r="E83"/>
      <c r="F83"/>
      <c r="G83"/>
      <c r="H83" s="369"/>
      <c r="I83" s="379" t="s">
        <v>1618</v>
      </c>
      <c r="J83" s="369"/>
      <c r="K83" s="369"/>
      <c r="L83" s="369"/>
      <c r="M83" s="371"/>
      <c r="N83" s="369"/>
      <c r="O83" s="369"/>
      <c r="P83" s="369"/>
      <c r="Q83" s="371"/>
      <c r="R83" s="369"/>
      <c r="S83" s="369"/>
      <c r="T83" s="369"/>
      <c r="U83" s="371"/>
      <c r="V83" s="369"/>
      <c r="W83" s="369"/>
      <c r="X83" s="369"/>
      <c r="Y83" s="371"/>
      <c r="Z83" s="369"/>
      <c r="AA83" s="369"/>
      <c r="AB83" s="369"/>
      <c r="AC83" s="371"/>
      <c r="AD83" s="369"/>
      <c r="AE83" s="369"/>
      <c r="AF83" s="369"/>
      <c r="AG83" s="371"/>
      <c r="AH83" s="369"/>
      <c r="AI83" s="369"/>
      <c r="AJ83" s="369"/>
      <c r="AK83" s="371"/>
      <c r="AL83" s="369"/>
      <c r="AM83" s="369"/>
      <c r="AN83" s="369"/>
      <c r="AO83" s="371"/>
      <c r="AP83" s="369"/>
      <c r="AQ83" s="369"/>
      <c r="AR83" s="369"/>
      <c r="AS83" s="488"/>
      <c r="AT83" s="448"/>
      <c r="AU83" s="448"/>
      <c r="AV83" s="448"/>
      <c r="AW83" s="448"/>
      <c r="AX83" s="448"/>
      <c r="AY83" s="448"/>
      <c r="AZ83" s="448"/>
      <c r="BA83" s="448"/>
      <c r="BB83" s="448"/>
      <c r="BC83" s="448"/>
      <c r="BD83" s="448"/>
      <c r="BE83" s="448"/>
      <c r="BF83" s="448"/>
      <c r="BG83" s="448"/>
      <c r="BH83" s="448"/>
      <c r="BI83" s="448"/>
      <c r="BJ83" s="448"/>
      <c r="BK83" s="448"/>
      <c r="BL83" s="448"/>
      <c r="BM83" s="448"/>
      <c r="BN83" s="448"/>
      <c r="BO83" s="448"/>
      <c r="BP83" s="448"/>
      <c r="BQ83" s="448"/>
      <c r="BR83" s="448"/>
      <c r="BS83" s="448"/>
      <c r="BT83" s="448"/>
      <c r="BU83" s="449"/>
      <c r="BV83" s="448">
        <f t="shared" ref="BV83:CV83" si="0">BV67+BV70-BV64</f>
        <v>602</v>
      </c>
      <c r="BW83" s="448">
        <f t="shared" si="0"/>
        <v>470</v>
      </c>
      <c r="BX83" s="448">
        <f t="shared" si="0"/>
        <v>542</v>
      </c>
      <c r="BY83" s="449">
        <f t="shared" si="0"/>
        <v>737</v>
      </c>
      <c r="BZ83" s="450">
        <f t="shared" si="0"/>
        <v>748</v>
      </c>
      <c r="CA83" s="448">
        <f t="shared" si="0"/>
        <v>570</v>
      </c>
      <c r="CB83" s="448">
        <f t="shared" si="0"/>
        <v>479</v>
      </c>
      <c r="CC83" s="449">
        <f t="shared" si="0"/>
        <v>468</v>
      </c>
      <c r="CD83" s="450">
        <f t="shared" si="0"/>
        <v>749</v>
      </c>
      <c r="CE83" s="448">
        <f t="shared" si="0"/>
        <v>547</v>
      </c>
      <c r="CF83" s="448">
        <f t="shared" si="0"/>
        <v>383</v>
      </c>
      <c r="CG83" s="449">
        <f t="shared" si="0"/>
        <v>827</v>
      </c>
      <c r="CH83" s="450">
        <f t="shared" si="0"/>
        <v>714</v>
      </c>
      <c r="CI83" s="448">
        <f t="shared" si="0"/>
        <v>438</v>
      </c>
      <c r="CJ83" s="448">
        <f t="shared" si="0"/>
        <v>355</v>
      </c>
      <c r="CK83" s="449">
        <f t="shared" si="0"/>
        <v>582</v>
      </c>
      <c r="CL83" s="450">
        <f t="shared" si="0"/>
        <v>697</v>
      </c>
      <c r="CM83" s="448">
        <f t="shared" si="0"/>
        <v>798</v>
      </c>
      <c r="CN83" s="448">
        <f t="shared" si="0"/>
        <v>833</v>
      </c>
      <c r="CO83" s="449">
        <f t="shared" si="0"/>
        <v>694</v>
      </c>
      <c r="CP83" s="450">
        <f t="shared" si="0"/>
        <v>858</v>
      </c>
      <c r="CQ83" s="448">
        <f t="shared" si="0"/>
        <v>1000</v>
      </c>
      <c r="CR83" s="781">
        <f>CR84+CR85</f>
        <v>856</v>
      </c>
      <c r="CS83" s="449">
        <f t="shared" si="0"/>
        <v>1283.5545203356478</v>
      </c>
      <c r="CT83" s="450">
        <f t="shared" si="0"/>
        <v>429.38098432628811</v>
      </c>
      <c r="CU83" s="448">
        <f t="shared" si="0"/>
        <v>494.64313159771473</v>
      </c>
      <c r="CV83" s="448">
        <f t="shared" si="0"/>
        <v>813.45743010114688</v>
      </c>
      <c r="CW83" s="449">
        <f>CW67+CW70-CW64</f>
        <v>1536.7877982379964</v>
      </c>
      <c r="CX83" s="448"/>
      <c r="CY83" s="448"/>
      <c r="CZ83" s="448"/>
      <c r="DA83" s="449"/>
      <c r="DB83" s="448"/>
      <c r="DC83" s="448"/>
      <c r="DD83" s="448"/>
      <c r="DE83" s="449"/>
      <c r="DF83" s="448"/>
      <c r="DG83" s="448"/>
      <c r="DH83" s="448"/>
      <c r="DI83" s="449"/>
      <c r="DJ83" s="491"/>
      <c r="DK83" s="450"/>
      <c r="DL83" s="448"/>
      <c r="DM83" s="448"/>
      <c r="DN83" s="448"/>
      <c r="DO83" s="448"/>
      <c r="DP83" s="448"/>
      <c r="DQ83" s="448"/>
      <c r="DR83" s="448"/>
      <c r="DS83" s="507"/>
      <c r="DT83" s="448"/>
      <c r="DU83" s="448"/>
      <c r="DV83" s="448"/>
      <c r="DW83" s="448"/>
      <c r="DX83" s="448"/>
      <c r="DY83" s="448"/>
      <c r="DZ83" s="448"/>
      <c r="EA83" s="448"/>
      <c r="EB83" s="448"/>
      <c r="EC83" s="448"/>
      <c r="ED83" s="448"/>
      <c r="EE83" s="448"/>
      <c r="EF83" s="448"/>
      <c r="EG83" s="448"/>
      <c r="EH83" s="448"/>
      <c r="EI83" s="448"/>
      <c r="EJ83" s="448"/>
      <c r="EK83" s="448"/>
      <c r="EL83" s="448"/>
      <c r="EM83" s="448"/>
      <c r="EN83" s="448"/>
      <c r="EO83" s="448"/>
      <c r="EP83" s="375"/>
      <c r="EQ83" s="320"/>
    </row>
    <row r="84" spans="1:147" s="377" customFormat="1" ht="15" customHeight="1" outlineLevel="2">
      <c r="A84" s="368"/>
      <c r="B84"/>
      <c r="C84"/>
      <c r="D84"/>
      <c r="E84"/>
      <c r="F84"/>
      <c r="G84"/>
      <c r="H84" s="369"/>
      <c r="I84" s="379" t="s">
        <v>1619</v>
      </c>
      <c r="J84" s="369"/>
      <c r="K84" s="369"/>
      <c r="L84" s="369"/>
      <c r="M84" s="371"/>
      <c r="N84" s="369"/>
      <c r="O84" s="369"/>
      <c r="P84" s="369"/>
      <c r="Q84" s="371"/>
      <c r="R84" s="369"/>
      <c r="S84" s="369"/>
      <c r="T84" s="369"/>
      <c r="U84" s="371"/>
      <c r="V84" s="369"/>
      <c r="W84" s="369"/>
      <c r="X84" s="369"/>
      <c r="Y84" s="371"/>
      <c r="Z84" s="369"/>
      <c r="AA84" s="369"/>
      <c r="AB84" s="369"/>
      <c r="AC84" s="371"/>
      <c r="AD84" s="369"/>
      <c r="AE84" s="369"/>
      <c r="AF84" s="369"/>
      <c r="AG84" s="371"/>
      <c r="AH84" s="369"/>
      <c r="AI84" s="369"/>
      <c r="AJ84" s="369"/>
      <c r="AK84" s="371"/>
      <c r="AL84" s="369"/>
      <c r="AM84" s="369"/>
      <c r="AN84" s="369"/>
      <c r="AO84" s="371"/>
      <c r="AP84" s="369"/>
      <c r="AQ84" s="369"/>
      <c r="AR84" s="369"/>
      <c r="AS84" s="488"/>
      <c r="AT84" s="448"/>
      <c r="AU84" s="448"/>
      <c r="AV84" s="448"/>
      <c r="AW84" s="448"/>
      <c r="AX84" s="448"/>
      <c r="AY84" s="448"/>
      <c r="AZ84" s="448"/>
      <c r="BA84" s="448"/>
      <c r="BB84" s="448"/>
      <c r="BC84" s="448"/>
      <c r="BD84" s="448"/>
      <c r="BE84" s="448"/>
      <c r="BF84" s="448"/>
      <c r="BG84" s="448"/>
      <c r="BH84" s="448"/>
      <c r="BI84" s="448"/>
      <c r="BJ84" s="448"/>
      <c r="BK84" s="448"/>
      <c r="BL84" s="448"/>
      <c r="BM84" s="448"/>
      <c r="BN84" s="448"/>
      <c r="BO84" s="448"/>
      <c r="BP84" s="448"/>
      <c r="BQ84" s="448"/>
      <c r="BR84" s="448"/>
      <c r="BS84" s="448"/>
      <c r="BT84" s="448"/>
      <c r="BU84" s="449"/>
      <c r="BV84" s="448">
        <f t="shared" ref="BV84:CJ84" si="1">BV67-BV64</f>
        <v>577</v>
      </c>
      <c r="BW84" s="448">
        <f t="shared" si="1"/>
        <v>439</v>
      </c>
      <c r="BX84" s="448">
        <f t="shared" si="1"/>
        <v>509</v>
      </c>
      <c r="BY84" s="449">
        <f t="shared" si="1"/>
        <v>641</v>
      </c>
      <c r="BZ84" s="450">
        <f t="shared" si="1"/>
        <v>714</v>
      </c>
      <c r="CA84" s="448">
        <f t="shared" si="1"/>
        <v>537</v>
      </c>
      <c r="CB84" s="448">
        <f t="shared" si="1"/>
        <v>446</v>
      </c>
      <c r="CC84" s="449">
        <f t="shared" si="1"/>
        <v>414</v>
      </c>
      <c r="CD84" s="450">
        <f t="shared" si="1"/>
        <v>714</v>
      </c>
      <c r="CE84" s="448">
        <f t="shared" si="1"/>
        <v>511</v>
      </c>
      <c r="CF84" s="448">
        <f t="shared" si="1"/>
        <v>348</v>
      </c>
      <c r="CG84" s="449">
        <f t="shared" si="1"/>
        <v>795</v>
      </c>
      <c r="CH84" s="450">
        <f t="shared" si="1"/>
        <v>681</v>
      </c>
      <c r="CI84" s="448">
        <f t="shared" si="1"/>
        <v>405</v>
      </c>
      <c r="CJ84" s="448">
        <f t="shared" si="1"/>
        <v>325</v>
      </c>
      <c r="CK84" s="449">
        <f>CK67-CK64</f>
        <v>528</v>
      </c>
      <c r="CL84" s="450">
        <f t="shared" ref="CL84:CW84" si="2">CL67-CL64</f>
        <v>645</v>
      </c>
      <c r="CM84" s="448">
        <f t="shared" si="2"/>
        <v>769</v>
      </c>
      <c r="CN84" s="448">
        <f t="shared" si="2"/>
        <v>803</v>
      </c>
      <c r="CO84" s="449">
        <f t="shared" si="2"/>
        <v>667</v>
      </c>
      <c r="CP84" s="450">
        <f t="shared" si="2"/>
        <v>800</v>
      </c>
      <c r="CQ84" s="448">
        <f t="shared" si="2"/>
        <v>961</v>
      </c>
      <c r="CR84" s="448">
        <f t="shared" si="2"/>
        <v>829</v>
      </c>
      <c r="CS84" s="449">
        <f t="shared" si="2"/>
        <v>1246.6757495164459</v>
      </c>
      <c r="CT84" s="450">
        <f t="shared" si="2"/>
        <v>403.1410782652369</v>
      </c>
      <c r="CU84" s="448">
        <f t="shared" si="2"/>
        <v>470.00108160659397</v>
      </c>
      <c r="CV84" s="448">
        <f t="shared" si="2"/>
        <v>775.41102099689556</v>
      </c>
      <c r="CW84" s="449">
        <f t="shared" si="2"/>
        <v>1472.6890739088162</v>
      </c>
      <c r="CX84" s="448"/>
      <c r="CY84" s="448"/>
      <c r="CZ84" s="448"/>
      <c r="DA84" s="449"/>
      <c r="DB84" s="448"/>
      <c r="DC84" s="448"/>
      <c r="DD84" s="448"/>
      <c r="DE84" s="449"/>
      <c r="DF84" s="448"/>
      <c r="DG84" s="448"/>
      <c r="DH84" s="448"/>
      <c r="DI84" s="449"/>
      <c r="DJ84" s="491"/>
      <c r="DK84" s="450"/>
      <c r="DL84" s="448"/>
      <c r="DM84" s="448"/>
      <c r="DN84" s="448"/>
      <c r="DO84" s="448"/>
      <c r="DP84" s="448"/>
      <c r="DQ84" s="448"/>
      <c r="DR84" s="448"/>
      <c r="DS84" s="507"/>
      <c r="DT84" s="448"/>
      <c r="DU84" s="448"/>
      <c r="DV84" s="448"/>
      <c r="DW84" s="448"/>
      <c r="DX84" s="448"/>
      <c r="DY84" s="448"/>
      <c r="DZ84" s="448"/>
      <c r="EA84" s="448"/>
      <c r="EB84" s="448"/>
      <c r="EC84" s="448"/>
      <c r="ED84" s="448"/>
      <c r="EE84" s="448"/>
      <c r="EF84" s="448"/>
      <c r="EG84" s="448"/>
      <c r="EH84" s="448"/>
      <c r="EI84" s="448"/>
      <c r="EJ84" s="448"/>
      <c r="EK84" s="448"/>
      <c r="EL84" s="448"/>
      <c r="EM84" s="448"/>
      <c r="EN84" s="448"/>
      <c r="EO84" s="448"/>
      <c r="EP84" s="375"/>
      <c r="EQ84" s="320"/>
    </row>
    <row r="85" spans="1:147" s="377" customFormat="1" ht="15" customHeight="1" outlineLevel="2">
      <c r="A85" s="368"/>
      <c r="B85"/>
      <c r="C85"/>
      <c r="D85"/>
      <c r="E85"/>
      <c r="F85"/>
      <c r="G85"/>
      <c r="H85" s="369"/>
      <c r="I85" s="379" t="s">
        <v>1620</v>
      </c>
      <c r="J85" s="369">
        <f t="shared" ref="J85:BT85" si="3">J153</f>
        <v>0</v>
      </c>
      <c r="K85" s="369">
        <f t="shared" si="3"/>
        <v>0</v>
      </c>
      <c r="L85" s="369">
        <f t="shared" si="3"/>
        <v>0</v>
      </c>
      <c r="M85" s="371">
        <f t="shared" si="3"/>
        <v>0</v>
      </c>
      <c r="N85" s="369">
        <f t="shared" si="3"/>
        <v>0</v>
      </c>
      <c r="O85" s="369">
        <f t="shared" si="3"/>
        <v>0</v>
      </c>
      <c r="P85" s="369">
        <f t="shared" si="3"/>
        <v>0</v>
      </c>
      <c r="Q85" s="371">
        <f t="shared" si="3"/>
        <v>0</v>
      </c>
      <c r="R85" s="369">
        <f t="shared" si="3"/>
        <v>0</v>
      </c>
      <c r="S85" s="369">
        <f t="shared" si="3"/>
        <v>0</v>
      </c>
      <c r="T85" s="369">
        <f t="shared" si="3"/>
        <v>0</v>
      </c>
      <c r="U85" s="371">
        <f t="shared" si="3"/>
        <v>0</v>
      </c>
      <c r="V85" s="369">
        <f t="shared" si="3"/>
        <v>0</v>
      </c>
      <c r="W85" s="369">
        <f t="shared" si="3"/>
        <v>0</v>
      </c>
      <c r="X85" s="369">
        <f t="shared" si="3"/>
        <v>0</v>
      </c>
      <c r="Y85" s="371">
        <f t="shared" si="3"/>
        <v>0</v>
      </c>
      <c r="Z85" s="369">
        <f t="shared" si="3"/>
        <v>0</v>
      </c>
      <c r="AA85" s="369">
        <f t="shared" si="3"/>
        <v>0</v>
      </c>
      <c r="AB85" s="369">
        <f t="shared" si="3"/>
        <v>0</v>
      </c>
      <c r="AC85" s="371">
        <f t="shared" si="3"/>
        <v>0</v>
      </c>
      <c r="AD85" s="369">
        <f t="shared" si="3"/>
        <v>0</v>
      </c>
      <c r="AE85" s="369">
        <f t="shared" si="3"/>
        <v>0</v>
      </c>
      <c r="AF85" s="369">
        <f t="shared" si="3"/>
        <v>0</v>
      </c>
      <c r="AG85" s="371">
        <f t="shared" si="3"/>
        <v>0</v>
      </c>
      <c r="AH85" s="369">
        <f t="shared" si="3"/>
        <v>0</v>
      </c>
      <c r="AI85" s="369">
        <f t="shared" si="3"/>
        <v>0</v>
      </c>
      <c r="AJ85" s="369">
        <f t="shared" si="3"/>
        <v>0</v>
      </c>
      <c r="AK85" s="371">
        <f t="shared" si="3"/>
        <v>0</v>
      </c>
      <c r="AL85" s="369">
        <f t="shared" si="3"/>
        <v>0</v>
      </c>
      <c r="AM85" s="369">
        <f t="shared" si="3"/>
        <v>0</v>
      </c>
      <c r="AN85" s="369">
        <f t="shared" si="3"/>
        <v>0</v>
      </c>
      <c r="AO85" s="371">
        <f t="shared" si="3"/>
        <v>0</v>
      </c>
      <c r="AP85" s="369">
        <f t="shared" si="3"/>
        <v>0</v>
      </c>
      <c r="AQ85" s="369">
        <f t="shared" si="3"/>
        <v>0</v>
      </c>
      <c r="AR85" s="369">
        <f t="shared" si="3"/>
        <v>0</v>
      </c>
      <c r="AS85" s="488">
        <f t="shared" si="3"/>
        <v>0</v>
      </c>
      <c r="AT85" s="448">
        <f t="shared" si="3"/>
        <v>0</v>
      </c>
      <c r="AU85" s="448">
        <f t="shared" si="3"/>
        <v>0</v>
      </c>
      <c r="AV85" s="448">
        <f t="shared" si="3"/>
        <v>0</v>
      </c>
      <c r="AW85" s="448">
        <f t="shared" si="3"/>
        <v>0</v>
      </c>
      <c r="AX85" s="448">
        <f t="shared" si="3"/>
        <v>0</v>
      </c>
      <c r="AY85" s="448">
        <f t="shared" si="3"/>
        <v>0</v>
      </c>
      <c r="AZ85" s="448">
        <f t="shared" si="3"/>
        <v>0</v>
      </c>
      <c r="BA85" s="448">
        <f t="shared" si="3"/>
        <v>0</v>
      </c>
      <c r="BB85" s="448">
        <f t="shared" si="3"/>
        <v>26</v>
      </c>
      <c r="BC85" s="448">
        <f t="shared" si="3"/>
        <v>26</v>
      </c>
      <c r="BD85" s="448">
        <f t="shared" si="3"/>
        <v>25</v>
      </c>
      <c r="BE85" s="448">
        <f t="shared" si="3"/>
        <v>71</v>
      </c>
      <c r="BF85" s="448">
        <f t="shared" si="3"/>
        <v>23</v>
      </c>
      <c r="BG85" s="448">
        <f t="shared" si="3"/>
        <v>22</v>
      </c>
      <c r="BH85" s="448">
        <f t="shared" si="3"/>
        <v>24</v>
      </c>
      <c r="BI85" s="448">
        <f t="shared" si="3"/>
        <v>51</v>
      </c>
      <c r="BJ85" s="448">
        <f t="shared" si="3"/>
        <v>24</v>
      </c>
      <c r="BK85" s="448">
        <f t="shared" si="3"/>
        <v>23</v>
      </c>
      <c r="BL85" s="448">
        <f t="shared" si="3"/>
        <v>21</v>
      </c>
      <c r="BM85" s="448">
        <f t="shared" si="3"/>
        <v>40</v>
      </c>
      <c r="BN85" s="448">
        <f t="shared" si="3"/>
        <v>19</v>
      </c>
      <c r="BO85" s="448">
        <f t="shared" si="3"/>
        <v>19</v>
      </c>
      <c r="BP85" s="448">
        <f t="shared" si="3"/>
        <v>23</v>
      </c>
      <c r="BQ85" s="448">
        <f t="shared" si="3"/>
        <v>29</v>
      </c>
      <c r="BR85" s="448">
        <f t="shared" si="3"/>
        <v>20</v>
      </c>
      <c r="BS85" s="448">
        <f t="shared" si="3"/>
        <v>20</v>
      </c>
      <c r="BT85" s="448">
        <f t="shared" si="3"/>
        <v>25</v>
      </c>
      <c r="BU85" s="449">
        <f t="shared" ref="BU85" si="4">BU153</f>
        <v>30</v>
      </c>
      <c r="BV85" s="448">
        <f t="shared" ref="BV85" si="5">BV83-BV84</f>
        <v>25</v>
      </c>
      <c r="BW85" s="448">
        <f t="shared" ref="BW85" si="6">BW83-BW84</f>
        <v>31</v>
      </c>
      <c r="BX85" s="448">
        <f t="shared" ref="BX85" si="7">BX83-BX84</f>
        <v>33</v>
      </c>
      <c r="BY85" s="449">
        <f t="shared" ref="BY85" si="8">BY83-BY84</f>
        <v>96</v>
      </c>
      <c r="BZ85" s="450">
        <f t="shared" ref="BZ85" si="9">BZ83-BZ84</f>
        <v>34</v>
      </c>
      <c r="CA85" s="448">
        <f t="shared" ref="CA85" si="10">CA83-CA84</f>
        <v>33</v>
      </c>
      <c r="CB85" s="448">
        <f t="shared" ref="CB85" si="11">CB83-CB84</f>
        <v>33</v>
      </c>
      <c r="CC85" s="449">
        <f t="shared" ref="CC85" si="12">CC83-CC84</f>
        <v>54</v>
      </c>
      <c r="CD85" s="450">
        <f t="shared" ref="CD85" si="13">CD83-CD84</f>
        <v>35</v>
      </c>
      <c r="CE85" s="448">
        <f t="shared" ref="CE85" si="14">CE83-CE84</f>
        <v>36</v>
      </c>
      <c r="CF85" s="448">
        <f t="shared" ref="CF85" si="15">CF83-CF84</f>
        <v>35</v>
      </c>
      <c r="CG85" s="449">
        <f t="shared" ref="CG85" si="16">CG83-CG84</f>
        <v>32</v>
      </c>
      <c r="CH85" s="450">
        <f t="shared" ref="CH85" si="17">CH83-CH84</f>
        <v>33</v>
      </c>
      <c r="CI85" s="448">
        <f t="shared" ref="CI85" si="18">CI83-CI84</f>
        <v>33</v>
      </c>
      <c r="CJ85" s="448">
        <f t="shared" ref="CJ85" si="19">CJ83-CJ84</f>
        <v>30</v>
      </c>
      <c r="CK85" s="449">
        <f t="shared" ref="CK85" si="20">CK83-CK84</f>
        <v>54</v>
      </c>
      <c r="CL85" s="450">
        <f t="shared" ref="CL85" si="21">CL83-CL84</f>
        <v>52</v>
      </c>
      <c r="CM85" s="448">
        <f t="shared" ref="CM85" si="22">CM83-CM84</f>
        <v>29</v>
      </c>
      <c r="CN85" s="448">
        <f t="shared" ref="CN85" si="23">CN83-CN84</f>
        <v>30</v>
      </c>
      <c r="CO85" s="449">
        <f t="shared" ref="CO85" si="24">CO83-CO84</f>
        <v>27</v>
      </c>
      <c r="CP85" s="450">
        <f t="shared" ref="CP85" si="25">CP83-CP84</f>
        <v>58</v>
      </c>
      <c r="CQ85" s="448">
        <f t="shared" ref="CQ85" si="26">CQ83-CQ84</f>
        <v>39</v>
      </c>
      <c r="CR85" s="781">
        <f>CR153</f>
        <v>27</v>
      </c>
      <c r="CS85" s="449">
        <f t="shared" ref="CS85:CV85" si="27">CS83-CS84</f>
        <v>36.878770819201918</v>
      </c>
      <c r="CT85" s="450">
        <f t="shared" si="27"/>
        <v>26.239906061051215</v>
      </c>
      <c r="CU85" s="448">
        <f t="shared" si="27"/>
        <v>24.642049991120757</v>
      </c>
      <c r="CV85" s="448">
        <f t="shared" si="27"/>
        <v>38.046409104251325</v>
      </c>
      <c r="CW85" s="449">
        <f>CW153</f>
        <v>66.098724329180214</v>
      </c>
      <c r="CX85" s="448"/>
      <c r="CY85" s="448"/>
      <c r="CZ85" s="448"/>
      <c r="DA85" s="449"/>
      <c r="DB85" s="448"/>
      <c r="DC85" s="448"/>
      <c r="DD85" s="448"/>
      <c r="DE85" s="449"/>
      <c r="DF85" s="448"/>
      <c r="DG85" s="448"/>
      <c r="DH85" s="448"/>
      <c r="DI85" s="449"/>
      <c r="DJ85" s="491"/>
      <c r="DK85" s="450"/>
      <c r="DL85" s="448"/>
      <c r="DM85" s="448"/>
      <c r="DN85" s="448"/>
      <c r="DO85" s="448"/>
      <c r="DP85" s="448"/>
      <c r="DQ85" s="448"/>
      <c r="DR85" s="448"/>
      <c r="DS85" s="507"/>
      <c r="DT85" s="448"/>
      <c r="DU85" s="448"/>
      <c r="DV85" s="448"/>
      <c r="DW85" s="448"/>
      <c r="DX85" s="448"/>
      <c r="DY85" s="448"/>
      <c r="DZ85" s="448"/>
      <c r="EA85" s="448"/>
      <c r="EB85" s="448"/>
      <c r="EC85" s="448"/>
      <c r="ED85" s="448"/>
      <c r="EE85" s="448"/>
      <c r="EF85" s="448"/>
      <c r="EG85" s="448"/>
      <c r="EH85" s="448"/>
      <c r="EI85" s="448"/>
      <c r="EJ85" s="448"/>
      <c r="EK85" s="448"/>
      <c r="EL85" s="448"/>
      <c r="EM85" s="448"/>
      <c r="EN85" s="448"/>
      <c r="EO85" s="448"/>
      <c r="EP85" s="375"/>
      <c r="EQ85" s="320"/>
    </row>
    <row r="86" spans="1:147" s="377" customFormat="1" ht="15" customHeight="1" outlineLevel="2">
      <c r="A86" s="368"/>
      <c r="B86"/>
      <c r="C86"/>
      <c r="D86"/>
      <c r="E86"/>
      <c r="F86"/>
      <c r="G86"/>
      <c r="H86" s="369"/>
      <c r="I86" s="379"/>
      <c r="J86" s="369"/>
      <c r="K86" s="369"/>
      <c r="L86" s="369"/>
      <c r="M86" s="371"/>
      <c r="N86" s="369"/>
      <c r="O86" s="369"/>
      <c r="P86" s="369"/>
      <c r="Q86" s="371"/>
      <c r="R86" s="369"/>
      <c r="S86" s="369"/>
      <c r="T86" s="369"/>
      <c r="U86" s="371"/>
      <c r="V86" s="369"/>
      <c r="W86" s="369"/>
      <c r="X86" s="369"/>
      <c r="Y86" s="371"/>
      <c r="Z86" s="369"/>
      <c r="AA86" s="369"/>
      <c r="AB86" s="369"/>
      <c r="AC86" s="371"/>
      <c r="AD86" s="369"/>
      <c r="AE86" s="369"/>
      <c r="AF86" s="369"/>
      <c r="AG86" s="371"/>
      <c r="AH86" s="369"/>
      <c r="AI86" s="369"/>
      <c r="AJ86" s="369"/>
      <c r="AK86" s="371"/>
      <c r="AL86" s="369"/>
      <c r="AM86" s="369"/>
      <c r="AN86" s="369"/>
      <c r="AO86" s="371"/>
      <c r="AP86" s="369"/>
      <c r="AQ86" s="369"/>
      <c r="AR86" s="369"/>
      <c r="AS86" s="488"/>
      <c r="AT86" s="448"/>
      <c r="AU86" s="448"/>
      <c r="AV86" s="448"/>
      <c r="AW86" s="448"/>
      <c r="AX86" s="448"/>
      <c r="AY86" s="448"/>
      <c r="AZ86" s="448"/>
      <c r="BA86" s="448"/>
      <c r="BB86" s="448"/>
      <c r="BC86" s="448"/>
      <c r="BD86" s="448"/>
      <c r="BE86" s="448"/>
      <c r="BF86" s="448"/>
      <c r="BG86" s="448"/>
      <c r="BH86" s="448"/>
      <c r="BI86" s="448"/>
      <c r="BJ86" s="448"/>
      <c r="BK86" s="448"/>
      <c r="BL86" s="448"/>
      <c r="BM86" s="448"/>
      <c r="BN86" s="448"/>
      <c r="BO86" s="448"/>
      <c r="BP86" s="448"/>
      <c r="BQ86" s="448"/>
      <c r="BR86" s="448"/>
      <c r="BS86" s="448"/>
      <c r="BT86" s="448"/>
      <c r="BU86" s="449"/>
      <c r="BV86" s="448"/>
      <c r="BW86" s="448"/>
      <c r="BX86" s="448"/>
      <c r="BY86" s="449"/>
      <c r="BZ86" s="450"/>
      <c r="CA86" s="448"/>
      <c r="CB86" s="448"/>
      <c r="CC86" s="449"/>
      <c r="CD86" s="450"/>
      <c r="CE86" s="448"/>
      <c r="CF86" s="448"/>
      <c r="CG86" s="449"/>
      <c r="CH86" s="450"/>
      <c r="CI86" s="448"/>
      <c r="CJ86" s="448"/>
      <c r="CK86" s="449"/>
      <c r="CL86" s="450"/>
      <c r="CM86" s="448"/>
      <c r="CN86" s="448"/>
      <c r="CO86" s="449"/>
      <c r="CP86" s="450"/>
      <c r="CQ86" s="448"/>
      <c r="CR86" s="448"/>
      <c r="CS86" s="449"/>
      <c r="CT86" s="450"/>
      <c r="CU86" s="448"/>
      <c r="CV86" s="448"/>
      <c r="CW86" s="449"/>
      <c r="CX86" s="448"/>
      <c r="CY86" s="448"/>
      <c r="CZ86" s="448"/>
      <c r="DA86" s="449"/>
      <c r="DB86" s="448"/>
      <c r="DC86" s="448"/>
      <c r="DD86" s="448"/>
      <c r="DE86" s="449"/>
      <c r="DF86" s="448"/>
      <c r="DG86" s="448"/>
      <c r="DH86" s="448"/>
      <c r="DI86" s="449"/>
      <c r="DJ86" s="491"/>
      <c r="DK86" s="450"/>
      <c r="DL86" s="448"/>
      <c r="DM86" s="448"/>
      <c r="DN86" s="448"/>
      <c r="DO86" s="448"/>
      <c r="DP86" s="448"/>
      <c r="DQ86" s="448"/>
      <c r="DR86" s="448"/>
      <c r="DS86" s="507"/>
      <c r="DT86" s="448"/>
      <c r="DU86" s="448"/>
      <c r="DV86" s="448"/>
      <c r="DW86" s="448"/>
      <c r="DX86" s="448"/>
      <c r="DY86" s="448"/>
      <c r="DZ86" s="448"/>
      <c r="EA86" s="448"/>
      <c r="EB86" s="448"/>
      <c r="EC86" s="448"/>
      <c r="ED86" s="448"/>
      <c r="EE86" s="448"/>
      <c r="EF86" s="448"/>
      <c r="EG86" s="448"/>
      <c r="EH86" s="448"/>
      <c r="EI86" s="448"/>
      <c r="EJ86" s="448"/>
      <c r="EK86" s="448"/>
      <c r="EL86" s="448"/>
      <c r="EM86" s="448"/>
      <c r="EN86" s="448"/>
      <c r="EO86" s="448"/>
      <c r="EP86" s="375"/>
      <c r="EQ86" s="320"/>
    </row>
    <row r="87" spans="1:147" s="377" customFormat="1" ht="15" customHeight="1" outlineLevel="2">
      <c r="A87" s="368"/>
      <c r="B87"/>
      <c r="C87"/>
      <c r="D87"/>
      <c r="E87"/>
      <c r="F87"/>
      <c r="G87"/>
      <c r="H87" s="369"/>
      <c r="I87" s="379"/>
      <c r="J87" s="369"/>
      <c r="K87" s="369"/>
      <c r="L87" s="369"/>
      <c r="M87" s="371"/>
      <c r="N87" s="369"/>
      <c r="O87" s="369"/>
      <c r="P87" s="369"/>
      <c r="Q87" s="371"/>
      <c r="R87" s="369"/>
      <c r="S87" s="369"/>
      <c r="T87" s="369"/>
      <c r="U87" s="371"/>
      <c r="V87" s="369"/>
      <c r="W87" s="369"/>
      <c r="X87" s="369"/>
      <c r="Y87" s="371"/>
      <c r="Z87" s="369"/>
      <c r="AA87" s="369"/>
      <c r="AB87" s="369"/>
      <c r="AC87" s="371"/>
      <c r="AD87" s="369"/>
      <c r="AE87" s="369"/>
      <c r="AF87" s="369"/>
      <c r="AG87" s="371"/>
      <c r="AH87" s="369"/>
      <c r="AI87" s="369"/>
      <c r="AJ87" s="369"/>
      <c r="AK87" s="371"/>
      <c r="AL87" s="369"/>
      <c r="AM87" s="369"/>
      <c r="AN87" s="369"/>
      <c r="AO87" s="371"/>
      <c r="AP87" s="369"/>
      <c r="AQ87" s="369"/>
      <c r="AR87" s="369"/>
      <c r="AS87" s="488"/>
      <c r="AT87" s="448"/>
      <c r="AU87" s="448"/>
      <c r="AV87" s="448"/>
      <c r="AW87" s="448"/>
      <c r="AX87" s="448"/>
      <c r="AY87" s="448"/>
      <c r="AZ87" s="448"/>
      <c r="BA87" s="448"/>
      <c r="BB87" s="448"/>
      <c r="BC87" s="448"/>
      <c r="BD87" s="448"/>
      <c r="BE87" s="448"/>
      <c r="BF87" s="448"/>
      <c r="BG87" s="448"/>
      <c r="BH87" s="448"/>
      <c r="BI87" s="448"/>
      <c r="BJ87" s="448"/>
      <c r="BK87" s="448"/>
      <c r="BL87" s="448"/>
      <c r="BM87" s="448"/>
      <c r="BN87" s="448"/>
      <c r="BO87" s="448"/>
      <c r="BP87" s="448"/>
      <c r="BQ87" s="448"/>
      <c r="BR87" s="448"/>
      <c r="BS87" s="448"/>
      <c r="BT87" s="448"/>
      <c r="BU87" s="449"/>
      <c r="BV87" s="448"/>
      <c r="BW87" s="448"/>
      <c r="BX87" s="448"/>
      <c r="BY87" s="449"/>
      <c r="BZ87" s="450"/>
      <c r="CA87" s="448"/>
      <c r="CB87" s="448"/>
      <c r="CC87" s="449"/>
      <c r="CD87" s="450"/>
      <c r="CE87" s="448"/>
      <c r="CF87" s="448"/>
      <c r="CG87" s="449"/>
      <c r="CH87" s="450"/>
      <c r="CI87" s="448"/>
      <c r="CJ87" s="448"/>
      <c r="CK87" s="449"/>
      <c r="CL87" s="450"/>
      <c r="CM87" s="448"/>
      <c r="CN87" s="448"/>
      <c r="CO87" s="449"/>
      <c r="CP87" s="450"/>
      <c r="CQ87" s="448"/>
      <c r="CR87" s="448"/>
      <c r="CS87" s="449"/>
      <c r="CT87" s="450"/>
      <c r="CU87" s="448"/>
      <c r="CV87" s="448"/>
      <c r="CW87" s="449"/>
      <c r="CX87" s="448"/>
      <c r="CY87" s="448"/>
      <c r="CZ87" s="448"/>
      <c r="DA87" s="449"/>
      <c r="DB87" s="448"/>
      <c r="DC87" s="448"/>
      <c r="DD87" s="448"/>
      <c r="DE87" s="449"/>
      <c r="DF87" s="448"/>
      <c r="DG87" s="448"/>
      <c r="DH87" s="448"/>
      <c r="DI87" s="449"/>
      <c r="DJ87" s="491"/>
      <c r="DK87" s="450"/>
      <c r="DL87" s="448"/>
      <c r="DM87" s="448"/>
      <c r="DN87" s="448"/>
      <c r="DO87" s="448"/>
      <c r="DP87" s="448"/>
      <c r="DQ87" s="448"/>
      <c r="DR87" s="448"/>
      <c r="DS87" s="507"/>
      <c r="DT87" s="448"/>
      <c r="DU87" s="448"/>
      <c r="DV87" s="448"/>
      <c r="DW87" s="448"/>
      <c r="DX87" s="448"/>
      <c r="DY87" s="448"/>
      <c r="DZ87" s="448"/>
      <c r="EA87" s="448"/>
      <c r="EB87" s="448"/>
      <c r="EC87" s="448"/>
      <c r="ED87" s="448"/>
      <c r="EE87" s="448"/>
      <c r="EF87" s="448"/>
      <c r="EG87" s="448"/>
      <c r="EH87" s="448"/>
      <c r="EI87" s="448"/>
      <c r="EJ87" s="448"/>
      <c r="EK87" s="448"/>
      <c r="EL87" s="448"/>
      <c r="EM87" s="448"/>
      <c r="EN87" s="448"/>
      <c r="EO87" s="448"/>
      <c r="EP87" s="375"/>
      <c r="EQ87" s="320"/>
    </row>
    <row r="88" spans="1:147" s="390" customFormat="1" ht="15" hidden="1" customHeight="1" outlineLevel="3">
      <c r="A88" s="385"/>
      <c r="B88"/>
      <c r="C88"/>
      <c r="D88"/>
      <c r="E88"/>
      <c r="F88"/>
      <c r="G88"/>
      <c r="H88" s="386"/>
      <c r="I88" s="378" t="s">
        <v>1621</v>
      </c>
      <c r="J88" s="386"/>
      <c r="K88" s="386"/>
      <c r="L88" s="386"/>
      <c r="M88" s="388"/>
      <c r="N88" s="386"/>
      <c r="O88" s="386"/>
      <c r="P88" s="386"/>
      <c r="Q88" s="388"/>
      <c r="R88" s="386"/>
      <c r="S88" s="386"/>
      <c r="T88" s="386"/>
      <c r="U88" s="388"/>
      <c r="V88" s="386"/>
      <c r="W88" s="386"/>
      <c r="X88" s="386"/>
      <c r="Y88" s="388"/>
      <c r="Z88" s="386"/>
      <c r="AA88" s="386"/>
      <c r="AB88" s="386"/>
      <c r="AC88" s="388"/>
      <c r="AD88" s="386"/>
      <c r="AE88" s="386"/>
      <c r="AF88" s="386"/>
      <c r="AG88" s="388"/>
      <c r="AH88" s="386"/>
      <c r="AI88" s="386"/>
      <c r="AJ88" s="386"/>
      <c r="AK88" s="388"/>
      <c r="AL88" s="386"/>
      <c r="AM88" s="386"/>
      <c r="AN88" s="386"/>
      <c r="AO88" s="388"/>
      <c r="AP88" s="386"/>
      <c r="AQ88" s="386"/>
      <c r="AR88" s="386"/>
      <c r="AS88" s="478"/>
      <c r="AT88" s="325"/>
      <c r="AU88" s="325"/>
      <c r="AV88" s="325"/>
      <c r="AW88" s="325"/>
      <c r="AX88" s="325"/>
      <c r="AY88" s="325"/>
      <c r="AZ88" s="325"/>
      <c r="BA88" s="325"/>
      <c r="BB88" s="325"/>
      <c r="BC88" s="325"/>
      <c r="BD88" s="325"/>
      <c r="BE88" s="325"/>
      <c r="BF88" s="325"/>
      <c r="BG88" s="325"/>
      <c r="BH88" s="325"/>
      <c r="BI88" s="325"/>
      <c r="BJ88" s="325"/>
      <c r="BK88" s="325"/>
      <c r="BL88" s="325"/>
      <c r="BM88" s="325"/>
      <c r="BN88" s="325"/>
      <c r="BO88" s="325"/>
      <c r="BP88" s="325"/>
      <c r="BQ88" s="325"/>
      <c r="BR88" s="325">
        <v>204</v>
      </c>
      <c r="BS88" s="325">
        <v>173</v>
      </c>
      <c r="BT88" s="325">
        <v>251</v>
      </c>
      <c r="BU88" s="372">
        <v>838</v>
      </c>
      <c r="BV88" s="325">
        <v>252</v>
      </c>
      <c r="BW88" s="325">
        <v>588</v>
      </c>
      <c r="BX88" s="325">
        <v>574</v>
      </c>
      <c r="BY88" s="372">
        <v>919</v>
      </c>
      <c r="BZ88" s="325">
        <v>351</v>
      </c>
      <c r="CA88" s="325">
        <v>470</v>
      </c>
      <c r="CB88" s="325">
        <v>625</v>
      </c>
      <c r="CC88" s="372">
        <v>932</v>
      </c>
      <c r="CD88" s="373">
        <v>395</v>
      </c>
      <c r="CE88" s="325">
        <v>385</v>
      </c>
      <c r="CF88" s="325">
        <v>492</v>
      </c>
      <c r="CG88" s="372">
        <v>1207</v>
      </c>
      <c r="CH88" s="373">
        <v>303</v>
      </c>
      <c r="CI88" s="325">
        <v>307</v>
      </c>
      <c r="CJ88" s="325">
        <v>299</v>
      </c>
      <c r="CK88" s="372">
        <v>1144</v>
      </c>
      <c r="CL88" s="325">
        <v>517</v>
      </c>
      <c r="CM88" s="325">
        <v>963</v>
      </c>
      <c r="CN88" s="325">
        <v>706</v>
      </c>
      <c r="CO88" s="372">
        <v>1154</v>
      </c>
      <c r="CP88" s="373">
        <v>819</v>
      </c>
      <c r="CQ88" s="325">
        <v>728</v>
      </c>
      <c r="CR88" s="325">
        <v>920</v>
      </c>
      <c r="CS88" s="372">
        <v>1323.6757495164459</v>
      </c>
      <c r="CT88" s="373">
        <v>560.99107826523687</v>
      </c>
      <c r="CU88" s="325">
        <v>514.4510816065939</v>
      </c>
      <c r="CV88" s="325">
        <v>841.91102099689556</v>
      </c>
      <c r="CW88" s="372">
        <v>1560.1890739088162</v>
      </c>
      <c r="CX88" s="325"/>
      <c r="CY88" s="325"/>
      <c r="CZ88" s="325"/>
      <c r="DA88" s="372"/>
      <c r="DB88" s="325"/>
      <c r="DC88" s="325"/>
      <c r="DD88" s="325"/>
      <c r="DE88" s="372"/>
      <c r="DF88" s="325"/>
      <c r="DG88" s="325"/>
      <c r="DH88" s="325"/>
      <c r="DI88" s="372"/>
      <c r="DJ88" s="486"/>
      <c r="DK88" s="373"/>
      <c r="DL88" s="325"/>
      <c r="DM88" s="325"/>
      <c r="DN88" s="325"/>
      <c r="DO88" s="325"/>
      <c r="DP88" s="325"/>
      <c r="DQ88" s="325"/>
      <c r="DR88" s="325"/>
      <c r="DS88" s="401"/>
      <c r="DT88" s="325"/>
      <c r="DU88" s="325"/>
      <c r="DV88" s="325"/>
      <c r="DW88" s="325"/>
      <c r="DX88" s="325"/>
      <c r="DY88" s="325">
        <v>1527</v>
      </c>
      <c r="DZ88" s="325">
        <v>1466</v>
      </c>
      <c r="EA88" s="325">
        <v>2333</v>
      </c>
      <c r="EB88" s="325">
        <v>2378</v>
      </c>
      <c r="EC88" s="325">
        <v>2479</v>
      </c>
      <c r="ED88" s="325">
        <v>2053</v>
      </c>
      <c r="EE88" s="325">
        <v>3397</v>
      </c>
      <c r="EF88" s="325">
        <v>3847.6757495164456</v>
      </c>
      <c r="EG88" s="325">
        <v>3534.542254777542</v>
      </c>
      <c r="EH88" s="325">
        <v>4442.4395928196427</v>
      </c>
      <c r="EI88" s="325">
        <v>4044.2248084422781</v>
      </c>
      <c r="EJ88" s="325">
        <v>3748.2969716937055</v>
      </c>
      <c r="EK88" s="325">
        <v>4271.8287713517457</v>
      </c>
      <c r="EL88" s="325">
        <v>3896.1889352860198</v>
      </c>
      <c r="EM88" s="325">
        <v>4018.4089140409869</v>
      </c>
      <c r="EN88" s="325">
        <v>3928.2878050490494</v>
      </c>
      <c r="EO88" s="325">
        <v>4545.7771249656807</v>
      </c>
      <c r="EP88" s="389"/>
      <c r="EQ88" s="320"/>
    </row>
    <row r="89" spans="1:147" s="390" customFormat="1" ht="15" hidden="1" customHeight="1" outlineLevel="3">
      <c r="A89" s="385"/>
      <c r="B89"/>
      <c r="C89"/>
      <c r="D89"/>
      <c r="E89"/>
      <c r="F89"/>
      <c r="G89"/>
      <c r="H89" s="386"/>
      <c r="I89" s="378" t="s">
        <v>1622</v>
      </c>
      <c r="J89" s="386"/>
      <c r="K89" s="386"/>
      <c r="L89" s="386"/>
      <c r="M89" s="388"/>
      <c r="N89" s="386"/>
      <c r="O89" s="386"/>
      <c r="P89" s="386"/>
      <c r="Q89" s="388"/>
      <c r="R89" s="386"/>
      <c r="S89" s="386"/>
      <c r="T89" s="386"/>
      <c r="U89" s="388"/>
      <c r="V89" s="386"/>
      <c r="W89" s="386"/>
      <c r="X89" s="386"/>
      <c r="Y89" s="388"/>
      <c r="Z89" s="386"/>
      <c r="AA89" s="386"/>
      <c r="AB89" s="386"/>
      <c r="AC89" s="388"/>
      <c r="AD89" s="386"/>
      <c r="AE89" s="386"/>
      <c r="AF89" s="386"/>
      <c r="AG89" s="388"/>
      <c r="AH89" s="386"/>
      <c r="AI89" s="386"/>
      <c r="AJ89" s="386"/>
      <c r="AK89" s="388"/>
      <c r="AL89" s="386"/>
      <c r="AM89" s="386"/>
      <c r="AN89" s="386"/>
      <c r="AO89" s="388"/>
      <c r="AP89" s="386"/>
      <c r="AQ89" s="386"/>
      <c r="AR89" s="386"/>
      <c r="AS89" s="478"/>
      <c r="AT89" s="325"/>
      <c r="AU89" s="325"/>
      <c r="AV89" s="325"/>
      <c r="AW89" s="325"/>
      <c r="AX89" s="325"/>
      <c r="AY89" s="325"/>
      <c r="AZ89" s="325"/>
      <c r="BA89" s="325"/>
      <c r="BB89" s="325"/>
      <c r="BC89" s="325"/>
      <c r="BD89" s="325"/>
      <c r="BE89" s="325"/>
      <c r="BF89" s="325"/>
      <c r="BG89" s="325"/>
      <c r="BH89" s="325"/>
      <c r="BI89" s="325"/>
      <c r="BJ89" s="325"/>
      <c r="BK89" s="325"/>
      <c r="BL89" s="325"/>
      <c r="BM89" s="325"/>
      <c r="BN89" s="325"/>
      <c r="BO89" s="325"/>
      <c r="BP89" s="325"/>
      <c r="BQ89" s="325"/>
      <c r="BR89" s="325">
        <v>50</v>
      </c>
      <c r="BS89" s="325">
        <v>50</v>
      </c>
      <c r="BT89" s="325">
        <v>51</v>
      </c>
      <c r="BU89" s="372">
        <v>49</v>
      </c>
      <c r="BV89" s="325">
        <v>52</v>
      </c>
      <c r="BW89" s="325">
        <v>65</v>
      </c>
      <c r="BX89" s="325">
        <v>63</v>
      </c>
      <c r="BY89" s="372">
        <v>125</v>
      </c>
      <c r="BZ89" s="325">
        <v>40</v>
      </c>
      <c r="CA89" s="325">
        <v>46</v>
      </c>
      <c r="CB89" s="325">
        <v>37</v>
      </c>
      <c r="CC89" s="372">
        <v>36</v>
      </c>
      <c r="CD89" s="373">
        <v>28</v>
      </c>
      <c r="CE89" s="325">
        <v>26</v>
      </c>
      <c r="CF89" s="325">
        <v>53</v>
      </c>
      <c r="CG89" s="372">
        <v>4</v>
      </c>
      <c r="CH89" s="373">
        <v>60</v>
      </c>
      <c r="CI89" s="325">
        <v>-34</v>
      </c>
      <c r="CJ89" s="325">
        <v>-2</v>
      </c>
      <c r="CK89" s="372">
        <v>7</v>
      </c>
      <c r="CL89" s="325">
        <v>8</v>
      </c>
      <c r="CM89" s="325">
        <v>22</v>
      </c>
      <c r="CN89" s="325">
        <v>56</v>
      </c>
      <c r="CO89" s="372">
        <v>31</v>
      </c>
      <c r="CP89" s="373">
        <v>30</v>
      </c>
      <c r="CQ89" s="325">
        <v>-43</v>
      </c>
      <c r="CR89" s="325">
        <v>65</v>
      </c>
      <c r="CS89" s="372">
        <v>28.856000000000002</v>
      </c>
      <c r="CT89" s="373">
        <v>19.8385</v>
      </c>
      <c r="CU89" s="325">
        <v>19.8385</v>
      </c>
      <c r="CV89" s="325">
        <v>19.8385</v>
      </c>
      <c r="CW89" s="372">
        <v>19.8385</v>
      </c>
      <c r="CX89" s="325"/>
      <c r="CY89" s="325"/>
      <c r="CZ89" s="325"/>
      <c r="DA89" s="372"/>
      <c r="DB89" s="325"/>
      <c r="DC89" s="325"/>
      <c r="DD89" s="325"/>
      <c r="DE89" s="372"/>
      <c r="DF89" s="325"/>
      <c r="DG89" s="325"/>
      <c r="DH89" s="325"/>
      <c r="DI89" s="372"/>
      <c r="DJ89" s="486"/>
      <c r="DK89" s="373"/>
      <c r="DL89" s="325"/>
      <c r="DM89" s="325"/>
      <c r="DN89" s="325"/>
      <c r="DO89" s="325"/>
      <c r="DP89" s="325"/>
      <c r="DQ89" s="325"/>
      <c r="DR89" s="325"/>
      <c r="DS89" s="401"/>
      <c r="DT89" s="325"/>
      <c r="DU89" s="325"/>
      <c r="DV89" s="325"/>
      <c r="DW89" s="325"/>
      <c r="DX89" s="325"/>
      <c r="DY89" s="325">
        <v>202</v>
      </c>
      <c r="DZ89" s="325">
        <v>200</v>
      </c>
      <c r="EA89" s="325">
        <v>305</v>
      </c>
      <c r="EB89" s="325">
        <v>159</v>
      </c>
      <c r="EC89" s="325">
        <v>111</v>
      </c>
      <c r="ED89" s="325">
        <v>88</v>
      </c>
      <c r="EE89" s="325">
        <v>117</v>
      </c>
      <c r="EF89" s="325">
        <v>80.855999999999995</v>
      </c>
      <c r="EG89" s="325">
        <v>79.353999999999999</v>
      </c>
      <c r="EH89" s="325">
        <v>79.353999999999999</v>
      </c>
      <c r="EI89" s="325">
        <v>79.353999999999999</v>
      </c>
      <c r="EJ89" s="325">
        <v>79.353999999999999</v>
      </c>
      <c r="EK89" s="325">
        <v>39.677</v>
      </c>
      <c r="EL89" s="325">
        <v>0</v>
      </c>
      <c r="EM89" s="325">
        <v>0</v>
      </c>
      <c r="EN89" s="325">
        <v>0</v>
      </c>
      <c r="EO89" s="325">
        <v>0</v>
      </c>
      <c r="EP89" s="389"/>
      <c r="EQ89" s="320"/>
    </row>
    <row r="90" spans="1:147" s="390" customFormat="1" ht="15" hidden="1" customHeight="1" outlineLevel="3">
      <c r="A90" s="385"/>
      <c r="B90"/>
      <c r="C90"/>
      <c r="D90"/>
      <c r="E90"/>
      <c r="F90"/>
      <c r="G90"/>
      <c r="H90" s="386"/>
      <c r="I90" s="378" t="s">
        <v>1623</v>
      </c>
      <c r="J90" s="386"/>
      <c r="K90" s="386"/>
      <c r="L90" s="386"/>
      <c r="M90" s="388"/>
      <c r="N90" s="386"/>
      <c r="O90" s="386"/>
      <c r="P90" s="386"/>
      <c r="Q90" s="388"/>
      <c r="R90" s="386"/>
      <c r="S90" s="386"/>
      <c r="T90" s="386"/>
      <c r="U90" s="388"/>
      <c r="V90" s="386"/>
      <c r="W90" s="386"/>
      <c r="X90" s="386"/>
      <c r="Y90" s="388"/>
      <c r="Z90" s="386"/>
      <c r="AA90" s="386"/>
      <c r="AB90" s="386"/>
      <c r="AC90" s="388"/>
      <c r="AD90" s="386"/>
      <c r="AE90" s="386"/>
      <c r="AF90" s="386"/>
      <c r="AG90" s="388"/>
      <c r="AH90" s="386"/>
      <c r="AI90" s="386"/>
      <c r="AJ90" s="386"/>
      <c r="AK90" s="388"/>
      <c r="AL90" s="386"/>
      <c r="AM90" s="386"/>
      <c r="AN90" s="386"/>
      <c r="AO90" s="388"/>
      <c r="AP90" s="386"/>
      <c r="AQ90" s="386"/>
      <c r="AR90" s="386"/>
      <c r="AS90" s="478"/>
      <c r="AT90" s="325"/>
      <c r="AU90" s="325"/>
      <c r="AV90" s="325"/>
      <c r="AW90" s="325"/>
      <c r="AX90" s="325"/>
      <c r="AY90" s="325"/>
      <c r="AZ90" s="325"/>
      <c r="BA90" s="325"/>
      <c r="BB90" s="325"/>
      <c r="BC90" s="325"/>
      <c r="BD90" s="325"/>
      <c r="BE90" s="325"/>
      <c r="BF90" s="325"/>
      <c r="BG90" s="325"/>
      <c r="BH90" s="325"/>
      <c r="BI90" s="325"/>
      <c r="BJ90" s="325"/>
      <c r="BK90" s="325"/>
      <c r="BL90" s="325"/>
      <c r="BM90" s="325"/>
      <c r="BN90" s="325"/>
      <c r="BO90" s="325"/>
      <c r="BP90" s="325"/>
      <c r="BQ90" s="325"/>
      <c r="BR90" s="508">
        <v>154</v>
      </c>
      <c r="BS90" s="508">
        <v>123</v>
      </c>
      <c r="BT90" s="508">
        <v>200</v>
      </c>
      <c r="BU90" s="509">
        <v>789</v>
      </c>
      <c r="BV90" s="508">
        <v>200</v>
      </c>
      <c r="BW90" s="508">
        <v>523</v>
      </c>
      <c r="BX90" s="508">
        <v>511</v>
      </c>
      <c r="BY90" s="509">
        <v>794</v>
      </c>
      <c r="BZ90" s="508">
        <v>311</v>
      </c>
      <c r="CA90" s="508">
        <v>424</v>
      </c>
      <c r="CB90" s="508">
        <v>588</v>
      </c>
      <c r="CC90" s="509">
        <v>896</v>
      </c>
      <c r="CD90" s="510">
        <v>367</v>
      </c>
      <c r="CE90" s="508">
        <v>359</v>
      </c>
      <c r="CF90" s="508">
        <v>439</v>
      </c>
      <c r="CG90" s="509">
        <v>1203</v>
      </c>
      <c r="CH90" s="510">
        <v>243</v>
      </c>
      <c r="CI90" s="508">
        <v>341</v>
      </c>
      <c r="CJ90" s="508">
        <v>301</v>
      </c>
      <c r="CK90" s="509">
        <v>1137</v>
      </c>
      <c r="CL90" s="508">
        <v>509</v>
      </c>
      <c r="CM90" s="508">
        <v>941</v>
      </c>
      <c r="CN90" s="508">
        <v>650</v>
      </c>
      <c r="CO90" s="509">
        <v>1123</v>
      </c>
      <c r="CP90" s="510">
        <v>789</v>
      </c>
      <c r="CQ90" s="508">
        <v>771</v>
      </c>
      <c r="CR90" s="508">
        <v>855</v>
      </c>
      <c r="CS90" s="509">
        <v>1294.8197495164459</v>
      </c>
      <c r="CT90" s="510">
        <v>541.15257826523691</v>
      </c>
      <c r="CU90" s="508">
        <v>494.61258160659389</v>
      </c>
      <c r="CV90" s="508">
        <v>822.07252099689561</v>
      </c>
      <c r="CW90" s="509">
        <v>1540.3505739088162</v>
      </c>
      <c r="CX90" s="325"/>
      <c r="CY90" s="325"/>
      <c r="CZ90" s="325"/>
      <c r="DA90" s="372"/>
      <c r="DB90" s="325"/>
      <c r="DC90" s="325"/>
      <c r="DD90" s="325"/>
      <c r="DE90" s="372"/>
      <c r="DF90" s="325"/>
      <c r="DG90" s="325"/>
      <c r="DH90" s="325"/>
      <c r="DI90" s="372"/>
      <c r="DJ90" s="486"/>
      <c r="DK90" s="373"/>
      <c r="DL90" s="325"/>
      <c r="DM90" s="325"/>
      <c r="DN90" s="325"/>
      <c r="DO90" s="325"/>
      <c r="DP90" s="325"/>
      <c r="DQ90" s="325"/>
      <c r="DR90" s="325"/>
      <c r="DS90" s="401"/>
      <c r="DT90" s="325"/>
      <c r="DU90" s="325"/>
      <c r="DV90" s="325"/>
      <c r="DW90" s="325"/>
      <c r="DX90" s="325"/>
      <c r="DY90" s="508">
        <v>1325</v>
      </c>
      <c r="DZ90" s="508">
        <v>1266</v>
      </c>
      <c r="EA90" s="508">
        <v>2028</v>
      </c>
      <c r="EB90" s="508">
        <v>2219</v>
      </c>
      <c r="EC90" s="508">
        <v>2368</v>
      </c>
      <c r="ED90" s="508">
        <v>1965</v>
      </c>
      <c r="EE90" s="508">
        <v>3280</v>
      </c>
      <c r="EF90" s="508">
        <v>3766.8197495164459</v>
      </c>
      <c r="EG90" s="508">
        <v>3455.1882547775422</v>
      </c>
      <c r="EH90" s="508">
        <v>4363.0855928196424</v>
      </c>
      <c r="EI90" s="508">
        <v>3964.8708084422783</v>
      </c>
      <c r="EJ90" s="508">
        <v>3668.9429716937057</v>
      </c>
      <c r="EK90" s="508">
        <v>4232.151771351746</v>
      </c>
      <c r="EL90" s="508">
        <v>3896.1889352860198</v>
      </c>
      <c r="EM90" s="508">
        <v>4018.4089140409869</v>
      </c>
      <c r="EN90" s="508">
        <v>3928.2878050490494</v>
      </c>
      <c r="EO90" s="508">
        <v>4545.7771249656807</v>
      </c>
      <c r="EP90" s="389"/>
      <c r="EQ90" s="320"/>
    </row>
    <row r="91" spans="1:147" s="390" customFormat="1" ht="15" hidden="1" customHeight="1" outlineLevel="3">
      <c r="A91" s="385"/>
      <c r="B91"/>
      <c r="C91"/>
      <c r="D91"/>
      <c r="E91"/>
      <c r="F91"/>
      <c r="G91"/>
      <c r="H91" s="386"/>
      <c r="I91" s="378" t="s">
        <v>1624</v>
      </c>
      <c r="J91" s="386"/>
      <c r="K91" s="386"/>
      <c r="L91" s="386"/>
      <c r="M91" s="388"/>
      <c r="N91" s="386"/>
      <c r="O91" s="386"/>
      <c r="P91" s="386"/>
      <c r="Q91" s="388"/>
      <c r="R91" s="386"/>
      <c r="S91" s="386"/>
      <c r="T91" s="386"/>
      <c r="U91" s="388"/>
      <c r="V91" s="386"/>
      <c r="W91" s="386"/>
      <c r="X91" s="386"/>
      <c r="Y91" s="388"/>
      <c r="Z91" s="386"/>
      <c r="AA91" s="386"/>
      <c r="AB91" s="386"/>
      <c r="AC91" s="388"/>
      <c r="AD91" s="386"/>
      <c r="AE91" s="386"/>
      <c r="AF91" s="386"/>
      <c r="AG91" s="388"/>
      <c r="AH91" s="386"/>
      <c r="AI91" s="386"/>
      <c r="AJ91" s="386"/>
      <c r="AK91" s="388"/>
      <c r="AL91" s="386"/>
      <c r="AM91" s="386"/>
      <c r="AN91" s="386"/>
      <c r="AO91" s="388"/>
      <c r="AP91" s="386"/>
      <c r="AQ91" s="386"/>
      <c r="AR91" s="386"/>
      <c r="AS91" s="478"/>
      <c r="AT91" s="325"/>
      <c r="AU91" s="325"/>
      <c r="AV91" s="325"/>
      <c r="AW91" s="325"/>
      <c r="AX91" s="325"/>
      <c r="AY91" s="325"/>
      <c r="AZ91" s="325"/>
      <c r="BA91" s="325"/>
      <c r="BB91" s="325"/>
      <c r="BC91" s="325"/>
      <c r="BD91" s="325"/>
      <c r="BE91" s="325"/>
      <c r="BF91" s="325"/>
      <c r="BG91" s="325"/>
      <c r="BH91" s="325"/>
      <c r="BI91" s="325"/>
      <c r="BJ91" s="325"/>
      <c r="BK91" s="325"/>
      <c r="BL91" s="325"/>
      <c r="BM91" s="325"/>
      <c r="BN91" s="325"/>
      <c r="BO91" s="325"/>
      <c r="BP91" s="325"/>
      <c r="BQ91" s="325"/>
      <c r="BR91" s="325">
        <v>38</v>
      </c>
      <c r="BS91" s="325">
        <v>30</v>
      </c>
      <c r="BT91" s="325">
        <v>42</v>
      </c>
      <c r="BU91" s="372">
        <v>167</v>
      </c>
      <c r="BV91" s="325">
        <v>27</v>
      </c>
      <c r="BW91" s="325">
        <v>119</v>
      </c>
      <c r="BX91" s="325">
        <v>115</v>
      </c>
      <c r="BY91" s="372">
        <v>98</v>
      </c>
      <c r="BZ91" s="325">
        <v>75</v>
      </c>
      <c r="CA91" s="325">
        <v>93</v>
      </c>
      <c r="CB91" s="325">
        <v>130</v>
      </c>
      <c r="CC91" s="372">
        <v>174</v>
      </c>
      <c r="CD91" s="373">
        <v>71</v>
      </c>
      <c r="CE91" s="325">
        <v>45</v>
      </c>
      <c r="CF91" s="325">
        <v>40</v>
      </c>
      <c r="CG91" s="372">
        <v>208</v>
      </c>
      <c r="CH91" s="373">
        <v>1</v>
      </c>
      <c r="CI91" s="325">
        <v>48</v>
      </c>
      <c r="CJ91" s="325">
        <v>54</v>
      </c>
      <c r="CK91" s="372">
        <v>179</v>
      </c>
      <c r="CL91" s="325">
        <v>59</v>
      </c>
      <c r="CM91" s="325">
        <v>185</v>
      </c>
      <c r="CN91" s="325">
        <v>97</v>
      </c>
      <c r="CO91" s="372">
        <v>180</v>
      </c>
      <c r="CP91" s="373">
        <v>128</v>
      </c>
      <c r="CQ91" s="325">
        <v>59</v>
      </c>
      <c r="CR91" s="325">
        <v>288</v>
      </c>
      <c r="CS91" s="372">
        <v>258.89394990328924</v>
      </c>
      <c r="CT91" s="373">
        <v>108.22351565304734</v>
      </c>
      <c r="CU91" s="325">
        <v>98.915516321318762</v>
      </c>
      <c r="CV91" s="325">
        <v>164.4075041993791</v>
      </c>
      <c r="CW91" s="372">
        <v>308.06311478176326</v>
      </c>
      <c r="CX91" s="325"/>
      <c r="CY91" s="325"/>
      <c r="CZ91" s="325"/>
      <c r="DA91" s="372"/>
      <c r="DB91" s="325"/>
      <c r="DC91" s="325"/>
      <c r="DD91" s="325"/>
      <c r="DE91" s="372"/>
      <c r="DF91" s="325"/>
      <c r="DG91" s="325"/>
      <c r="DH91" s="325"/>
      <c r="DI91" s="372"/>
      <c r="DJ91" s="486"/>
      <c r="DK91" s="373"/>
      <c r="DL91" s="325"/>
      <c r="DM91" s="325"/>
      <c r="DN91" s="325"/>
      <c r="DO91" s="325"/>
      <c r="DP91" s="325"/>
      <c r="DQ91" s="325"/>
      <c r="DR91" s="325"/>
      <c r="DS91" s="401"/>
      <c r="DT91" s="325"/>
      <c r="DU91" s="325"/>
      <c r="DV91" s="325"/>
      <c r="DW91" s="325"/>
      <c r="DX91" s="325"/>
      <c r="DY91" s="325">
        <v>268</v>
      </c>
      <c r="DZ91" s="325">
        <v>277</v>
      </c>
      <c r="EA91" s="325">
        <v>359</v>
      </c>
      <c r="EB91" s="325">
        <v>472</v>
      </c>
      <c r="EC91" s="325">
        <v>364</v>
      </c>
      <c r="ED91" s="325">
        <v>225</v>
      </c>
      <c r="EE91" s="325">
        <v>578</v>
      </c>
      <c r="EF91" s="325">
        <v>790.89394990328856</v>
      </c>
      <c r="EG91" s="325">
        <v>736.60965095550728</v>
      </c>
      <c r="EH91" s="325">
        <v>873.64258247916405</v>
      </c>
      <c r="EI91" s="325">
        <v>792.44164913592749</v>
      </c>
      <c r="EJ91" s="325">
        <v>733.57223370705424</v>
      </c>
      <c r="EK91" s="325">
        <v>9.4821637798941083</v>
      </c>
      <c r="EL91" s="325">
        <v>-6.1582175868356899</v>
      </c>
      <c r="EM91" s="325">
        <v>1.6305344146039715</v>
      </c>
      <c r="EN91" s="325">
        <v>-0.94816501443983725</v>
      </c>
      <c r="EO91" s="325">
        <v>10.831695520268113</v>
      </c>
      <c r="EP91" s="389"/>
      <c r="EQ91" s="320"/>
    </row>
    <row r="92" spans="1:147" s="390" customFormat="1" ht="15" hidden="1" customHeight="1" outlineLevel="3">
      <c r="A92" s="385"/>
      <c r="B92"/>
      <c r="C92"/>
      <c r="D92"/>
      <c r="E92"/>
      <c r="F92"/>
      <c r="G92"/>
      <c r="H92" s="386"/>
      <c r="I92" s="378" t="s">
        <v>1617</v>
      </c>
      <c r="J92" s="386"/>
      <c r="K92" s="386"/>
      <c r="L92" s="386"/>
      <c r="M92" s="388"/>
      <c r="N92" s="386"/>
      <c r="O92" s="386"/>
      <c r="P92" s="386"/>
      <c r="Q92" s="388"/>
      <c r="R92" s="386"/>
      <c r="S92" s="386"/>
      <c r="T92" s="386"/>
      <c r="U92" s="388"/>
      <c r="V92" s="386"/>
      <c r="W92" s="386"/>
      <c r="X92" s="386"/>
      <c r="Y92" s="388"/>
      <c r="Z92" s="386"/>
      <c r="AA92" s="386"/>
      <c r="AB92" s="386"/>
      <c r="AC92" s="388"/>
      <c r="AD92" s="386"/>
      <c r="AE92" s="386"/>
      <c r="AF92" s="386"/>
      <c r="AG92" s="388"/>
      <c r="AH92" s="386"/>
      <c r="AI92" s="386"/>
      <c r="AJ92" s="386"/>
      <c r="AK92" s="388"/>
      <c r="AL92" s="386"/>
      <c r="AM92" s="386"/>
      <c r="AN92" s="386"/>
      <c r="AO92" s="388"/>
      <c r="AP92" s="386"/>
      <c r="AQ92" s="386"/>
      <c r="AR92" s="386"/>
      <c r="AS92" s="478"/>
      <c r="AT92" s="325"/>
      <c r="AU92" s="325"/>
      <c r="AV92" s="325"/>
      <c r="AW92" s="325"/>
      <c r="AX92" s="325"/>
      <c r="AY92" s="325"/>
      <c r="AZ92" s="325"/>
      <c r="BA92" s="325"/>
      <c r="BB92" s="325"/>
      <c r="BC92" s="325"/>
      <c r="BD92" s="325"/>
      <c r="BE92" s="325"/>
      <c r="BF92" s="325"/>
      <c r="BG92" s="325"/>
      <c r="BH92" s="325"/>
      <c r="BI92" s="325"/>
      <c r="BJ92" s="325"/>
      <c r="BK92" s="325"/>
      <c r="BL92" s="325"/>
      <c r="BM92" s="325"/>
      <c r="BN92" s="325"/>
      <c r="BO92" s="325"/>
      <c r="BP92" s="325"/>
      <c r="BQ92" s="325"/>
      <c r="BR92" s="511">
        <v>116</v>
      </c>
      <c r="BS92" s="511">
        <v>93</v>
      </c>
      <c r="BT92" s="511">
        <v>158</v>
      </c>
      <c r="BU92" s="512">
        <v>622</v>
      </c>
      <c r="BV92" s="511">
        <v>173</v>
      </c>
      <c r="BW92" s="511">
        <v>404</v>
      </c>
      <c r="BX92" s="511">
        <v>396</v>
      </c>
      <c r="BY92" s="512">
        <v>696</v>
      </c>
      <c r="BZ92" s="511">
        <v>236</v>
      </c>
      <c r="CA92" s="511">
        <v>331</v>
      </c>
      <c r="CB92" s="511">
        <v>458</v>
      </c>
      <c r="CC92" s="512">
        <v>722</v>
      </c>
      <c r="CD92" s="513">
        <v>296</v>
      </c>
      <c r="CE92" s="511">
        <v>314</v>
      </c>
      <c r="CF92" s="511">
        <v>399</v>
      </c>
      <c r="CG92" s="512">
        <v>995</v>
      </c>
      <c r="CH92" s="513">
        <v>242</v>
      </c>
      <c r="CI92" s="511">
        <v>293</v>
      </c>
      <c r="CJ92" s="511">
        <v>247</v>
      </c>
      <c r="CK92" s="512">
        <v>958</v>
      </c>
      <c r="CL92" s="511">
        <v>450</v>
      </c>
      <c r="CM92" s="511">
        <v>756</v>
      </c>
      <c r="CN92" s="511">
        <v>553</v>
      </c>
      <c r="CO92" s="512">
        <v>943</v>
      </c>
      <c r="CP92" s="513">
        <v>661</v>
      </c>
      <c r="CQ92" s="511">
        <v>712</v>
      </c>
      <c r="CR92" s="511">
        <v>567</v>
      </c>
      <c r="CS92" s="512">
        <v>1035.9257996131566</v>
      </c>
      <c r="CT92" s="513">
        <v>432.92906261218957</v>
      </c>
      <c r="CU92" s="511">
        <v>395.69706528527513</v>
      </c>
      <c r="CV92" s="511">
        <v>657.6650167975165</v>
      </c>
      <c r="CW92" s="512">
        <v>1232.2874591270529</v>
      </c>
      <c r="CX92" s="325"/>
      <c r="CY92" s="325"/>
      <c r="CZ92" s="325"/>
      <c r="DA92" s="372"/>
      <c r="DB92" s="325"/>
      <c r="DC92" s="325"/>
      <c r="DD92" s="325"/>
      <c r="DE92" s="372"/>
      <c r="DF92" s="325"/>
      <c r="DG92" s="325"/>
      <c r="DH92" s="325"/>
      <c r="DI92" s="372"/>
      <c r="DJ92" s="486"/>
      <c r="DK92" s="373"/>
      <c r="DL92" s="325"/>
      <c r="DM92" s="325"/>
      <c r="DN92" s="325"/>
      <c r="DO92" s="325"/>
      <c r="DP92" s="325"/>
      <c r="DQ92" s="325"/>
      <c r="DR92" s="325"/>
      <c r="DS92" s="401"/>
      <c r="DT92" s="325"/>
      <c r="DU92" s="325"/>
      <c r="DV92" s="325"/>
      <c r="DW92" s="325"/>
      <c r="DX92" s="325"/>
      <c r="DY92" s="511">
        <v>1057</v>
      </c>
      <c r="DZ92" s="511">
        <v>989</v>
      </c>
      <c r="EA92" s="511">
        <v>1669</v>
      </c>
      <c r="EB92" s="511">
        <v>1747</v>
      </c>
      <c r="EC92" s="511">
        <v>2004</v>
      </c>
      <c r="ED92" s="511">
        <v>1740</v>
      </c>
      <c r="EE92" s="511">
        <v>2702</v>
      </c>
      <c r="EF92" s="511">
        <v>2975.9257996131573</v>
      </c>
      <c r="EG92" s="511">
        <v>2718.5786038220349</v>
      </c>
      <c r="EH92" s="511">
        <v>3489.4430103404784</v>
      </c>
      <c r="EI92" s="511">
        <v>3172.4291593063508</v>
      </c>
      <c r="EJ92" s="511">
        <v>2935.3707379866514</v>
      </c>
      <c r="EK92" s="511">
        <v>4222.6696075718519</v>
      </c>
      <c r="EL92" s="511">
        <v>3902.3471528728555</v>
      </c>
      <c r="EM92" s="511">
        <v>4016.778379626383</v>
      </c>
      <c r="EN92" s="511">
        <v>3929.2359700634893</v>
      </c>
      <c r="EO92" s="511">
        <v>4534.9454294454126</v>
      </c>
      <c r="EP92" s="389"/>
      <c r="EQ92" s="320"/>
    </row>
    <row r="93" spans="1:147" s="390" customFormat="1" ht="15" hidden="1" customHeight="1" outlineLevel="3">
      <c r="A93" s="385"/>
      <c r="B93"/>
      <c r="C93"/>
      <c r="D93"/>
      <c r="E93"/>
      <c r="F93"/>
      <c r="G93"/>
      <c r="H93" s="386"/>
      <c r="I93" s="378" t="s">
        <v>1625</v>
      </c>
      <c r="J93" s="386"/>
      <c r="K93" s="386"/>
      <c r="L93" s="386"/>
      <c r="M93" s="388"/>
      <c r="N93" s="386"/>
      <c r="O93" s="386"/>
      <c r="P93" s="386"/>
      <c r="Q93" s="388"/>
      <c r="R93" s="386"/>
      <c r="S93" s="386"/>
      <c r="T93" s="386"/>
      <c r="U93" s="388"/>
      <c r="V93" s="386"/>
      <c r="W93" s="386"/>
      <c r="X93" s="386"/>
      <c r="Y93" s="388"/>
      <c r="Z93" s="386"/>
      <c r="AA93" s="386"/>
      <c r="AB93" s="386"/>
      <c r="AC93" s="388"/>
      <c r="AD93" s="386"/>
      <c r="AE93" s="386"/>
      <c r="AF93" s="386"/>
      <c r="AG93" s="388"/>
      <c r="AH93" s="386"/>
      <c r="AI93" s="386"/>
      <c r="AJ93" s="386"/>
      <c r="AK93" s="388"/>
      <c r="AL93" s="386"/>
      <c r="AM93" s="386"/>
      <c r="AN93" s="386"/>
      <c r="AO93" s="388"/>
      <c r="AP93" s="386"/>
      <c r="AQ93" s="386"/>
      <c r="AR93" s="386"/>
      <c r="AS93" s="478"/>
      <c r="AT93" s="325"/>
      <c r="AU93" s="325"/>
      <c r="AV93" s="325"/>
      <c r="AW93" s="325"/>
      <c r="AX93" s="325"/>
      <c r="AY93" s="325"/>
      <c r="AZ93" s="325"/>
      <c r="BA93" s="325"/>
      <c r="BB93" s="325"/>
      <c r="BC93" s="325"/>
      <c r="BD93" s="325"/>
      <c r="BE93" s="325"/>
      <c r="BF93" s="325"/>
      <c r="BG93" s="325"/>
      <c r="BH93" s="325"/>
      <c r="BI93" s="325"/>
      <c r="BJ93" s="325"/>
      <c r="BK93" s="325"/>
      <c r="BL93" s="325"/>
      <c r="BM93" s="325"/>
      <c r="BN93" s="325"/>
      <c r="BO93" s="325"/>
      <c r="BP93" s="325"/>
      <c r="BQ93" s="325"/>
      <c r="BR93" s="514">
        <v>0.24675324675324675</v>
      </c>
      <c r="BS93" s="514">
        <v>0.24390243902439024</v>
      </c>
      <c r="BT93" s="514">
        <v>0.21</v>
      </c>
      <c r="BU93" s="515">
        <v>0.21166032953105196</v>
      </c>
      <c r="BV93" s="514">
        <v>0.13500000000000001</v>
      </c>
      <c r="BW93" s="514">
        <v>0.22753346080305928</v>
      </c>
      <c r="BX93" s="514">
        <v>0.22504892367906065</v>
      </c>
      <c r="BY93" s="515">
        <v>0.12342569269521411</v>
      </c>
      <c r="BZ93" s="514">
        <v>0.24115755627009647</v>
      </c>
      <c r="CA93" s="514">
        <v>0.21933962264150944</v>
      </c>
      <c r="CB93" s="514">
        <v>0.22108843537414966</v>
      </c>
      <c r="CC93" s="515">
        <v>0.19419642857142858</v>
      </c>
      <c r="CD93" s="516">
        <v>0.19346049046321526</v>
      </c>
      <c r="CE93" s="514">
        <v>0.12534818941504178</v>
      </c>
      <c r="CF93" s="514">
        <v>9.1116173120728935E-2</v>
      </c>
      <c r="CG93" s="515">
        <v>0.17290108063175394</v>
      </c>
      <c r="CH93" s="516">
        <v>4.11522633744856E-3</v>
      </c>
      <c r="CI93" s="514">
        <v>0.14076246334310852</v>
      </c>
      <c r="CJ93" s="514">
        <v>0.17940199335548174</v>
      </c>
      <c r="CK93" s="515">
        <v>0.15743183817062445</v>
      </c>
      <c r="CL93" s="514">
        <v>0.11591355599214145</v>
      </c>
      <c r="CM93" s="514">
        <v>0.19659936238044634</v>
      </c>
      <c r="CN93" s="514">
        <v>0.14923076923076922</v>
      </c>
      <c r="CO93" s="515">
        <v>0.16028495102404275</v>
      </c>
      <c r="CP93" s="516">
        <v>0.16223067173637515</v>
      </c>
      <c r="CQ93" s="514">
        <v>7.6523994811932561E-2</v>
      </c>
      <c r="CR93" s="514">
        <v>0.33684210526315789</v>
      </c>
      <c r="CS93" s="515">
        <v>0.19994593842113847</v>
      </c>
      <c r="CT93" s="516">
        <v>0.19998706464631014</v>
      </c>
      <c r="CU93" s="514">
        <v>0.19998584750922171</v>
      </c>
      <c r="CV93" s="514">
        <v>0.19999148493615682</v>
      </c>
      <c r="CW93" s="515">
        <v>0.19999545557997087</v>
      </c>
      <c r="CX93" s="325"/>
      <c r="CY93" s="325"/>
      <c r="CZ93" s="325"/>
      <c r="DA93" s="372"/>
      <c r="DB93" s="325"/>
      <c r="DC93" s="325"/>
      <c r="DD93" s="325"/>
      <c r="DE93" s="372"/>
      <c r="DF93" s="325"/>
      <c r="DG93" s="325"/>
      <c r="DH93" s="325"/>
      <c r="DI93" s="372"/>
      <c r="DJ93" s="486"/>
      <c r="DK93" s="373"/>
      <c r="DL93" s="325"/>
      <c r="DM93" s="325"/>
      <c r="DN93" s="325"/>
      <c r="DO93" s="325"/>
      <c r="DP93" s="325"/>
      <c r="DQ93" s="325"/>
      <c r="DR93" s="325"/>
      <c r="DS93" s="401"/>
      <c r="DT93" s="325"/>
      <c r="DU93" s="325"/>
      <c r="DV93" s="325"/>
      <c r="DW93" s="325"/>
      <c r="DX93" s="325"/>
      <c r="DY93" s="514">
        <v>0.20226415094339623</v>
      </c>
      <c r="DZ93" s="514">
        <v>0.21879936808846762</v>
      </c>
      <c r="EA93" s="514">
        <v>0.17702169625246547</v>
      </c>
      <c r="EB93" s="514">
        <v>0.21270842721946823</v>
      </c>
      <c r="EC93" s="514">
        <v>0.15371621621621623</v>
      </c>
      <c r="ED93" s="514">
        <v>0.11450381679389313</v>
      </c>
      <c r="EE93" s="514">
        <v>0.17621951219512194</v>
      </c>
      <c r="EF93" s="514">
        <v>0.20996331189057219</v>
      </c>
      <c r="EG93" s="514">
        <v>0.21318944052816391</v>
      </c>
      <c r="EH93" s="514">
        <v>0.20023503181256017</v>
      </c>
      <c r="EI93" s="514">
        <v>0.19986569233191803</v>
      </c>
      <c r="EJ93" s="514">
        <v>0.19994102916470599</v>
      </c>
      <c r="EK93" s="514">
        <v>2.2405065536828593E-3</v>
      </c>
      <c r="EL93" s="514">
        <v>-1.580574681854748E-3</v>
      </c>
      <c r="EM93" s="514">
        <v>4.0576617499195116E-4</v>
      </c>
      <c r="EN93" s="514">
        <v>-2.4136852020393101E-4</v>
      </c>
      <c r="EO93" s="514">
        <v>2.3828039128402909E-3</v>
      </c>
      <c r="EP93" s="389"/>
      <c r="EQ93" s="320"/>
    </row>
    <row r="94" spans="1:147" s="390" customFormat="1" ht="15" hidden="1" customHeight="1" outlineLevel="3">
      <c r="A94" s="385"/>
      <c r="B94"/>
      <c r="C94"/>
      <c r="D94"/>
      <c r="E94"/>
      <c r="F94"/>
      <c r="G94"/>
      <c r="H94" s="386"/>
      <c r="I94" s="517"/>
      <c r="J94" s="386"/>
      <c r="K94" s="386"/>
      <c r="L94" s="386"/>
      <c r="M94" s="388"/>
      <c r="N94" s="386"/>
      <c r="O94" s="386"/>
      <c r="P94" s="386"/>
      <c r="Q94" s="388"/>
      <c r="R94" s="386"/>
      <c r="S94" s="386"/>
      <c r="T94" s="386"/>
      <c r="U94" s="388"/>
      <c r="V94" s="386"/>
      <c r="W94" s="386"/>
      <c r="X94" s="386"/>
      <c r="Y94" s="388"/>
      <c r="Z94" s="386"/>
      <c r="AA94" s="386"/>
      <c r="AB94" s="386"/>
      <c r="AC94" s="388"/>
      <c r="AD94" s="386"/>
      <c r="AE94" s="386"/>
      <c r="AF94" s="386"/>
      <c r="AG94" s="388"/>
      <c r="AH94" s="386"/>
      <c r="AI94" s="386"/>
      <c r="AJ94" s="386"/>
      <c r="AK94" s="388"/>
      <c r="AL94" s="386"/>
      <c r="AM94" s="386"/>
      <c r="AN94" s="386"/>
      <c r="AO94" s="388"/>
      <c r="AP94" s="386"/>
      <c r="AQ94" s="386"/>
      <c r="AR94" s="386"/>
      <c r="AS94" s="478"/>
      <c r="AT94" s="479"/>
      <c r="AU94" s="479"/>
      <c r="AV94" s="479"/>
      <c r="AW94" s="478"/>
      <c r="AX94" s="479"/>
      <c r="AY94" s="479"/>
      <c r="AZ94" s="479"/>
      <c r="BA94" s="478"/>
      <c r="BB94" s="479"/>
      <c r="BC94" s="479"/>
      <c r="BD94" s="479"/>
      <c r="BE94" s="493"/>
      <c r="BF94" s="479"/>
      <c r="BG94" s="479"/>
      <c r="BH94" s="479"/>
      <c r="BI94" s="493"/>
      <c r="BJ94" s="479"/>
      <c r="BK94" s="479"/>
      <c r="BL94" s="479"/>
      <c r="BM94" s="493"/>
      <c r="BN94" s="386"/>
      <c r="BO94" s="386"/>
      <c r="BP94" s="325"/>
      <c r="BQ94" s="493"/>
      <c r="BR94" s="386"/>
      <c r="BS94" s="386"/>
      <c r="BT94" s="325"/>
      <c r="BU94" s="372"/>
      <c r="BV94" s="518"/>
      <c r="BW94" s="325"/>
      <c r="BX94" s="325"/>
      <c r="BY94" s="372"/>
      <c r="BZ94" s="373"/>
      <c r="CA94" s="325"/>
      <c r="CB94" s="325"/>
      <c r="CC94" s="372"/>
      <c r="CD94" s="373"/>
      <c r="CE94" s="325"/>
      <c r="CF94" s="325"/>
      <c r="CG94" s="372"/>
      <c r="CH94" s="373"/>
      <c r="CI94" s="325"/>
      <c r="CJ94" s="325"/>
      <c r="CK94" s="372"/>
      <c r="CL94" s="325"/>
      <c r="CM94" s="325"/>
      <c r="CN94" s="325"/>
      <c r="CO94" s="372"/>
      <c r="CP94" s="373"/>
      <c r="CQ94" s="325"/>
      <c r="CR94" s="325"/>
      <c r="CS94" s="372"/>
      <c r="CT94" s="373"/>
      <c r="CU94" s="325"/>
      <c r="CV94" s="325"/>
      <c r="CW94" s="372"/>
      <c r="CX94" s="325"/>
      <c r="CY94" s="325"/>
      <c r="CZ94" s="325"/>
      <c r="DA94" s="372"/>
      <c r="DB94" s="325"/>
      <c r="DC94" s="325"/>
      <c r="DD94" s="325"/>
      <c r="DE94" s="372"/>
      <c r="DF94" s="325"/>
      <c r="DG94" s="325"/>
      <c r="DH94" s="325"/>
      <c r="DI94" s="372"/>
      <c r="DJ94" s="519"/>
      <c r="DK94" s="389"/>
      <c r="DL94" s="386"/>
      <c r="DM94" s="386"/>
      <c r="DN94" s="386"/>
      <c r="DO94" s="386"/>
      <c r="DP94" s="386"/>
      <c r="DQ94" s="386"/>
      <c r="DR94" s="386"/>
      <c r="DS94" s="399"/>
      <c r="DT94" s="399"/>
      <c r="DU94" s="399"/>
      <c r="DV94" s="386"/>
      <c r="DW94" s="386"/>
      <c r="DX94" s="386"/>
      <c r="DY94" s="386"/>
      <c r="DZ94" s="386"/>
      <c r="EA94" s="386"/>
      <c r="EB94" s="386"/>
      <c r="EC94" s="386"/>
      <c r="ED94" s="386"/>
      <c r="EE94" s="386"/>
      <c r="EF94" s="386"/>
      <c r="EG94" s="386"/>
      <c r="EH94" s="386"/>
      <c r="EI94" s="386"/>
      <c r="EJ94" s="386"/>
      <c r="EK94" s="386"/>
      <c r="EL94" s="386"/>
      <c r="EM94" s="386"/>
      <c r="EN94" s="386"/>
      <c r="EO94" s="386"/>
      <c r="EP94" s="389"/>
      <c r="EQ94" s="386"/>
    </row>
    <row r="95" spans="1:147" s="390" customFormat="1" ht="15" customHeight="1" outlineLevel="2" collapsed="1">
      <c r="A95" s="385"/>
      <c r="B95"/>
      <c r="C95"/>
      <c r="D95"/>
      <c r="E95"/>
      <c r="F95"/>
      <c r="G95"/>
      <c r="H95" s="386"/>
      <c r="I95" s="520" t="s">
        <v>1626</v>
      </c>
      <c r="J95" s="386"/>
      <c r="K95" s="386"/>
      <c r="L95" s="386"/>
      <c r="M95" s="388"/>
      <c r="N95" s="386"/>
      <c r="O95" s="386"/>
      <c r="P95" s="386"/>
      <c r="Q95" s="388"/>
      <c r="R95" s="386"/>
      <c r="S95" s="386"/>
      <c r="T95" s="386"/>
      <c r="U95" s="388"/>
      <c r="V95" s="386"/>
      <c r="W95" s="386"/>
      <c r="X95" s="386"/>
      <c r="Y95" s="388"/>
      <c r="Z95" s="386"/>
      <c r="AA95" s="386"/>
      <c r="AB95" s="386"/>
      <c r="AC95" s="388"/>
      <c r="AD95" s="386"/>
      <c r="AE95" s="386"/>
      <c r="AF95" s="386"/>
      <c r="AG95" s="388"/>
      <c r="AH95" s="386"/>
      <c r="AI95" s="386"/>
      <c r="AJ95" s="386"/>
      <c r="AK95" s="388"/>
      <c r="AL95" s="386"/>
      <c r="AM95" s="386"/>
      <c r="AN95" s="386"/>
      <c r="AO95" s="388"/>
      <c r="AP95" s="386"/>
      <c r="AQ95" s="386"/>
      <c r="AR95" s="386"/>
      <c r="AS95" s="478"/>
      <c r="AT95" s="479"/>
      <c r="AU95" s="479"/>
      <c r="AV95" s="479"/>
      <c r="AW95" s="478"/>
      <c r="AX95" s="479"/>
      <c r="AY95" s="479"/>
      <c r="AZ95" s="479"/>
      <c r="BA95" s="478"/>
      <c r="BB95" s="479"/>
      <c r="BC95" s="479"/>
      <c r="BD95" s="479"/>
      <c r="BE95" s="493"/>
      <c r="BF95" s="479"/>
      <c r="BG95" s="479"/>
      <c r="BH95" s="479"/>
      <c r="BI95" s="493"/>
      <c r="BJ95" s="479"/>
      <c r="BK95" s="479"/>
      <c r="BL95" s="479"/>
      <c r="BM95" s="493"/>
      <c r="BN95" s="386"/>
      <c r="BO95" s="386"/>
      <c r="BP95" s="325"/>
      <c r="BQ95" s="493"/>
      <c r="BR95" s="386"/>
      <c r="BS95" s="386"/>
      <c r="BT95" s="325"/>
      <c r="BU95" s="372"/>
      <c r="BV95" s="325"/>
      <c r="BW95" s="325"/>
      <c r="BX95" s="325"/>
      <c r="BY95" s="372"/>
      <c r="BZ95" s="373"/>
      <c r="CA95" s="325"/>
      <c r="CB95" s="325"/>
      <c r="CC95" s="372"/>
      <c r="CD95" s="373"/>
      <c r="CE95" s="325"/>
      <c r="CF95" s="325"/>
      <c r="CG95" s="372"/>
      <c r="CH95" s="373"/>
      <c r="CI95" s="325"/>
      <c r="CJ95" s="325"/>
      <c r="CK95" s="372"/>
      <c r="CL95" s="325"/>
      <c r="CM95" s="325"/>
      <c r="CN95" s="325"/>
      <c r="CO95" s="372"/>
      <c r="CP95" s="373"/>
      <c r="CQ95" s="325"/>
      <c r="CR95" s="325"/>
      <c r="CS95" s="372"/>
      <c r="CT95" s="373"/>
      <c r="CU95" s="325"/>
      <c r="CV95" s="325"/>
      <c r="CW95" s="372"/>
      <c r="CX95" s="325"/>
      <c r="CY95" s="325"/>
      <c r="CZ95" s="325"/>
      <c r="DA95" s="372"/>
      <c r="DB95" s="325"/>
      <c r="DC95" s="325"/>
      <c r="DD95" s="325"/>
      <c r="DE95" s="372"/>
      <c r="DF95" s="325"/>
      <c r="DG95" s="325"/>
      <c r="DH95" s="325"/>
      <c r="DI95" s="372"/>
      <c r="DJ95" s="519"/>
      <c r="DK95" s="389"/>
      <c r="DL95" s="386"/>
      <c r="DM95" s="386"/>
      <c r="DN95" s="386"/>
      <c r="DO95" s="386"/>
      <c r="DP95" s="386"/>
      <c r="DQ95" s="386"/>
      <c r="DR95" s="386"/>
      <c r="DS95" s="401"/>
      <c r="DT95" s="401"/>
      <c r="DU95" s="401"/>
      <c r="DV95" s="325"/>
      <c r="DW95" s="325"/>
      <c r="DX95" s="325"/>
      <c r="DY95" s="325"/>
      <c r="DZ95" s="325"/>
      <c r="EA95" s="325"/>
      <c r="EB95" s="325"/>
      <c r="EC95" s="325"/>
      <c r="ED95" s="325"/>
      <c r="EE95" s="325"/>
      <c r="EF95" s="325"/>
      <c r="EG95" s="325"/>
      <c r="EH95" s="325"/>
      <c r="EI95" s="325"/>
      <c r="EJ95" s="325"/>
      <c r="EK95" s="325"/>
      <c r="EL95" s="325"/>
      <c r="EM95" s="325"/>
      <c r="EN95" s="325"/>
      <c r="EO95" s="325"/>
      <c r="EP95" s="389"/>
      <c r="EQ95" s="386"/>
    </row>
    <row r="96" spans="1:147" s="390" customFormat="1" ht="15" customHeight="1" outlineLevel="2">
      <c r="A96" s="385"/>
      <c r="B96"/>
      <c r="C96"/>
      <c r="D96"/>
      <c r="E96"/>
      <c r="F96"/>
      <c r="G96"/>
      <c r="H96" s="386"/>
      <c r="I96" s="378" t="s">
        <v>1627</v>
      </c>
      <c r="J96" s="386"/>
      <c r="K96" s="386"/>
      <c r="L96" s="386"/>
      <c r="M96" s="388"/>
      <c r="N96" s="386"/>
      <c r="O96" s="386"/>
      <c r="P96" s="386"/>
      <c r="Q96" s="388"/>
      <c r="R96" s="386"/>
      <c r="S96" s="386"/>
      <c r="T96" s="386"/>
      <c r="U96" s="388"/>
      <c r="V96" s="386"/>
      <c r="W96" s="386"/>
      <c r="X96" s="386"/>
      <c r="Y96" s="388"/>
      <c r="Z96" s="386"/>
      <c r="AA96" s="386"/>
      <c r="AB96" s="386"/>
      <c r="AC96" s="388"/>
      <c r="AD96" s="386"/>
      <c r="AE96" s="386"/>
      <c r="AF96" s="386"/>
      <c r="AG96" s="388"/>
      <c r="AH96" s="386"/>
      <c r="AI96" s="386"/>
      <c r="AJ96" s="386"/>
      <c r="AK96" s="388"/>
      <c r="AL96" s="386"/>
      <c r="AM96" s="386"/>
      <c r="AN96" s="386"/>
      <c r="AO96" s="388"/>
      <c r="AP96" s="386"/>
      <c r="AQ96" s="386"/>
      <c r="AR96" s="386"/>
      <c r="AS96" s="478"/>
      <c r="AT96" s="479"/>
      <c r="AU96" s="479"/>
      <c r="AV96" s="479"/>
      <c r="AW96" s="478"/>
      <c r="AX96" s="479"/>
      <c r="AY96" s="479"/>
      <c r="AZ96" s="479"/>
      <c r="BA96" s="478"/>
      <c r="BB96" s="479"/>
      <c r="BC96" s="479"/>
      <c r="BD96" s="479"/>
      <c r="BE96" s="484"/>
      <c r="BF96" s="479">
        <v>113</v>
      </c>
      <c r="BG96" s="479">
        <v>322</v>
      </c>
      <c r="BH96" s="479">
        <v>178</v>
      </c>
      <c r="BI96" s="484">
        <v>1205</v>
      </c>
      <c r="BJ96" s="479">
        <v>270</v>
      </c>
      <c r="BK96" s="479">
        <v>141</v>
      </c>
      <c r="BL96" s="479">
        <v>125</v>
      </c>
      <c r="BM96" s="484">
        <v>890</v>
      </c>
      <c r="BN96" s="325">
        <v>259</v>
      </c>
      <c r="BO96" s="325">
        <v>132</v>
      </c>
      <c r="BP96" s="325">
        <v>283</v>
      </c>
      <c r="BQ96" s="485">
        <v>943</v>
      </c>
      <c r="BR96" s="325">
        <v>224</v>
      </c>
      <c r="BS96" s="325">
        <v>193</v>
      </c>
      <c r="BT96" s="325">
        <v>275</v>
      </c>
      <c r="BU96" s="372">
        <v>862</v>
      </c>
      <c r="BV96" s="325">
        <v>277</v>
      </c>
      <c r="BW96" s="325">
        <v>619</v>
      </c>
      <c r="BX96" s="325">
        <v>607</v>
      </c>
      <c r="BY96" s="372">
        <v>1015</v>
      </c>
      <c r="BZ96" s="373">
        <v>385</v>
      </c>
      <c r="CA96" s="325">
        <v>503</v>
      </c>
      <c r="CB96" s="325">
        <v>658</v>
      </c>
      <c r="CC96" s="372">
        <v>986</v>
      </c>
      <c r="CD96" s="373">
        <v>430</v>
      </c>
      <c r="CE96" s="325">
        <v>421</v>
      </c>
      <c r="CF96" s="325">
        <v>527</v>
      </c>
      <c r="CG96" s="372">
        <v>1239</v>
      </c>
      <c r="CH96" s="373">
        <v>336</v>
      </c>
      <c r="CI96" s="325">
        <v>340</v>
      </c>
      <c r="CJ96" s="325">
        <v>329</v>
      </c>
      <c r="CK96" s="372">
        <v>1198</v>
      </c>
      <c r="CL96" s="325">
        <v>569</v>
      </c>
      <c r="CM96" s="325">
        <v>992</v>
      </c>
      <c r="CN96" s="325">
        <v>736</v>
      </c>
      <c r="CO96" s="372">
        <v>1181</v>
      </c>
      <c r="CP96" s="373">
        <v>877</v>
      </c>
      <c r="CQ96" s="325">
        <v>767</v>
      </c>
      <c r="CR96" s="325">
        <v>764</v>
      </c>
      <c r="CS96" s="372">
        <v>1360.5545203356478</v>
      </c>
      <c r="CT96" s="373">
        <v>587.23098432628808</v>
      </c>
      <c r="CU96" s="325">
        <v>539.09313159771466</v>
      </c>
      <c r="CV96" s="325">
        <v>879.95743010114688</v>
      </c>
      <c r="CW96" s="372">
        <v>1624.2877982379964</v>
      </c>
      <c r="CX96" s="325"/>
      <c r="CY96" s="325"/>
      <c r="CZ96" s="325"/>
      <c r="DA96" s="372"/>
      <c r="DB96" s="325"/>
      <c r="DC96" s="325"/>
      <c r="DD96" s="325"/>
      <c r="DE96" s="372"/>
      <c r="DF96" s="325"/>
      <c r="DG96" s="325"/>
      <c r="DH96" s="325"/>
      <c r="DI96" s="372"/>
      <c r="DJ96" s="519"/>
      <c r="DK96" s="389"/>
      <c r="DL96" s="386"/>
      <c r="DM96" s="386"/>
      <c r="DN96" s="386"/>
      <c r="DO96" s="386"/>
      <c r="DP96" s="386"/>
      <c r="DQ96" s="386"/>
      <c r="DR96" s="386"/>
      <c r="DS96" s="376">
        <v>1152</v>
      </c>
      <c r="DT96" s="376">
        <v>1581</v>
      </c>
      <c r="DU96" s="376">
        <v>1569</v>
      </c>
      <c r="DV96" s="325">
        <v>1506</v>
      </c>
      <c r="DW96" s="325">
        <v>1818</v>
      </c>
      <c r="DX96" s="325">
        <v>1426</v>
      </c>
      <c r="DY96" s="325">
        <v>1617</v>
      </c>
      <c r="DZ96" s="325">
        <v>1554</v>
      </c>
      <c r="EA96" s="325">
        <v>2518</v>
      </c>
      <c r="EB96" s="325">
        <v>2532</v>
      </c>
      <c r="EC96" s="325">
        <v>2617</v>
      </c>
      <c r="ED96" s="325">
        <v>2203</v>
      </c>
      <c r="EE96" s="325">
        <v>3535</v>
      </c>
      <c r="EF96" s="325">
        <v>3825.5545203356478</v>
      </c>
      <c r="EG96" s="325">
        <v>3687.5693442631455</v>
      </c>
      <c r="EH96" s="325">
        <v>4620.8787257518798</v>
      </c>
      <c r="EI96" s="325">
        <v>4209.9840305154485</v>
      </c>
      <c r="EJ96" s="325">
        <v>3907.3026481174356</v>
      </c>
      <c r="EK96" s="325">
        <v>4441.3127888401696</v>
      </c>
      <c r="EL96" s="325">
        <v>4059.6675643186841</v>
      </c>
      <c r="EM96" s="325">
        <v>4182.9868024139532</v>
      </c>
      <c r="EN96" s="325">
        <v>4091.9704565192328</v>
      </c>
      <c r="EO96" s="325">
        <v>4721.9795774887698</v>
      </c>
      <c r="EP96" s="389"/>
      <c r="EQ96" s="386"/>
    </row>
    <row r="97" spans="1:147" s="390" customFormat="1" ht="15" customHeight="1" outlineLevel="2">
      <c r="A97" s="385"/>
      <c r="B97"/>
      <c r="C97"/>
      <c r="D97"/>
      <c r="E97"/>
      <c r="F97"/>
      <c r="G97"/>
      <c r="H97" s="386"/>
      <c r="I97" s="378" t="s">
        <v>1628</v>
      </c>
      <c r="J97" s="386"/>
      <c r="K97" s="386"/>
      <c r="L97" s="386"/>
      <c r="M97" s="388"/>
      <c r="N97" s="386"/>
      <c r="O97" s="386"/>
      <c r="P97" s="386"/>
      <c r="Q97" s="388"/>
      <c r="R97" s="386"/>
      <c r="S97" s="386"/>
      <c r="T97" s="386"/>
      <c r="U97" s="388"/>
      <c r="V97" s="386"/>
      <c r="W97" s="386"/>
      <c r="X97" s="386"/>
      <c r="Y97" s="388"/>
      <c r="Z97" s="386"/>
      <c r="AA97" s="386"/>
      <c r="AB97" s="386"/>
      <c r="AC97" s="388"/>
      <c r="AD97" s="386"/>
      <c r="AE97" s="386"/>
      <c r="AF97" s="386"/>
      <c r="AG97" s="388"/>
      <c r="AH97" s="386"/>
      <c r="AI97" s="386"/>
      <c r="AJ97" s="386"/>
      <c r="AK97" s="388"/>
      <c r="AL97" s="386"/>
      <c r="AM97" s="386"/>
      <c r="AN97" s="386"/>
      <c r="AO97" s="388"/>
      <c r="AP97" s="386"/>
      <c r="AQ97" s="386"/>
      <c r="AR97" s="386"/>
      <c r="AS97" s="478"/>
      <c r="AT97" s="479"/>
      <c r="AU97" s="479"/>
      <c r="AV97" s="479"/>
      <c r="AW97" s="478"/>
      <c r="AX97" s="479"/>
      <c r="AY97" s="479"/>
      <c r="AZ97" s="479"/>
      <c r="BA97" s="478"/>
      <c r="BB97" s="479"/>
      <c r="BC97" s="479"/>
      <c r="BD97" s="479"/>
      <c r="BE97" s="484"/>
      <c r="BF97" s="479">
        <v>-179.89999999999998</v>
      </c>
      <c r="BG97" s="479">
        <v>-80.149999999999991</v>
      </c>
      <c r="BH97" s="479">
        <v>-79.8</v>
      </c>
      <c r="BI97" s="484">
        <v>-170.45</v>
      </c>
      <c r="BJ97" s="479">
        <v>-206.14999999999998</v>
      </c>
      <c r="BK97" s="479">
        <v>-150.5</v>
      </c>
      <c r="BL97" s="479">
        <v>-23.099999999999998</v>
      </c>
      <c r="BM97" s="484">
        <v>-81.55</v>
      </c>
      <c r="BN97" s="325">
        <v>-131.6</v>
      </c>
      <c r="BO97" s="325">
        <v>-91</v>
      </c>
      <c r="BP97" s="325">
        <v>15.049999999999999</v>
      </c>
      <c r="BQ97" s="485">
        <v>-135.79999999999998</v>
      </c>
      <c r="BR97" s="325">
        <v>-172.2</v>
      </c>
      <c r="BS97" s="325">
        <v>-98.699999999999989</v>
      </c>
      <c r="BT97" s="325">
        <v>-50.75</v>
      </c>
      <c r="BU97" s="372">
        <v>-70.349999999999994</v>
      </c>
      <c r="BV97" s="325">
        <v>-143.14999999999998</v>
      </c>
      <c r="BW97" s="325">
        <v>-58.449999999999996</v>
      </c>
      <c r="BX97" s="325">
        <v>-80.849999999999994</v>
      </c>
      <c r="BY97" s="372">
        <v>-105</v>
      </c>
      <c r="BZ97" s="373">
        <v>-158.54999999999998</v>
      </c>
      <c r="CA97" s="325">
        <v>-102.55</v>
      </c>
      <c r="CB97" s="325">
        <v>-77</v>
      </c>
      <c r="CC97" s="372">
        <v>-64.75</v>
      </c>
      <c r="CD97" s="325">
        <v>-119.07</v>
      </c>
      <c r="CE97" s="325">
        <v>-85.679999999999993</v>
      </c>
      <c r="CF97" s="325">
        <v>-44.519999999999996</v>
      </c>
      <c r="CG97" s="372">
        <v>-144.9</v>
      </c>
      <c r="CH97" s="325">
        <v>-107.1</v>
      </c>
      <c r="CI97" s="325">
        <v>-77.7</v>
      </c>
      <c r="CJ97" s="325">
        <v>-52.29</v>
      </c>
      <c r="CK97" s="372">
        <v>-93.86999999999999</v>
      </c>
      <c r="CL97" s="325">
        <v>-126.83999999999999</v>
      </c>
      <c r="CM97" s="325">
        <v>-152.66999999999999</v>
      </c>
      <c r="CN97" s="325">
        <v>-151.62</v>
      </c>
      <c r="CO97" s="372">
        <v>-118.22999999999999</v>
      </c>
      <c r="CP97" s="373">
        <v>-160.65</v>
      </c>
      <c r="CQ97" s="325">
        <v>-210.42</v>
      </c>
      <c r="CR97" s="325">
        <v>-159.38999999999999</v>
      </c>
      <c r="CS97" s="372">
        <v>-255.32214739845364</v>
      </c>
      <c r="CT97" s="373">
        <v>-80.073541435699752</v>
      </c>
      <c r="CU97" s="325">
        <v>-94.114142137384732</v>
      </c>
      <c r="CV97" s="325">
        <v>-158.25022940934807</v>
      </c>
      <c r="CW97" s="372">
        <v>-304.67862052085138</v>
      </c>
      <c r="CX97" s="325"/>
      <c r="CY97" s="325"/>
      <c r="CZ97" s="325"/>
      <c r="DA97" s="372"/>
      <c r="DB97" s="325"/>
      <c r="DC97" s="325"/>
      <c r="DD97" s="325"/>
      <c r="DE97" s="372"/>
      <c r="DF97" s="325"/>
      <c r="DG97" s="325"/>
      <c r="DH97" s="325"/>
      <c r="DI97" s="372"/>
      <c r="DJ97" s="519"/>
      <c r="DK97" s="389"/>
      <c r="DL97" s="386"/>
      <c r="DM97" s="386"/>
      <c r="DN97" s="386"/>
      <c r="DO97" s="386"/>
      <c r="DP97" s="386"/>
      <c r="DQ97" s="386"/>
      <c r="DR97" s="386"/>
      <c r="DS97" s="376">
        <v>0</v>
      </c>
      <c r="DT97" s="376">
        <v>0</v>
      </c>
      <c r="DU97" s="376">
        <v>0</v>
      </c>
      <c r="DV97" s="325">
        <v>0</v>
      </c>
      <c r="DW97" s="325">
        <v>-510.29999999999995</v>
      </c>
      <c r="DX97" s="325">
        <v>-461.3</v>
      </c>
      <c r="DY97" s="325">
        <v>-343.34999999999997</v>
      </c>
      <c r="DZ97" s="325">
        <v>-392</v>
      </c>
      <c r="EA97" s="325">
        <v>-387.44999999999993</v>
      </c>
      <c r="EB97" s="325">
        <v>-402.84999999999997</v>
      </c>
      <c r="EC97" s="325">
        <v>-394.16999999999996</v>
      </c>
      <c r="ED97" s="325">
        <v>-330.96</v>
      </c>
      <c r="EE97" s="325">
        <v>-549.36</v>
      </c>
      <c r="EF97" s="325">
        <v>-785.78214739845384</v>
      </c>
      <c r="EG97" s="325">
        <v>-637.11653350328413</v>
      </c>
      <c r="EH97" s="325">
        <v>-816.28579227215857</v>
      </c>
      <c r="EI97" s="325">
        <v>-762.24109577597619</v>
      </c>
      <c r="EJ97" s="325">
        <v>-690.19447821710492</v>
      </c>
      <c r="EK97" s="325">
        <v>-791.04950433581314</v>
      </c>
      <c r="EL97" s="325">
        <v>-732.64935676251878</v>
      </c>
      <c r="EM97" s="325">
        <v>-746.81636503020127</v>
      </c>
      <c r="EN97" s="325">
        <v>-726.65287267078611</v>
      </c>
      <c r="EO97" s="325">
        <v>-840.57634006241335</v>
      </c>
      <c r="EP97" s="389"/>
      <c r="EQ97" s="386"/>
    </row>
    <row r="98" spans="1:147" s="390" customFormat="1" ht="15" customHeight="1" outlineLevel="2">
      <c r="A98" s="385"/>
      <c r="B98"/>
      <c r="C98"/>
      <c r="D98"/>
      <c r="E98"/>
      <c r="F98"/>
      <c r="G98"/>
      <c r="H98" s="386"/>
      <c r="I98" s="378" t="s">
        <v>1629</v>
      </c>
      <c r="J98" s="386"/>
      <c r="K98" s="386"/>
      <c r="L98" s="386"/>
      <c r="M98" s="388"/>
      <c r="N98" s="386"/>
      <c r="O98" s="386"/>
      <c r="P98" s="386"/>
      <c r="Q98" s="388"/>
      <c r="R98" s="386"/>
      <c r="S98" s="386"/>
      <c r="T98" s="386"/>
      <c r="U98" s="388"/>
      <c r="V98" s="386"/>
      <c r="W98" s="386"/>
      <c r="X98" s="386"/>
      <c r="Y98" s="388"/>
      <c r="Z98" s="386"/>
      <c r="AA98" s="386"/>
      <c r="AB98" s="386"/>
      <c r="AC98" s="388"/>
      <c r="AD98" s="386"/>
      <c r="AE98" s="386"/>
      <c r="AF98" s="386"/>
      <c r="AG98" s="388"/>
      <c r="AH98" s="386"/>
      <c r="AI98" s="386"/>
      <c r="AJ98" s="386"/>
      <c r="AK98" s="388"/>
      <c r="AL98" s="386"/>
      <c r="AM98" s="386"/>
      <c r="AN98" s="386"/>
      <c r="AO98" s="388"/>
      <c r="AP98" s="386"/>
      <c r="AQ98" s="386"/>
      <c r="AR98" s="386"/>
      <c r="AS98" s="478"/>
      <c r="AT98" s="479"/>
      <c r="AU98" s="479"/>
      <c r="AV98" s="479"/>
      <c r="AW98" s="478"/>
      <c r="AX98" s="479"/>
      <c r="AY98" s="479"/>
      <c r="AZ98" s="479"/>
      <c r="BA98" s="478"/>
      <c r="BB98" s="479"/>
      <c r="BC98" s="479"/>
      <c r="BD98" s="479"/>
      <c r="BE98" s="484"/>
      <c r="BF98" s="479">
        <v>-368</v>
      </c>
      <c r="BG98" s="479">
        <v>-178</v>
      </c>
      <c r="BH98" s="479">
        <v>-171</v>
      </c>
      <c r="BI98" s="484">
        <v>473</v>
      </c>
      <c r="BJ98" s="479">
        <v>-401</v>
      </c>
      <c r="BK98" s="479">
        <v>-372</v>
      </c>
      <c r="BL98" s="479">
        <v>-153</v>
      </c>
      <c r="BM98" s="484">
        <v>600</v>
      </c>
      <c r="BN98" s="325">
        <v>-256</v>
      </c>
      <c r="BO98" s="325">
        <v>-165</v>
      </c>
      <c r="BP98" s="325">
        <v>-174</v>
      </c>
      <c r="BQ98" s="485">
        <v>638</v>
      </c>
      <c r="BR98" s="325">
        <v>-361</v>
      </c>
      <c r="BS98" s="325">
        <v>-222</v>
      </c>
      <c r="BT98" s="325">
        <v>-392</v>
      </c>
      <c r="BU98" s="372">
        <v>733</v>
      </c>
      <c r="BV98" s="325">
        <v>-242</v>
      </c>
      <c r="BW98" s="325">
        <v>22</v>
      </c>
      <c r="BX98" s="325">
        <v>9</v>
      </c>
      <c r="BY98" s="372">
        <v>-47</v>
      </c>
      <c r="BZ98" s="373">
        <v>-303</v>
      </c>
      <c r="CA98" s="325">
        <v>-319</v>
      </c>
      <c r="CB98" s="325">
        <v>-79</v>
      </c>
      <c r="CC98" s="372">
        <v>1362</v>
      </c>
      <c r="CD98" s="325">
        <v>-369</v>
      </c>
      <c r="CE98" s="325">
        <v>-682</v>
      </c>
      <c r="CF98" s="325">
        <v>-342</v>
      </c>
      <c r="CG98" s="372">
        <v>90</v>
      </c>
      <c r="CH98" s="325">
        <v>-367</v>
      </c>
      <c r="CI98" s="325">
        <v>-338</v>
      </c>
      <c r="CJ98" s="325">
        <v>-54</v>
      </c>
      <c r="CK98" s="372">
        <v>637</v>
      </c>
      <c r="CL98" s="325">
        <v>-566</v>
      </c>
      <c r="CM98" s="325">
        <v>63</v>
      </c>
      <c r="CN98" s="325">
        <v>-578</v>
      </c>
      <c r="CO98" s="372">
        <v>442</v>
      </c>
      <c r="CP98" s="373">
        <v>-73</v>
      </c>
      <c r="CQ98" s="325">
        <v>-550</v>
      </c>
      <c r="CR98" s="325">
        <v>-287</v>
      </c>
      <c r="CS98" s="372">
        <v>-103.26893899993593</v>
      </c>
      <c r="CT98" s="373">
        <v>571.47130758944695</v>
      </c>
      <c r="CU98" s="325">
        <v>-463.96123842891961</v>
      </c>
      <c r="CV98" s="325">
        <v>-334.54948030490652</v>
      </c>
      <c r="CW98" s="372">
        <v>-71.044635829012805</v>
      </c>
      <c r="CX98" s="325"/>
      <c r="CY98" s="325"/>
      <c r="CZ98" s="325"/>
      <c r="DA98" s="372"/>
      <c r="DB98" s="325"/>
      <c r="DC98" s="325"/>
      <c r="DD98" s="325"/>
      <c r="DE98" s="372"/>
      <c r="DF98" s="325"/>
      <c r="DG98" s="325"/>
      <c r="DH98" s="325"/>
      <c r="DI98" s="372"/>
      <c r="DJ98" s="519"/>
      <c r="DK98" s="389"/>
      <c r="DL98" s="386"/>
      <c r="DM98" s="386"/>
      <c r="DN98" s="386"/>
      <c r="DO98" s="386"/>
      <c r="DP98" s="386"/>
      <c r="DQ98" s="386"/>
      <c r="DR98" s="386"/>
      <c r="DS98" s="376">
        <v>251</v>
      </c>
      <c r="DT98" s="376">
        <v>210</v>
      </c>
      <c r="DU98" s="376">
        <v>283</v>
      </c>
      <c r="DV98" s="325">
        <v>-738</v>
      </c>
      <c r="DW98" s="325">
        <v>-244</v>
      </c>
      <c r="DX98" s="325">
        <v>-326</v>
      </c>
      <c r="DY98" s="325">
        <v>43</v>
      </c>
      <c r="DZ98" s="325">
        <v>-242</v>
      </c>
      <c r="EA98" s="325">
        <v>-258</v>
      </c>
      <c r="EB98" s="325">
        <v>661</v>
      </c>
      <c r="EC98" s="325">
        <v>-1303</v>
      </c>
      <c r="ED98" s="325">
        <v>-122</v>
      </c>
      <c r="EE98" s="325">
        <v>-639</v>
      </c>
      <c r="EF98" s="325">
        <v>-1013.2689389999359</v>
      </c>
      <c r="EG98" s="325">
        <v>-298.08404697339211</v>
      </c>
      <c r="EH98" s="325">
        <v>-1092.354814471217</v>
      </c>
      <c r="EI98" s="325">
        <v>-76.448818752395852</v>
      </c>
      <c r="EJ98" s="325">
        <v>112.8740772737961</v>
      </c>
      <c r="EK98" s="325">
        <v>-52.542201792851984</v>
      </c>
      <c r="EL98" s="325">
        <v>73.503941613249907</v>
      </c>
      <c r="EM98" s="325">
        <v>-20.15487719740263</v>
      </c>
      <c r="EN98" s="325">
        <v>51.728780564728105</v>
      </c>
      <c r="EO98" s="325">
        <v>-89.387629166363467</v>
      </c>
      <c r="EP98" s="389"/>
      <c r="EQ98" s="386"/>
    </row>
    <row r="99" spans="1:147" s="390" customFormat="1" ht="15" customHeight="1" outlineLevel="2">
      <c r="A99" s="385"/>
      <c r="B99"/>
      <c r="C99"/>
      <c r="D99"/>
      <c r="E99"/>
      <c r="F99"/>
      <c r="G99"/>
      <c r="H99" s="386"/>
      <c r="I99" s="378" t="s">
        <v>1630</v>
      </c>
      <c r="J99" s="386"/>
      <c r="K99" s="386"/>
      <c r="L99" s="386"/>
      <c r="M99" s="388"/>
      <c r="N99" s="386"/>
      <c r="O99" s="386"/>
      <c r="P99" s="386"/>
      <c r="Q99" s="388"/>
      <c r="R99" s="386"/>
      <c r="S99" s="386"/>
      <c r="T99" s="386"/>
      <c r="U99" s="388"/>
      <c r="V99" s="386"/>
      <c r="W99" s="386"/>
      <c r="X99" s="386"/>
      <c r="Y99" s="388"/>
      <c r="Z99" s="386"/>
      <c r="AA99" s="386"/>
      <c r="AB99" s="386"/>
      <c r="AC99" s="388"/>
      <c r="AD99" s="386"/>
      <c r="AE99" s="386"/>
      <c r="AF99" s="386"/>
      <c r="AG99" s="388"/>
      <c r="AH99" s="386"/>
      <c r="AI99" s="386"/>
      <c r="AJ99" s="386"/>
      <c r="AK99" s="388"/>
      <c r="AL99" s="386"/>
      <c r="AM99" s="386"/>
      <c r="AN99" s="386"/>
      <c r="AO99" s="388"/>
      <c r="AP99" s="386"/>
      <c r="AQ99" s="386"/>
      <c r="AR99" s="386"/>
      <c r="AS99" s="478"/>
      <c r="AT99" s="479"/>
      <c r="AU99" s="479"/>
      <c r="AV99" s="479"/>
      <c r="AW99" s="478"/>
      <c r="AX99" s="479"/>
      <c r="AY99" s="479"/>
      <c r="AZ99" s="479"/>
      <c r="BA99" s="478"/>
      <c r="BB99" s="479"/>
      <c r="BC99" s="479"/>
      <c r="BD99" s="479"/>
      <c r="BE99" s="484"/>
      <c r="BF99" s="479">
        <v>-9</v>
      </c>
      <c r="BG99" s="479">
        <v>-17</v>
      </c>
      <c r="BH99" s="479">
        <v>-20</v>
      </c>
      <c r="BI99" s="484">
        <v>-27</v>
      </c>
      <c r="BJ99" s="479">
        <v>-17</v>
      </c>
      <c r="BK99" s="479">
        <v>-19</v>
      </c>
      <c r="BL99" s="479">
        <v>-22</v>
      </c>
      <c r="BM99" s="484">
        <v>-16</v>
      </c>
      <c r="BN99" s="325">
        <v>-37</v>
      </c>
      <c r="BO99" s="325">
        <v>-25</v>
      </c>
      <c r="BP99" s="325">
        <v>-28</v>
      </c>
      <c r="BQ99" s="485">
        <v>-17</v>
      </c>
      <c r="BR99" s="325">
        <v>-21</v>
      </c>
      <c r="BS99" s="325">
        <v>-28</v>
      </c>
      <c r="BT99" s="325">
        <v>-46</v>
      </c>
      <c r="BU99" s="372">
        <v>-16</v>
      </c>
      <c r="BV99" s="325">
        <v>-27</v>
      </c>
      <c r="BW99" s="325">
        <v>-44</v>
      </c>
      <c r="BX99" s="325">
        <v>-28</v>
      </c>
      <c r="BY99" s="372">
        <v>-37</v>
      </c>
      <c r="BZ99" s="373">
        <v>-21</v>
      </c>
      <c r="CA99" s="325">
        <v>-31</v>
      </c>
      <c r="CB99" s="325">
        <v>-34</v>
      </c>
      <c r="CC99" s="372">
        <v>-69</v>
      </c>
      <c r="CD99" s="325">
        <v>-31</v>
      </c>
      <c r="CE99" s="325">
        <v>-30</v>
      </c>
      <c r="CF99" s="325">
        <v>-36</v>
      </c>
      <c r="CG99" s="372">
        <v>-34</v>
      </c>
      <c r="CH99" s="325">
        <v>-18</v>
      </c>
      <c r="CI99" s="325">
        <v>-27</v>
      </c>
      <c r="CJ99" s="325">
        <v>-34</v>
      </c>
      <c r="CK99" s="372">
        <v>-37</v>
      </c>
      <c r="CL99" s="325">
        <v>-19</v>
      </c>
      <c r="CM99" s="325">
        <v>-13</v>
      </c>
      <c r="CN99" s="325">
        <v>-24</v>
      </c>
      <c r="CO99" s="372">
        <v>-22</v>
      </c>
      <c r="CP99" s="373">
        <v>-22</v>
      </c>
      <c r="CQ99" s="325">
        <v>-14</v>
      </c>
      <c r="CR99" s="325">
        <v>-23</v>
      </c>
      <c r="CS99" s="372">
        <v>-52.481327704248969</v>
      </c>
      <c r="CT99" s="373">
        <v>-17.191662591723244</v>
      </c>
      <c r="CU99" s="325">
        <v>-10.67822166281899</v>
      </c>
      <c r="CV99" s="325">
        <v>-48.614856077654416</v>
      </c>
      <c r="CW99" s="372">
        <v>-81.90392553173028</v>
      </c>
      <c r="CX99" s="325"/>
      <c r="CY99" s="325"/>
      <c r="CZ99" s="325"/>
      <c r="DA99" s="372"/>
      <c r="DB99" s="325"/>
      <c r="DC99" s="325"/>
      <c r="DD99" s="325"/>
      <c r="DE99" s="372"/>
      <c r="DF99" s="325"/>
      <c r="DG99" s="325"/>
      <c r="DH99" s="325"/>
      <c r="DI99" s="372"/>
      <c r="DJ99" s="519"/>
      <c r="DK99" s="389"/>
      <c r="DL99" s="386"/>
      <c r="DM99" s="386"/>
      <c r="DN99" s="386"/>
      <c r="DO99" s="386"/>
      <c r="DP99" s="386"/>
      <c r="DQ99" s="386"/>
      <c r="DR99" s="386"/>
      <c r="DS99" s="376">
        <v>-46</v>
      </c>
      <c r="DT99" s="376">
        <v>-69</v>
      </c>
      <c r="DU99" s="376">
        <v>-97</v>
      </c>
      <c r="DV99" s="325">
        <v>-72</v>
      </c>
      <c r="DW99" s="325">
        <v>-73</v>
      </c>
      <c r="DX99" s="325">
        <v>-74</v>
      </c>
      <c r="DY99" s="325">
        <v>-107</v>
      </c>
      <c r="DZ99" s="325">
        <v>-111</v>
      </c>
      <c r="EA99" s="325">
        <v>-136</v>
      </c>
      <c r="EB99" s="325">
        <v>-155</v>
      </c>
      <c r="EC99" s="325">
        <v>-131</v>
      </c>
      <c r="ED99" s="325">
        <v>-116</v>
      </c>
      <c r="EE99" s="325">
        <v>-78</v>
      </c>
      <c r="EF99" s="325">
        <v>-111.48132770424897</v>
      </c>
      <c r="EG99" s="325">
        <v>-158.38866586392692</v>
      </c>
      <c r="EH99" s="325">
        <v>-179.47453844523935</v>
      </c>
      <c r="EI99" s="325">
        <v>-166.73427632066</v>
      </c>
      <c r="EJ99" s="325">
        <v>-159.94100393210522</v>
      </c>
      <c r="EK99" s="325">
        <v>-170.48098229717931</v>
      </c>
      <c r="EL99" s="325">
        <v>-164.440268026974</v>
      </c>
      <c r="EM99" s="325">
        <v>-165.54599359868973</v>
      </c>
      <c r="EN99" s="325">
        <v>-164.6454905964784</v>
      </c>
      <c r="EO99" s="325">
        <v>-177.23893753793081</v>
      </c>
      <c r="EP99" s="389"/>
      <c r="EQ99" s="386"/>
    </row>
    <row r="100" spans="1:147" s="390" customFormat="1" ht="15" customHeight="1" outlineLevel="2">
      <c r="A100" s="385"/>
      <c r="B100"/>
      <c r="C100"/>
      <c r="D100"/>
      <c r="E100"/>
      <c r="F100"/>
      <c r="G100"/>
      <c r="H100" s="386"/>
      <c r="I100" s="378" t="s">
        <v>1631</v>
      </c>
      <c r="J100" s="521"/>
      <c r="K100" s="521"/>
      <c r="L100" s="521"/>
      <c r="M100" s="522"/>
      <c r="N100" s="521"/>
      <c r="O100" s="521"/>
      <c r="P100" s="521"/>
      <c r="Q100" s="522"/>
      <c r="R100" s="521"/>
      <c r="S100" s="521"/>
      <c r="T100" s="521"/>
      <c r="U100" s="522"/>
      <c r="V100" s="521"/>
      <c r="W100" s="521"/>
      <c r="X100" s="521"/>
      <c r="Y100" s="522"/>
      <c r="Z100" s="521"/>
      <c r="AA100" s="521"/>
      <c r="AB100" s="521"/>
      <c r="AC100" s="522"/>
      <c r="AD100" s="521"/>
      <c r="AE100" s="521"/>
      <c r="AF100" s="521"/>
      <c r="AG100" s="522"/>
      <c r="AH100" s="521"/>
      <c r="AI100" s="521"/>
      <c r="AJ100" s="521"/>
      <c r="AK100" s="522"/>
      <c r="AL100" s="521"/>
      <c r="AM100" s="521"/>
      <c r="AN100" s="521"/>
      <c r="AO100" s="522"/>
      <c r="AP100" s="521"/>
      <c r="AQ100" s="521"/>
      <c r="AR100" s="521"/>
      <c r="AS100" s="523"/>
      <c r="AT100" s="524"/>
      <c r="AU100" s="524"/>
      <c r="AV100" s="524"/>
      <c r="AW100" s="523"/>
      <c r="AX100" s="524"/>
      <c r="AY100" s="524"/>
      <c r="AZ100" s="524"/>
      <c r="BA100" s="523"/>
      <c r="BB100" s="524"/>
      <c r="BC100" s="524"/>
      <c r="BD100" s="524"/>
      <c r="BE100" s="525"/>
      <c r="BF100" s="524">
        <v>-16</v>
      </c>
      <c r="BG100" s="524">
        <v>-21</v>
      </c>
      <c r="BH100" s="524">
        <v>-23</v>
      </c>
      <c r="BI100" s="525">
        <v>-38</v>
      </c>
      <c r="BJ100" s="524">
        <v>-18</v>
      </c>
      <c r="BK100" s="524">
        <v>-15</v>
      </c>
      <c r="BL100" s="524">
        <v>-16</v>
      </c>
      <c r="BM100" s="525">
        <v>-23</v>
      </c>
      <c r="BN100" s="506">
        <v>-18</v>
      </c>
      <c r="BO100" s="506">
        <v>-14</v>
      </c>
      <c r="BP100" s="506">
        <v>-14</v>
      </c>
      <c r="BQ100" s="526">
        <v>-19</v>
      </c>
      <c r="BR100" s="506">
        <v>-16</v>
      </c>
      <c r="BS100" s="506">
        <v>-16</v>
      </c>
      <c r="BT100" s="506">
        <v>-19</v>
      </c>
      <c r="BU100" s="527">
        <v>-15</v>
      </c>
      <c r="BV100" s="506">
        <v>-44</v>
      </c>
      <c r="BW100" s="506">
        <v>-41</v>
      </c>
      <c r="BX100" s="506">
        <v>-32</v>
      </c>
      <c r="BY100" s="527">
        <v>-40</v>
      </c>
      <c r="BZ100" s="528">
        <v>-33</v>
      </c>
      <c r="CA100" s="506">
        <v>-38</v>
      </c>
      <c r="CB100" s="506">
        <v>-47</v>
      </c>
      <c r="CC100" s="527">
        <v>-58</v>
      </c>
      <c r="CD100" s="506">
        <v>-54</v>
      </c>
      <c r="CE100" s="506">
        <v>-56</v>
      </c>
      <c r="CF100" s="506">
        <v>-55</v>
      </c>
      <c r="CG100" s="527">
        <v>-44</v>
      </c>
      <c r="CH100" s="506">
        <v>-63</v>
      </c>
      <c r="CI100" s="506">
        <v>-37</v>
      </c>
      <c r="CJ100" s="506">
        <v>-27</v>
      </c>
      <c r="CK100" s="527">
        <v>-39</v>
      </c>
      <c r="CL100" s="506">
        <v>-43</v>
      </c>
      <c r="CM100" s="506">
        <v>-42</v>
      </c>
      <c r="CN100" s="506">
        <v>-53</v>
      </c>
      <c r="CO100" s="527">
        <v>-80</v>
      </c>
      <c r="CP100" s="528">
        <v>-151</v>
      </c>
      <c r="CQ100" s="506">
        <v>-43</v>
      </c>
      <c r="CR100" s="506">
        <v>-65</v>
      </c>
      <c r="CS100" s="527">
        <v>-84</v>
      </c>
      <c r="CT100" s="528">
        <v>-158.55000000000001</v>
      </c>
      <c r="CU100" s="506">
        <v>-45.15</v>
      </c>
      <c r="CV100" s="506">
        <v>-67.2</v>
      </c>
      <c r="CW100" s="527">
        <v>-88.2</v>
      </c>
      <c r="CX100" s="506"/>
      <c r="CY100" s="506"/>
      <c r="CZ100" s="506"/>
      <c r="DA100" s="527"/>
      <c r="DB100" s="506"/>
      <c r="DC100" s="506"/>
      <c r="DD100" s="506"/>
      <c r="DE100" s="527"/>
      <c r="DF100" s="506"/>
      <c r="DG100" s="506"/>
      <c r="DH100" s="506"/>
      <c r="DI100" s="527"/>
      <c r="DJ100" s="486"/>
      <c r="DK100" s="529"/>
      <c r="DL100" s="521"/>
      <c r="DM100" s="521"/>
      <c r="DN100" s="521"/>
      <c r="DO100" s="521"/>
      <c r="DP100" s="521"/>
      <c r="DQ100" s="521"/>
      <c r="DR100" s="521"/>
      <c r="DS100" s="530">
        <v>0</v>
      </c>
      <c r="DT100" s="530">
        <v>-96</v>
      </c>
      <c r="DU100" s="530">
        <v>-87</v>
      </c>
      <c r="DV100" s="506">
        <v>-76</v>
      </c>
      <c r="DW100" s="506">
        <v>-98</v>
      </c>
      <c r="DX100" s="506">
        <v>-72</v>
      </c>
      <c r="DY100" s="506">
        <v>-65</v>
      </c>
      <c r="DZ100" s="506">
        <v>-66</v>
      </c>
      <c r="EA100" s="506">
        <v>-157</v>
      </c>
      <c r="EB100" s="506">
        <v>-176</v>
      </c>
      <c r="EC100" s="506">
        <v>-209</v>
      </c>
      <c r="ED100" s="506">
        <v>-166</v>
      </c>
      <c r="EE100" s="506">
        <v>-218</v>
      </c>
      <c r="EF100" s="506">
        <v>-343</v>
      </c>
      <c r="EG100" s="506">
        <v>-359.1</v>
      </c>
      <c r="EH100" s="506">
        <v>-373.46400000000006</v>
      </c>
      <c r="EI100" s="506">
        <v>-388.40256000000005</v>
      </c>
      <c r="EJ100" s="506">
        <v>-403.93866240000006</v>
      </c>
      <c r="EK100" s="506">
        <v>-420.09620889600006</v>
      </c>
      <c r="EL100" s="506">
        <v>-436.90005725184011</v>
      </c>
      <c r="EM100" s="506">
        <v>-454.37605954191372</v>
      </c>
      <c r="EN100" s="506">
        <v>-472.55110192359029</v>
      </c>
      <c r="EO100" s="506">
        <v>-491.45314600053393</v>
      </c>
      <c r="EP100" s="389"/>
      <c r="EQ100" s="386"/>
    </row>
    <row r="101" spans="1:147" s="377" customFormat="1" ht="15" customHeight="1" outlineLevel="2">
      <c r="A101" s="368"/>
      <c r="B101"/>
      <c r="C101"/>
      <c r="D101"/>
      <c r="E101"/>
      <c r="F101"/>
      <c r="G101"/>
      <c r="H101" s="369"/>
      <c r="I101" s="464" t="s">
        <v>1632</v>
      </c>
      <c r="J101" s="465"/>
      <c r="K101" s="465"/>
      <c r="L101" s="465"/>
      <c r="M101" s="466"/>
      <c r="N101" s="465"/>
      <c r="O101" s="465"/>
      <c r="P101" s="465"/>
      <c r="Q101" s="466"/>
      <c r="R101" s="465"/>
      <c r="S101" s="465"/>
      <c r="T101" s="465"/>
      <c r="U101" s="466"/>
      <c r="V101" s="465"/>
      <c r="W101" s="465"/>
      <c r="X101" s="465"/>
      <c r="Y101" s="466"/>
      <c r="Z101" s="465"/>
      <c r="AA101" s="465"/>
      <c r="AB101" s="465"/>
      <c r="AC101" s="466"/>
      <c r="AD101" s="465"/>
      <c r="AE101" s="465"/>
      <c r="AF101" s="465"/>
      <c r="AG101" s="466"/>
      <c r="AH101" s="465"/>
      <c r="AI101" s="465"/>
      <c r="AJ101" s="465"/>
      <c r="AK101" s="466"/>
      <c r="AL101" s="465"/>
      <c r="AM101" s="465"/>
      <c r="AN101" s="465"/>
      <c r="AO101" s="466"/>
      <c r="AP101" s="465"/>
      <c r="AQ101" s="465"/>
      <c r="AR101" s="465"/>
      <c r="AS101" s="466"/>
      <c r="AT101" s="465"/>
      <c r="AU101" s="465"/>
      <c r="AV101" s="465"/>
      <c r="AW101" s="466"/>
      <c r="AX101" s="465"/>
      <c r="AY101" s="465"/>
      <c r="AZ101" s="465"/>
      <c r="BA101" s="466"/>
      <c r="BB101" s="467"/>
      <c r="BC101" s="467"/>
      <c r="BD101" s="467"/>
      <c r="BE101" s="531"/>
      <c r="BF101" s="467">
        <v>-459.9</v>
      </c>
      <c r="BG101" s="465">
        <v>25.850000000000023</v>
      </c>
      <c r="BH101" s="467">
        <v>-115.8</v>
      </c>
      <c r="BI101" s="531">
        <v>1442.55</v>
      </c>
      <c r="BJ101" s="467">
        <v>-372.15</v>
      </c>
      <c r="BK101" s="467">
        <v>-415.5</v>
      </c>
      <c r="BL101" s="467">
        <v>-89.1</v>
      </c>
      <c r="BM101" s="531">
        <v>1369.45</v>
      </c>
      <c r="BN101" s="467">
        <v>-183.6</v>
      </c>
      <c r="BO101" s="467">
        <v>-163</v>
      </c>
      <c r="BP101" s="467">
        <v>82.050000000000011</v>
      </c>
      <c r="BQ101" s="532">
        <v>1409.2</v>
      </c>
      <c r="BR101" s="467">
        <v>-346.2</v>
      </c>
      <c r="BS101" s="467">
        <v>-171.7</v>
      </c>
      <c r="BT101" s="467">
        <v>-232.75</v>
      </c>
      <c r="BU101" s="468">
        <v>1493.65</v>
      </c>
      <c r="BV101" s="467">
        <v>-179.14999999999998</v>
      </c>
      <c r="BW101" s="467">
        <v>497.54999999999995</v>
      </c>
      <c r="BX101" s="467">
        <v>475.15</v>
      </c>
      <c r="BY101" s="468">
        <v>786</v>
      </c>
      <c r="BZ101" s="469">
        <v>-130.54999999999998</v>
      </c>
      <c r="CA101" s="467">
        <v>12.449999999999989</v>
      </c>
      <c r="CB101" s="467">
        <v>421</v>
      </c>
      <c r="CC101" s="468">
        <v>2156.25</v>
      </c>
      <c r="CD101" s="467">
        <v>-143.07</v>
      </c>
      <c r="CE101" s="467">
        <v>-432.68</v>
      </c>
      <c r="CF101" s="467">
        <v>49.480000000000018</v>
      </c>
      <c r="CG101" s="468">
        <v>1106.0999999999999</v>
      </c>
      <c r="CH101" s="467">
        <v>-219.1</v>
      </c>
      <c r="CI101" s="467">
        <v>-139.69999999999999</v>
      </c>
      <c r="CJ101" s="467">
        <v>161.70999999999998</v>
      </c>
      <c r="CK101" s="468">
        <v>1665.13</v>
      </c>
      <c r="CL101" s="467">
        <v>-185.83999999999997</v>
      </c>
      <c r="CM101" s="467">
        <v>847.33</v>
      </c>
      <c r="CN101" s="467">
        <v>-70.62</v>
      </c>
      <c r="CO101" s="468">
        <v>1402.77</v>
      </c>
      <c r="CP101" s="469">
        <v>470.35</v>
      </c>
      <c r="CQ101" s="467">
        <v>-50.419999999999959</v>
      </c>
      <c r="CR101" s="467">
        <v>229.61</v>
      </c>
      <c r="CS101" s="468">
        <v>865.48210623300929</v>
      </c>
      <c r="CT101" s="469">
        <v>902.88708788831195</v>
      </c>
      <c r="CU101" s="467">
        <v>-74.810470631408705</v>
      </c>
      <c r="CV101" s="467">
        <v>271.34286430923788</v>
      </c>
      <c r="CW101" s="468">
        <v>1078.4606163564019</v>
      </c>
      <c r="CX101" s="467"/>
      <c r="CY101" s="467"/>
      <c r="CZ101" s="467"/>
      <c r="DA101" s="468"/>
      <c r="DB101" s="467"/>
      <c r="DC101" s="467"/>
      <c r="DD101" s="467"/>
      <c r="DE101" s="468"/>
      <c r="DF101" s="467"/>
      <c r="DG101" s="467"/>
      <c r="DH101" s="467"/>
      <c r="DI101" s="468"/>
      <c r="DJ101" s="533"/>
      <c r="DK101" s="471"/>
      <c r="DL101" s="465"/>
      <c r="DM101" s="465"/>
      <c r="DN101" s="465"/>
      <c r="DO101" s="465"/>
      <c r="DP101" s="465"/>
      <c r="DQ101" s="465"/>
      <c r="DR101" s="465"/>
      <c r="DS101" s="534">
        <v>1357</v>
      </c>
      <c r="DT101" s="534">
        <v>1626</v>
      </c>
      <c r="DU101" s="534">
        <v>1668</v>
      </c>
      <c r="DV101" s="467">
        <v>620</v>
      </c>
      <c r="DW101" s="467">
        <v>892.7</v>
      </c>
      <c r="DX101" s="467">
        <v>492.70000000000005</v>
      </c>
      <c r="DY101" s="467">
        <v>1144.6500000000001</v>
      </c>
      <c r="DZ101" s="467">
        <v>743</v>
      </c>
      <c r="EA101" s="467">
        <v>1579.5500000000002</v>
      </c>
      <c r="EB101" s="467">
        <v>2459.15</v>
      </c>
      <c r="EC101" s="467">
        <v>579.82999999999993</v>
      </c>
      <c r="ED101" s="467">
        <v>1468.04</v>
      </c>
      <c r="EE101" s="467">
        <v>2050.64</v>
      </c>
      <c r="EF101" s="467">
        <v>1572.0221062330088</v>
      </c>
      <c r="EG101" s="467">
        <v>2234.8800979225421</v>
      </c>
      <c r="EH101" s="467">
        <v>2159.299580563265</v>
      </c>
      <c r="EI101" s="467">
        <v>2816.1572796664163</v>
      </c>
      <c r="EJ101" s="467">
        <v>2766.1025808420218</v>
      </c>
      <c r="EK101" s="467">
        <v>3007.1438915183248</v>
      </c>
      <c r="EL101" s="467">
        <v>2799.1818238906008</v>
      </c>
      <c r="EM101" s="467">
        <v>2796.0935070457463</v>
      </c>
      <c r="EN101" s="467">
        <v>2779.8497718931058</v>
      </c>
      <c r="EO101" s="467">
        <v>3123.3235247215289</v>
      </c>
      <c r="EP101" s="375"/>
      <c r="EQ101" s="369"/>
    </row>
    <row r="102" spans="1:147" s="390" customFormat="1" ht="15" customHeight="1" outlineLevel="2">
      <c r="A102" s="385"/>
      <c r="B102"/>
      <c r="C102"/>
      <c r="D102"/>
      <c r="E102"/>
      <c r="F102"/>
      <c r="G102"/>
      <c r="H102" s="409"/>
      <c r="I102" s="370"/>
      <c r="J102" s="386"/>
      <c r="K102" s="386"/>
      <c r="L102" s="386"/>
      <c r="M102" s="386"/>
      <c r="N102" s="386"/>
      <c r="O102" s="386"/>
      <c r="P102" s="386"/>
      <c r="Q102" s="386"/>
      <c r="R102" s="386"/>
      <c r="S102" s="386"/>
      <c r="T102" s="386"/>
      <c r="U102" s="386"/>
      <c r="V102" s="386"/>
      <c r="W102" s="386"/>
      <c r="X102" s="386"/>
      <c r="Y102" s="386"/>
      <c r="Z102" s="386"/>
      <c r="AA102" s="386"/>
      <c r="AB102" s="386"/>
      <c r="AC102" s="386"/>
      <c r="AD102" s="386"/>
      <c r="AE102" s="386"/>
      <c r="AF102" s="386"/>
      <c r="AG102" s="386"/>
      <c r="AH102" s="386"/>
      <c r="AI102" s="386"/>
      <c r="AJ102" s="386"/>
      <c r="AK102" s="386"/>
      <c r="AL102" s="386"/>
      <c r="AM102" s="386"/>
      <c r="AN102" s="386"/>
      <c r="AO102" s="386"/>
      <c r="AP102" s="386"/>
      <c r="AQ102" s="386"/>
      <c r="AR102" s="386"/>
      <c r="AS102" s="386"/>
      <c r="AT102" s="386"/>
      <c r="AU102" s="386"/>
      <c r="AV102" s="386"/>
      <c r="AW102" s="386"/>
      <c r="AX102" s="386"/>
      <c r="AY102" s="386"/>
      <c r="AZ102" s="386"/>
      <c r="BA102" s="386"/>
      <c r="BB102" s="386"/>
      <c r="BC102" s="386"/>
      <c r="BD102" s="386"/>
      <c r="BE102" s="386"/>
      <c r="BF102" s="386"/>
      <c r="BG102" s="386"/>
      <c r="BH102" s="386"/>
      <c r="BI102" s="386"/>
      <c r="BJ102" s="386"/>
      <c r="BK102" s="386"/>
      <c r="BL102" s="386"/>
      <c r="BM102" s="386"/>
      <c r="BN102" s="386"/>
      <c r="BO102" s="386"/>
      <c r="BP102" s="386"/>
      <c r="BQ102" s="386"/>
      <c r="BR102" s="386"/>
      <c r="BS102" s="386"/>
      <c r="BT102" s="386"/>
      <c r="BU102" s="386"/>
      <c r="BV102" s="386"/>
      <c r="BW102" s="386"/>
      <c r="BX102" s="386"/>
      <c r="BY102" s="386"/>
      <c r="BZ102" s="386"/>
      <c r="CA102" s="386"/>
      <c r="CB102" s="386"/>
      <c r="CC102" s="386"/>
      <c r="CD102" s="386"/>
      <c r="CE102" s="386"/>
      <c r="CF102" s="386"/>
      <c r="CG102" s="388"/>
      <c r="CH102" s="386"/>
      <c r="CI102" s="386"/>
      <c r="CJ102" s="386"/>
      <c r="CK102" s="388"/>
      <c r="CL102" s="386"/>
      <c r="CM102" s="386"/>
      <c r="CN102" s="386"/>
      <c r="CO102" s="388"/>
      <c r="CP102" s="389"/>
      <c r="CQ102" s="386"/>
      <c r="CR102" s="386"/>
      <c r="CS102" s="388"/>
      <c r="CT102" s="389"/>
      <c r="CU102" s="386"/>
      <c r="CV102" s="386"/>
      <c r="CW102" s="388"/>
      <c r="CX102" s="386"/>
      <c r="CY102" s="386"/>
      <c r="CZ102" s="386"/>
      <c r="DA102" s="386"/>
      <c r="DB102" s="386"/>
      <c r="DC102" s="386"/>
      <c r="DD102" s="386"/>
      <c r="DE102" s="386"/>
      <c r="DF102" s="386"/>
      <c r="DG102" s="386"/>
      <c r="DH102" s="386"/>
      <c r="DI102" s="386"/>
      <c r="DJ102" s="409"/>
      <c r="DK102" s="386"/>
      <c r="DL102" s="386"/>
      <c r="DM102" s="386"/>
      <c r="DN102" s="386"/>
      <c r="DO102" s="386"/>
      <c r="DP102" s="386"/>
      <c r="DQ102" s="386"/>
      <c r="DR102" s="386"/>
      <c r="DS102" s="386"/>
      <c r="DT102" s="386"/>
      <c r="DU102" s="386"/>
      <c r="DV102" s="386"/>
      <c r="DW102" s="386"/>
      <c r="DX102" s="386"/>
      <c r="DY102" s="386"/>
      <c r="DZ102" s="386"/>
      <c r="EA102" s="386"/>
      <c r="EB102" s="386"/>
      <c r="EC102" s="386"/>
      <c r="ED102" s="386"/>
      <c r="EE102" s="386"/>
      <c r="EF102" s="386"/>
      <c r="EG102" s="386"/>
      <c r="EH102" s="386"/>
      <c r="EI102" s="386"/>
      <c r="EJ102" s="386"/>
      <c r="EK102" s="386"/>
      <c r="EL102" s="386"/>
      <c r="EM102" s="386"/>
      <c r="EN102" s="386"/>
      <c r="EO102" s="386"/>
      <c r="EP102" s="389"/>
      <c r="EQ102" s="386"/>
    </row>
    <row r="103" spans="1:147" s="546" customFormat="1" ht="12.95" outlineLevel="1">
      <c r="A103" s="385"/>
      <c r="B103"/>
      <c r="C103"/>
      <c r="D103"/>
      <c r="E103"/>
      <c r="F103"/>
      <c r="G103"/>
      <c r="H103" s="535" t="s">
        <v>1564</v>
      </c>
      <c r="I103" s="536" t="s">
        <v>622</v>
      </c>
      <c r="J103" s="537"/>
      <c r="K103" s="537"/>
      <c r="L103" s="537"/>
      <c r="M103" s="538"/>
      <c r="N103" s="539"/>
      <c r="O103" s="537"/>
      <c r="P103" s="537"/>
      <c r="Q103" s="538"/>
      <c r="R103" s="539"/>
      <c r="S103" s="537"/>
      <c r="T103" s="537"/>
      <c r="U103" s="538"/>
      <c r="V103" s="539"/>
      <c r="W103" s="537"/>
      <c r="X103" s="537"/>
      <c r="Y103" s="538"/>
      <c r="Z103" s="539"/>
      <c r="AA103" s="537"/>
      <c r="AB103" s="537"/>
      <c r="AC103" s="538"/>
      <c r="AD103" s="539"/>
      <c r="AE103" s="537"/>
      <c r="AF103" s="537"/>
      <c r="AG103" s="538"/>
      <c r="AH103" s="539"/>
      <c r="AI103" s="537"/>
      <c r="AJ103" s="537"/>
      <c r="AK103" s="538"/>
      <c r="AL103" s="539"/>
      <c r="AM103" s="537"/>
      <c r="AN103" s="537"/>
      <c r="AO103" s="538"/>
      <c r="AP103" s="539"/>
      <c r="AQ103" s="537"/>
      <c r="AR103" s="537"/>
      <c r="AS103" s="538"/>
      <c r="AT103" s="539"/>
      <c r="AU103" s="537"/>
      <c r="AV103" s="537"/>
      <c r="AW103" s="538"/>
      <c r="AX103" s="539"/>
      <c r="AY103" s="537"/>
      <c r="AZ103" s="537"/>
      <c r="BA103" s="538"/>
      <c r="BB103" s="539"/>
      <c r="BC103" s="537"/>
      <c r="BD103" s="537"/>
      <c r="BE103" s="538"/>
      <c r="BF103" s="539"/>
      <c r="BG103" s="537"/>
      <c r="BH103" s="537"/>
      <c r="BI103" s="538"/>
      <c r="BJ103" s="539"/>
      <c r="BK103" s="537"/>
      <c r="BL103" s="537"/>
      <c r="BM103" s="538"/>
      <c r="BN103" s="539"/>
      <c r="BO103" s="537"/>
      <c r="BP103" s="537"/>
      <c r="BQ103" s="538"/>
      <c r="BR103" s="539"/>
      <c r="BS103" s="537"/>
      <c r="BT103" s="537"/>
      <c r="BU103" s="538"/>
      <c r="BV103" s="537"/>
      <c r="BW103" s="537"/>
      <c r="BX103" s="537"/>
      <c r="BY103" s="540"/>
      <c r="BZ103" s="537"/>
      <c r="CA103" s="537"/>
      <c r="CB103" s="537"/>
      <c r="CC103" s="540"/>
      <c r="CD103" s="541"/>
      <c r="CE103" s="541"/>
      <c r="CF103" s="541"/>
      <c r="CG103" s="540"/>
      <c r="CH103" s="541"/>
      <c r="CI103" s="541"/>
      <c r="CJ103" s="541"/>
      <c r="CK103" s="540"/>
      <c r="CL103" s="541"/>
      <c r="CM103" s="541"/>
      <c r="CN103" s="541"/>
      <c r="CO103" s="540"/>
      <c r="CP103" s="542"/>
      <c r="CQ103" s="541"/>
      <c r="CR103" s="541"/>
      <c r="CS103" s="540"/>
      <c r="CT103" s="542"/>
      <c r="CU103" s="541"/>
      <c r="CV103" s="541"/>
      <c r="CW103" s="540"/>
      <c r="CX103" s="537"/>
      <c r="CY103" s="537"/>
      <c r="CZ103" s="537"/>
      <c r="DA103" s="540"/>
      <c r="DB103" s="537"/>
      <c r="DC103" s="537"/>
      <c r="DD103" s="537"/>
      <c r="DE103" s="540"/>
      <c r="DF103" s="537"/>
      <c r="DG103" s="537"/>
      <c r="DH103" s="537"/>
      <c r="DI103" s="540"/>
      <c r="DJ103" s="543"/>
      <c r="DK103" s="542"/>
      <c r="DL103" s="541"/>
      <c r="DM103" s="541"/>
      <c r="DN103" s="541"/>
      <c r="DO103" s="541"/>
      <c r="DP103" s="541"/>
      <c r="DQ103" s="541"/>
      <c r="DR103" s="541"/>
      <c r="DS103" s="541"/>
      <c r="DT103" s="544"/>
      <c r="DU103" s="544"/>
      <c r="DV103" s="544"/>
      <c r="DW103" s="544"/>
      <c r="DX103" s="544"/>
      <c r="DY103" s="544"/>
      <c r="DZ103" s="544"/>
      <c r="EA103" s="544"/>
      <c r="EB103" s="541"/>
      <c r="EC103" s="541"/>
      <c r="ED103" s="541"/>
      <c r="EE103" s="541"/>
      <c r="EF103" s="541"/>
      <c r="EG103" s="541"/>
      <c r="EH103" s="541"/>
      <c r="EI103" s="541"/>
      <c r="EJ103" s="541"/>
      <c r="EK103" s="541"/>
      <c r="EL103" s="541"/>
      <c r="EM103" s="541"/>
      <c r="EN103" s="541"/>
      <c r="EO103" s="541"/>
      <c r="EP103" s="545"/>
    </row>
    <row r="104" spans="1:147" s="390" customFormat="1" ht="15" customHeight="1" outlineLevel="1">
      <c r="A104" s="385"/>
      <c r="B104"/>
      <c r="C104"/>
      <c r="D104"/>
      <c r="E104"/>
      <c r="F104"/>
      <c r="G104"/>
      <c r="H104" s="386"/>
      <c r="I104" s="547" t="s">
        <v>1633</v>
      </c>
      <c r="J104" s="548"/>
      <c r="K104" s="548"/>
      <c r="L104" s="548"/>
      <c r="M104" s="549"/>
      <c r="N104" s="548"/>
      <c r="O104" s="548"/>
      <c r="P104" s="548"/>
      <c r="Q104" s="549"/>
      <c r="R104" s="548"/>
      <c r="S104" s="548"/>
      <c r="T104" s="548"/>
      <c r="U104" s="549"/>
      <c r="V104" s="548"/>
      <c r="W104" s="548"/>
      <c r="X104" s="548"/>
      <c r="Y104" s="549"/>
      <c r="Z104" s="548"/>
      <c r="AA104" s="548"/>
      <c r="AB104" s="548"/>
      <c r="AC104" s="549"/>
      <c r="AD104" s="548"/>
      <c r="AE104" s="548"/>
      <c r="AF104" s="548"/>
      <c r="AG104" s="549"/>
      <c r="AH104" s="548"/>
      <c r="AI104" s="548"/>
      <c r="AJ104" s="548"/>
      <c r="AK104" s="549"/>
      <c r="AL104" s="548"/>
      <c r="AM104" s="548"/>
      <c r="AN104" s="548"/>
      <c r="AO104" s="549"/>
      <c r="AP104" s="548"/>
      <c r="AQ104" s="548"/>
      <c r="AR104" s="548"/>
      <c r="AS104" s="549"/>
      <c r="AT104" s="548"/>
      <c r="AU104" s="548"/>
      <c r="AV104" s="548"/>
      <c r="AW104" s="549"/>
      <c r="AX104" s="548"/>
      <c r="AY104" s="548"/>
      <c r="AZ104" s="548"/>
      <c r="BA104" s="549"/>
      <c r="BB104" s="548"/>
      <c r="BC104" s="548"/>
      <c r="BD104" s="548"/>
      <c r="BE104" s="549"/>
      <c r="BF104" s="548"/>
      <c r="BG104" s="548"/>
      <c r="BH104" s="548"/>
      <c r="BI104" s="549"/>
      <c r="BJ104" s="548"/>
      <c r="BK104" s="548"/>
      <c r="BL104" s="548"/>
      <c r="BM104" s="549"/>
      <c r="BN104" s="548"/>
      <c r="BO104" s="548"/>
      <c r="BP104" s="548"/>
      <c r="BQ104" s="549"/>
      <c r="BR104" s="548"/>
      <c r="BS104" s="548"/>
      <c r="BT104" s="548"/>
      <c r="BU104" s="549"/>
      <c r="BV104" s="548"/>
      <c r="BW104" s="548"/>
      <c r="BX104" s="548"/>
      <c r="BY104" s="549"/>
      <c r="BZ104" s="548"/>
      <c r="CA104" s="548"/>
      <c r="CB104" s="548"/>
      <c r="CC104" s="549"/>
      <c r="CD104" s="548"/>
      <c r="CE104" s="548"/>
      <c r="CF104" s="548"/>
      <c r="CG104" s="549"/>
      <c r="CH104" s="548"/>
      <c r="CI104" s="548"/>
      <c r="CJ104" s="548"/>
      <c r="CK104" s="549"/>
      <c r="CL104" s="548"/>
      <c r="CM104" s="548"/>
      <c r="CN104" s="548"/>
      <c r="CO104" s="549"/>
      <c r="CP104" s="550"/>
      <c r="CQ104" s="548"/>
      <c r="CR104" s="548"/>
      <c r="CS104" s="549"/>
      <c r="CT104" s="550"/>
      <c r="CU104" s="548"/>
      <c r="CV104" s="548"/>
      <c r="CW104" s="549"/>
      <c r="CX104" s="548"/>
      <c r="CY104" s="548"/>
      <c r="CZ104" s="548"/>
      <c r="DA104" s="549"/>
      <c r="DB104" s="548"/>
      <c r="DC104" s="548"/>
      <c r="DD104" s="548"/>
      <c r="DE104" s="549"/>
      <c r="DF104" s="548"/>
      <c r="DG104" s="548"/>
      <c r="DH104" s="548"/>
      <c r="DI104" s="549"/>
      <c r="DJ104" s="454"/>
      <c r="DK104" s="550"/>
      <c r="DL104" s="548"/>
      <c r="DM104" s="548"/>
      <c r="DN104" s="548"/>
      <c r="DO104" s="548"/>
      <c r="DP104" s="548"/>
      <c r="DQ104" s="548"/>
      <c r="DR104" s="548"/>
      <c r="DS104" s="548"/>
      <c r="DT104" s="548"/>
      <c r="DU104" s="548"/>
      <c r="DV104" s="548"/>
      <c r="DW104" s="548"/>
      <c r="DX104" s="548"/>
      <c r="DY104" s="548"/>
      <c r="DZ104" s="548"/>
      <c r="EA104" s="548"/>
      <c r="EB104" s="548"/>
      <c r="EC104" s="548"/>
      <c r="ED104" s="548"/>
      <c r="EE104" s="548"/>
      <c r="EF104" s="548"/>
      <c r="EG104" s="548"/>
      <c r="EH104" s="548"/>
      <c r="EI104" s="548"/>
      <c r="EJ104" s="548"/>
      <c r="EK104" s="548"/>
      <c r="EL104" s="548"/>
      <c r="EM104" s="548"/>
      <c r="EN104" s="548"/>
      <c r="EO104" s="548"/>
      <c r="EP104" s="389"/>
      <c r="EQ104" s="386"/>
    </row>
    <row r="105" spans="1:147" s="390" customFormat="1" ht="15" customHeight="1" outlineLevel="1">
      <c r="A105" s="385"/>
      <c r="B105"/>
      <c r="C105"/>
      <c r="D105"/>
      <c r="E105"/>
      <c r="F105"/>
      <c r="G105"/>
      <c r="H105" s="386"/>
      <c r="I105" s="370" t="s">
        <v>1634</v>
      </c>
      <c r="J105" s="399"/>
      <c r="K105" s="399"/>
      <c r="L105" s="399"/>
      <c r="M105" s="400"/>
      <c r="N105" s="399"/>
      <c r="O105" s="399"/>
      <c r="P105" s="399"/>
      <c r="Q105" s="400"/>
      <c r="R105" s="399"/>
      <c r="S105" s="399"/>
      <c r="T105" s="399"/>
      <c r="U105" s="400"/>
      <c r="V105" s="399"/>
      <c r="W105" s="399"/>
      <c r="X105" s="399"/>
      <c r="Y105" s="400"/>
      <c r="Z105" s="399"/>
      <c r="AA105" s="399"/>
      <c r="AB105" s="399"/>
      <c r="AC105" s="400"/>
      <c r="AD105" s="399"/>
      <c r="AE105" s="399"/>
      <c r="AF105" s="399"/>
      <c r="AG105" s="400"/>
      <c r="AH105" s="399"/>
      <c r="AI105" s="399"/>
      <c r="AJ105" s="399"/>
      <c r="AK105" s="400"/>
      <c r="AL105" s="399"/>
      <c r="AM105" s="399"/>
      <c r="AN105" s="399"/>
      <c r="AO105" s="400"/>
      <c r="AP105" s="399"/>
      <c r="AQ105" s="399"/>
      <c r="AR105" s="399"/>
      <c r="AS105" s="400"/>
      <c r="AT105" s="399"/>
      <c r="AU105" s="399"/>
      <c r="AV105" s="399"/>
      <c r="AW105" s="400"/>
      <c r="AX105" s="399"/>
      <c r="AY105" s="399"/>
      <c r="AZ105" s="399"/>
      <c r="BA105" s="400"/>
      <c r="BB105" s="401">
        <v>2658</v>
      </c>
      <c r="BC105" s="401">
        <v>2334</v>
      </c>
      <c r="BD105" s="401">
        <v>2469</v>
      </c>
      <c r="BE105" s="402">
        <v>3165</v>
      </c>
      <c r="BF105" s="401">
        <v>3049</v>
      </c>
      <c r="BG105" s="401">
        <v>2786</v>
      </c>
      <c r="BH105" s="401">
        <v>2909</v>
      </c>
      <c r="BI105" s="402">
        <v>3959</v>
      </c>
      <c r="BJ105" s="401">
        <v>4299</v>
      </c>
      <c r="BK105" s="401">
        <v>4341</v>
      </c>
      <c r="BL105" s="401">
        <v>4444</v>
      </c>
      <c r="BM105" s="402">
        <v>4410</v>
      </c>
      <c r="BN105" s="401">
        <v>4279</v>
      </c>
      <c r="BO105" s="401">
        <v>4199</v>
      </c>
      <c r="BP105" s="401">
        <v>3805</v>
      </c>
      <c r="BQ105" s="402">
        <v>4848</v>
      </c>
      <c r="BR105" s="401">
        <v>4465</v>
      </c>
      <c r="BS105" s="401">
        <v>4416</v>
      </c>
      <c r="BT105" s="401">
        <v>4365</v>
      </c>
      <c r="BU105" s="402">
        <v>1823</v>
      </c>
      <c r="BV105" s="401">
        <v>2872</v>
      </c>
      <c r="BW105" s="401">
        <v>2271</v>
      </c>
      <c r="BX105" s="401">
        <v>4029</v>
      </c>
      <c r="BY105" s="402">
        <v>3245</v>
      </c>
      <c r="BZ105" s="401">
        <v>3248</v>
      </c>
      <c r="CA105" s="401">
        <v>3278</v>
      </c>
      <c r="CB105" s="401">
        <v>3576</v>
      </c>
      <c r="CC105" s="402">
        <v>4713</v>
      </c>
      <c r="CD105" s="401">
        <v>5217</v>
      </c>
      <c r="CE105" s="401">
        <v>4857</v>
      </c>
      <c r="CF105" s="401">
        <v>3308</v>
      </c>
      <c r="CG105" s="402">
        <v>4225</v>
      </c>
      <c r="CH105" s="401">
        <v>4696</v>
      </c>
      <c r="CI105" s="401">
        <v>4592</v>
      </c>
      <c r="CJ105" s="401">
        <v>4939</v>
      </c>
      <c r="CK105" s="402">
        <v>5794</v>
      </c>
      <c r="CL105" s="438">
        <v>5906</v>
      </c>
      <c r="CM105" s="401">
        <v>6338</v>
      </c>
      <c r="CN105" s="401">
        <v>7415</v>
      </c>
      <c r="CO105" s="402">
        <v>8647</v>
      </c>
      <c r="CP105" s="438">
        <v>9281</v>
      </c>
      <c r="CQ105" s="401">
        <v>9209</v>
      </c>
      <c r="CR105" s="401">
        <v>9718</v>
      </c>
      <c r="CS105" s="413">
        <v>10645.626106233009</v>
      </c>
      <c r="CT105" s="373">
        <v>11691.737719903973</v>
      </c>
      <c r="CU105" s="325">
        <v>11647.42037508863</v>
      </c>
      <c r="CV105" s="325">
        <v>11974.360464607837</v>
      </c>
      <c r="CW105" s="413">
        <v>13136.391086703326</v>
      </c>
      <c r="CX105" s="409"/>
      <c r="CY105" s="409"/>
      <c r="CZ105" s="409"/>
      <c r="DA105" s="410"/>
      <c r="DB105" s="409"/>
      <c r="DC105" s="409"/>
      <c r="DD105" s="409"/>
      <c r="DE105" s="410"/>
      <c r="DF105" s="409"/>
      <c r="DG105" s="409"/>
      <c r="DH105" s="409"/>
      <c r="DI105" s="410"/>
      <c r="DJ105" s="454"/>
      <c r="DK105" s="411"/>
      <c r="DL105" s="399"/>
      <c r="DM105" s="399"/>
      <c r="DN105" s="399"/>
      <c r="DO105" s="399"/>
      <c r="DP105" s="399"/>
      <c r="DQ105" s="399"/>
      <c r="DR105" s="399"/>
      <c r="DS105" s="401">
        <v>2958</v>
      </c>
      <c r="DT105" s="401">
        <v>2768</v>
      </c>
      <c r="DU105" s="401">
        <v>2812</v>
      </c>
      <c r="DV105" s="325">
        <v>3165</v>
      </c>
      <c r="DW105" s="325">
        <v>3959</v>
      </c>
      <c r="DX105" s="325">
        <v>4410</v>
      </c>
      <c r="DY105" s="325">
        <v>4848</v>
      </c>
      <c r="DZ105" s="325">
        <v>1823</v>
      </c>
      <c r="EA105" s="325">
        <v>3245</v>
      </c>
      <c r="EB105" s="325">
        <v>4713</v>
      </c>
      <c r="EC105" s="412">
        <v>4225</v>
      </c>
      <c r="ED105" s="412">
        <v>5794</v>
      </c>
      <c r="EE105" s="412">
        <v>8647</v>
      </c>
      <c r="EF105" s="412">
        <v>10645.626106233009</v>
      </c>
      <c r="EG105" s="412">
        <v>13136.391086703326</v>
      </c>
      <c r="EH105" s="412">
        <v>15291.628303317821</v>
      </c>
      <c r="EI105" s="412">
        <v>18607.195678353637</v>
      </c>
      <c r="EJ105" s="412">
        <v>21824.886708258196</v>
      </c>
      <c r="EK105" s="412">
        <v>25834.160483794371</v>
      </c>
      <c r="EL105" s="412">
        <v>29917.298408382969</v>
      </c>
      <c r="EM105" s="412">
        <v>33881.566166603159</v>
      </c>
      <c r="EN105" s="412">
        <v>37883.991256915935</v>
      </c>
      <c r="EO105" s="412">
        <v>42140.845094897013</v>
      </c>
      <c r="EP105" s="389"/>
      <c r="EQ105" s="386"/>
    </row>
    <row r="106" spans="1:147" s="390" customFormat="1" ht="15" customHeight="1" outlineLevel="1">
      <c r="A106" s="385"/>
      <c r="B106"/>
      <c r="C106"/>
      <c r="D106"/>
      <c r="E106"/>
      <c r="F106"/>
      <c r="G106"/>
      <c r="H106" s="386"/>
      <c r="I106" s="370" t="s">
        <v>1635</v>
      </c>
      <c r="J106" s="399"/>
      <c r="K106" s="399"/>
      <c r="L106" s="399"/>
      <c r="M106" s="400"/>
      <c r="N106" s="399"/>
      <c r="O106" s="399"/>
      <c r="P106" s="399"/>
      <c r="Q106" s="400"/>
      <c r="R106" s="399"/>
      <c r="S106" s="399"/>
      <c r="T106" s="399"/>
      <c r="U106" s="400"/>
      <c r="V106" s="399"/>
      <c r="W106" s="399"/>
      <c r="X106" s="399"/>
      <c r="Y106" s="400"/>
      <c r="Z106" s="399"/>
      <c r="AA106" s="399"/>
      <c r="AB106" s="399"/>
      <c r="AC106" s="400"/>
      <c r="AD106" s="399"/>
      <c r="AE106" s="399"/>
      <c r="AF106" s="399"/>
      <c r="AG106" s="400"/>
      <c r="AH106" s="399"/>
      <c r="AI106" s="399"/>
      <c r="AJ106" s="399"/>
      <c r="AK106" s="400"/>
      <c r="AL106" s="399"/>
      <c r="AM106" s="399"/>
      <c r="AN106" s="399"/>
      <c r="AO106" s="400"/>
      <c r="AP106" s="399"/>
      <c r="AQ106" s="399"/>
      <c r="AR106" s="399"/>
      <c r="AS106" s="400"/>
      <c r="AT106" s="399"/>
      <c r="AU106" s="399"/>
      <c r="AV106" s="399"/>
      <c r="AW106" s="400"/>
      <c r="AX106" s="399"/>
      <c r="AY106" s="399"/>
      <c r="AZ106" s="399"/>
      <c r="BA106" s="400"/>
      <c r="BB106" s="401">
        <v>0</v>
      </c>
      <c r="BC106" s="401">
        <v>0</v>
      </c>
      <c r="BD106" s="401">
        <v>0</v>
      </c>
      <c r="BE106" s="402">
        <v>0</v>
      </c>
      <c r="BF106" s="401">
        <v>0</v>
      </c>
      <c r="BG106" s="401">
        <v>0</v>
      </c>
      <c r="BH106" s="401">
        <v>0</v>
      </c>
      <c r="BI106" s="402">
        <v>0</v>
      </c>
      <c r="BJ106" s="401">
        <v>0</v>
      </c>
      <c r="BK106" s="401">
        <v>0</v>
      </c>
      <c r="BL106" s="401">
        <v>2282</v>
      </c>
      <c r="BM106" s="402">
        <v>0</v>
      </c>
      <c r="BN106" s="401">
        <v>0</v>
      </c>
      <c r="BO106" s="401">
        <v>0</v>
      </c>
      <c r="BP106" s="401">
        <v>0</v>
      </c>
      <c r="BQ106" s="402">
        <v>0</v>
      </c>
      <c r="BR106" s="401">
        <v>0</v>
      </c>
      <c r="BS106" s="401">
        <v>0</v>
      </c>
      <c r="BT106" s="401">
        <v>0</v>
      </c>
      <c r="BU106" s="402">
        <v>3561</v>
      </c>
      <c r="BV106" s="401">
        <v>0</v>
      </c>
      <c r="BW106" s="401">
        <v>0</v>
      </c>
      <c r="BX106" s="401">
        <v>0</v>
      </c>
      <c r="BY106" s="402">
        <v>0</v>
      </c>
      <c r="BZ106" s="401">
        <v>0</v>
      </c>
      <c r="CA106" s="401">
        <v>0</v>
      </c>
      <c r="CB106" s="401">
        <v>0</v>
      </c>
      <c r="CC106" s="402">
        <v>0</v>
      </c>
      <c r="CD106" s="401">
        <v>0</v>
      </c>
      <c r="CE106" s="401">
        <v>0</v>
      </c>
      <c r="CF106" s="401">
        <v>0</v>
      </c>
      <c r="CG106" s="402">
        <v>0</v>
      </c>
      <c r="CH106" s="401">
        <v>0</v>
      </c>
      <c r="CI106" s="401">
        <v>0</v>
      </c>
      <c r="CJ106" s="401">
        <v>0</v>
      </c>
      <c r="CK106" s="402">
        <v>0</v>
      </c>
      <c r="CL106" s="438">
        <v>0</v>
      </c>
      <c r="CM106" s="401">
        <v>0</v>
      </c>
      <c r="CN106" s="401">
        <v>0</v>
      </c>
      <c r="CO106" s="402">
        <v>0</v>
      </c>
      <c r="CP106" s="438">
        <v>0</v>
      </c>
      <c r="CQ106" s="401">
        <v>0</v>
      </c>
      <c r="CR106" s="401">
        <v>0</v>
      </c>
      <c r="CS106" s="413">
        <v>0</v>
      </c>
      <c r="CT106" s="373">
        <v>0</v>
      </c>
      <c r="CU106" s="325">
        <v>0</v>
      </c>
      <c r="CV106" s="325">
        <v>0</v>
      </c>
      <c r="CW106" s="413">
        <v>0</v>
      </c>
      <c r="CX106" s="409"/>
      <c r="CY106" s="409"/>
      <c r="CZ106" s="409"/>
      <c r="DA106" s="410"/>
      <c r="DB106" s="409"/>
      <c r="DC106" s="409"/>
      <c r="DD106" s="409"/>
      <c r="DE106" s="410"/>
      <c r="DF106" s="409"/>
      <c r="DG106" s="409"/>
      <c r="DH106" s="409"/>
      <c r="DI106" s="410"/>
      <c r="DJ106" s="454"/>
      <c r="DK106" s="411"/>
      <c r="DL106" s="399"/>
      <c r="DM106" s="399"/>
      <c r="DN106" s="399"/>
      <c r="DO106" s="399"/>
      <c r="DP106" s="399"/>
      <c r="DQ106" s="399"/>
      <c r="DR106" s="399"/>
      <c r="DS106" s="401">
        <v>0</v>
      </c>
      <c r="DT106" s="401">
        <v>0</v>
      </c>
      <c r="DU106" s="401">
        <v>0</v>
      </c>
      <c r="DV106" s="325">
        <v>0</v>
      </c>
      <c r="DW106" s="325">
        <v>0</v>
      </c>
      <c r="DX106" s="325">
        <v>0</v>
      </c>
      <c r="DY106" s="325">
        <v>0</v>
      </c>
      <c r="DZ106" s="325">
        <v>3561</v>
      </c>
      <c r="EA106" s="325">
        <v>0</v>
      </c>
      <c r="EB106" s="325">
        <v>0</v>
      </c>
      <c r="EC106" s="412">
        <v>0</v>
      </c>
      <c r="ED106" s="412">
        <v>0</v>
      </c>
      <c r="EE106" s="412">
        <v>0</v>
      </c>
      <c r="EF106" s="412">
        <v>0</v>
      </c>
      <c r="EG106" s="412">
        <v>0</v>
      </c>
      <c r="EH106" s="412">
        <v>0</v>
      </c>
      <c r="EI106" s="412">
        <v>0</v>
      </c>
      <c r="EJ106" s="412">
        <v>0</v>
      </c>
      <c r="EK106" s="412">
        <v>0</v>
      </c>
      <c r="EL106" s="412">
        <v>0</v>
      </c>
      <c r="EM106" s="412">
        <v>0</v>
      </c>
      <c r="EN106" s="412">
        <v>0</v>
      </c>
      <c r="EO106" s="412">
        <v>0</v>
      </c>
      <c r="EP106" s="389"/>
      <c r="EQ106" s="386"/>
    </row>
    <row r="107" spans="1:147" s="390" customFormat="1" ht="15" customHeight="1" outlineLevel="1">
      <c r="A107" s="385"/>
      <c r="B107"/>
      <c r="C107"/>
      <c r="D107"/>
      <c r="E107"/>
      <c r="F107"/>
      <c r="G107"/>
      <c r="H107" s="386"/>
      <c r="I107" s="370" t="s">
        <v>1636</v>
      </c>
      <c r="J107" s="399"/>
      <c r="K107" s="399"/>
      <c r="L107" s="399"/>
      <c r="M107" s="400"/>
      <c r="N107" s="399"/>
      <c r="O107" s="399"/>
      <c r="P107" s="399"/>
      <c r="Q107" s="400"/>
      <c r="R107" s="399"/>
      <c r="S107" s="399"/>
      <c r="T107" s="399"/>
      <c r="U107" s="400"/>
      <c r="V107" s="399"/>
      <c r="W107" s="399"/>
      <c r="X107" s="399"/>
      <c r="Y107" s="400"/>
      <c r="Z107" s="399"/>
      <c r="AA107" s="399"/>
      <c r="AB107" s="399"/>
      <c r="AC107" s="400"/>
      <c r="AD107" s="399"/>
      <c r="AE107" s="399"/>
      <c r="AF107" s="399"/>
      <c r="AG107" s="400"/>
      <c r="AH107" s="399"/>
      <c r="AI107" s="399"/>
      <c r="AJ107" s="399"/>
      <c r="AK107" s="400"/>
      <c r="AL107" s="399"/>
      <c r="AM107" s="399"/>
      <c r="AN107" s="399"/>
      <c r="AO107" s="400"/>
      <c r="AP107" s="399"/>
      <c r="AQ107" s="399"/>
      <c r="AR107" s="399"/>
      <c r="AS107" s="400"/>
      <c r="AT107" s="399"/>
      <c r="AU107" s="399"/>
      <c r="AV107" s="399"/>
      <c r="AW107" s="400"/>
      <c r="AX107" s="399"/>
      <c r="AY107" s="399"/>
      <c r="AZ107" s="399"/>
      <c r="BA107" s="400"/>
      <c r="BB107" s="401">
        <v>701</v>
      </c>
      <c r="BC107" s="401">
        <v>610</v>
      </c>
      <c r="BD107" s="401">
        <v>432</v>
      </c>
      <c r="BE107" s="402">
        <v>360</v>
      </c>
      <c r="BF107" s="401">
        <v>427</v>
      </c>
      <c r="BG107" s="401">
        <v>406</v>
      </c>
      <c r="BH107" s="401">
        <v>455</v>
      </c>
      <c r="BI107" s="402">
        <v>416</v>
      </c>
      <c r="BJ107" s="401">
        <v>319</v>
      </c>
      <c r="BK107" s="401">
        <v>205</v>
      </c>
      <c r="BL107" s="401">
        <v>95</v>
      </c>
      <c r="BM107" s="402">
        <v>33</v>
      </c>
      <c r="BN107" s="401">
        <v>8</v>
      </c>
      <c r="BO107" s="401">
        <v>5</v>
      </c>
      <c r="BP107" s="401">
        <v>23</v>
      </c>
      <c r="BQ107" s="402">
        <v>10</v>
      </c>
      <c r="BR107" s="401">
        <v>5</v>
      </c>
      <c r="BS107" s="401">
        <v>105</v>
      </c>
      <c r="BT107" s="401">
        <v>154</v>
      </c>
      <c r="BU107" s="402">
        <v>8</v>
      </c>
      <c r="BV107" s="401">
        <v>0</v>
      </c>
      <c r="BW107" s="401">
        <v>0</v>
      </c>
      <c r="BX107" s="401">
        <v>0</v>
      </c>
      <c r="BY107" s="402">
        <v>0</v>
      </c>
      <c r="BZ107" s="401">
        <v>0</v>
      </c>
      <c r="CA107" s="401">
        <v>0</v>
      </c>
      <c r="CB107" s="401">
        <v>0</v>
      </c>
      <c r="CC107" s="402">
        <v>0</v>
      </c>
      <c r="CD107" s="401">
        <v>0</v>
      </c>
      <c r="CE107" s="401">
        <v>0</v>
      </c>
      <c r="CF107" s="401">
        <v>0</v>
      </c>
      <c r="CG107" s="402">
        <v>0</v>
      </c>
      <c r="CH107" s="401">
        <v>0</v>
      </c>
      <c r="CI107" s="401">
        <v>0</v>
      </c>
      <c r="CJ107" s="401">
        <v>0</v>
      </c>
      <c r="CK107" s="402">
        <v>0</v>
      </c>
      <c r="CL107" s="438">
        <v>0</v>
      </c>
      <c r="CM107" s="401">
        <v>0</v>
      </c>
      <c r="CN107" s="401">
        <v>0</v>
      </c>
      <c r="CO107" s="402">
        <v>0</v>
      </c>
      <c r="CP107" s="438">
        <v>0</v>
      </c>
      <c r="CQ107" s="401">
        <v>0</v>
      </c>
      <c r="CR107" s="401">
        <v>0</v>
      </c>
      <c r="CS107" s="413">
        <v>0</v>
      </c>
      <c r="CT107" s="373">
        <v>0</v>
      </c>
      <c r="CU107" s="325">
        <v>0</v>
      </c>
      <c r="CV107" s="325">
        <v>0</v>
      </c>
      <c r="CW107" s="413">
        <v>0</v>
      </c>
      <c r="CX107" s="409"/>
      <c r="CY107" s="409"/>
      <c r="CZ107" s="409"/>
      <c r="DA107" s="410"/>
      <c r="DB107" s="409"/>
      <c r="DC107" s="409"/>
      <c r="DD107" s="409"/>
      <c r="DE107" s="410"/>
      <c r="DF107" s="409"/>
      <c r="DG107" s="409"/>
      <c r="DH107" s="409"/>
      <c r="DI107" s="410"/>
      <c r="DJ107" s="454"/>
      <c r="DK107" s="411"/>
      <c r="DL107" s="399"/>
      <c r="DM107" s="399"/>
      <c r="DN107" s="399"/>
      <c r="DO107" s="399"/>
      <c r="DP107" s="399"/>
      <c r="DQ107" s="399"/>
      <c r="DR107" s="399"/>
      <c r="DS107" s="401">
        <v>44</v>
      </c>
      <c r="DT107" s="401">
        <v>477</v>
      </c>
      <c r="DU107" s="401">
        <v>696</v>
      </c>
      <c r="DV107" s="325">
        <v>360</v>
      </c>
      <c r="DW107" s="325">
        <v>416</v>
      </c>
      <c r="DX107" s="325">
        <v>33</v>
      </c>
      <c r="DY107" s="325">
        <v>10</v>
      </c>
      <c r="DZ107" s="325">
        <v>8</v>
      </c>
      <c r="EA107" s="325">
        <v>0</v>
      </c>
      <c r="EB107" s="325">
        <v>0</v>
      </c>
      <c r="EC107" s="412">
        <v>0</v>
      </c>
      <c r="ED107" s="412">
        <v>0</v>
      </c>
      <c r="EE107" s="412">
        <v>0</v>
      </c>
      <c r="EF107" s="412">
        <v>0</v>
      </c>
      <c r="EG107" s="412">
        <v>0</v>
      </c>
      <c r="EH107" s="412">
        <v>0</v>
      </c>
      <c r="EI107" s="412">
        <v>0</v>
      </c>
      <c r="EJ107" s="412">
        <v>0</v>
      </c>
      <c r="EK107" s="412">
        <v>0</v>
      </c>
      <c r="EL107" s="412">
        <v>0</v>
      </c>
      <c r="EM107" s="412">
        <v>0</v>
      </c>
      <c r="EN107" s="412">
        <v>0</v>
      </c>
      <c r="EO107" s="412">
        <v>0</v>
      </c>
      <c r="EP107" s="389"/>
      <c r="EQ107" s="386"/>
    </row>
    <row r="108" spans="1:147" s="390" customFormat="1" ht="15" customHeight="1" outlineLevel="1">
      <c r="A108" s="385"/>
      <c r="B108"/>
      <c r="C108"/>
      <c r="D108"/>
      <c r="E108"/>
      <c r="F108"/>
      <c r="G108"/>
      <c r="H108" s="386"/>
      <c r="I108" s="370" t="s">
        <v>1637</v>
      </c>
      <c r="J108" s="399"/>
      <c r="K108" s="399"/>
      <c r="L108" s="399"/>
      <c r="M108" s="400"/>
      <c r="N108" s="399"/>
      <c r="O108" s="399"/>
      <c r="P108" s="399"/>
      <c r="Q108" s="400"/>
      <c r="R108" s="399"/>
      <c r="S108" s="399"/>
      <c r="T108" s="399"/>
      <c r="U108" s="400"/>
      <c r="V108" s="399"/>
      <c r="W108" s="399"/>
      <c r="X108" s="399"/>
      <c r="Y108" s="400"/>
      <c r="Z108" s="399"/>
      <c r="AA108" s="399"/>
      <c r="AB108" s="399"/>
      <c r="AC108" s="400"/>
      <c r="AD108" s="399"/>
      <c r="AE108" s="399"/>
      <c r="AF108" s="399"/>
      <c r="AG108" s="400"/>
      <c r="AH108" s="399"/>
      <c r="AI108" s="399"/>
      <c r="AJ108" s="399"/>
      <c r="AK108" s="400"/>
      <c r="AL108" s="399"/>
      <c r="AM108" s="399"/>
      <c r="AN108" s="399"/>
      <c r="AO108" s="400"/>
      <c r="AP108" s="399"/>
      <c r="AQ108" s="399"/>
      <c r="AR108" s="399"/>
      <c r="AS108" s="400"/>
      <c r="AT108" s="399"/>
      <c r="AU108" s="399"/>
      <c r="AV108" s="399"/>
      <c r="AW108" s="400"/>
      <c r="AX108" s="399"/>
      <c r="AY108" s="399"/>
      <c r="AZ108" s="399"/>
      <c r="BA108" s="400"/>
      <c r="BB108" s="401">
        <v>95</v>
      </c>
      <c r="BC108" s="401">
        <v>140</v>
      </c>
      <c r="BD108" s="401">
        <v>139</v>
      </c>
      <c r="BE108" s="402">
        <v>649</v>
      </c>
      <c r="BF108" s="401">
        <v>103</v>
      </c>
      <c r="BG108" s="401">
        <v>227</v>
      </c>
      <c r="BH108" s="401">
        <v>200</v>
      </c>
      <c r="BI108" s="402">
        <v>707</v>
      </c>
      <c r="BJ108" s="401">
        <v>237</v>
      </c>
      <c r="BK108" s="401">
        <v>117</v>
      </c>
      <c r="BL108" s="401">
        <v>205</v>
      </c>
      <c r="BM108" s="402">
        <v>515</v>
      </c>
      <c r="BN108" s="401">
        <v>219</v>
      </c>
      <c r="BO108" s="401">
        <v>107</v>
      </c>
      <c r="BP108" s="401">
        <v>689</v>
      </c>
      <c r="BQ108" s="402">
        <v>659</v>
      </c>
      <c r="BR108" s="401">
        <v>208</v>
      </c>
      <c r="BS108" s="401">
        <v>201</v>
      </c>
      <c r="BT108" s="401">
        <v>503</v>
      </c>
      <c r="BU108" s="402">
        <v>679</v>
      </c>
      <c r="BV108" s="401">
        <v>383</v>
      </c>
      <c r="BW108" s="401">
        <v>462</v>
      </c>
      <c r="BX108" s="401">
        <v>446</v>
      </c>
      <c r="BY108" s="402">
        <v>732</v>
      </c>
      <c r="BZ108" s="401">
        <v>344</v>
      </c>
      <c r="CA108" s="401">
        <v>360</v>
      </c>
      <c r="CB108" s="401">
        <v>888</v>
      </c>
      <c r="CC108" s="402">
        <v>918</v>
      </c>
      <c r="CD108" s="401">
        <v>431</v>
      </c>
      <c r="CE108" s="401">
        <v>418</v>
      </c>
      <c r="CF108" s="401">
        <v>641</v>
      </c>
      <c r="CG108" s="402">
        <v>1035</v>
      </c>
      <c r="CH108" s="401">
        <v>594</v>
      </c>
      <c r="CI108" s="401">
        <v>455</v>
      </c>
      <c r="CJ108" s="401">
        <v>386</v>
      </c>
      <c r="CK108" s="402">
        <v>848</v>
      </c>
      <c r="CL108" s="438">
        <v>590</v>
      </c>
      <c r="CM108" s="401">
        <v>614</v>
      </c>
      <c r="CN108" s="401">
        <v>619</v>
      </c>
      <c r="CO108" s="402">
        <v>1052</v>
      </c>
      <c r="CP108" s="438">
        <v>773</v>
      </c>
      <c r="CQ108" s="401">
        <v>682</v>
      </c>
      <c r="CR108" s="401">
        <v>585</v>
      </c>
      <c r="CS108" s="413">
        <v>1233.6862064643981</v>
      </c>
      <c r="CT108" s="373">
        <v>551.57596394860923</v>
      </c>
      <c r="CU108" s="325">
        <v>521.73183432342023</v>
      </c>
      <c r="CV108" s="325">
        <v>692.75109672605697</v>
      </c>
      <c r="CW108" s="413">
        <v>1591.5382908247416</v>
      </c>
      <c r="CX108" s="409"/>
      <c r="CY108" s="409"/>
      <c r="CZ108" s="409"/>
      <c r="DA108" s="410"/>
      <c r="DB108" s="409"/>
      <c r="DC108" s="409"/>
      <c r="DD108" s="409"/>
      <c r="DE108" s="410"/>
      <c r="DF108" s="409"/>
      <c r="DG108" s="409"/>
      <c r="DH108" s="409"/>
      <c r="DI108" s="410"/>
      <c r="DJ108" s="454"/>
      <c r="DK108" s="411"/>
      <c r="DL108" s="399"/>
      <c r="DM108" s="399"/>
      <c r="DN108" s="399"/>
      <c r="DO108" s="399"/>
      <c r="DP108" s="399"/>
      <c r="DQ108" s="399"/>
      <c r="DR108" s="399"/>
      <c r="DS108" s="401">
        <v>1210</v>
      </c>
      <c r="DT108" s="401">
        <v>739</v>
      </c>
      <c r="DU108" s="401">
        <v>640</v>
      </c>
      <c r="DV108" s="325">
        <v>649</v>
      </c>
      <c r="DW108" s="325">
        <v>707</v>
      </c>
      <c r="DX108" s="325">
        <v>515</v>
      </c>
      <c r="DY108" s="325">
        <v>659</v>
      </c>
      <c r="DZ108" s="325">
        <v>679</v>
      </c>
      <c r="EA108" s="325">
        <v>732</v>
      </c>
      <c r="EB108" s="325">
        <v>918</v>
      </c>
      <c r="EC108" s="412">
        <v>1035</v>
      </c>
      <c r="ED108" s="412">
        <v>848</v>
      </c>
      <c r="EE108" s="412">
        <v>1052</v>
      </c>
      <c r="EF108" s="412">
        <v>1233.6862064643981</v>
      </c>
      <c r="EG108" s="412">
        <v>1591.5382908247416</v>
      </c>
      <c r="EH108" s="412">
        <v>1855.8329351871948</v>
      </c>
      <c r="EI108" s="412">
        <v>1747.6609534724521</v>
      </c>
      <c r="EJ108" s="412">
        <v>1676.4558170016094</v>
      </c>
      <c r="EK108" s="412">
        <v>1786.9328529510676</v>
      </c>
      <c r="EL108" s="412">
        <v>1723.6158152424057</v>
      </c>
      <c r="EM108" s="412">
        <v>1735.2057141497376</v>
      </c>
      <c r="EN108" s="412">
        <v>1725.7668994670096</v>
      </c>
      <c r="EO108" s="412">
        <v>1857.7678051888545</v>
      </c>
      <c r="EP108" s="389"/>
      <c r="EQ108" s="386"/>
    </row>
    <row r="109" spans="1:147" s="390" customFormat="1" ht="15" customHeight="1" outlineLevel="1">
      <c r="A109" s="385"/>
      <c r="B109"/>
      <c r="C109"/>
      <c r="D109"/>
      <c r="E109"/>
      <c r="F109"/>
      <c r="G109"/>
      <c r="H109" s="386"/>
      <c r="I109" s="370" t="s">
        <v>588</v>
      </c>
      <c r="J109" s="399"/>
      <c r="K109" s="399"/>
      <c r="L109" s="399"/>
      <c r="M109" s="400"/>
      <c r="N109" s="399"/>
      <c r="O109" s="399"/>
      <c r="P109" s="399"/>
      <c r="Q109" s="400"/>
      <c r="R109" s="399"/>
      <c r="S109" s="399"/>
      <c r="T109" s="399"/>
      <c r="U109" s="400"/>
      <c r="V109" s="399"/>
      <c r="W109" s="399"/>
      <c r="X109" s="399"/>
      <c r="Y109" s="400"/>
      <c r="Z109" s="399"/>
      <c r="AA109" s="399"/>
      <c r="AB109" s="399"/>
      <c r="AC109" s="400"/>
      <c r="AD109" s="399"/>
      <c r="AE109" s="399"/>
      <c r="AF109" s="399"/>
      <c r="AG109" s="400"/>
      <c r="AH109" s="399"/>
      <c r="AI109" s="399"/>
      <c r="AJ109" s="399"/>
      <c r="AK109" s="400"/>
      <c r="AL109" s="399"/>
      <c r="AM109" s="399"/>
      <c r="AN109" s="399"/>
      <c r="AO109" s="400"/>
      <c r="AP109" s="399"/>
      <c r="AQ109" s="399"/>
      <c r="AR109" s="399"/>
      <c r="AS109" s="400"/>
      <c r="AT109" s="399"/>
      <c r="AU109" s="399"/>
      <c r="AV109" s="399"/>
      <c r="AW109" s="400"/>
      <c r="AX109" s="399"/>
      <c r="AY109" s="399"/>
      <c r="AZ109" s="399"/>
      <c r="BA109" s="400"/>
      <c r="BB109" s="401">
        <v>103</v>
      </c>
      <c r="BC109" s="401">
        <v>93</v>
      </c>
      <c r="BD109" s="401">
        <v>207</v>
      </c>
      <c r="BE109" s="402">
        <v>144</v>
      </c>
      <c r="BF109" s="401">
        <v>146</v>
      </c>
      <c r="BG109" s="401">
        <v>128</v>
      </c>
      <c r="BH109" s="401">
        <v>291</v>
      </c>
      <c r="BI109" s="402">
        <v>209</v>
      </c>
      <c r="BJ109" s="401">
        <v>159</v>
      </c>
      <c r="BK109" s="401">
        <v>131</v>
      </c>
      <c r="BL109" s="401">
        <v>313</v>
      </c>
      <c r="BM109" s="402">
        <v>171</v>
      </c>
      <c r="BN109" s="401">
        <v>158</v>
      </c>
      <c r="BO109" s="401">
        <v>151</v>
      </c>
      <c r="BP109" s="401">
        <v>222</v>
      </c>
      <c r="BQ109" s="402">
        <v>123</v>
      </c>
      <c r="BR109" s="401">
        <v>102</v>
      </c>
      <c r="BS109" s="401">
        <v>117</v>
      </c>
      <c r="BT109" s="401">
        <v>238</v>
      </c>
      <c r="BU109" s="402">
        <v>128</v>
      </c>
      <c r="BV109" s="401">
        <v>103</v>
      </c>
      <c r="BW109" s="401">
        <v>94</v>
      </c>
      <c r="BX109" s="401">
        <v>131</v>
      </c>
      <c r="BY109" s="402">
        <v>49</v>
      </c>
      <c r="BZ109" s="401">
        <v>48</v>
      </c>
      <c r="CA109" s="401">
        <v>51</v>
      </c>
      <c r="CB109" s="401">
        <v>94</v>
      </c>
      <c r="CC109" s="402">
        <v>46</v>
      </c>
      <c r="CD109" s="401">
        <v>42</v>
      </c>
      <c r="CE109" s="401">
        <v>36</v>
      </c>
      <c r="CF109" s="401">
        <v>174</v>
      </c>
      <c r="CG109" s="402">
        <v>43</v>
      </c>
      <c r="CH109" s="401">
        <v>45</v>
      </c>
      <c r="CI109" s="401">
        <v>46</v>
      </c>
      <c r="CJ109" s="401">
        <v>102</v>
      </c>
      <c r="CK109" s="402">
        <v>32</v>
      </c>
      <c r="CL109" s="438">
        <v>0</v>
      </c>
      <c r="CM109" s="401">
        <v>0</v>
      </c>
      <c r="CN109" s="401">
        <v>0</v>
      </c>
      <c r="CO109" s="402">
        <v>0</v>
      </c>
      <c r="CP109" s="438">
        <v>0</v>
      </c>
      <c r="CQ109" s="401">
        <v>0</v>
      </c>
      <c r="CR109" s="401">
        <v>0</v>
      </c>
      <c r="CS109" s="413">
        <v>42.256036472175005</v>
      </c>
      <c r="CT109" s="373">
        <v>0.56085242213698627</v>
      </c>
      <c r="CU109" s="325">
        <v>0.29755999591780818</v>
      </c>
      <c r="CV109" s="325">
        <v>0.54986329164383563</v>
      </c>
      <c r="CW109" s="413">
        <v>4.4806145255315073</v>
      </c>
      <c r="CX109" s="409"/>
      <c r="CY109" s="409"/>
      <c r="CZ109" s="409"/>
      <c r="DA109" s="410"/>
      <c r="DB109" s="409"/>
      <c r="DC109" s="409"/>
      <c r="DD109" s="409"/>
      <c r="DE109" s="410"/>
      <c r="DF109" s="409"/>
      <c r="DG109" s="409"/>
      <c r="DH109" s="409"/>
      <c r="DI109" s="410"/>
      <c r="DJ109" s="551"/>
      <c r="DK109" s="411"/>
      <c r="DL109" s="399"/>
      <c r="DM109" s="399"/>
      <c r="DN109" s="399"/>
      <c r="DO109" s="399"/>
      <c r="DP109" s="399"/>
      <c r="DQ109" s="399"/>
      <c r="DR109" s="399"/>
      <c r="DS109" s="401">
        <v>262</v>
      </c>
      <c r="DT109" s="401">
        <v>241</v>
      </c>
      <c r="DU109" s="401">
        <v>112</v>
      </c>
      <c r="DV109" s="325">
        <v>144</v>
      </c>
      <c r="DW109" s="325">
        <v>209</v>
      </c>
      <c r="DX109" s="325">
        <v>171</v>
      </c>
      <c r="DY109" s="325">
        <v>123</v>
      </c>
      <c r="DZ109" s="325">
        <v>128</v>
      </c>
      <c r="EA109" s="325">
        <v>49</v>
      </c>
      <c r="EB109" s="325">
        <v>46</v>
      </c>
      <c r="EC109" s="412">
        <v>43</v>
      </c>
      <c r="ED109" s="412">
        <v>32</v>
      </c>
      <c r="EE109" s="412">
        <v>0</v>
      </c>
      <c r="EF109" s="412">
        <v>42.256036472175005</v>
      </c>
      <c r="EG109" s="412">
        <v>4.4806145255315073</v>
      </c>
      <c r="EH109" s="412">
        <v>7.2575320281288578</v>
      </c>
      <c r="EI109" s="412">
        <v>5.4038708395097563</v>
      </c>
      <c r="EJ109" s="412">
        <v>4.9969141362850555</v>
      </c>
      <c r="EK109" s="412">
        <v>5.8539174008185624</v>
      </c>
      <c r="EL109" s="412">
        <v>5.33500314507938</v>
      </c>
      <c r="EM109" s="412">
        <v>5.0000238744006404</v>
      </c>
      <c r="EN109" s="412">
        <v>5.0292624393232677</v>
      </c>
      <c r="EO109" s="412">
        <v>5.8875905967257358</v>
      </c>
      <c r="EP109" s="389"/>
      <c r="EQ109" s="386"/>
    </row>
    <row r="110" spans="1:147" s="390" customFormat="1" ht="15" customHeight="1" outlineLevel="1">
      <c r="A110" s="385"/>
      <c r="B110"/>
      <c r="C110"/>
      <c r="D110"/>
      <c r="E110"/>
      <c r="F110"/>
      <c r="G110"/>
      <c r="H110" s="386"/>
      <c r="I110" s="370" t="s">
        <v>1638</v>
      </c>
      <c r="J110" s="399"/>
      <c r="K110" s="399"/>
      <c r="L110" s="399"/>
      <c r="M110" s="400"/>
      <c r="N110" s="399"/>
      <c r="O110" s="399"/>
      <c r="P110" s="399"/>
      <c r="Q110" s="400"/>
      <c r="R110" s="399"/>
      <c r="S110" s="399"/>
      <c r="T110" s="399"/>
      <c r="U110" s="400"/>
      <c r="V110" s="399"/>
      <c r="W110" s="399"/>
      <c r="X110" s="399"/>
      <c r="Y110" s="400"/>
      <c r="Z110" s="399"/>
      <c r="AA110" s="399"/>
      <c r="AB110" s="399"/>
      <c r="AC110" s="400"/>
      <c r="AD110" s="399"/>
      <c r="AE110" s="399"/>
      <c r="AF110" s="399"/>
      <c r="AG110" s="400"/>
      <c r="AH110" s="399"/>
      <c r="AI110" s="399"/>
      <c r="AJ110" s="399"/>
      <c r="AK110" s="400"/>
      <c r="AL110" s="399"/>
      <c r="AM110" s="399"/>
      <c r="AN110" s="399"/>
      <c r="AO110" s="400"/>
      <c r="AP110" s="399"/>
      <c r="AQ110" s="399"/>
      <c r="AR110" s="399"/>
      <c r="AS110" s="400"/>
      <c r="AT110" s="399"/>
      <c r="AU110" s="399"/>
      <c r="AV110" s="399"/>
      <c r="AW110" s="400"/>
      <c r="AX110" s="399"/>
      <c r="AY110" s="399"/>
      <c r="AZ110" s="399"/>
      <c r="BA110" s="400"/>
      <c r="BB110" s="401">
        <v>129</v>
      </c>
      <c r="BC110" s="401">
        <v>126</v>
      </c>
      <c r="BD110" s="401">
        <v>150</v>
      </c>
      <c r="BE110" s="402">
        <v>137</v>
      </c>
      <c r="BF110" s="401">
        <v>148</v>
      </c>
      <c r="BG110" s="401">
        <v>141</v>
      </c>
      <c r="BH110" s="401">
        <v>164</v>
      </c>
      <c r="BI110" s="402">
        <v>164</v>
      </c>
      <c r="BJ110" s="401">
        <v>143</v>
      </c>
      <c r="BK110" s="401">
        <v>304</v>
      </c>
      <c r="BL110" s="401">
        <v>347</v>
      </c>
      <c r="BM110" s="402">
        <v>367</v>
      </c>
      <c r="BN110" s="401">
        <v>361</v>
      </c>
      <c r="BO110" s="401">
        <v>391</v>
      </c>
      <c r="BP110" s="401">
        <v>445</v>
      </c>
      <c r="BQ110" s="402">
        <v>452</v>
      </c>
      <c r="BR110" s="401">
        <v>358</v>
      </c>
      <c r="BS110" s="401">
        <v>338</v>
      </c>
      <c r="BT110" s="401">
        <v>342</v>
      </c>
      <c r="BU110" s="402">
        <v>336</v>
      </c>
      <c r="BV110" s="401">
        <v>296</v>
      </c>
      <c r="BW110" s="401">
        <v>287</v>
      </c>
      <c r="BX110" s="401">
        <v>414</v>
      </c>
      <c r="BY110" s="402">
        <v>412</v>
      </c>
      <c r="BZ110" s="401">
        <v>370</v>
      </c>
      <c r="CA110" s="401">
        <v>349</v>
      </c>
      <c r="CB110" s="401">
        <v>377</v>
      </c>
      <c r="CC110" s="402">
        <v>367</v>
      </c>
      <c r="CD110" s="401">
        <v>298</v>
      </c>
      <c r="CE110" s="401">
        <v>320</v>
      </c>
      <c r="CF110" s="401">
        <v>348</v>
      </c>
      <c r="CG110" s="402">
        <v>264</v>
      </c>
      <c r="CH110" s="401">
        <v>184</v>
      </c>
      <c r="CI110" s="401">
        <v>184</v>
      </c>
      <c r="CJ110" s="401">
        <v>240</v>
      </c>
      <c r="CK110" s="402">
        <v>322</v>
      </c>
      <c r="CL110" s="438">
        <v>293</v>
      </c>
      <c r="CM110" s="401">
        <v>331</v>
      </c>
      <c r="CN110" s="401">
        <v>398</v>
      </c>
      <c r="CO110" s="402">
        <v>352</v>
      </c>
      <c r="CP110" s="438">
        <v>283</v>
      </c>
      <c r="CQ110" s="401">
        <v>249</v>
      </c>
      <c r="CR110" s="401">
        <v>227</v>
      </c>
      <c r="CS110" s="413">
        <v>365.69093865800187</v>
      </c>
      <c r="CT110" s="373">
        <v>131.54942939711913</v>
      </c>
      <c r="CU110" s="325">
        <v>115.33029313503685</v>
      </c>
      <c r="CV110" s="325">
        <v>443.54080464346072</v>
      </c>
      <c r="CW110" s="413">
        <v>435.52195943254083</v>
      </c>
      <c r="CX110" s="409"/>
      <c r="CY110" s="409"/>
      <c r="CZ110" s="409"/>
      <c r="DA110" s="410"/>
      <c r="DB110" s="409"/>
      <c r="DC110" s="409"/>
      <c r="DD110" s="409"/>
      <c r="DE110" s="410"/>
      <c r="DF110" s="409"/>
      <c r="DG110" s="409"/>
      <c r="DH110" s="409"/>
      <c r="DI110" s="410"/>
      <c r="DJ110" s="454"/>
      <c r="DK110" s="411"/>
      <c r="DL110" s="399"/>
      <c r="DM110" s="399"/>
      <c r="DN110" s="399"/>
      <c r="DO110" s="399"/>
      <c r="DP110" s="399"/>
      <c r="DQ110" s="399"/>
      <c r="DR110" s="399"/>
      <c r="DS110" s="401">
        <v>235</v>
      </c>
      <c r="DT110" s="401">
        <v>224</v>
      </c>
      <c r="DU110" s="401">
        <v>147</v>
      </c>
      <c r="DV110" s="325">
        <v>137</v>
      </c>
      <c r="DW110" s="325">
        <v>164</v>
      </c>
      <c r="DX110" s="325">
        <v>367</v>
      </c>
      <c r="DY110" s="325">
        <v>452</v>
      </c>
      <c r="DZ110" s="325">
        <v>336</v>
      </c>
      <c r="EA110" s="325">
        <v>412</v>
      </c>
      <c r="EB110" s="325">
        <v>367</v>
      </c>
      <c r="EC110" s="412">
        <v>264</v>
      </c>
      <c r="ED110" s="412">
        <v>322</v>
      </c>
      <c r="EE110" s="412">
        <v>352</v>
      </c>
      <c r="EF110" s="412">
        <v>365.69093865800187</v>
      </c>
      <c r="EG110" s="412">
        <v>435.52195943254083</v>
      </c>
      <c r="EH110" s="412">
        <v>264.13705282124306</v>
      </c>
      <c r="EI110" s="412">
        <v>321.19123278729188</v>
      </c>
      <c r="EJ110" s="412">
        <v>296.23926858843964</v>
      </c>
      <c r="EK110" s="412">
        <v>288.27268748067797</v>
      </c>
      <c r="EL110" s="412">
        <v>307.50344949668852</v>
      </c>
      <c r="EM110" s="412">
        <v>294.46769319024912</v>
      </c>
      <c r="EN110" s="412">
        <v>297.79714836271791</v>
      </c>
      <c r="EO110" s="412">
        <v>297.83162578201308</v>
      </c>
      <c r="EP110" s="389"/>
      <c r="EQ110" s="386"/>
    </row>
    <row r="111" spans="1:147" s="390" customFormat="1" ht="15" customHeight="1" outlineLevel="1">
      <c r="A111" s="385"/>
      <c r="B111"/>
      <c r="C111"/>
      <c r="D111"/>
      <c r="E111"/>
      <c r="F111"/>
      <c r="G111"/>
      <c r="H111" s="386"/>
      <c r="I111" s="370" t="s">
        <v>1639</v>
      </c>
      <c r="J111" s="399"/>
      <c r="K111" s="399"/>
      <c r="L111" s="399"/>
      <c r="M111" s="400"/>
      <c r="N111" s="399"/>
      <c r="O111" s="399"/>
      <c r="P111" s="399"/>
      <c r="Q111" s="400"/>
      <c r="R111" s="399"/>
      <c r="S111" s="399"/>
      <c r="T111" s="399"/>
      <c r="U111" s="400"/>
      <c r="V111" s="399"/>
      <c r="W111" s="399"/>
      <c r="X111" s="399"/>
      <c r="Y111" s="400"/>
      <c r="Z111" s="399"/>
      <c r="AA111" s="399"/>
      <c r="AB111" s="399"/>
      <c r="AC111" s="400"/>
      <c r="AD111" s="399"/>
      <c r="AE111" s="399"/>
      <c r="AF111" s="399"/>
      <c r="AG111" s="400"/>
      <c r="AH111" s="399"/>
      <c r="AI111" s="399"/>
      <c r="AJ111" s="399"/>
      <c r="AK111" s="400"/>
      <c r="AL111" s="399"/>
      <c r="AM111" s="399"/>
      <c r="AN111" s="399"/>
      <c r="AO111" s="400"/>
      <c r="AP111" s="399"/>
      <c r="AQ111" s="399"/>
      <c r="AR111" s="399"/>
      <c r="AS111" s="400"/>
      <c r="AT111" s="399"/>
      <c r="AU111" s="399"/>
      <c r="AV111" s="399"/>
      <c r="AW111" s="400"/>
      <c r="AX111" s="399"/>
      <c r="AY111" s="399"/>
      <c r="AZ111" s="399"/>
      <c r="BA111" s="400"/>
      <c r="BB111" s="401">
        <v>32</v>
      </c>
      <c r="BC111" s="401">
        <v>43</v>
      </c>
      <c r="BD111" s="401">
        <v>42</v>
      </c>
      <c r="BE111" s="402">
        <v>22</v>
      </c>
      <c r="BF111" s="401">
        <v>22</v>
      </c>
      <c r="BG111" s="401">
        <v>8</v>
      </c>
      <c r="BH111" s="401">
        <v>13</v>
      </c>
      <c r="BI111" s="402">
        <v>11</v>
      </c>
      <c r="BJ111" s="401">
        <v>11</v>
      </c>
      <c r="BK111" s="401">
        <v>11</v>
      </c>
      <c r="BL111" s="401">
        <v>12</v>
      </c>
      <c r="BM111" s="402">
        <v>11</v>
      </c>
      <c r="BN111" s="401">
        <v>12</v>
      </c>
      <c r="BO111" s="401">
        <v>3</v>
      </c>
      <c r="BP111" s="401">
        <v>2</v>
      </c>
      <c r="BQ111" s="402">
        <v>5</v>
      </c>
      <c r="BR111" s="401">
        <v>5</v>
      </c>
      <c r="BS111" s="401">
        <v>26</v>
      </c>
      <c r="BT111" s="401">
        <v>27</v>
      </c>
      <c r="BU111" s="402">
        <v>30</v>
      </c>
      <c r="BV111" s="401">
        <v>0</v>
      </c>
      <c r="BW111" s="401">
        <v>0</v>
      </c>
      <c r="BX111" s="401">
        <v>0</v>
      </c>
      <c r="BY111" s="402">
        <v>0</v>
      </c>
      <c r="BZ111" s="401">
        <v>0</v>
      </c>
      <c r="CA111" s="401">
        <v>0</v>
      </c>
      <c r="CB111" s="401">
        <v>0</v>
      </c>
      <c r="CC111" s="402">
        <v>0</v>
      </c>
      <c r="CD111" s="401">
        <v>0</v>
      </c>
      <c r="CE111" s="401">
        <v>0</v>
      </c>
      <c r="CF111" s="401">
        <v>0</v>
      </c>
      <c r="CG111" s="402">
        <v>0</v>
      </c>
      <c r="CH111" s="401">
        <v>0</v>
      </c>
      <c r="CI111" s="401">
        <v>0</v>
      </c>
      <c r="CJ111" s="401">
        <v>0</v>
      </c>
      <c r="CK111" s="402">
        <v>0</v>
      </c>
      <c r="CL111" s="438">
        <v>0</v>
      </c>
      <c r="CM111" s="401">
        <v>0</v>
      </c>
      <c r="CN111" s="401">
        <v>0</v>
      </c>
      <c r="CO111" s="402">
        <v>0</v>
      </c>
      <c r="CP111" s="438">
        <v>0</v>
      </c>
      <c r="CQ111" s="401">
        <v>0</v>
      </c>
      <c r="CR111" s="401">
        <v>0</v>
      </c>
      <c r="CS111" s="413">
        <v>0</v>
      </c>
      <c r="CT111" s="373">
        <v>0</v>
      </c>
      <c r="CU111" s="325">
        <v>0</v>
      </c>
      <c r="CV111" s="325">
        <v>0</v>
      </c>
      <c r="CW111" s="413">
        <v>0</v>
      </c>
      <c r="CX111" s="409"/>
      <c r="CY111" s="409"/>
      <c r="CZ111" s="409"/>
      <c r="DA111" s="410"/>
      <c r="DB111" s="409"/>
      <c r="DC111" s="409"/>
      <c r="DD111" s="409"/>
      <c r="DE111" s="410"/>
      <c r="DF111" s="409"/>
      <c r="DG111" s="409"/>
      <c r="DH111" s="409"/>
      <c r="DI111" s="410"/>
      <c r="DJ111" s="454"/>
      <c r="DK111" s="411"/>
      <c r="DL111" s="399"/>
      <c r="DM111" s="399"/>
      <c r="DN111" s="399"/>
      <c r="DO111" s="399"/>
      <c r="DP111" s="399"/>
      <c r="DQ111" s="399"/>
      <c r="DR111" s="399"/>
      <c r="DS111" s="401">
        <v>35</v>
      </c>
      <c r="DT111" s="401">
        <v>55</v>
      </c>
      <c r="DU111" s="401">
        <v>45</v>
      </c>
      <c r="DV111" s="325">
        <v>22</v>
      </c>
      <c r="DW111" s="325">
        <v>11</v>
      </c>
      <c r="DX111" s="325">
        <v>11</v>
      </c>
      <c r="DY111" s="325">
        <v>5</v>
      </c>
      <c r="DZ111" s="325">
        <v>30</v>
      </c>
      <c r="EA111" s="325">
        <v>0</v>
      </c>
      <c r="EB111" s="325">
        <v>0</v>
      </c>
      <c r="EC111" s="412">
        <v>0</v>
      </c>
      <c r="ED111" s="412">
        <v>0</v>
      </c>
      <c r="EE111" s="412">
        <v>0</v>
      </c>
      <c r="EF111" s="412">
        <v>0</v>
      </c>
      <c r="EG111" s="412">
        <v>0</v>
      </c>
      <c r="EH111" s="412">
        <v>0</v>
      </c>
      <c r="EI111" s="412">
        <v>0</v>
      </c>
      <c r="EJ111" s="412">
        <v>0</v>
      </c>
      <c r="EK111" s="412">
        <v>0</v>
      </c>
      <c r="EL111" s="412">
        <v>0</v>
      </c>
      <c r="EM111" s="412">
        <v>0</v>
      </c>
      <c r="EN111" s="412">
        <v>0</v>
      </c>
      <c r="EO111" s="412">
        <v>0</v>
      </c>
      <c r="EP111" s="389"/>
      <c r="EQ111" s="386"/>
    </row>
    <row r="112" spans="1:147" s="390" customFormat="1" ht="15" customHeight="1" outlineLevel="1">
      <c r="A112" s="385"/>
      <c r="B112"/>
      <c r="C112"/>
      <c r="D112"/>
      <c r="E112"/>
      <c r="F112"/>
      <c r="G112"/>
      <c r="H112" s="386"/>
      <c r="I112" s="370" t="s">
        <v>1640</v>
      </c>
      <c r="J112" s="399"/>
      <c r="K112" s="399"/>
      <c r="L112" s="399"/>
      <c r="M112" s="400"/>
      <c r="N112" s="399"/>
      <c r="O112" s="399"/>
      <c r="P112" s="399"/>
      <c r="Q112" s="400"/>
      <c r="R112" s="399"/>
      <c r="S112" s="399"/>
      <c r="T112" s="399"/>
      <c r="U112" s="400"/>
      <c r="V112" s="399"/>
      <c r="W112" s="399"/>
      <c r="X112" s="399"/>
      <c r="Y112" s="400"/>
      <c r="Z112" s="399"/>
      <c r="AA112" s="399"/>
      <c r="AB112" s="399"/>
      <c r="AC112" s="400"/>
      <c r="AD112" s="399"/>
      <c r="AE112" s="399"/>
      <c r="AF112" s="399"/>
      <c r="AG112" s="400"/>
      <c r="AH112" s="399"/>
      <c r="AI112" s="399"/>
      <c r="AJ112" s="399"/>
      <c r="AK112" s="400"/>
      <c r="AL112" s="399"/>
      <c r="AM112" s="399"/>
      <c r="AN112" s="399"/>
      <c r="AO112" s="400"/>
      <c r="AP112" s="399"/>
      <c r="AQ112" s="399"/>
      <c r="AR112" s="399"/>
      <c r="AS112" s="400"/>
      <c r="AT112" s="399"/>
      <c r="AU112" s="399"/>
      <c r="AV112" s="399"/>
      <c r="AW112" s="400"/>
      <c r="AX112" s="399"/>
      <c r="AY112" s="399"/>
      <c r="AZ112" s="399"/>
      <c r="BA112" s="400"/>
      <c r="BB112" s="401">
        <v>464</v>
      </c>
      <c r="BC112" s="401">
        <v>511</v>
      </c>
      <c r="BD112" s="401">
        <v>507</v>
      </c>
      <c r="BE112" s="402">
        <v>507</v>
      </c>
      <c r="BF112" s="401">
        <v>445</v>
      </c>
      <c r="BG112" s="401">
        <v>484</v>
      </c>
      <c r="BH112" s="401">
        <v>497</v>
      </c>
      <c r="BI112" s="402">
        <v>487</v>
      </c>
      <c r="BJ112" s="401">
        <v>409</v>
      </c>
      <c r="BK112" s="401">
        <v>335</v>
      </c>
      <c r="BL112" s="401">
        <v>341</v>
      </c>
      <c r="BM112" s="402">
        <v>321</v>
      </c>
      <c r="BN112" s="401">
        <v>336</v>
      </c>
      <c r="BO112" s="401">
        <v>359</v>
      </c>
      <c r="BP112" s="401">
        <v>394</v>
      </c>
      <c r="BQ112" s="402">
        <v>368</v>
      </c>
      <c r="BR112" s="401">
        <v>365</v>
      </c>
      <c r="BS112" s="401">
        <v>346</v>
      </c>
      <c r="BT112" s="401">
        <v>373</v>
      </c>
      <c r="BU112" s="402">
        <v>0</v>
      </c>
      <c r="BV112" s="401">
        <v>0</v>
      </c>
      <c r="BW112" s="401">
        <v>0</v>
      </c>
      <c r="BX112" s="401">
        <v>0</v>
      </c>
      <c r="BY112" s="402">
        <v>0</v>
      </c>
      <c r="BZ112" s="401">
        <v>0</v>
      </c>
      <c r="CA112" s="401">
        <v>0</v>
      </c>
      <c r="CB112" s="401">
        <v>0</v>
      </c>
      <c r="CC112" s="402">
        <v>0</v>
      </c>
      <c r="CD112" s="401">
        <v>0</v>
      </c>
      <c r="CE112" s="401">
        <v>0</v>
      </c>
      <c r="CF112" s="401">
        <v>0</v>
      </c>
      <c r="CG112" s="402">
        <v>0</v>
      </c>
      <c r="CH112" s="401">
        <v>0</v>
      </c>
      <c r="CI112" s="401">
        <v>0</v>
      </c>
      <c r="CJ112" s="401">
        <v>0</v>
      </c>
      <c r="CK112" s="402">
        <v>0</v>
      </c>
      <c r="CL112" s="438">
        <v>0</v>
      </c>
      <c r="CM112" s="401">
        <v>0</v>
      </c>
      <c r="CN112" s="401">
        <v>0</v>
      </c>
      <c r="CO112" s="402">
        <v>0</v>
      </c>
      <c r="CP112" s="438">
        <v>0</v>
      </c>
      <c r="CQ112" s="401">
        <v>0</v>
      </c>
      <c r="CR112" s="401">
        <v>0</v>
      </c>
      <c r="CS112" s="413">
        <v>0</v>
      </c>
      <c r="CT112" s="373">
        <v>0</v>
      </c>
      <c r="CU112" s="325">
        <v>0</v>
      </c>
      <c r="CV112" s="325">
        <v>0</v>
      </c>
      <c r="CW112" s="413">
        <v>0</v>
      </c>
      <c r="CX112" s="409"/>
      <c r="CY112" s="409"/>
      <c r="CZ112" s="409"/>
      <c r="DA112" s="410"/>
      <c r="DB112" s="409"/>
      <c r="DC112" s="409"/>
      <c r="DD112" s="409"/>
      <c r="DE112" s="410"/>
      <c r="DF112" s="409"/>
      <c r="DG112" s="409"/>
      <c r="DH112" s="409"/>
      <c r="DI112" s="410"/>
      <c r="DJ112" s="454"/>
      <c r="DK112" s="411"/>
      <c r="DL112" s="399"/>
      <c r="DM112" s="399"/>
      <c r="DN112" s="399"/>
      <c r="DO112" s="399"/>
      <c r="DP112" s="399"/>
      <c r="DQ112" s="399"/>
      <c r="DR112" s="399"/>
      <c r="DS112" s="401">
        <v>587</v>
      </c>
      <c r="DT112" s="401">
        <v>498</v>
      </c>
      <c r="DU112" s="401">
        <v>640</v>
      </c>
      <c r="DV112" s="325">
        <v>507</v>
      </c>
      <c r="DW112" s="325">
        <v>487</v>
      </c>
      <c r="DX112" s="325">
        <v>321</v>
      </c>
      <c r="DY112" s="325">
        <v>368</v>
      </c>
      <c r="DZ112" s="325">
        <v>0</v>
      </c>
      <c r="EA112" s="325">
        <v>0</v>
      </c>
      <c r="EB112" s="325">
        <v>0</v>
      </c>
      <c r="EC112" s="412">
        <v>0</v>
      </c>
      <c r="ED112" s="412">
        <v>0</v>
      </c>
      <c r="EE112" s="412">
        <v>0</v>
      </c>
      <c r="EF112" s="412">
        <v>0</v>
      </c>
      <c r="EG112" s="412">
        <v>0</v>
      </c>
      <c r="EH112" s="412">
        <v>0</v>
      </c>
      <c r="EI112" s="412">
        <v>0</v>
      </c>
      <c r="EJ112" s="412">
        <v>0</v>
      </c>
      <c r="EK112" s="412">
        <v>0</v>
      </c>
      <c r="EL112" s="412">
        <v>0</v>
      </c>
      <c r="EM112" s="412">
        <v>0</v>
      </c>
      <c r="EN112" s="412">
        <v>0</v>
      </c>
      <c r="EO112" s="412">
        <v>0</v>
      </c>
      <c r="EP112" s="389"/>
      <c r="EQ112" s="386"/>
    </row>
    <row r="113" spans="1:147" s="390" customFormat="1" ht="15" customHeight="1" outlineLevel="1">
      <c r="A113" s="385"/>
      <c r="B113"/>
      <c r="C113"/>
      <c r="D113"/>
      <c r="E113"/>
      <c r="F113"/>
      <c r="G113"/>
      <c r="H113" s="386"/>
      <c r="I113" s="370" t="s">
        <v>1641</v>
      </c>
      <c r="J113" s="399"/>
      <c r="K113" s="399"/>
      <c r="L113" s="399"/>
      <c r="M113" s="400"/>
      <c r="N113" s="399"/>
      <c r="O113" s="399"/>
      <c r="P113" s="399"/>
      <c r="Q113" s="400"/>
      <c r="R113" s="399"/>
      <c r="S113" s="399"/>
      <c r="T113" s="399"/>
      <c r="U113" s="400"/>
      <c r="V113" s="399"/>
      <c r="W113" s="399"/>
      <c r="X113" s="399"/>
      <c r="Y113" s="400"/>
      <c r="Z113" s="399"/>
      <c r="AA113" s="399"/>
      <c r="AB113" s="399"/>
      <c r="AC113" s="400"/>
      <c r="AD113" s="399"/>
      <c r="AE113" s="399"/>
      <c r="AF113" s="399"/>
      <c r="AG113" s="400"/>
      <c r="AH113" s="399"/>
      <c r="AI113" s="399"/>
      <c r="AJ113" s="399"/>
      <c r="AK113" s="400"/>
      <c r="AL113" s="399"/>
      <c r="AM113" s="399"/>
      <c r="AN113" s="399"/>
      <c r="AO113" s="400"/>
      <c r="AP113" s="399"/>
      <c r="AQ113" s="399"/>
      <c r="AR113" s="399"/>
      <c r="AS113" s="400"/>
      <c r="AT113" s="399"/>
      <c r="AU113" s="399"/>
      <c r="AV113" s="399"/>
      <c r="AW113" s="400"/>
      <c r="AX113" s="399"/>
      <c r="AY113" s="399"/>
      <c r="AZ113" s="399"/>
      <c r="BA113" s="400"/>
      <c r="BB113" s="401">
        <v>167</v>
      </c>
      <c r="BC113" s="401">
        <v>97</v>
      </c>
      <c r="BD113" s="401">
        <v>136</v>
      </c>
      <c r="BE113" s="402">
        <v>396</v>
      </c>
      <c r="BF113" s="401">
        <v>226</v>
      </c>
      <c r="BG113" s="401">
        <v>152</v>
      </c>
      <c r="BH113" s="401">
        <v>173</v>
      </c>
      <c r="BI113" s="402">
        <v>321</v>
      </c>
      <c r="BJ113" s="401">
        <v>226</v>
      </c>
      <c r="BK113" s="401">
        <v>185</v>
      </c>
      <c r="BL113" s="401">
        <v>212</v>
      </c>
      <c r="BM113" s="402">
        <v>413</v>
      </c>
      <c r="BN113" s="401">
        <v>321</v>
      </c>
      <c r="BO113" s="401">
        <v>259</v>
      </c>
      <c r="BP113" s="401">
        <v>377</v>
      </c>
      <c r="BQ113" s="402">
        <v>444</v>
      </c>
      <c r="BR113" s="401">
        <v>355</v>
      </c>
      <c r="BS113" s="401">
        <v>502</v>
      </c>
      <c r="BT113" s="401">
        <v>307</v>
      </c>
      <c r="BU113" s="402">
        <v>383</v>
      </c>
      <c r="BV113" s="401">
        <v>354</v>
      </c>
      <c r="BW113" s="401">
        <v>306</v>
      </c>
      <c r="BX113" s="401">
        <v>314</v>
      </c>
      <c r="BY113" s="402">
        <v>392</v>
      </c>
      <c r="BZ113" s="401">
        <v>346</v>
      </c>
      <c r="CA113" s="401">
        <v>314</v>
      </c>
      <c r="CB113" s="401">
        <v>451</v>
      </c>
      <c r="CC113" s="402">
        <v>476</v>
      </c>
      <c r="CD113" s="401">
        <v>422</v>
      </c>
      <c r="CE113" s="401">
        <v>503</v>
      </c>
      <c r="CF113" s="401">
        <v>501</v>
      </c>
      <c r="CG113" s="402">
        <v>539</v>
      </c>
      <c r="CH113" s="401">
        <v>518</v>
      </c>
      <c r="CI113" s="401">
        <v>386</v>
      </c>
      <c r="CJ113" s="401">
        <v>345</v>
      </c>
      <c r="CK113" s="402">
        <v>296</v>
      </c>
      <c r="CL113" s="438">
        <v>330</v>
      </c>
      <c r="CM113" s="401">
        <v>436</v>
      </c>
      <c r="CN113" s="401">
        <v>570</v>
      </c>
      <c r="CO113" s="402">
        <v>514</v>
      </c>
      <c r="CP113" s="438">
        <v>585</v>
      </c>
      <c r="CQ113" s="401">
        <v>747</v>
      </c>
      <c r="CR113" s="401">
        <v>681</v>
      </c>
      <c r="CS113" s="413">
        <v>442.38638743304875</v>
      </c>
      <c r="CT113" s="373">
        <v>311.5346419463516</v>
      </c>
      <c r="CU113" s="325">
        <v>370.82671069304689</v>
      </c>
      <c r="CV113" s="325">
        <v>633.49239896909148</v>
      </c>
      <c r="CW113" s="413">
        <v>787.03564211560365</v>
      </c>
      <c r="CX113" s="409"/>
      <c r="CY113" s="409"/>
      <c r="CZ113" s="409"/>
      <c r="DA113" s="410"/>
      <c r="DB113" s="409"/>
      <c r="DC113" s="409"/>
      <c r="DD113" s="409"/>
      <c r="DE113" s="410"/>
      <c r="DF113" s="409"/>
      <c r="DG113" s="409"/>
      <c r="DH113" s="409"/>
      <c r="DI113" s="410"/>
      <c r="DJ113" s="454"/>
      <c r="DK113" s="411"/>
      <c r="DL113" s="399"/>
      <c r="DM113" s="399"/>
      <c r="DN113" s="399"/>
      <c r="DO113" s="399"/>
      <c r="DP113" s="399"/>
      <c r="DQ113" s="399"/>
      <c r="DR113" s="399"/>
      <c r="DS113" s="401">
        <v>215</v>
      </c>
      <c r="DT113" s="401">
        <v>327</v>
      </c>
      <c r="DU113" s="401">
        <v>293</v>
      </c>
      <c r="DV113" s="325">
        <v>396</v>
      </c>
      <c r="DW113" s="325">
        <v>321</v>
      </c>
      <c r="DX113" s="325">
        <v>413</v>
      </c>
      <c r="DY113" s="325">
        <v>444</v>
      </c>
      <c r="DZ113" s="325">
        <v>383</v>
      </c>
      <c r="EA113" s="325">
        <v>392</v>
      </c>
      <c r="EB113" s="325">
        <v>476</v>
      </c>
      <c r="EC113" s="412">
        <v>539</v>
      </c>
      <c r="ED113" s="412">
        <v>296</v>
      </c>
      <c r="EE113" s="412">
        <v>514</v>
      </c>
      <c r="EF113" s="412">
        <v>442.38638743304875</v>
      </c>
      <c r="EG113" s="412">
        <v>787.03564211560365</v>
      </c>
      <c r="EH113" s="412">
        <v>2369.438766280769</v>
      </c>
      <c r="EI113" s="412">
        <v>2231.3299516128836</v>
      </c>
      <c r="EJ113" s="412">
        <v>2140.4186376075045</v>
      </c>
      <c r="EK113" s="412">
        <v>2281.4704353201237</v>
      </c>
      <c r="EL113" s="412">
        <v>2200.6302686928234</v>
      </c>
      <c r="EM113" s="412">
        <v>2215.4276975171683</v>
      </c>
      <c r="EN113" s="412">
        <v>2203.3766701897866</v>
      </c>
      <c r="EO113" s="412">
        <v>2371.9091157948451</v>
      </c>
      <c r="EP113" s="389"/>
      <c r="EQ113" s="386"/>
    </row>
    <row r="114" spans="1:147" s="390" customFormat="1" ht="15" customHeight="1" outlineLevel="1">
      <c r="A114" s="385"/>
      <c r="B114"/>
      <c r="C114"/>
      <c r="D114"/>
      <c r="E114"/>
      <c r="F114"/>
      <c r="G114"/>
      <c r="H114" s="386"/>
      <c r="I114" s="517" t="s">
        <v>1642</v>
      </c>
      <c r="J114" s="552"/>
      <c r="K114" s="552"/>
      <c r="L114" s="552"/>
      <c r="M114" s="553"/>
      <c r="N114" s="552"/>
      <c r="O114" s="552"/>
      <c r="P114" s="552"/>
      <c r="Q114" s="553"/>
      <c r="R114" s="552"/>
      <c r="S114" s="552"/>
      <c r="T114" s="552"/>
      <c r="U114" s="553"/>
      <c r="V114" s="552"/>
      <c r="W114" s="552"/>
      <c r="X114" s="552"/>
      <c r="Y114" s="553"/>
      <c r="Z114" s="552"/>
      <c r="AA114" s="552"/>
      <c r="AB114" s="552"/>
      <c r="AC114" s="553"/>
      <c r="AD114" s="552"/>
      <c r="AE114" s="552"/>
      <c r="AF114" s="552"/>
      <c r="AG114" s="553"/>
      <c r="AH114" s="552"/>
      <c r="AI114" s="552"/>
      <c r="AJ114" s="552"/>
      <c r="AK114" s="553"/>
      <c r="AL114" s="552"/>
      <c r="AM114" s="552"/>
      <c r="AN114" s="552"/>
      <c r="AO114" s="553"/>
      <c r="AP114" s="552"/>
      <c r="AQ114" s="552"/>
      <c r="AR114" s="552"/>
      <c r="AS114" s="553"/>
      <c r="AT114" s="552"/>
      <c r="AU114" s="552"/>
      <c r="AV114" s="552"/>
      <c r="AW114" s="553"/>
      <c r="AX114" s="552">
        <v>0</v>
      </c>
      <c r="AY114" s="552">
        <v>0</v>
      </c>
      <c r="AZ114" s="552">
        <v>0</v>
      </c>
      <c r="BA114" s="553">
        <v>0</v>
      </c>
      <c r="BB114" s="554">
        <v>4349</v>
      </c>
      <c r="BC114" s="554">
        <v>3954</v>
      </c>
      <c r="BD114" s="554">
        <v>4082</v>
      </c>
      <c r="BE114" s="555">
        <v>5380</v>
      </c>
      <c r="BF114" s="554">
        <v>4566</v>
      </c>
      <c r="BG114" s="554">
        <v>4332</v>
      </c>
      <c r="BH114" s="554">
        <v>4702</v>
      </c>
      <c r="BI114" s="555">
        <v>6274</v>
      </c>
      <c r="BJ114" s="554">
        <v>5803</v>
      </c>
      <c r="BK114" s="554">
        <v>5629</v>
      </c>
      <c r="BL114" s="554">
        <v>8251</v>
      </c>
      <c r="BM114" s="555">
        <v>6241</v>
      </c>
      <c r="BN114" s="554">
        <v>5694</v>
      </c>
      <c r="BO114" s="554">
        <v>5474</v>
      </c>
      <c r="BP114" s="398">
        <v>5957</v>
      </c>
      <c r="BQ114" s="556">
        <v>6909</v>
      </c>
      <c r="BR114" s="398">
        <v>5863</v>
      </c>
      <c r="BS114" s="554">
        <v>6051</v>
      </c>
      <c r="BT114" s="554">
        <v>6309</v>
      </c>
      <c r="BU114" s="555">
        <v>6948</v>
      </c>
      <c r="BV114" s="554">
        <v>4008</v>
      </c>
      <c r="BW114" s="554">
        <v>3420</v>
      </c>
      <c r="BX114" s="554">
        <v>5334</v>
      </c>
      <c r="BY114" s="555">
        <v>4830</v>
      </c>
      <c r="BZ114" s="554">
        <v>4356</v>
      </c>
      <c r="CA114" s="554">
        <v>4352</v>
      </c>
      <c r="CB114" s="554">
        <v>5386</v>
      </c>
      <c r="CC114" s="555">
        <v>6520</v>
      </c>
      <c r="CD114" s="554">
        <v>6410</v>
      </c>
      <c r="CE114" s="554">
        <v>6134</v>
      </c>
      <c r="CF114" s="554">
        <v>4972</v>
      </c>
      <c r="CG114" s="555">
        <v>6106</v>
      </c>
      <c r="CH114" s="554">
        <v>6037</v>
      </c>
      <c r="CI114" s="554">
        <v>5663</v>
      </c>
      <c r="CJ114" s="554">
        <v>6012</v>
      </c>
      <c r="CK114" s="555">
        <v>7292</v>
      </c>
      <c r="CL114" s="557">
        <v>7119</v>
      </c>
      <c r="CM114" s="554">
        <v>7719</v>
      </c>
      <c r="CN114" s="554">
        <v>9002</v>
      </c>
      <c r="CO114" s="555">
        <v>10565</v>
      </c>
      <c r="CP114" s="557">
        <v>10922</v>
      </c>
      <c r="CQ114" s="554">
        <v>10887</v>
      </c>
      <c r="CR114" s="554">
        <v>11211</v>
      </c>
      <c r="CS114" s="555">
        <v>12729.645675260632</v>
      </c>
      <c r="CT114" s="557">
        <v>12686.958607618189</v>
      </c>
      <c r="CU114" s="554">
        <v>12655.606773236052</v>
      </c>
      <c r="CV114" s="554">
        <v>13744.694628238089</v>
      </c>
      <c r="CW114" s="555">
        <v>15954.967593601743</v>
      </c>
      <c r="CX114" s="552"/>
      <c r="CY114" s="552"/>
      <c r="CZ114" s="552"/>
      <c r="DA114" s="553"/>
      <c r="DB114" s="552"/>
      <c r="DC114" s="552"/>
      <c r="DD114" s="552"/>
      <c r="DE114" s="553"/>
      <c r="DF114" s="552"/>
      <c r="DG114" s="552"/>
      <c r="DH114" s="552"/>
      <c r="DI114" s="553"/>
      <c r="DJ114" s="454"/>
      <c r="DK114" s="558"/>
      <c r="DL114" s="552"/>
      <c r="DM114" s="552"/>
      <c r="DN114" s="552"/>
      <c r="DO114" s="552"/>
      <c r="DP114" s="552"/>
      <c r="DQ114" s="552"/>
      <c r="DR114" s="552"/>
      <c r="DS114" s="554">
        <v>5546</v>
      </c>
      <c r="DT114" s="398">
        <v>5329</v>
      </c>
      <c r="DU114" s="398">
        <v>5385</v>
      </c>
      <c r="DV114" s="394">
        <v>5380</v>
      </c>
      <c r="DW114" s="394">
        <v>6274</v>
      </c>
      <c r="DX114" s="394">
        <v>6241</v>
      </c>
      <c r="DY114" s="394">
        <v>6909</v>
      </c>
      <c r="DZ114" s="394">
        <v>6948</v>
      </c>
      <c r="EA114" s="394">
        <v>4830</v>
      </c>
      <c r="EB114" s="394">
        <v>6520</v>
      </c>
      <c r="EC114" s="554">
        <v>6106</v>
      </c>
      <c r="ED114" s="554">
        <v>7292</v>
      </c>
      <c r="EE114" s="554">
        <v>10565</v>
      </c>
      <c r="EF114" s="554">
        <v>12729.645675260632</v>
      </c>
      <c r="EG114" s="554">
        <v>15954.967593601743</v>
      </c>
      <c r="EH114" s="554">
        <v>19788.294589635156</v>
      </c>
      <c r="EI114" s="554">
        <v>22912.781687065773</v>
      </c>
      <c r="EJ114" s="554">
        <v>25942.997345592037</v>
      </c>
      <c r="EK114" s="554">
        <v>30196.690376947059</v>
      </c>
      <c r="EL114" s="554">
        <v>34154.382944959965</v>
      </c>
      <c r="EM114" s="554">
        <v>38131.667295334715</v>
      </c>
      <c r="EN114" s="554">
        <v>42115.961237374773</v>
      </c>
      <c r="EO114" s="554">
        <v>46674.241232259454</v>
      </c>
      <c r="EP114" s="389"/>
      <c r="EQ114" s="386"/>
    </row>
    <row r="115" spans="1:147" s="390" customFormat="1" ht="15" customHeight="1" outlineLevel="1">
      <c r="A115" s="385"/>
      <c r="B115"/>
      <c r="C115"/>
      <c r="D115"/>
      <c r="E115"/>
      <c r="F115"/>
      <c r="G115"/>
      <c r="H115" s="386"/>
      <c r="I115" s="370" t="s">
        <v>1643</v>
      </c>
      <c r="J115" s="559"/>
      <c r="K115" s="559"/>
      <c r="L115" s="559"/>
      <c r="M115" s="560"/>
      <c r="N115" s="559"/>
      <c r="O115" s="559"/>
      <c r="P115" s="559"/>
      <c r="Q115" s="560"/>
      <c r="R115" s="559"/>
      <c r="S115" s="559"/>
      <c r="T115" s="559"/>
      <c r="U115" s="560"/>
      <c r="V115" s="559"/>
      <c r="W115" s="559"/>
      <c r="X115" s="559"/>
      <c r="Y115" s="560"/>
      <c r="Z115" s="559"/>
      <c r="AA115" s="559"/>
      <c r="AB115" s="559"/>
      <c r="AC115" s="560"/>
      <c r="AD115" s="559"/>
      <c r="AE115" s="559"/>
      <c r="AF115" s="559"/>
      <c r="AG115" s="560"/>
      <c r="AH115" s="559"/>
      <c r="AI115" s="559"/>
      <c r="AJ115" s="559"/>
      <c r="AK115" s="560"/>
      <c r="AL115" s="559"/>
      <c r="AM115" s="559"/>
      <c r="AN115" s="559"/>
      <c r="AO115" s="560"/>
      <c r="AP115" s="559"/>
      <c r="AQ115" s="559"/>
      <c r="AR115" s="559"/>
      <c r="AS115" s="560"/>
      <c r="AT115" s="559"/>
      <c r="AU115" s="559"/>
      <c r="AV115" s="559"/>
      <c r="AW115" s="560"/>
      <c r="AX115" s="559"/>
      <c r="AY115" s="559"/>
      <c r="AZ115" s="559"/>
      <c r="BA115" s="560"/>
      <c r="BB115" s="401">
        <v>25</v>
      </c>
      <c r="BC115" s="401">
        <v>25</v>
      </c>
      <c r="BD115" s="401">
        <v>25</v>
      </c>
      <c r="BE115" s="402">
        <v>16</v>
      </c>
      <c r="BF115" s="401">
        <v>17</v>
      </c>
      <c r="BG115" s="401">
        <v>17</v>
      </c>
      <c r="BH115" s="401">
        <v>19</v>
      </c>
      <c r="BI115" s="402">
        <v>8</v>
      </c>
      <c r="BJ115" s="401">
        <v>9</v>
      </c>
      <c r="BK115" s="401">
        <v>9</v>
      </c>
      <c r="BL115" s="401">
        <v>9</v>
      </c>
      <c r="BM115" s="402">
        <v>9</v>
      </c>
      <c r="BN115" s="401">
        <v>9</v>
      </c>
      <c r="BO115" s="401">
        <v>9</v>
      </c>
      <c r="BP115" s="401">
        <v>9</v>
      </c>
      <c r="BQ115" s="402">
        <v>9</v>
      </c>
      <c r="BR115" s="401">
        <v>9</v>
      </c>
      <c r="BS115" s="401">
        <v>9</v>
      </c>
      <c r="BT115" s="401">
        <v>9</v>
      </c>
      <c r="BU115" s="402">
        <v>9</v>
      </c>
      <c r="BV115" s="401">
        <v>0</v>
      </c>
      <c r="BW115" s="401">
        <v>0</v>
      </c>
      <c r="BX115" s="401">
        <v>0</v>
      </c>
      <c r="BY115" s="402">
        <v>0</v>
      </c>
      <c r="BZ115" s="401">
        <v>0</v>
      </c>
      <c r="CA115" s="401">
        <v>0</v>
      </c>
      <c r="CB115" s="401">
        <v>0</v>
      </c>
      <c r="CC115" s="402">
        <v>0</v>
      </c>
      <c r="CD115" s="401">
        <v>0</v>
      </c>
      <c r="CE115" s="401">
        <v>0</v>
      </c>
      <c r="CF115" s="401">
        <v>0</v>
      </c>
      <c r="CG115" s="402">
        <v>0</v>
      </c>
      <c r="CH115" s="401">
        <v>0</v>
      </c>
      <c r="CI115" s="401">
        <v>0</v>
      </c>
      <c r="CJ115" s="401">
        <v>0</v>
      </c>
      <c r="CK115" s="402">
        <v>0</v>
      </c>
      <c r="CL115" s="438">
        <v>0</v>
      </c>
      <c r="CM115" s="401">
        <v>0</v>
      </c>
      <c r="CN115" s="401">
        <v>0</v>
      </c>
      <c r="CO115" s="402">
        <v>0</v>
      </c>
      <c r="CP115" s="438">
        <v>0</v>
      </c>
      <c r="CQ115" s="401">
        <v>0</v>
      </c>
      <c r="CR115" s="401">
        <v>0</v>
      </c>
      <c r="CS115" s="413">
        <v>0</v>
      </c>
      <c r="CT115" s="373">
        <v>0</v>
      </c>
      <c r="CU115" s="325">
        <v>0</v>
      </c>
      <c r="CV115" s="325">
        <v>0</v>
      </c>
      <c r="CW115" s="413">
        <v>0</v>
      </c>
      <c r="CX115" s="559"/>
      <c r="CY115" s="559"/>
      <c r="CZ115" s="559"/>
      <c r="DA115" s="560"/>
      <c r="DB115" s="559"/>
      <c r="DC115" s="559"/>
      <c r="DD115" s="559"/>
      <c r="DE115" s="560"/>
      <c r="DF115" s="559"/>
      <c r="DG115" s="559"/>
      <c r="DH115" s="559"/>
      <c r="DI115" s="560"/>
      <c r="DJ115" s="454"/>
      <c r="DK115" s="561"/>
      <c r="DL115" s="559"/>
      <c r="DM115" s="559"/>
      <c r="DN115" s="559"/>
      <c r="DO115" s="559"/>
      <c r="DP115" s="559"/>
      <c r="DQ115" s="559"/>
      <c r="DR115" s="559"/>
      <c r="DS115" s="562">
        <v>78</v>
      </c>
      <c r="DT115" s="401">
        <v>23</v>
      </c>
      <c r="DU115" s="401">
        <v>23</v>
      </c>
      <c r="DV115" s="325">
        <v>16</v>
      </c>
      <c r="DW115" s="325">
        <v>8</v>
      </c>
      <c r="DX115" s="325">
        <v>9</v>
      </c>
      <c r="DY115" s="325">
        <v>9</v>
      </c>
      <c r="DZ115" s="325">
        <v>9</v>
      </c>
      <c r="EA115" s="325">
        <v>0</v>
      </c>
      <c r="EB115" s="325">
        <v>0</v>
      </c>
      <c r="EC115" s="412">
        <v>0</v>
      </c>
      <c r="ED115" s="412">
        <v>0</v>
      </c>
      <c r="EE115" s="412">
        <v>0</v>
      </c>
      <c r="EF115" s="412">
        <v>0</v>
      </c>
      <c r="EG115" s="412">
        <v>0</v>
      </c>
      <c r="EH115" s="412">
        <v>0</v>
      </c>
      <c r="EI115" s="412">
        <v>0</v>
      </c>
      <c r="EJ115" s="412">
        <v>0</v>
      </c>
      <c r="EK115" s="412">
        <v>0</v>
      </c>
      <c r="EL115" s="412">
        <v>0</v>
      </c>
      <c r="EM115" s="412">
        <v>0</v>
      </c>
      <c r="EN115" s="412">
        <v>0</v>
      </c>
      <c r="EO115" s="412">
        <v>0</v>
      </c>
      <c r="EP115" s="389"/>
      <c r="EQ115" s="386"/>
    </row>
    <row r="116" spans="1:147" s="390" customFormat="1" ht="15" customHeight="1" outlineLevel="1">
      <c r="A116" s="385"/>
      <c r="B116"/>
      <c r="C116"/>
      <c r="D116"/>
      <c r="E116"/>
      <c r="F116"/>
      <c r="G116"/>
      <c r="H116" s="386"/>
      <c r="I116" s="370" t="s">
        <v>1644</v>
      </c>
      <c r="J116" s="559"/>
      <c r="K116" s="559"/>
      <c r="L116" s="559"/>
      <c r="M116" s="560"/>
      <c r="N116" s="559"/>
      <c r="O116" s="559"/>
      <c r="P116" s="559"/>
      <c r="Q116" s="560"/>
      <c r="R116" s="559"/>
      <c r="S116" s="559"/>
      <c r="T116" s="559"/>
      <c r="U116" s="560"/>
      <c r="V116" s="559"/>
      <c r="W116" s="559"/>
      <c r="X116" s="559"/>
      <c r="Y116" s="560"/>
      <c r="Z116" s="559"/>
      <c r="AA116" s="559"/>
      <c r="AB116" s="559"/>
      <c r="AC116" s="560"/>
      <c r="AD116" s="559"/>
      <c r="AE116" s="559"/>
      <c r="AF116" s="559"/>
      <c r="AG116" s="560"/>
      <c r="AH116" s="559"/>
      <c r="AI116" s="559"/>
      <c r="AJ116" s="559"/>
      <c r="AK116" s="560"/>
      <c r="AL116" s="559"/>
      <c r="AM116" s="559"/>
      <c r="AN116" s="559"/>
      <c r="AO116" s="560"/>
      <c r="AP116" s="559"/>
      <c r="AQ116" s="559"/>
      <c r="AR116" s="559"/>
      <c r="AS116" s="560"/>
      <c r="AT116" s="559"/>
      <c r="AU116" s="559"/>
      <c r="AV116" s="559"/>
      <c r="AW116" s="560"/>
      <c r="AX116" s="559"/>
      <c r="AY116" s="559"/>
      <c r="AZ116" s="559"/>
      <c r="BA116" s="560"/>
      <c r="BB116" s="401">
        <v>65</v>
      </c>
      <c r="BC116" s="401">
        <v>90</v>
      </c>
      <c r="BD116" s="401">
        <v>114</v>
      </c>
      <c r="BE116" s="402">
        <v>62</v>
      </c>
      <c r="BF116" s="401">
        <v>91</v>
      </c>
      <c r="BG116" s="401">
        <v>123</v>
      </c>
      <c r="BH116" s="401">
        <v>156</v>
      </c>
      <c r="BI116" s="402">
        <v>129</v>
      </c>
      <c r="BJ116" s="401">
        <v>160</v>
      </c>
      <c r="BK116" s="401">
        <v>35</v>
      </c>
      <c r="BL116" s="401">
        <v>54</v>
      </c>
      <c r="BM116" s="402">
        <v>21</v>
      </c>
      <c r="BN116" s="401">
        <v>44</v>
      </c>
      <c r="BO116" s="401">
        <v>68</v>
      </c>
      <c r="BP116" s="401">
        <v>78</v>
      </c>
      <c r="BQ116" s="402">
        <v>20</v>
      </c>
      <c r="BR116" s="401">
        <v>46</v>
      </c>
      <c r="BS116" s="401">
        <v>80</v>
      </c>
      <c r="BT116" s="401">
        <v>73</v>
      </c>
      <c r="BU116" s="402">
        <v>80</v>
      </c>
      <c r="BV116" s="401">
        <v>114</v>
      </c>
      <c r="BW116" s="401">
        <v>150</v>
      </c>
      <c r="BX116" s="401">
        <v>64</v>
      </c>
      <c r="BY116" s="402">
        <v>54</v>
      </c>
      <c r="BZ116" s="401">
        <v>74</v>
      </c>
      <c r="CA116" s="401">
        <v>104</v>
      </c>
      <c r="CB116" s="401">
        <v>114</v>
      </c>
      <c r="CC116" s="402">
        <v>86</v>
      </c>
      <c r="CD116" s="401">
        <v>92</v>
      </c>
      <c r="CE116" s="401">
        <v>131</v>
      </c>
      <c r="CF116" s="401">
        <v>174</v>
      </c>
      <c r="CG116" s="402">
        <v>65</v>
      </c>
      <c r="CH116" s="401">
        <v>80</v>
      </c>
      <c r="CI116" s="401">
        <v>90</v>
      </c>
      <c r="CJ116" s="401">
        <v>109</v>
      </c>
      <c r="CK116" s="402">
        <v>54</v>
      </c>
      <c r="CL116" s="438">
        <v>90</v>
      </c>
      <c r="CM116" s="401">
        <v>134</v>
      </c>
      <c r="CN116" s="401">
        <v>145</v>
      </c>
      <c r="CO116" s="402">
        <v>160</v>
      </c>
      <c r="CP116" s="438">
        <v>207</v>
      </c>
      <c r="CQ116" s="401">
        <v>267</v>
      </c>
      <c r="CR116" s="401">
        <v>349</v>
      </c>
      <c r="CS116" s="413">
        <v>349</v>
      </c>
      <c r="CT116" s="373">
        <v>349</v>
      </c>
      <c r="CU116" s="325">
        <v>349</v>
      </c>
      <c r="CV116" s="325">
        <v>349</v>
      </c>
      <c r="CW116" s="413">
        <v>349</v>
      </c>
      <c r="CX116" s="559"/>
      <c r="CY116" s="559"/>
      <c r="CZ116" s="559"/>
      <c r="DA116" s="560"/>
      <c r="DB116" s="559"/>
      <c r="DC116" s="559"/>
      <c r="DD116" s="559"/>
      <c r="DE116" s="560"/>
      <c r="DF116" s="559"/>
      <c r="DG116" s="559"/>
      <c r="DH116" s="559"/>
      <c r="DI116" s="560"/>
      <c r="DJ116" s="454"/>
      <c r="DK116" s="561"/>
      <c r="DL116" s="559"/>
      <c r="DM116" s="559"/>
      <c r="DN116" s="559"/>
      <c r="DO116" s="559"/>
      <c r="DP116" s="559"/>
      <c r="DQ116" s="559"/>
      <c r="DR116" s="559"/>
      <c r="DS116" s="562">
        <v>1</v>
      </c>
      <c r="DT116" s="401">
        <v>10</v>
      </c>
      <c r="DU116" s="401">
        <v>55</v>
      </c>
      <c r="DV116" s="325">
        <v>62</v>
      </c>
      <c r="DW116" s="325">
        <v>129</v>
      </c>
      <c r="DX116" s="325">
        <v>21</v>
      </c>
      <c r="DY116" s="325">
        <v>20</v>
      </c>
      <c r="DZ116" s="325">
        <v>80</v>
      </c>
      <c r="EA116" s="325">
        <v>54</v>
      </c>
      <c r="EB116" s="325">
        <v>86</v>
      </c>
      <c r="EC116" s="412">
        <v>65</v>
      </c>
      <c r="ED116" s="412">
        <v>54</v>
      </c>
      <c r="EE116" s="412">
        <v>160</v>
      </c>
      <c r="EF116" s="412">
        <v>349</v>
      </c>
      <c r="EG116" s="412">
        <v>349</v>
      </c>
      <c r="EH116" s="412">
        <v>349</v>
      </c>
      <c r="EI116" s="412">
        <v>349</v>
      </c>
      <c r="EJ116" s="412">
        <v>349</v>
      </c>
      <c r="EK116" s="412">
        <v>349</v>
      </c>
      <c r="EL116" s="412">
        <v>349</v>
      </c>
      <c r="EM116" s="412">
        <v>349</v>
      </c>
      <c r="EN116" s="412">
        <v>349</v>
      </c>
      <c r="EO116" s="412">
        <v>349</v>
      </c>
      <c r="EP116" s="389"/>
      <c r="EQ116" s="386"/>
    </row>
    <row r="117" spans="1:147" s="390" customFormat="1" ht="15" customHeight="1" outlineLevel="1">
      <c r="A117" s="385"/>
      <c r="B117"/>
      <c r="C117"/>
      <c r="D117"/>
      <c r="E117"/>
      <c r="F117"/>
      <c r="G117"/>
      <c r="H117" s="386"/>
      <c r="I117" s="370" t="s">
        <v>1639</v>
      </c>
      <c r="J117" s="559"/>
      <c r="K117" s="559"/>
      <c r="L117" s="559"/>
      <c r="M117" s="560"/>
      <c r="N117" s="559"/>
      <c r="O117" s="559"/>
      <c r="P117" s="559"/>
      <c r="Q117" s="560"/>
      <c r="R117" s="559"/>
      <c r="S117" s="559"/>
      <c r="T117" s="559"/>
      <c r="U117" s="560"/>
      <c r="V117" s="559"/>
      <c r="W117" s="559"/>
      <c r="X117" s="559"/>
      <c r="Y117" s="560"/>
      <c r="Z117" s="559"/>
      <c r="AA117" s="559"/>
      <c r="AB117" s="559"/>
      <c r="AC117" s="560"/>
      <c r="AD117" s="559"/>
      <c r="AE117" s="559"/>
      <c r="AF117" s="559"/>
      <c r="AG117" s="560"/>
      <c r="AH117" s="559"/>
      <c r="AI117" s="559"/>
      <c r="AJ117" s="559"/>
      <c r="AK117" s="560"/>
      <c r="AL117" s="559"/>
      <c r="AM117" s="559"/>
      <c r="AN117" s="559"/>
      <c r="AO117" s="560"/>
      <c r="AP117" s="559"/>
      <c r="AQ117" s="559"/>
      <c r="AR117" s="559"/>
      <c r="AS117" s="560"/>
      <c r="AT117" s="559"/>
      <c r="AU117" s="559"/>
      <c r="AV117" s="559"/>
      <c r="AW117" s="560"/>
      <c r="AX117" s="559"/>
      <c r="AY117" s="559"/>
      <c r="AZ117" s="559"/>
      <c r="BA117" s="560"/>
      <c r="BB117" s="401">
        <v>29</v>
      </c>
      <c r="BC117" s="401">
        <v>16</v>
      </c>
      <c r="BD117" s="401">
        <v>13</v>
      </c>
      <c r="BE117" s="402">
        <v>12</v>
      </c>
      <c r="BF117" s="401">
        <v>12</v>
      </c>
      <c r="BG117" s="401">
        <v>12</v>
      </c>
      <c r="BH117" s="401">
        <v>4</v>
      </c>
      <c r="BI117" s="402">
        <v>30</v>
      </c>
      <c r="BJ117" s="401">
        <v>10</v>
      </c>
      <c r="BK117" s="401">
        <v>0</v>
      </c>
      <c r="BL117" s="401">
        <v>0</v>
      </c>
      <c r="BM117" s="402">
        <v>0</v>
      </c>
      <c r="BN117" s="562">
        <v>0</v>
      </c>
      <c r="BO117" s="401">
        <v>0</v>
      </c>
      <c r="BP117" s="401">
        <v>0</v>
      </c>
      <c r="BQ117" s="402">
        <v>18</v>
      </c>
      <c r="BR117" s="401">
        <v>18</v>
      </c>
      <c r="BS117" s="401">
        <v>0</v>
      </c>
      <c r="BT117" s="401">
        <v>0</v>
      </c>
      <c r="BU117" s="402">
        <v>0</v>
      </c>
      <c r="BV117" s="401">
        <v>0</v>
      </c>
      <c r="BW117" s="401">
        <v>0</v>
      </c>
      <c r="BX117" s="401">
        <v>0</v>
      </c>
      <c r="BY117" s="402">
        <v>0</v>
      </c>
      <c r="BZ117" s="401">
        <v>0</v>
      </c>
      <c r="CA117" s="401">
        <v>0</v>
      </c>
      <c r="CB117" s="401">
        <v>0</v>
      </c>
      <c r="CC117" s="402">
        <v>0</v>
      </c>
      <c r="CD117" s="401">
        <v>0</v>
      </c>
      <c r="CE117" s="401">
        <v>0</v>
      </c>
      <c r="CF117" s="401">
        <v>0</v>
      </c>
      <c r="CG117" s="402">
        <v>0</v>
      </c>
      <c r="CH117" s="401">
        <v>0</v>
      </c>
      <c r="CI117" s="401">
        <v>0</v>
      </c>
      <c r="CJ117" s="401">
        <v>0</v>
      </c>
      <c r="CK117" s="402">
        <v>0</v>
      </c>
      <c r="CL117" s="438">
        <v>0</v>
      </c>
      <c r="CM117" s="401">
        <v>0</v>
      </c>
      <c r="CN117" s="401">
        <v>0</v>
      </c>
      <c r="CO117" s="402">
        <v>0</v>
      </c>
      <c r="CP117" s="438">
        <v>0</v>
      </c>
      <c r="CQ117" s="401">
        <v>0</v>
      </c>
      <c r="CR117" s="401">
        <v>0</v>
      </c>
      <c r="CS117" s="413">
        <v>0</v>
      </c>
      <c r="CT117" s="373">
        <v>0</v>
      </c>
      <c r="CU117" s="325">
        <v>0</v>
      </c>
      <c r="CV117" s="325">
        <v>0</v>
      </c>
      <c r="CW117" s="413">
        <v>0</v>
      </c>
      <c r="CX117" s="559"/>
      <c r="CY117" s="559"/>
      <c r="CZ117" s="559"/>
      <c r="DA117" s="560"/>
      <c r="DB117" s="559"/>
      <c r="DC117" s="559"/>
      <c r="DD117" s="559"/>
      <c r="DE117" s="560"/>
      <c r="DF117" s="559"/>
      <c r="DG117" s="559"/>
      <c r="DH117" s="559"/>
      <c r="DI117" s="560"/>
      <c r="DJ117" s="454"/>
      <c r="DK117" s="561"/>
      <c r="DL117" s="559"/>
      <c r="DM117" s="559"/>
      <c r="DN117" s="559"/>
      <c r="DO117" s="559"/>
      <c r="DP117" s="559"/>
      <c r="DQ117" s="559"/>
      <c r="DR117" s="559"/>
      <c r="DS117" s="562">
        <v>5</v>
      </c>
      <c r="DT117" s="401">
        <v>28</v>
      </c>
      <c r="DU117" s="401">
        <v>28</v>
      </c>
      <c r="DV117" s="325">
        <v>12</v>
      </c>
      <c r="DW117" s="325">
        <v>30</v>
      </c>
      <c r="DX117" s="325">
        <v>0</v>
      </c>
      <c r="DY117" s="325">
        <v>18</v>
      </c>
      <c r="DZ117" s="325">
        <v>0</v>
      </c>
      <c r="EA117" s="325">
        <v>0</v>
      </c>
      <c r="EB117" s="325">
        <v>0</v>
      </c>
      <c r="EC117" s="562">
        <v>0</v>
      </c>
      <c r="ED117" s="562">
        <v>0</v>
      </c>
      <c r="EE117" s="562">
        <v>0</v>
      </c>
      <c r="EF117" s="562">
        <v>0</v>
      </c>
      <c r="EG117" s="562">
        <v>0</v>
      </c>
      <c r="EH117" s="562">
        <v>0</v>
      </c>
      <c r="EI117" s="562">
        <v>0</v>
      </c>
      <c r="EJ117" s="562">
        <v>0</v>
      </c>
      <c r="EK117" s="562">
        <v>0</v>
      </c>
      <c r="EL117" s="562">
        <v>0</v>
      </c>
      <c r="EM117" s="562">
        <v>0</v>
      </c>
      <c r="EN117" s="562">
        <v>0</v>
      </c>
      <c r="EO117" s="562">
        <v>0</v>
      </c>
      <c r="EP117" s="389"/>
      <c r="EQ117" s="386"/>
    </row>
    <row r="118" spans="1:147" s="390" customFormat="1" ht="15" customHeight="1" outlineLevel="1">
      <c r="A118" s="385"/>
      <c r="B118"/>
      <c r="C118"/>
      <c r="D118"/>
      <c r="E118"/>
      <c r="F118"/>
      <c r="G118"/>
      <c r="H118" s="386"/>
      <c r="I118" s="370" t="s">
        <v>1645</v>
      </c>
      <c r="J118" s="399"/>
      <c r="K118" s="399"/>
      <c r="L118" s="399"/>
      <c r="M118" s="400"/>
      <c r="N118" s="399"/>
      <c r="O118" s="399"/>
      <c r="P118" s="399"/>
      <c r="Q118" s="400"/>
      <c r="R118" s="399"/>
      <c r="S118" s="399"/>
      <c r="T118" s="399"/>
      <c r="U118" s="400"/>
      <c r="V118" s="399"/>
      <c r="W118" s="399"/>
      <c r="X118" s="399"/>
      <c r="Y118" s="400"/>
      <c r="Z118" s="399"/>
      <c r="AA118" s="399"/>
      <c r="AB118" s="399"/>
      <c r="AC118" s="400"/>
      <c r="AD118" s="399"/>
      <c r="AE118" s="399"/>
      <c r="AF118" s="399"/>
      <c r="AG118" s="400"/>
      <c r="AH118" s="399"/>
      <c r="AI118" s="399"/>
      <c r="AJ118" s="399"/>
      <c r="AK118" s="400"/>
      <c r="AL118" s="399"/>
      <c r="AM118" s="399"/>
      <c r="AN118" s="399"/>
      <c r="AO118" s="400"/>
      <c r="AP118" s="399"/>
      <c r="AQ118" s="399"/>
      <c r="AR118" s="399"/>
      <c r="AS118" s="400"/>
      <c r="AT118" s="399"/>
      <c r="AU118" s="399"/>
      <c r="AV118" s="399"/>
      <c r="AW118" s="400"/>
      <c r="AX118" s="399"/>
      <c r="AY118" s="399"/>
      <c r="AZ118" s="399"/>
      <c r="BA118" s="400"/>
      <c r="BB118" s="401">
        <v>165</v>
      </c>
      <c r="BC118" s="401">
        <v>163</v>
      </c>
      <c r="BD118" s="401">
        <v>167</v>
      </c>
      <c r="BE118" s="402">
        <v>163</v>
      </c>
      <c r="BF118" s="401">
        <v>154</v>
      </c>
      <c r="BG118" s="401">
        <v>149</v>
      </c>
      <c r="BH118" s="401">
        <v>148</v>
      </c>
      <c r="BI118" s="402">
        <v>141</v>
      </c>
      <c r="BJ118" s="401">
        <v>133</v>
      </c>
      <c r="BK118" s="401">
        <v>132</v>
      </c>
      <c r="BL118" s="401">
        <v>139</v>
      </c>
      <c r="BM118" s="402">
        <v>138</v>
      </c>
      <c r="BN118" s="401">
        <v>152</v>
      </c>
      <c r="BO118" s="401">
        <v>162</v>
      </c>
      <c r="BP118" s="401">
        <v>162</v>
      </c>
      <c r="BQ118" s="402">
        <v>157</v>
      </c>
      <c r="BR118" s="401">
        <v>158</v>
      </c>
      <c r="BS118" s="401">
        <v>179</v>
      </c>
      <c r="BT118" s="401">
        <v>200</v>
      </c>
      <c r="BU118" s="402">
        <v>189</v>
      </c>
      <c r="BV118" s="401">
        <v>246</v>
      </c>
      <c r="BW118" s="401">
        <v>260</v>
      </c>
      <c r="BX118" s="401">
        <v>258</v>
      </c>
      <c r="BY118" s="402">
        <v>258</v>
      </c>
      <c r="BZ118" s="401">
        <v>245</v>
      </c>
      <c r="CA118" s="401">
        <v>246</v>
      </c>
      <c r="CB118" s="401">
        <v>254</v>
      </c>
      <c r="CC118" s="402">
        <v>294</v>
      </c>
      <c r="CD118" s="401">
        <v>286</v>
      </c>
      <c r="CE118" s="401">
        <v>281</v>
      </c>
      <c r="CF118" s="401">
        <v>281</v>
      </c>
      <c r="CG118" s="402">
        <v>282</v>
      </c>
      <c r="CH118" s="401">
        <v>264</v>
      </c>
      <c r="CI118" s="401">
        <v>259</v>
      </c>
      <c r="CJ118" s="401">
        <v>249</v>
      </c>
      <c r="CK118" s="402">
        <v>253</v>
      </c>
      <c r="CL118" s="438">
        <v>236</v>
      </c>
      <c r="CM118" s="401">
        <v>222</v>
      </c>
      <c r="CN118" s="401">
        <v>211</v>
      </c>
      <c r="CO118" s="402">
        <v>209</v>
      </c>
      <c r="CP118" s="438">
        <v>192</v>
      </c>
      <c r="CQ118" s="401">
        <v>174</v>
      </c>
      <c r="CR118" s="401">
        <v>171</v>
      </c>
      <c r="CS118" s="413">
        <v>186.60255688504699</v>
      </c>
      <c r="CT118" s="373">
        <v>177.55431341571898</v>
      </c>
      <c r="CU118" s="325">
        <v>163.59048508741722</v>
      </c>
      <c r="CV118" s="325">
        <v>174.15893206082038</v>
      </c>
      <c r="CW118" s="413">
        <v>191.96413326337043</v>
      </c>
      <c r="CX118" s="409"/>
      <c r="CY118" s="409"/>
      <c r="CZ118" s="409"/>
      <c r="DA118" s="410"/>
      <c r="DB118" s="409"/>
      <c r="DC118" s="409"/>
      <c r="DD118" s="409"/>
      <c r="DE118" s="410"/>
      <c r="DF118" s="409"/>
      <c r="DG118" s="409"/>
      <c r="DH118" s="409"/>
      <c r="DI118" s="410"/>
      <c r="DJ118" s="454"/>
      <c r="DK118" s="411"/>
      <c r="DL118" s="399"/>
      <c r="DM118" s="399"/>
      <c r="DN118" s="399"/>
      <c r="DO118" s="399"/>
      <c r="DP118" s="399"/>
      <c r="DQ118" s="399"/>
      <c r="DR118" s="399"/>
      <c r="DS118" s="401">
        <v>149</v>
      </c>
      <c r="DT118" s="401">
        <v>138</v>
      </c>
      <c r="DU118" s="401">
        <v>169</v>
      </c>
      <c r="DV118" s="325">
        <v>163</v>
      </c>
      <c r="DW118" s="325">
        <v>141</v>
      </c>
      <c r="DX118" s="325">
        <v>138</v>
      </c>
      <c r="DY118" s="325">
        <v>157</v>
      </c>
      <c r="DZ118" s="325">
        <v>189</v>
      </c>
      <c r="EA118" s="325">
        <v>258</v>
      </c>
      <c r="EB118" s="325">
        <v>294</v>
      </c>
      <c r="EC118" s="412">
        <v>282</v>
      </c>
      <c r="ED118" s="412">
        <v>253</v>
      </c>
      <c r="EE118" s="412">
        <v>209</v>
      </c>
      <c r="EF118" s="412">
        <v>186.60255688504699</v>
      </c>
      <c r="EG118" s="412">
        <v>191.96413326337043</v>
      </c>
      <c r="EH118" s="412">
        <v>192.99953877637299</v>
      </c>
      <c r="EI118" s="412">
        <v>193.97459302386224</v>
      </c>
      <c r="EJ118" s="412">
        <v>194.90992053223709</v>
      </c>
      <c r="EK118" s="412">
        <v>195.90688534099252</v>
      </c>
      <c r="EL118" s="412">
        <v>196.86852433530225</v>
      </c>
      <c r="EM118" s="412">
        <v>197.83662956102557</v>
      </c>
      <c r="EN118" s="412">
        <v>198.79946868732077</v>
      </c>
      <c r="EO118" s="412">
        <v>199.83595370216247</v>
      </c>
      <c r="EP118" s="389"/>
      <c r="EQ118" s="386"/>
    </row>
    <row r="119" spans="1:147" s="390" customFormat="1" ht="15" customHeight="1" outlineLevel="1">
      <c r="A119" s="385"/>
      <c r="B119"/>
      <c r="C119"/>
      <c r="D119"/>
      <c r="E119"/>
      <c r="F119"/>
      <c r="G119"/>
      <c r="H119" s="386"/>
      <c r="I119" s="370" t="s">
        <v>1646</v>
      </c>
      <c r="J119" s="399"/>
      <c r="K119" s="399"/>
      <c r="L119" s="399"/>
      <c r="M119" s="400"/>
      <c r="N119" s="399"/>
      <c r="O119" s="399"/>
      <c r="P119" s="399"/>
      <c r="Q119" s="400"/>
      <c r="R119" s="399"/>
      <c r="S119" s="399"/>
      <c r="T119" s="399"/>
      <c r="U119" s="400"/>
      <c r="V119" s="399"/>
      <c r="W119" s="399"/>
      <c r="X119" s="399"/>
      <c r="Y119" s="400"/>
      <c r="Z119" s="399"/>
      <c r="AA119" s="399"/>
      <c r="AB119" s="399"/>
      <c r="AC119" s="400"/>
      <c r="AD119" s="399"/>
      <c r="AE119" s="399"/>
      <c r="AF119" s="399"/>
      <c r="AG119" s="400"/>
      <c r="AH119" s="399"/>
      <c r="AI119" s="399"/>
      <c r="AJ119" s="399"/>
      <c r="AK119" s="400"/>
      <c r="AL119" s="399"/>
      <c r="AM119" s="399"/>
      <c r="AN119" s="399"/>
      <c r="AO119" s="400"/>
      <c r="AP119" s="399"/>
      <c r="AQ119" s="399"/>
      <c r="AR119" s="399"/>
      <c r="AS119" s="400"/>
      <c r="AT119" s="399"/>
      <c r="AU119" s="399"/>
      <c r="AV119" s="399"/>
      <c r="AW119" s="400"/>
      <c r="AX119" s="399"/>
      <c r="AY119" s="399"/>
      <c r="AZ119" s="399"/>
      <c r="BA119" s="400"/>
      <c r="BB119" s="401">
        <v>25</v>
      </c>
      <c r="BC119" s="401">
        <v>17</v>
      </c>
      <c r="BD119" s="401">
        <v>15</v>
      </c>
      <c r="BE119" s="402">
        <v>12</v>
      </c>
      <c r="BF119" s="401">
        <v>15</v>
      </c>
      <c r="BG119" s="401">
        <v>12</v>
      </c>
      <c r="BH119" s="401">
        <v>12</v>
      </c>
      <c r="BI119" s="402">
        <v>11</v>
      </c>
      <c r="BJ119" s="401">
        <v>10</v>
      </c>
      <c r="BK119" s="401">
        <v>10</v>
      </c>
      <c r="BL119" s="401">
        <v>18</v>
      </c>
      <c r="BM119" s="402">
        <v>35</v>
      </c>
      <c r="BN119" s="401">
        <v>66</v>
      </c>
      <c r="BO119" s="401">
        <v>86</v>
      </c>
      <c r="BP119" s="401">
        <v>90</v>
      </c>
      <c r="BQ119" s="402">
        <v>85</v>
      </c>
      <c r="BR119" s="401">
        <v>138</v>
      </c>
      <c r="BS119" s="401">
        <v>153</v>
      </c>
      <c r="BT119" s="401">
        <v>171</v>
      </c>
      <c r="BU119" s="402">
        <v>441</v>
      </c>
      <c r="BV119" s="401">
        <v>678</v>
      </c>
      <c r="BW119" s="401">
        <v>725</v>
      </c>
      <c r="BX119" s="401">
        <v>867</v>
      </c>
      <c r="BY119" s="402">
        <v>684</v>
      </c>
      <c r="BZ119" s="401">
        <v>810</v>
      </c>
      <c r="CA119" s="401">
        <v>864</v>
      </c>
      <c r="CB119" s="401">
        <v>908</v>
      </c>
      <c r="CC119" s="402">
        <v>948</v>
      </c>
      <c r="CD119" s="401">
        <v>400</v>
      </c>
      <c r="CE119" s="401">
        <v>739</v>
      </c>
      <c r="CF119" s="401">
        <v>697</v>
      </c>
      <c r="CG119" s="402">
        <v>885</v>
      </c>
      <c r="CH119" s="401">
        <v>1124</v>
      </c>
      <c r="CI119" s="401">
        <v>1087</v>
      </c>
      <c r="CJ119" s="401">
        <v>1088</v>
      </c>
      <c r="CK119" s="402">
        <v>1951</v>
      </c>
      <c r="CL119" s="438">
        <v>1898</v>
      </c>
      <c r="CM119" s="401">
        <v>1898</v>
      </c>
      <c r="CN119" s="401">
        <v>1986</v>
      </c>
      <c r="CO119" s="402">
        <v>1959</v>
      </c>
      <c r="CP119" s="438">
        <v>1893</v>
      </c>
      <c r="CQ119" s="401">
        <v>2030</v>
      </c>
      <c r="CR119" s="401">
        <v>2032</v>
      </c>
      <c r="CS119" s="413">
        <v>2032</v>
      </c>
      <c r="CT119" s="373">
        <v>2032</v>
      </c>
      <c r="CU119" s="325">
        <v>2032</v>
      </c>
      <c r="CV119" s="325">
        <v>2032</v>
      </c>
      <c r="CW119" s="413">
        <v>2032</v>
      </c>
      <c r="CX119" s="409"/>
      <c r="CY119" s="409"/>
      <c r="CZ119" s="409"/>
      <c r="DA119" s="410"/>
      <c r="DB119" s="409"/>
      <c r="DC119" s="409"/>
      <c r="DD119" s="409"/>
      <c r="DE119" s="410"/>
      <c r="DF119" s="409"/>
      <c r="DG119" s="409"/>
      <c r="DH119" s="409"/>
      <c r="DI119" s="410"/>
      <c r="DJ119" s="454"/>
      <c r="DK119" s="411"/>
      <c r="DL119" s="399"/>
      <c r="DM119" s="399"/>
      <c r="DN119" s="399"/>
      <c r="DO119" s="399"/>
      <c r="DP119" s="399"/>
      <c r="DQ119" s="399"/>
      <c r="DR119" s="399"/>
      <c r="DS119" s="401">
        <v>115</v>
      </c>
      <c r="DT119" s="401">
        <v>9</v>
      </c>
      <c r="DU119" s="401">
        <v>21</v>
      </c>
      <c r="DV119" s="325">
        <v>12</v>
      </c>
      <c r="DW119" s="325">
        <v>11</v>
      </c>
      <c r="DX119" s="325">
        <v>35</v>
      </c>
      <c r="DY119" s="325">
        <v>85</v>
      </c>
      <c r="DZ119" s="325">
        <v>441</v>
      </c>
      <c r="EA119" s="325">
        <v>684</v>
      </c>
      <c r="EB119" s="325">
        <v>948</v>
      </c>
      <c r="EC119" s="412">
        <v>885</v>
      </c>
      <c r="ED119" s="412">
        <v>1951</v>
      </c>
      <c r="EE119" s="412">
        <v>1959</v>
      </c>
      <c r="EF119" s="412">
        <v>2032</v>
      </c>
      <c r="EG119" s="412">
        <v>2032</v>
      </c>
      <c r="EH119" s="412">
        <v>2369.438766280769</v>
      </c>
      <c r="EI119" s="412">
        <v>2231.3299516128836</v>
      </c>
      <c r="EJ119" s="412">
        <v>2140.4186376075045</v>
      </c>
      <c r="EK119" s="412">
        <v>2281.4704353201237</v>
      </c>
      <c r="EL119" s="412">
        <v>2200.6302686928234</v>
      </c>
      <c r="EM119" s="412">
        <v>2215.4276975171683</v>
      </c>
      <c r="EN119" s="412">
        <v>2203.3766701897866</v>
      </c>
      <c r="EO119" s="412">
        <v>2371.9091157948451</v>
      </c>
      <c r="EP119" s="389"/>
      <c r="EQ119" s="386"/>
    </row>
    <row r="120" spans="1:147" s="390" customFormat="1" ht="15" customHeight="1" outlineLevel="1">
      <c r="A120" s="385"/>
      <c r="B120"/>
      <c r="C120"/>
      <c r="D120"/>
      <c r="E120"/>
      <c r="F120"/>
      <c r="G120"/>
      <c r="H120" s="386"/>
      <c r="I120" s="370" t="s">
        <v>1647</v>
      </c>
      <c r="J120" s="399"/>
      <c r="K120" s="399"/>
      <c r="L120" s="399"/>
      <c r="M120" s="400"/>
      <c r="N120" s="399"/>
      <c r="O120" s="399"/>
      <c r="P120" s="399"/>
      <c r="Q120" s="400"/>
      <c r="R120" s="399"/>
      <c r="S120" s="399"/>
      <c r="T120" s="399"/>
      <c r="U120" s="400"/>
      <c r="V120" s="399"/>
      <c r="W120" s="399"/>
      <c r="X120" s="399"/>
      <c r="Y120" s="400"/>
      <c r="Z120" s="399"/>
      <c r="AA120" s="399"/>
      <c r="AB120" s="399"/>
      <c r="AC120" s="400"/>
      <c r="AD120" s="399"/>
      <c r="AE120" s="399"/>
      <c r="AF120" s="399"/>
      <c r="AG120" s="400"/>
      <c r="AH120" s="399"/>
      <c r="AI120" s="399"/>
      <c r="AJ120" s="399"/>
      <c r="AK120" s="400"/>
      <c r="AL120" s="399"/>
      <c r="AM120" s="399"/>
      <c r="AN120" s="399"/>
      <c r="AO120" s="400"/>
      <c r="AP120" s="399"/>
      <c r="AQ120" s="399"/>
      <c r="AR120" s="399"/>
      <c r="AS120" s="400"/>
      <c r="AT120" s="399"/>
      <c r="AU120" s="399"/>
      <c r="AV120" s="399"/>
      <c r="AW120" s="400"/>
      <c r="AX120" s="399"/>
      <c r="AY120" s="399"/>
      <c r="AZ120" s="399"/>
      <c r="BA120" s="400"/>
      <c r="BB120" s="401">
        <v>152</v>
      </c>
      <c r="BC120" s="401">
        <v>144</v>
      </c>
      <c r="BD120" s="401">
        <v>138</v>
      </c>
      <c r="BE120" s="402">
        <v>88</v>
      </c>
      <c r="BF120" s="401">
        <v>85</v>
      </c>
      <c r="BG120" s="401">
        <v>83</v>
      </c>
      <c r="BH120" s="401">
        <v>80</v>
      </c>
      <c r="BI120" s="402">
        <v>68</v>
      </c>
      <c r="BJ120" s="401">
        <v>64</v>
      </c>
      <c r="BK120" s="401">
        <v>61</v>
      </c>
      <c r="BL120" s="401">
        <v>58</v>
      </c>
      <c r="BM120" s="402">
        <v>43</v>
      </c>
      <c r="BN120" s="401">
        <v>41</v>
      </c>
      <c r="BO120" s="401">
        <v>39</v>
      </c>
      <c r="BP120" s="401">
        <v>38</v>
      </c>
      <c r="BQ120" s="402">
        <v>29</v>
      </c>
      <c r="BR120" s="401">
        <v>28</v>
      </c>
      <c r="BS120" s="401">
        <v>26</v>
      </c>
      <c r="BT120" s="401">
        <v>24</v>
      </c>
      <c r="BU120" s="402">
        <v>49</v>
      </c>
      <c r="BV120" s="401">
        <v>2484</v>
      </c>
      <c r="BW120" s="401">
        <v>2281</v>
      </c>
      <c r="BX120" s="401">
        <v>2070</v>
      </c>
      <c r="BY120" s="402">
        <v>1858</v>
      </c>
      <c r="BZ120" s="401">
        <v>1673</v>
      </c>
      <c r="CA120" s="401">
        <v>1479</v>
      </c>
      <c r="CB120" s="401">
        <v>1292</v>
      </c>
      <c r="CC120" s="402">
        <v>1106</v>
      </c>
      <c r="CD120" s="401">
        <v>1445</v>
      </c>
      <c r="CE120" s="401">
        <v>910</v>
      </c>
      <c r="CF120" s="401">
        <v>826</v>
      </c>
      <c r="CG120" s="402">
        <v>735</v>
      </c>
      <c r="CH120" s="401">
        <v>680</v>
      </c>
      <c r="CI120" s="401">
        <v>633</v>
      </c>
      <c r="CJ120" s="401">
        <v>583</v>
      </c>
      <c r="CK120" s="402">
        <v>531</v>
      </c>
      <c r="CL120" s="438">
        <v>498</v>
      </c>
      <c r="CM120" s="401">
        <v>484</v>
      </c>
      <c r="CN120" s="401">
        <v>469</v>
      </c>
      <c r="CO120" s="402">
        <v>451</v>
      </c>
      <c r="CP120" s="438">
        <v>446</v>
      </c>
      <c r="CQ120" s="401">
        <v>449</v>
      </c>
      <c r="CR120" s="401">
        <v>449</v>
      </c>
      <c r="CS120" s="413">
        <v>447</v>
      </c>
      <c r="CT120" s="373">
        <v>445</v>
      </c>
      <c r="CU120" s="325">
        <v>443</v>
      </c>
      <c r="CV120" s="325">
        <v>441</v>
      </c>
      <c r="CW120" s="413">
        <v>439</v>
      </c>
      <c r="CX120" s="409"/>
      <c r="CY120" s="409"/>
      <c r="CZ120" s="409"/>
      <c r="DA120" s="410"/>
      <c r="DB120" s="409"/>
      <c r="DC120" s="409"/>
      <c r="DD120" s="409"/>
      <c r="DE120" s="410"/>
      <c r="DF120" s="409"/>
      <c r="DG120" s="409"/>
      <c r="DH120" s="409"/>
      <c r="DI120" s="410"/>
      <c r="DJ120" s="454"/>
      <c r="DK120" s="411"/>
      <c r="DL120" s="399"/>
      <c r="DM120" s="399"/>
      <c r="DN120" s="399"/>
      <c r="DO120" s="399"/>
      <c r="DP120" s="399"/>
      <c r="DQ120" s="399"/>
      <c r="DR120" s="399"/>
      <c r="DS120" s="401">
        <v>1283</v>
      </c>
      <c r="DT120" s="401">
        <v>618</v>
      </c>
      <c r="DU120" s="401">
        <v>160</v>
      </c>
      <c r="DV120" s="325">
        <v>88</v>
      </c>
      <c r="DW120" s="325">
        <v>68</v>
      </c>
      <c r="DX120" s="325">
        <v>43</v>
      </c>
      <c r="DY120" s="325">
        <v>29</v>
      </c>
      <c r="DZ120" s="325">
        <v>49</v>
      </c>
      <c r="EA120" s="325">
        <v>1858</v>
      </c>
      <c r="EB120" s="325">
        <v>1106</v>
      </c>
      <c r="EC120" s="412">
        <v>735</v>
      </c>
      <c r="ED120" s="412">
        <v>531</v>
      </c>
      <c r="EE120" s="412">
        <v>451</v>
      </c>
      <c r="EF120" s="412">
        <v>447</v>
      </c>
      <c r="EG120" s="412">
        <v>439</v>
      </c>
      <c r="EH120" s="412">
        <v>439</v>
      </c>
      <c r="EI120" s="412">
        <v>439</v>
      </c>
      <c r="EJ120" s="412">
        <v>439</v>
      </c>
      <c r="EK120" s="412">
        <v>439</v>
      </c>
      <c r="EL120" s="412">
        <v>439</v>
      </c>
      <c r="EM120" s="412">
        <v>439</v>
      </c>
      <c r="EN120" s="412">
        <v>439</v>
      </c>
      <c r="EO120" s="412">
        <v>439</v>
      </c>
      <c r="EP120" s="389"/>
      <c r="EQ120" s="386"/>
    </row>
    <row r="121" spans="1:147" s="390" customFormat="1" ht="15" customHeight="1" outlineLevel="1">
      <c r="A121" s="385"/>
      <c r="B121"/>
      <c r="C121"/>
      <c r="D121"/>
      <c r="E121"/>
      <c r="F121"/>
      <c r="G121"/>
      <c r="H121" s="386"/>
      <c r="I121" s="370" t="s">
        <v>1648</v>
      </c>
      <c r="J121" s="399"/>
      <c r="K121" s="399"/>
      <c r="L121" s="399"/>
      <c r="M121" s="400"/>
      <c r="N121" s="399"/>
      <c r="O121" s="399"/>
      <c r="P121" s="399"/>
      <c r="Q121" s="400"/>
      <c r="R121" s="399"/>
      <c r="S121" s="399"/>
      <c r="T121" s="399"/>
      <c r="U121" s="400"/>
      <c r="V121" s="399"/>
      <c r="W121" s="399"/>
      <c r="X121" s="399"/>
      <c r="Y121" s="400"/>
      <c r="Z121" s="399"/>
      <c r="AA121" s="399"/>
      <c r="AB121" s="399"/>
      <c r="AC121" s="400"/>
      <c r="AD121" s="399"/>
      <c r="AE121" s="399"/>
      <c r="AF121" s="399"/>
      <c r="AG121" s="400"/>
      <c r="AH121" s="399"/>
      <c r="AI121" s="399"/>
      <c r="AJ121" s="399"/>
      <c r="AK121" s="400"/>
      <c r="AL121" s="399"/>
      <c r="AM121" s="399"/>
      <c r="AN121" s="399"/>
      <c r="AO121" s="400"/>
      <c r="AP121" s="399"/>
      <c r="AQ121" s="399"/>
      <c r="AR121" s="399"/>
      <c r="AS121" s="400"/>
      <c r="AT121" s="399"/>
      <c r="AU121" s="399"/>
      <c r="AV121" s="399"/>
      <c r="AW121" s="400"/>
      <c r="AX121" s="399"/>
      <c r="AY121" s="399"/>
      <c r="AZ121" s="399"/>
      <c r="BA121" s="400"/>
      <c r="BB121" s="401">
        <v>433</v>
      </c>
      <c r="BC121" s="401">
        <v>433</v>
      </c>
      <c r="BD121" s="401">
        <v>433</v>
      </c>
      <c r="BE121" s="402">
        <v>433</v>
      </c>
      <c r="BF121" s="401">
        <v>433</v>
      </c>
      <c r="BG121" s="401">
        <v>433</v>
      </c>
      <c r="BH121" s="401">
        <v>433</v>
      </c>
      <c r="BI121" s="402">
        <v>433</v>
      </c>
      <c r="BJ121" s="401">
        <v>433</v>
      </c>
      <c r="BK121" s="401">
        <v>433</v>
      </c>
      <c r="BL121" s="401">
        <v>433</v>
      </c>
      <c r="BM121" s="402">
        <v>433</v>
      </c>
      <c r="BN121" s="401">
        <v>433</v>
      </c>
      <c r="BO121" s="401">
        <v>433</v>
      </c>
      <c r="BP121" s="401">
        <v>433</v>
      </c>
      <c r="BQ121" s="402">
        <v>433</v>
      </c>
      <c r="BR121" s="401">
        <v>433</v>
      </c>
      <c r="BS121" s="401">
        <v>433</v>
      </c>
      <c r="BT121" s="401">
        <v>433</v>
      </c>
      <c r="BU121" s="402">
        <v>433</v>
      </c>
      <c r="BV121" s="401">
        <v>0</v>
      </c>
      <c r="BW121" s="401">
        <v>0</v>
      </c>
      <c r="BX121" s="401">
        <v>0</v>
      </c>
      <c r="BY121" s="402">
        <v>0</v>
      </c>
      <c r="BZ121" s="401">
        <v>0</v>
      </c>
      <c r="CA121" s="401">
        <v>0</v>
      </c>
      <c r="CB121" s="401">
        <v>0</v>
      </c>
      <c r="CC121" s="402">
        <v>0</v>
      </c>
      <c r="CD121" s="401">
        <v>0</v>
      </c>
      <c r="CE121" s="401">
        <v>0</v>
      </c>
      <c r="CF121" s="401">
        <v>0</v>
      </c>
      <c r="CG121" s="402">
        <v>0</v>
      </c>
      <c r="CH121" s="401">
        <v>0</v>
      </c>
      <c r="CI121" s="401">
        <v>0</v>
      </c>
      <c r="CJ121" s="401">
        <v>0</v>
      </c>
      <c r="CK121" s="402">
        <v>0</v>
      </c>
      <c r="CL121" s="438">
        <v>0</v>
      </c>
      <c r="CM121" s="401">
        <v>0</v>
      </c>
      <c r="CN121" s="401">
        <v>0</v>
      </c>
      <c r="CO121" s="402">
        <v>0</v>
      </c>
      <c r="CP121" s="438">
        <v>0</v>
      </c>
      <c r="CQ121" s="401">
        <v>0</v>
      </c>
      <c r="CR121" s="401">
        <v>0</v>
      </c>
      <c r="CS121" s="413">
        <v>0</v>
      </c>
      <c r="CT121" s="373">
        <v>0</v>
      </c>
      <c r="CU121" s="325">
        <v>0</v>
      </c>
      <c r="CV121" s="325">
        <v>0</v>
      </c>
      <c r="CW121" s="413">
        <v>0</v>
      </c>
      <c r="CX121" s="409"/>
      <c r="CY121" s="409"/>
      <c r="CZ121" s="409"/>
      <c r="DA121" s="410"/>
      <c r="DB121" s="409"/>
      <c r="DC121" s="409"/>
      <c r="DD121" s="409"/>
      <c r="DE121" s="410"/>
      <c r="DF121" s="409"/>
      <c r="DG121" s="409"/>
      <c r="DH121" s="409"/>
      <c r="DI121" s="410"/>
      <c r="DJ121" s="454"/>
      <c r="DK121" s="411"/>
      <c r="DL121" s="399"/>
      <c r="DM121" s="399"/>
      <c r="DN121" s="399"/>
      <c r="DO121" s="399"/>
      <c r="DP121" s="399"/>
      <c r="DQ121" s="399"/>
      <c r="DR121" s="399"/>
      <c r="DS121" s="401">
        <v>433</v>
      </c>
      <c r="DT121" s="401">
        <v>433</v>
      </c>
      <c r="DU121" s="401">
        <v>433</v>
      </c>
      <c r="DV121" s="325">
        <v>433</v>
      </c>
      <c r="DW121" s="325">
        <v>433</v>
      </c>
      <c r="DX121" s="325">
        <v>433</v>
      </c>
      <c r="DY121" s="325">
        <v>433</v>
      </c>
      <c r="DZ121" s="325">
        <v>433</v>
      </c>
      <c r="EA121" s="325">
        <v>0</v>
      </c>
      <c r="EB121" s="325">
        <v>0</v>
      </c>
      <c r="EC121" s="412">
        <v>0</v>
      </c>
      <c r="ED121" s="412">
        <v>0</v>
      </c>
      <c r="EE121" s="412">
        <v>0</v>
      </c>
      <c r="EF121" s="412">
        <v>0</v>
      </c>
      <c r="EG121" s="412">
        <v>0</v>
      </c>
      <c r="EH121" s="412">
        <v>0</v>
      </c>
      <c r="EI121" s="412">
        <v>0</v>
      </c>
      <c r="EJ121" s="412">
        <v>0</v>
      </c>
      <c r="EK121" s="412">
        <v>0</v>
      </c>
      <c r="EL121" s="412">
        <v>0</v>
      </c>
      <c r="EM121" s="412">
        <v>0</v>
      </c>
      <c r="EN121" s="412">
        <v>0</v>
      </c>
      <c r="EO121" s="412">
        <v>0</v>
      </c>
      <c r="EP121" s="389"/>
      <c r="EQ121" s="386"/>
    </row>
    <row r="122" spans="1:147" s="390" customFormat="1" ht="15" customHeight="1" outlineLevel="1">
      <c r="A122" s="385"/>
      <c r="B122"/>
      <c r="C122"/>
      <c r="D122"/>
      <c r="E122"/>
      <c r="F122"/>
      <c r="G122"/>
      <c r="H122" s="386"/>
      <c r="I122" s="370" t="s">
        <v>180</v>
      </c>
      <c r="J122" s="399"/>
      <c r="K122" s="399"/>
      <c r="L122" s="399"/>
      <c r="M122" s="400"/>
      <c r="N122" s="399"/>
      <c r="O122" s="399"/>
      <c r="P122" s="399"/>
      <c r="Q122" s="400"/>
      <c r="R122" s="399"/>
      <c r="S122" s="399"/>
      <c r="T122" s="399"/>
      <c r="U122" s="400"/>
      <c r="V122" s="399"/>
      <c r="W122" s="399"/>
      <c r="X122" s="399"/>
      <c r="Y122" s="400"/>
      <c r="Z122" s="399"/>
      <c r="AA122" s="399"/>
      <c r="AB122" s="399"/>
      <c r="AC122" s="400"/>
      <c r="AD122" s="399"/>
      <c r="AE122" s="399"/>
      <c r="AF122" s="399"/>
      <c r="AG122" s="400"/>
      <c r="AH122" s="399"/>
      <c r="AI122" s="399"/>
      <c r="AJ122" s="399"/>
      <c r="AK122" s="400"/>
      <c r="AL122" s="399"/>
      <c r="AM122" s="399"/>
      <c r="AN122" s="399"/>
      <c r="AO122" s="400"/>
      <c r="AP122" s="399"/>
      <c r="AQ122" s="399"/>
      <c r="AR122" s="399"/>
      <c r="AS122" s="400"/>
      <c r="AT122" s="399"/>
      <c r="AU122" s="399"/>
      <c r="AV122" s="399"/>
      <c r="AW122" s="400"/>
      <c r="AX122" s="399"/>
      <c r="AY122" s="399"/>
      <c r="AZ122" s="399"/>
      <c r="BA122" s="400"/>
      <c r="BB122" s="401">
        <v>7134</v>
      </c>
      <c r="BC122" s="401">
        <v>7130</v>
      </c>
      <c r="BD122" s="401">
        <v>7126</v>
      </c>
      <c r="BE122" s="402">
        <v>7111</v>
      </c>
      <c r="BF122" s="401">
        <v>7109</v>
      </c>
      <c r="BG122" s="401">
        <v>7108</v>
      </c>
      <c r="BH122" s="401">
        <v>7107</v>
      </c>
      <c r="BI122" s="402">
        <v>7106</v>
      </c>
      <c r="BJ122" s="401">
        <v>7103</v>
      </c>
      <c r="BK122" s="401">
        <v>7102</v>
      </c>
      <c r="BL122" s="401">
        <v>7098</v>
      </c>
      <c r="BM122" s="402">
        <v>7092</v>
      </c>
      <c r="BN122" s="401">
        <v>7089</v>
      </c>
      <c r="BO122" s="401">
        <v>7089</v>
      </c>
      <c r="BP122" s="401">
        <v>7088</v>
      </c>
      <c r="BQ122" s="402">
        <v>7086</v>
      </c>
      <c r="BR122" s="401">
        <v>7084</v>
      </c>
      <c r="BS122" s="401">
        <v>7084</v>
      </c>
      <c r="BT122" s="401">
        <v>7083</v>
      </c>
      <c r="BU122" s="402">
        <v>7095</v>
      </c>
      <c r="BV122" s="401">
        <v>9772</v>
      </c>
      <c r="BW122" s="401">
        <v>9771</v>
      </c>
      <c r="BX122" s="401">
        <v>9787</v>
      </c>
      <c r="BY122" s="402">
        <v>9768</v>
      </c>
      <c r="BZ122" s="401">
        <v>9763</v>
      </c>
      <c r="CA122" s="401">
        <v>9763</v>
      </c>
      <c r="CB122" s="401">
        <v>9764</v>
      </c>
      <c r="CC122" s="402">
        <v>9763</v>
      </c>
      <c r="CD122" s="401">
        <v>9764</v>
      </c>
      <c r="CE122" s="401">
        <v>9763</v>
      </c>
      <c r="CF122" s="401">
        <v>9763</v>
      </c>
      <c r="CG122" s="402">
        <v>9762</v>
      </c>
      <c r="CH122" s="401">
        <v>9763</v>
      </c>
      <c r="CI122" s="401">
        <v>9763</v>
      </c>
      <c r="CJ122" s="401">
        <v>9764</v>
      </c>
      <c r="CK122" s="402">
        <v>9764</v>
      </c>
      <c r="CL122" s="438">
        <v>9763</v>
      </c>
      <c r="CM122" s="401">
        <v>9763</v>
      </c>
      <c r="CN122" s="401">
        <v>9764</v>
      </c>
      <c r="CO122" s="402">
        <v>9765</v>
      </c>
      <c r="CP122" s="438">
        <v>9765</v>
      </c>
      <c r="CQ122" s="401">
        <v>9765</v>
      </c>
      <c r="CR122" s="401">
        <v>9765</v>
      </c>
      <c r="CS122" s="413">
        <v>9765</v>
      </c>
      <c r="CT122" s="373">
        <v>9765</v>
      </c>
      <c r="CU122" s="325">
        <v>9765</v>
      </c>
      <c r="CV122" s="325">
        <v>9765</v>
      </c>
      <c r="CW122" s="413">
        <v>9765</v>
      </c>
      <c r="CX122" s="409"/>
      <c r="CY122" s="409"/>
      <c r="CZ122" s="409"/>
      <c r="DA122" s="410"/>
      <c r="DB122" s="409"/>
      <c r="DC122" s="409"/>
      <c r="DD122" s="409"/>
      <c r="DE122" s="410"/>
      <c r="DF122" s="409"/>
      <c r="DG122" s="409"/>
      <c r="DH122" s="409"/>
      <c r="DI122" s="410"/>
      <c r="DJ122" s="454"/>
      <c r="DK122" s="411"/>
      <c r="DL122" s="399"/>
      <c r="DM122" s="399"/>
      <c r="DN122" s="399"/>
      <c r="DO122" s="399"/>
      <c r="DP122" s="399"/>
      <c r="DQ122" s="399"/>
      <c r="DR122" s="399"/>
      <c r="DS122" s="401">
        <v>7227</v>
      </c>
      <c r="DT122" s="401">
        <v>7154</v>
      </c>
      <c r="DU122" s="401">
        <v>7132</v>
      </c>
      <c r="DV122" s="325">
        <v>7111</v>
      </c>
      <c r="DW122" s="325">
        <v>7106</v>
      </c>
      <c r="DX122" s="325">
        <v>7092</v>
      </c>
      <c r="DY122" s="325">
        <v>7086</v>
      </c>
      <c r="DZ122" s="325">
        <v>7095</v>
      </c>
      <c r="EA122" s="325">
        <v>9768</v>
      </c>
      <c r="EB122" s="325">
        <v>9763</v>
      </c>
      <c r="EC122" s="412">
        <v>9762</v>
      </c>
      <c r="ED122" s="412">
        <v>9764</v>
      </c>
      <c r="EE122" s="412">
        <v>9765</v>
      </c>
      <c r="EF122" s="412">
        <v>9765</v>
      </c>
      <c r="EG122" s="412">
        <v>9765</v>
      </c>
      <c r="EH122" s="412">
        <v>9765</v>
      </c>
      <c r="EI122" s="412">
        <v>9765</v>
      </c>
      <c r="EJ122" s="412">
        <v>9765</v>
      </c>
      <c r="EK122" s="412">
        <v>9765</v>
      </c>
      <c r="EL122" s="412">
        <v>9765</v>
      </c>
      <c r="EM122" s="412">
        <v>9765</v>
      </c>
      <c r="EN122" s="412">
        <v>9765</v>
      </c>
      <c r="EO122" s="412">
        <v>9765</v>
      </c>
      <c r="EP122" s="389"/>
      <c r="EQ122" s="386"/>
    </row>
    <row r="123" spans="1:147" s="390" customFormat="1" ht="15" customHeight="1" outlineLevel="1">
      <c r="A123" s="385"/>
      <c r="B123"/>
      <c r="C123"/>
      <c r="D123"/>
      <c r="E123"/>
      <c r="F123"/>
      <c r="G123"/>
      <c r="H123" s="386"/>
      <c r="I123" s="517" t="s">
        <v>1046</v>
      </c>
      <c r="J123" s="552"/>
      <c r="K123" s="552"/>
      <c r="L123" s="552"/>
      <c r="M123" s="553"/>
      <c r="N123" s="552"/>
      <c r="O123" s="552"/>
      <c r="P123" s="552"/>
      <c r="Q123" s="553"/>
      <c r="R123" s="552"/>
      <c r="S123" s="552"/>
      <c r="T123" s="552"/>
      <c r="U123" s="553"/>
      <c r="V123" s="552"/>
      <c r="W123" s="552"/>
      <c r="X123" s="552"/>
      <c r="Y123" s="553"/>
      <c r="Z123" s="552"/>
      <c r="AA123" s="552"/>
      <c r="AB123" s="552"/>
      <c r="AC123" s="553"/>
      <c r="AD123" s="552"/>
      <c r="AE123" s="552"/>
      <c r="AF123" s="552"/>
      <c r="AG123" s="553"/>
      <c r="AH123" s="552"/>
      <c r="AI123" s="552"/>
      <c r="AJ123" s="552"/>
      <c r="AK123" s="553"/>
      <c r="AL123" s="552"/>
      <c r="AM123" s="552"/>
      <c r="AN123" s="552"/>
      <c r="AO123" s="553"/>
      <c r="AP123" s="552"/>
      <c r="AQ123" s="552"/>
      <c r="AR123" s="552"/>
      <c r="AS123" s="553"/>
      <c r="AT123" s="552"/>
      <c r="AU123" s="552"/>
      <c r="AV123" s="552"/>
      <c r="AW123" s="553"/>
      <c r="AX123" s="552">
        <v>0</v>
      </c>
      <c r="AY123" s="552">
        <v>0</v>
      </c>
      <c r="AZ123" s="552">
        <v>0</v>
      </c>
      <c r="BA123" s="553">
        <v>0</v>
      </c>
      <c r="BB123" s="554">
        <v>12377</v>
      </c>
      <c r="BC123" s="554">
        <v>11972</v>
      </c>
      <c r="BD123" s="554">
        <v>12113</v>
      </c>
      <c r="BE123" s="555">
        <v>13277</v>
      </c>
      <c r="BF123" s="554">
        <v>12482</v>
      </c>
      <c r="BG123" s="554">
        <v>12269</v>
      </c>
      <c r="BH123" s="554">
        <v>12661</v>
      </c>
      <c r="BI123" s="555">
        <v>14200</v>
      </c>
      <c r="BJ123" s="554">
        <v>13725</v>
      </c>
      <c r="BK123" s="554">
        <v>13411</v>
      </c>
      <c r="BL123" s="554">
        <v>16060</v>
      </c>
      <c r="BM123" s="555">
        <v>14012</v>
      </c>
      <c r="BN123" s="554">
        <v>13528</v>
      </c>
      <c r="BO123" s="554">
        <v>13360</v>
      </c>
      <c r="BP123" s="554">
        <v>13855</v>
      </c>
      <c r="BQ123" s="555">
        <v>14746</v>
      </c>
      <c r="BR123" s="554">
        <v>13777</v>
      </c>
      <c r="BS123" s="554">
        <v>14015</v>
      </c>
      <c r="BT123" s="554">
        <v>14302</v>
      </c>
      <c r="BU123" s="555">
        <v>15244</v>
      </c>
      <c r="BV123" s="554">
        <v>17302</v>
      </c>
      <c r="BW123" s="554">
        <v>16607</v>
      </c>
      <c r="BX123" s="554">
        <v>18380</v>
      </c>
      <c r="BY123" s="555">
        <v>17452</v>
      </c>
      <c r="BZ123" s="554">
        <v>16921</v>
      </c>
      <c r="CA123" s="554">
        <v>16808</v>
      </c>
      <c r="CB123" s="554">
        <v>17718</v>
      </c>
      <c r="CC123" s="555">
        <v>18717</v>
      </c>
      <c r="CD123" s="554">
        <v>18397</v>
      </c>
      <c r="CE123" s="554">
        <v>17958</v>
      </c>
      <c r="CF123" s="554">
        <v>16713</v>
      </c>
      <c r="CG123" s="555">
        <v>17835</v>
      </c>
      <c r="CH123" s="554">
        <v>17948</v>
      </c>
      <c r="CI123" s="554">
        <v>17495</v>
      </c>
      <c r="CJ123" s="554">
        <v>17805</v>
      </c>
      <c r="CK123" s="555">
        <v>19845</v>
      </c>
      <c r="CL123" s="557">
        <v>19604</v>
      </c>
      <c r="CM123" s="554">
        <v>20220</v>
      </c>
      <c r="CN123" s="554">
        <v>21577</v>
      </c>
      <c r="CO123" s="555">
        <v>23109</v>
      </c>
      <c r="CP123" s="557">
        <v>23425</v>
      </c>
      <c r="CQ123" s="554">
        <v>23572</v>
      </c>
      <c r="CR123" s="554">
        <v>23977</v>
      </c>
      <c r="CS123" s="555">
        <v>25509.248232145677</v>
      </c>
      <c r="CT123" s="557">
        <v>25455.512921033907</v>
      </c>
      <c r="CU123" s="554">
        <v>25408.197258323467</v>
      </c>
      <c r="CV123" s="554">
        <v>26505.853560298907</v>
      </c>
      <c r="CW123" s="555">
        <v>28731.931726865114</v>
      </c>
      <c r="CX123" s="552"/>
      <c r="CY123" s="552"/>
      <c r="CZ123" s="552"/>
      <c r="DA123" s="553"/>
      <c r="DB123" s="552"/>
      <c r="DC123" s="552"/>
      <c r="DD123" s="552"/>
      <c r="DE123" s="553"/>
      <c r="DF123" s="552"/>
      <c r="DG123" s="552"/>
      <c r="DH123" s="552"/>
      <c r="DI123" s="553"/>
      <c r="DJ123" s="454"/>
      <c r="DK123" s="558"/>
      <c r="DL123" s="552"/>
      <c r="DM123" s="552"/>
      <c r="DN123" s="552"/>
      <c r="DO123" s="552"/>
      <c r="DP123" s="552"/>
      <c r="DQ123" s="552"/>
      <c r="DR123" s="552"/>
      <c r="DS123" s="554">
        <v>14837</v>
      </c>
      <c r="DT123" s="398">
        <v>13742</v>
      </c>
      <c r="DU123" s="398">
        <v>13406</v>
      </c>
      <c r="DV123" s="394">
        <v>13277</v>
      </c>
      <c r="DW123" s="394">
        <v>14200</v>
      </c>
      <c r="DX123" s="394">
        <v>14012</v>
      </c>
      <c r="DY123" s="394">
        <v>14746</v>
      </c>
      <c r="DZ123" s="394">
        <v>15244</v>
      </c>
      <c r="EA123" s="394">
        <v>17452</v>
      </c>
      <c r="EB123" s="394">
        <v>18717</v>
      </c>
      <c r="EC123" s="554">
        <v>17835</v>
      </c>
      <c r="ED123" s="554">
        <v>19845</v>
      </c>
      <c r="EE123" s="554">
        <v>23109</v>
      </c>
      <c r="EF123" s="554">
        <v>25509.248232145677</v>
      </c>
      <c r="EG123" s="554">
        <v>28731.931726865114</v>
      </c>
      <c r="EH123" s="554">
        <v>32903.732894692293</v>
      </c>
      <c r="EI123" s="554">
        <v>35891.086231702517</v>
      </c>
      <c r="EJ123" s="554">
        <v>38831.325903731777</v>
      </c>
      <c r="EK123" s="554">
        <v>43227.067697608174</v>
      </c>
      <c r="EL123" s="554">
        <v>47104.881737988093</v>
      </c>
      <c r="EM123" s="554">
        <v>51097.931622412907</v>
      </c>
      <c r="EN123" s="554">
        <v>55071.137376251878</v>
      </c>
      <c r="EO123" s="554">
        <v>59798.986301756457</v>
      </c>
      <c r="EP123" s="389"/>
      <c r="EQ123" s="386"/>
    </row>
    <row r="124" spans="1:147" s="390" customFormat="1" ht="15" customHeight="1" outlineLevel="1">
      <c r="A124" s="385"/>
      <c r="B124"/>
      <c r="C124"/>
      <c r="D124"/>
      <c r="E124"/>
      <c r="F124"/>
      <c r="G124"/>
      <c r="H124" s="386"/>
      <c r="I124" s="370"/>
      <c r="J124" s="386"/>
      <c r="K124" s="386"/>
      <c r="L124" s="386"/>
      <c r="M124" s="388"/>
      <c r="N124" s="386"/>
      <c r="O124" s="386"/>
      <c r="P124" s="386"/>
      <c r="Q124" s="388"/>
      <c r="R124" s="386"/>
      <c r="S124" s="386"/>
      <c r="T124" s="386"/>
      <c r="U124" s="388"/>
      <c r="V124" s="386"/>
      <c r="W124" s="386"/>
      <c r="X124" s="386"/>
      <c r="Y124" s="388"/>
      <c r="Z124" s="386"/>
      <c r="AA124" s="386"/>
      <c r="AB124" s="386"/>
      <c r="AC124" s="388"/>
      <c r="AD124" s="386"/>
      <c r="AE124" s="386"/>
      <c r="AF124" s="386"/>
      <c r="AG124" s="388"/>
      <c r="AH124" s="386"/>
      <c r="AI124" s="386"/>
      <c r="AJ124" s="386"/>
      <c r="AK124" s="388"/>
      <c r="AL124" s="386"/>
      <c r="AM124" s="386"/>
      <c r="AN124" s="386"/>
      <c r="AO124" s="388"/>
      <c r="AP124" s="386"/>
      <c r="AQ124" s="386"/>
      <c r="AR124" s="386"/>
      <c r="AS124" s="388"/>
      <c r="AT124" s="386"/>
      <c r="AU124" s="386"/>
      <c r="AV124" s="386"/>
      <c r="AW124" s="388"/>
      <c r="AX124" s="386"/>
      <c r="AY124" s="386"/>
      <c r="AZ124" s="386"/>
      <c r="BA124" s="388"/>
      <c r="BB124" s="325"/>
      <c r="BC124" s="386"/>
      <c r="BD124" s="386"/>
      <c r="BE124" s="372"/>
      <c r="BF124" s="325"/>
      <c r="BG124" s="386"/>
      <c r="BH124" s="386"/>
      <c r="BI124" s="372"/>
      <c r="BJ124" s="325"/>
      <c r="BK124" s="386"/>
      <c r="BL124" s="386"/>
      <c r="BM124" s="372"/>
      <c r="BN124" s="325"/>
      <c r="BO124" s="386"/>
      <c r="BP124" s="386"/>
      <c r="BQ124" s="372"/>
      <c r="BR124" s="325"/>
      <c r="BS124" s="386"/>
      <c r="BT124" s="386"/>
      <c r="BU124" s="372"/>
      <c r="BV124" s="325"/>
      <c r="BW124" s="325"/>
      <c r="BX124" s="325"/>
      <c r="BY124" s="372"/>
      <c r="BZ124" s="325"/>
      <c r="CA124" s="325"/>
      <c r="CB124" s="325"/>
      <c r="CC124" s="372"/>
      <c r="CD124" s="325"/>
      <c r="CE124" s="325"/>
      <c r="CF124" s="325"/>
      <c r="CG124" s="372"/>
      <c r="CH124" s="325"/>
      <c r="CI124" s="325"/>
      <c r="CJ124" s="325"/>
      <c r="CK124" s="372"/>
      <c r="CL124" s="373"/>
      <c r="CM124" s="325"/>
      <c r="CN124" s="325"/>
      <c r="CO124" s="372"/>
      <c r="CP124" s="373"/>
      <c r="CQ124" s="325"/>
      <c r="CR124" s="325"/>
      <c r="CS124" s="372"/>
      <c r="CT124" s="373"/>
      <c r="CU124" s="325"/>
      <c r="CV124" s="325"/>
      <c r="CW124" s="372"/>
      <c r="CX124" s="386"/>
      <c r="CY124" s="386"/>
      <c r="CZ124" s="386"/>
      <c r="DA124" s="388"/>
      <c r="DB124" s="386"/>
      <c r="DC124" s="386"/>
      <c r="DD124" s="386"/>
      <c r="DE124" s="388"/>
      <c r="DF124" s="386"/>
      <c r="DG124" s="386"/>
      <c r="DH124" s="386"/>
      <c r="DI124" s="388"/>
      <c r="DJ124" s="454"/>
      <c r="DK124" s="389"/>
      <c r="DL124" s="386"/>
      <c r="DM124" s="386"/>
      <c r="DN124" s="386"/>
      <c r="DO124" s="386"/>
      <c r="DP124" s="386"/>
      <c r="DQ124" s="386"/>
      <c r="DR124" s="386"/>
      <c r="DS124" s="325"/>
      <c r="DT124" s="401"/>
      <c r="DU124" s="401"/>
      <c r="DV124" s="325"/>
      <c r="DW124" s="325"/>
      <c r="DX124" s="325"/>
      <c r="DY124" s="325"/>
      <c r="DZ124" s="325"/>
      <c r="EA124" s="325"/>
      <c r="EB124" s="325"/>
      <c r="EC124" s="325"/>
      <c r="ED124" s="325"/>
      <c r="EE124" s="325"/>
      <c r="EF124" s="325"/>
      <c r="EG124" s="325"/>
      <c r="EH124" s="325"/>
      <c r="EI124" s="325"/>
      <c r="EJ124" s="325"/>
      <c r="EK124" s="325"/>
      <c r="EL124" s="325"/>
      <c r="EM124" s="325"/>
      <c r="EN124" s="325"/>
      <c r="EO124" s="325"/>
      <c r="EP124" s="389"/>
      <c r="EQ124" s="386"/>
    </row>
    <row r="125" spans="1:147" s="390" customFormat="1" ht="15" customHeight="1" outlineLevel="1">
      <c r="A125" s="385"/>
      <c r="B125"/>
      <c r="C125"/>
      <c r="D125"/>
      <c r="E125"/>
      <c r="F125"/>
      <c r="G125"/>
      <c r="H125" s="386"/>
      <c r="I125" s="547" t="s">
        <v>1649</v>
      </c>
      <c r="J125" s="548"/>
      <c r="K125" s="548"/>
      <c r="L125" s="548"/>
      <c r="M125" s="549"/>
      <c r="N125" s="548"/>
      <c r="O125" s="548"/>
      <c r="P125" s="548"/>
      <c r="Q125" s="549"/>
      <c r="R125" s="548"/>
      <c r="S125" s="548"/>
      <c r="T125" s="548"/>
      <c r="U125" s="549"/>
      <c r="V125" s="548"/>
      <c r="W125" s="548"/>
      <c r="X125" s="548"/>
      <c r="Y125" s="549"/>
      <c r="Z125" s="548"/>
      <c r="AA125" s="548"/>
      <c r="AB125" s="548"/>
      <c r="AC125" s="549"/>
      <c r="AD125" s="548"/>
      <c r="AE125" s="548"/>
      <c r="AF125" s="548"/>
      <c r="AG125" s="549"/>
      <c r="AH125" s="548"/>
      <c r="AI125" s="548"/>
      <c r="AJ125" s="548"/>
      <c r="AK125" s="549"/>
      <c r="AL125" s="548"/>
      <c r="AM125" s="548"/>
      <c r="AN125" s="548"/>
      <c r="AO125" s="549"/>
      <c r="AP125" s="548"/>
      <c r="AQ125" s="548"/>
      <c r="AR125" s="548"/>
      <c r="AS125" s="549"/>
      <c r="AT125" s="548"/>
      <c r="AU125" s="548"/>
      <c r="AV125" s="548"/>
      <c r="AW125" s="549"/>
      <c r="AX125" s="548"/>
      <c r="AY125" s="548"/>
      <c r="AZ125" s="548"/>
      <c r="BA125" s="549"/>
      <c r="BB125" s="563"/>
      <c r="BC125" s="563"/>
      <c r="BD125" s="563"/>
      <c r="BE125" s="564"/>
      <c r="BF125" s="563"/>
      <c r="BG125" s="563"/>
      <c r="BH125" s="563"/>
      <c r="BI125" s="564"/>
      <c r="BJ125" s="563"/>
      <c r="BK125" s="563"/>
      <c r="BL125" s="563"/>
      <c r="BM125" s="564"/>
      <c r="BN125" s="563"/>
      <c r="BO125" s="563"/>
      <c r="BP125" s="563"/>
      <c r="BQ125" s="564"/>
      <c r="BR125" s="563"/>
      <c r="BS125" s="563"/>
      <c r="BT125" s="563"/>
      <c r="BU125" s="564"/>
      <c r="BV125" s="563"/>
      <c r="BW125" s="563"/>
      <c r="BX125" s="563"/>
      <c r="BY125" s="564"/>
      <c r="BZ125" s="563"/>
      <c r="CA125" s="563"/>
      <c r="CB125" s="563"/>
      <c r="CC125" s="564"/>
      <c r="CD125" s="565"/>
      <c r="CE125" s="563"/>
      <c r="CF125" s="563"/>
      <c r="CG125" s="564"/>
      <c r="CH125" s="565"/>
      <c r="CI125" s="563"/>
      <c r="CJ125" s="563"/>
      <c r="CK125" s="564"/>
      <c r="CL125" s="566"/>
      <c r="CM125" s="563"/>
      <c r="CN125" s="563"/>
      <c r="CO125" s="564"/>
      <c r="CP125" s="566"/>
      <c r="CQ125" s="563"/>
      <c r="CR125" s="563"/>
      <c r="CS125" s="564"/>
      <c r="CT125" s="566"/>
      <c r="CU125" s="563"/>
      <c r="CV125" s="563"/>
      <c r="CW125" s="564"/>
      <c r="CX125" s="548"/>
      <c r="CY125" s="548"/>
      <c r="CZ125" s="548"/>
      <c r="DA125" s="549"/>
      <c r="DB125" s="548"/>
      <c r="DC125" s="548"/>
      <c r="DD125" s="548"/>
      <c r="DE125" s="549"/>
      <c r="DF125" s="548"/>
      <c r="DG125" s="548"/>
      <c r="DH125" s="548"/>
      <c r="DI125" s="549"/>
      <c r="DJ125" s="454"/>
      <c r="DK125" s="550"/>
      <c r="DL125" s="548"/>
      <c r="DM125" s="548"/>
      <c r="DN125" s="548"/>
      <c r="DO125" s="548"/>
      <c r="DP125" s="548"/>
      <c r="DQ125" s="548"/>
      <c r="DR125" s="548"/>
      <c r="DS125" s="563"/>
      <c r="DT125" s="565"/>
      <c r="DU125" s="565"/>
      <c r="DV125" s="563"/>
      <c r="DW125" s="563"/>
      <c r="DX125" s="563"/>
      <c r="DY125" s="563"/>
      <c r="DZ125" s="563"/>
      <c r="EA125" s="563"/>
      <c r="EB125" s="563"/>
      <c r="EC125" s="563"/>
      <c r="ED125" s="563"/>
      <c r="EE125" s="563"/>
      <c r="EF125" s="563"/>
      <c r="EG125" s="563"/>
      <c r="EH125" s="563"/>
      <c r="EI125" s="563"/>
      <c r="EJ125" s="563"/>
      <c r="EK125" s="563"/>
      <c r="EL125" s="563"/>
      <c r="EM125" s="563"/>
      <c r="EN125" s="563"/>
      <c r="EO125" s="563"/>
      <c r="EP125" s="389"/>
      <c r="EQ125" s="386"/>
    </row>
    <row r="126" spans="1:147" s="390" customFormat="1" ht="15" customHeight="1" outlineLevel="1">
      <c r="A126" s="385"/>
      <c r="B126"/>
      <c r="C126"/>
      <c r="D126"/>
      <c r="E126"/>
      <c r="F126"/>
      <c r="G126"/>
      <c r="H126" s="386"/>
      <c r="I126" s="370" t="s">
        <v>1650</v>
      </c>
      <c r="J126" s="399"/>
      <c r="K126" s="399"/>
      <c r="L126" s="399"/>
      <c r="M126" s="400"/>
      <c r="N126" s="399"/>
      <c r="O126" s="399"/>
      <c r="P126" s="399"/>
      <c r="Q126" s="400"/>
      <c r="R126" s="399"/>
      <c r="S126" s="399"/>
      <c r="T126" s="399"/>
      <c r="U126" s="400"/>
      <c r="V126" s="399"/>
      <c r="W126" s="399"/>
      <c r="X126" s="399"/>
      <c r="Y126" s="400"/>
      <c r="Z126" s="399"/>
      <c r="AA126" s="399"/>
      <c r="AB126" s="399"/>
      <c r="AC126" s="400"/>
      <c r="AD126" s="399"/>
      <c r="AE126" s="399"/>
      <c r="AF126" s="399"/>
      <c r="AG126" s="400"/>
      <c r="AH126" s="399"/>
      <c r="AI126" s="399"/>
      <c r="AJ126" s="399"/>
      <c r="AK126" s="400"/>
      <c r="AL126" s="399"/>
      <c r="AM126" s="399"/>
      <c r="AN126" s="399"/>
      <c r="AO126" s="400"/>
      <c r="AP126" s="399"/>
      <c r="AQ126" s="399"/>
      <c r="AR126" s="399"/>
      <c r="AS126" s="400"/>
      <c r="AT126" s="399"/>
      <c r="AU126" s="399"/>
      <c r="AV126" s="399"/>
      <c r="AW126" s="400"/>
      <c r="AX126" s="399"/>
      <c r="AY126" s="399"/>
      <c r="AZ126" s="399"/>
      <c r="BA126" s="400"/>
      <c r="BB126" s="401">
        <v>172</v>
      </c>
      <c r="BC126" s="401">
        <v>156</v>
      </c>
      <c r="BD126" s="401">
        <v>250</v>
      </c>
      <c r="BE126" s="402">
        <v>390</v>
      </c>
      <c r="BF126" s="401">
        <v>181</v>
      </c>
      <c r="BG126" s="401">
        <v>163</v>
      </c>
      <c r="BH126" s="401">
        <v>253</v>
      </c>
      <c r="BI126" s="402">
        <v>343</v>
      </c>
      <c r="BJ126" s="401">
        <v>186</v>
      </c>
      <c r="BK126" s="401">
        <v>139</v>
      </c>
      <c r="BL126" s="401">
        <v>286</v>
      </c>
      <c r="BM126" s="402">
        <v>355</v>
      </c>
      <c r="BN126" s="401">
        <v>166</v>
      </c>
      <c r="BO126" s="401">
        <v>167</v>
      </c>
      <c r="BP126" s="401">
        <v>266</v>
      </c>
      <c r="BQ126" s="402">
        <v>325</v>
      </c>
      <c r="BR126" s="401">
        <v>123</v>
      </c>
      <c r="BS126" s="401">
        <v>198</v>
      </c>
      <c r="BT126" s="401">
        <v>309</v>
      </c>
      <c r="BU126" s="402">
        <v>284</v>
      </c>
      <c r="BV126" s="401">
        <v>150</v>
      </c>
      <c r="BW126" s="401">
        <v>176</v>
      </c>
      <c r="BX126" s="401">
        <v>211</v>
      </c>
      <c r="BY126" s="402">
        <v>222</v>
      </c>
      <c r="BZ126" s="401">
        <v>150</v>
      </c>
      <c r="CA126" s="401">
        <v>163</v>
      </c>
      <c r="CB126" s="401">
        <v>313</v>
      </c>
      <c r="CC126" s="402">
        <v>323</v>
      </c>
      <c r="CD126" s="401">
        <v>172</v>
      </c>
      <c r="CE126" s="401">
        <v>167</v>
      </c>
      <c r="CF126" s="401">
        <v>312</v>
      </c>
      <c r="CG126" s="402">
        <v>253</v>
      </c>
      <c r="CH126" s="401">
        <v>166</v>
      </c>
      <c r="CI126" s="401">
        <v>180</v>
      </c>
      <c r="CJ126" s="401">
        <v>274</v>
      </c>
      <c r="CK126" s="402">
        <v>292</v>
      </c>
      <c r="CL126" s="438">
        <v>158</v>
      </c>
      <c r="CM126" s="401">
        <v>177</v>
      </c>
      <c r="CN126" s="401">
        <v>224</v>
      </c>
      <c r="CO126" s="402">
        <v>295</v>
      </c>
      <c r="CP126" s="438">
        <v>225</v>
      </c>
      <c r="CQ126" s="401">
        <v>217</v>
      </c>
      <c r="CR126" s="401">
        <v>248</v>
      </c>
      <c r="CS126" s="413">
        <v>346.06739531117228</v>
      </c>
      <c r="CT126" s="373">
        <v>66.82862957723863</v>
      </c>
      <c r="CU126" s="325">
        <v>34.484922957562183</v>
      </c>
      <c r="CV126" s="325">
        <v>110.17953758700938</v>
      </c>
      <c r="CW126" s="413">
        <v>336.63344790925578</v>
      </c>
      <c r="CX126" s="409"/>
      <c r="CY126" s="409"/>
      <c r="CZ126" s="409"/>
      <c r="DA126" s="410"/>
      <c r="DB126" s="409"/>
      <c r="DC126" s="409"/>
      <c r="DD126" s="409"/>
      <c r="DE126" s="410"/>
      <c r="DF126" s="409"/>
      <c r="DG126" s="409"/>
      <c r="DH126" s="409"/>
      <c r="DI126" s="410"/>
      <c r="DJ126" s="454"/>
      <c r="DK126" s="411"/>
      <c r="DL126" s="399"/>
      <c r="DM126" s="399"/>
      <c r="DN126" s="399"/>
      <c r="DO126" s="399"/>
      <c r="DP126" s="399"/>
      <c r="DQ126" s="399"/>
      <c r="DR126" s="399"/>
      <c r="DS126" s="401">
        <v>555</v>
      </c>
      <c r="DT126" s="401">
        <v>302</v>
      </c>
      <c r="DU126" s="401">
        <v>363</v>
      </c>
      <c r="DV126" s="325">
        <v>390</v>
      </c>
      <c r="DW126" s="325">
        <v>343</v>
      </c>
      <c r="DX126" s="325">
        <v>355</v>
      </c>
      <c r="DY126" s="325">
        <v>325</v>
      </c>
      <c r="DZ126" s="325">
        <v>284</v>
      </c>
      <c r="EA126" s="325">
        <v>222</v>
      </c>
      <c r="EB126" s="325">
        <v>323</v>
      </c>
      <c r="EC126" s="412">
        <v>253</v>
      </c>
      <c r="ED126" s="412">
        <v>292</v>
      </c>
      <c r="EE126" s="412">
        <v>295</v>
      </c>
      <c r="EF126" s="412">
        <v>346.06739531117228</v>
      </c>
      <c r="EG126" s="412">
        <v>336.63344790925578</v>
      </c>
      <c r="EH126" s="412">
        <v>540.49698125000702</v>
      </c>
      <c r="EI126" s="412">
        <v>398.89637020921896</v>
      </c>
      <c r="EJ126" s="412">
        <v>365.57240239599855</v>
      </c>
      <c r="EK126" s="412">
        <v>424.42353242804541</v>
      </c>
      <c r="EL126" s="412">
        <v>383.29505333113229</v>
      </c>
      <c r="EM126" s="412">
        <v>355.94258155230858</v>
      </c>
      <c r="EN126" s="412">
        <v>354.71903143881326</v>
      </c>
      <c r="EO126" s="412">
        <v>411.38875322886145</v>
      </c>
      <c r="EP126" s="389"/>
      <c r="EQ126" s="386"/>
    </row>
    <row r="127" spans="1:147" s="390" customFormat="1" ht="15" customHeight="1" outlineLevel="1">
      <c r="A127" s="385"/>
      <c r="B127"/>
      <c r="C127"/>
      <c r="D127"/>
      <c r="E127"/>
      <c r="F127"/>
      <c r="G127"/>
      <c r="H127" s="386"/>
      <c r="I127" s="370" t="s">
        <v>1651</v>
      </c>
      <c r="J127" s="399"/>
      <c r="K127" s="399"/>
      <c r="L127" s="399"/>
      <c r="M127" s="400"/>
      <c r="N127" s="399"/>
      <c r="O127" s="399"/>
      <c r="P127" s="399"/>
      <c r="Q127" s="400"/>
      <c r="R127" s="399"/>
      <c r="S127" s="399"/>
      <c r="T127" s="399"/>
      <c r="U127" s="400"/>
      <c r="V127" s="399"/>
      <c r="W127" s="399"/>
      <c r="X127" s="399"/>
      <c r="Y127" s="400"/>
      <c r="Z127" s="399"/>
      <c r="AA127" s="399"/>
      <c r="AB127" s="399"/>
      <c r="AC127" s="400"/>
      <c r="AD127" s="399"/>
      <c r="AE127" s="399"/>
      <c r="AF127" s="399"/>
      <c r="AG127" s="400"/>
      <c r="AH127" s="399"/>
      <c r="AI127" s="399"/>
      <c r="AJ127" s="399"/>
      <c r="AK127" s="400"/>
      <c r="AL127" s="399"/>
      <c r="AM127" s="399"/>
      <c r="AN127" s="399"/>
      <c r="AO127" s="400"/>
      <c r="AP127" s="399"/>
      <c r="AQ127" s="399"/>
      <c r="AR127" s="399"/>
      <c r="AS127" s="400"/>
      <c r="AT127" s="399"/>
      <c r="AU127" s="399"/>
      <c r="AV127" s="399"/>
      <c r="AW127" s="400"/>
      <c r="AX127" s="399"/>
      <c r="AY127" s="399"/>
      <c r="AZ127" s="399"/>
      <c r="BA127" s="400"/>
      <c r="BB127" s="401">
        <v>1043</v>
      </c>
      <c r="BC127" s="401">
        <v>601</v>
      </c>
      <c r="BD127" s="401">
        <v>487</v>
      </c>
      <c r="BE127" s="402">
        <v>1472</v>
      </c>
      <c r="BF127" s="401">
        <v>917</v>
      </c>
      <c r="BG127" s="401">
        <v>905</v>
      </c>
      <c r="BH127" s="401">
        <v>847</v>
      </c>
      <c r="BI127" s="402">
        <v>1657</v>
      </c>
      <c r="BJ127" s="401">
        <v>1125</v>
      </c>
      <c r="BK127" s="401">
        <v>665</v>
      </c>
      <c r="BL127" s="401">
        <v>641</v>
      </c>
      <c r="BM127" s="402">
        <v>1389</v>
      </c>
      <c r="BN127" s="401">
        <v>1092</v>
      </c>
      <c r="BO127" s="401">
        <v>769</v>
      </c>
      <c r="BP127" s="401">
        <v>1305</v>
      </c>
      <c r="BQ127" s="402">
        <v>1797</v>
      </c>
      <c r="BR127" s="401">
        <v>1161</v>
      </c>
      <c r="BS127" s="401">
        <v>837</v>
      </c>
      <c r="BT127" s="401">
        <v>907</v>
      </c>
      <c r="BU127" s="402">
        <v>1702</v>
      </c>
      <c r="BV127" s="401">
        <v>1207</v>
      </c>
      <c r="BW127" s="401">
        <v>1238</v>
      </c>
      <c r="BX127" s="401">
        <v>1320</v>
      </c>
      <c r="BY127" s="402">
        <v>1628</v>
      </c>
      <c r="BZ127" s="401">
        <v>1153</v>
      </c>
      <c r="CA127" s="401">
        <v>940</v>
      </c>
      <c r="CB127" s="401">
        <v>1373</v>
      </c>
      <c r="CC127" s="402">
        <v>1929</v>
      </c>
      <c r="CD127" s="401">
        <v>1204</v>
      </c>
      <c r="CE127" s="401">
        <v>832</v>
      </c>
      <c r="CF127" s="401">
        <v>1017</v>
      </c>
      <c r="CG127" s="402">
        <v>1493</v>
      </c>
      <c r="CH127" s="401">
        <v>931</v>
      </c>
      <c r="CI127" s="401">
        <v>728</v>
      </c>
      <c r="CJ127" s="401">
        <v>695</v>
      </c>
      <c r="CK127" s="402">
        <v>1375</v>
      </c>
      <c r="CL127" s="438">
        <v>1064</v>
      </c>
      <c r="CM127" s="401">
        <v>1222</v>
      </c>
      <c r="CN127" s="401">
        <v>1108</v>
      </c>
      <c r="CO127" s="402">
        <v>1689</v>
      </c>
      <c r="CP127" s="438">
        <v>1459</v>
      </c>
      <c r="CQ127" s="401">
        <v>1058</v>
      </c>
      <c r="CR127" s="401">
        <v>844</v>
      </c>
      <c r="CS127" s="413">
        <v>834</v>
      </c>
      <c r="CT127" s="373">
        <v>833</v>
      </c>
      <c r="CU127" s="325">
        <v>832</v>
      </c>
      <c r="CV127" s="325">
        <v>831</v>
      </c>
      <c r="CW127" s="413">
        <v>830</v>
      </c>
      <c r="CX127" s="409"/>
      <c r="CY127" s="409"/>
      <c r="CZ127" s="409"/>
      <c r="DA127" s="410"/>
      <c r="DB127" s="409"/>
      <c r="DC127" s="409"/>
      <c r="DD127" s="409"/>
      <c r="DE127" s="410"/>
      <c r="DF127" s="409"/>
      <c r="DG127" s="409"/>
      <c r="DH127" s="409"/>
      <c r="DI127" s="410"/>
      <c r="DJ127" s="454"/>
      <c r="DK127" s="411"/>
      <c r="DL127" s="399"/>
      <c r="DM127" s="399"/>
      <c r="DN127" s="399"/>
      <c r="DO127" s="399"/>
      <c r="DP127" s="399"/>
      <c r="DQ127" s="399"/>
      <c r="DR127" s="399"/>
      <c r="DS127" s="401">
        <v>923</v>
      </c>
      <c r="DT127" s="401">
        <v>1426</v>
      </c>
      <c r="DU127" s="401">
        <v>1726</v>
      </c>
      <c r="DV127" s="325">
        <v>1472</v>
      </c>
      <c r="DW127" s="325">
        <v>1657</v>
      </c>
      <c r="DX127" s="325">
        <v>1389</v>
      </c>
      <c r="DY127" s="325">
        <v>1797</v>
      </c>
      <c r="DZ127" s="325">
        <v>1702</v>
      </c>
      <c r="EA127" s="325">
        <v>1628</v>
      </c>
      <c r="EB127" s="325">
        <v>1929</v>
      </c>
      <c r="EC127" s="412">
        <v>1493</v>
      </c>
      <c r="ED127" s="412">
        <v>1375</v>
      </c>
      <c r="EE127" s="412">
        <v>1689</v>
      </c>
      <c r="EF127" s="412">
        <v>834</v>
      </c>
      <c r="EG127" s="412">
        <v>830</v>
      </c>
      <c r="EH127" s="412">
        <v>994.28350478788821</v>
      </c>
      <c r="EI127" s="412">
        <v>908.97282035220508</v>
      </c>
      <c r="EJ127" s="412">
        <v>874.3109640513303</v>
      </c>
      <c r="EK127" s="412">
        <v>946.6481707298168</v>
      </c>
      <c r="EL127" s="412">
        <v>899.35979838149035</v>
      </c>
      <c r="EM127" s="412">
        <v>911.79876354635144</v>
      </c>
      <c r="EN127" s="412">
        <v>904.56543471899295</v>
      </c>
      <c r="EO127" s="412">
        <v>987.19790297370548</v>
      </c>
      <c r="EP127" s="389"/>
      <c r="EQ127" s="386"/>
    </row>
    <row r="128" spans="1:147" s="390" customFormat="1" ht="15" customHeight="1" outlineLevel="1">
      <c r="A128" s="385"/>
      <c r="B128"/>
      <c r="C128"/>
      <c r="D128"/>
      <c r="E128"/>
      <c r="F128"/>
      <c r="G128"/>
      <c r="H128" s="386"/>
      <c r="I128" s="370" t="s">
        <v>1652</v>
      </c>
      <c r="J128" s="399"/>
      <c r="K128" s="399"/>
      <c r="L128" s="399"/>
      <c r="M128" s="400"/>
      <c r="N128" s="399"/>
      <c r="O128" s="399"/>
      <c r="P128" s="399"/>
      <c r="Q128" s="400"/>
      <c r="R128" s="399"/>
      <c r="S128" s="399"/>
      <c r="T128" s="399"/>
      <c r="U128" s="400"/>
      <c r="V128" s="399"/>
      <c r="W128" s="399"/>
      <c r="X128" s="399"/>
      <c r="Y128" s="400"/>
      <c r="Z128" s="399"/>
      <c r="AA128" s="399"/>
      <c r="AB128" s="399"/>
      <c r="AC128" s="400"/>
      <c r="AD128" s="399"/>
      <c r="AE128" s="399"/>
      <c r="AF128" s="399"/>
      <c r="AG128" s="400"/>
      <c r="AH128" s="399"/>
      <c r="AI128" s="399"/>
      <c r="AJ128" s="399"/>
      <c r="AK128" s="400"/>
      <c r="AL128" s="399"/>
      <c r="AM128" s="399"/>
      <c r="AN128" s="399"/>
      <c r="AO128" s="400"/>
      <c r="AP128" s="399"/>
      <c r="AQ128" s="399"/>
      <c r="AR128" s="399"/>
      <c r="AS128" s="400"/>
      <c r="AT128" s="399"/>
      <c r="AU128" s="399"/>
      <c r="AV128" s="399"/>
      <c r="AW128" s="400"/>
      <c r="AX128" s="399"/>
      <c r="AY128" s="399"/>
      <c r="AZ128" s="399"/>
      <c r="BA128" s="400"/>
      <c r="BB128" s="401">
        <v>676</v>
      </c>
      <c r="BC128" s="401">
        <v>489</v>
      </c>
      <c r="BD128" s="401">
        <v>542</v>
      </c>
      <c r="BE128" s="402">
        <v>694</v>
      </c>
      <c r="BF128" s="401">
        <v>676</v>
      </c>
      <c r="BG128" s="401">
        <v>416</v>
      </c>
      <c r="BH128" s="401">
        <v>455</v>
      </c>
      <c r="BI128" s="402">
        <v>652</v>
      </c>
      <c r="BJ128" s="401">
        <v>588</v>
      </c>
      <c r="BK128" s="401">
        <v>389</v>
      </c>
      <c r="BL128" s="401">
        <v>506</v>
      </c>
      <c r="BM128" s="402">
        <v>636</v>
      </c>
      <c r="BN128" s="401">
        <v>635</v>
      </c>
      <c r="BO128" s="401">
        <v>507</v>
      </c>
      <c r="BP128" s="401">
        <v>541</v>
      </c>
      <c r="BQ128" s="402">
        <v>592</v>
      </c>
      <c r="BR128" s="401">
        <v>615</v>
      </c>
      <c r="BS128" s="401">
        <v>510</v>
      </c>
      <c r="BT128" s="401">
        <v>394</v>
      </c>
      <c r="BU128" s="402">
        <v>625</v>
      </c>
      <c r="BV128" s="401">
        <v>901</v>
      </c>
      <c r="BW128" s="401">
        <v>721</v>
      </c>
      <c r="BX128" s="401">
        <v>689</v>
      </c>
      <c r="BY128" s="402">
        <v>806</v>
      </c>
      <c r="BZ128" s="401">
        <v>936</v>
      </c>
      <c r="CA128" s="401">
        <v>662</v>
      </c>
      <c r="CB128" s="401">
        <v>703</v>
      </c>
      <c r="CC128" s="402">
        <v>1411</v>
      </c>
      <c r="CD128" s="401">
        <v>1551</v>
      </c>
      <c r="CE128" s="401">
        <v>1061</v>
      </c>
      <c r="CF128" s="401">
        <v>1053</v>
      </c>
      <c r="CG128" s="402">
        <v>896</v>
      </c>
      <c r="CH128" s="401">
        <v>1198</v>
      </c>
      <c r="CI128" s="401">
        <v>731</v>
      </c>
      <c r="CJ128" s="401">
        <v>782</v>
      </c>
      <c r="CK128" s="402">
        <v>1248</v>
      </c>
      <c r="CL128" s="438">
        <v>1338</v>
      </c>
      <c r="CM128" s="401">
        <v>1158</v>
      </c>
      <c r="CN128" s="401">
        <v>855</v>
      </c>
      <c r="CO128" s="402">
        <v>1116</v>
      </c>
      <c r="CP128" s="438">
        <v>1497</v>
      </c>
      <c r="CQ128" s="401">
        <v>978</v>
      </c>
      <c r="CR128" s="401">
        <v>924</v>
      </c>
      <c r="CS128" s="413">
        <v>1323.6832347165155</v>
      </c>
      <c r="CT128" s="373">
        <v>1086.5946267264892</v>
      </c>
      <c r="CU128" s="325">
        <v>668.94260535045089</v>
      </c>
      <c r="CV128" s="325">
        <v>1021.8462758989283</v>
      </c>
      <c r="CW128" s="413">
        <v>1773.5900730158337</v>
      </c>
      <c r="CX128" s="409"/>
      <c r="CY128" s="409"/>
      <c r="CZ128" s="409"/>
      <c r="DA128" s="410"/>
      <c r="DB128" s="409"/>
      <c r="DC128" s="409"/>
      <c r="DD128" s="409"/>
      <c r="DE128" s="410"/>
      <c r="DF128" s="409"/>
      <c r="DG128" s="409"/>
      <c r="DH128" s="409"/>
      <c r="DI128" s="410"/>
      <c r="DJ128" s="454"/>
      <c r="DK128" s="411"/>
      <c r="DL128" s="399"/>
      <c r="DM128" s="399"/>
      <c r="DN128" s="399"/>
      <c r="DO128" s="399"/>
      <c r="DP128" s="399"/>
      <c r="DQ128" s="399"/>
      <c r="DR128" s="399"/>
      <c r="DS128" s="401">
        <v>842</v>
      </c>
      <c r="DT128" s="401">
        <v>779</v>
      </c>
      <c r="DU128" s="401">
        <v>818</v>
      </c>
      <c r="DV128" s="325">
        <v>694</v>
      </c>
      <c r="DW128" s="325">
        <v>652</v>
      </c>
      <c r="DX128" s="325">
        <v>636</v>
      </c>
      <c r="DY128" s="325">
        <v>592</v>
      </c>
      <c r="DZ128" s="325">
        <v>625</v>
      </c>
      <c r="EA128" s="325">
        <v>806</v>
      </c>
      <c r="EB128" s="325">
        <v>1411</v>
      </c>
      <c r="EC128" s="412">
        <v>896</v>
      </c>
      <c r="ED128" s="412">
        <v>1248</v>
      </c>
      <c r="EE128" s="412">
        <v>1116</v>
      </c>
      <c r="EF128" s="412">
        <v>1323.6832347165155</v>
      </c>
      <c r="EG128" s="412">
        <v>1773.5900730158337</v>
      </c>
      <c r="EH128" s="412">
        <v>1991.1779998348954</v>
      </c>
      <c r="EI128" s="412">
        <v>1950.5601989537724</v>
      </c>
      <c r="EJ128" s="412">
        <v>1943.9447289633649</v>
      </c>
      <c r="EK128" s="412">
        <v>2004.6334462788288</v>
      </c>
      <c r="EL128" s="412">
        <v>2041.1088827616275</v>
      </c>
      <c r="EM128" s="412">
        <v>2048.8841043327461</v>
      </c>
      <c r="EN128" s="412">
        <v>2090.9386155656098</v>
      </c>
      <c r="EO128" s="412">
        <v>2163.6749532580866</v>
      </c>
      <c r="EP128" s="389"/>
      <c r="EQ128" s="386"/>
    </row>
    <row r="129" spans="1:147" s="390" customFormat="1" ht="15" customHeight="1" outlineLevel="1">
      <c r="A129" s="385"/>
      <c r="B129"/>
      <c r="C129"/>
      <c r="D129"/>
      <c r="E129"/>
      <c r="F129"/>
      <c r="G129"/>
      <c r="H129" s="386"/>
      <c r="I129" s="370" t="s">
        <v>637</v>
      </c>
      <c r="J129" s="399"/>
      <c r="K129" s="399"/>
      <c r="L129" s="399"/>
      <c r="M129" s="400"/>
      <c r="N129" s="399"/>
      <c r="O129" s="399"/>
      <c r="P129" s="399"/>
      <c r="Q129" s="400"/>
      <c r="R129" s="399"/>
      <c r="S129" s="399"/>
      <c r="T129" s="399"/>
      <c r="U129" s="400"/>
      <c r="V129" s="399"/>
      <c r="W129" s="399"/>
      <c r="X129" s="399"/>
      <c r="Y129" s="400"/>
      <c r="Z129" s="399"/>
      <c r="AA129" s="399"/>
      <c r="AB129" s="399"/>
      <c r="AC129" s="400"/>
      <c r="AD129" s="399"/>
      <c r="AE129" s="399"/>
      <c r="AF129" s="399"/>
      <c r="AG129" s="400"/>
      <c r="AH129" s="399"/>
      <c r="AI129" s="399"/>
      <c r="AJ129" s="399"/>
      <c r="AK129" s="400"/>
      <c r="AL129" s="399"/>
      <c r="AM129" s="399"/>
      <c r="AN129" s="399"/>
      <c r="AO129" s="400"/>
      <c r="AP129" s="399"/>
      <c r="AQ129" s="399"/>
      <c r="AR129" s="399"/>
      <c r="AS129" s="400"/>
      <c r="AT129" s="399"/>
      <c r="AU129" s="399"/>
      <c r="AV129" s="399"/>
      <c r="AW129" s="400"/>
      <c r="AX129" s="399"/>
      <c r="AY129" s="399"/>
      <c r="AZ129" s="399"/>
      <c r="BA129" s="400"/>
      <c r="BB129" s="401">
        <v>0</v>
      </c>
      <c r="BC129" s="401">
        <v>0</v>
      </c>
      <c r="BD129" s="401">
        <v>0</v>
      </c>
      <c r="BE129" s="402">
        <v>0</v>
      </c>
      <c r="BF129" s="401">
        <v>0</v>
      </c>
      <c r="BG129" s="401">
        <v>0</v>
      </c>
      <c r="BH129" s="401">
        <v>0</v>
      </c>
      <c r="BI129" s="402">
        <v>0</v>
      </c>
      <c r="BJ129" s="401">
        <v>0</v>
      </c>
      <c r="BK129" s="401">
        <v>0</v>
      </c>
      <c r="BL129" s="401">
        <v>0</v>
      </c>
      <c r="BM129" s="402">
        <v>25</v>
      </c>
      <c r="BN129" s="401">
        <v>0</v>
      </c>
      <c r="BO129" s="401">
        <v>0</v>
      </c>
      <c r="BP129" s="401">
        <v>0</v>
      </c>
      <c r="BQ129" s="402">
        <v>0</v>
      </c>
      <c r="BR129" s="401">
        <v>0</v>
      </c>
      <c r="BS129" s="401">
        <v>0</v>
      </c>
      <c r="BT129" s="401">
        <v>0</v>
      </c>
      <c r="BU129" s="402">
        <v>0</v>
      </c>
      <c r="BV129" s="401">
        <v>64</v>
      </c>
      <c r="BW129" s="401">
        <v>56</v>
      </c>
      <c r="BX129" s="401">
        <v>1481</v>
      </c>
      <c r="BY129" s="413">
        <v>0</v>
      </c>
      <c r="BZ129" s="401">
        <v>0</v>
      </c>
      <c r="CA129" s="401">
        <v>0</v>
      </c>
      <c r="CB129" s="412">
        <v>0</v>
      </c>
      <c r="CC129" s="413">
        <v>0</v>
      </c>
      <c r="CD129" s="401">
        <v>0</v>
      </c>
      <c r="CE129" s="401">
        <v>0</v>
      </c>
      <c r="CF129" s="401">
        <v>0</v>
      </c>
      <c r="CG129" s="413">
        <v>0</v>
      </c>
      <c r="CH129" s="401">
        <v>0</v>
      </c>
      <c r="CI129" s="401">
        <v>0</v>
      </c>
      <c r="CJ129" s="412">
        <v>0</v>
      </c>
      <c r="CK129" s="413">
        <v>0</v>
      </c>
      <c r="CL129" s="567">
        <v>0</v>
      </c>
      <c r="CM129" s="401">
        <v>0</v>
      </c>
      <c r="CN129" s="412">
        <v>0</v>
      </c>
      <c r="CO129" s="413">
        <v>0</v>
      </c>
      <c r="CP129" s="567">
        <v>0</v>
      </c>
      <c r="CQ129" s="412">
        <v>0</v>
      </c>
      <c r="CR129" s="412">
        <v>0</v>
      </c>
      <c r="CS129" s="413">
        <v>0</v>
      </c>
      <c r="CT129" s="373">
        <v>0</v>
      </c>
      <c r="CU129" s="325">
        <v>0</v>
      </c>
      <c r="CV129" s="325">
        <v>0</v>
      </c>
      <c r="CW129" s="413">
        <v>0</v>
      </c>
      <c r="CX129" s="409"/>
      <c r="CY129" s="409"/>
      <c r="CZ129" s="409"/>
      <c r="DA129" s="410"/>
      <c r="DB129" s="409"/>
      <c r="DC129" s="409"/>
      <c r="DD129" s="409"/>
      <c r="DE129" s="410"/>
      <c r="DF129" s="409"/>
      <c r="DG129" s="409"/>
      <c r="DH129" s="409"/>
      <c r="DI129" s="410"/>
      <c r="DJ129" s="454"/>
      <c r="DK129" s="411"/>
      <c r="DL129" s="399"/>
      <c r="DM129" s="399"/>
      <c r="DN129" s="399"/>
      <c r="DO129" s="399"/>
      <c r="DP129" s="399"/>
      <c r="DQ129" s="399"/>
      <c r="DR129" s="399"/>
      <c r="DS129" s="401">
        <v>0</v>
      </c>
      <c r="DT129" s="401">
        <v>0</v>
      </c>
      <c r="DU129" s="401">
        <v>0</v>
      </c>
      <c r="DV129" s="325">
        <v>0</v>
      </c>
      <c r="DW129" s="325">
        <v>0</v>
      </c>
      <c r="DX129" s="325">
        <v>25</v>
      </c>
      <c r="DY129" s="325">
        <v>0</v>
      </c>
      <c r="DZ129" s="325">
        <v>0</v>
      </c>
      <c r="EA129" s="325">
        <v>0</v>
      </c>
      <c r="EB129" s="325">
        <v>0</v>
      </c>
      <c r="EC129" s="412">
        <v>0</v>
      </c>
      <c r="ED129" s="412">
        <v>0</v>
      </c>
      <c r="EE129" s="412">
        <v>0</v>
      </c>
      <c r="EF129" s="412">
        <v>0</v>
      </c>
      <c r="EG129" s="412">
        <v>0</v>
      </c>
      <c r="EH129" s="412">
        <v>0</v>
      </c>
      <c r="EI129" s="412">
        <v>0</v>
      </c>
      <c r="EJ129" s="412">
        <v>0</v>
      </c>
      <c r="EK129" s="412">
        <v>0</v>
      </c>
      <c r="EL129" s="412">
        <v>0</v>
      </c>
      <c r="EM129" s="412">
        <v>0</v>
      </c>
      <c r="EN129" s="412">
        <v>0</v>
      </c>
      <c r="EO129" s="412">
        <v>0</v>
      </c>
      <c r="EP129" s="389"/>
      <c r="EQ129" s="386"/>
    </row>
    <row r="130" spans="1:147" s="390" customFormat="1" ht="15" customHeight="1" outlineLevel="1">
      <c r="A130" s="385"/>
      <c r="B130"/>
      <c r="C130"/>
      <c r="D130"/>
      <c r="E130"/>
      <c r="F130"/>
      <c r="G130"/>
      <c r="H130" s="386"/>
      <c r="I130" s="517" t="s">
        <v>1653</v>
      </c>
      <c r="J130" s="552"/>
      <c r="K130" s="552"/>
      <c r="L130" s="552"/>
      <c r="M130" s="553"/>
      <c r="N130" s="552"/>
      <c r="O130" s="552"/>
      <c r="P130" s="552"/>
      <c r="Q130" s="553"/>
      <c r="R130" s="552"/>
      <c r="S130" s="552"/>
      <c r="T130" s="552"/>
      <c r="U130" s="553"/>
      <c r="V130" s="552"/>
      <c r="W130" s="552"/>
      <c r="X130" s="552"/>
      <c r="Y130" s="553"/>
      <c r="Z130" s="552"/>
      <c r="AA130" s="552"/>
      <c r="AB130" s="552"/>
      <c r="AC130" s="553"/>
      <c r="AD130" s="552"/>
      <c r="AE130" s="552"/>
      <c r="AF130" s="552"/>
      <c r="AG130" s="553"/>
      <c r="AH130" s="552"/>
      <c r="AI130" s="552"/>
      <c r="AJ130" s="552"/>
      <c r="AK130" s="553"/>
      <c r="AL130" s="552"/>
      <c r="AM130" s="552"/>
      <c r="AN130" s="552"/>
      <c r="AO130" s="553"/>
      <c r="AP130" s="552"/>
      <c r="AQ130" s="552"/>
      <c r="AR130" s="552"/>
      <c r="AS130" s="553"/>
      <c r="AT130" s="552"/>
      <c r="AU130" s="552"/>
      <c r="AV130" s="552"/>
      <c r="AW130" s="553"/>
      <c r="AX130" s="552">
        <v>0</v>
      </c>
      <c r="AY130" s="552">
        <v>0</v>
      </c>
      <c r="AZ130" s="552">
        <v>0</v>
      </c>
      <c r="BA130" s="553">
        <v>0</v>
      </c>
      <c r="BB130" s="554">
        <v>1891</v>
      </c>
      <c r="BC130" s="554">
        <v>1246</v>
      </c>
      <c r="BD130" s="554">
        <v>1279</v>
      </c>
      <c r="BE130" s="555">
        <v>2556</v>
      </c>
      <c r="BF130" s="554">
        <v>1774</v>
      </c>
      <c r="BG130" s="554">
        <v>1484</v>
      </c>
      <c r="BH130" s="554">
        <v>1555</v>
      </c>
      <c r="BI130" s="555">
        <v>2652</v>
      </c>
      <c r="BJ130" s="554">
        <v>1899</v>
      </c>
      <c r="BK130" s="554">
        <v>1193</v>
      </c>
      <c r="BL130" s="554">
        <v>1433</v>
      </c>
      <c r="BM130" s="555">
        <v>2405</v>
      </c>
      <c r="BN130" s="554">
        <v>1893</v>
      </c>
      <c r="BO130" s="554">
        <v>1443</v>
      </c>
      <c r="BP130" s="554">
        <v>2112</v>
      </c>
      <c r="BQ130" s="555">
        <v>2714</v>
      </c>
      <c r="BR130" s="554">
        <v>1899</v>
      </c>
      <c r="BS130" s="554">
        <v>1545</v>
      </c>
      <c r="BT130" s="554">
        <v>1610</v>
      </c>
      <c r="BU130" s="555">
        <v>2611</v>
      </c>
      <c r="BV130" s="554">
        <v>2322</v>
      </c>
      <c r="BW130" s="554">
        <v>2191</v>
      </c>
      <c r="BX130" s="554">
        <v>3701</v>
      </c>
      <c r="BY130" s="555">
        <v>2656</v>
      </c>
      <c r="BZ130" s="554">
        <v>2239</v>
      </c>
      <c r="CA130" s="554">
        <v>1765</v>
      </c>
      <c r="CB130" s="554">
        <v>2389</v>
      </c>
      <c r="CC130" s="555">
        <v>3663</v>
      </c>
      <c r="CD130" s="554">
        <v>2927</v>
      </c>
      <c r="CE130" s="554">
        <v>2060</v>
      </c>
      <c r="CF130" s="554">
        <v>2382</v>
      </c>
      <c r="CG130" s="555">
        <v>2642</v>
      </c>
      <c r="CH130" s="554">
        <v>2295</v>
      </c>
      <c r="CI130" s="554">
        <v>1639</v>
      </c>
      <c r="CJ130" s="554">
        <v>1751</v>
      </c>
      <c r="CK130" s="555">
        <v>2915</v>
      </c>
      <c r="CL130" s="557">
        <v>2560</v>
      </c>
      <c r="CM130" s="554">
        <v>2557</v>
      </c>
      <c r="CN130" s="554">
        <v>2187</v>
      </c>
      <c r="CO130" s="555">
        <v>3100</v>
      </c>
      <c r="CP130" s="557">
        <v>3181</v>
      </c>
      <c r="CQ130" s="554">
        <v>2253</v>
      </c>
      <c r="CR130" s="554">
        <v>2016</v>
      </c>
      <c r="CS130" s="555">
        <v>2503.7506300276877</v>
      </c>
      <c r="CT130" s="557">
        <v>1986.4232563037278</v>
      </c>
      <c r="CU130" s="554">
        <v>1535.4275283080131</v>
      </c>
      <c r="CV130" s="554">
        <v>1963.0258134859378</v>
      </c>
      <c r="CW130" s="555">
        <v>2940.2235209250894</v>
      </c>
      <c r="CX130" s="552"/>
      <c r="CY130" s="552"/>
      <c r="CZ130" s="552"/>
      <c r="DA130" s="553"/>
      <c r="DB130" s="552"/>
      <c r="DC130" s="552"/>
      <c r="DD130" s="552"/>
      <c r="DE130" s="553"/>
      <c r="DF130" s="552"/>
      <c r="DG130" s="552"/>
      <c r="DH130" s="552"/>
      <c r="DI130" s="553"/>
      <c r="DJ130" s="454"/>
      <c r="DK130" s="558"/>
      <c r="DL130" s="552"/>
      <c r="DM130" s="552"/>
      <c r="DN130" s="552"/>
      <c r="DO130" s="552"/>
      <c r="DP130" s="552"/>
      <c r="DQ130" s="552"/>
      <c r="DR130" s="552"/>
      <c r="DS130" s="554">
        <v>2320</v>
      </c>
      <c r="DT130" s="398">
        <v>2507</v>
      </c>
      <c r="DU130" s="398">
        <v>2907</v>
      </c>
      <c r="DV130" s="394">
        <v>2556</v>
      </c>
      <c r="DW130" s="394">
        <v>2652</v>
      </c>
      <c r="DX130" s="394">
        <v>2405</v>
      </c>
      <c r="DY130" s="394">
        <v>2714</v>
      </c>
      <c r="DZ130" s="394">
        <v>2611</v>
      </c>
      <c r="EA130" s="394">
        <v>2656</v>
      </c>
      <c r="EB130" s="394">
        <v>3663</v>
      </c>
      <c r="EC130" s="554">
        <v>2642</v>
      </c>
      <c r="ED130" s="554">
        <v>2915</v>
      </c>
      <c r="EE130" s="554">
        <v>3100</v>
      </c>
      <c r="EF130" s="554">
        <v>2503.7506300276877</v>
      </c>
      <c r="EG130" s="554">
        <v>2940.2235209250894</v>
      </c>
      <c r="EH130" s="554">
        <v>3525.9584858727903</v>
      </c>
      <c r="EI130" s="554">
        <v>3258.4293895151968</v>
      </c>
      <c r="EJ130" s="554">
        <v>3183.828095410694</v>
      </c>
      <c r="EK130" s="554">
        <v>3375.705149436691</v>
      </c>
      <c r="EL130" s="554">
        <v>3323.7637344742498</v>
      </c>
      <c r="EM130" s="554">
        <v>3316.6254494314062</v>
      </c>
      <c r="EN130" s="554">
        <v>3350.2230817234158</v>
      </c>
      <c r="EO130" s="554">
        <v>3562.2616094606537</v>
      </c>
      <c r="EP130" s="389"/>
      <c r="EQ130" s="386"/>
    </row>
    <row r="131" spans="1:147" s="390" customFormat="1" ht="15" customHeight="1" outlineLevel="1">
      <c r="A131" s="385"/>
      <c r="B131"/>
      <c r="C131"/>
      <c r="D131"/>
      <c r="E131"/>
      <c r="F131"/>
      <c r="G131"/>
      <c r="H131" s="386"/>
      <c r="I131" s="370" t="s">
        <v>1654</v>
      </c>
      <c r="J131" s="399"/>
      <c r="K131" s="399"/>
      <c r="L131" s="399"/>
      <c r="M131" s="400"/>
      <c r="N131" s="399"/>
      <c r="O131" s="399"/>
      <c r="P131" s="399"/>
      <c r="Q131" s="400"/>
      <c r="R131" s="399"/>
      <c r="S131" s="399"/>
      <c r="T131" s="399"/>
      <c r="U131" s="400"/>
      <c r="V131" s="399"/>
      <c r="W131" s="399"/>
      <c r="X131" s="399"/>
      <c r="Y131" s="400"/>
      <c r="Z131" s="399"/>
      <c r="AA131" s="399"/>
      <c r="AB131" s="399"/>
      <c r="AC131" s="400"/>
      <c r="AD131" s="399"/>
      <c r="AE131" s="399"/>
      <c r="AF131" s="399"/>
      <c r="AG131" s="400"/>
      <c r="AH131" s="399"/>
      <c r="AI131" s="399"/>
      <c r="AJ131" s="399"/>
      <c r="AK131" s="400"/>
      <c r="AL131" s="399"/>
      <c r="AM131" s="399"/>
      <c r="AN131" s="399"/>
      <c r="AO131" s="400"/>
      <c r="AP131" s="399"/>
      <c r="AQ131" s="399"/>
      <c r="AR131" s="399"/>
      <c r="AS131" s="400"/>
      <c r="AT131" s="399"/>
      <c r="AU131" s="399"/>
      <c r="AV131" s="399"/>
      <c r="AW131" s="400"/>
      <c r="AX131" s="399"/>
      <c r="AY131" s="399"/>
      <c r="AZ131" s="399"/>
      <c r="BA131" s="400"/>
      <c r="BB131" s="401">
        <v>0</v>
      </c>
      <c r="BC131" s="401">
        <v>0</v>
      </c>
      <c r="BD131" s="401">
        <v>0</v>
      </c>
      <c r="BE131" s="402">
        <v>0</v>
      </c>
      <c r="BF131" s="401">
        <v>0</v>
      </c>
      <c r="BG131" s="401">
        <v>0</v>
      </c>
      <c r="BH131" s="401">
        <v>0</v>
      </c>
      <c r="BI131" s="402">
        <v>0</v>
      </c>
      <c r="BJ131" s="401">
        <v>0</v>
      </c>
      <c r="BK131" s="401">
        <v>0</v>
      </c>
      <c r="BL131" s="401">
        <v>2211</v>
      </c>
      <c r="BM131" s="402">
        <v>4668</v>
      </c>
      <c r="BN131" s="401">
        <v>4320</v>
      </c>
      <c r="BO131" s="401">
        <v>4321</v>
      </c>
      <c r="BP131" s="401">
        <v>4322</v>
      </c>
      <c r="BQ131" s="402">
        <v>4324</v>
      </c>
      <c r="BR131" s="401">
        <v>4075</v>
      </c>
      <c r="BS131" s="401">
        <v>4077</v>
      </c>
      <c r="BT131" s="401">
        <v>4078</v>
      </c>
      <c r="BU131" s="402">
        <v>4079</v>
      </c>
      <c r="BV131" s="401">
        <v>5777</v>
      </c>
      <c r="BW131" s="401">
        <v>4977</v>
      </c>
      <c r="BX131" s="401">
        <v>4881</v>
      </c>
      <c r="BY131" s="402">
        <v>4887</v>
      </c>
      <c r="BZ131" s="401">
        <v>4393</v>
      </c>
      <c r="CA131" s="401">
        <v>4387</v>
      </c>
      <c r="CB131" s="401">
        <v>4388</v>
      </c>
      <c r="CC131" s="402">
        <v>4390</v>
      </c>
      <c r="CD131" s="401">
        <v>4392</v>
      </c>
      <c r="CE131" s="401">
        <v>4394</v>
      </c>
      <c r="CF131" s="401">
        <v>2670</v>
      </c>
      <c r="CG131" s="402">
        <v>2671</v>
      </c>
      <c r="CH131" s="401">
        <v>2672</v>
      </c>
      <c r="CI131" s="401">
        <v>2673</v>
      </c>
      <c r="CJ131" s="401">
        <v>2674</v>
      </c>
      <c r="CK131" s="402">
        <v>2675</v>
      </c>
      <c r="CL131" s="438">
        <v>2675</v>
      </c>
      <c r="CM131" s="401">
        <v>2676</v>
      </c>
      <c r="CN131" s="401">
        <v>3604</v>
      </c>
      <c r="CO131" s="402">
        <v>3605</v>
      </c>
      <c r="CP131" s="438">
        <v>3606</v>
      </c>
      <c r="CQ131" s="401">
        <v>3606</v>
      </c>
      <c r="CR131" s="401">
        <v>3607</v>
      </c>
      <c r="CS131" s="413">
        <v>3607</v>
      </c>
      <c r="CT131" s="373">
        <v>3607</v>
      </c>
      <c r="CU131" s="325">
        <v>3607</v>
      </c>
      <c r="CV131" s="325">
        <v>3607</v>
      </c>
      <c r="CW131" s="413">
        <v>3607</v>
      </c>
      <c r="CX131" s="409"/>
      <c r="CY131" s="409"/>
      <c r="CZ131" s="409"/>
      <c r="DA131" s="410"/>
      <c r="DB131" s="409"/>
      <c r="DC131" s="409"/>
      <c r="DD131" s="409"/>
      <c r="DE131" s="410"/>
      <c r="DF131" s="409"/>
      <c r="DG131" s="409"/>
      <c r="DH131" s="409"/>
      <c r="DI131" s="410"/>
      <c r="DJ131" s="454"/>
      <c r="DK131" s="411"/>
      <c r="DL131" s="399"/>
      <c r="DM131" s="399"/>
      <c r="DN131" s="399"/>
      <c r="DO131" s="399"/>
      <c r="DP131" s="399"/>
      <c r="DQ131" s="399"/>
      <c r="DR131" s="399"/>
      <c r="DS131" s="401">
        <v>0</v>
      </c>
      <c r="DT131" s="401">
        <v>0</v>
      </c>
      <c r="DU131" s="401">
        <v>0</v>
      </c>
      <c r="DV131" s="325">
        <v>0</v>
      </c>
      <c r="DW131" s="325">
        <v>0</v>
      </c>
      <c r="DX131" s="325">
        <v>4668</v>
      </c>
      <c r="DY131" s="325">
        <v>4324</v>
      </c>
      <c r="DZ131" s="325">
        <v>4079</v>
      </c>
      <c r="EA131" s="325">
        <v>4887</v>
      </c>
      <c r="EB131" s="325">
        <v>4390</v>
      </c>
      <c r="EC131" s="412">
        <v>2671</v>
      </c>
      <c r="ED131" s="412">
        <v>2675</v>
      </c>
      <c r="EE131" s="412">
        <v>3605</v>
      </c>
      <c r="EF131" s="412">
        <v>3607</v>
      </c>
      <c r="EG131" s="412">
        <v>3607</v>
      </c>
      <c r="EH131" s="412">
        <v>3607</v>
      </c>
      <c r="EI131" s="412">
        <v>3607</v>
      </c>
      <c r="EJ131" s="412">
        <v>3607</v>
      </c>
      <c r="EK131" s="412">
        <v>3607</v>
      </c>
      <c r="EL131" s="412">
        <v>3607</v>
      </c>
      <c r="EM131" s="412">
        <v>3607</v>
      </c>
      <c r="EN131" s="412">
        <v>3607</v>
      </c>
      <c r="EO131" s="412">
        <v>3607</v>
      </c>
      <c r="EP131" s="389"/>
      <c r="EQ131" s="386"/>
    </row>
    <row r="132" spans="1:147" s="390" customFormat="1" ht="15" customHeight="1" outlineLevel="1">
      <c r="A132" s="385"/>
      <c r="B132"/>
      <c r="C132"/>
      <c r="D132"/>
      <c r="E132"/>
      <c r="F132"/>
      <c r="G132"/>
      <c r="H132" s="386"/>
      <c r="I132" s="370" t="s">
        <v>1655</v>
      </c>
      <c r="J132" s="399"/>
      <c r="K132" s="399"/>
      <c r="L132" s="399"/>
      <c r="M132" s="400"/>
      <c r="N132" s="399"/>
      <c r="O132" s="399"/>
      <c r="P132" s="399"/>
      <c r="Q132" s="400"/>
      <c r="R132" s="399"/>
      <c r="S132" s="399"/>
      <c r="T132" s="399"/>
      <c r="U132" s="400"/>
      <c r="V132" s="399"/>
      <c r="W132" s="399"/>
      <c r="X132" s="399"/>
      <c r="Y132" s="400"/>
      <c r="Z132" s="399"/>
      <c r="AA132" s="399"/>
      <c r="AB132" s="399"/>
      <c r="AC132" s="400"/>
      <c r="AD132" s="399"/>
      <c r="AE132" s="399"/>
      <c r="AF132" s="399"/>
      <c r="AG132" s="400"/>
      <c r="AH132" s="399"/>
      <c r="AI132" s="399"/>
      <c r="AJ132" s="399"/>
      <c r="AK132" s="400"/>
      <c r="AL132" s="399"/>
      <c r="AM132" s="399"/>
      <c r="AN132" s="399"/>
      <c r="AO132" s="400"/>
      <c r="AP132" s="399"/>
      <c r="AQ132" s="399"/>
      <c r="AR132" s="399"/>
      <c r="AS132" s="400"/>
      <c r="AT132" s="399"/>
      <c r="AU132" s="399"/>
      <c r="AV132" s="399"/>
      <c r="AW132" s="400"/>
      <c r="AX132" s="399"/>
      <c r="AY132" s="399"/>
      <c r="AZ132" s="399"/>
      <c r="BA132" s="400"/>
      <c r="BB132" s="401">
        <v>83</v>
      </c>
      <c r="BC132" s="401">
        <v>97</v>
      </c>
      <c r="BD132" s="401">
        <v>95</v>
      </c>
      <c r="BE132" s="402">
        <v>55</v>
      </c>
      <c r="BF132" s="401">
        <v>57</v>
      </c>
      <c r="BG132" s="401">
        <v>61</v>
      </c>
      <c r="BH132" s="401">
        <v>60</v>
      </c>
      <c r="BI132" s="402">
        <v>25</v>
      </c>
      <c r="BJ132" s="401">
        <v>83</v>
      </c>
      <c r="BK132" s="401">
        <v>77</v>
      </c>
      <c r="BL132" s="401">
        <v>71</v>
      </c>
      <c r="BM132" s="402">
        <v>20</v>
      </c>
      <c r="BN132" s="401">
        <v>86</v>
      </c>
      <c r="BO132" s="401">
        <v>82</v>
      </c>
      <c r="BP132" s="401">
        <v>82</v>
      </c>
      <c r="BQ132" s="402">
        <v>114</v>
      </c>
      <c r="BR132" s="401">
        <v>124</v>
      </c>
      <c r="BS132" s="401">
        <v>126</v>
      </c>
      <c r="BT132" s="401">
        <v>110</v>
      </c>
      <c r="BU132" s="402">
        <v>3</v>
      </c>
      <c r="BV132" s="401">
        <v>57</v>
      </c>
      <c r="BW132" s="401">
        <v>50</v>
      </c>
      <c r="BX132" s="401">
        <v>43</v>
      </c>
      <c r="BY132" s="402">
        <v>44</v>
      </c>
      <c r="BZ132" s="401">
        <v>41</v>
      </c>
      <c r="CA132" s="401">
        <v>38</v>
      </c>
      <c r="CB132" s="401">
        <v>40</v>
      </c>
      <c r="CC132" s="402">
        <v>21</v>
      </c>
      <c r="CD132" s="401">
        <v>16</v>
      </c>
      <c r="CE132" s="401">
        <v>13</v>
      </c>
      <c r="CF132" s="401">
        <v>11</v>
      </c>
      <c r="CG132" s="402">
        <v>18</v>
      </c>
      <c r="CH132" s="401">
        <v>22</v>
      </c>
      <c r="CI132" s="401">
        <v>20</v>
      </c>
      <c r="CJ132" s="401">
        <v>23</v>
      </c>
      <c r="CK132" s="402">
        <v>505</v>
      </c>
      <c r="CL132" s="438">
        <v>458</v>
      </c>
      <c r="CM132" s="401">
        <v>436</v>
      </c>
      <c r="CN132" s="401">
        <v>480</v>
      </c>
      <c r="CO132" s="402">
        <v>418</v>
      </c>
      <c r="CP132" s="438">
        <v>365</v>
      </c>
      <c r="CQ132" s="401">
        <v>511</v>
      </c>
      <c r="CR132" s="401">
        <v>433</v>
      </c>
      <c r="CS132" s="413">
        <v>433</v>
      </c>
      <c r="CT132" s="373">
        <v>433</v>
      </c>
      <c r="CU132" s="325">
        <v>433</v>
      </c>
      <c r="CV132" s="325">
        <v>433</v>
      </c>
      <c r="CW132" s="413">
        <v>433</v>
      </c>
      <c r="CX132" s="409"/>
      <c r="CY132" s="409"/>
      <c r="CZ132" s="409"/>
      <c r="DA132" s="410"/>
      <c r="DB132" s="409"/>
      <c r="DC132" s="409"/>
      <c r="DD132" s="409"/>
      <c r="DE132" s="410"/>
      <c r="DF132" s="409"/>
      <c r="DG132" s="409"/>
      <c r="DH132" s="409"/>
      <c r="DI132" s="410"/>
      <c r="DJ132" s="454"/>
      <c r="DK132" s="411"/>
      <c r="DL132" s="399"/>
      <c r="DM132" s="399"/>
      <c r="DN132" s="399"/>
      <c r="DO132" s="399"/>
      <c r="DP132" s="399"/>
      <c r="DQ132" s="399"/>
      <c r="DR132" s="399"/>
      <c r="DS132" s="401">
        <v>751</v>
      </c>
      <c r="DT132" s="401">
        <v>270</v>
      </c>
      <c r="DU132" s="401">
        <v>112</v>
      </c>
      <c r="DV132" s="325">
        <v>55</v>
      </c>
      <c r="DW132" s="325">
        <v>25</v>
      </c>
      <c r="DX132" s="325">
        <v>20</v>
      </c>
      <c r="DY132" s="325">
        <v>114</v>
      </c>
      <c r="DZ132" s="325">
        <v>3</v>
      </c>
      <c r="EA132" s="325">
        <v>44</v>
      </c>
      <c r="EB132" s="325">
        <v>21</v>
      </c>
      <c r="EC132" s="412">
        <v>18</v>
      </c>
      <c r="ED132" s="412">
        <v>505</v>
      </c>
      <c r="EE132" s="412">
        <v>418</v>
      </c>
      <c r="EF132" s="412">
        <v>433</v>
      </c>
      <c r="EG132" s="412">
        <v>433</v>
      </c>
      <c r="EH132" s="412">
        <v>433</v>
      </c>
      <c r="EI132" s="412">
        <v>433</v>
      </c>
      <c r="EJ132" s="412">
        <v>433</v>
      </c>
      <c r="EK132" s="412">
        <v>433</v>
      </c>
      <c r="EL132" s="412">
        <v>433</v>
      </c>
      <c r="EM132" s="412">
        <v>433</v>
      </c>
      <c r="EN132" s="412">
        <v>433</v>
      </c>
      <c r="EO132" s="412">
        <v>433</v>
      </c>
      <c r="EP132" s="389"/>
      <c r="EQ132" s="386"/>
    </row>
    <row r="133" spans="1:147" s="390" customFormat="1" ht="15" customHeight="1" outlineLevel="1">
      <c r="A133" s="385"/>
      <c r="B133"/>
      <c r="C133"/>
      <c r="D133"/>
      <c r="E133"/>
      <c r="F133"/>
      <c r="G133"/>
      <c r="H133" s="386"/>
      <c r="I133" s="370" t="s">
        <v>1656</v>
      </c>
      <c r="J133" s="399"/>
      <c r="K133" s="399"/>
      <c r="L133" s="399"/>
      <c r="M133" s="400"/>
      <c r="N133" s="399"/>
      <c r="O133" s="399"/>
      <c r="P133" s="399"/>
      <c r="Q133" s="400"/>
      <c r="R133" s="399"/>
      <c r="S133" s="399"/>
      <c r="T133" s="399"/>
      <c r="U133" s="400"/>
      <c r="V133" s="399"/>
      <c r="W133" s="399"/>
      <c r="X133" s="399"/>
      <c r="Y133" s="400"/>
      <c r="Z133" s="399"/>
      <c r="AA133" s="399"/>
      <c r="AB133" s="399"/>
      <c r="AC133" s="400"/>
      <c r="AD133" s="399"/>
      <c r="AE133" s="399"/>
      <c r="AF133" s="399"/>
      <c r="AG133" s="400"/>
      <c r="AH133" s="399"/>
      <c r="AI133" s="399"/>
      <c r="AJ133" s="399"/>
      <c r="AK133" s="400"/>
      <c r="AL133" s="399"/>
      <c r="AM133" s="399"/>
      <c r="AN133" s="399"/>
      <c r="AO133" s="400"/>
      <c r="AP133" s="399"/>
      <c r="AQ133" s="399"/>
      <c r="AR133" s="399"/>
      <c r="AS133" s="400"/>
      <c r="AT133" s="399"/>
      <c r="AU133" s="399"/>
      <c r="AV133" s="399"/>
      <c r="AW133" s="400"/>
      <c r="AX133" s="399"/>
      <c r="AY133" s="399"/>
      <c r="AZ133" s="399"/>
      <c r="BA133" s="400"/>
      <c r="BB133" s="401">
        <v>166</v>
      </c>
      <c r="BC133" s="401">
        <v>164</v>
      </c>
      <c r="BD133" s="401">
        <v>168</v>
      </c>
      <c r="BE133" s="402">
        <v>174</v>
      </c>
      <c r="BF133" s="401">
        <v>165</v>
      </c>
      <c r="BG133" s="401">
        <v>160</v>
      </c>
      <c r="BH133" s="401">
        <v>163</v>
      </c>
      <c r="BI133" s="402">
        <v>206</v>
      </c>
      <c r="BJ133" s="401">
        <v>208</v>
      </c>
      <c r="BK133" s="401">
        <v>206</v>
      </c>
      <c r="BL133" s="401">
        <v>206</v>
      </c>
      <c r="BM133" s="402">
        <v>297</v>
      </c>
      <c r="BN133" s="401">
        <v>305</v>
      </c>
      <c r="BO133" s="401">
        <v>343</v>
      </c>
      <c r="BP133" s="401">
        <v>347</v>
      </c>
      <c r="BQ133" s="402">
        <v>361</v>
      </c>
      <c r="BR133" s="401">
        <v>441</v>
      </c>
      <c r="BS133" s="401">
        <v>466</v>
      </c>
      <c r="BT133" s="401">
        <v>515</v>
      </c>
      <c r="BU133" s="402">
        <v>483</v>
      </c>
      <c r="BV133" s="401">
        <v>798</v>
      </c>
      <c r="BW133" s="401">
        <v>835</v>
      </c>
      <c r="BX133" s="401">
        <v>937</v>
      </c>
      <c r="BY133" s="402">
        <v>746</v>
      </c>
      <c r="BZ133" s="401">
        <v>812</v>
      </c>
      <c r="CA133" s="401">
        <v>903</v>
      </c>
      <c r="CB133" s="401">
        <v>934</v>
      </c>
      <c r="CC133" s="402">
        <v>1181</v>
      </c>
      <c r="CD133" s="401">
        <v>1243</v>
      </c>
      <c r="CE133" s="401">
        <v>1145</v>
      </c>
      <c r="CF133" s="401">
        <v>991</v>
      </c>
      <c r="CG133" s="402">
        <v>1147</v>
      </c>
      <c r="CH133" s="401">
        <v>1363</v>
      </c>
      <c r="CI133" s="401">
        <v>1186</v>
      </c>
      <c r="CJ133" s="401">
        <v>1122</v>
      </c>
      <c r="CK133" s="402">
        <v>945</v>
      </c>
      <c r="CL133" s="438">
        <v>890</v>
      </c>
      <c r="CM133" s="401">
        <v>869</v>
      </c>
      <c r="CN133" s="401">
        <v>924</v>
      </c>
      <c r="CO133" s="402">
        <v>949</v>
      </c>
      <c r="CP133" s="438">
        <v>942</v>
      </c>
      <c r="CQ133" s="401">
        <v>916</v>
      </c>
      <c r="CR133" s="401">
        <v>971</v>
      </c>
      <c r="CS133" s="413">
        <v>971</v>
      </c>
      <c r="CT133" s="373">
        <v>971</v>
      </c>
      <c r="CU133" s="325">
        <v>971</v>
      </c>
      <c r="CV133" s="325">
        <v>971</v>
      </c>
      <c r="CW133" s="413">
        <v>971</v>
      </c>
      <c r="CX133" s="409"/>
      <c r="CY133" s="409"/>
      <c r="CZ133" s="409"/>
      <c r="DA133" s="410"/>
      <c r="DB133" s="409"/>
      <c r="DC133" s="409"/>
      <c r="DD133" s="409"/>
      <c r="DE133" s="410"/>
      <c r="DF133" s="409"/>
      <c r="DG133" s="409"/>
      <c r="DH133" s="409"/>
      <c r="DI133" s="410"/>
      <c r="DJ133" s="454"/>
      <c r="DK133" s="411"/>
      <c r="DL133" s="399"/>
      <c r="DM133" s="399"/>
      <c r="DN133" s="399"/>
      <c r="DO133" s="399"/>
      <c r="DP133" s="399"/>
      <c r="DQ133" s="399"/>
      <c r="DR133" s="399"/>
      <c r="DS133" s="401">
        <v>239</v>
      </c>
      <c r="DT133" s="401">
        <v>209</v>
      </c>
      <c r="DU133" s="401">
        <v>184</v>
      </c>
      <c r="DV133" s="325">
        <v>174</v>
      </c>
      <c r="DW133" s="325">
        <v>206</v>
      </c>
      <c r="DX133" s="325">
        <v>297</v>
      </c>
      <c r="DY133" s="325">
        <v>361</v>
      </c>
      <c r="DZ133" s="325">
        <v>483</v>
      </c>
      <c r="EA133" s="325">
        <v>746</v>
      </c>
      <c r="EB133" s="325">
        <v>1181</v>
      </c>
      <c r="EC133" s="412">
        <v>1147</v>
      </c>
      <c r="ED133" s="412">
        <v>945</v>
      </c>
      <c r="EE133" s="412">
        <v>949</v>
      </c>
      <c r="EF133" s="412">
        <v>971</v>
      </c>
      <c r="EG133" s="412">
        <v>971</v>
      </c>
      <c r="EH133" s="412">
        <v>1073.9420418426889</v>
      </c>
      <c r="EI133" s="412">
        <v>1036.6463122544035</v>
      </c>
      <c r="EJ133" s="412">
        <v>1018.2363180182401</v>
      </c>
      <c r="EK133" s="412">
        <v>1035.1024473735306</v>
      </c>
      <c r="EL133" s="412">
        <v>1039.1684492025531</v>
      </c>
      <c r="EM133" s="412">
        <v>1028.7121542225814</v>
      </c>
      <c r="EN133" s="412">
        <v>1035.5173992231635</v>
      </c>
      <c r="EO133" s="412">
        <v>1057.1301745022872</v>
      </c>
      <c r="EP133" s="389"/>
      <c r="EQ133" s="386"/>
    </row>
    <row r="134" spans="1:147" s="390" customFormat="1" ht="15" customHeight="1" outlineLevel="1">
      <c r="A134" s="385"/>
      <c r="B134"/>
      <c r="C134"/>
      <c r="D134"/>
      <c r="E134"/>
      <c r="F134"/>
      <c r="G134"/>
      <c r="H134" s="386"/>
      <c r="I134" s="517" t="s">
        <v>1657</v>
      </c>
      <c r="J134" s="552"/>
      <c r="K134" s="552"/>
      <c r="L134" s="552"/>
      <c r="M134" s="553"/>
      <c r="N134" s="552"/>
      <c r="O134" s="552"/>
      <c r="P134" s="552"/>
      <c r="Q134" s="553"/>
      <c r="R134" s="552"/>
      <c r="S134" s="552"/>
      <c r="T134" s="552"/>
      <c r="U134" s="553"/>
      <c r="V134" s="552"/>
      <c r="W134" s="552"/>
      <c r="X134" s="552"/>
      <c r="Y134" s="553"/>
      <c r="Z134" s="552"/>
      <c r="AA134" s="552"/>
      <c r="AB134" s="552"/>
      <c r="AC134" s="553"/>
      <c r="AD134" s="552"/>
      <c r="AE134" s="552"/>
      <c r="AF134" s="552"/>
      <c r="AG134" s="553"/>
      <c r="AH134" s="552"/>
      <c r="AI134" s="552"/>
      <c r="AJ134" s="552"/>
      <c r="AK134" s="553"/>
      <c r="AL134" s="552"/>
      <c r="AM134" s="552"/>
      <c r="AN134" s="552"/>
      <c r="AO134" s="553"/>
      <c r="AP134" s="552"/>
      <c r="AQ134" s="552"/>
      <c r="AR134" s="552"/>
      <c r="AS134" s="553"/>
      <c r="AT134" s="552"/>
      <c r="AU134" s="552"/>
      <c r="AV134" s="552"/>
      <c r="AW134" s="553"/>
      <c r="AX134" s="552">
        <v>0</v>
      </c>
      <c r="AY134" s="552">
        <v>0</v>
      </c>
      <c r="AZ134" s="552">
        <v>0</v>
      </c>
      <c r="BA134" s="553">
        <v>0</v>
      </c>
      <c r="BB134" s="554">
        <v>2140</v>
      </c>
      <c r="BC134" s="554">
        <v>1507</v>
      </c>
      <c r="BD134" s="554">
        <v>1542</v>
      </c>
      <c r="BE134" s="555">
        <v>2785</v>
      </c>
      <c r="BF134" s="554">
        <v>1996</v>
      </c>
      <c r="BG134" s="554">
        <v>1705</v>
      </c>
      <c r="BH134" s="554">
        <v>1778</v>
      </c>
      <c r="BI134" s="555">
        <v>2883</v>
      </c>
      <c r="BJ134" s="554">
        <v>2190</v>
      </c>
      <c r="BK134" s="554">
        <v>1476</v>
      </c>
      <c r="BL134" s="554">
        <v>3921</v>
      </c>
      <c r="BM134" s="555">
        <v>7390</v>
      </c>
      <c r="BN134" s="554">
        <v>6604</v>
      </c>
      <c r="BO134" s="554">
        <v>6189</v>
      </c>
      <c r="BP134" s="554">
        <v>6863</v>
      </c>
      <c r="BQ134" s="555">
        <v>7513</v>
      </c>
      <c r="BR134" s="554">
        <v>6539</v>
      </c>
      <c r="BS134" s="554">
        <v>6214</v>
      </c>
      <c r="BT134" s="554">
        <v>6313</v>
      </c>
      <c r="BU134" s="555">
        <v>7176</v>
      </c>
      <c r="BV134" s="554">
        <v>8954</v>
      </c>
      <c r="BW134" s="554">
        <v>8053</v>
      </c>
      <c r="BX134" s="554">
        <v>9562</v>
      </c>
      <c r="BY134" s="555">
        <v>8333</v>
      </c>
      <c r="BZ134" s="554">
        <v>7485</v>
      </c>
      <c r="CA134" s="554">
        <v>7093</v>
      </c>
      <c r="CB134" s="554">
        <v>7751</v>
      </c>
      <c r="CC134" s="555">
        <v>9255</v>
      </c>
      <c r="CD134" s="554">
        <v>8578</v>
      </c>
      <c r="CE134" s="554">
        <v>7612</v>
      </c>
      <c r="CF134" s="554">
        <v>6054</v>
      </c>
      <c r="CG134" s="555">
        <v>6478</v>
      </c>
      <c r="CH134" s="554">
        <v>6352</v>
      </c>
      <c r="CI134" s="554">
        <v>5518</v>
      </c>
      <c r="CJ134" s="554">
        <v>5570</v>
      </c>
      <c r="CK134" s="555">
        <v>7040</v>
      </c>
      <c r="CL134" s="557">
        <v>6583</v>
      </c>
      <c r="CM134" s="554">
        <v>6538</v>
      </c>
      <c r="CN134" s="554">
        <v>7195</v>
      </c>
      <c r="CO134" s="555">
        <v>8072</v>
      </c>
      <c r="CP134" s="557">
        <v>8094</v>
      </c>
      <c r="CQ134" s="554">
        <v>7286</v>
      </c>
      <c r="CR134" s="554">
        <v>7027</v>
      </c>
      <c r="CS134" s="555">
        <v>7514.7506300276873</v>
      </c>
      <c r="CT134" s="557">
        <v>6997.4232563037276</v>
      </c>
      <c r="CU134" s="554">
        <v>6546.4275283080133</v>
      </c>
      <c r="CV134" s="554">
        <v>6974.0258134859378</v>
      </c>
      <c r="CW134" s="555">
        <v>7951.2235209250894</v>
      </c>
      <c r="CX134" s="552"/>
      <c r="CY134" s="552"/>
      <c r="CZ134" s="552"/>
      <c r="DA134" s="553"/>
      <c r="DB134" s="552"/>
      <c r="DC134" s="552"/>
      <c r="DD134" s="552"/>
      <c r="DE134" s="553"/>
      <c r="DF134" s="552"/>
      <c r="DG134" s="552"/>
      <c r="DH134" s="552"/>
      <c r="DI134" s="553"/>
      <c r="DJ134" s="454"/>
      <c r="DK134" s="558"/>
      <c r="DL134" s="552"/>
      <c r="DM134" s="552"/>
      <c r="DN134" s="552"/>
      <c r="DO134" s="552"/>
      <c r="DP134" s="552"/>
      <c r="DQ134" s="552"/>
      <c r="DR134" s="552"/>
      <c r="DS134" s="554">
        <v>3310</v>
      </c>
      <c r="DT134" s="398">
        <v>2986</v>
      </c>
      <c r="DU134" s="398">
        <v>3203</v>
      </c>
      <c r="DV134" s="394">
        <v>2785</v>
      </c>
      <c r="DW134" s="394">
        <v>2883</v>
      </c>
      <c r="DX134" s="394">
        <v>7390</v>
      </c>
      <c r="DY134" s="394">
        <v>7513</v>
      </c>
      <c r="DZ134" s="394">
        <v>7176</v>
      </c>
      <c r="EA134" s="394">
        <v>8333</v>
      </c>
      <c r="EB134" s="394">
        <v>9255</v>
      </c>
      <c r="EC134" s="554">
        <v>6478</v>
      </c>
      <c r="ED134" s="554">
        <v>7040</v>
      </c>
      <c r="EE134" s="554">
        <v>8072</v>
      </c>
      <c r="EF134" s="554">
        <v>7514.7506300276873</v>
      </c>
      <c r="EG134" s="554">
        <v>7951.2235209250894</v>
      </c>
      <c r="EH134" s="554">
        <v>8639.9005277154793</v>
      </c>
      <c r="EI134" s="554">
        <v>8335.0757017695996</v>
      </c>
      <c r="EJ134" s="554">
        <v>8242.0644134289341</v>
      </c>
      <c r="EK134" s="554">
        <v>8450.8075968102221</v>
      </c>
      <c r="EL134" s="554">
        <v>8402.9321836768031</v>
      </c>
      <c r="EM134" s="554">
        <v>8385.3376036539885</v>
      </c>
      <c r="EN134" s="554">
        <v>8425.7404809465788</v>
      </c>
      <c r="EO134" s="554">
        <v>8659.3917839629412</v>
      </c>
      <c r="EP134" s="389"/>
      <c r="EQ134" s="386"/>
    </row>
    <row r="135" spans="1:147" s="390" customFormat="1" ht="15" customHeight="1" outlineLevel="1">
      <c r="A135" s="385"/>
      <c r="B135"/>
      <c r="C135"/>
      <c r="D135"/>
      <c r="E135"/>
      <c r="F135"/>
      <c r="G135"/>
      <c r="H135" s="386"/>
      <c r="I135" s="370"/>
      <c r="J135" s="386"/>
      <c r="K135" s="386"/>
      <c r="L135" s="386"/>
      <c r="M135" s="388"/>
      <c r="N135" s="386"/>
      <c r="O135" s="386"/>
      <c r="P135" s="386"/>
      <c r="Q135" s="388"/>
      <c r="R135" s="386"/>
      <c r="S135" s="386"/>
      <c r="T135" s="386"/>
      <c r="U135" s="388"/>
      <c r="V135" s="386"/>
      <c r="W135" s="386"/>
      <c r="X135" s="386"/>
      <c r="Y135" s="388"/>
      <c r="Z135" s="386"/>
      <c r="AA135" s="386"/>
      <c r="AB135" s="386"/>
      <c r="AC135" s="388"/>
      <c r="AD135" s="386"/>
      <c r="AE135" s="386"/>
      <c r="AF135" s="386"/>
      <c r="AG135" s="388"/>
      <c r="AH135" s="386"/>
      <c r="AI135" s="386"/>
      <c r="AJ135" s="386"/>
      <c r="AK135" s="388"/>
      <c r="AL135" s="386"/>
      <c r="AM135" s="386"/>
      <c r="AN135" s="386"/>
      <c r="AO135" s="388"/>
      <c r="AP135" s="386"/>
      <c r="AQ135" s="386"/>
      <c r="AR135" s="386"/>
      <c r="AS135" s="388"/>
      <c r="AT135" s="386"/>
      <c r="AU135" s="386"/>
      <c r="AV135" s="386"/>
      <c r="AW135" s="388"/>
      <c r="AX135" s="386"/>
      <c r="AY135" s="386"/>
      <c r="AZ135" s="386"/>
      <c r="BA135" s="388"/>
      <c r="BB135" s="325"/>
      <c r="BC135" s="325"/>
      <c r="BD135" s="325"/>
      <c r="BE135" s="372"/>
      <c r="BF135" s="325"/>
      <c r="BG135" s="325"/>
      <c r="BH135" s="325"/>
      <c r="BI135" s="372"/>
      <c r="BJ135" s="325"/>
      <c r="BK135" s="325"/>
      <c r="BL135" s="325"/>
      <c r="BM135" s="372"/>
      <c r="BN135" s="325"/>
      <c r="BO135" s="325"/>
      <c r="BP135" s="325"/>
      <c r="BQ135" s="372"/>
      <c r="BR135" s="325"/>
      <c r="BS135" s="325"/>
      <c r="BT135" s="325"/>
      <c r="BU135" s="372"/>
      <c r="BV135" s="325"/>
      <c r="BW135" s="325"/>
      <c r="BX135" s="325"/>
      <c r="BY135" s="372"/>
      <c r="BZ135" s="325"/>
      <c r="CA135" s="325"/>
      <c r="CB135" s="325"/>
      <c r="CC135" s="372"/>
      <c r="CD135" s="325"/>
      <c r="CE135" s="325"/>
      <c r="CF135" s="325"/>
      <c r="CG135" s="372"/>
      <c r="CH135" s="325"/>
      <c r="CI135" s="325"/>
      <c r="CJ135" s="325"/>
      <c r="CK135" s="372"/>
      <c r="CL135" s="373"/>
      <c r="CM135" s="325"/>
      <c r="CN135" s="325"/>
      <c r="CO135" s="372"/>
      <c r="CP135" s="373"/>
      <c r="CQ135" s="325"/>
      <c r="CR135" s="325"/>
      <c r="CS135" s="372"/>
      <c r="CT135" s="373"/>
      <c r="CU135" s="325"/>
      <c r="CV135" s="325"/>
      <c r="CW135" s="372"/>
      <c r="CX135" s="386"/>
      <c r="CY135" s="386"/>
      <c r="CZ135" s="386"/>
      <c r="DA135" s="388"/>
      <c r="DB135" s="386"/>
      <c r="DC135" s="386"/>
      <c r="DD135" s="386"/>
      <c r="DE135" s="388"/>
      <c r="DF135" s="386"/>
      <c r="DG135" s="386"/>
      <c r="DH135" s="386"/>
      <c r="DI135" s="388"/>
      <c r="DJ135" s="454"/>
      <c r="DK135" s="389"/>
      <c r="DL135" s="386"/>
      <c r="DM135" s="386"/>
      <c r="DN135" s="386"/>
      <c r="DO135" s="386"/>
      <c r="DP135" s="386"/>
      <c r="DQ135" s="386"/>
      <c r="DR135" s="386"/>
      <c r="DS135" s="325"/>
      <c r="DT135" s="401"/>
      <c r="DU135" s="401"/>
      <c r="DV135" s="325"/>
      <c r="DW135" s="325"/>
      <c r="DX135" s="325"/>
      <c r="DY135" s="325"/>
      <c r="DZ135" s="325"/>
      <c r="EA135" s="325"/>
      <c r="EB135" s="386"/>
      <c r="EC135" s="325"/>
      <c r="ED135" s="325"/>
      <c r="EE135" s="325"/>
      <c r="EF135" s="325"/>
      <c r="EG135" s="325"/>
      <c r="EH135" s="325"/>
      <c r="EI135" s="325"/>
      <c r="EJ135" s="325"/>
      <c r="EK135" s="325"/>
      <c r="EL135" s="325"/>
      <c r="EM135" s="325"/>
      <c r="EN135" s="325"/>
      <c r="EO135" s="325"/>
      <c r="EP135" s="389"/>
      <c r="EQ135" s="386"/>
    </row>
    <row r="136" spans="1:147" s="390" customFormat="1" ht="15" customHeight="1" outlineLevel="1">
      <c r="A136" s="385"/>
      <c r="B136"/>
      <c r="C136"/>
      <c r="D136"/>
      <c r="E136"/>
      <c r="F136"/>
      <c r="G136"/>
      <c r="H136" s="386"/>
      <c r="I136" s="547" t="s">
        <v>1658</v>
      </c>
      <c r="J136" s="548"/>
      <c r="K136" s="548"/>
      <c r="L136" s="548"/>
      <c r="M136" s="549"/>
      <c r="N136" s="548"/>
      <c r="O136" s="548"/>
      <c r="P136" s="548"/>
      <c r="Q136" s="549"/>
      <c r="R136" s="548"/>
      <c r="S136" s="548"/>
      <c r="T136" s="548"/>
      <c r="U136" s="549"/>
      <c r="V136" s="548"/>
      <c r="W136" s="548"/>
      <c r="X136" s="548"/>
      <c r="Y136" s="549"/>
      <c r="Z136" s="548"/>
      <c r="AA136" s="548"/>
      <c r="AB136" s="548"/>
      <c r="AC136" s="549"/>
      <c r="AD136" s="548"/>
      <c r="AE136" s="548"/>
      <c r="AF136" s="548"/>
      <c r="AG136" s="549"/>
      <c r="AH136" s="548"/>
      <c r="AI136" s="548"/>
      <c r="AJ136" s="548"/>
      <c r="AK136" s="549"/>
      <c r="AL136" s="548"/>
      <c r="AM136" s="548"/>
      <c r="AN136" s="548"/>
      <c r="AO136" s="549"/>
      <c r="AP136" s="548"/>
      <c r="AQ136" s="548"/>
      <c r="AR136" s="548"/>
      <c r="AS136" s="549"/>
      <c r="AT136" s="548"/>
      <c r="AU136" s="548"/>
      <c r="AV136" s="548"/>
      <c r="AW136" s="549"/>
      <c r="AX136" s="548"/>
      <c r="AY136" s="548"/>
      <c r="AZ136" s="548"/>
      <c r="BA136" s="549"/>
      <c r="BB136" s="563"/>
      <c r="BC136" s="563"/>
      <c r="BD136" s="563"/>
      <c r="BE136" s="564"/>
      <c r="BF136" s="563"/>
      <c r="BG136" s="563"/>
      <c r="BH136" s="563"/>
      <c r="BI136" s="564"/>
      <c r="BJ136" s="563"/>
      <c r="BK136" s="563"/>
      <c r="BL136" s="563"/>
      <c r="BM136" s="564"/>
      <c r="BN136" s="563"/>
      <c r="BO136" s="563"/>
      <c r="BP136" s="563"/>
      <c r="BQ136" s="564"/>
      <c r="BR136" s="563"/>
      <c r="BS136" s="563"/>
      <c r="BT136" s="563"/>
      <c r="BU136" s="564"/>
      <c r="BV136" s="563"/>
      <c r="BW136" s="563"/>
      <c r="BX136" s="563"/>
      <c r="BY136" s="564"/>
      <c r="BZ136" s="563"/>
      <c r="CA136" s="563"/>
      <c r="CB136" s="563"/>
      <c r="CC136" s="564"/>
      <c r="CD136" s="563"/>
      <c r="CE136" s="563"/>
      <c r="CF136" s="563"/>
      <c r="CG136" s="564"/>
      <c r="CH136" s="563"/>
      <c r="CI136" s="563"/>
      <c r="CJ136" s="563"/>
      <c r="CK136" s="564"/>
      <c r="CL136" s="566"/>
      <c r="CM136" s="563"/>
      <c r="CN136" s="563"/>
      <c r="CO136" s="564"/>
      <c r="CP136" s="566"/>
      <c r="CQ136" s="563"/>
      <c r="CR136" s="563"/>
      <c r="CS136" s="564"/>
      <c r="CT136" s="566"/>
      <c r="CU136" s="563"/>
      <c r="CV136" s="563"/>
      <c r="CW136" s="564"/>
      <c r="CX136" s="548"/>
      <c r="CY136" s="548"/>
      <c r="CZ136" s="548"/>
      <c r="DA136" s="549"/>
      <c r="DB136" s="548"/>
      <c r="DC136" s="548"/>
      <c r="DD136" s="548"/>
      <c r="DE136" s="549"/>
      <c r="DF136" s="548"/>
      <c r="DG136" s="548"/>
      <c r="DH136" s="548"/>
      <c r="DI136" s="549"/>
      <c r="DJ136" s="454"/>
      <c r="DK136" s="550"/>
      <c r="DL136" s="548"/>
      <c r="DM136" s="548"/>
      <c r="DN136" s="548"/>
      <c r="DO136" s="548"/>
      <c r="DP136" s="548"/>
      <c r="DQ136" s="548"/>
      <c r="DR136" s="548"/>
      <c r="DS136" s="563"/>
      <c r="DT136" s="565"/>
      <c r="DU136" s="565"/>
      <c r="DV136" s="563"/>
      <c r="DW136" s="563"/>
      <c r="DX136" s="563"/>
      <c r="DY136" s="563"/>
      <c r="DZ136" s="563"/>
      <c r="EA136" s="563"/>
      <c r="EB136" s="548"/>
      <c r="EC136" s="563"/>
      <c r="ED136" s="563"/>
      <c r="EE136" s="563"/>
      <c r="EF136" s="563"/>
      <c r="EG136" s="563"/>
      <c r="EH136" s="563"/>
      <c r="EI136" s="563"/>
      <c r="EJ136" s="563"/>
      <c r="EK136" s="563"/>
      <c r="EL136" s="563"/>
      <c r="EM136" s="563"/>
      <c r="EN136" s="563"/>
      <c r="EO136" s="563"/>
      <c r="EP136" s="389"/>
      <c r="EQ136" s="386"/>
    </row>
    <row r="137" spans="1:147" s="390" customFormat="1" ht="15" customHeight="1" outlineLevel="1">
      <c r="A137" s="385"/>
      <c r="B137"/>
      <c r="C137"/>
      <c r="D137"/>
      <c r="E137"/>
      <c r="F137"/>
      <c r="G137"/>
      <c r="H137" s="386"/>
      <c r="I137" s="370" t="s">
        <v>1659</v>
      </c>
      <c r="J137" s="399"/>
      <c r="K137" s="399"/>
      <c r="L137" s="399"/>
      <c r="M137" s="400"/>
      <c r="N137" s="399"/>
      <c r="O137" s="399"/>
      <c r="P137" s="399"/>
      <c r="Q137" s="400"/>
      <c r="R137" s="399"/>
      <c r="S137" s="399"/>
      <c r="T137" s="399"/>
      <c r="U137" s="400"/>
      <c r="V137" s="399"/>
      <c r="W137" s="399"/>
      <c r="X137" s="399"/>
      <c r="Y137" s="400"/>
      <c r="Z137" s="399"/>
      <c r="AA137" s="399"/>
      <c r="AB137" s="399"/>
      <c r="AC137" s="400"/>
      <c r="AD137" s="399"/>
      <c r="AE137" s="399"/>
      <c r="AF137" s="399"/>
      <c r="AG137" s="400"/>
      <c r="AH137" s="399"/>
      <c r="AI137" s="399"/>
      <c r="AJ137" s="399"/>
      <c r="AK137" s="400"/>
      <c r="AL137" s="399"/>
      <c r="AM137" s="399"/>
      <c r="AN137" s="399"/>
      <c r="AO137" s="400"/>
      <c r="AP137" s="399"/>
      <c r="AQ137" s="399"/>
      <c r="AR137" s="399"/>
      <c r="AS137" s="400"/>
      <c r="AT137" s="399"/>
      <c r="AU137" s="399"/>
      <c r="AV137" s="399"/>
      <c r="AW137" s="400"/>
      <c r="AX137" s="399"/>
      <c r="AY137" s="399"/>
      <c r="AZ137" s="399"/>
      <c r="BA137" s="400"/>
      <c r="BB137" s="401">
        <v>0</v>
      </c>
      <c r="BC137" s="401">
        <v>0</v>
      </c>
      <c r="BD137" s="401">
        <v>0</v>
      </c>
      <c r="BE137" s="402">
        <v>0</v>
      </c>
      <c r="BF137" s="401">
        <v>0</v>
      </c>
      <c r="BG137" s="401">
        <v>0</v>
      </c>
      <c r="BH137" s="401">
        <v>0</v>
      </c>
      <c r="BI137" s="402">
        <v>0</v>
      </c>
      <c r="BJ137" s="401">
        <v>0</v>
      </c>
      <c r="BK137" s="401">
        <v>0</v>
      </c>
      <c r="BL137" s="401">
        <v>0</v>
      </c>
      <c r="BM137" s="402">
        <v>0</v>
      </c>
      <c r="BN137" s="401">
        <v>0</v>
      </c>
      <c r="BO137" s="401">
        <v>0</v>
      </c>
      <c r="BP137" s="401">
        <v>0</v>
      </c>
      <c r="BQ137" s="402">
        <v>0</v>
      </c>
      <c r="BR137" s="401">
        <v>0</v>
      </c>
      <c r="BS137" s="401">
        <v>0</v>
      </c>
      <c r="BT137" s="401">
        <v>0</v>
      </c>
      <c r="BU137" s="402">
        <v>0</v>
      </c>
      <c r="BV137" s="401">
        <v>0</v>
      </c>
      <c r="BW137" s="401">
        <v>0</v>
      </c>
      <c r="BX137" s="412">
        <v>0</v>
      </c>
      <c r="BY137" s="413">
        <v>0</v>
      </c>
      <c r="BZ137" s="401">
        <v>0</v>
      </c>
      <c r="CA137" s="401">
        <v>0</v>
      </c>
      <c r="CB137" s="401">
        <v>0</v>
      </c>
      <c r="CC137" s="413">
        <v>0</v>
      </c>
      <c r="CD137" s="401">
        <v>0</v>
      </c>
      <c r="CE137" s="401">
        <v>0</v>
      </c>
      <c r="CF137" s="401">
        <v>0</v>
      </c>
      <c r="CG137" s="413">
        <v>0</v>
      </c>
      <c r="CH137" s="401">
        <v>0</v>
      </c>
      <c r="CI137" s="401">
        <v>0</v>
      </c>
      <c r="CJ137" s="412">
        <v>0</v>
      </c>
      <c r="CK137" s="413">
        <v>0</v>
      </c>
      <c r="CL137" s="567">
        <v>0</v>
      </c>
      <c r="CM137" s="401">
        <v>0</v>
      </c>
      <c r="CN137" s="412">
        <v>0</v>
      </c>
      <c r="CO137" s="413">
        <v>0</v>
      </c>
      <c r="CP137" s="567">
        <v>0</v>
      </c>
      <c r="CQ137" s="412">
        <v>0</v>
      </c>
      <c r="CR137" s="412">
        <v>0</v>
      </c>
      <c r="CS137" s="413">
        <v>0</v>
      </c>
      <c r="CT137" s="373">
        <v>0</v>
      </c>
      <c r="CU137" s="325">
        <v>0</v>
      </c>
      <c r="CV137" s="325">
        <v>0</v>
      </c>
      <c r="CW137" s="413">
        <v>0</v>
      </c>
      <c r="CX137" s="409"/>
      <c r="CY137" s="409"/>
      <c r="CZ137" s="409"/>
      <c r="DA137" s="410"/>
      <c r="DB137" s="409"/>
      <c r="DC137" s="409"/>
      <c r="DD137" s="409"/>
      <c r="DE137" s="410"/>
      <c r="DF137" s="409"/>
      <c r="DG137" s="409"/>
      <c r="DH137" s="409"/>
      <c r="DI137" s="410"/>
      <c r="DJ137" s="454"/>
      <c r="DK137" s="411"/>
      <c r="DL137" s="399"/>
      <c r="DM137" s="399"/>
      <c r="DN137" s="399"/>
      <c r="DO137" s="399"/>
      <c r="DP137" s="399"/>
      <c r="DQ137" s="399"/>
      <c r="DR137" s="399"/>
      <c r="DS137" s="401">
        <v>0</v>
      </c>
      <c r="DT137" s="401">
        <v>0</v>
      </c>
      <c r="DU137" s="401">
        <v>0</v>
      </c>
      <c r="DV137" s="325">
        <v>0</v>
      </c>
      <c r="DW137" s="325">
        <v>0</v>
      </c>
      <c r="DX137" s="325">
        <v>0</v>
      </c>
      <c r="DY137" s="325">
        <v>0</v>
      </c>
      <c r="DZ137" s="325">
        <v>0</v>
      </c>
      <c r="EA137" s="325">
        <v>0</v>
      </c>
      <c r="EB137" s="325">
        <v>0</v>
      </c>
      <c r="EC137" s="412">
        <v>0</v>
      </c>
      <c r="ED137" s="412">
        <v>0</v>
      </c>
      <c r="EE137" s="412">
        <v>0</v>
      </c>
      <c r="EF137" s="412">
        <v>0</v>
      </c>
      <c r="EG137" s="412">
        <v>0</v>
      </c>
      <c r="EH137" s="412">
        <v>0</v>
      </c>
      <c r="EI137" s="412">
        <v>0</v>
      </c>
      <c r="EJ137" s="412">
        <v>0</v>
      </c>
      <c r="EK137" s="412">
        <v>0</v>
      </c>
      <c r="EL137" s="412">
        <v>0</v>
      </c>
      <c r="EM137" s="412">
        <v>0</v>
      </c>
      <c r="EN137" s="412">
        <v>0</v>
      </c>
      <c r="EO137" s="412">
        <v>0</v>
      </c>
      <c r="EP137" s="389"/>
      <c r="EQ137" s="386"/>
    </row>
    <row r="138" spans="1:147" s="390" customFormat="1" ht="15" customHeight="1" outlineLevel="1">
      <c r="A138" s="385"/>
      <c r="B138"/>
      <c r="C138"/>
      <c r="D138"/>
      <c r="E138"/>
      <c r="F138"/>
      <c r="G138"/>
      <c r="H138" s="386"/>
      <c r="I138" s="370" t="s">
        <v>1660</v>
      </c>
      <c r="J138" s="399"/>
      <c r="K138" s="399"/>
      <c r="L138" s="399"/>
      <c r="M138" s="400"/>
      <c r="N138" s="399"/>
      <c r="O138" s="399"/>
      <c r="P138" s="399"/>
      <c r="Q138" s="400"/>
      <c r="R138" s="399"/>
      <c r="S138" s="399"/>
      <c r="T138" s="399"/>
      <c r="U138" s="400"/>
      <c r="V138" s="399"/>
      <c r="W138" s="399"/>
      <c r="X138" s="399"/>
      <c r="Y138" s="400"/>
      <c r="Z138" s="399"/>
      <c r="AA138" s="399"/>
      <c r="AB138" s="399"/>
      <c r="AC138" s="400"/>
      <c r="AD138" s="399"/>
      <c r="AE138" s="399"/>
      <c r="AF138" s="399"/>
      <c r="AG138" s="400"/>
      <c r="AH138" s="399"/>
      <c r="AI138" s="399"/>
      <c r="AJ138" s="399"/>
      <c r="AK138" s="400"/>
      <c r="AL138" s="399"/>
      <c r="AM138" s="399"/>
      <c r="AN138" s="399"/>
      <c r="AO138" s="400"/>
      <c r="AP138" s="399"/>
      <c r="AQ138" s="399"/>
      <c r="AR138" s="399"/>
      <c r="AS138" s="400"/>
      <c r="AT138" s="399"/>
      <c r="AU138" s="399"/>
      <c r="AV138" s="399"/>
      <c r="AW138" s="400"/>
      <c r="AX138" s="399"/>
      <c r="AY138" s="399"/>
      <c r="AZ138" s="399"/>
      <c r="BA138" s="400"/>
      <c r="BB138" s="401">
        <v>0</v>
      </c>
      <c r="BC138" s="401">
        <v>0</v>
      </c>
      <c r="BD138" s="401">
        <v>0</v>
      </c>
      <c r="BE138" s="402">
        <v>0</v>
      </c>
      <c r="BF138" s="401">
        <v>0</v>
      </c>
      <c r="BG138" s="401">
        <v>0</v>
      </c>
      <c r="BH138" s="401">
        <v>0</v>
      </c>
      <c r="BI138" s="402">
        <v>0</v>
      </c>
      <c r="BJ138" s="401">
        <v>0</v>
      </c>
      <c r="BK138" s="401">
        <v>0</v>
      </c>
      <c r="BL138" s="401">
        <v>0</v>
      </c>
      <c r="BM138" s="402">
        <v>0</v>
      </c>
      <c r="BN138" s="401">
        <v>0</v>
      </c>
      <c r="BO138" s="401">
        <v>0</v>
      </c>
      <c r="BP138" s="401">
        <v>0</v>
      </c>
      <c r="BQ138" s="402">
        <v>0</v>
      </c>
      <c r="BR138" s="401"/>
      <c r="BS138" s="401"/>
      <c r="BT138" s="401"/>
      <c r="BU138" s="402"/>
      <c r="BV138" s="401">
        <v>0</v>
      </c>
      <c r="BW138" s="401">
        <v>0</v>
      </c>
      <c r="BX138" s="412">
        <v>0</v>
      </c>
      <c r="BY138" s="413">
        <v>0</v>
      </c>
      <c r="BZ138" s="401">
        <v>0</v>
      </c>
      <c r="CA138" s="401">
        <v>0</v>
      </c>
      <c r="CB138" s="401">
        <v>0</v>
      </c>
      <c r="CC138" s="413">
        <v>0</v>
      </c>
      <c r="CD138" s="401">
        <v>0</v>
      </c>
      <c r="CE138" s="401">
        <v>0</v>
      </c>
      <c r="CF138" s="401">
        <v>0</v>
      </c>
      <c r="CG138" s="413">
        <v>0</v>
      </c>
      <c r="CH138" s="401">
        <v>0</v>
      </c>
      <c r="CI138" s="401">
        <v>0</v>
      </c>
      <c r="CJ138" s="412">
        <v>0</v>
      </c>
      <c r="CK138" s="413">
        <v>0</v>
      </c>
      <c r="CL138" s="567">
        <v>0</v>
      </c>
      <c r="CM138" s="401">
        <v>0</v>
      </c>
      <c r="CN138" s="412">
        <v>0</v>
      </c>
      <c r="CO138" s="413">
        <v>0</v>
      </c>
      <c r="CP138" s="567">
        <v>0</v>
      </c>
      <c r="CQ138" s="412">
        <v>0</v>
      </c>
      <c r="CR138" s="412">
        <v>0</v>
      </c>
      <c r="CS138" s="413">
        <v>0</v>
      </c>
      <c r="CT138" s="373">
        <v>0</v>
      </c>
      <c r="CU138" s="325">
        <v>0</v>
      </c>
      <c r="CV138" s="325">
        <v>0</v>
      </c>
      <c r="CW138" s="413">
        <v>0</v>
      </c>
      <c r="CX138" s="409"/>
      <c r="CY138" s="409"/>
      <c r="CZ138" s="409"/>
      <c r="DA138" s="410"/>
      <c r="DB138" s="409"/>
      <c r="DC138" s="409"/>
      <c r="DD138" s="409"/>
      <c r="DE138" s="410"/>
      <c r="DF138" s="409"/>
      <c r="DG138" s="409"/>
      <c r="DH138" s="409"/>
      <c r="DI138" s="410"/>
      <c r="DJ138" s="454"/>
      <c r="DK138" s="411"/>
      <c r="DL138" s="399"/>
      <c r="DM138" s="399"/>
      <c r="DN138" s="399"/>
      <c r="DO138" s="399"/>
      <c r="DP138" s="399"/>
      <c r="DQ138" s="399"/>
      <c r="DR138" s="399"/>
      <c r="DS138" s="401">
        <v>0</v>
      </c>
      <c r="DT138" s="401">
        <v>0</v>
      </c>
      <c r="DU138" s="401">
        <v>0</v>
      </c>
      <c r="DV138" s="325">
        <v>0</v>
      </c>
      <c r="DW138" s="325">
        <v>0</v>
      </c>
      <c r="DX138" s="325">
        <v>0</v>
      </c>
      <c r="DY138" s="325">
        <v>0</v>
      </c>
      <c r="DZ138" s="325">
        <v>0</v>
      </c>
      <c r="EA138" s="325">
        <v>0</v>
      </c>
      <c r="EB138" s="325">
        <v>0</v>
      </c>
      <c r="EC138" s="412">
        <v>0</v>
      </c>
      <c r="ED138" s="412">
        <v>0</v>
      </c>
      <c r="EE138" s="412">
        <v>0</v>
      </c>
      <c r="EF138" s="412">
        <v>0</v>
      </c>
      <c r="EG138" s="412">
        <v>0</v>
      </c>
      <c r="EH138" s="412">
        <v>0</v>
      </c>
      <c r="EI138" s="412">
        <v>0</v>
      </c>
      <c r="EJ138" s="412">
        <v>0</v>
      </c>
      <c r="EK138" s="412">
        <v>0</v>
      </c>
      <c r="EL138" s="412">
        <v>0</v>
      </c>
      <c r="EM138" s="412">
        <v>0</v>
      </c>
      <c r="EN138" s="412">
        <v>0</v>
      </c>
      <c r="EO138" s="412">
        <v>0</v>
      </c>
      <c r="EP138" s="389"/>
      <c r="EQ138" s="386"/>
    </row>
    <row r="139" spans="1:147" s="390" customFormat="1" ht="15" customHeight="1" outlineLevel="1">
      <c r="A139" s="385"/>
      <c r="B139"/>
      <c r="C139"/>
      <c r="D139"/>
      <c r="E139"/>
      <c r="F139"/>
      <c r="G139"/>
      <c r="H139" s="386"/>
      <c r="I139" s="370" t="s">
        <v>1661</v>
      </c>
      <c r="J139" s="399"/>
      <c r="K139" s="399"/>
      <c r="L139" s="399"/>
      <c r="M139" s="400"/>
      <c r="N139" s="399"/>
      <c r="O139" s="399"/>
      <c r="P139" s="399"/>
      <c r="Q139" s="400"/>
      <c r="R139" s="399"/>
      <c r="S139" s="399"/>
      <c r="T139" s="399"/>
      <c r="U139" s="400"/>
      <c r="V139" s="399"/>
      <c r="W139" s="399"/>
      <c r="X139" s="399"/>
      <c r="Y139" s="400"/>
      <c r="Z139" s="399"/>
      <c r="AA139" s="399"/>
      <c r="AB139" s="399"/>
      <c r="AC139" s="400"/>
      <c r="AD139" s="399"/>
      <c r="AE139" s="399"/>
      <c r="AF139" s="399"/>
      <c r="AG139" s="400"/>
      <c r="AH139" s="399"/>
      <c r="AI139" s="399"/>
      <c r="AJ139" s="399"/>
      <c r="AK139" s="400"/>
      <c r="AL139" s="399"/>
      <c r="AM139" s="399"/>
      <c r="AN139" s="399"/>
      <c r="AO139" s="400"/>
      <c r="AP139" s="399"/>
      <c r="AQ139" s="399"/>
      <c r="AR139" s="399"/>
      <c r="AS139" s="400"/>
      <c r="AT139" s="399"/>
      <c r="AU139" s="399"/>
      <c r="AV139" s="399"/>
      <c r="AW139" s="400"/>
      <c r="AX139" s="399"/>
      <c r="AY139" s="399"/>
      <c r="AZ139" s="399"/>
      <c r="BA139" s="400"/>
      <c r="BB139" s="401">
        <v>12382</v>
      </c>
      <c r="BC139" s="401">
        <v>9735</v>
      </c>
      <c r="BD139" s="401">
        <v>9751</v>
      </c>
      <c r="BE139" s="402">
        <v>9616</v>
      </c>
      <c r="BF139" s="401">
        <v>9391</v>
      </c>
      <c r="BG139" s="401">
        <v>9375</v>
      </c>
      <c r="BH139" s="401">
        <v>9418</v>
      </c>
      <c r="BI139" s="402">
        <v>9450</v>
      </c>
      <c r="BJ139" s="401">
        <v>9498</v>
      </c>
      <c r="BK139" s="401">
        <v>9541</v>
      </c>
      <c r="BL139" s="401">
        <v>9608</v>
      </c>
      <c r="BM139" s="402">
        <v>9682</v>
      </c>
      <c r="BN139" s="401">
        <v>9812</v>
      </c>
      <c r="BO139" s="401">
        <v>9853</v>
      </c>
      <c r="BP139" s="401">
        <v>9900</v>
      </c>
      <c r="BQ139" s="402">
        <v>9924</v>
      </c>
      <c r="BR139" s="401">
        <v>9968</v>
      </c>
      <c r="BS139" s="401">
        <v>10163</v>
      </c>
      <c r="BT139" s="401">
        <v>10209</v>
      </c>
      <c r="BU139" s="402">
        <v>10242</v>
      </c>
      <c r="BV139" s="438">
        <v>10343</v>
      </c>
      <c r="BW139" s="401">
        <v>10425</v>
      </c>
      <c r="BX139" s="401">
        <v>10427</v>
      </c>
      <c r="BY139" s="402">
        <v>10442</v>
      </c>
      <c r="BZ139" s="401">
        <v>10555</v>
      </c>
      <c r="CA139" s="401">
        <v>10606</v>
      </c>
      <c r="CB139" s="401">
        <v>10671</v>
      </c>
      <c r="CC139" s="402">
        <v>10747</v>
      </c>
      <c r="CD139" s="401">
        <v>10786</v>
      </c>
      <c r="CE139" s="401">
        <v>10867</v>
      </c>
      <c r="CF139" s="401">
        <v>10928</v>
      </c>
      <c r="CG139" s="402">
        <v>10963</v>
      </c>
      <c r="CH139" s="401">
        <v>11004</v>
      </c>
      <c r="CI139" s="401">
        <v>11063</v>
      </c>
      <c r="CJ139" s="401">
        <v>11116</v>
      </c>
      <c r="CK139" s="402">
        <v>11174</v>
      </c>
      <c r="CL139" s="438">
        <v>11213</v>
      </c>
      <c r="CM139" s="401">
        <v>11300</v>
      </c>
      <c r="CN139" s="401">
        <v>11395</v>
      </c>
      <c r="CO139" s="402">
        <v>11531</v>
      </c>
      <c r="CP139" s="438">
        <v>11549</v>
      </c>
      <c r="CQ139" s="401">
        <v>11621</v>
      </c>
      <c r="CR139" s="401">
        <v>11640</v>
      </c>
      <c r="CS139" s="413">
        <v>11724</v>
      </c>
      <c r="CT139" s="373">
        <v>11882.55</v>
      </c>
      <c r="CU139" s="325">
        <v>11927.699999999999</v>
      </c>
      <c r="CV139" s="325">
        <v>11994.9</v>
      </c>
      <c r="CW139" s="413">
        <v>12083.1</v>
      </c>
      <c r="CX139" s="409"/>
      <c r="CY139" s="409"/>
      <c r="CZ139" s="409"/>
      <c r="DA139" s="410"/>
      <c r="DB139" s="409"/>
      <c r="DC139" s="409"/>
      <c r="DD139" s="409"/>
      <c r="DE139" s="410"/>
      <c r="DF139" s="409"/>
      <c r="DG139" s="409"/>
      <c r="DH139" s="409"/>
      <c r="DI139" s="410"/>
      <c r="DJ139" s="454"/>
      <c r="DK139" s="411"/>
      <c r="DL139" s="399"/>
      <c r="DM139" s="399"/>
      <c r="DN139" s="399"/>
      <c r="DO139" s="399"/>
      <c r="DP139" s="399"/>
      <c r="DQ139" s="399"/>
      <c r="DR139" s="399"/>
      <c r="DS139" s="401">
        <v>12170</v>
      </c>
      <c r="DT139" s="401">
        <v>12376</v>
      </c>
      <c r="DU139" s="401">
        <v>12353</v>
      </c>
      <c r="DV139" s="325">
        <v>9616</v>
      </c>
      <c r="DW139" s="325">
        <v>9450</v>
      </c>
      <c r="DX139" s="325">
        <v>9682</v>
      </c>
      <c r="DY139" s="325">
        <v>9924</v>
      </c>
      <c r="DZ139" s="325">
        <v>10242</v>
      </c>
      <c r="EA139" s="325">
        <v>10442</v>
      </c>
      <c r="EB139" s="325">
        <v>10747</v>
      </c>
      <c r="EC139" s="412">
        <v>10963</v>
      </c>
      <c r="ED139" s="412">
        <v>11174</v>
      </c>
      <c r="EE139" s="412">
        <v>11531</v>
      </c>
      <c r="EF139" s="412">
        <v>11724</v>
      </c>
      <c r="EG139" s="412">
        <v>12083.1</v>
      </c>
      <c r="EH139" s="412">
        <v>12456.564</v>
      </c>
      <c r="EI139" s="412">
        <v>12844.966560000001</v>
      </c>
      <c r="EJ139" s="412">
        <v>13248.905222400001</v>
      </c>
      <c r="EK139" s="412">
        <v>13669.001431296001</v>
      </c>
      <c r="EL139" s="412">
        <v>14105.901488547841</v>
      </c>
      <c r="EM139" s="412">
        <v>14560.277548089754</v>
      </c>
      <c r="EN139" s="412">
        <v>15032.828650013345</v>
      </c>
      <c r="EO139" s="412">
        <v>15524.28179601388</v>
      </c>
      <c r="EP139" s="389"/>
      <c r="EQ139" s="386"/>
    </row>
    <row r="140" spans="1:147" s="390" customFormat="1" ht="15" customHeight="1" outlineLevel="1">
      <c r="A140" s="385"/>
      <c r="B140"/>
      <c r="C140"/>
      <c r="D140"/>
      <c r="E140"/>
      <c r="F140"/>
      <c r="G140"/>
      <c r="H140" s="386"/>
      <c r="I140" s="370" t="s">
        <v>1662</v>
      </c>
      <c r="J140" s="399"/>
      <c r="K140" s="399"/>
      <c r="L140" s="399"/>
      <c r="M140" s="400"/>
      <c r="N140" s="399"/>
      <c r="O140" s="399"/>
      <c r="P140" s="399"/>
      <c r="Q140" s="400"/>
      <c r="R140" s="399"/>
      <c r="S140" s="399"/>
      <c r="T140" s="399"/>
      <c r="U140" s="400"/>
      <c r="V140" s="399"/>
      <c r="W140" s="399"/>
      <c r="X140" s="399"/>
      <c r="Y140" s="400"/>
      <c r="Z140" s="399"/>
      <c r="AA140" s="399"/>
      <c r="AB140" s="399"/>
      <c r="AC140" s="400"/>
      <c r="AD140" s="399"/>
      <c r="AE140" s="399"/>
      <c r="AF140" s="399"/>
      <c r="AG140" s="400"/>
      <c r="AH140" s="399"/>
      <c r="AI140" s="399"/>
      <c r="AJ140" s="399"/>
      <c r="AK140" s="400"/>
      <c r="AL140" s="399"/>
      <c r="AM140" s="399"/>
      <c r="AN140" s="399"/>
      <c r="AO140" s="400"/>
      <c r="AP140" s="399"/>
      <c r="AQ140" s="399"/>
      <c r="AR140" s="399"/>
      <c r="AS140" s="400"/>
      <c r="AT140" s="399"/>
      <c r="AU140" s="399"/>
      <c r="AV140" s="399"/>
      <c r="AW140" s="400"/>
      <c r="AX140" s="399"/>
      <c r="AY140" s="399"/>
      <c r="AZ140" s="399"/>
      <c r="BA140" s="400"/>
      <c r="BB140" s="401">
        <v>-2537</v>
      </c>
      <c r="BC140" s="401">
        <v>0</v>
      </c>
      <c r="BD140" s="401">
        <v>0</v>
      </c>
      <c r="BE140" s="402">
        <v>0</v>
      </c>
      <c r="BF140" s="401">
        <v>0</v>
      </c>
      <c r="BG140" s="401">
        <v>0</v>
      </c>
      <c r="BH140" s="401">
        <v>0</v>
      </c>
      <c r="BI140" s="402">
        <v>0</v>
      </c>
      <c r="BJ140" s="401">
        <v>0</v>
      </c>
      <c r="BK140" s="401">
        <v>0</v>
      </c>
      <c r="BL140" s="401">
        <v>0</v>
      </c>
      <c r="BM140" s="402">
        <v>-5814</v>
      </c>
      <c r="BN140" s="401">
        <v>-5783</v>
      </c>
      <c r="BO140" s="401">
        <v>-5762</v>
      </c>
      <c r="BP140" s="401">
        <v>-5764</v>
      </c>
      <c r="BQ140" s="402">
        <v>-5762</v>
      </c>
      <c r="BR140" s="401">
        <v>-5709</v>
      </c>
      <c r="BS140" s="401">
        <v>-5627</v>
      </c>
      <c r="BT140" s="401">
        <v>-5613</v>
      </c>
      <c r="BU140" s="402">
        <v>-5637</v>
      </c>
      <c r="BV140" s="401">
        <v>-5591</v>
      </c>
      <c r="BW140" s="401">
        <v>-5588</v>
      </c>
      <c r="BX140" s="401">
        <v>-5572</v>
      </c>
      <c r="BY140" s="402">
        <v>-5563</v>
      </c>
      <c r="BZ140" s="401">
        <v>-5563</v>
      </c>
      <c r="CA140" s="401">
        <v>-5563</v>
      </c>
      <c r="CB140" s="401">
        <v>-5563</v>
      </c>
      <c r="CC140" s="402">
        <v>-5563</v>
      </c>
      <c r="CD140" s="401">
        <v>-5563</v>
      </c>
      <c r="CE140" s="401">
        <v>-5563</v>
      </c>
      <c r="CF140" s="401">
        <v>-5563</v>
      </c>
      <c r="CG140" s="402">
        <v>-5563</v>
      </c>
      <c r="CH140" s="401">
        <v>-5563</v>
      </c>
      <c r="CI140" s="401">
        <v>-5563</v>
      </c>
      <c r="CJ140" s="401">
        <v>-5563</v>
      </c>
      <c r="CK140" s="402">
        <v>-5563</v>
      </c>
      <c r="CL140" s="438">
        <v>-5563</v>
      </c>
      <c r="CM140" s="401">
        <v>-5563</v>
      </c>
      <c r="CN140" s="401">
        <v>-5563</v>
      </c>
      <c r="CO140" s="402">
        <v>-5563</v>
      </c>
      <c r="CP140" s="438">
        <v>-5563</v>
      </c>
      <c r="CQ140" s="401">
        <v>-5563</v>
      </c>
      <c r="CR140" s="401">
        <v>-5563</v>
      </c>
      <c r="CS140" s="413">
        <v>-5563</v>
      </c>
      <c r="CT140" s="373">
        <v>-5563</v>
      </c>
      <c r="CU140" s="325">
        <v>-5563</v>
      </c>
      <c r="CV140" s="325">
        <v>-5563</v>
      </c>
      <c r="CW140" s="413">
        <v>-5563</v>
      </c>
      <c r="CX140" s="409"/>
      <c r="CY140" s="409"/>
      <c r="CZ140" s="409"/>
      <c r="DA140" s="410"/>
      <c r="DB140" s="409"/>
      <c r="DC140" s="409"/>
      <c r="DD140" s="409"/>
      <c r="DE140" s="410"/>
      <c r="DF140" s="409"/>
      <c r="DG140" s="409"/>
      <c r="DH140" s="409"/>
      <c r="DI140" s="410"/>
      <c r="DJ140" s="454"/>
      <c r="DK140" s="411"/>
      <c r="DL140" s="399"/>
      <c r="DM140" s="399"/>
      <c r="DN140" s="399"/>
      <c r="DO140" s="399"/>
      <c r="DP140" s="399"/>
      <c r="DQ140" s="399"/>
      <c r="DR140" s="399"/>
      <c r="DS140" s="401">
        <v>-126</v>
      </c>
      <c r="DT140" s="401">
        <v>-1235</v>
      </c>
      <c r="DU140" s="401">
        <v>-2194</v>
      </c>
      <c r="DV140" s="325">
        <v>0</v>
      </c>
      <c r="DW140" s="325">
        <v>0</v>
      </c>
      <c r="DX140" s="325">
        <v>-5814</v>
      </c>
      <c r="DY140" s="325">
        <v>-5762</v>
      </c>
      <c r="DZ140" s="325">
        <v>-5637</v>
      </c>
      <c r="EA140" s="325">
        <v>-5563</v>
      </c>
      <c r="EB140" s="325">
        <v>-5563</v>
      </c>
      <c r="EC140" s="325">
        <v>-5563</v>
      </c>
      <c r="ED140" s="325">
        <v>-5563</v>
      </c>
      <c r="EE140" s="325">
        <v>-5563</v>
      </c>
      <c r="EF140" s="325">
        <v>-5563</v>
      </c>
      <c r="EG140" s="412">
        <v>-5563</v>
      </c>
      <c r="EH140" s="412">
        <v>-5563</v>
      </c>
      <c r="EI140" s="412">
        <v>-5563</v>
      </c>
      <c r="EJ140" s="412">
        <v>-5563</v>
      </c>
      <c r="EK140" s="412">
        <v>-5563</v>
      </c>
      <c r="EL140" s="412">
        <v>-5563</v>
      </c>
      <c r="EM140" s="412">
        <v>-5563</v>
      </c>
      <c r="EN140" s="412">
        <v>-5563</v>
      </c>
      <c r="EO140" s="412">
        <v>-5563</v>
      </c>
      <c r="EP140" s="389"/>
      <c r="EQ140" s="386"/>
    </row>
    <row r="141" spans="1:147" s="390" customFormat="1" ht="15" customHeight="1" outlineLevel="1">
      <c r="A141" s="385"/>
      <c r="B141"/>
      <c r="C141"/>
      <c r="D141"/>
      <c r="E141"/>
      <c r="F141"/>
      <c r="G141"/>
      <c r="H141" s="386"/>
      <c r="I141" s="370" t="s">
        <v>1663</v>
      </c>
      <c r="J141" s="399"/>
      <c r="K141" s="399"/>
      <c r="L141" s="399"/>
      <c r="M141" s="400"/>
      <c r="N141" s="399"/>
      <c r="O141" s="399"/>
      <c r="P141" s="399"/>
      <c r="Q141" s="400"/>
      <c r="R141" s="399"/>
      <c r="S141" s="399"/>
      <c r="T141" s="399"/>
      <c r="U141" s="400"/>
      <c r="V141" s="399"/>
      <c r="W141" s="399"/>
      <c r="X141" s="399"/>
      <c r="Y141" s="400"/>
      <c r="Z141" s="399"/>
      <c r="AA141" s="399"/>
      <c r="AB141" s="399"/>
      <c r="AC141" s="400"/>
      <c r="AD141" s="399"/>
      <c r="AE141" s="399"/>
      <c r="AF141" s="399"/>
      <c r="AG141" s="400"/>
      <c r="AH141" s="399"/>
      <c r="AI141" s="399"/>
      <c r="AJ141" s="399"/>
      <c r="AK141" s="400"/>
      <c r="AL141" s="399"/>
      <c r="AM141" s="399"/>
      <c r="AN141" s="399"/>
      <c r="AO141" s="400"/>
      <c r="AP141" s="399"/>
      <c r="AQ141" s="399"/>
      <c r="AR141" s="399"/>
      <c r="AS141" s="400"/>
      <c r="AT141" s="399" t="s">
        <v>401</v>
      </c>
      <c r="AU141" s="399" t="s">
        <v>401</v>
      </c>
      <c r="AV141" s="399"/>
      <c r="AW141" s="400"/>
      <c r="AX141" s="399"/>
      <c r="AY141" s="399"/>
      <c r="AZ141" s="399"/>
      <c r="BA141" s="400"/>
      <c r="BB141" s="401">
        <v>26</v>
      </c>
      <c r="BC141" s="401">
        <v>29</v>
      </c>
      <c r="BD141" s="401">
        <v>-29</v>
      </c>
      <c r="BE141" s="402">
        <v>-72</v>
      </c>
      <c r="BF141" s="401">
        <v>-33</v>
      </c>
      <c r="BG141" s="401">
        <v>-124</v>
      </c>
      <c r="BH141" s="401">
        <v>-74</v>
      </c>
      <c r="BI141" s="402">
        <v>-26</v>
      </c>
      <c r="BJ141" s="401">
        <v>-95</v>
      </c>
      <c r="BK141" s="401">
        <v>-62</v>
      </c>
      <c r="BL141" s="401">
        <v>18</v>
      </c>
      <c r="BM141" s="402">
        <v>68</v>
      </c>
      <c r="BN141" s="401">
        <v>63</v>
      </c>
      <c r="BO141" s="401">
        <v>44</v>
      </c>
      <c r="BP141" s="401">
        <v>-157</v>
      </c>
      <c r="BQ141" s="402">
        <v>-303</v>
      </c>
      <c r="BR141" s="401">
        <v>3598</v>
      </c>
      <c r="BS141" s="401">
        <v>3810</v>
      </c>
      <c r="BT141" s="401">
        <v>3937</v>
      </c>
      <c r="BU141" s="402">
        <v>4096</v>
      </c>
      <c r="BV141" s="401">
        <v>4239</v>
      </c>
      <c r="BW141" s="401">
        <v>4366</v>
      </c>
      <c r="BX141" s="401">
        <v>4616</v>
      </c>
      <c r="BY141" s="402">
        <v>4869</v>
      </c>
      <c r="BZ141" s="401">
        <v>5069</v>
      </c>
      <c r="CA141" s="401">
        <v>5312</v>
      </c>
      <c r="CB141" s="401">
        <v>5501</v>
      </c>
      <c r="CC141" s="402">
        <v>4916</v>
      </c>
      <c r="CD141" s="401">
        <v>5245</v>
      </c>
      <c r="CE141" s="401">
        <v>5647</v>
      </c>
      <c r="CF141" s="401">
        <v>5907</v>
      </c>
      <c r="CG141" s="402">
        <v>6558</v>
      </c>
      <c r="CH141" s="401">
        <v>6757</v>
      </c>
      <c r="CI141" s="401">
        <v>7085</v>
      </c>
      <c r="CJ141" s="401">
        <v>7289</v>
      </c>
      <c r="CK141" s="402">
        <v>7813</v>
      </c>
      <c r="CL141" s="438">
        <v>7999</v>
      </c>
      <c r="CM141" s="401">
        <v>8579</v>
      </c>
      <c r="CN141" s="401">
        <v>9183</v>
      </c>
      <c r="CO141" s="402">
        <v>9691</v>
      </c>
      <c r="CP141" s="438">
        <v>9945</v>
      </c>
      <c r="CQ141" s="401">
        <v>10821</v>
      </c>
      <c r="CR141" s="401">
        <v>11460</v>
      </c>
      <c r="CS141" s="413">
        <v>11460</v>
      </c>
      <c r="CT141" s="373">
        <v>11460</v>
      </c>
      <c r="CU141" s="325">
        <v>11460</v>
      </c>
      <c r="CV141" s="325">
        <v>11460</v>
      </c>
      <c r="CW141" s="413">
        <v>11460</v>
      </c>
      <c r="CX141" s="409"/>
      <c r="CY141" s="409"/>
      <c r="CZ141" s="409"/>
      <c r="DA141" s="410"/>
      <c r="DB141" s="409"/>
      <c r="DC141" s="409"/>
      <c r="DD141" s="409"/>
      <c r="DE141" s="410"/>
      <c r="DF141" s="409"/>
      <c r="DG141" s="409"/>
      <c r="DH141" s="409"/>
      <c r="DI141" s="410"/>
      <c r="DJ141" s="454"/>
      <c r="DK141" s="411"/>
      <c r="DL141" s="399"/>
      <c r="DM141" s="399"/>
      <c r="DN141" s="399"/>
      <c r="DO141" s="399"/>
      <c r="DP141" s="399"/>
      <c r="DQ141" s="399"/>
      <c r="DR141" s="399"/>
      <c r="DS141" s="401">
        <v>-43</v>
      </c>
      <c r="DT141" s="401">
        <v>-24</v>
      </c>
      <c r="DU141" s="401">
        <v>-13</v>
      </c>
      <c r="DV141" s="325">
        <v>-72</v>
      </c>
      <c r="DW141" s="325">
        <v>-26</v>
      </c>
      <c r="DX141" s="325">
        <v>68</v>
      </c>
      <c r="DY141" s="325">
        <v>-303</v>
      </c>
      <c r="DZ141" s="325">
        <v>4096</v>
      </c>
      <c r="EA141" s="325">
        <v>4869</v>
      </c>
      <c r="EB141" s="325">
        <v>4916</v>
      </c>
      <c r="EC141" s="325">
        <v>6558</v>
      </c>
      <c r="ED141" s="325">
        <v>7813</v>
      </c>
      <c r="EE141" s="325">
        <v>9691</v>
      </c>
      <c r="EF141" s="325">
        <v>11460</v>
      </c>
      <c r="EG141" s="412">
        <v>11460</v>
      </c>
      <c r="EH141" s="412">
        <v>11460</v>
      </c>
      <c r="EI141" s="412">
        <v>11460</v>
      </c>
      <c r="EJ141" s="412">
        <v>11460</v>
      </c>
      <c r="EK141" s="412">
        <v>11460</v>
      </c>
      <c r="EL141" s="412">
        <v>11460</v>
      </c>
      <c r="EM141" s="412">
        <v>11460</v>
      </c>
      <c r="EN141" s="412">
        <v>11460</v>
      </c>
      <c r="EO141" s="412">
        <v>11460</v>
      </c>
      <c r="EP141" s="389"/>
      <c r="EQ141" s="386"/>
    </row>
    <row r="142" spans="1:147" s="390" customFormat="1" ht="15" customHeight="1" outlineLevel="1">
      <c r="A142" s="385"/>
      <c r="B142"/>
      <c r="C142"/>
      <c r="D142"/>
      <c r="E142"/>
      <c r="F142"/>
      <c r="G142"/>
      <c r="H142" s="386"/>
      <c r="I142" s="370" t="s">
        <v>1664</v>
      </c>
      <c r="J142" s="399"/>
      <c r="K142" s="399"/>
      <c r="L142" s="399"/>
      <c r="M142" s="400"/>
      <c r="N142" s="399"/>
      <c r="O142" s="399"/>
      <c r="P142" s="399"/>
      <c r="Q142" s="400"/>
      <c r="R142" s="399"/>
      <c r="S142" s="399"/>
      <c r="T142" s="399"/>
      <c r="U142" s="400"/>
      <c r="V142" s="399"/>
      <c r="W142" s="399"/>
      <c r="X142" s="399"/>
      <c r="Y142" s="400"/>
      <c r="Z142" s="399"/>
      <c r="AA142" s="399"/>
      <c r="AB142" s="399"/>
      <c r="AC142" s="400"/>
      <c r="AD142" s="399"/>
      <c r="AE142" s="399"/>
      <c r="AF142" s="399"/>
      <c r="AG142" s="400"/>
      <c r="AH142" s="399"/>
      <c r="AI142" s="399"/>
      <c r="AJ142" s="399"/>
      <c r="AK142" s="400"/>
      <c r="AL142" s="399"/>
      <c r="AM142" s="399"/>
      <c r="AN142" s="399"/>
      <c r="AO142" s="400"/>
      <c r="AP142" s="399"/>
      <c r="AQ142" s="399"/>
      <c r="AR142" s="399"/>
      <c r="AS142" s="400"/>
      <c r="AT142" s="399"/>
      <c r="AU142" s="399"/>
      <c r="AV142" s="399"/>
      <c r="AW142" s="400"/>
      <c r="AX142" s="399"/>
      <c r="AY142" s="399"/>
      <c r="AZ142" s="399"/>
      <c r="BA142" s="400"/>
      <c r="BB142" s="401">
        <v>366</v>
      </c>
      <c r="BC142" s="401">
        <v>701</v>
      </c>
      <c r="BD142" s="401">
        <v>849</v>
      </c>
      <c r="BE142" s="402">
        <v>948</v>
      </c>
      <c r="BF142" s="401">
        <v>1128</v>
      </c>
      <c r="BG142" s="401">
        <v>1313</v>
      </c>
      <c r="BH142" s="401">
        <v>1539</v>
      </c>
      <c r="BI142" s="402">
        <v>1893</v>
      </c>
      <c r="BJ142" s="401">
        <v>2132</v>
      </c>
      <c r="BK142" s="401">
        <v>2456</v>
      </c>
      <c r="BL142" s="401">
        <v>2513</v>
      </c>
      <c r="BM142" s="402">
        <v>2686</v>
      </c>
      <c r="BN142" s="401">
        <v>2832</v>
      </c>
      <c r="BO142" s="401">
        <v>3036</v>
      </c>
      <c r="BP142" s="401">
        <v>3013</v>
      </c>
      <c r="BQ142" s="402">
        <v>3374</v>
      </c>
      <c r="BR142" s="401">
        <v>-619</v>
      </c>
      <c r="BS142" s="401">
        <v>-545</v>
      </c>
      <c r="BT142" s="401">
        <v>-544</v>
      </c>
      <c r="BU142" s="402">
        <v>-633</v>
      </c>
      <c r="BV142" s="401">
        <v>-643</v>
      </c>
      <c r="BW142" s="401">
        <v>-649</v>
      </c>
      <c r="BX142" s="401">
        <v>-653</v>
      </c>
      <c r="BY142" s="402">
        <v>-629</v>
      </c>
      <c r="BZ142" s="401">
        <v>-625</v>
      </c>
      <c r="CA142" s="401">
        <v>-640</v>
      </c>
      <c r="CB142" s="401">
        <v>-642</v>
      </c>
      <c r="CC142" s="402">
        <v>-638</v>
      </c>
      <c r="CD142" s="401">
        <v>-649</v>
      </c>
      <c r="CE142" s="401">
        <v>-605</v>
      </c>
      <c r="CF142" s="401">
        <v>-613</v>
      </c>
      <c r="CG142" s="402">
        <v>-601</v>
      </c>
      <c r="CH142" s="401">
        <v>-602</v>
      </c>
      <c r="CI142" s="401">
        <v>-608</v>
      </c>
      <c r="CJ142" s="401">
        <v>-607</v>
      </c>
      <c r="CK142" s="402">
        <v>-619</v>
      </c>
      <c r="CL142" s="438">
        <v>-628</v>
      </c>
      <c r="CM142" s="401">
        <v>-634</v>
      </c>
      <c r="CN142" s="401">
        <v>-633</v>
      </c>
      <c r="CO142" s="402">
        <v>-622</v>
      </c>
      <c r="CP142" s="438">
        <v>-600</v>
      </c>
      <c r="CQ142" s="401">
        <v>-593</v>
      </c>
      <c r="CR142" s="401">
        <v>-587</v>
      </c>
      <c r="CS142" s="413">
        <v>373.4976021179923</v>
      </c>
      <c r="CT142" s="373">
        <v>678.53966473018181</v>
      </c>
      <c r="CU142" s="325">
        <v>1037.069730015457</v>
      </c>
      <c r="CV142" s="325">
        <v>1639.9277468129735</v>
      </c>
      <c r="CW142" s="413">
        <v>2800.6082059400264</v>
      </c>
      <c r="CX142" s="409"/>
      <c r="CY142" s="409"/>
      <c r="CZ142" s="409"/>
      <c r="DA142" s="410"/>
      <c r="DB142" s="409"/>
      <c r="DC142" s="409"/>
      <c r="DD142" s="409"/>
      <c r="DE142" s="410"/>
      <c r="DF142" s="409"/>
      <c r="DG142" s="409"/>
      <c r="DH142" s="409"/>
      <c r="DI142" s="410"/>
      <c r="DJ142" s="454"/>
      <c r="DK142" s="411"/>
      <c r="DL142" s="399"/>
      <c r="DM142" s="399"/>
      <c r="DN142" s="399"/>
      <c r="DO142" s="399"/>
      <c r="DP142" s="399"/>
      <c r="DQ142" s="399"/>
      <c r="DR142" s="399"/>
      <c r="DS142" s="401">
        <v>-474</v>
      </c>
      <c r="DT142" s="401">
        <v>-361</v>
      </c>
      <c r="DU142" s="401">
        <v>57</v>
      </c>
      <c r="DV142" s="325">
        <v>948</v>
      </c>
      <c r="DW142" s="325">
        <v>1893</v>
      </c>
      <c r="DX142" s="325">
        <v>2686</v>
      </c>
      <c r="DY142" s="325">
        <v>3374</v>
      </c>
      <c r="DZ142" s="325">
        <v>-633</v>
      </c>
      <c r="EA142" s="325">
        <v>-629</v>
      </c>
      <c r="EB142" s="325">
        <v>-638</v>
      </c>
      <c r="EC142" s="325">
        <v>-601</v>
      </c>
      <c r="ED142" s="325">
        <v>-619</v>
      </c>
      <c r="EE142" s="325">
        <v>-622</v>
      </c>
      <c r="EF142" s="325">
        <v>373.4976021179923</v>
      </c>
      <c r="EG142" s="412">
        <v>2800.6082059400264</v>
      </c>
      <c r="EH142" s="412">
        <v>5910.2683669768212</v>
      </c>
      <c r="EI142" s="412">
        <v>8814.0439699329218</v>
      </c>
      <c r="EJ142" s="412">
        <v>11443.356267902846</v>
      </c>
      <c r="EK142" s="412">
        <v>15210.258669501956</v>
      </c>
      <c r="EL142" s="412">
        <v>18699.048065763451</v>
      </c>
      <c r="EM142" s="412">
        <v>22255.316470669171</v>
      </c>
      <c r="EN142" s="412">
        <v>25715.568245291965</v>
      </c>
      <c r="EO142" s="412">
        <v>29718.312721779646</v>
      </c>
      <c r="EP142" s="389"/>
      <c r="EQ142" s="386"/>
    </row>
    <row r="143" spans="1:147" s="390" customFormat="1" ht="15" customHeight="1" outlineLevel="1">
      <c r="A143" s="385"/>
      <c r="B143"/>
      <c r="C143"/>
      <c r="D143"/>
      <c r="E143"/>
      <c r="F143"/>
      <c r="G143"/>
      <c r="H143" s="386"/>
      <c r="I143" s="517" t="s">
        <v>1665</v>
      </c>
      <c r="J143" s="552"/>
      <c r="K143" s="552"/>
      <c r="L143" s="552"/>
      <c r="M143" s="553"/>
      <c r="N143" s="552"/>
      <c r="O143" s="552"/>
      <c r="P143" s="552"/>
      <c r="Q143" s="553"/>
      <c r="R143" s="552"/>
      <c r="S143" s="552"/>
      <c r="T143" s="552"/>
      <c r="U143" s="553"/>
      <c r="V143" s="552"/>
      <c r="W143" s="552"/>
      <c r="X143" s="552"/>
      <c r="Y143" s="553"/>
      <c r="Z143" s="552"/>
      <c r="AA143" s="552"/>
      <c r="AB143" s="552"/>
      <c r="AC143" s="553"/>
      <c r="AD143" s="552"/>
      <c r="AE143" s="552"/>
      <c r="AF143" s="552"/>
      <c r="AG143" s="553"/>
      <c r="AH143" s="552"/>
      <c r="AI143" s="552"/>
      <c r="AJ143" s="552"/>
      <c r="AK143" s="553"/>
      <c r="AL143" s="552"/>
      <c r="AM143" s="552"/>
      <c r="AN143" s="552"/>
      <c r="AO143" s="553"/>
      <c r="AP143" s="552"/>
      <c r="AQ143" s="552"/>
      <c r="AR143" s="552"/>
      <c r="AS143" s="553"/>
      <c r="AT143" s="552"/>
      <c r="AU143" s="552"/>
      <c r="AV143" s="552"/>
      <c r="AW143" s="553"/>
      <c r="AX143" s="552">
        <v>0</v>
      </c>
      <c r="AY143" s="552">
        <v>0</v>
      </c>
      <c r="AZ143" s="552">
        <v>0</v>
      </c>
      <c r="BA143" s="553">
        <v>0</v>
      </c>
      <c r="BB143" s="554">
        <v>10237</v>
      </c>
      <c r="BC143" s="554">
        <v>10465</v>
      </c>
      <c r="BD143" s="554">
        <v>10571</v>
      </c>
      <c r="BE143" s="555">
        <v>10492</v>
      </c>
      <c r="BF143" s="554">
        <v>10486</v>
      </c>
      <c r="BG143" s="554">
        <v>10564</v>
      </c>
      <c r="BH143" s="554">
        <v>10883</v>
      </c>
      <c r="BI143" s="555">
        <v>11317</v>
      </c>
      <c r="BJ143" s="554">
        <v>11535</v>
      </c>
      <c r="BK143" s="554">
        <v>11935</v>
      </c>
      <c r="BL143" s="554">
        <v>12139</v>
      </c>
      <c r="BM143" s="555">
        <v>6622</v>
      </c>
      <c r="BN143" s="554">
        <v>6924</v>
      </c>
      <c r="BO143" s="554">
        <v>7171</v>
      </c>
      <c r="BP143" s="554">
        <v>6992</v>
      </c>
      <c r="BQ143" s="555">
        <v>7233</v>
      </c>
      <c r="BR143" s="554">
        <v>7238</v>
      </c>
      <c r="BS143" s="554">
        <v>7801</v>
      </c>
      <c r="BT143" s="554">
        <v>7989</v>
      </c>
      <c r="BU143" s="555">
        <v>8068</v>
      </c>
      <c r="BV143" s="554">
        <v>8348</v>
      </c>
      <c r="BW143" s="554">
        <v>8554</v>
      </c>
      <c r="BX143" s="554">
        <v>8818</v>
      </c>
      <c r="BY143" s="555">
        <v>9119</v>
      </c>
      <c r="BZ143" s="554">
        <v>9436</v>
      </c>
      <c r="CA143" s="554">
        <v>9715</v>
      </c>
      <c r="CB143" s="554">
        <v>9967</v>
      </c>
      <c r="CC143" s="555">
        <v>9462</v>
      </c>
      <c r="CD143" s="554">
        <v>9819</v>
      </c>
      <c r="CE143" s="554">
        <v>10346</v>
      </c>
      <c r="CF143" s="554">
        <v>10659</v>
      </c>
      <c r="CG143" s="555">
        <v>11357</v>
      </c>
      <c r="CH143" s="554">
        <v>11596</v>
      </c>
      <c r="CI143" s="554">
        <v>11977</v>
      </c>
      <c r="CJ143" s="554">
        <v>12235</v>
      </c>
      <c r="CK143" s="555">
        <v>12805</v>
      </c>
      <c r="CL143" s="557">
        <v>13021</v>
      </c>
      <c r="CM143" s="554">
        <v>13682</v>
      </c>
      <c r="CN143" s="554">
        <v>14382</v>
      </c>
      <c r="CO143" s="555">
        <v>15037</v>
      </c>
      <c r="CP143" s="557">
        <v>15331</v>
      </c>
      <c r="CQ143" s="554">
        <v>16286</v>
      </c>
      <c r="CR143" s="554">
        <v>16950</v>
      </c>
      <c r="CS143" s="555">
        <v>17994.497602117994</v>
      </c>
      <c r="CT143" s="557">
        <v>18458.089664730182</v>
      </c>
      <c r="CU143" s="554">
        <v>18861.769730015454</v>
      </c>
      <c r="CV143" s="554">
        <v>19531.827746812975</v>
      </c>
      <c r="CW143" s="555">
        <v>20780.708205940024</v>
      </c>
      <c r="CX143" s="552"/>
      <c r="CY143" s="552"/>
      <c r="CZ143" s="552"/>
      <c r="DA143" s="553"/>
      <c r="DB143" s="552"/>
      <c r="DC143" s="552"/>
      <c r="DD143" s="552"/>
      <c r="DE143" s="553"/>
      <c r="DF143" s="552"/>
      <c r="DG143" s="552"/>
      <c r="DH143" s="552"/>
      <c r="DI143" s="553"/>
      <c r="DJ143" s="454"/>
      <c r="DK143" s="558"/>
      <c r="DL143" s="552"/>
      <c r="DM143" s="552"/>
      <c r="DN143" s="552"/>
      <c r="DO143" s="552"/>
      <c r="DP143" s="552"/>
      <c r="DQ143" s="552"/>
      <c r="DR143" s="552"/>
      <c r="DS143" s="552">
        <v>11527</v>
      </c>
      <c r="DT143" s="398">
        <v>10756</v>
      </c>
      <c r="DU143" s="398">
        <v>10203</v>
      </c>
      <c r="DV143" s="394">
        <v>10492</v>
      </c>
      <c r="DW143" s="394">
        <v>11317</v>
      </c>
      <c r="DX143" s="394">
        <v>6622</v>
      </c>
      <c r="DY143" s="394">
        <v>7233</v>
      </c>
      <c r="DZ143" s="394">
        <v>8068</v>
      </c>
      <c r="EA143" s="394">
        <v>9119</v>
      </c>
      <c r="EB143" s="394">
        <v>9462</v>
      </c>
      <c r="EC143" s="394">
        <v>11357</v>
      </c>
      <c r="ED143" s="394">
        <v>12805</v>
      </c>
      <c r="EE143" s="394">
        <v>15037</v>
      </c>
      <c r="EF143" s="394">
        <v>17994.497602117994</v>
      </c>
      <c r="EG143" s="554">
        <v>20780.708205940024</v>
      </c>
      <c r="EH143" s="554">
        <v>24263.832366976822</v>
      </c>
      <c r="EI143" s="554">
        <v>27556.010529932923</v>
      </c>
      <c r="EJ143" s="554">
        <v>30589.261490302844</v>
      </c>
      <c r="EK143" s="554">
        <v>34776.260100797954</v>
      </c>
      <c r="EL143" s="554">
        <v>38701.949554311286</v>
      </c>
      <c r="EM143" s="554">
        <v>42712.594018758929</v>
      </c>
      <c r="EN143" s="554">
        <v>46645.396895305312</v>
      </c>
      <c r="EO143" s="554">
        <v>51139.594517793521</v>
      </c>
      <c r="EP143" s="389"/>
      <c r="EQ143" s="386"/>
    </row>
    <row r="144" spans="1:147" s="390" customFormat="1" ht="15" customHeight="1" outlineLevel="1">
      <c r="A144" s="385"/>
      <c r="B144"/>
      <c r="C144"/>
      <c r="D144"/>
      <c r="E144"/>
      <c r="F144"/>
      <c r="G144"/>
      <c r="H144" s="386"/>
      <c r="I144" s="568" t="s">
        <v>1666</v>
      </c>
      <c r="J144" s="569"/>
      <c r="K144" s="569"/>
      <c r="L144" s="569"/>
      <c r="M144" s="570"/>
      <c r="N144" s="569"/>
      <c r="O144" s="569"/>
      <c r="P144" s="569"/>
      <c r="Q144" s="570"/>
      <c r="R144" s="569"/>
      <c r="S144" s="569"/>
      <c r="T144" s="569"/>
      <c r="U144" s="570"/>
      <c r="V144" s="569"/>
      <c r="W144" s="569"/>
      <c r="X144" s="569"/>
      <c r="Y144" s="570"/>
      <c r="Z144" s="569"/>
      <c r="AA144" s="569"/>
      <c r="AB144" s="569"/>
      <c r="AC144" s="570"/>
      <c r="AD144" s="569"/>
      <c r="AE144" s="569"/>
      <c r="AF144" s="569"/>
      <c r="AG144" s="570"/>
      <c r="AH144" s="569"/>
      <c r="AI144" s="569"/>
      <c r="AJ144" s="569"/>
      <c r="AK144" s="570"/>
      <c r="AL144" s="569"/>
      <c r="AM144" s="569"/>
      <c r="AN144" s="569"/>
      <c r="AO144" s="570"/>
      <c r="AP144" s="569"/>
      <c r="AQ144" s="569"/>
      <c r="AR144" s="569"/>
      <c r="AS144" s="570"/>
      <c r="AT144" s="569" t="s">
        <v>401</v>
      </c>
      <c r="AU144" s="569"/>
      <c r="AV144" s="569"/>
      <c r="AW144" s="570"/>
      <c r="AX144" s="569">
        <v>0</v>
      </c>
      <c r="AY144" s="569">
        <v>0</v>
      </c>
      <c r="AZ144" s="569">
        <v>0</v>
      </c>
      <c r="BA144" s="570">
        <v>0</v>
      </c>
      <c r="BB144" s="571">
        <v>12377</v>
      </c>
      <c r="BC144" s="571">
        <v>11972</v>
      </c>
      <c r="BD144" s="571">
        <v>12113</v>
      </c>
      <c r="BE144" s="572">
        <v>13277</v>
      </c>
      <c r="BF144" s="571">
        <v>12482</v>
      </c>
      <c r="BG144" s="571">
        <v>12269</v>
      </c>
      <c r="BH144" s="571">
        <v>12661</v>
      </c>
      <c r="BI144" s="572">
        <v>14200</v>
      </c>
      <c r="BJ144" s="571">
        <v>13725</v>
      </c>
      <c r="BK144" s="571">
        <v>13411</v>
      </c>
      <c r="BL144" s="571">
        <v>16060</v>
      </c>
      <c r="BM144" s="572">
        <v>14012</v>
      </c>
      <c r="BN144" s="571">
        <v>13528</v>
      </c>
      <c r="BO144" s="571">
        <v>13360</v>
      </c>
      <c r="BP144" s="571">
        <v>13855</v>
      </c>
      <c r="BQ144" s="572">
        <v>14746</v>
      </c>
      <c r="BR144" s="571">
        <v>13777</v>
      </c>
      <c r="BS144" s="571">
        <v>14015</v>
      </c>
      <c r="BT144" s="571">
        <v>14302</v>
      </c>
      <c r="BU144" s="572">
        <v>15244</v>
      </c>
      <c r="BV144" s="571">
        <v>17302</v>
      </c>
      <c r="BW144" s="571">
        <v>16607</v>
      </c>
      <c r="BX144" s="571">
        <v>18380</v>
      </c>
      <c r="BY144" s="572">
        <v>17452</v>
      </c>
      <c r="BZ144" s="571">
        <v>16921</v>
      </c>
      <c r="CA144" s="571">
        <v>16808</v>
      </c>
      <c r="CB144" s="571">
        <v>17718</v>
      </c>
      <c r="CC144" s="572">
        <v>18717</v>
      </c>
      <c r="CD144" s="571">
        <v>18397</v>
      </c>
      <c r="CE144" s="571">
        <v>17958</v>
      </c>
      <c r="CF144" s="571">
        <v>16713</v>
      </c>
      <c r="CG144" s="572">
        <v>17835</v>
      </c>
      <c r="CH144" s="571">
        <v>17948</v>
      </c>
      <c r="CI144" s="571">
        <v>17495</v>
      </c>
      <c r="CJ144" s="571">
        <v>17805</v>
      </c>
      <c r="CK144" s="572">
        <v>19845</v>
      </c>
      <c r="CL144" s="573">
        <v>19604</v>
      </c>
      <c r="CM144" s="571">
        <v>20220</v>
      </c>
      <c r="CN144" s="571">
        <v>21577</v>
      </c>
      <c r="CO144" s="572">
        <v>23109</v>
      </c>
      <c r="CP144" s="573">
        <v>23425</v>
      </c>
      <c r="CQ144" s="571">
        <v>23572</v>
      </c>
      <c r="CR144" s="571">
        <v>23977</v>
      </c>
      <c r="CS144" s="572">
        <v>25509.248232145681</v>
      </c>
      <c r="CT144" s="573">
        <v>25455.512921033907</v>
      </c>
      <c r="CU144" s="571">
        <v>25408.197258323467</v>
      </c>
      <c r="CV144" s="571">
        <v>26505.853560298914</v>
      </c>
      <c r="CW144" s="572">
        <v>28731.931726865114</v>
      </c>
      <c r="CX144" s="569"/>
      <c r="CY144" s="569"/>
      <c r="CZ144" s="569"/>
      <c r="DA144" s="570"/>
      <c r="DB144" s="569"/>
      <c r="DC144" s="569"/>
      <c r="DD144" s="569"/>
      <c r="DE144" s="570"/>
      <c r="DF144" s="569"/>
      <c r="DG144" s="569"/>
      <c r="DH144" s="569"/>
      <c r="DI144" s="570"/>
      <c r="DJ144" s="574"/>
      <c r="DK144" s="575"/>
      <c r="DL144" s="569"/>
      <c r="DM144" s="569"/>
      <c r="DN144" s="569"/>
      <c r="DO144" s="569"/>
      <c r="DP144" s="569"/>
      <c r="DQ144" s="569"/>
      <c r="DR144" s="569"/>
      <c r="DS144" s="569">
        <v>14837</v>
      </c>
      <c r="DT144" s="576">
        <v>13742</v>
      </c>
      <c r="DU144" s="576">
        <v>13406</v>
      </c>
      <c r="DV144" s="577">
        <v>13277</v>
      </c>
      <c r="DW144" s="577">
        <v>14200</v>
      </c>
      <c r="DX144" s="577">
        <v>14012</v>
      </c>
      <c r="DY144" s="577">
        <v>14746</v>
      </c>
      <c r="DZ144" s="577">
        <v>15244</v>
      </c>
      <c r="EA144" s="577">
        <v>17452</v>
      </c>
      <c r="EB144" s="577">
        <v>18717</v>
      </c>
      <c r="EC144" s="577">
        <v>17835</v>
      </c>
      <c r="ED144" s="577">
        <v>19845</v>
      </c>
      <c r="EE144" s="577">
        <v>23109</v>
      </c>
      <c r="EF144" s="577">
        <v>25509.248232145681</v>
      </c>
      <c r="EG144" s="571">
        <v>28731.931726865114</v>
      </c>
      <c r="EH144" s="571">
        <v>32903.732894692301</v>
      </c>
      <c r="EI144" s="571">
        <v>35891.086231702524</v>
      </c>
      <c r="EJ144" s="571">
        <v>38831.325903731777</v>
      </c>
      <c r="EK144" s="571">
        <v>43227.067697608174</v>
      </c>
      <c r="EL144" s="571">
        <v>47104.881737988093</v>
      </c>
      <c r="EM144" s="571">
        <v>51097.931622412914</v>
      </c>
      <c r="EN144" s="571">
        <v>55071.137376251892</v>
      </c>
      <c r="EO144" s="572">
        <v>59798.986301756464</v>
      </c>
      <c r="EP144" s="389"/>
      <c r="EQ144" s="386"/>
    </row>
    <row r="145" spans="1:147" ht="15" customHeight="1" outlineLevel="2">
      <c r="A145" s="473"/>
      <c r="H145" s="474"/>
      <c r="I145" s="578" t="s">
        <v>1667</v>
      </c>
      <c r="J145" s="356"/>
      <c r="K145" s="356"/>
      <c r="L145" s="356"/>
      <c r="M145" s="477"/>
      <c r="N145" s="356"/>
      <c r="O145" s="356"/>
      <c r="P145" s="356"/>
      <c r="Q145" s="477"/>
      <c r="R145" s="356"/>
      <c r="S145" s="356"/>
      <c r="T145" s="356"/>
      <c r="U145" s="477"/>
      <c r="V145" s="356"/>
      <c r="W145" s="356"/>
      <c r="X145" s="356"/>
      <c r="Y145" s="477"/>
      <c r="Z145" s="356"/>
      <c r="AA145" s="356"/>
      <c r="AB145" s="356"/>
      <c r="AC145" s="477"/>
      <c r="AD145" s="356"/>
      <c r="AE145" s="356"/>
      <c r="AF145" s="356"/>
      <c r="AG145" s="477"/>
      <c r="AH145" s="356"/>
      <c r="AI145" s="356"/>
      <c r="AJ145" s="356"/>
      <c r="AK145" s="477"/>
      <c r="AL145" s="356"/>
      <c r="AM145" s="356"/>
      <c r="AN145" s="356"/>
      <c r="AO145" s="477"/>
      <c r="AP145" s="356"/>
      <c r="AQ145" s="356"/>
      <c r="AR145" s="356"/>
      <c r="AS145" s="477"/>
      <c r="AT145" s="356"/>
      <c r="AU145" s="356"/>
      <c r="AV145" s="356"/>
      <c r="AW145" s="477"/>
      <c r="AX145" s="356" t="b">
        <v>1</v>
      </c>
      <c r="AY145" s="356" t="b">
        <v>1</v>
      </c>
      <c r="AZ145" s="356" t="b">
        <v>1</v>
      </c>
      <c r="BA145" s="477" t="b">
        <v>1</v>
      </c>
      <c r="BB145" s="356" t="b">
        <v>1</v>
      </c>
      <c r="BC145" s="325" t="b">
        <v>1</v>
      </c>
      <c r="BD145" s="325" t="b">
        <v>1</v>
      </c>
      <c r="BE145" s="477" t="b">
        <v>1</v>
      </c>
      <c r="BF145" s="356" t="b">
        <v>1</v>
      </c>
      <c r="BG145" s="325" t="b">
        <v>1</v>
      </c>
      <c r="BH145" s="325" t="b">
        <v>1</v>
      </c>
      <c r="BI145" s="477" t="b">
        <v>1</v>
      </c>
      <c r="BJ145" s="356" t="b">
        <v>1</v>
      </c>
      <c r="BK145" s="325" t="b">
        <v>1</v>
      </c>
      <c r="BL145" s="325" t="b">
        <v>1</v>
      </c>
      <c r="BM145" s="477" t="b">
        <v>1</v>
      </c>
      <c r="BN145" s="356" t="b">
        <v>1</v>
      </c>
      <c r="BO145" s="325" t="b">
        <v>1</v>
      </c>
      <c r="BP145" s="325" t="b">
        <v>1</v>
      </c>
      <c r="BQ145" s="477" t="b">
        <v>1</v>
      </c>
      <c r="BR145" s="356" t="b">
        <v>1</v>
      </c>
      <c r="BS145" s="325" t="b">
        <v>1</v>
      </c>
      <c r="BT145" s="325" t="b">
        <v>1</v>
      </c>
      <c r="BU145" s="372" t="b">
        <v>1</v>
      </c>
      <c r="BV145" s="356" t="b">
        <v>1</v>
      </c>
      <c r="BW145" s="356" t="b">
        <v>1</v>
      </c>
      <c r="BX145" s="356" t="b">
        <v>1</v>
      </c>
      <c r="BY145" s="477" t="b">
        <v>1</v>
      </c>
      <c r="BZ145" s="356" t="b">
        <v>1</v>
      </c>
      <c r="CA145" s="356" t="b">
        <v>1</v>
      </c>
      <c r="CB145" s="356" t="b">
        <v>1</v>
      </c>
      <c r="CC145" s="477" t="b">
        <v>1</v>
      </c>
      <c r="CD145" s="356" t="b">
        <v>1</v>
      </c>
      <c r="CE145" s="356" t="b">
        <v>1</v>
      </c>
      <c r="CF145" s="356" t="b">
        <v>1</v>
      </c>
      <c r="CG145" s="477" t="b">
        <v>1</v>
      </c>
      <c r="CH145" s="356" t="b">
        <v>1</v>
      </c>
      <c r="CI145" s="356" t="b">
        <v>1</v>
      </c>
      <c r="CJ145" s="356" t="b">
        <v>1</v>
      </c>
      <c r="CK145" s="477" t="b">
        <v>1</v>
      </c>
      <c r="CL145" s="356" t="b">
        <v>1</v>
      </c>
      <c r="CM145" s="356" t="b">
        <v>1</v>
      </c>
      <c r="CN145" s="356" t="b">
        <v>1</v>
      </c>
      <c r="CO145" s="477" t="b">
        <v>1</v>
      </c>
      <c r="CP145" s="355" t="b">
        <v>1</v>
      </c>
      <c r="CQ145" s="356" t="b">
        <v>1</v>
      </c>
      <c r="CR145" s="356" t="b">
        <v>1</v>
      </c>
      <c r="CS145" s="477" t="b">
        <v>1</v>
      </c>
      <c r="CT145" s="355" t="b">
        <v>1</v>
      </c>
      <c r="CU145" s="356" t="b">
        <v>1</v>
      </c>
      <c r="CV145" s="356" t="b">
        <v>1</v>
      </c>
      <c r="CW145" s="477" t="b">
        <v>1</v>
      </c>
      <c r="CX145" s="356"/>
      <c r="CY145" s="356"/>
      <c r="CZ145" s="356"/>
      <c r="DA145" s="477"/>
      <c r="DB145" s="356"/>
      <c r="DC145" s="356"/>
      <c r="DD145" s="356"/>
      <c r="DE145" s="477"/>
      <c r="DF145" s="356"/>
      <c r="DG145" s="356"/>
      <c r="DH145" s="356"/>
      <c r="DI145" s="477"/>
      <c r="DJ145" s="454"/>
      <c r="DK145" s="355"/>
      <c r="DL145" s="356"/>
      <c r="DM145" s="356"/>
      <c r="DN145" s="356"/>
      <c r="DO145" s="356"/>
      <c r="DP145" s="356"/>
      <c r="DQ145" s="356"/>
      <c r="DR145" s="356"/>
      <c r="DS145" s="356" t="b">
        <v>1</v>
      </c>
      <c r="DT145" s="356" t="b">
        <v>1</v>
      </c>
      <c r="DU145" s="356" t="b">
        <v>1</v>
      </c>
      <c r="DV145" s="356" t="b">
        <v>1</v>
      </c>
      <c r="DW145" s="356" t="b">
        <v>1</v>
      </c>
      <c r="DX145" s="356" t="b">
        <v>1</v>
      </c>
      <c r="DY145" s="356" t="b">
        <v>1</v>
      </c>
      <c r="DZ145" s="356" t="b">
        <v>1</v>
      </c>
      <c r="EA145" s="356" t="b">
        <v>1</v>
      </c>
      <c r="EB145" s="356" t="b">
        <v>1</v>
      </c>
      <c r="EC145" s="356" t="b">
        <v>1</v>
      </c>
      <c r="ED145" s="356" t="b">
        <v>1</v>
      </c>
      <c r="EE145" s="356" t="b">
        <v>1</v>
      </c>
      <c r="EF145" s="356" t="b">
        <v>1</v>
      </c>
      <c r="EG145" s="356" t="b">
        <v>1</v>
      </c>
      <c r="EH145" s="356" t="b">
        <v>1</v>
      </c>
      <c r="EI145" s="356" t="b">
        <v>1</v>
      </c>
      <c r="EJ145" s="356" t="b">
        <v>1</v>
      </c>
      <c r="EK145" s="356" t="b">
        <v>1</v>
      </c>
      <c r="EL145" s="356" t="b">
        <v>1</v>
      </c>
      <c r="EM145" s="356" t="b">
        <v>1</v>
      </c>
      <c r="EN145" s="356" t="b">
        <v>1</v>
      </c>
      <c r="EO145" s="356" t="b">
        <v>1</v>
      </c>
      <c r="EP145" s="355"/>
      <c r="EQ145" s="356"/>
    </row>
    <row r="146" spans="1:147" s="588" customFormat="1" ht="15" customHeight="1" outlineLevel="2">
      <c r="A146" s="579"/>
      <c r="B146"/>
      <c r="C146"/>
      <c r="D146"/>
      <c r="E146"/>
      <c r="F146"/>
      <c r="G146"/>
      <c r="H146" s="580"/>
      <c r="I146" s="581"/>
      <c r="J146" s="582"/>
      <c r="K146" s="582"/>
      <c r="L146" s="582"/>
      <c r="M146" s="583"/>
      <c r="N146" s="582"/>
      <c r="O146" s="582"/>
      <c r="P146" s="582"/>
      <c r="Q146" s="583"/>
      <c r="R146" s="582"/>
      <c r="S146" s="582"/>
      <c r="T146" s="582"/>
      <c r="U146" s="583"/>
      <c r="V146" s="582"/>
      <c r="W146" s="582"/>
      <c r="X146" s="582"/>
      <c r="Y146" s="583"/>
      <c r="Z146" s="582"/>
      <c r="AA146" s="582"/>
      <c r="AB146" s="582"/>
      <c r="AC146" s="583"/>
      <c r="AD146" s="582"/>
      <c r="AE146" s="582"/>
      <c r="AF146" s="582"/>
      <c r="AG146" s="583"/>
      <c r="AH146" s="582"/>
      <c r="AI146" s="582"/>
      <c r="AJ146" s="582"/>
      <c r="AK146" s="583"/>
      <c r="AL146" s="582"/>
      <c r="AM146" s="582"/>
      <c r="AN146" s="582"/>
      <c r="AO146" s="583"/>
      <c r="AP146" s="582"/>
      <c r="AQ146" s="582"/>
      <c r="AR146" s="582"/>
      <c r="AS146" s="583"/>
      <c r="AT146" s="582"/>
      <c r="AU146" s="582"/>
      <c r="AV146" s="582"/>
      <c r="AW146" s="583"/>
      <c r="AX146" s="582"/>
      <c r="AY146" s="582"/>
      <c r="AZ146" s="582"/>
      <c r="BA146" s="583"/>
      <c r="BB146" s="584"/>
      <c r="BC146" s="584"/>
      <c r="BD146" s="585"/>
      <c r="BE146" s="583"/>
      <c r="BF146" s="584"/>
      <c r="BG146" s="584"/>
      <c r="BH146" s="585"/>
      <c r="BI146" s="583"/>
      <c r="BJ146" s="584"/>
      <c r="BK146" s="584"/>
      <c r="BL146" s="585"/>
      <c r="BM146" s="583"/>
      <c r="BN146" s="584"/>
      <c r="BO146" s="584"/>
      <c r="BP146" s="585"/>
      <c r="BQ146" s="583"/>
      <c r="BR146" s="584"/>
      <c r="BS146" s="584"/>
      <c r="BT146" s="585"/>
      <c r="BU146" s="583"/>
      <c r="BV146" s="582"/>
      <c r="BW146" s="582"/>
      <c r="BX146" s="582"/>
      <c r="BY146" s="583"/>
      <c r="BZ146" s="582"/>
      <c r="CA146" s="582"/>
      <c r="CB146" s="582"/>
      <c r="CC146" s="583"/>
      <c r="CD146" s="582"/>
      <c r="CE146" s="582"/>
      <c r="CF146" s="582"/>
      <c r="CG146" s="583"/>
      <c r="CH146" s="582"/>
      <c r="CI146" s="582"/>
      <c r="CJ146" s="582"/>
      <c r="CK146" s="583"/>
      <c r="CL146" s="582"/>
      <c r="CM146" s="582"/>
      <c r="CN146" s="582"/>
      <c r="CO146" s="583"/>
      <c r="CP146" s="586"/>
      <c r="CQ146" s="582"/>
      <c r="CR146" s="582"/>
      <c r="CS146" s="583"/>
      <c r="CT146" s="586"/>
      <c r="CU146" s="582"/>
      <c r="CV146" s="582"/>
      <c r="CW146" s="583"/>
      <c r="CX146" s="582"/>
      <c r="CY146" s="582"/>
      <c r="CZ146" s="582"/>
      <c r="DA146" s="583"/>
      <c r="DB146" s="582"/>
      <c r="DC146" s="582"/>
      <c r="DD146" s="582"/>
      <c r="DE146" s="583"/>
      <c r="DF146" s="582"/>
      <c r="DG146" s="582"/>
      <c r="DH146" s="582"/>
      <c r="DI146" s="583"/>
      <c r="DJ146" s="587"/>
      <c r="DK146" s="586"/>
      <c r="DL146" s="582"/>
      <c r="DM146" s="582"/>
      <c r="DN146" s="582"/>
      <c r="DO146" s="582"/>
      <c r="DP146" s="582"/>
      <c r="DQ146" s="582"/>
      <c r="DR146" s="582"/>
      <c r="DS146" s="582"/>
      <c r="DT146" s="582"/>
      <c r="DU146" s="582"/>
      <c r="DV146" s="582"/>
      <c r="DW146" s="582"/>
      <c r="DX146" s="582"/>
      <c r="DY146" s="582"/>
      <c r="DZ146" s="582"/>
      <c r="EA146" s="582"/>
      <c r="EB146" s="582"/>
      <c r="EC146" s="582"/>
      <c r="ED146" s="582"/>
      <c r="EE146" s="582"/>
      <c r="EF146" s="582"/>
      <c r="EG146" s="582"/>
      <c r="EH146" s="582"/>
      <c r="EI146" s="582"/>
      <c r="EJ146" s="582"/>
      <c r="EK146" s="582"/>
      <c r="EL146" s="582"/>
      <c r="EM146" s="582"/>
      <c r="EN146" s="582"/>
      <c r="EO146" s="582"/>
      <c r="EP146" s="586"/>
      <c r="EQ146" s="582"/>
    </row>
    <row r="147" spans="1:147" s="589" customFormat="1" ht="12.95" outlineLevel="2">
      <c r="A147"/>
      <c r="B147"/>
      <c r="C147"/>
      <c r="D147"/>
      <c r="E147"/>
      <c r="F147"/>
      <c r="G147"/>
      <c r="I147" s="590" t="s">
        <v>1668</v>
      </c>
      <c r="J147" s="591"/>
      <c r="K147" s="591"/>
      <c r="L147" s="591"/>
      <c r="M147" s="592"/>
      <c r="N147" s="593"/>
      <c r="O147" s="591"/>
      <c r="P147" s="591"/>
      <c r="Q147" s="592"/>
      <c r="R147" s="593"/>
      <c r="S147" s="591"/>
      <c r="T147" s="591"/>
      <c r="U147" s="592"/>
      <c r="V147" s="593"/>
      <c r="W147" s="591"/>
      <c r="X147" s="591"/>
      <c r="Y147" s="592"/>
      <c r="Z147" s="593"/>
      <c r="AA147" s="591"/>
      <c r="AB147" s="591"/>
      <c r="AC147" s="592"/>
      <c r="AD147" s="593"/>
      <c r="AE147" s="591"/>
      <c r="AF147" s="591"/>
      <c r="AG147" s="592"/>
      <c r="AH147" s="593"/>
      <c r="AI147" s="591"/>
      <c r="AJ147" s="591"/>
      <c r="AK147" s="592"/>
      <c r="AL147" s="593"/>
      <c r="AM147" s="591"/>
      <c r="AN147" s="591"/>
      <c r="AO147" s="592"/>
      <c r="AP147" s="593"/>
      <c r="AQ147" s="591"/>
      <c r="AR147" s="591"/>
      <c r="AS147" s="592"/>
      <c r="AT147" s="593"/>
      <c r="AU147" s="591"/>
      <c r="AV147" s="591"/>
      <c r="AW147" s="592"/>
      <c r="AX147" s="593"/>
      <c r="AY147" s="591"/>
      <c r="AZ147" s="591"/>
      <c r="BA147" s="592"/>
      <c r="BB147" s="594"/>
      <c r="BC147" s="357"/>
      <c r="BD147" s="357"/>
      <c r="BE147" s="592"/>
      <c r="BF147" s="594"/>
      <c r="BG147" s="357"/>
      <c r="BH147" s="357"/>
      <c r="BI147" s="592"/>
      <c r="BJ147" s="594"/>
      <c r="BK147" s="357"/>
      <c r="BL147" s="357"/>
      <c r="BM147" s="592"/>
      <c r="BN147" s="594"/>
      <c r="BO147" s="357"/>
      <c r="BP147" s="357"/>
      <c r="BQ147" s="592"/>
      <c r="BR147" s="594"/>
      <c r="BS147" s="357"/>
      <c r="BT147" s="357"/>
      <c r="BU147" s="592"/>
      <c r="BV147" s="412"/>
      <c r="BW147" s="357"/>
      <c r="BX147" s="357"/>
      <c r="BY147" s="592"/>
      <c r="BZ147" s="357"/>
      <c r="CA147" s="357"/>
      <c r="CB147" s="357"/>
      <c r="CC147" s="592"/>
      <c r="CD147" s="357"/>
      <c r="CE147" s="357"/>
      <c r="CF147" s="357"/>
      <c r="CG147" s="592"/>
      <c r="CH147" s="357"/>
      <c r="CI147" s="357"/>
      <c r="CJ147" s="357"/>
      <c r="CK147" s="592"/>
      <c r="CL147" s="357"/>
      <c r="CM147" s="357"/>
      <c r="CN147" s="357"/>
      <c r="CO147" s="592"/>
      <c r="CP147" s="594"/>
      <c r="CQ147" s="357"/>
      <c r="CR147" s="357"/>
      <c r="CS147" s="592"/>
      <c r="CT147" s="594"/>
      <c r="CU147" s="357"/>
      <c r="CV147" s="357"/>
      <c r="CW147" s="592"/>
      <c r="CX147" s="357"/>
      <c r="CY147" s="357"/>
      <c r="CZ147" s="357"/>
      <c r="DA147" s="592"/>
      <c r="DB147" s="357"/>
      <c r="DC147" s="357"/>
      <c r="DD147" s="357"/>
      <c r="DE147" s="592"/>
      <c r="DF147" s="357"/>
      <c r="DG147" s="357"/>
      <c r="DH147" s="357"/>
      <c r="DI147" s="592"/>
      <c r="DJ147" s="364"/>
      <c r="DK147" s="593"/>
      <c r="DL147" s="591"/>
      <c r="DM147" s="591"/>
      <c r="DN147" s="591"/>
      <c r="DO147" s="591"/>
      <c r="DP147" s="591"/>
      <c r="DQ147" s="591"/>
      <c r="DR147" s="591"/>
      <c r="DS147" s="591"/>
      <c r="DT147" s="595"/>
      <c r="DU147" s="595"/>
      <c r="DV147" s="595"/>
      <c r="DW147" s="595"/>
      <c r="DX147" s="595"/>
      <c r="DY147" s="595"/>
      <c r="DZ147" s="595"/>
      <c r="EA147" s="595"/>
      <c r="EB147" s="357"/>
      <c r="EC147" s="356"/>
      <c r="ED147" s="356"/>
      <c r="EE147" s="356"/>
      <c r="EF147" s="356"/>
      <c r="EG147" s="357"/>
      <c r="EH147" s="357"/>
      <c r="EI147" s="357"/>
      <c r="EJ147" s="357"/>
      <c r="EK147" s="357"/>
      <c r="EL147" s="357"/>
      <c r="EM147" s="357"/>
      <c r="EN147" s="357"/>
      <c r="EO147" s="357"/>
      <c r="EP147" s="594"/>
      <c r="EQ147" s="357"/>
    </row>
    <row r="148" spans="1:147" s="596" customFormat="1" ht="12.95" outlineLevel="2">
      <c r="A148" s="546"/>
      <c r="B148"/>
      <c r="C148"/>
      <c r="D148"/>
      <c r="E148"/>
      <c r="F148"/>
      <c r="G148"/>
      <c r="I148" s="597" t="s">
        <v>187</v>
      </c>
      <c r="J148" s="409"/>
      <c r="K148" s="409"/>
      <c r="L148" s="409"/>
      <c r="M148" s="410"/>
      <c r="N148" s="409"/>
      <c r="O148" s="409"/>
      <c r="P148" s="409"/>
      <c r="Q148" s="410"/>
      <c r="R148" s="598"/>
      <c r="S148" s="409"/>
      <c r="T148" s="409"/>
      <c r="U148" s="410"/>
      <c r="V148" s="598"/>
      <c r="W148" s="409"/>
      <c r="X148" s="409"/>
      <c r="Y148" s="410"/>
      <c r="Z148" s="598"/>
      <c r="AA148" s="409"/>
      <c r="AB148" s="409"/>
      <c r="AC148" s="410"/>
      <c r="AD148" s="598"/>
      <c r="AE148" s="409"/>
      <c r="AF148" s="409"/>
      <c r="AG148" s="410"/>
      <c r="AH148" s="598"/>
      <c r="AI148" s="409"/>
      <c r="AJ148" s="409"/>
      <c r="AK148" s="410"/>
      <c r="AL148" s="598"/>
      <c r="AM148" s="409"/>
      <c r="AN148" s="409"/>
      <c r="AO148" s="410"/>
      <c r="AP148" s="598"/>
      <c r="AQ148" s="409"/>
      <c r="AR148" s="409"/>
      <c r="AS148" s="410"/>
      <c r="AT148" s="409"/>
      <c r="AU148" s="409"/>
      <c r="AV148" s="409"/>
      <c r="AW148" s="410"/>
      <c r="AX148" s="598"/>
      <c r="AY148" s="409"/>
      <c r="AZ148" s="409"/>
      <c r="BA148" s="410"/>
      <c r="BB148" s="598"/>
      <c r="BC148" s="409"/>
      <c r="BD148" s="409"/>
      <c r="BE148" s="410"/>
      <c r="BF148" s="598"/>
      <c r="BG148" s="409"/>
      <c r="BH148" s="409"/>
      <c r="BI148" s="410"/>
      <c r="BJ148" s="598"/>
      <c r="BK148" s="409"/>
      <c r="BL148" s="409"/>
      <c r="BM148" s="410"/>
      <c r="BN148" s="598"/>
      <c r="BO148" s="409"/>
      <c r="BP148" s="409"/>
      <c r="BQ148" s="410"/>
      <c r="BR148" s="409"/>
      <c r="BS148" s="409"/>
      <c r="BT148" s="409"/>
      <c r="BU148" s="410"/>
      <c r="BV148" s="409"/>
      <c r="BW148" s="409"/>
      <c r="BX148" s="409"/>
      <c r="BY148" s="410"/>
      <c r="BZ148" s="409"/>
      <c r="CA148" s="409"/>
      <c r="CB148" s="409"/>
      <c r="CC148" s="410"/>
      <c r="CD148" s="409"/>
      <c r="CE148" s="409"/>
      <c r="CF148" s="409"/>
      <c r="CG148" s="410"/>
      <c r="CH148" s="409"/>
      <c r="CI148" s="409"/>
      <c r="CJ148" s="409"/>
      <c r="CK148" s="410"/>
      <c r="CL148" s="409"/>
      <c r="CM148" s="409"/>
      <c r="CN148" s="409"/>
      <c r="CO148" s="410"/>
      <c r="CP148" s="598"/>
      <c r="CQ148" s="409"/>
      <c r="CR148" s="409"/>
      <c r="CS148" s="410"/>
      <c r="CT148" s="598"/>
      <c r="CU148" s="409"/>
      <c r="CV148" s="409"/>
      <c r="CW148" s="410"/>
      <c r="CX148" s="409"/>
      <c r="CY148" s="409"/>
      <c r="CZ148" s="409"/>
      <c r="DA148" s="410"/>
      <c r="DB148" s="409"/>
      <c r="DC148" s="409"/>
      <c r="DD148" s="409"/>
      <c r="DE148" s="410"/>
      <c r="DF148" s="409"/>
      <c r="DG148" s="409"/>
      <c r="DH148" s="409"/>
      <c r="DI148" s="410"/>
      <c r="DJ148" s="543"/>
      <c r="DK148" s="598"/>
      <c r="DL148" s="409"/>
      <c r="DM148" s="409"/>
      <c r="DN148" s="409"/>
      <c r="DO148" s="409"/>
      <c r="DP148" s="409"/>
      <c r="DQ148" s="409"/>
      <c r="DR148" s="409"/>
      <c r="DS148" s="409"/>
      <c r="DT148" s="386"/>
      <c r="DU148" s="386"/>
      <c r="DV148" s="386"/>
      <c r="DW148" s="386"/>
      <c r="DX148" s="386"/>
      <c r="DY148" s="386"/>
      <c r="DZ148" s="386"/>
      <c r="EA148" s="386"/>
      <c r="EB148" s="409"/>
      <c r="EC148" s="386"/>
      <c r="ED148" s="386"/>
      <c r="EE148" s="386"/>
      <c r="EF148" s="386"/>
      <c r="EG148" s="409"/>
      <c r="EH148" s="409"/>
      <c r="EI148" s="409"/>
      <c r="EJ148" s="409"/>
      <c r="EK148" s="409"/>
      <c r="EL148" s="409"/>
      <c r="EM148" s="409"/>
      <c r="EN148" s="409"/>
      <c r="EO148" s="409"/>
      <c r="EP148" s="598"/>
      <c r="EQ148" s="409"/>
    </row>
    <row r="149" spans="1:147" s="596" customFormat="1" ht="12.95" outlineLevel="2">
      <c r="A149" s="546"/>
      <c r="B149"/>
      <c r="C149"/>
      <c r="D149"/>
      <c r="E149"/>
      <c r="F149"/>
      <c r="G149"/>
      <c r="I149" s="597" t="s">
        <v>766</v>
      </c>
      <c r="J149" s="559"/>
      <c r="K149" s="559"/>
      <c r="L149" s="559"/>
      <c r="M149" s="560"/>
      <c r="N149" s="559"/>
      <c r="O149" s="559"/>
      <c r="P149" s="559"/>
      <c r="Q149" s="560"/>
      <c r="R149" s="561"/>
      <c r="S149" s="559"/>
      <c r="T149" s="559"/>
      <c r="U149" s="560"/>
      <c r="V149" s="561"/>
      <c r="W149" s="559"/>
      <c r="X149" s="559"/>
      <c r="Y149" s="560"/>
      <c r="Z149" s="561"/>
      <c r="AA149" s="559"/>
      <c r="AB149" s="559"/>
      <c r="AC149" s="560"/>
      <c r="AD149" s="561"/>
      <c r="AE149" s="559"/>
      <c r="AF149" s="559"/>
      <c r="AG149" s="560"/>
      <c r="AH149" s="561"/>
      <c r="AI149" s="559"/>
      <c r="AJ149" s="559"/>
      <c r="AK149" s="560"/>
      <c r="AL149" s="561"/>
      <c r="AM149" s="559"/>
      <c r="AN149" s="559"/>
      <c r="AO149" s="560"/>
      <c r="AP149" s="561"/>
      <c r="AQ149" s="559"/>
      <c r="AR149" s="559"/>
      <c r="AS149" s="560"/>
      <c r="AT149" s="559"/>
      <c r="AU149" s="559"/>
      <c r="AV149" s="559"/>
      <c r="AW149" s="560"/>
      <c r="AX149" s="559"/>
      <c r="AY149" s="559"/>
      <c r="AZ149" s="559"/>
      <c r="BA149" s="560"/>
      <c r="BB149" s="599">
        <v>18.25</v>
      </c>
      <c r="BC149" s="562">
        <v>18.25</v>
      </c>
      <c r="BD149" s="562">
        <v>18.25</v>
      </c>
      <c r="BE149" s="562">
        <v>18.25</v>
      </c>
      <c r="BF149" s="599">
        <v>7.5</v>
      </c>
      <c r="BG149" s="562">
        <v>7.5</v>
      </c>
      <c r="BH149" s="461">
        <v>7.5</v>
      </c>
      <c r="BI149" s="600">
        <v>7.5</v>
      </c>
      <c r="BJ149" s="599">
        <v>6</v>
      </c>
      <c r="BK149" s="562">
        <v>6</v>
      </c>
      <c r="BL149" s="461">
        <v>6</v>
      </c>
      <c r="BM149" s="600">
        <v>6</v>
      </c>
      <c r="BN149" s="599">
        <v>3.5</v>
      </c>
      <c r="BO149" s="562">
        <v>3.5</v>
      </c>
      <c r="BP149" s="461">
        <v>3.5</v>
      </c>
      <c r="BQ149" s="600">
        <v>3.5</v>
      </c>
      <c r="BR149" s="562">
        <v>2</v>
      </c>
      <c r="BS149" s="562">
        <v>2</v>
      </c>
      <c r="BT149" s="461">
        <v>2</v>
      </c>
      <c r="BU149" s="600">
        <v>2</v>
      </c>
      <c r="BV149" s="448">
        <v>81</v>
      </c>
      <c r="BW149" s="562">
        <v>203</v>
      </c>
      <c r="BX149" s="562">
        <v>211</v>
      </c>
      <c r="BY149" s="600">
        <v>212</v>
      </c>
      <c r="BZ149" s="448">
        <v>190</v>
      </c>
      <c r="CA149" s="562">
        <v>194</v>
      </c>
      <c r="CB149" s="562">
        <v>187</v>
      </c>
      <c r="CC149" s="600">
        <v>185</v>
      </c>
      <c r="CD149" s="448">
        <v>119</v>
      </c>
      <c r="CE149" s="562">
        <v>77</v>
      </c>
      <c r="CF149" s="562">
        <v>83</v>
      </c>
      <c r="CG149" s="600">
        <v>91</v>
      </c>
      <c r="CH149" s="448">
        <v>54</v>
      </c>
      <c r="CI149" s="562">
        <v>47</v>
      </c>
      <c r="CJ149" s="562">
        <v>50</v>
      </c>
      <c r="CK149" s="600">
        <v>56</v>
      </c>
      <c r="CL149" s="448">
        <v>33</v>
      </c>
      <c r="CM149" s="562">
        <v>14</v>
      </c>
      <c r="CN149" s="562">
        <v>16</v>
      </c>
      <c r="CO149" s="600">
        <v>18</v>
      </c>
      <c r="CP149" s="450">
        <v>5</v>
      </c>
      <c r="CQ149" s="448">
        <v>2</v>
      </c>
      <c r="CR149" s="562">
        <v>2</v>
      </c>
      <c r="CS149" s="600">
        <v>2</v>
      </c>
      <c r="CT149" s="450">
        <v>2</v>
      </c>
      <c r="CU149" s="448">
        <v>2</v>
      </c>
      <c r="CV149" s="562">
        <v>2</v>
      </c>
      <c r="CW149" s="600">
        <v>2</v>
      </c>
      <c r="CX149" s="559"/>
      <c r="CY149" s="559"/>
      <c r="CZ149" s="559"/>
      <c r="DA149" s="560"/>
      <c r="DB149" s="559"/>
      <c r="DC149" s="559"/>
      <c r="DD149" s="559"/>
      <c r="DE149" s="560"/>
      <c r="DF149" s="559"/>
      <c r="DG149" s="559"/>
      <c r="DH149" s="559"/>
      <c r="DI149" s="560"/>
      <c r="DJ149" s="560"/>
      <c r="DK149" s="561"/>
      <c r="DL149" s="559"/>
      <c r="DM149" s="559"/>
      <c r="DN149" s="559"/>
      <c r="DO149" s="559"/>
      <c r="DP149" s="559"/>
      <c r="DQ149" s="559"/>
      <c r="DR149" s="559"/>
      <c r="DS149" s="559"/>
      <c r="DT149" s="369"/>
      <c r="DU149" s="448">
        <v>130</v>
      </c>
      <c r="DV149" s="448">
        <v>73</v>
      </c>
      <c r="DW149" s="448">
        <v>30</v>
      </c>
      <c r="DX149" s="448">
        <v>24</v>
      </c>
      <c r="DY149" s="448">
        <v>14</v>
      </c>
      <c r="DZ149" s="448">
        <v>8</v>
      </c>
      <c r="EA149" s="448">
        <v>707</v>
      </c>
      <c r="EB149" s="448">
        <v>756</v>
      </c>
      <c r="EC149" s="448">
        <v>370</v>
      </c>
      <c r="ED149" s="448">
        <v>207</v>
      </c>
      <c r="EE149" s="448">
        <v>81</v>
      </c>
      <c r="EF149" s="448">
        <v>11</v>
      </c>
      <c r="EG149" s="448">
        <v>8</v>
      </c>
      <c r="EH149" s="562">
        <v>0</v>
      </c>
      <c r="EI149" s="562">
        <v>0</v>
      </c>
      <c r="EJ149" s="562">
        <v>0</v>
      </c>
      <c r="EK149" s="562">
        <v>0</v>
      </c>
      <c r="EL149" s="562">
        <v>0</v>
      </c>
      <c r="EM149" s="562">
        <v>0</v>
      </c>
      <c r="EN149" s="562">
        <v>0</v>
      </c>
      <c r="EO149" s="562">
        <v>0</v>
      </c>
      <c r="EP149" s="598"/>
      <c r="EQ149" s="409"/>
    </row>
    <row r="150" spans="1:147" s="613" customFormat="1" outlineLevel="2">
      <c r="A150" s="601"/>
      <c r="B150"/>
      <c r="C150"/>
      <c r="D150"/>
      <c r="E150"/>
      <c r="F150"/>
      <c r="G150"/>
      <c r="H150" s="602"/>
      <c r="I150" s="603" t="s">
        <v>1669</v>
      </c>
      <c r="J150" s="604"/>
      <c r="K150" s="604"/>
      <c r="L150" s="604"/>
      <c r="M150" s="605"/>
      <c r="N150" s="604"/>
      <c r="O150" s="604"/>
      <c r="P150" s="604"/>
      <c r="Q150" s="604"/>
      <c r="R150" s="606"/>
      <c r="S150" s="604"/>
      <c r="T150" s="604"/>
      <c r="U150" s="605"/>
      <c r="V150" s="604"/>
      <c r="W150" s="604"/>
      <c r="X150" s="604"/>
      <c r="Y150" s="604"/>
      <c r="Z150" s="606"/>
      <c r="AA150" s="604"/>
      <c r="AB150" s="604"/>
      <c r="AC150" s="604"/>
      <c r="AD150" s="606"/>
      <c r="AE150" s="604"/>
      <c r="AF150" s="604"/>
      <c r="AG150" s="604"/>
      <c r="AH150" s="606"/>
      <c r="AI150" s="604"/>
      <c r="AJ150" s="604"/>
      <c r="AK150" s="604"/>
      <c r="AL150" s="606"/>
      <c r="AM150" s="604"/>
      <c r="AN150" s="604"/>
      <c r="AO150" s="605"/>
      <c r="AP150" s="604"/>
      <c r="AQ150" s="604"/>
      <c r="AR150" s="604"/>
      <c r="AS150" s="605"/>
      <c r="AT150" s="604"/>
      <c r="AU150" s="604"/>
      <c r="AV150" s="604"/>
      <c r="AW150" s="605"/>
      <c r="AX150" s="604">
        <v>0</v>
      </c>
      <c r="AY150" s="604">
        <v>0</v>
      </c>
      <c r="AZ150" s="604">
        <v>0</v>
      </c>
      <c r="BA150" s="604">
        <v>0</v>
      </c>
      <c r="BB150" s="606">
        <v>1.2594893029675638E-2</v>
      </c>
      <c r="BC150" s="604">
        <v>1.5924956369982549E-2</v>
      </c>
      <c r="BD150" s="607">
        <v>2.420424403183024E-2</v>
      </c>
      <c r="BE150" s="604">
        <v>1.2970859985785359E-2</v>
      </c>
      <c r="BF150" s="608">
        <v>6.3993174061433445E-3</v>
      </c>
      <c r="BG150" s="607">
        <v>6.9767441860465115E-3</v>
      </c>
      <c r="BH150" s="607">
        <v>8.9179548156956001E-3</v>
      </c>
      <c r="BI150" s="607">
        <v>4.2420814479638006E-3</v>
      </c>
      <c r="BJ150" s="608">
        <v>4.5317220543806651E-3</v>
      </c>
      <c r="BK150" s="607">
        <v>5.7142857142857143E-3</v>
      </c>
      <c r="BL150" s="607">
        <v>8.6830680173661367E-3</v>
      </c>
      <c r="BM150" s="607">
        <v>3.952569169960474E-3</v>
      </c>
      <c r="BN150" s="608">
        <v>3.1503150315031502E-3</v>
      </c>
      <c r="BO150" s="607">
        <v>3.6082474226804126E-3</v>
      </c>
      <c r="BP150" s="607">
        <v>4.6480743691899072E-3</v>
      </c>
      <c r="BQ150" s="609">
        <v>2.2222222222222222E-3</v>
      </c>
      <c r="BR150" s="607">
        <v>1.5649452269170579E-3</v>
      </c>
      <c r="BS150" s="607">
        <v>1.9157088122605363E-3</v>
      </c>
      <c r="BT150" s="607">
        <v>2.0202020202020202E-3</v>
      </c>
      <c r="BU150" s="609">
        <v>1.4781966001478197E-3</v>
      </c>
      <c r="BV150" s="607">
        <v>5.5670103092783509E-2</v>
      </c>
      <c r="BW150" s="607">
        <v>0.12929936305732484</v>
      </c>
      <c r="BX150" s="607">
        <v>0.13456632653061223</v>
      </c>
      <c r="BY150" s="609">
        <v>0.10526315789473684</v>
      </c>
      <c r="BZ150" s="607">
        <v>0.1100811123986095</v>
      </c>
      <c r="CA150" s="607">
        <v>0.11894543225015328</v>
      </c>
      <c r="CB150" s="607">
        <v>0.11557478368355995</v>
      </c>
      <c r="CC150" s="609">
        <v>9.0553108174253549E-2</v>
      </c>
      <c r="CD150" s="607">
        <v>6.0559796437659033E-2</v>
      </c>
      <c r="CE150" s="607">
        <v>4.692260816575259E-2</v>
      </c>
      <c r="CF150" s="607">
        <v>5.4894179894179891E-2</v>
      </c>
      <c r="CG150" s="609">
        <v>3.8219235615287693E-2</v>
      </c>
      <c r="CH150" s="607">
        <v>2.958904109589041E-2</v>
      </c>
      <c r="CI150" s="607">
        <v>3.36676217765043E-2</v>
      </c>
      <c r="CJ150" s="607">
        <v>3.9001560062402497E-2</v>
      </c>
      <c r="CK150" s="609">
        <v>2.8197381671701913E-2</v>
      </c>
      <c r="CL150" s="607">
        <v>1.8456375838926176E-2</v>
      </c>
      <c r="CM150" s="607">
        <v>7.246376811594203E-3</v>
      </c>
      <c r="CN150" s="607">
        <v>8.1883316274309111E-3</v>
      </c>
      <c r="CO150" s="609">
        <v>7.4595938665561546E-3</v>
      </c>
      <c r="CP150" s="608">
        <v>2.1978021978021978E-3</v>
      </c>
      <c r="CQ150" s="607">
        <v>8.710801393728223E-4</v>
      </c>
      <c r="CR150" s="607">
        <v>9.6618357487922703E-4</v>
      </c>
      <c r="CS150" s="609">
        <v>7.099825292233707E-4</v>
      </c>
      <c r="CT150" s="608">
        <v>1.2362269389124473E-3</v>
      </c>
      <c r="CU150" s="607">
        <v>1.260280724708714E-3</v>
      </c>
      <c r="CV150" s="607">
        <v>9.4621281870139442E-4</v>
      </c>
      <c r="CW150" s="609">
        <v>5.6163364211620371E-4</v>
      </c>
      <c r="CX150" s="610"/>
      <c r="CY150" s="610"/>
      <c r="CZ150" s="610"/>
      <c r="DA150" s="611"/>
      <c r="DB150" s="610"/>
      <c r="DC150" s="610"/>
      <c r="DD150" s="610"/>
      <c r="DE150" s="611"/>
      <c r="DF150" s="610"/>
      <c r="DG150" s="610"/>
      <c r="DH150" s="610"/>
      <c r="DI150" s="611"/>
      <c r="DJ150" s="605"/>
      <c r="DK150" s="606"/>
      <c r="DL150" s="604"/>
      <c r="DM150" s="604"/>
      <c r="DN150" s="604"/>
      <c r="DO150" s="604"/>
      <c r="DP150" s="604"/>
      <c r="DQ150" s="604"/>
      <c r="DR150" s="604"/>
      <c r="DS150" s="604"/>
      <c r="DT150" s="607"/>
      <c r="DU150" s="607">
        <v>2.9233190915223747E-2</v>
      </c>
      <c r="DV150" s="607">
        <v>1.5349032800672834E-2</v>
      </c>
      <c r="DW150" s="607">
        <v>6.1779242174629326E-3</v>
      </c>
      <c r="DX150" s="607">
        <v>5.236744490508401E-3</v>
      </c>
      <c r="DY150" s="607">
        <v>3.1753232025402587E-3</v>
      </c>
      <c r="DZ150" s="607">
        <v>1.7148981779206859E-3</v>
      </c>
      <c r="EA150" s="607">
        <v>0.10700771908581808</v>
      </c>
      <c r="EB150" s="607">
        <v>0.10772299800512966</v>
      </c>
      <c r="EC150" s="607">
        <v>4.9339911988265102E-2</v>
      </c>
      <c r="ED150" s="607">
        <v>3.1900138696255201E-2</v>
      </c>
      <c r="EE150" s="607">
        <v>1.0016075182391492E-2</v>
      </c>
      <c r="EF150" s="607">
        <v>1.1630401827171122E-3</v>
      </c>
      <c r="EG150" s="607">
        <v>9.0095126621393912E-4</v>
      </c>
      <c r="EH150" s="607">
        <v>0</v>
      </c>
      <c r="EI150" s="607">
        <v>0</v>
      </c>
      <c r="EJ150" s="607">
        <v>0</v>
      </c>
      <c r="EK150" s="607">
        <v>0</v>
      </c>
      <c r="EL150" s="607">
        <v>0</v>
      </c>
      <c r="EM150" s="607">
        <v>0</v>
      </c>
      <c r="EN150" s="607">
        <v>0</v>
      </c>
      <c r="EO150" s="607">
        <v>0</v>
      </c>
      <c r="EP150" s="606"/>
      <c r="EQ150" s="612"/>
    </row>
    <row r="151" spans="1:147" s="596" customFormat="1" ht="12.95" outlineLevel="2">
      <c r="A151" s="546"/>
      <c r="B151"/>
      <c r="C151"/>
      <c r="D151"/>
      <c r="E151"/>
      <c r="F151"/>
      <c r="G151"/>
      <c r="I151" s="597" t="s">
        <v>801</v>
      </c>
      <c r="J151" s="559"/>
      <c r="K151" s="559"/>
      <c r="L151" s="559"/>
      <c r="M151" s="560"/>
      <c r="N151" s="559"/>
      <c r="O151" s="559"/>
      <c r="P151" s="559"/>
      <c r="Q151" s="560"/>
      <c r="R151" s="559"/>
      <c r="S151" s="559"/>
      <c r="T151" s="559"/>
      <c r="U151" s="560"/>
      <c r="V151" s="559"/>
      <c r="W151" s="559"/>
      <c r="X151" s="559"/>
      <c r="Y151" s="559"/>
      <c r="Z151" s="561"/>
      <c r="AA151" s="559"/>
      <c r="AB151" s="559"/>
      <c r="AC151" s="560"/>
      <c r="AD151" s="559"/>
      <c r="AE151" s="559"/>
      <c r="AF151" s="559"/>
      <c r="AG151" s="559"/>
      <c r="AH151" s="561"/>
      <c r="AI151" s="559"/>
      <c r="AJ151" s="559"/>
      <c r="AK151" s="559"/>
      <c r="AL151" s="561"/>
      <c r="AM151" s="559"/>
      <c r="AN151" s="559"/>
      <c r="AO151" s="560"/>
      <c r="AP151" s="559"/>
      <c r="AQ151" s="559"/>
      <c r="AR151" s="559"/>
      <c r="AS151" s="560"/>
      <c r="AT151" s="559"/>
      <c r="AU151" s="559"/>
      <c r="AV151" s="559"/>
      <c r="AW151" s="560"/>
      <c r="AX151" s="559">
        <v>0</v>
      </c>
      <c r="AY151" s="559">
        <v>0</v>
      </c>
      <c r="AZ151" s="559">
        <v>0</v>
      </c>
      <c r="BA151" s="559">
        <v>0</v>
      </c>
      <c r="BB151" s="599">
        <v>7.75</v>
      </c>
      <c r="BC151" s="562">
        <v>7.75</v>
      </c>
      <c r="BD151" s="448">
        <v>6.75</v>
      </c>
      <c r="BE151" s="562">
        <v>52.75</v>
      </c>
      <c r="BF151" s="450">
        <v>15.5</v>
      </c>
      <c r="BG151" s="448">
        <v>14.5</v>
      </c>
      <c r="BH151" s="448">
        <v>16.5</v>
      </c>
      <c r="BI151" s="448">
        <v>43.5</v>
      </c>
      <c r="BJ151" s="450">
        <v>18</v>
      </c>
      <c r="BK151" s="448">
        <v>17</v>
      </c>
      <c r="BL151" s="448">
        <v>15</v>
      </c>
      <c r="BM151" s="448">
        <v>34</v>
      </c>
      <c r="BN151" s="450">
        <v>15.5</v>
      </c>
      <c r="BO151" s="448">
        <v>15.5</v>
      </c>
      <c r="BP151" s="448">
        <v>19.5</v>
      </c>
      <c r="BQ151" s="449">
        <v>25.5</v>
      </c>
      <c r="BR151" s="448">
        <v>18</v>
      </c>
      <c r="BS151" s="448">
        <v>18</v>
      </c>
      <c r="BT151" s="448">
        <v>23</v>
      </c>
      <c r="BU151" s="449">
        <v>28</v>
      </c>
      <c r="BV151" s="448">
        <v>26</v>
      </c>
      <c r="BW151" s="448">
        <v>31</v>
      </c>
      <c r="BX151" s="448">
        <v>32</v>
      </c>
      <c r="BY151" s="449">
        <v>33</v>
      </c>
      <c r="BZ151" s="448">
        <v>34</v>
      </c>
      <c r="CA151" s="448">
        <v>32</v>
      </c>
      <c r="CB151" s="448">
        <v>33</v>
      </c>
      <c r="CC151" s="449">
        <v>33</v>
      </c>
      <c r="CD151" s="448">
        <v>36</v>
      </c>
      <c r="CE151" s="448">
        <v>35</v>
      </c>
      <c r="CF151" s="448">
        <v>35</v>
      </c>
      <c r="CG151" s="449">
        <v>33</v>
      </c>
      <c r="CH151" s="448">
        <v>33</v>
      </c>
      <c r="CI151" s="448">
        <v>32</v>
      </c>
      <c r="CJ151" s="448">
        <v>30</v>
      </c>
      <c r="CK151" s="449">
        <v>26</v>
      </c>
      <c r="CL151" s="448">
        <v>29</v>
      </c>
      <c r="CM151" s="448">
        <v>30</v>
      </c>
      <c r="CN151" s="448">
        <v>30</v>
      </c>
      <c r="CO151" s="449">
        <v>27</v>
      </c>
      <c r="CP151" s="450">
        <v>28</v>
      </c>
      <c r="CQ151" s="448">
        <v>26</v>
      </c>
      <c r="CR151" s="448">
        <v>25</v>
      </c>
      <c r="CS151" s="600">
        <v>36.878770819201982</v>
      </c>
      <c r="CT151" s="450">
        <v>26.239906061051261</v>
      </c>
      <c r="CU151" s="448">
        <v>24.642049991120743</v>
      </c>
      <c r="CV151" s="448">
        <v>38.046409104251275</v>
      </c>
      <c r="CW151" s="600">
        <v>64.098724329180214</v>
      </c>
      <c r="CX151" s="559"/>
      <c r="CY151" s="559"/>
      <c r="CZ151" s="559"/>
      <c r="DA151" s="560"/>
      <c r="DB151" s="559"/>
      <c r="DC151" s="559"/>
      <c r="DD151" s="559"/>
      <c r="DE151" s="560"/>
      <c r="DF151" s="559"/>
      <c r="DG151" s="559"/>
      <c r="DH151" s="559"/>
      <c r="DI151" s="560"/>
      <c r="DJ151" s="560"/>
      <c r="DK151" s="561"/>
      <c r="DL151" s="559"/>
      <c r="DM151" s="559"/>
      <c r="DN151" s="559"/>
      <c r="DO151" s="559"/>
      <c r="DP151" s="559"/>
      <c r="DQ151" s="559"/>
      <c r="DR151" s="559"/>
      <c r="DS151" s="559"/>
      <c r="DT151" s="369"/>
      <c r="DU151" s="507">
        <v>68</v>
      </c>
      <c r="DV151" s="507">
        <v>75</v>
      </c>
      <c r="DW151" s="507">
        <v>90</v>
      </c>
      <c r="DX151" s="507">
        <v>84</v>
      </c>
      <c r="DY151" s="507">
        <v>76</v>
      </c>
      <c r="DZ151" s="448">
        <v>87</v>
      </c>
      <c r="EA151" s="448">
        <v>122</v>
      </c>
      <c r="EB151" s="448">
        <v>132</v>
      </c>
      <c r="EC151" s="448">
        <v>139</v>
      </c>
      <c r="ED151" s="448">
        <v>121</v>
      </c>
      <c r="EE151" s="448">
        <v>116</v>
      </c>
      <c r="EF151" s="448">
        <v>115.87877081920197</v>
      </c>
      <c r="EG151" s="448">
        <v>153.02708948560348</v>
      </c>
      <c r="EH151" s="562">
        <v>178.43913293223679</v>
      </c>
      <c r="EI151" s="562">
        <v>165.75922207317078</v>
      </c>
      <c r="EJ151" s="562">
        <v>159.00567642373034</v>
      </c>
      <c r="EK151" s="562">
        <v>169.48401748842389</v>
      </c>
      <c r="EL151" s="562">
        <v>163.47862903266423</v>
      </c>
      <c r="EM151" s="562">
        <v>164.57788837296641</v>
      </c>
      <c r="EN151" s="562">
        <v>163.6826514701832</v>
      </c>
      <c r="EO151" s="562">
        <v>176.20245252308914</v>
      </c>
      <c r="EP151" s="598"/>
      <c r="EQ151" s="409"/>
    </row>
    <row r="152" spans="1:147" s="613" customFormat="1" outlineLevel="2">
      <c r="A152" s="601"/>
      <c r="B152"/>
      <c r="C152"/>
      <c r="D152"/>
      <c r="E152"/>
      <c r="F152"/>
      <c r="G152"/>
      <c r="H152" s="602"/>
      <c r="I152" s="603" t="s">
        <v>1669</v>
      </c>
      <c r="J152" s="604"/>
      <c r="K152" s="604"/>
      <c r="L152" s="604"/>
      <c r="M152" s="605"/>
      <c r="N152" s="604"/>
      <c r="O152" s="604"/>
      <c r="P152" s="604"/>
      <c r="Q152" s="605"/>
      <c r="R152" s="604"/>
      <c r="S152" s="604"/>
      <c r="T152" s="604"/>
      <c r="U152" s="605"/>
      <c r="V152" s="604"/>
      <c r="W152" s="604"/>
      <c r="X152" s="604"/>
      <c r="Y152" s="605"/>
      <c r="Z152" s="604"/>
      <c r="AA152" s="604"/>
      <c r="AB152" s="604"/>
      <c r="AC152" s="605"/>
      <c r="AD152" s="604"/>
      <c r="AE152" s="604"/>
      <c r="AF152" s="604"/>
      <c r="AG152" s="604"/>
      <c r="AH152" s="606"/>
      <c r="AI152" s="604"/>
      <c r="AJ152" s="604"/>
      <c r="AK152" s="605"/>
      <c r="AL152" s="604"/>
      <c r="AM152" s="604"/>
      <c r="AN152" s="604"/>
      <c r="AO152" s="605"/>
      <c r="AP152" s="604"/>
      <c r="AQ152" s="604"/>
      <c r="AR152" s="604"/>
      <c r="AS152" s="605"/>
      <c r="AT152" s="604"/>
      <c r="AU152" s="604"/>
      <c r="AV152" s="604"/>
      <c r="AW152" s="605"/>
      <c r="AX152" s="604">
        <v>0</v>
      </c>
      <c r="AY152" s="604">
        <v>0</v>
      </c>
      <c r="AZ152" s="604">
        <v>0</v>
      </c>
      <c r="BA152" s="604">
        <v>0</v>
      </c>
      <c r="BB152" s="606">
        <v>5.3485162180814351E-3</v>
      </c>
      <c r="BC152" s="604">
        <v>6.7626527050610816E-3</v>
      </c>
      <c r="BD152" s="607">
        <v>8.952254641909815E-3</v>
      </c>
      <c r="BE152" s="604">
        <v>3.7491115849324803E-2</v>
      </c>
      <c r="BF152" s="608">
        <v>1.3225255972696246E-2</v>
      </c>
      <c r="BG152" s="607">
        <v>1.3488372093023256E-2</v>
      </c>
      <c r="BH152" s="607">
        <v>1.9619500594530322E-2</v>
      </c>
      <c r="BI152" s="607">
        <v>2.4604072398190045E-2</v>
      </c>
      <c r="BJ152" s="608">
        <v>1.3595166163141994E-2</v>
      </c>
      <c r="BK152" s="607">
        <v>1.6190476190476189E-2</v>
      </c>
      <c r="BL152" s="607">
        <v>2.1707670043415339E-2</v>
      </c>
      <c r="BM152" s="607">
        <v>2.2397891963109356E-2</v>
      </c>
      <c r="BN152" s="608">
        <v>1.3951395139513951E-2</v>
      </c>
      <c r="BO152" s="607">
        <v>1.5979381443298968E-2</v>
      </c>
      <c r="BP152" s="607">
        <v>2.5896414342629483E-2</v>
      </c>
      <c r="BQ152" s="609">
        <v>1.6190476190476189E-2</v>
      </c>
      <c r="BR152" s="607">
        <v>1.4084507042253521E-2</v>
      </c>
      <c r="BS152" s="607">
        <v>1.7241379310344827E-2</v>
      </c>
      <c r="BT152" s="607">
        <v>2.3232323232323233E-2</v>
      </c>
      <c r="BU152" s="609">
        <v>2.0694752402069475E-2</v>
      </c>
      <c r="BV152" s="607">
        <v>1.7869415807560136E-2</v>
      </c>
      <c r="BW152" s="607">
        <v>1.9745222929936305E-2</v>
      </c>
      <c r="BX152" s="607">
        <v>2.0408163265306121E-2</v>
      </c>
      <c r="BY152" s="609">
        <v>1.6385302879841111E-2</v>
      </c>
      <c r="BZ152" s="607">
        <v>1.9698725376593278E-2</v>
      </c>
      <c r="CA152" s="607">
        <v>1.9619865113427344E-2</v>
      </c>
      <c r="CB152" s="607">
        <v>2.0395550061804699E-2</v>
      </c>
      <c r="CC152" s="609">
        <v>1.6152716593245228E-2</v>
      </c>
      <c r="CD152" s="607">
        <v>1.8320610687022901E-2</v>
      </c>
      <c r="CE152" s="607">
        <v>2.1328458257160267E-2</v>
      </c>
      <c r="CF152" s="607">
        <v>2.3148148148148147E-2</v>
      </c>
      <c r="CG152" s="609">
        <v>1.385972280554389E-2</v>
      </c>
      <c r="CH152" s="607">
        <v>1.8082191780821918E-2</v>
      </c>
      <c r="CI152" s="607">
        <v>2.2922636103151862E-2</v>
      </c>
      <c r="CJ152" s="607">
        <v>2.3400936037441498E-2</v>
      </c>
      <c r="CK152" s="609">
        <v>1.3091641490433032E-2</v>
      </c>
      <c r="CL152" s="607">
        <v>1.6219239373601788E-2</v>
      </c>
      <c r="CM152" s="607">
        <v>1.5527950310559006E-2</v>
      </c>
      <c r="CN152" s="607">
        <v>1.5353121801432957E-2</v>
      </c>
      <c r="CO152" s="609">
        <v>1.1189390799834231E-2</v>
      </c>
      <c r="CP152" s="608">
        <v>1.2307692307692308E-2</v>
      </c>
      <c r="CQ152" s="614">
        <v>1.1324041811846691E-2</v>
      </c>
      <c r="CR152" s="614">
        <v>1.2077294685990338E-2</v>
      </c>
      <c r="CS152" s="611">
        <v>1.3091641490433032E-2</v>
      </c>
      <c r="CT152" s="615">
        <v>1.6219239373601788E-2</v>
      </c>
      <c r="CU152" s="616">
        <v>1.5527950310559006E-2</v>
      </c>
      <c r="CV152" s="616">
        <v>1.7999999999999999E-2</v>
      </c>
      <c r="CW152" s="611">
        <v>1.7999999999999999E-2</v>
      </c>
      <c r="CX152" s="610"/>
      <c r="CY152" s="610"/>
      <c r="CZ152" s="610"/>
      <c r="DA152" s="611"/>
      <c r="DB152" s="610"/>
      <c r="DC152" s="610"/>
      <c r="DD152" s="610"/>
      <c r="DE152" s="611"/>
      <c r="DF152" s="610"/>
      <c r="DG152" s="610"/>
      <c r="DH152" s="610"/>
      <c r="DI152" s="611"/>
      <c r="DJ152" s="605"/>
      <c r="DK152" s="606"/>
      <c r="DL152" s="604"/>
      <c r="DM152" s="604"/>
      <c r="DN152" s="604"/>
      <c r="DO152" s="604"/>
      <c r="DP152" s="604"/>
      <c r="DQ152" s="604"/>
      <c r="DR152" s="604"/>
      <c r="DS152" s="604"/>
      <c r="DT152" s="607"/>
      <c r="DU152" s="607">
        <v>1.5291207555655498E-2</v>
      </c>
      <c r="DV152" s="607">
        <v>1.5769554247266612E-2</v>
      </c>
      <c r="DW152" s="607">
        <v>1.8533772652388796E-2</v>
      </c>
      <c r="DX152" s="607">
        <v>1.8328605716779401E-2</v>
      </c>
      <c r="DY152" s="607">
        <v>1.7237468813789975E-2</v>
      </c>
      <c r="DZ152" s="607">
        <v>1.864951768488746E-2</v>
      </c>
      <c r="EA152" s="607">
        <v>1.8465264113818679E-2</v>
      </c>
      <c r="EB152" s="607">
        <v>1.8808777429467086E-2</v>
      </c>
      <c r="EC152" s="607">
        <v>1.8535804773969863E-2</v>
      </c>
      <c r="ED152" s="607">
        <v>1.8646940977038066E-2</v>
      </c>
      <c r="EE152" s="607">
        <v>1.4344008903177941E-2</v>
      </c>
      <c r="EF152" s="607">
        <v>1.2251969707872639E-2</v>
      </c>
      <c r="EG152" s="607">
        <v>1.7233743754636027E-2</v>
      </c>
      <c r="EH152" s="610">
        <v>1.7233743754636027E-2</v>
      </c>
      <c r="EI152" s="610">
        <v>1.7000000000000001E-2</v>
      </c>
      <c r="EJ152" s="610">
        <v>1.7000000000000001E-2</v>
      </c>
      <c r="EK152" s="610">
        <v>1.7000000000000001E-2</v>
      </c>
      <c r="EL152" s="610">
        <v>1.7000000000000001E-2</v>
      </c>
      <c r="EM152" s="610">
        <v>1.7000000000000001E-2</v>
      </c>
      <c r="EN152" s="610">
        <v>1.7000000000000001E-2</v>
      </c>
      <c r="EO152" s="610">
        <v>1.7000000000000001E-2</v>
      </c>
      <c r="EP152" s="606"/>
      <c r="EQ152" s="612"/>
    </row>
    <row r="153" spans="1:147" s="596" customFormat="1" ht="12.95" outlineLevel="2">
      <c r="A153" s="546"/>
      <c r="B153"/>
      <c r="C153"/>
      <c r="D153"/>
      <c r="E153"/>
      <c r="F153"/>
      <c r="G153"/>
      <c r="I153" s="597" t="s">
        <v>1670</v>
      </c>
      <c r="J153" s="559"/>
      <c r="K153" s="559"/>
      <c r="L153" s="559"/>
      <c r="M153" s="560"/>
      <c r="N153" s="559"/>
      <c r="O153" s="559"/>
      <c r="P153" s="559"/>
      <c r="Q153" s="560"/>
      <c r="R153" s="559"/>
      <c r="S153" s="559"/>
      <c r="T153" s="559"/>
      <c r="U153" s="560"/>
      <c r="V153" s="559"/>
      <c r="W153" s="559"/>
      <c r="X153" s="559"/>
      <c r="Y153" s="560"/>
      <c r="Z153" s="559"/>
      <c r="AA153" s="559"/>
      <c r="AB153" s="559"/>
      <c r="AC153" s="560"/>
      <c r="AD153" s="559"/>
      <c r="AE153" s="559"/>
      <c r="AF153" s="559"/>
      <c r="AG153" s="560"/>
      <c r="AH153" s="559"/>
      <c r="AI153" s="559"/>
      <c r="AJ153" s="559"/>
      <c r="AK153" s="560"/>
      <c r="AL153" s="559"/>
      <c r="AM153" s="559"/>
      <c r="AN153" s="559"/>
      <c r="AO153" s="560"/>
      <c r="AP153" s="559"/>
      <c r="AQ153" s="559"/>
      <c r="AR153" s="559"/>
      <c r="AS153" s="560"/>
      <c r="AT153" s="559"/>
      <c r="AU153" s="559"/>
      <c r="AV153" s="559"/>
      <c r="AW153" s="560"/>
      <c r="AX153" s="559">
        <v>0</v>
      </c>
      <c r="AY153" s="559">
        <v>0</v>
      </c>
      <c r="AZ153" s="559">
        <v>0</v>
      </c>
      <c r="BA153" s="560">
        <v>0</v>
      </c>
      <c r="BB153" s="599">
        <v>26</v>
      </c>
      <c r="BC153" s="562">
        <v>26</v>
      </c>
      <c r="BD153" s="448">
        <v>25</v>
      </c>
      <c r="BE153" s="600">
        <v>71</v>
      </c>
      <c r="BF153" s="450">
        <v>23</v>
      </c>
      <c r="BG153" s="448">
        <v>22</v>
      </c>
      <c r="BH153" s="448">
        <v>24</v>
      </c>
      <c r="BI153" s="449">
        <v>51</v>
      </c>
      <c r="BJ153" s="450">
        <v>24</v>
      </c>
      <c r="BK153" s="448">
        <v>23</v>
      </c>
      <c r="BL153" s="448">
        <v>21</v>
      </c>
      <c r="BM153" s="449">
        <v>40</v>
      </c>
      <c r="BN153" s="450">
        <v>19</v>
      </c>
      <c r="BO153" s="448">
        <v>19</v>
      </c>
      <c r="BP153" s="448">
        <v>23</v>
      </c>
      <c r="BQ153" s="449">
        <v>29</v>
      </c>
      <c r="BR153" s="448">
        <v>20</v>
      </c>
      <c r="BS153" s="448">
        <v>20</v>
      </c>
      <c r="BT153" s="448">
        <v>25</v>
      </c>
      <c r="BU153" s="449">
        <v>30</v>
      </c>
      <c r="BV153" s="448">
        <v>107</v>
      </c>
      <c r="BW153" s="448">
        <v>234</v>
      </c>
      <c r="BX153" s="448">
        <v>243</v>
      </c>
      <c r="BY153" s="449">
        <v>245</v>
      </c>
      <c r="BZ153" s="448">
        <v>224</v>
      </c>
      <c r="CA153" s="448">
        <v>226</v>
      </c>
      <c r="CB153" s="448">
        <v>220</v>
      </c>
      <c r="CC153" s="449">
        <v>218</v>
      </c>
      <c r="CD153" s="448">
        <v>155</v>
      </c>
      <c r="CE153" s="448">
        <v>112</v>
      </c>
      <c r="CF153" s="448">
        <v>118</v>
      </c>
      <c r="CG153" s="449">
        <v>124</v>
      </c>
      <c r="CH153" s="448">
        <v>87</v>
      </c>
      <c r="CI153" s="448">
        <v>79</v>
      </c>
      <c r="CJ153" s="448">
        <v>80</v>
      </c>
      <c r="CK153" s="449">
        <v>82</v>
      </c>
      <c r="CL153" s="448">
        <v>62</v>
      </c>
      <c r="CM153" s="448">
        <v>44</v>
      </c>
      <c r="CN153" s="448">
        <v>46</v>
      </c>
      <c r="CO153" s="449">
        <v>45</v>
      </c>
      <c r="CP153" s="450">
        <v>33</v>
      </c>
      <c r="CQ153" s="448">
        <v>28</v>
      </c>
      <c r="CR153" s="448">
        <v>27</v>
      </c>
      <c r="CS153" s="600">
        <v>38.878770819201982</v>
      </c>
      <c r="CT153" s="450">
        <v>28.239906061051261</v>
      </c>
      <c r="CU153" s="448">
        <v>26.642049991120743</v>
      </c>
      <c r="CV153" s="448">
        <v>40.046409104251275</v>
      </c>
      <c r="CW153" s="600">
        <v>66.098724329180214</v>
      </c>
      <c r="CX153" s="559"/>
      <c r="CY153" s="559"/>
      <c r="CZ153" s="559"/>
      <c r="DA153" s="560"/>
      <c r="DB153" s="559"/>
      <c r="DC153" s="559"/>
      <c r="DD153" s="559"/>
      <c r="DE153" s="560"/>
      <c r="DF153" s="559"/>
      <c r="DG153" s="559"/>
      <c r="DH153" s="559"/>
      <c r="DI153" s="560"/>
      <c r="DJ153" s="410"/>
      <c r="DK153" s="561"/>
      <c r="DL153" s="559"/>
      <c r="DM153" s="559"/>
      <c r="DN153" s="559"/>
      <c r="DO153" s="559"/>
      <c r="DP153" s="559"/>
      <c r="DQ153" s="559"/>
      <c r="DR153" s="559"/>
      <c r="DS153" s="559"/>
      <c r="DT153" s="369"/>
      <c r="DU153" s="448">
        <v>198</v>
      </c>
      <c r="DV153" s="448">
        <v>148</v>
      </c>
      <c r="DW153" s="448">
        <v>120</v>
      </c>
      <c r="DX153" s="448">
        <v>108</v>
      </c>
      <c r="DY153" s="448">
        <v>90</v>
      </c>
      <c r="DZ153" s="448">
        <v>95</v>
      </c>
      <c r="EA153" s="448">
        <v>829</v>
      </c>
      <c r="EB153" s="448">
        <v>888</v>
      </c>
      <c r="EC153" s="448">
        <v>509</v>
      </c>
      <c r="ED153" s="448">
        <v>328</v>
      </c>
      <c r="EE153" s="448">
        <v>197</v>
      </c>
      <c r="EF153" s="448">
        <v>126.87877081920197</v>
      </c>
      <c r="EG153" s="448">
        <v>161.02708948560348</v>
      </c>
      <c r="EH153" s="562">
        <v>178.43913293223679</v>
      </c>
      <c r="EI153" s="562">
        <v>165.75922207317078</v>
      </c>
      <c r="EJ153" s="562">
        <v>159.00567642373034</v>
      </c>
      <c r="EK153" s="562">
        <v>169.48401748842389</v>
      </c>
      <c r="EL153" s="562">
        <v>163.47862903266423</v>
      </c>
      <c r="EM153" s="562">
        <v>164.57788837296641</v>
      </c>
      <c r="EN153" s="562">
        <v>163.6826514701832</v>
      </c>
      <c r="EO153" s="562">
        <v>176.20245252308914</v>
      </c>
      <c r="EP153" s="598"/>
      <c r="EQ153" s="409"/>
    </row>
    <row r="154" spans="1:147" s="474" customFormat="1" ht="15" customHeight="1" outlineLevel="2">
      <c r="A154" s="473"/>
      <c r="B154"/>
      <c r="C154"/>
      <c r="D154"/>
      <c r="E154"/>
      <c r="F154"/>
      <c r="G154"/>
      <c r="I154" s="617" t="s">
        <v>1671</v>
      </c>
      <c r="J154" s="618"/>
      <c r="K154" s="618"/>
      <c r="L154" s="618"/>
      <c r="M154" s="619"/>
      <c r="N154" s="618"/>
      <c r="O154" s="618"/>
      <c r="P154" s="618"/>
      <c r="Q154" s="619"/>
      <c r="R154" s="618"/>
      <c r="S154" s="618"/>
      <c r="T154" s="618"/>
      <c r="U154" s="619"/>
      <c r="V154" s="618"/>
      <c r="W154" s="618"/>
      <c r="X154" s="618"/>
      <c r="Y154" s="619"/>
      <c r="Z154" s="618"/>
      <c r="AA154" s="618"/>
      <c r="AB154" s="618"/>
      <c r="AC154" s="619"/>
      <c r="AD154" s="618"/>
      <c r="AE154" s="618"/>
      <c r="AF154" s="618"/>
      <c r="AG154" s="619"/>
      <c r="AH154" s="618"/>
      <c r="AI154" s="618"/>
      <c r="AJ154" s="618"/>
      <c r="AK154" s="619"/>
      <c r="AL154" s="618"/>
      <c r="AM154" s="618"/>
      <c r="AN154" s="618"/>
      <c r="AO154" s="619"/>
      <c r="AP154" s="618"/>
      <c r="AQ154" s="618"/>
      <c r="AR154" s="618"/>
      <c r="AS154" s="619"/>
      <c r="AT154" s="618"/>
      <c r="AU154" s="618"/>
      <c r="AV154" s="618"/>
      <c r="AW154" s="619"/>
      <c r="AX154" s="618"/>
      <c r="AY154" s="618"/>
      <c r="AZ154" s="618"/>
      <c r="BA154" s="618"/>
      <c r="BB154" s="620"/>
      <c r="BC154" s="618"/>
      <c r="BD154" s="618"/>
      <c r="BE154" s="619"/>
      <c r="BF154" s="620"/>
      <c r="BG154" s="618"/>
      <c r="BH154" s="618"/>
      <c r="BI154" s="619"/>
      <c r="BJ154" s="620"/>
      <c r="BK154" s="618"/>
      <c r="BL154" s="386">
        <v>2.3166666666666669</v>
      </c>
      <c r="BM154" s="388">
        <v>1.0183823529411764</v>
      </c>
      <c r="BN154" s="386">
        <v>2.3387096774193545</v>
      </c>
      <c r="BO154" s="386">
        <v>2.532258064516129</v>
      </c>
      <c r="BP154" s="386">
        <v>2.0769230769230771</v>
      </c>
      <c r="BQ154" s="388">
        <v>1.5637254901960784</v>
      </c>
      <c r="BR154" s="386">
        <v>2.1875</v>
      </c>
      <c r="BS154" s="386">
        <v>2.3402777777777777</v>
      </c>
      <c r="BT154" s="386">
        <v>2.0597826086956519</v>
      </c>
      <c r="BU154" s="388">
        <v>1.7366071428571428</v>
      </c>
      <c r="BV154" s="386">
        <v>2.0913461538461537</v>
      </c>
      <c r="BW154" s="386">
        <v>2.0403225806451615</v>
      </c>
      <c r="BX154" s="386">
        <v>2.0234375</v>
      </c>
      <c r="BY154" s="388">
        <v>1.9545454545454544</v>
      </c>
      <c r="BZ154" s="386">
        <v>1.8492647058823528</v>
      </c>
      <c r="CA154" s="386">
        <v>1.9179687500000002</v>
      </c>
      <c r="CB154" s="386">
        <v>1.8939393939393938</v>
      </c>
      <c r="CC154" s="388">
        <v>2.0757575757575757</v>
      </c>
      <c r="CD154" s="386">
        <v>2.0138888888888888</v>
      </c>
      <c r="CE154" s="386">
        <v>2.0249999999999999</v>
      </c>
      <c r="CF154" s="386">
        <v>2.0071428571428571</v>
      </c>
      <c r="CG154" s="388">
        <v>2.1325757575757573</v>
      </c>
      <c r="CH154" s="386">
        <v>2.0681818181818183</v>
      </c>
      <c r="CI154" s="386">
        <v>2.04296875</v>
      </c>
      <c r="CJ154" s="386">
        <v>2.1166666666666667</v>
      </c>
      <c r="CK154" s="388">
        <v>2.4134615384615383</v>
      </c>
      <c r="CL154" s="386">
        <v>2.1077586206896552</v>
      </c>
      <c r="CM154" s="386">
        <v>1.9083333333333334</v>
      </c>
      <c r="CN154" s="386">
        <v>1.8041666666666669</v>
      </c>
      <c r="CO154" s="388">
        <v>1.9444444444444446</v>
      </c>
      <c r="CP154" s="389">
        <v>1.7901785714285716</v>
      </c>
      <c r="CQ154" s="386">
        <v>1.7596153846153848</v>
      </c>
      <c r="CR154" s="386">
        <v>1.7249999999999999</v>
      </c>
      <c r="CS154" s="388">
        <v>1.2120881097088079</v>
      </c>
      <c r="CT154" s="389">
        <v>1.7347473989307443</v>
      </c>
      <c r="CU154" s="386">
        <v>1.7305013108997667</v>
      </c>
      <c r="CV154" s="386">
        <v>1.1096625972728718</v>
      </c>
      <c r="CW154" s="388">
        <v>0.71398274528046535</v>
      </c>
      <c r="CX154" s="618"/>
      <c r="CY154" s="618"/>
      <c r="CZ154" s="618"/>
      <c r="DA154" s="619"/>
      <c r="DB154" s="618"/>
      <c r="DC154" s="618"/>
      <c r="DD154" s="618"/>
      <c r="DE154" s="619"/>
      <c r="DF154" s="618"/>
      <c r="DG154" s="618"/>
      <c r="DH154" s="618"/>
      <c r="DI154" s="619"/>
      <c r="DJ154" s="388"/>
      <c r="DK154" s="618"/>
      <c r="DL154" s="618"/>
      <c r="DM154" s="618"/>
      <c r="DN154" s="618"/>
      <c r="DO154" s="618"/>
      <c r="DP154" s="618"/>
      <c r="DQ154" s="618"/>
      <c r="DR154" s="618"/>
      <c r="DS154" s="618"/>
      <c r="DT154" s="618"/>
      <c r="DU154" s="618"/>
      <c r="DV154" s="621"/>
      <c r="DW154" s="618"/>
      <c r="DX154" s="386">
        <v>1.6607142857142856</v>
      </c>
      <c r="DY154" s="386">
        <v>1.9407894736842106</v>
      </c>
      <c r="DZ154" s="386">
        <v>1.9885057471264367</v>
      </c>
      <c r="EA154" s="386">
        <v>1.831967213114754</v>
      </c>
      <c r="EB154" s="386">
        <v>2.0909090909090908</v>
      </c>
      <c r="EC154" s="386">
        <v>2.0719424460431655</v>
      </c>
      <c r="ED154" s="386">
        <v>2.2107438016528929</v>
      </c>
      <c r="EE154" s="386">
        <v>1.9913793103448276</v>
      </c>
      <c r="EF154" s="386">
        <v>1.7069673508285637</v>
      </c>
      <c r="EG154" s="386">
        <v>1.2369270415485236</v>
      </c>
      <c r="EH154" s="386">
        <v>1.0786974407288097</v>
      </c>
      <c r="EI154" s="386">
        <v>1.1672778351644713</v>
      </c>
      <c r="EJ154" s="386">
        <v>1.2228636181508719</v>
      </c>
      <c r="EK154" s="386">
        <v>1.1529606498144382</v>
      </c>
      <c r="EL154" s="386">
        <v>1.2013050635438574</v>
      </c>
      <c r="EM154" s="386">
        <v>1.1991439366442926</v>
      </c>
      <c r="EN154" s="386">
        <v>1.2116009078720187</v>
      </c>
      <c r="EO154" s="386">
        <v>1.131185794185376</v>
      </c>
      <c r="EP154" s="622"/>
      <c r="EQ154" s="623"/>
    </row>
    <row r="155" spans="1:147" s="635" customFormat="1" outlineLevel="2">
      <c r="A155" s="624"/>
      <c r="B155"/>
      <c r="C155"/>
      <c r="D155"/>
      <c r="E155"/>
      <c r="F155"/>
      <c r="G155"/>
      <c r="H155" s="625"/>
      <c r="I155" s="626"/>
      <c r="J155" s="627"/>
      <c r="K155" s="627"/>
      <c r="L155" s="627"/>
      <c r="M155" s="628"/>
      <c r="N155" s="627"/>
      <c r="O155" s="627"/>
      <c r="P155" s="627"/>
      <c r="Q155" s="628"/>
      <c r="R155" s="627"/>
      <c r="S155" s="627"/>
      <c r="T155" s="627"/>
      <c r="U155" s="628"/>
      <c r="V155" s="627"/>
      <c r="W155" s="627"/>
      <c r="X155" s="627"/>
      <c r="Y155" s="628"/>
      <c r="Z155" s="627"/>
      <c r="AA155" s="627"/>
      <c r="AB155" s="627"/>
      <c r="AC155" s="628"/>
      <c r="AD155" s="627"/>
      <c r="AE155" s="627"/>
      <c r="AF155" s="627"/>
      <c r="AG155" s="628"/>
      <c r="AH155" s="627"/>
      <c r="AI155" s="627"/>
      <c r="AJ155" s="627"/>
      <c r="AK155" s="628"/>
      <c r="AL155" s="627"/>
      <c r="AM155" s="627"/>
      <c r="AN155" s="627"/>
      <c r="AO155" s="628"/>
      <c r="AP155" s="627"/>
      <c r="AQ155" s="627"/>
      <c r="AR155" s="627"/>
      <c r="AS155" s="628"/>
      <c r="AT155" s="627"/>
      <c r="AU155" s="627"/>
      <c r="AV155" s="627"/>
      <c r="AW155" s="628"/>
      <c r="AX155" s="627"/>
      <c r="AY155" s="627"/>
      <c r="AZ155" s="627"/>
      <c r="BA155" s="627"/>
      <c r="BB155" s="629"/>
      <c r="BC155" s="627"/>
      <c r="BD155" s="630"/>
      <c r="BE155" s="627"/>
      <c r="BF155" s="629"/>
      <c r="BG155" s="627"/>
      <c r="BH155" s="630"/>
      <c r="BI155" s="627"/>
      <c r="BJ155" s="629"/>
      <c r="BK155" s="627"/>
      <c r="BL155" s="630"/>
      <c r="BM155" s="627"/>
      <c r="BN155" s="629"/>
      <c r="BO155" s="627"/>
      <c r="BP155" s="630"/>
      <c r="BQ155" s="628"/>
      <c r="BR155" s="627"/>
      <c r="BS155" s="627"/>
      <c r="BT155" s="630"/>
      <c r="BU155" s="628"/>
      <c r="BV155" s="627"/>
      <c r="BW155" s="627"/>
      <c r="BX155" s="631"/>
      <c r="BY155" s="632"/>
      <c r="BZ155" s="627"/>
      <c r="CA155" s="627"/>
      <c r="CB155" s="631"/>
      <c r="CC155" s="632"/>
      <c r="CD155" s="627"/>
      <c r="CE155" s="627"/>
      <c r="CF155" s="627"/>
      <c r="CG155" s="628"/>
      <c r="CH155" s="627"/>
      <c r="CI155" s="627"/>
      <c r="CJ155" s="627"/>
      <c r="CK155" s="628"/>
      <c r="CL155" s="627"/>
      <c r="CM155" s="627"/>
      <c r="CN155" s="627"/>
      <c r="CO155" s="628"/>
      <c r="CP155" s="629"/>
      <c r="CQ155" s="627"/>
      <c r="CR155" s="631"/>
      <c r="CS155" s="632"/>
      <c r="CT155" s="629"/>
      <c r="CU155" s="627"/>
      <c r="CV155" s="631"/>
      <c r="CW155" s="632"/>
      <c r="CX155" s="631"/>
      <c r="CY155" s="631"/>
      <c r="CZ155" s="631"/>
      <c r="DA155" s="632"/>
      <c r="DB155" s="631"/>
      <c r="DC155" s="631"/>
      <c r="DD155" s="631"/>
      <c r="DE155" s="632"/>
      <c r="DF155" s="631"/>
      <c r="DG155" s="631"/>
      <c r="DH155" s="631"/>
      <c r="DI155" s="632"/>
      <c r="DJ155" s="628"/>
      <c r="DK155" s="629"/>
      <c r="DL155" s="627"/>
      <c r="DM155" s="627"/>
      <c r="DN155" s="627"/>
      <c r="DO155" s="627"/>
      <c r="DP155" s="627"/>
      <c r="DQ155" s="627"/>
      <c r="DR155" s="627"/>
      <c r="DS155" s="627"/>
      <c r="DT155" s="633"/>
      <c r="DU155" s="633"/>
      <c r="DV155" s="633"/>
      <c r="DW155" s="633"/>
      <c r="DX155" s="633"/>
      <c r="DY155" s="633"/>
      <c r="DZ155" s="633"/>
      <c r="EA155" s="633"/>
      <c r="EB155" s="633"/>
      <c r="EC155" s="633"/>
      <c r="ED155" s="633"/>
      <c r="EE155" s="633"/>
      <c r="EF155" s="633"/>
      <c r="EG155" s="631"/>
      <c r="EH155" s="631"/>
      <c r="EI155" s="631"/>
      <c r="EJ155" s="631"/>
      <c r="EK155" s="631"/>
      <c r="EL155" s="631"/>
      <c r="EM155" s="631"/>
      <c r="EN155" s="631"/>
      <c r="EO155" s="631"/>
      <c r="EP155" s="629"/>
      <c r="EQ155" s="634"/>
    </row>
    <row r="156" spans="1:147" s="589" customFormat="1" ht="12.95" outlineLevel="2">
      <c r="A156"/>
      <c r="B156"/>
      <c r="C156"/>
      <c r="D156"/>
      <c r="E156"/>
      <c r="F156"/>
      <c r="G156"/>
      <c r="I156" s="636" t="s">
        <v>1672</v>
      </c>
      <c r="J156" s="357"/>
      <c r="K156" s="357"/>
      <c r="L156" s="357"/>
      <c r="M156" s="592"/>
      <c r="N156" s="357"/>
      <c r="O156" s="357"/>
      <c r="P156" s="357"/>
      <c r="Q156" s="592"/>
      <c r="R156" s="357"/>
      <c r="S156" s="357"/>
      <c r="T156" s="357"/>
      <c r="U156" s="592"/>
      <c r="V156" s="357"/>
      <c r="W156" s="357"/>
      <c r="X156" s="357"/>
      <c r="Y156" s="592"/>
      <c r="Z156" s="357"/>
      <c r="AA156" s="357"/>
      <c r="AB156" s="357"/>
      <c r="AC156" s="592"/>
      <c r="AD156" s="357"/>
      <c r="AE156" s="357"/>
      <c r="AF156" s="357"/>
      <c r="AG156" s="592"/>
      <c r="AH156" s="357"/>
      <c r="AI156" s="357"/>
      <c r="AJ156" s="357"/>
      <c r="AK156" s="592"/>
      <c r="AL156" s="357"/>
      <c r="AM156" s="357"/>
      <c r="AN156" s="357"/>
      <c r="AO156" s="592"/>
      <c r="AP156" s="357"/>
      <c r="AQ156" s="357"/>
      <c r="AR156" s="357"/>
      <c r="AS156" s="592"/>
      <c r="AT156" s="357"/>
      <c r="AU156" s="357"/>
      <c r="AV156" s="357"/>
      <c r="AW156" s="592"/>
      <c r="AX156" s="357"/>
      <c r="AY156" s="357"/>
      <c r="AZ156" s="357"/>
      <c r="BA156" s="592"/>
      <c r="BB156" s="594"/>
      <c r="BC156" s="357"/>
      <c r="BD156" s="481"/>
      <c r="BE156" s="592"/>
      <c r="BF156" s="594"/>
      <c r="BG156" s="357"/>
      <c r="BH156" s="481"/>
      <c r="BI156" s="592"/>
      <c r="BJ156" s="594"/>
      <c r="BK156" s="357"/>
      <c r="BL156" s="481"/>
      <c r="BM156" s="592"/>
      <c r="BN156" s="594"/>
      <c r="BO156" s="357"/>
      <c r="BP156" s="481"/>
      <c r="BQ156" s="592"/>
      <c r="BR156" s="357"/>
      <c r="BS156" s="357"/>
      <c r="BT156" s="481"/>
      <c r="BU156" s="592"/>
      <c r="BV156" s="357"/>
      <c r="BW156" s="357"/>
      <c r="BX156" s="357"/>
      <c r="BY156" s="592"/>
      <c r="BZ156" s="357"/>
      <c r="CA156" s="357"/>
      <c r="CB156" s="357"/>
      <c r="CC156" s="592"/>
      <c r="CD156" s="357"/>
      <c r="CE156" s="357"/>
      <c r="CF156" s="357"/>
      <c r="CG156" s="592"/>
      <c r="CH156" s="357"/>
      <c r="CI156" s="357"/>
      <c r="CJ156" s="357"/>
      <c r="CK156" s="592"/>
      <c r="CL156" s="357"/>
      <c r="CM156" s="357"/>
      <c r="CN156" s="357"/>
      <c r="CO156" s="592"/>
      <c r="CP156" s="594"/>
      <c r="CQ156" s="357"/>
      <c r="CR156" s="357"/>
      <c r="CS156" s="592"/>
      <c r="CT156" s="594"/>
      <c r="CU156" s="357"/>
      <c r="CV156" s="357"/>
      <c r="CW156" s="592"/>
      <c r="CX156" s="357"/>
      <c r="CY156" s="357"/>
      <c r="CZ156" s="357"/>
      <c r="DA156" s="592"/>
      <c r="DB156" s="357"/>
      <c r="DC156" s="357"/>
      <c r="DD156" s="357"/>
      <c r="DE156" s="592"/>
      <c r="DF156" s="357"/>
      <c r="DG156" s="357"/>
      <c r="DH156" s="357"/>
      <c r="DI156" s="592"/>
      <c r="DJ156" s="592"/>
      <c r="DK156" s="594"/>
      <c r="DL156" s="357"/>
      <c r="DM156" s="357"/>
      <c r="DN156" s="357"/>
      <c r="DO156" s="357"/>
      <c r="DP156" s="357"/>
      <c r="DQ156" s="357"/>
      <c r="DR156" s="357"/>
      <c r="DS156" s="357"/>
      <c r="DT156" s="356"/>
      <c r="DU156" s="356"/>
      <c r="DV156" s="356"/>
      <c r="DW156" s="356"/>
      <c r="DX156" s="356"/>
      <c r="DY156" s="356"/>
      <c r="DZ156" s="356"/>
      <c r="EA156" s="356"/>
      <c r="EB156" s="356"/>
      <c r="EC156" s="356"/>
      <c r="ED156" s="356"/>
      <c r="EE156" s="356"/>
      <c r="EF156" s="356"/>
      <c r="EG156" s="357"/>
      <c r="EH156" s="357"/>
      <c r="EI156" s="357"/>
      <c r="EJ156" s="357"/>
      <c r="EK156" s="357"/>
      <c r="EL156" s="357"/>
      <c r="EM156" s="357"/>
      <c r="EN156" s="357"/>
      <c r="EO156" s="357"/>
      <c r="EP156" s="594"/>
      <c r="EQ156" s="357"/>
    </row>
    <row r="157" spans="1:147" s="596" customFormat="1" outlineLevel="2">
      <c r="A157" s="546"/>
      <c r="B157"/>
      <c r="C157"/>
      <c r="D157"/>
      <c r="E157"/>
      <c r="F157"/>
      <c r="G157"/>
      <c r="I157" s="637" t="s">
        <v>1673</v>
      </c>
      <c r="J157" s="409"/>
      <c r="K157" s="409"/>
      <c r="L157" s="409"/>
      <c r="M157" s="410"/>
      <c r="N157" s="409"/>
      <c r="O157" s="409"/>
      <c r="P157" s="409"/>
      <c r="Q157" s="410"/>
      <c r="R157" s="409"/>
      <c r="S157" s="409"/>
      <c r="T157" s="409"/>
      <c r="U157" s="410"/>
      <c r="V157" s="409"/>
      <c r="W157" s="409"/>
      <c r="X157" s="409"/>
      <c r="Y157" s="410"/>
      <c r="Z157" s="409"/>
      <c r="AA157" s="409"/>
      <c r="AB157" s="409"/>
      <c r="AC157" s="410"/>
      <c r="AD157" s="409"/>
      <c r="AE157" s="409"/>
      <c r="AF157" s="409"/>
      <c r="AG157" s="410"/>
      <c r="AH157" s="409"/>
      <c r="AI157" s="409"/>
      <c r="AJ157" s="409"/>
      <c r="AK157" s="410"/>
      <c r="AL157" s="409"/>
      <c r="AM157" s="409"/>
      <c r="AN157" s="409"/>
      <c r="AO157" s="410"/>
      <c r="AP157" s="409"/>
      <c r="AQ157" s="409"/>
      <c r="AR157" s="409"/>
      <c r="AS157" s="410"/>
      <c r="AT157" s="409"/>
      <c r="AU157" s="409"/>
      <c r="AV157" s="409"/>
      <c r="AW157" s="410"/>
      <c r="AX157" s="409">
        <v>0</v>
      </c>
      <c r="AY157" s="409">
        <v>0</v>
      </c>
      <c r="AZ157" s="409">
        <v>0</v>
      </c>
      <c r="BA157" s="410">
        <v>0</v>
      </c>
      <c r="BB157" s="567">
        <v>0</v>
      </c>
      <c r="BC157" s="412">
        <v>165</v>
      </c>
      <c r="BD157" s="376">
        <v>163</v>
      </c>
      <c r="BE157" s="413">
        <v>167</v>
      </c>
      <c r="BF157" s="567">
        <v>163</v>
      </c>
      <c r="BG157" s="412">
        <v>154</v>
      </c>
      <c r="BH157" s="376">
        <v>149</v>
      </c>
      <c r="BI157" s="413">
        <v>148</v>
      </c>
      <c r="BJ157" s="567">
        <v>141</v>
      </c>
      <c r="BK157" s="412">
        <v>133</v>
      </c>
      <c r="BL157" s="376">
        <v>132</v>
      </c>
      <c r="BM157" s="413">
        <v>139</v>
      </c>
      <c r="BN157" s="567">
        <v>138</v>
      </c>
      <c r="BO157" s="412">
        <v>152</v>
      </c>
      <c r="BP157" s="376">
        <v>162</v>
      </c>
      <c r="BQ157" s="413">
        <v>162</v>
      </c>
      <c r="BR157" s="412">
        <v>157</v>
      </c>
      <c r="BS157" s="412">
        <v>158</v>
      </c>
      <c r="BT157" s="412">
        <v>179</v>
      </c>
      <c r="BU157" s="413">
        <v>200</v>
      </c>
      <c r="BV157" s="412">
        <v>189</v>
      </c>
      <c r="BW157" s="412">
        <v>246</v>
      </c>
      <c r="BX157" s="412">
        <v>260</v>
      </c>
      <c r="BY157" s="413">
        <v>258</v>
      </c>
      <c r="BZ157" s="412">
        <v>258</v>
      </c>
      <c r="CA157" s="412">
        <v>245</v>
      </c>
      <c r="CB157" s="412">
        <v>246</v>
      </c>
      <c r="CC157" s="413">
        <v>254</v>
      </c>
      <c r="CD157" s="412">
        <v>294</v>
      </c>
      <c r="CE157" s="412">
        <v>286</v>
      </c>
      <c r="CF157" s="412">
        <v>281</v>
      </c>
      <c r="CG157" s="413">
        <v>281</v>
      </c>
      <c r="CH157" s="412">
        <v>282</v>
      </c>
      <c r="CI157" s="412">
        <v>264</v>
      </c>
      <c r="CJ157" s="412">
        <v>259</v>
      </c>
      <c r="CK157" s="413">
        <v>249</v>
      </c>
      <c r="CL157" s="412">
        <v>253</v>
      </c>
      <c r="CM157" s="412">
        <v>236</v>
      </c>
      <c r="CN157" s="412">
        <v>222</v>
      </c>
      <c r="CO157" s="413">
        <v>211</v>
      </c>
      <c r="CP157" s="567">
        <v>209</v>
      </c>
      <c r="CQ157" s="412">
        <v>192</v>
      </c>
      <c r="CR157" s="412">
        <v>174</v>
      </c>
      <c r="CS157" s="413">
        <v>171</v>
      </c>
      <c r="CT157" s="567">
        <v>186.60255688504699</v>
      </c>
      <c r="CU157" s="412">
        <v>177.55431341571898</v>
      </c>
      <c r="CV157" s="412">
        <v>163.59048508741722</v>
      </c>
      <c r="CW157" s="413">
        <v>174.15893206082038</v>
      </c>
      <c r="CX157" s="409"/>
      <c r="CY157" s="409"/>
      <c r="CZ157" s="409"/>
      <c r="DA157" s="410"/>
      <c r="DB157" s="409"/>
      <c r="DC157" s="409"/>
      <c r="DD157" s="409"/>
      <c r="DE157" s="410"/>
      <c r="DF157" s="409"/>
      <c r="DG157" s="409"/>
      <c r="DH157" s="409"/>
      <c r="DI157" s="410"/>
      <c r="DJ157" s="410"/>
      <c r="DK157" s="598"/>
      <c r="DL157" s="409"/>
      <c r="DM157" s="409"/>
      <c r="DN157" s="409"/>
      <c r="DO157" s="409"/>
      <c r="DP157" s="409"/>
      <c r="DQ157" s="409"/>
      <c r="DR157" s="409"/>
      <c r="DS157" s="409"/>
      <c r="DT157" s="386"/>
      <c r="DU157" s="325"/>
      <c r="DV157" s="325">
        <v>169</v>
      </c>
      <c r="DW157" s="325">
        <v>163</v>
      </c>
      <c r="DX157" s="325">
        <v>141</v>
      </c>
      <c r="DY157" s="325">
        <v>138</v>
      </c>
      <c r="DZ157" s="325">
        <v>157</v>
      </c>
      <c r="EA157" s="325">
        <v>189</v>
      </c>
      <c r="EB157" s="325">
        <v>258</v>
      </c>
      <c r="EC157" s="325">
        <v>294</v>
      </c>
      <c r="ED157" s="325">
        <v>282</v>
      </c>
      <c r="EE157" s="325">
        <v>253</v>
      </c>
      <c r="EF157" s="325">
        <v>209</v>
      </c>
      <c r="EG157" s="412">
        <v>186.60255688504699</v>
      </c>
      <c r="EH157" s="412">
        <v>191.96413326337043</v>
      </c>
      <c r="EI157" s="412">
        <v>192.99953877637299</v>
      </c>
      <c r="EJ157" s="412">
        <v>193.97459302386224</v>
      </c>
      <c r="EK157" s="412">
        <v>194.90992053223709</v>
      </c>
      <c r="EL157" s="412">
        <v>195.90688534099252</v>
      </c>
      <c r="EM157" s="412">
        <v>196.86852433530225</v>
      </c>
      <c r="EN157" s="412">
        <v>197.83662956102557</v>
      </c>
      <c r="EO157" s="412">
        <v>198.79946868732077</v>
      </c>
      <c r="EP157" s="598"/>
      <c r="EQ157" s="409"/>
    </row>
    <row r="158" spans="1:147" s="596" customFormat="1" outlineLevel="2">
      <c r="A158" s="546"/>
      <c r="B158"/>
      <c r="C158"/>
      <c r="D158"/>
      <c r="E158"/>
      <c r="F158"/>
      <c r="G158"/>
      <c r="I158" s="638" t="s">
        <v>1674</v>
      </c>
      <c r="J158" s="409"/>
      <c r="K158" s="409"/>
      <c r="L158" s="409"/>
      <c r="M158" s="410"/>
      <c r="N158" s="409"/>
      <c r="O158" s="409"/>
      <c r="P158" s="409"/>
      <c r="Q158" s="410"/>
      <c r="R158" s="409"/>
      <c r="S158" s="409"/>
      <c r="T158" s="409"/>
      <c r="U158" s="410"/>
      <c r="V158" s="409"/>
      <c r="W158" s="409"/>
      <c r="X158" s="409"/>
      <c r="Y158" s="410"/>
      <c r="Z158" s="409"/>
      <c r="AA158" s="409"/>
      <c r="AB158" s="409"/>
      <c r="AC158" s="410"/>
      <c r="AD158" s="409"/>
      <c r="AE158" s="409"/>
      <c r="AF158" s="409"/>
      <c r="AG158" s="410"/>
      <c r="AH158" s="409"/>
      <c r="AI158" s="409"/>
      <c r="AJ158" s="409"/>
      <c r="AK158" s="410"/>
      <c r="AL158" s="409"/>
      <c r="AM158" s="409"/>
      <c r="AN158" s="409"/>
      <c r="AO158" s="410"/>
      <c r="AP158" s="409"/>
      <c r="AQ158" s="409"/>
      <c r="AR158" s="409"/>
      <c r="AS158" s="410"/>
      <c r="AT158" s="409"/>
      <c r="AU158" s="409"/>
      <c r="AV158" s="409"/>
      <c r="AW158" s="410"/>
      <c r="AX158" s="409">
        <v>0</v>
      </c>
      <c r="AY158" s="409">
        <v>0</v>
      </c>
      <c r="AZ158" s="409">
        <v>0</v>
      </c>
      <c r="BA158" s="410">
        <v>0</v>
      </c>
      <c r="BB158" s="567">
        <v>4</v>
      </c>
      <c r="BC158" s="412">
        <v>14</v>
      </c>
      <c r="BD158" s="325">
        <v>29</v>
      </c>
      <c r="BE158" s="372">
        <v>25</v>
      </c>
      <c r="BF158" s="373">
        <v>9</v>
      </c>
      <c r="BG158" s="325">
        <v>17</v>
      </c>
      <c r="BH158" s="325">
        <v>20</v>
      </c>
      <c r="BI158" s="372">
        <v>27</v>
      </c>
      <c r="BJ158" s="373">
        <v>17</v>
      </c>
      <c r="BK158" s="325">
        <v>19</v>
      </c>
      <c r="BL158" s="325">
        <v>22</v>
      </c>
      <c r="BM158" s="372">
        <v>16</v>
      </c>
      <c r="BN158" s="567">
        <v>37</v>
      </c>
      <c r="BO158" s="412">
        <v>25</v>
      </c>
      <c r="BP158" s="376">
        <v>28</v>
      </c>
      <c r="BQ158" s="413">
        <v>17</v>
      </c>
      <c r="BR158" s="412">
        <v>21</v>
      </c>
      <c r="BS158" s="412">
        <v>28</v>
      </c>
      <c r="BT158" s="412">
        <v>46</v>
      </c>
      <c r="BU158" s="413">
        <v>16</v>
      </c>
      <c r="BV158" s="412">
        <v>27</v>
      </c>
      <c r="BW158" s="412">
        <v>44</v>
      </c>
      <c r="BX158" s="412">
        <v>28</v>
      </c>
      <c r="BY158" s="413">
        <v>37</v>
      </c>
      <c r="BZ158" s="412">
        <v>21</v>
      </c>
      <c r="CA158" s="412">
        <v>31</v>
      </c>
      <c r="CB158" s="412">
        <v>34</v>
      </c>
      <c r="CC158" s="413">
        <v>69</v>
      </c>
      <c r="CD158" s="412">
        <v>31</v>
      </c>
      <c r="CE158" s="412">
        <v>30</v>
      </c>
      <c r="CF158" s="412">
        <v>36</v>
      </c>
      <c r="CG158" s="413">
        <v>34</v>
      </c>
      <c r="CH158" s="412">
        <v>18</v>
      </c>
      <c r="CI158" s="412">
        <v>27</v>
      </c>
      <c r="CJ158" s="412">
        <v>34</v>
      </c>
      <c r="CK158" s="413">
        <v>37</v>
      </c>
      <c r="CL158" s="412">
        <v>19</v>
      </c>
      <c r="CM158" s="412">
        <v>13</v>
      </c>
      <c r="CN158" s="412">
        <v>24</v>
      </c>
      <c r="CO158" s="413">
        <v>22</v>
      </c>
      <c r="CP158" s="567">
        <v>22</v>
      </c>
      <c r="CQ158" s="412">
        <v>14</v>
      </c>
      <c r="CR158" s="412">
        <v>23</v>
      </c>
      <c r="CS158" s="413">
        <v>52.481327704248969</v>
      </c>
      <c r="CT158" s="567">
        <v>17.191662591723244</v>
      </c>
      <c r="CU158" s="412">
        <v>10.67822166281899</v>
      </c>
      <c r="CV158" s="412">
        <v>48.614856077654416</v>
      </c>
      <c r="CW158" s="413">
        <v>81.90392553173028</v>
      </c>
      <c r="CX158" s="409"/>
      <c r="CY158" s="409"/>
      <c r="CZ158" s="409"/>
      <c r="DA158" s="410"/>
      <c r="DB158" s="409"/>
      <c r="DC158" s="409"/>
      <c r="DD158" s="409"/>
      <c r="DE158" s="410"/>
      <c r="DF158" s="409"/>
      <c r="DG158" s="409"/>
      <c r="DH158" s="409"/>
      <c r="DI158" s="410"/>
      <c r="DJ158" s="410"/>
      <c r="DK158" s="598"/>
      <c r="DL158" s="409"/>
      <c r="DM158" s="409"/>
      <c r="DN158" s="409"/>
      <c r="DO158" s="409"/>
      <c r="DP158" s="409"/>
      <c r="DQ158" s="409"/>
      <c r="DR158" s="409"/>
      <c r="DS158" s="409"/>
      <c r="DT158" s="386"/>
      <c r="DU158" s="325"/>
      <c r="DV158" s="325">
        <v>72</v>
      </c>
      <c r="DW158" s="325">
        <v>73</v>
      </c>
      <c r="DX158" s="325">
        <v>74</v>
      </c>
      <c r="DY158" s="325">
        <v>107</v>
      </c>
      <c r="DZ158" s="325">
        <v>111</v>
      </c>
      <c r="EA158" s="325">
        <v>136</v>
      </c>
      <c r="EB158" s="325">
        <v>155</v>
      </c>
      <c r="EC158" s="325">
        <v>131</v>
      </c>
      <c r="ED158" s="325">
        <v>116</v>
      </c>
      <c r="EE158" s="325">
        <v>78</v>
      </c>
      <c r="EF158" s="325">
        <v>111.48132770424897</v>
      </c>
      <c r="EG158" s="325">
        <v>158.38866586392692</v>
      </c>
      <c r="EH158" s="412">
        <v>179.47453844523935</v>
      </c>
      <c r="EI158" s="412">
        <v>166.73427632066</v>
      </c>
      <c r="EJ158" s="412">
        <v>159.94100393210522</v>
      </c>
      <c r="EK158" s="412">
        <v>170.48098229717931</v>
      </c>
      <c r="EL158" s="412">
        <v>164.440268026974</v>
      </c>
      <c r="EM158" s="412">
        <v>165.54599359868973</v>
      </c>
      <c r="EN158" s="412">
        <v>164.6454905964784</v>
      </c>
      <c r="EO158" s="412">
        <v>177.23893753793081</v>
      </c>
      <c r="EP158" s="598"/>
      <c r="EQ158" s="409"/>
    </row>
    <row r="159" spans="1:147" s="596" customFormat="1" outlineLevel="2">
      <c r="A159" s="546"/>
      <c r="B159"/>
      <c r="C159"/>
      <c r="D159"/>
      <c r="E159"/>
      <c r="F159"/>
      <c r="G159"/>
      <c r="I159" s="638" t="s">
        <v>1675</v>
      </c>
      <c r="J159" s="409"/>
      <c r="K159" s="409"/>
      <c r="L159" s="409"/>
      <c r="M159" s="410"/>
      <c r="N159" s="409"/>
      <c r="O159" s="409"/>
      <c r="P159" s="409"/>
      <c r="Q159" s="410"/>
      <c r="R159" s="409"/>
      <c r="S159" s="409"/>
      <c r="T159" s="409"/>
      <c r="U159" s="410"/>
      <c r="V159" s="409"/>
      <c r="W159" s="409"/>
      <c r="X159" s="409"/>
      <c r="Y159" s="410"/>
      <c r="Z159" s="409"/>
      <c r="AA159" s="409"/>
      <c r="AB159" s="409"/>
      <c r="AC159" s="410"/>
      <c r="AD159" s="409"/>
      <c r="AE159" s="409"/>
      <c r="AF159" s="409"/>
      <c r="AG159" s="410"/>
      <c r="AH159" s="409"/>
      <c r="AI159" s="409"/>
      <c r="AJ159" s="409"/>
      <c r="AK159" s="410"/>
      <c r="AL159" s="409"/>
      <c r="AM159" s="409"/>
      <c r="AN159" s="409"/>
      <c r="AO159" s="410"/>
      <c r="AP159" s="409"/>
      <c r="AQ159" s="409"/>
      <c r="AR159" s="409"/>
      <c r="AS159" s="410"/>
      <c r="AT159" s="409"/>
      <c r="AU159" s="409"/>
      <c r="AV159" s="409"/>
      <c r="AW159" s="410"/>
      <c r="AX159" s="409">
        <v>0</v>
      </c>
      <c r="AY159" s="409">
        <v>0</v>
      </c>
      <c r="AZ159" s="409">
        <v>0</v>
      </c>
      <c r="BA159" s="410">
        <v>0</v>
      </c>
      <c r="BB159" s="567">
        <v>7.75</v>
      </c>
      <c r="BC159" s="412">
        <v>7.75</v>
      </c>
      <c r="BD159" s="325">
        <v>6.75</v>
      </c>
      <c r="BE159" s="372">
        <v>52.75</v>
      </c>
      <c r="BF159" s="373">
        <v>15.5</v>
      </c>
      <c r="BG159" s="325">
        <v>14.5</v>
      </c>
      <c r="BH159" s="325">
        <v>16.5</v>
      </c>
      <c r="BI159" s="372">
        <v>43.5</v>
      </c>
      <c r="BJ159" s="373">
        <v>18</v>
      </c>
      <c r="BK159" s="325">
        <v>17</v>
      </c>
      <c r="BL159" s="325">
        <v>15</v>
      </c>
      <c r="BM159" s="372">
        <v>34</v>
      </c>
      <c r="BN159" s="567">
        <v>15.5</v>
      </c>
      <c r="BO159" s="412">
        <v>15.5</v>
      </c>
      <c r="BP159" s="376">
        <v>19.5</v>
      </c>
      <c r="BQ159" s="413">
        <v>25.5</v>
      </c>
      <c r="BR159" s="412">
        <v>18</v>
      </c>
      <c r="BS159" s="412">
        <v>18</v>
      </c>
      <c r="BT159" s="412">
        <v>23</v>
      </c>
      <c r="BU159" s="413">
        <v>28</v>
      </c>
      <c r="BV159" s="412">
        <v>26</v>
      </c>
      <c r="BW159" s="412">
        <v>31</v>
      </c>
      <c r="BX159" s="412">
        <v>32</v>
      </c>
      <c r="BY159" s="413">
        <v>33</v>
      </c>
      <c r="BZ159" s="412">
        <v>34</v>
      </c>
      <c r="CA159" s="412">
        <v>32</v>
      </c>
      <c r="CB159" s="412">
        <v>33</v>
      </c>
      <c r="CC159" s="413">
        <v>33</v>
      </c>
      <c r="CD159" s="412">
        <v>36</v>
      </c>
      <c r="CE159" s="412">
        <v>35</v>
      </c>
      <c r="CF159" s="412">
        <v>35</v>
      </c>
      <c r="CG159" s="413">
        <v>33</v>
      </c>
      <c r="CH159" s="412">
        <v>33</v>
      </c>
      <c r="CI159" s="412">
        <v>32</v>
      </c>
      <c r="CJ159" s="412">
        <v>30</v>
      </c>
      <c r="CK159" s="413">
        <v>26</v>
      </c>
      <c r="CL159" s="412">
        <v>29</v>
      </c>
      <c r="CM159" s="412">
        <v>30</v>
      </c>
      <c r="CN159" s="412">
        <v>30</v>
      </c>
      <c r="CO159" s="413">
        <v>27</v>
      </c>
      <c r="CP159" s="567">
        <v>28</v>
      </c>
      <c r="CQ159" s="412">
        <v>26</v>
      </c>
      <c r="CR159" s="412">
        <v>25</v>
      </c>
      <c r="CS159" s="413">
        <v>36.878770819201982</v>
      </c>
      <c r="CT159" s="567">
        <v>26.239906061051261</v>
      </c>
      <c r="CU159" s="412">
        <v>24.642049991120743</v>
      </c>
      <c r="CV159" s="412">
        <v>38.046409104251275</v>
      </c>
      <c r="CW159" s="413">
        <v>64.098724329180214</v>
      </c>
      <c r="CX159" s="409"/>
      <c r="CY159" s="409"/>
      <c r="CZ159" s="409"/>
      <c r="DA159" s="410"/>
      <c r="DB159" s="409"/>
      <c r="DC159" s="409"/>
      <c r="DD159" s="409"/>
      <c r="DE159" s="410"/>
      <c r="DF159" s="409"/>
      <c r="DG159" s="409"/>
      <c r="DH159" s="409"/>
      <c r="DI159" s="410"/>
      <c r="DJ159" s="410"/>
      <c r="DK159" s="598"/>
      <c r="DL159" s="409"/>
      <c r="DM159" s="409"/>
      <c r="DN159" s="409"/>
      <c r="DO159" s="409"/>
      <c r="DP159" s="409"/>
      <c r="DQ159" s="409"/>
      <c r="DR159" s="409"/>
      <c r="DS159" s="409"/>
      <c r="DT159" s="386"/>
      <c r="DU159" s="325"/>
      <c r="DV159" s="325">
        <v>75</v>
      </c>
      <c r="DW159" s="325">
        <v>90</v>
      </c>
      <c r="DX159" s="325">
        <v>84</v>
      </c>
      <c r="DY159" s="325">
        <v>76</v>
      </c>
      <c r="DZ159" s="325">
        <v>87</v>
      </c>
      <c r="EA159" s="325">
        <v>122</v>
      </c>
      <c r="EB159" s="325">
        <v>132</v>
      </c>
      <c r="EC159" s="325">
        <v>139</v>
      </c>
      <c r="ED159" s="325">
        <v>121</v>
      </c>
      <c r="EE159" s="325">
        <v>116</v>
      </c>
      <c r="EF159" s="325">
        <v>115.87877081920197</v>
      </c>
      <c r="EG159" s="412">
        <v>153.02708948560348</v>
      </c>
      <c r="EH159" s="412">
        <v>178.43913293223679</v>
      </c>
      <c r="EI159" s="412">
        <v>165.75922207317078</v>
      </c>
      <c r="EJ159" s="412">
        <v>159.00567642373034</v>
      </c>
      <c r="EK159" s="412">
        <v>169.48401748842389</v>
      </c>
      <c r="EL159" s="412">
        <v>163.47862903266423</v>
      </c>
      <c r="EM159" s="412">
        <v>164.57788837296641</v>
      </c>
      <c r="EN159" s="412">
        <v>163.6826514701832</v>
      </c>
      <c r="EO159" s="412">
        <v>176.20245252308914</v>
      </c>
      <c r="EP159" s="598"/>
      <c r="EQ159" s="409"/>
    </row>
    <row r="160" spans="1:147" s="596" customFormat="1" outlineLevel="2">
      <c r="A160" s="546"/>
      <c r="B160"/>
      <c r="C160"/>
      <c r="D160"/>
      <c r="E160"/>
      <c r="F160"/>
      <c r="G160"/>
      <c r="I160" s="638" t="s">
        <v>1676</v>
      </c>
      <c r="J160" s="639"/>
      <c r="K160" s="639"/>
      <c r="L160" s="639"/>
      <c r="M160" s="640"/>
      <c r="N160" s="639"/>
      <c r="O160" s="639"/>
      <c r="P160" s="639"/>
      <c r="Q160" s="640"/>
      <c r="R160" s="639"/>
      <c r="S160" s="639"/>
      <c r="T160" s="639"/>
      <c r="U160" s="640"/>
      <c r="V160" s="639"/>
      <c r="W160" s="639"/>
      <c r="X160" s="639"/>
      <c r="Y160" s="640"/>
      <c r="Z160" s="639"/>
      <c r="AA160" s="639"/>
      <c r="AB160" s="639"/>
      <c r="AC160" s="640"/>
      <c r="AD160" s="639"/>
      <c r="AE160" s="639"/>
      <c r="AF160" s="639"/>
      <c r="AG160" s="640"/>
      <c r="AH160" s="639"/>
      <c r="AI160" s="639"/>
      <c r="AJ160" s="639"/>
      <c r="AK160" s="640"/>
      <c r="AL160" s="639"/>
      <c r="AM160" s="639"/>
      <c r="AN160" s="639"/>
      <c r="AO160" s="640"/>
      <c r="AP160" s="639"/>
      <c r="AQ160" s="639"/>
      <c r="AR160" s="639"/>
      <c r="AS160" s="640"/>
      <c r="AT160" s="639" t="s">
        <v>401</v>
      </c>
      <c r="AU160" s="639" t="s">
        <v>401</v>
      </c>
      <c r="AV160" s="639"/>
      <c r="AW160" s="640"/>
      <c r="AX160" s="639">
        <v>0</v>
      </c>
      <c r="AY160" s="639">
        <v>0</v>
      </c>
      <c r="AZ160" s="639">
        <v>0</v>
      </c>
      <c r="BA160" s="639">
        <v>0</v>
      </c>
      <c r="BB160" s="641">
        <v>168.75</v>
      </c>
      <c r="BC160" s="642">
        <v>-8.25</v>
      </c>
      <c r="BD160" s="506">
        <v>-18.25</v>
      </c>
      <c r="BE160" s="506">
        <v>23.75</v>
      </c>
      <c r="BF160" s="528">
        <v>-2.5</v>
      </c>
      <c r="BG160" s="506">
        <v>-7.5</v>
      </c>
      <c r="BH160" s="506">
        <v>-4.5</v>
      </c>
      <c r="BI160" s="506">
        <v>9.5</v>
      </c>
      <c r="BJ160" s="528">
        <v>-7</v>
      </c>
      <c r="BK160" s="506">
        <v>-3</v>
      </c>
      <c r="BL160" s="506">
        <v>0</v>
      </c>
      <c r="BM160" s="506">
        <v>17</v>
      </c>
      <c r="BN160" s="528">
        <v>-7.5</v>
      </c>
      <c r="BO160" s="506">
        <v>0.5</v>
      </c>
      <c r="BP160" s="506">
        <v>-8.5</v>
      </c>
      <c r="BQ160" s="527">
        <v>3.5</v>
      </c>
      <c r="BR160" s="642">
        <v>-2</v>
      </c>
      <c r="BS160" s="642">
        <v>11</v>
      </c>
      <c r="BT160" s="642">
        <v>-2</v>
      </c>
      <c r="BU160" s="527">
        <v>1</v>
      </c>
      <c r="BV160" s="642">
        <v>56</v>
      </c>
      <c r="BW160" s="642">
        <v>1</v>
      </c>
      <c r="BX160" s="642">
        <v>2</v>
      </c>
      <c r="BY160" s="643">
        <v>-4</v>
      </c>
      <c r="BZ160" s="642">
        <v>0</v>
      </c>
      <c r="CA160" s="642">
        <v>2</v>
      </c>
      <c r="CB160" s="642">
        <v>7</v>
      </c>
      <c r="CC160" s="643">
        <v>4</v>
      </c>
      <c r="CD160" s="642">
        <v>-3</v>
      </c>
      <c r="CE160" s="642">
        <v>0</v>
      </c>
      <c r="CF160" s="642">
        <v>-1</v>
      </c>
      <c r="CG160" s="643">
        <v>0</v>
      </c>
      <c r="CH160" s="642">
        <v>-3</v>
      </c>
      <c r="CI160" s="642">
        <v>0</v>
      </c>
      <c r="CJ160" s="642">
        <v>-14</v>
      </c>
      <c r="CK160" s="643">
        <v>-7</v>
      </c>
      <c r="CL160" s="642">
        <v>-7</v>
      </c>
      <c r="CM160" s="642">
        <v>3</v>
      </c>
      <c r="CN160" s="642">
        <v>-5</v>
      </c>
      <c r="CO160" s="643">
        <v>3</v>
      </c>
      <c r="CP160" s="641">
        <v>-11</v>
      </c>
      <c r="CQ160" s="642">
        <v>-6</v>
      </c>
      <c r="CR160" s="642">
        <v>-1</v>
      </c>
      <c r="CS160" s="644">
        <v>0</v>
      </c>
      <c r="CT160" s="641">
        <v>0</v>
      </c>
      <c r="CU160" s="642">
        <v>0</v>
      </c>
      <c r="CV160" s="642">
        <v>0</v>
      </c>
      <c r="CW160" s="644">
        <v>0</v>
      </c>
      <c r="CX160" s="645"/>
      <c r="CY160" s="645"/>
      <c r="CZ160" s="645"/>
      <c r="DA160" s="646"/>
      <c r="DB160" s="645"/>
      <c r="DC160" s="645"/>
      <c r="DD160" s="645"/>
      <c r="DE160" s="646"/>
      <c r="DF160" s="645"/>
      <c r="DG160" s="645"/>
      <c r="DH160" s="645"/>
      <c r="DI160" s="646"/>
      <c r="DJ160" s="410"/>
      <c r="DK160" s="647"/>
      <c r="DL160" s="639"/>
      <c r="DM160" s="639"/>
      <c r="DN160" s="639"/>
      <c r="DO160" s="639"/>
      <c r="DP160" s="639"/>
      <c r="DQ160" s="639"/>
      <c r="DR160" s="639"/>
      <c r="DS160" s="639"/>
      <c r="DT160" s="521"/>
      <c r="DU160" s="506"/>
      <c r="DV160" s="506">
        <v>-3</v>
      </c>
      <c r="DW160" s="506">
        <v>-5</v>
      </c>
      <c r="DX160" s="506">
        <v>7</v>
      </c>
      <c r="DY160" s="506">
        <v>-12</v>
      </c>
      <c r="DZ160" s="506">
        <v>8</v>
      </c>
      <c r="EA160" s="506">
        <v>55</v>
      </c>
      <c r="EB160" s="506">
        <v>13</v>
      </c>
      <c r="EC160" s="506">
        <v>-4</v>
      </c>
      <c r="ED160" s="506">
        <v>-24</v>
      </c>
      <c r="EE160" s="506">
        <v>-6</v>
      </c>
      <c r="EF160" s="506">
        <v>-18</v>
      </c>
      <c r="EG160" s="506">
        <v>0</v>
      </c>
      <c r="EH160" s="648">
        <v>0</v>
      </c>
      <c r="EI160" s="648">
        <v>0</v>
      </c>
      <c r="EJ160" s="648">
        <v>0</v>
      </c>
      <c r="EK160" s="648">
        <v>0</v>
      </c>
      <c r="EL160" s="648">
        <v>0</v>
      </c>
      <c r="EM160" s="648">
        <v>0</v>
      </c>
      <c r="EN160" s="648">
        <v>0</v>
      </c>
      <c r="EO160" s="648">
        <v>0</v>
      </c>
      <c r="EP160" s="598"/>
      <c r="EQ160" s="409"/>
    </row>
    <row r="161" spans="1:147" s="596" customFormat="1" ht="12.95" outlineLevel="2">
      <c r="A161" s="546"/>
      <c r="B161"/>
      <c r="C161"/>
      <c r="D161"/>
      <c r="E161"/>
      <c r="F161"/>
      <c r="G161"/>
      <c r="I161" s="649" t="s">
        <v>1677</v>
      </c>
      <c r="J161" s="559"/>
      <c r="K161" s="559"/>
      <c r="L161" s="559"/>
      <c r="M161" s="560"/>
      <c r="N161" s="559"/>
      <c r="O161" s="559"/>
      <c r="P161" s="559"/>
      <c r="Q161" s="560"/>
      <c r="R161" s="559"/>
      <c r="S161" s="559"/>
      <c r="T161" s="559"/>
      <c r="U161" s="560"/>
      <c r="V161" s="559"/>
      <c r="W161" s="559"/>
      <c r="X161" s="559"/>
      <c r="Y161" s="560"/>
      <c r="Z161" s="559"/>
      <c r="AA161" s="559"/>
      <c r="AB161" s="559"/>
      <c r="AC161" s="560"/>
      <c r="AD161" s="559"/>
      <c r="AE161" s="559"/>
      <c r="AF161" s="559"/>
      <c r="AG161" s="560"/>
      <c r="AH161" s="559"/>
      <c r="AI161" s="559"/>
      <c r="AJ161" s="559"/>
      <c r="AK161" s="560"/>
      <c r="AL161" s="559"/>
      <c r="AM161" s="559"/>
      <c r="AN161" s="559"/>
      <c r="AO161" s="560"/>
      <c r="AP161" s="559"/>
      <c r="AQ161" s="559"/>
      <c r="AR161" s="559"/>
      <c r="AS161" s="560"/>
      <c r="AT161" s="559"/>
      <c r="AU161" s="559"/>
      <c r="AV161" s="559"/>
      <c r="AW161" s="560"/>
      <c r="AX161" s="559">
        <v>0</v>
      </c>
      <c r="AY161" s="559">
        <v>0</v>
      </c>
      <c r="AZ161" s="559">
        <v>0</v>
      </c>
      <c r="BA161" s="560">
        <v>0</v>
      </c>
      <c r="BB161" s="599">
        <v>165</v>
      </c>
      <c r="BC161" s="562">
        <v>163</v>
      </c>
      <c r="BD161" s="448">
        <v>167</v>
      </c>
      <c r="BE161" s="449">
        <v>163</v>
      </c>
      <c r="BF161" s="450">
        <v>154</v>
      </c>
      <c r="BG161" s="448">
        <v>149</v>
      </c>
      <c r="BH161" s="448">
        <v>148</v>
      </c>
      <c r="BI161" s="449">
        <v>141</v>
      </c>
      <c r="BJ161" s="450">
        <v>133</v>
      </c>
      <c r="BK161" s="448">
        <v>132</v>
      </c>
      <c r="BL161" s="448">
        <v>139</v>
      </c>
      <c r="BM161" s="449">
        <v>138</v>
      </c>
      <c r="BN161" s="450">
        <v>152</v>
      </c>
      <c r="BO161" s="448">
        <v>162</v>
      </c>
      <c r="BP161" s="448">
        <v>162</v>
      </c>
      <c r="BQ161" s="449">
        <v>157</v>
      </c>
      <c r="BR161" s="562">
        <v>158</v>
      </c>
      <c r="BS161" s="562">
        <v>179</v>
      </c>
      <c r="BT161" s="562">
        <v>200</v>
      </c>
      <c r="BU161" s="449">
        <v>189</v>
      </c>
      <c r="BV161" s="562">
        <v>246</v>
      </c>
      <c r="BW161" s="562">
        <v>260</v>
      </c>
      <c r="BX161" s="562">
        <v>258</v>
      </c>
      <c r="BY161" s="600">
        <v>258</v>
      </c>
      <c r="BZ161" s="562">
        <v>245</v>
      </c>
      <c r="CA161" s="562">
        <v>246</v>
      </c>
      <c r="CB161" s="562">
        <v>254</v>
      </c>
      <c r="CC161" s="600">
        <v>294</v>
      </c>
      <c r="CD161" s="562">
        <v>286</v>
      </c>
      <c r="CE161" s="562">
        <v>281</v>
      </c>
      <c r="CF161" s="562">
        <v>281</v>
      </c>
      <c r="CG161" s="600">
        <v>282</v>
      </c>
      <c r="CH161" s="562">
        <v>264</v>
      </c>
      <c r="CI161" s="562">
        <v>259</v>
      </c>
      <c r="CJ161" s="562">
        <v>249</v>
      </c>
      <c r="CK161" s="600">
        <v>253</v>
      </c>
      <c r="CL161" s="562">
        <v>236</v>
      </c>
      <c r="CM161" s="562">
        <v>222</v>
      </c>
      <c r="CN161" s="562">
        <v>211</v>
      </c>
      <c r="CO161" s="600">
        <v>209</v>
      </c>
      <c r="CP161" s="599">
        <v>192</v>
      </c>
      <c r="CQ161" s="562">
        <v>174</v>
      </c>
      <c r="CR161" s="562">
        <v>171</v>
      </c>
      <c r="CS161" s="600">
        <v>186.60255688504699</v>
      </c>
      <c r="CT161" s="599">
        <v>177.55431341571898</v>
      </c>
      <c r="CU161" s="562">
        <v>163.59048508741722</v>
      </c>
      <c r="CV161" s="562">
        <v>174.15893206082038</v>
      </c>
      <c r="CW161" s="600">
        <v>191.96413326337043</v>
      </c>
      <c r="CX161" s="559"/>
      <c r="CY161" s="559"/>
      <c r="CZ161" s="559"/>
      <c r="DA161" s="560"/>
      <c r="DB161" s="559"/>
      <c r="DC161" s="559"/>
      <c r="DD161" s="559"/>
      <c r="DE161" s="560"/>
      <c r="DF161" s="559"/>
      <c r="DG161" s="559"/>
      <c r="DH161" s="559"/>
      <c r="DI161" s="560"/>
      <c r="DJ161" s="410"/>
      <c r="DK161" s="561"/>
      <c r="DL161" s="559"/>
      <c r="DM161" s="559"/>
      <c r="DN161" s="559"/>
      <c r="DO161" s="559"/>
      <c r="DP161" s="559"/>
      <c r="DQ161" s="559"/>
      <c r="DR161" s="559"/>
      <c r="DS161" s="559"/>
      <c r="DT161" s="369"/>
      <c r="DU161" s="448">
        <v>169</v>
      </c>
      <c r="DV161" s="448">
        <v>163</v>
      </c>
      <c r="DW161" s="448">
        <v>141</v>
      </c>
      <c r="DX161" s="448">
        <v>138</v>
      </c>
      <c r="DY161" s="448">
        <v>157</v>
      </c>
      <c r="DZ161" s="448">
        <v>189</v>
      </c>
      <c r="EA161" s="448">
        <v>258</v>
      </c>
      <c r="EB161" s="448">
        <v>294</v>
      </c>
      <c r="EC161" s="448">
        <v>282</v>
      </c>
      <c r="ED161" s="448">
        <v>253</v>
      </c>
      <c r="EE161" s="448">
        <v>209</v>
      </c>
      <c r="EF161" s="448">
        <v>186.60255688504699</v>
      </c>
      <c r="EG161" s="448">
        <v>191.96413326337043</v>
      </c>
      <c r="EH161" s="562">
        <v>192.99953877637299</v>
      </c>
      <c r="EI161" s="562">
        <v>193.97459302386224</v>
      </c>
      <c r="EJ161" s="562">
        <v>194.90992053223709</v>
      </c>
      <c r="EK161" s="562">
        <v>195.90688534099252</v>
      </c>
      <c r="EL161" s="562">
        <v>196.86852433530225</v>
      </c>
      <c r="EM161" s="562">
        <v>197.83662956102557</v>
      </c>
      <c r="EN161" s="562">
        <v>198.79946868732077</v>
      </c>
      <c r="EO161" s="562">
        <v>199.83595370216247</v>
      </c>
      <c r="EP161" s="598"/>
      <c r="EQ161" s="409"/>
    </row>
    <row r="162" spans="1:147" s="635" customFormat="1" outlineLevel="2">
      <c r="A162" s="624"/>
      <c r="B162"/>
      <c r="C162"/>
      <c r="D162"/>
      <c r="E162"/>
      <c r="F162"/>
      <c r="G162"/>
      <c r="H162" s="625"/>
      <c r="I162" s="650" t="s">
        <v>1678</v>
      </c>
      <c r="J162" s="627"/>
      <c r="K162" s="627"/>
      <c r="L162" s="627"/>
      <c r="M162" s="628"/>
      <c r="N162" s="627"/>
      <c r="O162" s="627"/>
      <c r="P162" s="627"/>
      <c r="Q162" s="628"/>
      <c r="R162" s="627"/>
      <c r="S162" s="627"/>
      <c r="T162" s="627"/>
      <c r="U162" s="628"/>
      <c r="V162" s="627"/>
      <c r="W162" s="627"/>
      <c r="X162" s="627"/>
      <c r="Y162" s="628"/>
      <c r="Z162" s="627"/>
      <c r="AA162" s="627"/>
      <c r="AB162" s="627"/>
      <c r="AC162" s="628"/>
      <c r="AD162" s="627"/>
      <c r="AE162" s="627"/>
      <c r="AF162" s="627"/>
      <c r="AG162" s="628"/>
      <c r="AH162" s="627"/>
      <c r="AI162" s="627"/>
      <c r="AJ162" s="627"/>
      <c r="AK162" s="628"/>
      <c r="AL162" s="627"/>
      <c r="AM162" s="627"/>
      <c r="AN162" s="627"/>
      <c r="AO162" s="628"/>
      <c r="AP162" s="627"/>
      <c r="AQ162" s="627"/>
      <c r="AR162" s="627"/>
      <c r="AS162" s="628"/>
      <c r="AT162" s="627"/>
      <c r="AU162" s="627"/>
      <c r="AV162" s="627"/>
      <c r="AW162" s="628"/>
      <c r="AX162" s="627">
        <v>0</v>
      </c>
      <c r="AY162" s="627">
        <v>0</v>
      </c>
      <c r="AZ162" s="627">
        <v>0</v>
      </c>
      <c r="BA162" s="627">
        <v>0</v>
      </c>
      <c r="BB162" s="629">
        <v>2.7605244996549345E-3</v>
      </c>
      <c r="BC162" s="627">
        <v>1.2216404886561954E-2</v>
      </c>
      <c r="BD162" s="633">
        <v>3.8461538461538464E-2</v>
      </c>
      <c r="BE162" s="633">
        <v>1.7768301350390904E-2</v>
      </c>
      <c r="BF162" s="651">
        <v>7.6791808873720134E-3</v>
      </c>
      <c r="BG162" s="633">
        <v>1.5813953488372091E-2</v>
      </c>
      <c r="BH162" s="633">
        <v>2.3781212841854936E-2</v>
      </c>
      <c r="BI162" s="633">
        <v>1.5271493212669683E-2</v>
      </c>
      <c r="BJ162" s="651">
        <v>1.283987915407855E-2</v>
      </c>
      <c r="BK162" s="633">
        <v>1.8095238095238095E-2</v>
      </c>
      <c r="BL162" s="633">
        <v>3.1837916063675829E-2</v>
      </c>
      <c r="BM162" s="633">
        <v>1.0540184453227932E-2</v>
      </c>
      <c r="BN162" s="651">
        <v>3.3303330333033301E-2</v>
      </c>
      <c r="BO162" s="633">
        <v>2.5773195876288658E-2</v>
      </c>
      <c r="BP162" s="633">
        <v>3.7184594953519258E-2</v>
      </c>
      <c r="BQ162" s="652">
        <v>1.0793650793650795E-2</v>
      </c>
      <c r="BR162" s="627">
        <v>1.6431924882629109E-2</v>
      </c>
      <c r="BS162" s="627">
        <v>2.681992337164751E-2</v>
      </c>
      <c r="BT162" s="627">
        <v>4.6464646464646465E-2</v>
      </c>
      <c r="BU162" s="652">
        <v>1.1825572801182557E-2</v>
      </c>
      <c r="BV162" s="627">
        <v>1.8556701030927835E-2</v>
      </c>
      <c r="BW162" s="627">
        <v>2.802547770700637E-2</v>
      </c>
      <c r="BX162" s="627">
        <v>1.7857142857142856E-2</v>
      </c>
      <c r="BY162" s="628">
        <v>1.8371400198609732E-2</v>
      </c>
      <c r="BZ162" s="627">
        <v>1.2166859791425261E-2</v>
      </c>
      <c r="CA162" s="627">
        <v>1.9006744328632742E-2</v>
      </c>
      <c r="CB162" s="627">
        <v>2.1013597033374538E-2</v>
      </c>
      <c r="CC162" s="628">
        <v>3.3773861967694566E-2</v>
      </c>
      <c r="CD162" s="627">
        <v>1.5776081424936386E-2</v>
      </c>
      <c r="CE162" s="627">
        <v>1.8281535648994516E-2</v>
      </c>
      <c r="CF162" s="627">
        <v>2.3809523809523808E-2</v>
      </c>
      <c r="CG162" s="628">
        <v>1.4279714405711887E-2</v>
      </c>
      <c r="CH162" s="627">
        <v>9.8630136986301367E-3</v>
      </c>
      <c r="CI162" s="627">
        <v>1.9340974212034383E-2</v>
      </c>
      <c r="CJ162" s="627">
        <v>2.6521060842433698E-2</v>
      </c>
      <c r="CK162" s="628">
        <v>1.863041289023162E-2</v>
      </c>
      <c r="CL162" s="627">
        <v>1.0626398210290829E-2</v>
      </c>
      <c r="CM162" s="627">
        <v>6.728778467908903E-3</v>
      </c>
      <c r="CN162" s="627">
        <v>1.2282497441146366E-2</v>
      </c>
      <c r="CO162" s="628">
        <v>9.117281392457521E-3</v>
      </c>
      <c r="CP162" s="629">
        <v>9.6703296703296703E-3</v>
      </c>
      <c r="CQ162" s="653">
        <v>6.0975609756097563E-3</v>
      </c>
      <c r="CR162" s="653">
        <v>1.1111111111111112E-2</v>
      </c>
      <c r="CS162" s="632">
        <v>1.863041289023162E-2</v>
      </c>
      <c r="CT162" s="654">
        <v>1.0626398210290829E-2</v>
      </c>
      <c r="CU162" s="655">
        <v>6.728778467908903E-3</v>
      </c>
      <c r="CV162" s="655">
        <v>2.3E-2</v>
      </c>
      <c r="CW162" s="632">
        <v>2.3E-2</v>
      </c>
      <c r="CX162" s="631"/>
      <c r="CY162" s="631"/>
      <c r="CZ162" s="631"/>
      <c r="DA162" s="632"/>
      <c r="DB162" s="631"/>
      <c r="DC162" s="631"/>
      <c r="DD162" s="631"/>
      <c r="DE162" s="632"/>
      <c r="DF162" s="631"/>
      <c r="DG162" s="631"/>
      <c r="DH162" s="631"/>
      <c r="DI162" s="632"/>
      <c r="DJ162" s="628"/>
      <c r="DK162" s="629"/>
      <c r="DL162" s="627"/>
      <c r="DM162" s="627"/>
      <c r="DN162" s="627"/>
      <c r="DO162" s="627"/>
      <c r="DP162" s="627"/>
      <c r="DQ162" s="627"/>
      <c r="DR162" s="627"/>
      <c r="DS162" s="627"/>
      <c r="DT162" s="633"/>
      <c r="DU162" s="633"/>
      <c r="DV162" s="633">
        <v>1.5138772077375946E-2</v>
      </c>
      <c r="DW162" s="633">
        <v>1.5032948929159802E-2</v>
      </c>
      <c r="DX162" s="633">
        <v>1.6146628845734236E-2</v>
      </c>
      <c r="DY162" s="633">
        <v>2.4268541619414833E-2</v>
      </c>
      <c r="DZ162" s="633">
        <v>2.3794212218649517E-2</v>
      </c>
      <c r="EA162" s="633">
        <v>2.0584228848191312E-2</v>
      </c>
      <c r="EB162" s="633">
        <v>2.2086064405813621E-2</v>
      </c>
      <c r="EC162" s="633">
        <v>1.7468995866115482E-2</v>
      </c>
      <c r="ED162" s="633">
        <v>1.787640622592079E-2</v>
      </c>
      <c r="EE162" s="633">
        <v>9.6451094348955109E-3</v>
      </c>
      <c r="EF162" s="633">
        <v>1.1787023976608725E-2</v>
      </c>
      <c r="EG162" s="633">
        <v>1.7837558633005183E-2</v>
      </c>
      <c r="EH162" s="631">
        <v>1.7333743754636026E-2</v>
      </c>
      <c r="EI162" s="631">
        <v>1.7100000000000001E-2</v>
      </c>
      <c r="EJ162" s="631">
        <v>1.7100000000000001E-2</v>
      </c>
      <c r="EK162" s="631">
        <v>1.7100000000000001E-2</v>
      </c>
      <c r="EL162" s="631">
        <v>1.7100000000000001E-2</v>
      </c>
      <c r="EM162" s="631">
        <v>1.7100000000000001E-2</v>
      </c>
      <c r="EN162" s="631">
        <v>1.7100000000000001E-2</v>
      </c>
      <c r="EO162" s="631">
        <v>1.7100000000000001E-2</v>
      </c>
      <c r="EP162" s="629"/>
      <c r="EQ162" s="634"/>
    </row>
    <row r="163" spans="1:147" s="656" customFormat="1" ht="15" customHeight="1" outlineLevel="2">
      <c r="A163" s="473"/>
      <c r="B163"/>
      <c r="C163"/>
      <c r="D163"/>
      <c r="E163"/>
      <c r="F163"/>
      <c r="G163"/>
      <c r="I163" s="657" t="s">
        <v>1679</v>
      </c>
      <c r="J163" s="658"/>
      <c r="K163" s="658"/>
      <c r="L163" s="658"/>
      <c r="M163" s="659"/>
      <c r="N163" s="658"/>
      <c r="O163" s="658"/>
      <c r="P163" s="658"/>
      <c r="Q163" s="659"/>
      <c r="R163" s="658"/>
      <c r="S163" s="658"/>
      <c r="T163" s="658"/>
      <c r="U163" s="659"/>
      <c r="V163" s="658"/>
      <c r="W163" s="658"/>
      <c r="X163" s="658"/>
      <c r="Y163" s="659"/>
      <c r="Z163" s="658"/>
      <c r="AA163" s="658"/>
      <c r="AB163" s="658"/>
      <c r="AC163" s="659"/>
      <c r="AD163" s="658"/>
      <c r="AE163" s="658"/>
      <c r="AF163" s="658"/>
      <c r="AG163" s="659"/>
      <c r="AH163" s="658"/>
      <c r="AI163" s="658"/>
      <c r="AJ163" s="658"/>
      <c r="AK163" s="659"/>
      <c r="AL163" s="658"/>
      <c r="AM163" s="658"/>
      <c r="AN163" s="658"/>
      <c r="AO163" s="659"/>
      <c r="AP163" s="658"/>
      <c r="AQ163" s="658"/>
      <c r="AR163" s="658"/>
      <c r="AS163" s="659"/>
      <c r="AT163" s="658"/>
      <c r="AU163" s="658"/>
      <c r="AV163" s="658"/>
      <c r="AW163" s="659"/>
      <c r="AX163" s="658"/>
      <c r="AY163" s="658"/>
      <c r="AZ163" s="658"/>
      <c r="BA163" s="658"/>
      <c r="BB163" s="660"/>
      <c r="BC163" s="653"/>
      <c r="BD163" s="653"/>
      <c r="BE163" s="659"/>
      <c r="BF163" s="660"/>
      <c r="BG163" s="653"/>
      <c r="BH163" s="653"/>
      <c r="BI163" s="659"/>
      <c r="BJ163" s="660"/>
      <c r="BK163" s="653"/>
      <c r="BL163" s="653"/>
      <c r="BM163" s="659"/>
      <c r="BN163" s="661">
        <v>19</v>
      </c>
      <c r="BO163" s="661">
        <v>30</v>
      </c>
      <c r="BP163" s="661">
        <v>23</v>
      </c>
      <c r="BQ163" s="662">
        <v>19</v>
      </c>
      <c r="BR163" s="661">
        <v>6</v>
      </c>
      <c r="BS163" s="661">
        <v>17</v>
      </c>
      <c r="BT163" s="661">
        <v>38</v>
      </c>
      <c r="BU163" s="662">
        <v>32</v>
      </c>
      <c r="BV163" s="661">
        <v>88</v>
      </c>
      <c r="BW163" s="661">
        <v>81</v>
      </c>
      <c r="BX163" s="661">
        <v>58</v>
      </c>
      <c r="BY163" s="662">
        <v>69</v>
      </c>
      <c r="BZ163" s="661">
        <v>-1</v>
      </c>
      <c r="CA163" s="661">
        <v>-14</v>
      </c>
      <c r="CB163" s="661">
        <v>-4</v>
      </c>
      <c r="CC163" s="662">
        <v>36</v>
      </c>
      <c r="CD163" s="661">
        <v>41</v>
      </c>
      <c r="CE163" s="661">
        <v>35</v>
      </c>
      <c r="CF163" s="661">
        <v>27</v>
      </c>
      <c r="CG163" s="662">
        <v>-12</v>
      </c>
      <c r="CH163" s="661">
        <v>-22</v>
      </c>
      <c r="CI163" s="661">
        <v>-22</v>
      </c>
      <c r="CJ163" s="661">
        <v>-32</v>
      </c>
      <c r="CK163" s="662">
        <v>-29</v>
      </c>
      <c r="CL163" s="661">
        <v>-28</v>
      </c>
      <c r="CM163" s="661">
        <v>-37</v>
      </c>
      <c r="CN163" s="661">
        <v>-38</v>
      </c>
      <c r="CO163" s="662">
        <v>-44</v>
      </c>
      <c r="CP163" s="663">
        <v>-44</v>
      </c>
      <c r="CQ163" s="661">
        <v>-48</v>
      </c>
      <c r="CR163" s="661">
        <v>-40</v>
      </c>
      <c r="CS163" s="662">
        <v>-22.397443114953006</v>
      </c>
      <c r="CT163" s="663">
        <v>-14.44568658428102</v>
      </c>
      <c r="CU163" s="661">
        <v>-10.409514912582779</v>
      </c>
      <c r="CV163" s="661">
        <v>3.1589320608203764</v>
      </c>
      <c r="CW163" s="662">
        <v>5.3615763783234343</v>
      </c>
      <c r="CX163" s="664"/>
      <c r="CY163" s="664"/>
      <c r="CZ163" s="664"/>
      <c r="DA163" s="665"/>
      <c r="DB163" s="664"/>
      <c r="DC163" s="664"/>
      <c r="DD163" s="664"/>
      <c r="DE163" s="665"/>
      <c r="DF163" s="664"/>
      <c r="DG163" s="664"/>
      <c r="DH163" s="664"/>
      <c r="DI163" s="665"/>
      <c r="DJ163" s="372"/>
      <c r="DK163" s="666"/>
      <c r="DL163" s="666"/>
      <c r="DM163" s="666"/>
      <c r="DN163" s="666"/>
      <c r="DO163" s="666"/>
      <c r="DP163" s="666"/>
      <c r="DQ163" s="666"/>
      <c r="DR163" s="666"/>
      <c r="DS163" s="666"/>
      <c r="DT163" s="666"/>
      <c r="DU163" s="666"/>
      <c r="DV163" s="667"/>
      <c r="DW163" s="667"/>
      <c r="DX163" s="661">
        <v>-3</v>
      </c>
      <c r="DY163" s="661">
        <v>19</v>
      </c>
      <c r="DZ163" s="661">
        <v>32</v>
      </c>
      <c r="EA163" s="661">
        <v>69</v>
      </c>
      <c r="EB163" s="661">
        <v>36</v>
      </c>
      <c r="EC163" s="661">
        <v>-12</v>
      </c>
      <c r="ED163" s="661">
        <v>-29</v>
      </c>
      <c r="EE163" s="661">
        <v>-44</v>
      </c>
      <c r="EF163" s="661">
        <v>-22.397443114953006</v>
      </c>
      <c r="EG163" s="661">
        <v>5.3615763783234343</v>
      </c>
      <c r="EH163" s="661">
        <v>1.0354055130025586</v>
      </c>
      <c r="EI163" s="661">
        <v>0.97505424748925407</v>
      </c>
      <c r="EJ163" s="661">
        <v>0.93532750837485423</v>
      </c>
      <c r="EK163" s="661">
        <v>0.99696480875542193</v>
      </c>
      <c r="EL163" s="661">
        <v>0.96163899430973743</v>
      </c>
      <c r="EM163" s="661">
        <v>0.96810522572332047</v>
      </c>
      <c r="EN163" s="661">
        <v>0.96283912629519364</v>
      </c>
      <c r="EO163" s="661">
        <v>1.036485014841702</v>
      </c>
      <c r="EP163" s="668"/>
      <c r="EQ163" s="669"/>
    </row>
    <row r="164" spans="1:147" s="656" customFormat="1" ht="15" customHeight="1" outlineLevel="2">
      <c r="A164" s="473"/>
      <c r="B164"/>
      <c r="C164"/>
      <c r="D164"/>
      <c r="E164"/>
      <c r="F164"/>
      <c r="G164"/>
      <c r="I164" s="657" t="s">
        <v>1680</v>
      </c>
      <c r="J164" s="658"/>
      <c r="K164" s="658"/>
      <c r="L164" s="658"/>
      <c r="M164" s="659"/>
      <c r="N164" s="658"/>
      <c r="O164" s="658"/>
      <c r="P164" s="658"/>
      <c r="Q164" s="659"/>
      <c r="R164" s="658"/>
      <c r="S164" s="658"/>
      <c r="T164" s="658"/>
      <c r="U164" s="659"/>
      <c r="V164" s="658"/>
      <c r="W164" s="658"/>
      <c r="X164" s="658"/>
      <c r="Y164" s="659"/>
      <c r="Z164" s="658"/>
      <c r="AA164" s="658"/>
      <c r="AB164" s="658"/>
      <c r="AC164" s="659"/>
      <c r="AD164" s="658"/>
      <c r="AE164" s="658"/>
      <c r="AF164" s="658"/>
      <c r="AG164" s="659"/>
      <c r="AH164" s="658"/>
      <c r="AI164" s="658"/>
      <c r="AJ164" s="658"/>
      <c r="AK164" s="659"/>
      <c r="AL164" s="658"/>
      <c r="AM164" s="658"/>
      <c r="AN164" s="658"/>
      <c r="AO164" s="659"/>
      <c r="AP164" s="658"/>
      <c r="AQ164" s="658"/>
      <c r="AR164" s="658"/>
      <c r="AS164" s="659"/>
      <c r="AT164" s="658"/>
      <c r="AU164" s="658"/>
      <c r="AV164" s="658"/>
      <c r="AW164" s="659"/>
      <c r="AX164" s="658"/>
      <c r="AY164" s="658"/>
      <c r="AZ164" s="658"/>
      <c r="BA164" s="658"/>
      <c r="BB164" s="660"/>
      <c r="BC164" s="653"/>
      <c r="BD164" s="653"/>
      <c r="BE164" s="659"/>
      <c r="BF164" s="660"/>
      <c r="BG164" s="653"/>
      <c r="BH164" s="653"/>
      <c r="BI164" s="659"/>
      <c r="BJ164" s="660"/>
      <c r="BK164" s="653"/>
      <c r="BL164" s="653"/>
      <c r="BM164" s="659"/>
      <c r="BN164" s="661">
        <v>14</v>
      </c>
      <c r="BO164" s="661">
        <v>10</v>
      </c>
      <c r="BP164" s="661">
        <v>0</v>
      </c>
      <c r="BQ164" s="662">
        <v>-5</v>
      </c>
      <c r="BR164" s="661">
        <v>1</v>
      </c>
      <c r="BS164" s="661">
        <v>21</v>
      </c>
      <c r="BT164" s="661">
        <v>21</v>
      </c>
      <c r="BU164" s="662">
        <v>-11</v>
      </c>
      <c r="BV164" s="661">
        <v>57</v>
      </c>
      <c r="BW164" s="661">
        <v>14</v>
      </c>
      <c r="BX164" s="661">
        <v>-2</v>
      </c>
      <c r="BY164" s="662">
        <v>0</v>
      </c>
      <c r="BZ164" s="661">
        <v>-13</v>
      </c>
      <c r="CA164" s="661">
        <v>1</v>
      </c>
      <c r="CB164" s="661">
        <v>8</v>
      </c>
      <c r="CC164" s="662">
        <v>40</v>
      </c>
      <c r="CD164" s="661">
        <v>-8</v>
      </c>
      <c r="CE164" s="661">
        <v>-5</v>
      </c>
      <c r="CF164" s="661">
        <v>0</v>
      </c>
      <c r="CG164" s="662">
        <v>1</v>
      </c>
      <c r="CH164" s="661">
        <v>-18</v>
      </c>
      <c r="CI164" s="661">
        <v>-5</v>
      </c>
      <c r="CJ164" s="661">
        <v>-10</v>
      </c>
      <c r="CK164" s="662">
        <v>4</v>
      </c>
      <c r="CL164" s="661">
        <v>-17</v>
      </c>
      <c r="CM164" s="661">
        <v>-14</v>
      </c>
      <c r="CN164" s="661">
        <v>-11</v>
      </c>
      <c r="CO164" s="662">
        <v>-2</v>
      </c>
      <c r="CP164" s="663">
        <v>-17</v>
      </c>
      <c r="CQ164" s="661">
        <v>-18</v>
      </c>
      <c r="CR164" s="661">
        <v>-3</v>
      </c>
      <c r="CS164" s="662">
        <v>15.602556885046994</v>
      </c>
      <c r="CT164" s="663">
        <v>-9.048243469328014</v>
      </c>
      <c r="CU164" s="661">
        <v>-13.963828328301759</v>
      </c>
      <c r="CV164" s="661">
        <v>10.568446973403155</v>
      </c>
      <c r="CW164" s="662">
        <v>17.805201202550052</v>
      </c>
      <c r="CX164" s="664"/>
      <c r="CY164" s="664"/>
      <c r="CZ164" s="664"/>
      <c r="DA164" s="665"/>
      <c r="DB164" s="664"/>
      <c r="DC164" s="664"/>
      <c r="DD164" s="664"/>
      <c r="DE164" s="665"/>
      <c r="DF164" s="664"/>
      <c r="DG164" s="664"/>
      <c r="DH164" s="664"/>
      <c r="DI164" s="665"/>
      <c r="DJ164" s="372"/>
      <c r="DK164" s="666"/>
      <c r="DL164" s="666"/>
      <c r="DM164" s="666"/>
      <c r="DN164" s="666"/>
      <c r="DO164" s="666"/>
      <c r="DP164" s="666"/>
      <c r="DQ164" s="666"/>
      <c r="DR164" s="666"/>
      <c r="DS164" s="666"/>
      <c r="DT164" s="666"/>
      <c r="DU164" s="666"/>
      <c r="DV164" s="667"/>
      <c r="DW164" s="667"/>
      <c r="DX164" s="661"/>
      <c r="DY164" s="666"/>
      <c r="DZ164" s="666"/>
      <c r="EA164" s="666"/>
      <c r="EB164" s="664"/>
      <c r="EC164" s="325"/>
      <c r="ED164" s="325"/>
      <c r="EE164" s="325"/>
      <c r="EF164" s="325"/>
      <c r="EG164" s="664"/>
      <c r="EH164" s="664"/>
      <c r="EI164" s="664"/>
      <c r="EJ164" s="664"/>
      <c r="EK164" s="664"/>
      <c r="EL164" s="664"/>
      <c r="EM164" s="664"/>
      <c r="EN164" s="664"/>
      <c r="EO164" s="664"/>
      <c r="EP164" s="668"/>
      <c r="EQ164" s="669"/>
    </row>
    <row r="165" spans="1:147" s="589" customFormat="1" ht="12.95" outlineLevel="2">
      <c r="A165"/>
      <c r="B165"/>
      <c r="C165"/>
      <c r="D165"/>
      <c r="E165"/>
      <c r="F165"/>
      <c r="G165"/>
      <c r="I165" s="670"/>
      <c r="J165" s="409"/>
      <c r="K165" s="409"/>
      <c r="L165" s="409"/>
      <c r="M165" s="410"/>
      <c r="N165" s="409"/>
      <c r="O165" s="409"/>
      <c r="P165" s="409"/>
      <c r="Q165" s="410"/>
      <c r="R165" s="409"/>
      <c r="S165" s="409"/>
      <c r="T165" s="409"/>
      <c r="U165" s="410"/>
      <c r="V165" s="409"/>
      <c r="W165" s="409"/>
      <c r="X165" s="409"/>
      <c r="Y165" s="410"/>
      <c r="Z165" s="409"/>
      <c r="AA165" s="409"/>
      <c r="AB165" s="409"/>
      <c r="AC165" s="410"/>
      <c r="AD165" s="409"/>
      <c r="AE165" s="409"/>
      <c r="AF165" s="409"/>
      <c r="AG165" s="410"/>
      <c r="AH165" s="409"/>
      <c r="AI165" s="409"/>
      <c r="AJ165" s="409"/>
      <c r="AK165" s="410"/>
      <c r="AL165" s="409"/>
      <c r="AM165" s="409"/>
      <c r="AN165" s="409"/>
      <c r="AO165" s="410"/>
      <c r="AP165" s="409"/>
      <c r="AQ165" s="409"/>
      <c r="AR165" s="409"/>
      <c r="AS165" s="410"/>
      <c r="AT165" s="409"/>
      <c r="AU165" s="409"/>
      <c r="AV165" s="409"/>
      <c r="AW165" s="410"/>
      <c r="AX165" s="409"/>
      <c r="AY165" s="409"/>
      <c r="AZ165" s="409"/>
      <c r="BA165" s="410"/>
      <c r="BB165" s="594"/>
      <c r="BC165" s="409"/>
      <c r="BD165" s="356"/>
      <c r="BE165" s="388"/>
      <c r="BF165" s="355"/>
      <c r="BG165" s="386"/>
      <c r="BH165" s="356"/>
      <c r="BI165" s="388"/>
      <c r="BJ165" s="355"/>
      <c r="BK165" s="386"/>
      <c r="BL165" s="356"/>
      <c r="BM165" s="388"/>
      <c r="BN165" s="355"/>
      <c r="BO165" s="386"/>
      <c r="BP165" s="356"/>
      <c r="BQ165" s="388"/>
      <c r="BR165" s="357"/>
      <c r="BS165" s="409"/>
      <c r="BT165" s="481"/>
      <c r="BU165" s="388"/>
      <c r="BV165" s="357"/>
      <c r="BW165" s="409"/>
      <c r="BX165" s="357"/>
      <c r="BY165" s="592"/>
      <c r="BZ165" s="357"/>
      <c r="CA165" s="409"/>
      <c r="CB165" s="357"/>
      <c r="CC165" s="592"/>
      <c r="CD165" s="357"/>
      <c r="CE165" s="409"/>
      <c r="CF165" s="409"/>
      <c r="CG165" s="410"/>
      <c r="CH165" s="357"/>
      <c r="CI165" s="409"/>
      <c r="CJ165" s="409"/>
      <c r="CK165" s="410"/>
      <c r="CL165" s="357"/>
      <c r="CM165" s="409"/>
      <c r="CN165" s="409"/>
      <c r="CO165" s="410"/>
      <c r="CP165" s="594"/>
      <c r="CQ165" s="357"/>
      <c r="CR165" s="357"/>
      <c r="CS165" s="592"/>
      <c r="CT165" s="594"/>
      <c r="CU165" s="357"/>
      <c r="CV165" s="357"/>
      <c r="CW165" s="592"/>
      <c r="CX165" s="357"/>
      <c r="CY165" s="357"/>
      <c r="CZ165" s="357"/>
      <c r="DA165" s="592"/>
      <c r="DB165" s="357"/>
      <c r="DC165" s="357"/>
      <c r="DD165" s="357"/>
      <c r="DE165" s="592"/>
      <c r="DF165" s="357"/>
      <c r="DG165" s="357"/>
      <c r="DH165" s="357"/>
      <c r="DI165" s="592"/>
      <c r="DJ165" s="592"/>
      <c r="DK165" s="598"/>
      <c r="DL165" s="409"/>
      <c r="DM165" s="409"/>
      <c r="DN165" s="409"/>
      <c r="DO165" s="409"/>
      <c r="DP165" s="409"/>
      <c r="DQ165" s="409"/>
      <c r="DR165" s="409"/>
      <c r="DS165" s="409"/>
      <c r="DT165" s="386"/>
      <c r="DU165" s="386"/>
      <c r="DV165" s="386"/>
      <c r="DW165" s="386"/>
      <c r="DX165" s="386"/>
      <c r="DY165" s="386"/>
      <c r="DZ165" s="386"/>
      <c r="EA165" s="386"/>
      <c r="EB165" s="386"/>
      <c r="EC165" s="356"/>
      <c r="ED165" s="356"/>
      <c r="EE165" s="356"/>
      <c r="EF165" s="356"/>
      <c r="EG165" s="357"/>
      <c r="EH165" s="357"/>
      <c r="EI165" s="357"/>
      <c r="EJ165" s="357"/>
      <c r="EK165" s="357"/>
      <c r="EL165" s="357"/>
      <c r="EM165" s="357"/>
      <c r="EN165" s="357"/>
      <c r="EO165" s="357"/>
      <c r="EP165" s="594"/>
      <c r="EQ165" s="357"/>
    </row>
    <row r="166" spans="1:147" s="589" customFormat="1" ht="12.95" outlineLevel="2">
      <c r="A166"/>
      <c r="B166"/>
      <c r="C166"/>
      <c r="D166"/>
      <c r="E166"/>
      <c r="F166"/>
      <c r="G166"/>
      <c r="I166" s="636" t="s">
        <v>1681</v>
      </c>
      <c r="J166" s="357"/>
      <c r="K166" s="357"/>
      <c r="L166" s="357"/>
      <c r="M166" s="592"/>
      <c r="N166" s="357"/>
      <c r="O166" s="357"/>
      <c r="P166" s="357"/>
      <c r="Q166" s="592"/>
      <c r="R166" s="357"/>
      <c r="S166" s="357"/>
      <c r="T166" s="357"/>
      <c r="U166" s="592"/>
      <c r="V166" s="357"/>
      <c r="W166" s="357"/>
      <c r="X166" s="357"/>
      <c r="Y166" s="592"/>
      <c r="Z166" s="357"/>
      <c r="AA166" s="357"/>
      <c r="AB166" s="357"/>
      <c r="AC166" s="592"/>
      <c r="AD166" s="357"/>
      <c r="AE166" s="357"/>
      <c r="AF166" s="357"/>
      <c r="AG166" s="592"/>
      <c r="AH166" s="357"/>
      <c r="AI166" s="357"/>
      <c r="AJ166" s="357"/>
      <c r="AK166" s="592"/>
      <c r="AL166" s="357"/>
      <c r="AM166" s="357"/>
      <c r="AN166" s="357"/>
      <c r="AO166" s="592"/>
      <c r="AP166" s="357"/>
      <c r="AQ166" s="357"/>
      <c r="AR166" s="357"/>
      <c r="AS166" s="592"/>
      <c r="AT166" s="357"/>
      <c r="AU166" s="357"/>
      <c r="AV166" s="357"/>
      <c r="AW166" s="592"/>
      <c r="AX166" s="357"/>
      <c r="AY166" s="357"/>
      <c r="AZ166" s="357"/>
      <c r="BA166" s="592"/>
      <c r="BB166" s="594"/>
      <c r="BC166" s="357"/>
      <c r="BD166" s="356"/>
      <c r="BE166" s="477"/>
      <c r="BF166" s="355"/>
      <c r="BG166" s="356"/>
      <c r="BH166" s="356"/>
      <c r="BI166" s="477"/>
      <c r="BJ166" s="355"/>
      <c r="BK166" s="356"/>
      <c r="BL166" s="356"/>
      <c r="BM166" s="477"/>
      <c r="BN166" s="355"/>
      <c r="BO166" s="356"/>
      <c r="BP166" s="356"/>
      <c r="BQ166" s="477"/>
      <c r="BR166" s="357"/>
      <c r="BS166" s="357"/>
      <c r="BT166" s="481"/>
      <c r="BU166" s="477"/>
      <c r="BV166" s="357"/>
      <c r="BW166" s="357"/>
      <c r="BX166" s="357"/>
      <c r="BY166" s="592"/>
      <c r="BZ166" s="357"/>
      <c r="CA166" s="357"/>
      <c r="CB166" s="357"/>
      <c r="CC166" s="592"/>
      <c r="CD166" s="357"/>
      <c r="CE166" s="357"/>
      <c r="CF166" s="357"/>
      <c r="CG166" s="592"/>
      <c r="CH166" s="357"/>
      <c r="CI166" s="357"/>
      <c r="CJ166" s="357"/>
      <c r="CK166" s="592"/>
      <c r="CL166" s="357"/>
      <c r="CM166" s="357"/>
      <c r="CN166" s="357"/>
      <c r="CO166" s="592"/>
      <c r="CP166" s="594"/>
      <c r="CQ166" s="357"/>
      <c r="CR166" s="357"/>
      <c r="CS166" s="592"/>
      <c r="CT166" s="594"/>
      <c r="CU166" s="357"/>
      <c r="CV166" s="357"/>
      <c r="CW166" s="592"/>
      <c r="CX166" s="357"/>
      <c r="CY166" s="357"/>
      <c r="CZ166" s="357"/>
      <c r="DA166" s="592"/>
      <c r="DB166" s="357"/>
      <c r="DC166" s="357"/>
      <c r="DD166" s="357"/>
      <c r="DE166" s="592"/>
      <c r="DF166" s="357"/>
      <c r="DG166" s="357"/>
      <c r="DH166" s="357"/>
      <c r="DI166" s="592"/>
      <c r="DJ166" s="592"/>
      <c r="DK166" s="594"/>
      <c r="DL166" s="357"/>
      <c r="DM166" s="357"/>
      <c r="DN166" s="357"/>
      <c r="DO166" s="357"/>
      <c r="DP166" s="357"/>
      <c r="DQ166" s="357"/>
      <c r="DR166" s="357"/>
      <c r="DS166" s="357"/>
      <c r="DT166" s="356"/>
      <c r="DU166" s="356"/>
      <c r="DV166" s="356"/>
      <c r="DW166" s="356"/>
      <c r="DX166" s="356"/>
      <c r="DY166" s="356"/>
      <c r="DZ166" s="356"/>
      <c r="EA166" s="356"/>
      <c r="EB166" s="356"/>
      <c r="EC166" s="356"/>
      <c r="ED166" s="356"/>
      <c r="EE166" s="356"/>
      <c r="EF166" s="356"/>
      <c r="EG166" s="357"/>
      <c r="EH166" s="357"/>
      <c r="EI166" s="357"/>
      <c r="EJ166" s="357"/>
      <c r="EK166" s="357"/>
      <c r="EL166" s="357"/>
      <c r="EM166" s="357"/>
      <c r="EN166" s="357"/>
      <c r="EO166" s="357"/>
      <c r="EP166" s="594"/>
      <c r="EQ166" s="357"/>
    </row>
    <row r="167" spans="1:147" s="596" customFormat="1" outlineLevel="2">
      <c r="A167" s="546"/>
      <c r="B167"/>
      <c r="C167"/>
      <c r="D167"/>
      <c r="E167"/>
      <c r="F167"/>
      <c r="G167"/>
      <c r="I167" s="637" t="s">
        <v>1682</v>
      </c>
      <c r="J167" s="409"/>
      <c r="K167" s="386"/>
      <c r="L167" s="386"/>
      <c r="M167" s="388"/>
      <c r="N167" s="409"/>
      <c r="O167" s="386"/>
      <c r="P167" s="386"/>
      <c r="Q167" s="388"/>
      <c r="R167" s="409"/>
      <c r="S167" s="386"/>
      <c r="T167" s="386"/>
      <c r="U167" s="388"/>
      <c r="V167" s="409"/>
      <c r="W167" s="386"/>
      <c r="X167" s="386"/>
      <c r="Y167" s="388"/>
      <c r="Z167" s="409"/>
      <c r="AA167" s="386"/>
      <c r="AB167" s="386"/>
      <c r="AC167" s="388"/>
      <c r="AD167" s="409"/>
      <c r="AE167" s="386"/>
      <c r="AF167" s="386"/>
      <c r="AG167" s="388"/>
      <c r="AH167" s="409"/>
      <c r="AI167" s="386"/>
      <c r="AJ167" s="386"/>
      <c r="AK167" s="388"/>
      <c r="AL167" s="409"/>
      <c r="AM167" s="386"/>
      <c r="AN167" s="386"/>
      <c r="AO167" s="388"/>
      <c r="AP167" s="409"/>
      <c r="AQ167" s="386"/>
      <c r="AR167" s="386"/>
      <c r="AS167" s="388"/>
      <c r="AT167" s="409"/>
      <c r="AU167" s="386"/>
      <c r="AV167" s="386"/>
      <c r="AW167" s="388"/>
      <c r="AX167" s="409">
        <v>0</v>
      </c>
      <c r="AY167" s="386">
        <v>0</v>
      </c>
      <c r="AZ167" s="386">
        <v>0</v>
      </c>
      <c r="BA167" s="388">
        <v>0</v>
      </c>
      <c r="BB167" s="598">
        <v>0</v>
      </c>
      <c r="BC167" s="386">
        <v>152</v>
      </c>
      <c r="BD167" s="386">
        <v>144</v>
      </c>
      <c r="BE167" s="388">
        <v>138</v>
      </c>
      <c r="BF167" s="389">
        <v>88</v>
      </c>
      <c r="BG167" s="386">
        <v>85</v>
      </c>
      <c r="BH167" s="386">
        <v>83</v>
      </c>
      <c r="BI167" s="388">
        <v>80</v>
      </c>
      <c r="BJ167" s="389">
        <v>68</v>
      </c>
      <c r="BK167" s="386">
        <v>64</v>
      </c>
      <c r="BL167" s="386">
        <v>61</v>
      </c>
      <c r="BM167" s="388">
        <v>58</v>
      </c>
      <c r="BN167" s="373">
        <v>43</v>
      </c>
      <c r="BO167" s="325">
        <v>41</v>
      </c>
      <c r="BP167" s="325">
        <v>39</v>
      </c>
      <c r="BQ167" s="372">
        <v>38</v>
      </c>
      <c r="BR167" s="412">
        <v>29</v>
      </c>
      <c r="BS167" s="325">
        <v>28</v>
      </c>
      <c r="BT167" s="325">
        <v>26</v>
      </c>
      <c r="BU167" s="372">
        <v>24</v>
      </c>
      <c r="BV167" s="412">
        <v>49</v>
      </c>
      <c r="BW167" s="325">
        <v>2484</v>
      </c>
      <c r="BX167" s="325">
        <v>2281</v>
      </c>
      <c r="BY167" s="372">
        <v>2070</v>
      </c>
      <c r="BZ167" s="412">
        <v>1858</v>
      </c>
      <c r="CA167" s="325">
        <v>1673</v>
      </c>
      <c r="CB167" s="325">
        <v>1479</v>
      </c>
      <c r="CC167" s="372">
        <v>1292</v>
      </c>
      <c r="CD167" s="412">
        <v>1106</v>
      </c>
      <c r="CE167" s="325">
        <v>1445</v>
      </c>
      <c r="CF167" s="325">
        <v>910</v>
      </c>
      <c r="CG167" s="372">
        <v>826</v>
      </c>
      <c r="CH167" s="412">
        <v>735</v>
      </c>
      <c r="CI167" s="325">
        <v>680</v>
      </c>
      <c r="CJ167" s="325">
        <v>633</v>
      </c>
      <c r="CK167" s="372">
        <v>583</v>
      </c>
      <c r="CL167" s="412">
        <v>531</v>
      </c>
      <c r="CM167" s="325">
        <v>498</v>
      </c>
      <c r="CN167" s="325">
        <v>484</v>
      </c>
      <c r="CO167" s="372">
        <v>469</v>
      </c>
      <c r="CP167" s="567">
        <v>451</v>
      </c>
      <c r="CQ167" s="412">
        <v>446</v>
      </c>
      <c r="CR167" s="412">
        <v>449</v>
      </c>
      <c r="CS167" s="413">
        <v>449</v>
      </c>
      <c r="CT167" s="567">
        <v>447</v>
      </c>
      <c r="CU167" s="412">
        <v>445</v>
      </c>
      <c r="CV167" s="412">
        <v>443</v>
      </c>
      <c r="CW167" s="413">
        <v>441</v>
      </c>
      <c r="CX167" s="412"/>
      <c r="CY167" s="412"/>
      <c r="CZ167" s="412"/>
      <c r="DA167" s="413"/>
      <c r="DB167" s="567"/>
      <c r="DC167" s="412"/>
      <c r="DD167" s="412"/>
      <c r="DE167" s="413"/>
      <c r="DF167" s="412"/>
      <c r="DG167" s="412"/>
      <c r="DH167" s="412"/>
      <c r="DI167" s="413"/>
      <c r="DJ167" s="413"/>
      <c r="DK167" s="373"/>
      <c r="DL167" s="325"/>
      <c r="DM167" s="325"/>
      <c r="DN167" s="325"/>
      <c r="DO167" s="325"/>
      <c r="DP167" s="325"/>
      <c r="DQ167" s="325"/>
      <c r="DR167" s="325"/>
      <c r="DS167" s="325"/>
      <c r="DT167" s="325"/>
      <c r="DU167" s="325"/>
      <c r="DV167" s="325">
        <v>160</v>
      </c>
      <c r="DW167" s="325">
        <v>88</v>
      </c>
      <c r="DX167" s="325">
        <v>68</v>
      </c>
      <c r="DY167" s="325">
        <v>43</v>
      </c>
      <c r="DZ167" s="325">
        <v>29</v>
      </c>
      <c r="EA167" s="325">
        <v>49</v>
      </c>
      <c r="EB167" s="325">
        <v>1858</v>
      </c>
      <c r="EC167" s="325">
        <v>1106</v>
      </c>
      <c r="ED167" s="325">
        <v>735</v>
      </c>
      <c r="EE167" s="325">
        <v>531</v>
      </c>
      <c r="EF167" s="325">
        <v>451</v>
      </c>
      <c r="EG167" s="325">
        <v>447</v>
      </c>
      <c r="EH167" s="412">
        <v>439</v>
      </c>
      <c r="EI167" s="412">
        <v>439</v>
      </c>
      <c r="EJ167" s="412">
        <v>439</v>
      </c>
      <c r="EK167" s="412">
        <v>439</v>
      </c>
      <c r="EL167" s="412">
        <v>439</v>
      </c>
      <c r="EM167" s="412">
        <v>439</v>
      </c>
      <c r="EN167" s="412">
        <v>439</v>
      </c>
      <c r="EO167" s="412">
        <v>439</v>
      </c>
      <c r="EP167" s="598"/>
      <c r="EQ167" s="409"/>
    </row>
    <row r="168" spans="1:147" s="596" customFormat="1" outlineLevel="2">
      <c r="A168" s="546"/>
      <c r="B168"/>
      <c r="C168"/>
      <c r="D168"/>
      <c r="E168"/>
      <c r="F168"/>
      <c r="G168"/>
      <c r="I168" s="638" t="s">
        <v>1683</v>
      </c>
      <c r="J168" s="399"/>
      <c r="K168" s="399"/>
      <c r="L168" s="399"/>
      <c r="M168" s="400"/>
      <c r="N168" s="399"/>
      <c r="O168" s="399"/>
      <c r="P168" s="399"/>
      <c r="Q168" s="400"/>
      <c r="R168" s="399"/>
      <c r="S168" s="399"/>
      <c r="T168" s="399"/>
      <c r="U168" s="400"/>
      <c r="V168" s="399"/>
      <c r="W168" s="399"/>
      <c r="X168" s="399"/>
      <c r="Y168" s="400"/>
      <c r="Z168" s="399"/>
      <c r="AA168" s="399"/>
      <c r="AB168" s="399"/>
      <c r="AC168" s="400"/>
      <c r="AD168" s="399"/>
      <c r="AE168" s="399"/>
      <c r="AF168" s="399"/>
      <c r="AG168" s="400"/>
      <c r="AH168" s="399"/>
      <c r="AI168" s="399"/>
      <c r="AJ168" s="399"/>
      <c r="AK168" s="400"/>
      <c r="AL168" s="399"/>
      <c r="AM168" s="399"/>
      <c r="AN168" s="399"/>
      <c r="AO168" s="400"/>
      <c r="AP168" s="399"/>
      <c r="AQ168" s="399"/>
      <c r="AR168" s="399"/>
      <c r="AS168" s="400"/>
      <c r="AT168" s="399"/>
      <c r="AU168" s="399"/>
      <c r="AV168" s="399"/>
      <c r="AW168" s="400"/>
      <c r="AX168" s="399">
        <v>0</v>
      </c>
      <c r="AY168" s="399">
        <v>0</v>
      </c>
      <c r="AZ168" s="399">
        <v>0</v>
      </c>
      <c r="BA168" s="400">
        <v>0</v>
      </c>
      <c r="BB168" s="411">
        <v>0</v>
      </c>
      <c r="BC168" s="399">
        <v>0</v>
      </c>
      <c r="BD168" s="386">
        <v>0</v>
      </c>
      <c r="BE168" s="388">
        <v>0</v>
      </c>
      <c r="BF168" s="389">
        <v>0</v>
      </c>
      <c r="BG168" s="386">
        <v>0</v>
      </c>
      <c r="BH168" s="386">
        <v>0</v>
      </c>
      <c r="BI168" s="388">
        <v>0</v>
      </c>
      <c r="BJ168" s="389">
        <v>0</v>
      </c>
      <c r="BK168" s="386">
        <v>0</v>
      </c>
      <c r="BL168" s="386">
        <v>0</v>
      </c>
      <c r="BM168" s="388">
        <v>0</v>
      </c>
      <c r="BN168" s="373">
        <v>0</v>
      </c>
      <c r="BO168" s="325">
        <v>0</v>
      </c>
      <c r="BP168" s="325">
        <v>0</v>
      </c>
      <c r="BQ168" s="372">
        <v>0</v>
      </c>
      <c r="BR168" s="401">
        <v>0</v>
      </c>
      <c r="BS168" s="401">
        <v>0</v>
      </c>
      <c r="BT168" s="401">
        <v>0</v>
      </c>
      <c r="BU168" s="372">
        <v>0</v>
      </c>
      <c r="BV168" s="401">
        <v>2437</v>
      </c>
      <c r="BW168" s="401">
        <v>0</v>
      </c>
      <c r="BX168" s="401">
        <v>0</v>
      </c>
      <c r="BY168" s="402">
        <v>0</v>
      </c>
      <c r="BZ168" s="412">
        <v>0</v>
      </c>
      <c r="CA168" s="401">
        <v>0</v>
      </c>
      <c r="CB168" s="401">
        <v>0</v>
      </c>
      <c r="CC168" s="402">
        <v>0</v>
      </c>
      <c r="CD168" s="412">
        <v>0</v>
      </c>
      <c r="CE168" s="401">
        <v>0</v>
      </c>
      <c r="CF168" s="401">
        <v>0</v>
      </c>
      <c r="CG168" s="402">
        <v>0</v>
      </c>
      <c r="CH168" s="412">
        <v>0</v>
      </c>
      <c r="CI168" s="401">
        <v>0</v>
      </c>
      <c r="CJ168" s="401">
        <v>0</v>
      </c>
      <c r="CK168" s="402">
        <v>0</v>
      </c>
      <c r="CL168" s="412">
        <v>0</v>
      </c>
      <c r="CM168" s="401">
        <v>0</v>
      </c>
      <c r="CN168" s="401">
        <v>0</v>
      </c>
      <c r="CO168" s="402">
        <v>0</v>
      </c>
      <c r="CP168" s="567">
        <v>0</v>
      </c>
      <c r="CQ168" s="412">
        <v>0</v>
      </c>
      <c r="CR168" s="401">
        <v>0</v>
      </c>
      <c r="CS168" s="413">
        <v>0</v>
      </c>
      <c r="CT168" s="567">
        <v>0</v>
      </c>
      <c r="CU168" s="412">
        <v>0</v>
      </c>
      <c r="CV168" s="401">
        <v>0</v>
      </c>
      <c r="CW168" s="413">
        <v>0</v>
      </c>
      <c r="CX168" s="412"/>
      <c r="CY168" s="412"/>
      <c r="CZ168" s="412"/>
      <c r="DA168" s="413"/>
      <c r="DB168" s="567"/>
      <c r="DC168" s="412"/>
      <c r="DD168" s="412"/>
      <c r="DE168" s="413"/>
      <c r="DF168" s="412"/>
      <c r="DG168" s="412"/>
      <c r="DH168" s="412"/>
      <c r="DI168" s="413"/>
      <c r="DJ168" s="671"/>
      <c r="DK168" s="438"/>
      <c r="DL168" s="401"/>
      <c r="DM168" s="401"/>
      <c r="DN168" s="401"/>
      <c r="DO168" s="401"/>
      <c r="DP168" s="401"/>
      <c r="DQ168" s="401"/>
      <c r="DR168" s="401"/>
      <c r="DS168" s="401"/>
      <c r="DT168" s="325"/>
      <c r="DU168" s="325"/>
      <c r="DV168" s="325">
        <v>0</v>
      </c>
      <c r="DW168" s="325">
        <v>0</v>
      </c>
      <c r="DX168" s="325">
        <v>0</v>
      </c>
      <c r="DY168" s="325">
        <v>0</v>
      </c>
      <c r="DZ168" s="325">
        <v>0</v>
      </c>
      <c r="EA168" s="325">
        <v>2437</v>
      </c>
      <c r="EB168" s="325">
        <v>0</v>
      </c>
      <c r="EC168" s="325">
        <v>0</v>
      </c>
      <c r="ED168" s="325">
        <v>0</v>
      </c>
      <c r="EE168" s="325">
        <v>0</v>
      </c>
      <c r="EF168" s="325">
        <v>0</v>
      </c>
      <c r="EG168" s="325">
        <v>0</v>
      </c>
      <c r="EH168" s="412">
        <v>0</v>
      </c>
      <c r="EI168" s="412">
        <v>0</v>
      </c>
      <c r="EJ168" s="412">
        <v>0</v>
      </c>
      <c r="EK168" s="412">
        <v>0</v>
      </c>
      <c r="EL168" s="412">
        <v>0</v>
      </c>
      <c r="EM168" s="412">
        <v>0</v>
      </c>
      <c r="EN168" s="412">
        <v>0</v>
      </c>
      <c r="EO168" s="412">
        <v>0</v>
      </c>
      <c r="EP168" s="598"/>
      <c r="EQ168" s="409"/>
    </row>
    <row r="169" spans="1:147" s="596" customFormat="1" outlineLevel="2">
      <c r="A169" s="546"/>
      <c r="B169"/>
      <c r="C169"/>
      <c r="D169"/>
      <c r="E169"/>
      <c r="F169"/>
      <c r="G169"/>
      <c r="I169" s="638" t="s">
        <v>1684</v>
      </c>
      <c r="J169" s="409"/>
      <c r="K169" s="386"/>
      <c r="L169" s="386"/>
      <c r="M169" s="388"/>
      <c r="N169" s="409"/>
      <c r="O169" s="386"/>
      <c r="P169" s="386"/>
      <c r="Q169" s="388"/>
      <c r="R169" s="409"/>
      <c r="S169" s="386"/>
      <c r="T169" s="386"/>
      <c r="U169" s="388"/>
      <c r="V169" s="409"/>
      <c r="W169" s="386"/>
      <c r="X169" s="386"/>
      <c r="Y169" s="388"/>
      <c r="Z169" s="409"/>
      <c r="AA169" s="386"/>
      <c r="AB169" s="386"/>
      <c r="AC169" s="388"/>
      <c r="AD169" s="409"/>
      <c r="AE169" s="386"/>
      <c r="AF169" s="386"/>
      <c r="AG169" s="388"/>
      <c r="AH169" s="409"/>
      <c r="AI169" s="386"/>
      <c r="AJ169" s="386"/>
      <c r="AK169" s="388"/>
      <c r="AL169" s="409"/>
      <c r="AM169" s="386"/>
      <c r="AN169" s="386"/>
      <c r="AO169" s="388"/>
      <c r="AP169" s="409"/>
      <c r="AQ169" s="386"/>
      <c r="AR169" s="386"/>
      <c r="AS169" s="388"/>
      <c r="AT169" s="409"/>
      <c r="AU169" s="386"/>
      <c r="AV169" s="386"/>
      <c r="AW169" s="388"/>
      <c r="AX169" s="409">
        <v>0</v>
      </c>
      <c r="AY169" s="386">
        <v>0</v>
      </c>
      <c r="AZ169" s="386">
        <v>0</v>
      </c>
      <c r="BA169" s="388">
        <v>0</v>
      </c>
      <c r="BB169" s="598">
        <v>18.25</v>
      </c>
      <c r="BC169" s="386">
        <v>18.25</v>
      </c>
      <c r="BD169" s="386">
        <v>18.25</v>
      </c>
      <c r="BE169" s="388">
        <v>18.25</v>
      </c>
      <c r="BF169" s="389">
        <v>7.5</v>
      </c>
      <c r="BG169" s="386">
        <v>7.5</v>
      </c>
      <c r="BH169" s="386">
        <v>7.5</v>
      </c>
      <c r="BI169" s="388">
        <v>7.5</v>
      </c>
      <c r="BJ169" s="389">
        <v>6</v>
      </c>
      <c r="BK169" s="386">
        <v>6</v>
      </c>
      <c r="BL169" s="386">
        <v>6</v>
      </c>
      <c r="BM169" s="388">
        <v>6</v>
      </c>
      <c r="BN169" s="373">
        <v>3.5</v>
      </c>
      <c r="BO169" s="325">
        <v>3.5</v>
      </c>
      <c r="BP169" s="325">
        <v>3.5</v>
      </c>
      <c r="BQ169" s="372">
        <v>3.5</v>
      </c>
      <c r="BR169" s="412">
        <v>2</v>
      </c>
      <c r="BS169" s="325">
        <v>2</v>
      </c>
      <c r="BT169" s="325">
        <v>2</v>
      </c>
      <c r="BU169" s="372">
        <v>2</v>
      </c>
      <c r="BV169" s="412">
        <v>81</v>
      </c>
      <c r="BW169" s="325">
        <v>203</v>
      </c>
      <c r="BX169" s="325">
        <v>211</v>
      </c>
      <c r="BY169" s="372">
        <v>212</v>
      </c>
      <c r="BZ169" s="412">
        <v>190</v>
      </c>
      <c r="CA169" s="325">
        <v>194</v>
      </c>
      <c r="CB169" s="325">
        <v>187</v>
      </c>
      <c r="CC169" s="372">
        <v>185</v>
      </c>
      <c r="CD169" s="412">
        <v>119</v>
      </c>
      <c r="CE169" s="325">
        <v>77</v>
      </c>
      <c r="CF169" s="325">
        <v>83</v>
      </c>
      <c r="CG169" s="372">
        <v>91</v>
      </c>
      <c r="CH169" s="412">
        <v>54</v>
      </c>
      <c r="CI169" s="325">
        <v>47</v>
      </c>
      <c r="CJ169" s="325">
        <v>50</v>
      </c>
      <c r="CK169" s="372">
        <v>56</v>
      </c>
      <c r="CL169" s="412">
        <v>33</v>
      </c>
      <c r="CM169" s="325">
        <v>14</v>
      </c>
      <c r="CN169" s="325">
        <v>16</v>
      </c>
      <c r="CO169" s="372">
        <v>18</v>
      </c>
      <c r="CP169" s="567">
        <v>5</v>
      </c>
      <c r="CQ169" s="412">
        <v>2</v>
      </c>
      <c r="CR169" s="412">
        <v>2</v>
      </c>
      <c r="CS169" s="413">
        <v>2</v>
      </c>
      <c r="CT169" s="567">
        <v>2</v>
      </c>
      <c r="CU169" s="412">
        <v>2</v>
      </c>
      <c r="CV169" s="412">
        <v>2</v>
      </c>
      <c r="CW169" s="413">
        <v>2</v>
      </c>
      <c r="CX169" s="412"/>
      <c r="CY169" s="412"/>
      <c r="CZ169" s="412"/>
      <c r="DA169" s="413"/>
      <c r="DB169" s="567"/>
      <c r="DC169" s="412"/>
      <c r="DD169" s="412"/>
      <c r="DE169" s="413"/>
      <c r="DF169" s="412"/>
      <c r="DG169" s="412"/>
      <c r="DH169" s="412"/>
      <c r="DI169" s="413"/>
      <c r="DJ169" s="671"/>
      <c r="DK169" s="373"/>
      <c r="DL169" s="325"/>
      <c r="DM169" s="325"/>
      <c r="DN169" s="325"/>
      <c r="DO169" s="325"/>
      <c r="DP169" s="325"/>
      <c r="DQ169" s="325"/>
      <c r="DR169" s="325"/>
      <c r="DS169" s="325"/>
      <c r="DT169" s="325"/>
      <c r="DU169" s="325"/>
      <c r="DV169" s="325">
        <v>73</v>
      </c>
      <c r="DW169" s="325">
        <v>30</v>
      </c>
      <c r="DX169" s="325">
        <v>24</v>
      </c>
      <c r="DY169" s="325">
        <v>14</v>
      </c>
      <c r="DZ169" s="325">
        <v>8</v>
      </c>
      <c r="EA169" s="325">
        <v>707</v>
      </c>
      <c r="EB169" s="325">
        <v>756</v>
      </c>
      <c r="EC169" s="325">
        <v>370</v>
      </c>
      <c r="ED169" s="325">
        <v>207</v>
      </c>
      <c r="EE169" s="325">
        <v>81</v>
      </c>
      <c r="EF169" s="325">
        <v>11</v>
      </c>
      <c r="EG169" s="325">
        <v>8</v>
      </c>
      <c r="EH169" s="412">
        <v>0</v>
      </c>
      <c r="EI169" s="412">
        <v>0</v>
      </c>
      <c r="EJ169" s="412">
        <v>0</v>
      </c>
      <c r="EK169" s="412">
        <v>0</v>
      </c>
      <c r="EL169" s="412">
        <v>0</v>
      </c>
      <c r="EM169" s="412">
        <v>0</v>
      </c>
      <c r="EN169" s="412">
        <v>0</v>
      </c>
      <c r="EO169" s="412">
        <v>0</v>
      </c>
      <c r="EP169" s="598"/>
      <c r="EQ169" s="409"/>
    </row>
    <row r="170" spans="1:147" s="596" customFormat="1" outlineLevel="2">
      <c r="A170" s="546"/>
      <c r="B170"/>
      <c r="C170"/>
      <c r="D170"/>
      <c r="E170"/>
      <c r="F170"/>
      <c r="G170"/>
      <c r="I170" s="638" t="s">
        <v>1685</v>
      </c>
      <c r="J170" s="639"/>
      <c r="K170" s="521"/>
      <c r="L170" s="521"/>
      <c r="M170" s="522"/>
      <c r="N170" s="639"/>
      <c r="O170" s="521"/>
      <c r="P170" s="521"/>
      <c r="Q170" s="522"/>
      <c r="R170" s="639"/>
      <c r="S170" s="521"/>
      <c r="T170" s="521"/>
      <c r="U170" s="522"/>
      <c r="V170" s="639"/>
      <c r="W170" s="521"/>
      <c r="X170" s="521"/>
      <c r="Y170" s="522"/>
      <c r="Z170" s="647"/>
      <c r="AA170" s="521"/>
      <c r="AB170" s="521"/>
      <c r="AC170" s="522"/>
      <c r="AD170" s="639"/>
      <c r="AE170" s="521"/>
      <c r="AF170" s="521"/>
      <c r="AG170" s="522"/>
      <c r="AH170" s="639"/>
      <c r="AI170" s="521"/>
      <c r="AJ170" s="521"/>
      <c r="AK170" s="522"/>
      <c r="AL170" s="639"/>
      <c r="AM170" s="521"/>
      <c r="AN170" s="521"/>
      <c r="AO170" s="522"/>
      <c r="AP170" s="639"/>
      <c r="AQ170" s="521"/>
      <c r="AR170" s="521"/>
      <c r="AS170" s="522"/>
      <c r="AT170" s="639" t="s">
        <v>401</v>
      </c>
      <c r="AU170" s="521" t="s">
        <v>401</v>
      </c>
      <c r="AV170" s="521"/>
      <c r="AW170" s="522"/>
      <c r="AX170" s="639">
        <v>0</v>
      </c>
      <c r="AY170" s="521">
        <v>0</v>
      </c>
      <c r="AZ170" s="521">
        <v>0</v>
      </c>
      <c r="BA170" s="522">
        <v>0</v>
      </c>
      <c r="BB170" s="647">
        <v>170.25</v>
      </c>
      <c r="BC170" s="521">
        <v>10.25</v>
      </c>
      <c r="BD170" s="521">
        <v>12.25</v>
      </c>
      <c r="BE170" s="522">
        <v>-31.75</v>
      </c>
      <c r="BF170" s="529">
        <v>4.5</v>
      </c>
      <c r="BG170" s="521">
        <v>5.5</v>
      </c>
      <c r="BH170" s="521">
        <v>4.5</v>
      </c>
      <c r="BI170" s="522">
        <v>-4.5</v>
      </c>
      <c r="BJ170" s="529">
        <v>2</v>
      </c>
      <c r="BK170" s="521">
        <v>3</v>
      </c>
      <c r="BL170" s="521">
        <v>3</v>
      </c>
      <c r="BM170" s="522">
        <v>-9</v>
      </c>
      <c r="BN170" s="528">
        <v>1.5</v>
      </c>
      <c r="BO170" s="506">
        <v>1.5</v>
      </c>
      <c r="BP170" s="506">
        <v>2.5</v>
      </c>
      <c r="BQ170" s="527">
        <v>-5.5</v>
      </c>
      <c r="BR170" s="642">
        <v>1</v>
      </c>
      <c r="BS170" s="506">
        <v>0</v>
      </c>
      <c r="BT170" s="506">
        <v>0</v>
      </c>
      <c r="BU170" s="527">
        <v>27</v>
      </c>
      <c r="BV170" s="642">
        <v>79</v>
      </c>
      <c r="BW170" s="506">
        <v>0</v>
      </c>
      <c r="BX170" s="506">
        <v>0</v>
      </c>
      <c r="BY170" s="527">
        <v>0</v>
      </c>
      <c r="BZ170" s="642">
        <v>5</v>
      </c>
      <c r="CA170" s="506">
        <v>0</v>
      </c>
      <c r="CB170" s="506">
        <v>0</v>
      </c>
      <c r="CC170" s="527">
        <v>-1</v>
      </c>
      <c r="CD170" s="642">
        <v>458</v>
      </c>
      <c r="CE170" s="506">
        <v>-458</v>
      </c>
      <c r="CF170" s="506">
        <v>-1</v>
      </c>
      <c r="CG170" s="527">
        <v>0</v>
      </c>
      <c r="CH170" s="642">
        <v>-1</v>
      </c>
      <c r="CI170" s="506">
        <v>0</v>
      </c>
      <c r="CJ170" s="506">
        <v>0</v>
      </c>
      <c r="CK170" s="527">
        <v>4</v>
      </c>
      <c r="CL170" s="642">
        <v>0</v>
      </c>
      <c r="CM170" s="506">
        <v>0</v>
      </c>
      <c r="CN170" s="506">
        <v>1</v>
      </c>
      <c r="CO170" s="527">
        <v>0</v>
      </c>
      <c r="CP170" s="641">
        <v>0</v>
      </c>
      <c r="CQ170" s="642">
        <v>5</v>
      </c>
      <c r="CR170" s="642">
        <v>2</v>
      </c>
      <c r="CS170" s="644">
        <v>0</v>
      </c>
      <c r="CT170" s="641">
        <v>0</v>
      </c>
      <c r="CU170" s="642">
        <v>0</v>
      </c>
      <c r="CV170" s="642">
        <v>0</v>
      </c>
      <c r="CW170" s="644">
        <v>0</v>
      </c>
      <c r="CX170" s="648"/>
      <c r="CY170" s="648"/>
      <c r="CZ170" s="648"/>
      <c r="DA170" s="644"/>
      <c r="DB170" s="672"/>
      <c r="DC170" s="648"/>
      <c r="DD170" s="648"/>
      <c r="DE170" s="644"/>
      <c r="DF170" s="672"/>
      <c r="DG170" s="648"/>
      <c r="DH170" s="648"/>
      <c r="DI170" s="644"/>
      <c r="DJ170" s="671"/>
      <c r="DK170" s="528"/>
      <c r="DL170" s="506"/>
      <c r="DM170" s="506"/>
      <c r="DN170" s="506"/>
      <c r="DO170" s="506"/>
      <c r="DP170" s="506"/>
      <c r="DQ170" s="506"/>
      <c r="DR170" s="506"/>
      <c r="DS170" s="506"/>
      <c r="DT170" s="506"/>
      <c r="DU170" s="506"/>
      <c r="DV170" s="506">
        <v>1</v>
      </c>
      <c r="DW170" s="506">
        <v>10</v>
      </c>
      <c r="DX170" s="506">
        <v>-1</v>
      </c>
      <c r="DY170" s="506">
        <v>0</v>
      </c>
      <c r="DZ170" s="506">
        <v>28</v>
      </c>
      <c r="EA170" s="506">
        <v>79</v>
      </c>
      <c r="EB170" s="506">
        <v>4</v>
      </c>
      <c r="EC170" s="506">
        <v>-1</v>
      </c>
      <c r="ED170" s="506">
        <v>3</v>
      </c>
      <c r="EE170" s="506">
        <v>1</v>
      </c>
      <c r="EF170" s="506">
        <v>7</v>
      </c>
      <c r="EG170" s="506">
        <v>0</v>
      </c>
      <c r="EH170" s="648">
        <v>0</v>
      </c>
      <c r="EI170" s="648">
        <v>0</v>
      </c>
      <c r="EJ170" s="648">
        <v>0</v>
      </c>
      <c r="EK170" s="648">
        <v>0</v>
      </c>
      <c r="EL170" s="648">
        <v>0</v>
      </c>
      <c r="EM170" s="648">
        <v>0</v>
      </c>
      <c r="EN170" s="648">
        <v>0</v>
      </c>
      <c r="EO170" s="648">
        <v>0</v>
      </c>
      <c r="EP170" s="598"/>
      <c r="EQ170" s="409"/>
    </row>
    <row r="171" spans="1:147" s="596" customFormat="1" ht="12.95" outlineLevel="2">
      <c r="A171" s="546"/>
      <c r="B171"/>
      <c r="C171"/>
      <c r="D171"/>
      <c r="E171"/>
      <c r="F171"/>
      <c r="G171"/>
      <c r="I171" s="649" t="s">
        <v>1686</v>
      </c>
      <c r="J171" s="559"/>
      <c r="K171" s="559"/>
      <c r="L171" s="559"/>
      <c r="M171" s="560"/>
      <c r="N171" s="561"/>
      <c r="O171" s="559"/>
      <c r="P171" s="559"/>
      <c r="Q171" s="560"/>
      <c r="R171" s="559"/>
      <c r="S171" s="559"/>
      <c r="T171" s="559"/>
      <c r="U171" s="560"/>
      <c r="V171" s="559"/>
      <c r="W171" s="559"/>
      <c r="X171" s="559"/>
      <c r="Y171" s="560"/>
      <c r="Z171" s="561"/>
      <c r="AA171" s="559"/>
      <c r="AB171" s="559"/>
      <c r="AC171" s="560"/>
      <c r="AD171" s="559"/>
      <c r="AE171" s="559"/>
      <c r="AF171" s="559"/>
      <c r="AG171" s="560"/>
      <c r="AH171" s="559"/>
      <c r="AI171" s="559"/>
      <c r="AJ171" s="559"/>
      <c r="AK171" s="560"/>
      <c r="AL171" s="559"/>
      <c r="AM171" s="559"/>
      <c r="AN171" s="559"/>
      <c r="AO171" s="560"/>
      <c r="AP171" s="559"/>
      <c r="AQ171" s="559"/>
      <c r="AR171" s="559"/>
      <c r="AS171" s="560"/>
      <c r="AT171" s="559"/>
      <c r="AU171" s="559"/>
      <c r="AV171" s="559"/>
      <c r="AW171" s="560"/>
      <c r="AX171" s="559">
        <v>0</v>
      </c>
      <c r="AY171" s="559">
        <v>0</v>
      </c>
      <c r="AZ171" s="559">
        <v>0</v>
      </c>
      <c r="BA171" s="560">
        <v>0</v>
      </c>
      <c r="BB171" s="561">
        <v>152</v>
      </c>
      <c r="BC171" s="559">
        <v>144</v>
      </c>
      <c r="BD171" s="369">
        <v>138</v>
      </c>
      <c r="BE171" s="371">
        <v>88</v>
      </c>
      <c r="BF171" s="375">
        <v>85</v>
      </c>
      <c r="BG171" s="369">
        <v>83</v>
      </c>
      <c r="BH171" s="369">
        <v>80</v>
      </c>
      <c r="BI171" s="371">
        <v>68</v>
      </c>
      <c r="BJ171" s="375">
        <v>64</v>
      </c>
      <c r="BK171" s="369">
        <v>61</v>
      </c>
      <c r="BL171" s="369">
        <v>58</v>
      </c>
      <c r="BM171" s="371">
        <v>43</v>
      </c>
      <c r="BN171" s="450">
        <v>41</v>
      </c>
      <c r="BO171" s="448">
        <v>39</v>
      </c>
      <c r="BP171" s="448">
        <v>38</v>
      </c>
      <c r="BQ171" s="449">
        <v>29</v>
      </c>
      <c r="BR171" s="562">
        <v>28</v>
      </c>
      <c r="BS171" s="562">
        <v>26</v>
      </c>
      <c r="BT171" s="562">
        <v>24</v>
      </c>
      <c r="BU171" s="449">
        <v>49</v>
      </c>
      <c r="BV171" s="562">
        <v>2484</v>
      </c>
      <c r="BW171" s="562">
        <v>2281</v>
      </c>
      <c r="BX171" s="562">
        <v>2070</v>
      </c>
      <c r="BY171" s="600">
        <v>1858</v>
      </c>
      <c r="BZ171" s="562">
        <v>1673</v>
      </c>
      <c r="CA171" s="562">
        <v>1479</v>
      </c>
      <c r="CB171" s="562">
        <v>1292</v>
      </c>
      <c r="CC171" s="600">
        <v>1106</v>
      </c>
      <c r="CD171" s="562">
        <v>1445</v>
      </c>
      <c r="CE171" s="562">
        <v>910</v>
      </c>
      <c r="CF171" s="562">
        <v>826</v>
      </c>
      <c r="CG171" s="600">
        <v>735</v>
      </c>
      <c r="CH171" s="562">
        <v>680</v>
      </c>
      <c r="CI171" s="562">
        <v>633</v>
      </c>
      <c r="CJ171" s="562">
        <v>583</v>
      </c>
      <c r="CK171" s="600">
        <v>531</v>
      </c>
      <c r="CL171" s="562">
        <v>498</v>
      </c>
      <c r="CM171" s="562">
        <v>484</v>
      </c>
      <c r="CN171" s="562">
        <v>469</v>
      </c>
      <c r="CO171" s="600">
        <v>451</v>
      </c>
      <c r="CP171" s="599">
        <v>446</v>
      </c>
      <c r="CQ171" s="562">
        <v>449</v>
      </c>
      <c r="CR171" s="562">
        <v>449</v>
      </c>
      <c r="CS171" s="600">
        <v>447</v>
      </c>
      <c r="CT171" s="599">
        <v>445</v>
      </c>
      <c r="CU171" s="562">
        <v>443</v>
      </c>
      <c r="CV171" s="562">
        <v>441</v>
      </c>
      <c r="CW171" s="600">
        <v>439</v>
      </c>
      <c r="CX171" s="599"/>
      <c r="CY171" s="562"/>
      <c r="CZ171" s="562"/>
      <c r="DA171" s="600"/>
      <c r="DB171" s="599"/>
      <c r="DC171" s="562"/>
      <c r="DD171" s="562"/>
      <c r="DE171" s="600"/>
      <c r="DF171" s="599"/>
      <c r="DG171" s="562"/>
      <c r="DH171" s="562"/>
      <c r="DI171" s="600"/>
      <c r="DJ171" s="671"/>
      <c r="DK171" s="599"/>
      <c r="DL171" s="562"/>
      <c r="DM171" s="562"/>
      <c r="DN171" s="562"/>
      <c r="DO171" s="562"/>
      <c r="DP171" s="562"/>
      <c r="DQ171" s="562"/>
      <c r="DR171" s="562"/>
      <c r="DS171" s="562"/>
      <c r="DT171" s="448"/>
      <c r="DU171" s="448">
        <v>160</v>
      </c>
      <c r="DV171" s="448">
        <v>88</v>
      </c>
      <c r="DW171" s="448">
        <v>68</v>
      </c>
      <c r="DX171" s="448">
        <v>43</v>
      </c>
      <c r="DY171" s="448">
        <v>29</v>
      </c>
      <c r="DZ171" s="448">
        <v>49</v>
      </c>
      <c r="EA171" s="448">
        <v>1858</v>
      </c>
      <c r="EB171" s="448">
        <v>1106</v>
      </c>
      <c r="EC171" s="448">
        <v>735</v>
      </c>
      <c r="ED171" s="448">
        <v>531</v>
      </c>
      <c r="EE171" s="448">
        <v>451</v>
      </c>
      <c r="EF171" s="448">
        <v>447</v>
      </c>
      <c r="EG171" s="448">
        <v>439</v>
      </c>
      <c r="EH171" s="562">
        <v>439</v>
      </c>
      <c r="EI171" s="562">
        <v>439</v>
      </c>
      <c r="EJ171" s="562">
        <v>439</v>
      </c>
      <c r="EK171" s="562">
        <v>439</v>
      </c>
      <c r="EL171" s="562">
        <v>439</v>
      </c>
      <c r="EM171" s="562">
        <v>439</v>
      </c>
      <c r="EN171" s="562">
        <v>439</v>
      </c>
      <c r="EO171" s="562">
        <v>439</v>
      </c>
      <c r="EP171" s="598"/>
      <c r="EQ171" s="409"/>
    </row>
    <row r="172" spans="1:147" s="635" customFormat="1" outlineLevel="2">
      <c r="A172" s="624"/>
      <c r="B172"/>
      <c r="C172"/>
      <c r="D172"/>
      <c r="E172"/>
      <c r="F172"/>
      <c r="G172"/>
      <c r="H172" s="625"/>
      <c r="I172" s="650" t="s">
        <v>1687</v>
      </c>
      <c r="J172" s="627"/>
      <c r="K172" s="627"/>
      <c r="L172" s="627"/>
      <c r="M172" s="652"/>
      <c r="N172" s="629"/>
      <c r="O172" s="627"/>
      <c r="P172" s="627"/>
      <c r="Q172" s="652"/>
      <c r="R172" s="627"/>
      <c r="S172" s="627"/>
      <c r="T172" s="627"/>
      <c r="U172" s="652"/>
      <c r="V172" s="627"/>
      <c r="W172" s="627"/>
      <c r="X172" s="627"/>
      <c r="Y172" s="652"/>
      <c r="Z172" s="629"/>
      <c r="AA172" s="627"/>
      <c r="AB172" s="627"/>
      <c r="AC172" s="652"/>
      <c r="AD172" s="627"/>
      <c r="AE172" s="627"/>
      <c r="AF172" s="627"/>
      <c r="AG172" s="652"/>
      <c r="AH172" s="627"/>
      <c r="AI172" s="627"/>
      <c r="AJ172" s="627"/>
      <c r="AK172" s="652"/>
      <c r="AL172" s="627"/>
      <c r="AM172" s="627"/>
      <c r="AN172" s="627"/>
      <c r="AO172" s="652"/>
      <c r="AP172" s="629"/>
      <c r="AQ172" s="627"/>
      <c r="AR172" s="627"/>
      <c r="AS172" s="652"/>
      <c r="AT172" s="627"/>
      <c r="AU172" s="627"/>
      <c r="AV172" s="627"/>
      <c r="AW172" s="652"/>
      <c r="AX172" s="629">
        <v>0</v>
      </c>
      <c r="AY172" s="627">
        <v>0</v>
      </c>
      <c r="AZ172" s="627">
        <v>0</v>
      </c>
      <c r="BA172" s="652">
        <v>0</v>
      </c>
      <c r="BB172" s="629">
        <v>0</v>
      </c>
      <c r="BC172" s="627">
        <v>0</v>
      </c>
      <c r="BD172" s="633">
        <v>0</v>
      </c>
      <c r="BE172" s="652">
        <v>0</v>
      </c>
      <c r="BF172" s="651">
        <v>0</v>
      </c>
      <c r="BG172" s="633">
        <v>0</v>
      </c>
      <c r="BH172" s="633">
        <v>0</v>
      </c>
      <c r="BI172" s="652">
        <v>0</v>
      </c>
      <c r="BJ172" s="651">
        <v>0</v>
      </c>
      <c r="BK172" s="633">
        <v>0</v>
      </c>
      <c r="BL172" s="633">
        <v>0</v>
      </c>
      <c r="BM172" s="652">
        <v>0</v>
      </c>
      <c r="BN172" s="651">
        <v>0</v>
      </c>
      <c r="BO172" s="633">
        <v>0</v>
      </c>
      <c r="BP172" s="633">
        <v>0</v>
      </c>
      <c r="BQ172" s="652">
        <v>0</v>
      </c>
      <c r="BR172" s="627">
        <v>0</v>
      </c>
      <c r="BS172" s="627">
        <v>0</v>
      </c>
      <c r="BT172" s="627">
        <v>0</v>
      </c>
      <c r="BU172" s="652">
        <v>0</v>
      </c>
      <c r="BV172" s="627">
        <v>1.6749140893470791</v>
      </c>
      <c r="BW172" s="627">
        <v>0</v>
      </c>
      <c r="BX172" s="627">
        <v>0</v>
      </c>
      <c r="BY172" s="628">
        <v>0</v>
      </c>
      <c r="BZ172" s="627">
        <v>0</v>
      </c>
      <c r="CA172" s="627">
        <v>0</v>
      </c>
      <c r="CB172" s="627">
        <v>0</v>
      </c>
      <c r="CC172" s="628">
        <v>0</v>
      </c>
      <c r="CD172" s="627">
        <v>0</v>
      </c>
      <c r="CE172" s="627">
        <v>0</v>
      </c>
      <c r="CF172" s="627">
        <v>0</v>
      </c>
      <c r="CG172" s="628">
        <v>0</v>
      </c>
      <c r="CH172" s="627">
        <v>0</v>
      </c>
      <c r="CI172" s="627">
        <v>0</v>
      </c>
      <c r="CJ172" s="627">
        <v>0</v>
      </c>
      <c r="CK172" s="628">
        <v>0</v>
      </c>
      <c r="CL172" s="627">
        <v>0</v>
      </c>
      <c r="CM172" s="627">
        <v>0</v>
      </c>
      <c r="CN172" s="627">
        <v>0</v>
      </c>
      <c r="CO172" s="628">
        <v>0</v>
      </c>
      <c r="CP172" s="629">
        <v>0</v>
      </c>
      <c r="CQ172" s="653">
        <v>0</v>
      </c>
      <c r="CR172" s="653">
        <v>0</v>
      </c>
      <c r="CS172" s="632">
        <v>0</v>
      </c>
      <c r="CT172" s="654">
        <v>0</v>
      </c>
      <c r="CU172" s="655">
        <v>0</v>
      </c>
      <c r="CV172" s="655">
        <v>0</v>
      </c>
      <c r="CW172" s="632">
        <v>0</v>
      </c>
      <c r="CX172" s="673"/>
      <c r="CY172" s="631"/>
      <c r="CZ172" s="631"/>
      <c r="DA172" s="632"/>
      <c r="DB172" s="673"/>
      <c r="DC172" s="631"/>
      <c r="DD172" s="631"/>
      <c r="DE172" s="632"/>
      <c r="DF172" s="673"/>
      <c r="DG172" s="631"/>
      <c r="DH172" s="631"/>
      <c r="DI172" s="632"/>
      <c r="DJ172" s="674"/>
      <c r="DK172" s="629"/>
      <c r="DL172" s="627"/>
      <c r="DM172" s="627"/>
      <c r="DN172" s="627"/>
      <c r="DO172" s="627"/>
      <c r="DP172" s="627"/>
      <c r="DQ172" s="627"/>
      <c r="DR172" s="627"/>
      <c r="DS172" s="627"/>
      <c r="DT172" s="633"/>
      <c r="DU172" s="633">
        <v>0</v>
      </c>
      <c r="DV172" s="633">
        <v>0</v>
      </c>
      <c r="DW172" s="633">
        <v>0</v>
      </c>
      <c r="DX172" s="633">
        <v>0</v>
      </c>
      <c r="DY172" s="633">
        <v>0</v>
      </c>
      <c r="DZ172" s="633">
        <v>0</v>
      </c>
      <c r="EA172" s="633">
        <v>0.36885121840472229</v>
      </c>
      <c r="EB172" s="633">
        <v>0</v>
      </c>
      <c r="EC172" s="633">
        <v>0</v>
      </c>
      <c r="ED172" s="633">
        <v>0</v>
      </c>
      <c r="EE172" s="633">
        <v>0</v>
      </c>
      <c r="EF172" s="633">
        <v>0</v>
      </c>
      <c r="EG172" s="633">
        <v>0</v>
      </c>
      <c r="EH172" s="631">
        <v>0</v>
      </c>
      <c r="EI172" s="631">
        <v>0</v>
      </c>
      <c r="EJ172" s="631">
        <v>0</v>
      </c>
      <c r="EK172" s="631">
        <v>0</v>
      </c>
      <c r="EL172" s="631">
        <v>0</v>
      </c>
      <c r="EM172" s="631">
        <v>0</v>
      </c>
      <c r="EN172" s="631">
        <v>0</v>
      </c>
      <c r="EO172" s="631">
        <v>0</v>
      </c>
      <c r="EP172" s="673"/>
      <c r="EQ172" s="634"/>
    </row>
    <row r="173" spans="1:147" s="635" customFormat="1" outlineLevel="2">
      <c r="A173" s="624"/>
      <c r="B173"/>
      <c r="C173"/>
      <c r="D173"/>
      <c r="E173"/>
      <c r="F173"/>
      <c r="G173"/>
      <c r="H173" s="625"/>
      <c r="I173" s="650"/>
      <c r="J173" s="627"/>
      <c r="K173" s="627"/>
      <c r="L173" s="627"/>
      <c r="M173" s="652"/>
      <c r="N173" s="629"/>
      <c r="O173" s="627"/>
      <c r="P173" s="627"/>
      <c r="Q173" s="652"/>
      <c r="R173" s="629"/>
      <c r="S173" s="627"/>
      <c r="T173" s="627"/>
      <c r="U173" s="652"/>
      <c r="V173" s="629"/>
      <c r="W173" s="627"/>
      <c r="X173" s="627"/>
      <c r="Y173" s="652"/>
      <c r="Z173" s="629"/>
      <c r="AA173" s="627"/>
      <c r="AB173" s="627"/>
      <c r="AC173" s="652"/>
      <c r="AD173" s="627"/>
      <c r="AE173" s="627"/>
      <c r="AF173" s="627"/>
      <c r="AG173" s="652"/>
      <c r="AH173" s="629"/>
      <c r="AI173" s="627"/>
      <c r="AJ173" s="627"/>
      <c r="AK173" s="652"/>
      <c r="AL173" s="629"/>
      <c r="AM173" s="627"/>
      <c r="AN173" s="627"/>
      <c r="AO173" s="652"/>
      <c r="AP173" s="629"/>
      <c r="AQ173" s="627"/>
      <c r="AR173" s="627"/>
      <c r="AS173" s="652"/>
      <c r="AT173" s="627"/>
      <c r="AU173" s="627"/>
      <c r="AV173" s="627"/>
      <c r="AW173" s="652"/>
      <c r="AX173" s="629"/>
      <c r="AY173" s="627"/>
      <c r="AZ173" s="627"/>
      <c r="BA173" s="652"/>
      <c r="BB173" s="629"/>
      <c r="BC173" s="627"/>
      <c r="BD173" s="633"/>
      <c r="BE173" s="652"/>
      <c r="BF173" s="651"/>
      <c r="BG173" s="633"/>
      <c r="BH173" s="633"/>
      <c r="BI173" s="652"/>
      <c r="BJ173" s="651"/>
      <c r="BK173" s="633"/>
      <c r="BL173" s="633"/>
      <c r="BM173" s="652"/>
      <c r="BN173" s="651"/>
      <c r="BO173" s="633"/>
      <c r="BP173" s="633"/>
      <c r="BQ173" s="652"/>
      <c r="BR173" s="627"/>
      <c r="BS173" s="627"/>
      <c r="BT173" s="627"/>
      <c r="BU173" s="652"/>
      <c r="BV173" s="627"/>
      <c r="BW173" s="627"/>
      <c r="BX173" s="631"/>
      <c r="BY173" s="632"/>
      <c r="BZ173" s="627"/>
      <c r="CA173" s="627"/>
      <c r="CB173" s="631"/>
      <c r="CC173" s="632"/>
      <c r="CD173" s="627"/>
      <c r="CE173" s="627"/>
      <c r="CF173" s="627"/>
      <c r="CG173" s="628"/>
      <c r="CH173" s="627"/>
      <c r="CI173" s="627"/>
      <c r="CJ173" s="627"/>
      <c r="CK173" s="628"/>
      <c r="CL173" s="627"/>
      <c r="CM173" s="627"/>
      <c r="CN173" s="627"/>
      <c r="CO173" s="628"/>
      <c r="CP173" s="629"/>
      <c r="CQ173" s="627"/>
      <c r="CR173" s="631"/>
      <c r="CS173" s="632"/>
      <c r="CT173" s="629"/>
      <c r="CU173" s="627"/>
      <c r="CV173" s="631"/>
      <c r="CW173" s="632"/>
      <c r="CX173" s="631"/>
      <c r="CY173" s="631"/>
      <c r="CZ173" s="631"/>
      <c r="DA173" s="632"/>
      <c r="DB173" s="631"/>
      <c r="DC173" s="631"/>
      <c r="DD173" s="631"/>
      <c r="DE173" s="632"/>
      <c r="DF173" s="631"/>
      <c r="DG173" s="631"/>
      <c r="DH173" s="631"/>
      <c r="DI173" s="632"/>
      <c r="DJ173" s="674"/>
      <c r="DK173" s="629"/>
      <c r="DL173" s="627"/>
      <c r="DM173" s="627"/>
      <c r="DN173" s="627"/>
      <c r="DO173" s="627"/>
      <c r="DP173" s="627"/>
      <c r="DQ173" s="627"/>
      <c r="DR173" s="627"/>
      <c r="DS173" s="627"/>
      <c r="DT173" s="633"/>
      <c r="DU173" s="633"/>
      <c r="DV173" s="633"/>
      <c r="DW173" s="633"/>
      <c r="DX173" s="633"/>
      <c r="DY173" s="633"/>
      <c r="DZ173" s="633"/>
      <c r="EA173" s="633"/>
      <c r="EB173" s="633"/>
      <c r="EC173" s="633"/>
      <c r="ED173" s="633"/>
      <c r="EE173" s="633"/>
      <c r="EF173" s="633"/>
      <c r="EG173" s="633"/>
      <c r="EH173" s="631"/>
      <c r="EI173" s="631"/>
      <c r="EJ173" s="631"/>
      <c r="EK173" s="631"/>
      <c r="EL173" s="631"/>
      <c r="EM173" s="631"/>
      <c r="EN173" s="631"/>
      <c r="EO173" s="631"/>
      <c r="EP173" s="673"/>
      <c r="EQ173" s="634"/>
    </row>
    <row r="174" spans="1:147" s="596" customFormat="1" outlineLevel="2">
      <c r="A174" s="546"/>
      <c r="B174"/>
      <c r="C174"/>
      <c r="D174"/>
      <c r="E174"/>
      <c r="F174"/>
      <c r="G174"/>
      <c r="I174" s="638" t="s">
        <v>1688</v>
      </c>
      <c r="J174" s="409"/>
      <c r="K174" s="409"/>
      <c r="L174" s="409"/>
      <c r="M174" s="409"/>
      <c r="N174" s="598"/>
      <c r="O174" s="409"/>
      <c r="P174" s="409"/>
      <c r="Q174" s="409"/>
      <c r="R174" s="598"/>
      <c r="S174" s="409"/>
      <c r="T174" s="409"/>
      <c r="U174" s="409"/>
      <c r="V174" s="598"/>
      <c r="W174" s="409"/>
      <c r="X174" s="409"/>
      <c r="Y174" s="409"/>
      <c r="Z174" s="598"/>
      <c r="AA174" s="409"/>
      <c r="AB174" s="409"/>
      <c r="AC174" s="410"/>
      <c r="AD174" s="409"/>
      <c r="AE174" s="409"/>
      <c r="AF174" s="409"/>
      <c r="AG174" s="409"/>
      <c r="AH174" s="598"/>
      <c r="AI174" s="409"/>
      <c r="AJ174" s="409"/>
      <c r="AK174" s="409"/>
      <c r="AL174" s="598"/>
      <c r="AM174" s="409"/>
      <c r="AN174" s="409"/>
      <c r="AO174" s="409"/>
      <c r="AP174" s="598"/>
      <c r="AQ174" s="409"/>
      <c r="AR174" s="409"/>
      <c r="AS174" s="410"/>
      <c r="AT174" s="409"/>
      <c r="AU174" s="409"/>
      <c r="AV174" s="409"/>
      <c r="AW174" s="409"/>
      <c r="AX174" s="598">
        <v>0</v>
      </c>
      <c r="AY174" s="409">
        <v>0</v>
      </c>
      <c r="AZ174" s="409">
        <v>0</v>
      </c>
      <c r="BA174" s="409">
        <v>0</v>
      </c>
      <c r="BB174" s="598">
        <v>5.9825741890959288</v>
      </c>
      <c r="BC174" s="409">
        <v>11.147469458987782</v>
      </c>
      <c r="BD174" s="386">
        <v>16.821949602122015</v>
      </c>
      <c r="BE174" s="386">
        <v>42.090440653873486</v>
      </c>
      <c r="BF174" s="389">
        <v>8.0194112627986343</v>
      </c>
      <c r="BG174" s="386">
        <v>19.268604651162793</v>
      </c>
      <c r="BH174" s="386">
        <v>21.700356718192626</v>
      </c>
      <c r="BI174" s="386">
        <v>36.489677601809959</v>
      </c>
      <c r="BJ174" s="389">
        <v>16.334025679758309</v>
      </c>
      <c r="BK174" s="386">
        <v>10.167857142857143</v>
      </c>
      <c r="BL174" s="386">
        <v>27.071273516642545</v>
      </c>
      <c r="BM174" s="386">
        <v>30.957674571805011</v>
      </c>
      <c r="BN174" s="389">
        <v>17.987173717371739</v>
      </c>
      <c r="BO174" s="386">
        <v>10.065721649484535</v>
      </c>
      <c r="BP174" s="386">
        <v>83.494355909694548</v>
      </c>
      <c r="BQ174" s="388">
        <v>38.18015873015873</v>
      </c>
      <c r="BR174" s="409">
        <v>14.851330203442879</v>
      </c>
      <c r="BS174" s="409">
        <v>17.568247126436784</v>
      </c>
      <c r="BT174" s="409">
        <v>46.362373737373737</v>
      </c>
      <c r="BU174" s="388">
        <v>45.793606799704364</v>
      </c>
      <c r="BV174" s="409">
        <v>24.019759450171822</v>
      </c>
      <c r="BW174" s="409">
        <v>26.851910828025474</v>
      </c>
      <c r="BX174" s="409">
        <v>25.955038265306122</v>
      </c>
      <c r="BY174" s="410">
        <v>33.165342601787486</v>
      </c>
      <c r="BZ174" s="409">
        <v>18.186558516801853</v>
      </c>
      <c r="CA174" s="409">
        <v>20.141017780502757</v>
      </c>
      <c r="CB174" s="409">
        <v>50.080346106304084</v>
      </c>
      <c r="CC174" s="410">
        <v>41.002202643171806</v>
      </c>
      <c r="CD174" s="409">
        <v>20.014631043256998</v>
      </c>
      <c r="CE174" s="409">
        <v>23.243449116392441</v>
      </c>
      <c r="CF174" s="409">
        <v>38.684689153439152</v>
      </c>
      <c r="CG174" s="410">
        <v>39.665581688366231</v>
      </c>
      <c r="CH174" s="409">
        <v>29.7</v>
      </c>
      <c r="CI174" s="409">
        <v>29.741224928366762</v>
      </c>
      <c r="CJ174" s="409">
        <v>27.474648985959437</v>
      </c>
      <c r="CK174" s="410">
        <v>38.962739174219536</v>
      </c>
      <c r="CL174" s="409">
        <v>30.110458612975393</v>
      </c>
      <c r="CM174" s="409">
        <v>28.999741200828158</v>
      </c>
      <c r="CN174" s="409">
        <v>28.906729785056292</v>
      </c>
      <c r="CO174" s="410">
        <v>39.782428512225444</v>
      </c>
      <c r="CP174" s="598">
        <v>31.004945054945058</v>
      </c>
      <c r="CQ174" s="409">
        <v>27.104747386759581</v>
      </c>
      <c r="CR174" s="409">
        <v>25.788043478260871</v>
      </c>
      <c r="CS174" s="400">
        <v>39.962739174219536</v>
      </c>
      <c r="CT174" s="411">
        <v>31.110458612975393</v>
      </c>
      <c r="CU174" s="399">
        <v>29.999741200828158</v>
      </c>
      <c r="CV174" s="399">
        <v>29.906729785056292</v>
      </c>
      <c r="CW174" s="400">
        <v>40.782428512225444</v>
      </c>
      <c r="CX174" s="675"/>
      <c r="CY174" s="675"/>
      <c r="CZ174" s="675"/>
      <c r="DA174" s="676"/>
      <c r="DB174" s="675"/>
      <c r="DC174" s="675"/>
      <c r="DD174" s="675"/>
      <c r="DE174" s="676"/>
      <c r="DF174" s="675"/>
      <c r="DG174" s="675"/>
      <c r="DH174" s="675"/>
      <c r="DI174" s="676"/>
      <c r="DJ174" s="543"/>
      <c r="DK174" s="598"/>
      <c r="DL174" s="409"/>
      <c r="DM174" s="409"/>
      <c r="DN174" s="409"/>
      <c r="DO174" s="409"/>
      <c r="DP174" s="409"/>
      <c r="DQ174" s="409"/>
      <c r="DR174" s="409"/>
      <c r="DS174" s="409"/>
      <c r="DT174" s="386"/>
      <c r="DU174" s="386">
        <v>52.529795367663588</v>
      </c>
      <c r="DV174" s="386">
        <v>49.807611438183343</v>
      </c>
      <c r="DW174" s="386">
        <v>53.1414744645799</v>
      </c>
      <c r="DX174" s="386">
        <v>41.015710233471523</v>
      </c>
      <c r="DY174" s="386">
        <v>54.555454751644362</v>
      </c>
      <c r="DZ174" s="386">
        <v>53.126473740621655</v>
      </c>
      <c r="EA174" s="386">
        <v>40.438928409262907</v>
      </c>
      <c r="EB174" s="386">
        <v>47.744371615844976</v>
      </c>
      <c r="EC174" s="386">
        <v>50.376716895586078</v>
      </c>
      <c r="ED174" s="386">
        <v>47.699183233163815</v>
      </c>
      <c r="EE174" s="386">
        <v>47.481142574502286</v>
      </c>
      <c r="EF174" s="386">
        <v>47.610156391673286</v>
      </c>
      <c r="EG174" s="386">
        <v>65.421616249559946</v>
      </c>
      <c r="EH174" s="675">
        <v>65.421616249559946</v>
      </c>
      <c r="EI174" s="675">
        <v>65.421616249559946</v>
      </c>
      <c r="EJ174" s="675">
        <v>65.421616249559946</v>
      </c>
      <c r="EK174" s="675">
        <v>65.421616249559946</v>
      </c>
      <c r="EL174" s="675">
        <v>65.421616249559946</v>
      </c>
      <c r="EM174" s="675">
        <v>65.421616249559946</v>
      </c>
      <c r="EN174" s="675">
        <v>65.421616249559946</v>
      </c>
      <c r="EO174" s="675">
        <v>65.421616249559946</v>
      </c>
      <c r="EP174" s="598"/>
      <c r="EQ174" s="409"/>
    </row>
    <row r="175" spans="1:147" s="635" customFormat="1" outlineLevel="2">
      <c r="A175" s="624"/>
      <c r="B175"/>
      <c r="C175"/>
      <c r="D175"/>
      <c r="E175"/>
      <c r="F175"/>
      <c r="G175"/>
      <c r="H175" s="625"/>
      <c r="I175" s="677" t="s">
        <v>1689</v>
      </c>
      <c r="J175" s="627"/>
      <c r="K175" s="627"/>
      <c r="L175" s="627"/>
      <c r="M175" s="627"/>
      <c r="N175" s="629"/>
      <c r="O175" s="627"/>
      <c r="P175" s="627"/>
      <c r="Q175" s="627"/>
      <c r="R175" s="629"/>
      <c r="S175" s="627"/>
      <c r="T175" s="627"/>
      <c r="U175" s="627"/>
      <c r="V175" s="629"/>
      <c r="W175" s="627"/>
      <c r="X175" s="627"/>
      <c r="Y175" s="627"/>
      <c r="Z175" s="629"/>
      <c r="AA175" s="627"/>
      <c r="AB175" s="627"/>
      <c r="AC175" s="627"/>
      <c r="AD175" s="629"/>
      <c r="AE175" s="627"/>
      <c r="AF175" s="627"/>
      <c r="AG175" s="627"/>
      <c r="AH175" s="629"/>
      <c r="AI175" s="627"/>
      <c r="AJ175" s="627"/>
      <c r="AK175" s="627"/>
      <c r="AL175" s="629"/>
      <c r="AM175" s="627"/>
      <c r="AN175" s="627"/>
      <c r="AO175" s="627"/>
      <c r="AP175" s="629"/>
      <c r="AQ175" s="627"/>
      <c r="AR175" s="627"/>
      <c r="AS175" s="628"/>
      <c r="AT175" s="627"/>
      <c r="AU175" s="627"/>
      <c r="AV175" s="627"/>
      <c r="AW175" s="627"/>
      <c r="AX175" s="629"/>
      <c r="AY175" s="627"/>
      <c r="AZ175" s="627"/>
      <c r="BA175" s="627"/>
      <c r="BB175" s="598">
        <v>31.433946488294314</v>
      </c>
      <c r="BC175" s="409">
        <v>39.841549295774648</v>
      </c>
      <c r="BD175" s="386">
        <v>136.875</v>
      </c>
      <c r="BE175" s="386">
        <v>27.204968944099377</v>
      </c>
      <c r="BF175" s="598">
        <v>51.838521400778212</v>
      </c>
      <c r="BG175" s="409">
        <v>51.004366812227076</v>
      </c>
      <c r="BH175" s="386">
        <v>181.875</v>
      </c>
      <c r="BI175" s="386">
        <v>39.484989648033128</v>
      </c>
      <c r="BJ175" s="598">
        <v>55.80288461538462</v>
      </c>
      <c r="BK175" s="409">
        <v>66.780726256983243</v>
      </c>
      <c r="BL175" s="386">
        <v>262.02981651376149</v>
      </c>
      <c r="BM175" s="386">
        <v>31.332831325301207</v>
      </c>
      <c r="BN175" s="598">
        <v>64.652466367713004</v>
      </c>
      <c r="BO175" s="409">
        <v>74.884510869565219</v>
      </c>
      <c r="BP175" s="386">
        <v>135.05000000000001</v>
      </c>
      <c r="BQ175" s="388">
        <v>26.408823529411766</v>
      </c>
      <c r="BR175" s="409">
        <v>46.07673267326733</v>
      </c>
      <c r="BS175" s="409">
        <v>72.627551020408163</v>
      </c>
      <c r="BT175" s="386">
        <v>121.3268156424581</v>
      </c>
      <c r="BU175" s="388">
        <v>34.052478134110785</v>
      </c>
      <c r="BV175" s="409">
        <v>55.613905325443788</v>
      </c>
      <c r="BW175" s="409">
        <v>57.567114093959731</v>
      </c>
      <c r="BX175" s="409">
        <v>107.69144144144143</v>
      </c>
      <c r="BY175" s="410">
        <v>14.28514376996805</v>
      </c>
      <c r="BZ175" s="409">
        <v>30.62937062937063</v>
      </c>
      <c r="CA175" s="409">
        <v>35.798076923076927</v>
      </c>
      <c r="CB175" s="409">
        <v>57.567114093959731</v>
      </c>
      <c r="CC175" s="410">
        <v>13.540322580645162</v>
      </c>
      <c r="CD175" s="409">
        <v>23.657407407407408</v>
      </c>
      <c r="CE175" s="409">
        <v>26.071428571428569</v>
      </c>
      <c r="CF175" s="409">
        <v>125.01968503937007</v>
      </c>
      <c r="CG175" s="410">
        <v>12.9496699669967</v>
      </c>
      <c r="CH175" s="409">
        <v>27.014802631578945</v>
      </c>
      <c r="CI175" s="409">
        <v>42.398989898989896</v>
      </c>
      <c r="CJ175" s="409">
        <v>67.93795620437956</v>
      </c>
      <c r="CK175" s="410">
        <v>10.895522388059701</v>
      </c>
      <c r="CL175" s="409">
        <v>0</v>
      </c>
      <c r="CM175" s="409">
        <v>0</v>
      </c>
      <c r="CN175" s="409">
        <v>0</v>
      </c>
      <c r="CO175" s="410">
        <v>0</v>
      </c>
      <c r="CP175" s="598">
        <v>0</v>
      </c>
      <c r="CQ175" s="409">
        <v>0</v>
      </c>
      <c r="CR175" s="409">
        <v>0</v>
      </c>
      <c r="CS175" s="400">
        <v>11.895522388059701</v>
      </c>
      <c r="CT175" s="411">
        <v>1</v>
      </c>
      <c r="CU175" s="399">
        <v>1</v>
      </c>
      <c r="CV175" s="399">
        <v>1</v>
      </c>
      <c r="CW175" s="400">
        <v>1</v>
      </c>
      <c r="CX175" s="631"/>
      <c r="CY175" s="631"/>
      <c r="CZ175" s="631"/>
      <c r="DA175" s="632"/>
      <c r="DB175" s="631"/>
      <c r="DC175" s="631"/>
      <c r="DD175" s="631"/>
      <c r="DE175" s="632"/>
      <c r="DF175" s="631"/>
      <c r="DG175" s="631"/>
      <c r="DH175" s="631"/>
      <c r="DI175" s="632"/>
      <c r="DJ175" s="674"/>
      <c r="DK175" s="629"/>
      <c r="DL175" s="627"/>
      <c r="DM175" s="627"/>
      <c r="DN175" s="627"/>
      <c r="DO175" s="627"/>
      <c r="DP175" s="627"/>
      <c r="DQ175" s="627"/>
      <c r="DR175" s="627"/>
      <c r="DS175" s="627"/>
      <c r="DT175" s="633"/>
      <c r="DU175" s="386">
        <v>30.259067357512954</v>
      </c>
      <c r="DV175" s="386">
        <v>46.390114739629304</v>
      </c>
      <c r="DW175" s="386">
        <v>68.417040358744387</v>
      </c>
      <c r="DX175" s="386">
        <v>59.670172084130016</v>
      </c>
      <c r="DY175" s="386">
        <v>45.717922606924645</v>
      </c>
      <c r="DZ175" s="386">
        <v>53.639494833524687</v>
      </c>
      <c r="EA175" s="386">
        <v>24.10377358490566</v>
      </c>
      <c r="EB175" s="386">
        <v>22.937158469945352</v>
      </c>
      <c r="EC175" s="386">
        <v>21.859331476323121</v>
      </c>
      <c r="ED175" s="386">
        <v>17.804878048780488</v>
      </c>
      <c r="EE175" s="386">
        <v>0</v>
      </c>
      <c r="EF175" s="386">
        <v>22.028970097377641</v>
      </c>
      <c r="EG175" s="386">
        <v>3.0434355856907263</v>
      </c>
      <c r="EH175" s="675">
        <v>3.0434355856907263</v>
      </c>
      <c r="EI175" s="675">
        <v>3.0434355856907263</v>
      </c>
      <c r="EJ175" s="675">
        <v>3.0434355856907263</v>
      </c>
      <c r="EK175" s="675">
        <v>3.0434355856907263</v>
      </c>
      <c r="EL175" s="675">
        <v>3.0434355856907263</v>
      </c>
      <c r="EM175" s="675">
        <v>3.0434355856907263</v>
      </c>
      <c r="EN175" s="675">
        <v>3.0434355856907263</v>
      </c>
      <c r="EO175" s="675">
        <v>3.0434355856907263</v>
      </c>
      <c r="EP175" s="629"/>
      <c r="EQ175" s="634"/>
    </row>
    <row r="176" spans="1:147" s="635" customFormat="1" outlineLevel="2">
      <c r="A176" s="624"/>
      <c r="B176"/>
      <c r="C176"/>
      <c r="D176"/>
      <c r="E176"/>
      <c r="F176"/>
      <c r="G176"/>
      <c r="H176" s="625"/>
      <c r="I176" s="677" t="s">
        <v>1690</v>
      </c>
      <c r="J176" s="627"/>
      <c r="K176" s="627"/>
      <c r="L176" s="627"/>
      <c r="M176" s="627"/>
      <c r="N176" s="629"/>
      <c r="O176" s="627"/>
      <c r="P176" s="627"/>
      <c r="Q176" s="627"/>
      <c r="R176" s="629"/>
      <c r="S176" s="627"/>
      <c r="T176" s="627"/>
      <c r="U176" s="627"/>
      <c r="V176" s="629"/>
      <c r="W176" s="627"/>
      <c r="X176" s="627"/>
      <c r="Y176" s="627"/>
      <c r="Z176" s="629"/>
      <c r="AA176" s="627"/>
      <c r="AB176" s="627"/>
      <c r="AC176" s="627"/>
      <c r="AD176" s="629"/>
      <c r="AE176" s="627"/>
      <c r="AF176" s="627"/>
      <c r="AG176" s="627"/>
      <c r="AH176" s="629"/>
      <c r="AI176" s="627"/>
      <c r="AJ176" s="627"/>
      <c r="AK176" s="627"/>
      <c r="AL176" s="629"/>
      <c r="AM176" s="627"/>
      <c r="AN176" s="627"/>
      <c r="AO176" s="627"/>
      <c r="AP176" s="629"/>
      <c r="AQ176" s="627"/>
      <c r="AR176" s="627"/>
      <c r="AS176" s="627"/>
      <c r="AT176" s="629"/>
      <c r="AU176" s="627"/>
      <c r="AV176" s="627"/>
      <c r="AW176" s="627"/>
      <c r="AX176" s="629"/>
      <c r="AY176" s="627"/>
      <c r="AZ176" s="627"/>
      <c r="BA176" s="627"/>
      <c r="BB176" s="598">
        <v>192.97131147540983</v>
      </c>
      <c r="BC176" s="409">
        <v>244.62765957446808</v>
      </c>
      <c r="BD176" s="386">
        <v>570.3125</v>
      </c>
      <c r="BE176" s="386">
        <v>147.07352941176472</v>
      </c>
      <c r="BF176" s="598">
        <v>435.64516129032256</v>
      </c>
      <c r="BG176" s="409">
        <v>225.72368421052633</v>
      </c>
      <c r="BH176" s="386">
        <v>787.63157894736844</v>
      </c>
      <c r="BI176" s="386">
        <v>172.01149425287358</v>
      </c>
      <c r="BJ176" s="598">
        <v>213.9139344262295</v>
      </c>
      <c r="BK176" s="409">
        <v>730</v>
      </c>
      <c r="BL176" s="386">
        <v>1862.5735294117646</v>
      </c>
      <c r="BM176" s="386">
        <v>345.24484536082474</v>
      </c>
      <c r="BN176" s="598">
        <v>610.02314814814815</v>
      </c>
      <c r="BO176" s="409">
        <v>728.13775510204084</v>
      </c>
      <c r="BP176" s="386">
        <v>1230.4924242424242</v>
      </c>
      <c r="BQ176" s="388">
        <v>319.72868217054264</v>
      </c>
      <c r="BR176" s="409">
        <v>231.68439716312056</v>
      </c>
      <c r="BS176" s="409">
        <v>440.60714285714289</v>
      </c>
      <c r="BT176" s="386">
        <v>503.34677419354841</v>
      </c>
      <c r="BU176" s="388">
        <v>312.85714285714283</v>
      </c>
      <c r="BV176" s="409">
        <v>211.015625</v>
      </c>
      <c r="BW176" s="409">
        <v>327.359375</v>
      </c>
      <c r="BX176" s="409">
        <v>899.46428571428567</v>
      </c>
      <c r="BY176" s="410">
        <v>469.9375</v>
      </c>
      <c r="BZ176" s="409">
        <v>383.66477272727269</v>
      </c>
      <c r="CA176" s="409">
        <v>424.61666666666667</v>
      </c>
      <c r="CB176" s="409">
        <v>929.76351351351354</v>
      </c>
      <c r="CC176" s="410">
        <v>331.57178217821786</v>
      </c>
      <c r="CD176" s="409">
        <v>186.25</v>
      </c>
      <c r="CE176" s="409">
        <v>595.91836734693879</v>
      </c>
      <c r="CF176" s="409">
        <v>1587.75</v>
      </c>
      <c r="CG176" s="410">
        <v>153.43949044585986</v>
      </c>
      <c r="CH176" s="409">
        <v>151.26126126126124</v>
      </c>
      <c r="CI176" s="409">
        <v>329.21568627450978</v>
      </c>
      <c r="CJ176" s="409">
        <v>2433.3333333333335</v>
      </c>
      <c r="CK176" s="410">
        <v>425.83333333333331</v>
      </c>
      <c r="CL176" s="409">
        <v>326.05182926829269</v>
      </c>
      <c r="CM176" s="409">
        <v>915.2651515151515</v>
      </c>
      <c r="CN176" s="409">
        <v>981.55405405405406</v>
      </c>
      <c r="CO176" s="410">
        <v>274.52991452991449</v>
      </c>
      <c r="CP176" s="598">
        <v>230.56919642857142</v>
      </c>
      <c r="CQ176" s="409">
        <v>258.19602272727269</v>
      </c>
      <c r="CR176" s="409">
        <v>287.69097222222223</v>
      </c>
      <c r="CS176" s="400">
        <v>426.83333333333331</v>
      </c>
      <c r="CT176" s="411">
        <v>327.05182926829269</v>
      </c>
      <c r="CU176" s="399">
        <v>916.2651515151515</v>
      </c>
      <c r="CV176" s="399">
        <v>982.55405405405406</v>
      </c>
      <c r="CW176" s="400">
        <v>275.52991452991449</v>
      </c>
      <c r="CX176" s="631"/>
      <c r="CY176" s="631"/>
      <c r="CZ176" s="631"/>
      <c r="DA176" s="632"/>
      <c r="DB176" s="631"/>
      <c r="DC176" s="631"/>
      <c r="DD176" s="631"/>
      <c r="DE176" s="632"/>
      <c r="DF176" s="631"/>
      <c r="DG176" s="631"/>
      <c r="DH176" s="631"/>
      <c r="DI176" s="632"/>
      <c r="DJ176" s="674"/>
      <c r="DK176" s="629"/>
      <c r="DL176" s="627"/>
      <c r="DM176" s="627"/>
      <c r="DN176" s="627"/>
      <c r="DO176" s="627"/>
      <c r="DP176" s="627"/>
      <c r="DQ176" s="627"/>
      <c r="DR176" s="627"/>
      <c r="DS176" s="627"/>
      <c r="DT176" s="633"/>
      <c r="DU176" s="386">
        <v>158.27433628318585</v>
      </c>
      <c r="DV176" s="386">
        <v>230.43778801843317</v>
      </c>
      <c r="DW176" s="386">
        <v>308.5567010309278</v>
      </c>
      <c r="DX176" s="386">
        <v>628.89671361502337</v>
      </c>
      <c r="DY176" s="386">
        <v>622.56603773584902</v>
      </c>
      <c r="DZ176" s="386">
        <v>330.56603773584908</v>
      </c>
      <c r="EA176" s="386">
        <v>455.69696969696975</v>
      </c>
      <c r="EB176" s="386">
        <v>445.03322259136212</v>
      </c>
      <c r="EC176" s="386">
        <v>445.03322259136212</v>
      </c>
      <c r="ED176" s="386">
        <v>445.03322259136212</v>
      </c>
      <c r="EE176" s="386">
        <v>445.03322259136212</v>
      </c>
      <c r="EF176" s="386">
        <v>445.03322259136212</v>
      </c>
      <c r="EG176" s="386">
        <v>445.03322259136212</v>
      </c>
      <c r="EH176" s="675">
        <v>445.03322259136212</v>
      </c>
      <c r="EI176" s="675">
        <v>445.03322259136212</v>
      </c>
      <c r="EJ176" s="675">
        <v>445.03322259136212</v>
      </c>
      <c r="EK176" s="675">
        <v>445.03322259136212</v>
      </c>
      <c r="EL176" s="675">
        <v>445.03322259136212</v>
      </c>
      <c r="EM176" s="675">
        <v>445.03322259136212</v>
      </c>
      <c r="EN176" s="675">
        <v>445.03322259136212</v>
      </c>
      <c r="EO176" s="675">
        <v>445.03322259136212</v>
      </c>
      <c r="EP176" s="629"/>
      <c r="EQ176" s="634"/>
    </row>
    <row r="177" spans="1:147" s="635" customFormat="1" outlineLevel="2">
      <c r="A177" s="624"/>
      <c r="B177"/>
      <c r="C177"/>
      <c r="D177"/>
      <c r="E177"/>
      <c r="F177"/>
      <c r="G177"/>
      <c r="H177" s="625"/>
      <c r="I177" s="677" t="s">
        <v>1691</v>
      </c>
      <c r="J177" s="627"/>
      <c r="K177" s="627"/>
      <c r="L177" s="627"/>
      <c r="M177" s="627"/>
      <c r="N177" s="629"/>
      <c r="O177" s="627"/>
      <c r="P177" s="627"/>
      <c r="Q177" s="627"/>
      <c r="R177" s="629"/>
      <c r="S177" s="627"/>
      <c r="T177" s="627"/>
      <c r="U177" s="627"/>
      <c r="V177" s="629"/>
      <c r="W177" s="627"/>
      <c r="X177" s="627"/>
      <c r="Y177" s="627"/>
      <c r="Z177" s="629"/>
      <c r="AA177" s="627"/>
      <c r="AB177" s="627"/>
      <c r="AC177" s="627"/>
      <c r="AD177" s="629"/>
      <c r="AE177" s="627"/>
      <c r="AF177" s="627"/>
      <c r="AG177" s="627"/>
      <c r="AH177" s="629"/>
      <c r="AI177" s="627"/>
      <c r="AJ177" s="627"/>
      <c r="AK177" s="627"/>
      <c r="AL177" s="629"/>
      <c r="AM177" s="627"/>
      <c r="AN177" s="627"/>
      <c r="AO177" s="627"/>
      <c r="AP177" s="629"/>
      <c r="AQ177" s="627"/>
      <c r="AR177" s="627"/>
      <c r="AS177" s="627"/>
      <c r="AT177" s="629"/>
      <c r="AU177" s="627"/>
      <c r="AV177" s="627"/>
      <c r="AW177" s="627"/>
      <c r="AX177" s="629"/>
      <c r="AY177" s="627"/>
      <c r="AZ177" s="627"/>
      <c r="BA177" s="627"/>
      <c r="BB177" s="598">
        <v>100.68965517241378</v>
      </c>
      <c r="BC177" s="409">
        <v>163.48958333333334</v>
      </c>
      <c r="BD177" s="386">
        <v>239.53125</v>
      </c>
      <c r="BE177" s="386">
        <v>20.911458333333336</v>
      </c>
      <c r="BF177" s="598">
        <v>286.78571428571428</v>
      </c>
      <c r="BG177" s="409">
        <v>36.5</v>
      </c>
      <c r="BH177" s="386">
        <v>118.625</v>
      </c>
      <c r="BI177" s="386">
        <v>19.302884615384617</v>
      </c>
      <c r="BJ177" s="598">
        <v>26.414473684210527</v>
      </c>
      <c r="BK177" s="409">
        <v>71.696428571428569</v>
      </c>
      <c r="BL177" s="386">
        <v>273.75</v>
      </c>
      <c r="BM177" s="386">
        <v>167.29166666666669</v>
      </c>
      <c r="BN177" s="598">
        <v>219</v>
      </c>
      <c r="BO177" s="409">
        <v>39.107142857142854</v>
      </c>
      <c r="BP177" s="386">
        <v>22.8125</v>
      </c>
      <c r="BQ177" s="388">
        <v>50.694444444444443</v>
      </c>
      <c r="BR177" s="409">
        <v>41.477272727272727</v>
      </c>
      <c r="BS177" s="409">
        <v>124.86842105263158</v>
      </c>
      <c r="BT177" s="386">
        <v>98.550000000000011</v>
      </c>
      <c r="BU177" s="388">
        <v>182.5</v>
      </c>
      <c r="BV177" s="409">
        <v>0</v>
      </c>
      <c r="BW177" s="409">
        <v>0</v>
      </c>
      <c r="BX177" s="409">
        <v>0</v>
      </c>
      <c r="BY177" s="410">
        <v>0</v>
      </c>
      <c r="BZ177" s="409">
        <v>0</v>
      </c>
      <c r="CA177" s="409">
        <v>0</v>
      </c>
      <c r="CB177" s="409">
        <v>0</v>
      </c>
      <c r="CC177" s="410">
        <v>0</v>
      </c>
      <c r="CD177" s="409">
        <v>0</v>
      </c>
      <c r="CE177" s="409">
        <v>0</v>
      </c>
      <c r="CF177" s="409">
        <v>0</v>
      </c>
      <c r="CG177" s="410">
        <v>0</v>
      </c>
      <c r="CH177" s="409">
        <v>0</v>
      </c>
      <c r="CI177" s="409">
        <v>0</v>
      </c>
      <c r="CJ177" s="409">
        <v>0</v>
      </c>
      <c r="CK177" s="410">
        <v>0</v>
      </c>
      <c r="CL177" s="409">
        <v>0</v>
      </c>
      <c r="CM177" s="409">
        <v>0</v>
      </c>
      <c r="CN177" s="409">
        <v>0</v>
      </c>
      <c r="CO177" s="410">
        <v>0</v>
      </c>
      <c r="CP177" s="598">
        <v>0</v>
      </c>
      <c r="CQ177" s="409">
        <v>0</v>
      </c>
      <c r="CR177" s="409">
        <v>0</v>
      </c>
      <c r="CS177" s="400">
        <v>0</v>
      </c>
      <c r="CT177" s="411">
        <v>0</v>
      </c>
      <c r="CU177" s="399">
        <v>0</v>
      </c>
      <c r="CV177" s="399">
        <v>0</v>
      </c>
      <c r="CW177" s="400">
        <v>0</v>
      </c>
      <c r="CX177" s="631"/>
      <c r="CY177" s="631"/>
      <c r="CZ177" s="631"/>
      <c r="DA177" s="632"/>
      <c r="DB177" s="631"/>
      <c r="DC177" s="631"/>
      <c r="DD177" s="631"/>
      <c r="DE177" s="632"/>
      <c r="DF177" s="631"/>
      <c r="DG177" s="631"/>
      <c r="DH177" s="631"/>
      <c r="DI177" s="632"/>
      <c r="DJ177" s="674"/>
      <c r="DK177" s="629"/>
      <c r="DL177" s="627"/>
      <c r="DM177" s="627"/>
      <c r="DN177" s="627"/>
      <c r="DO177" s="627"/>
      <c r="DP177" s="627"/>
      <c r="DQ177" s="627"/>
      <c r="DR177" s="627"/>
      <c r="DS177" s="627"/>
      <c r="DT177" s="633"/>
      <c r="DU177" s="386">
        <v>83.3756345177665</v>
      </c>
      <c r="DV177" s="386">
        <v>48.666666666666671</v>
      </c>
      <c r="DW177" s="386">
        <v>45.112359550561798</v>
      </c>
      <c r="DX177" s="386">
        <v>64.758064516129039</v>
      </c>
      <c r="DY177" s="386">
        <v>62.931034482758612</v>
      </c>
      <c r="DZ177" s="386">
        <v>156.42857142857144</v>
      </c>
      <c r="EA177" s="386">
        <v>0</v>
      </c>
      <c r="EB177" s="386">
        <v>0</v>
      </c>
      <c r="EC177" s="386">
        <v>0</v>
      </c>
      <c r="ED177" s="386">
        <v>0</v>
      </c>
      <c r="EE177" s="386">
        <v>0</v>
      </c>
      <c r="EF177" s="386">
        <v>0</v>
      </c>
      <c r="EG177" s="386">
        <v>0</v>
      </c>
      <c r="EH177" s="675">
        <v>0</v>
      </c>
      <c r="EI177" s="675">
        <v>0</v>
      </c>
      <c r="EJ177" s="675">
        <v>0</v>
      </c>
      <c r="EK177" s="675">
        <v>0</v>
      </c>
      <c r="EL177" s="675">
        <v>0</v>
      </c>
      <c r="EM177" s="675">
        <v>0</v>
      </c>
      <c r="EN177" s="675">
        <v>0</v>
      </c>
      <c r="EO177" s="675">
        <v>0</v>
      </c>
      <c r="EP177" s="629"/>
      <c r="EQ177" s="634"/>
    </row>
    <row r="178" spans="1:147" s="635" customFormat="1" outlineLevel="2">
      <c r="A178" s="624"/>
      <c r="B178"/>
      <c r="C178"/>
      <c r="D178"/>
      <c r="E178"/>
      <c r="F178"/>
      <c r="G178"/>
      <c r="H178" s="625"/>
      <c r="I178" s="677" t="s">
        <v>1692</v>
      </c>
      <c r="J178" s="627"/>
      <c r="K178" s="627"/>
      <c r="L178" s="627"/>
      <c r="M178" s="627"/>
      <c r="N178" s="629"/>
      <c r="O178" s="627"/>
      <c r="P178" s="627"/>
      <c r="Q178" s="627"/>
      <c r="R178" s="629"/>
      <c r="S178" s="627"/>
      <c r="T178" s="627"/>
      <c r="U178" s="627"/>
      <c r="V178" s="629"/>
      <c r="W178" s="627"/>
      <c r="X178" s="627"/>
      <c r="Y178" s="627"/>
      <c r="Z178" s="629"/>
      <c r="AA178" s="627"/>
      <c r="AB178" s="627"/>
      <c r="AC178" s="627"/>
      <c r="AD178" s="629"/>
      <c r="AE178" s="627"/>
      <c r="AF178" s="627"/>
      <c r="AG178" s="627"/>
      <c r="AH178" s="629"/>
      <c r="AI178" s="627"/>
      <c r="AJ178" s="627"/>
      <c r="AK178" s="627"/>
      <c r="AL178" s="629"/>
      <c r="AM178" s="627"/>
      <c r="AN178" s="627"/>
      <c r="AO178" s="627"/>
      <c r="AP178" s="629"/>
      <c r="AQ178" s="627"/>
      <c r="AR178" s="627"/>
      <c r="AS178" s="627"/>
      <c r="AT178" s="629" t="s">
        <v>401</v>
      </c>
      <c r="AU178" s="627"/>
      <c r="AV178" s="627"/>
      <c r="AW178" s="627"/>
      <c r="AX178" s="629">
        <v>0</v>
      </c>
      <c r="AY178" s="627">
        <v>0</v>
      </c>
      <c r="AZ178" s="627">
        <v>0</v>
      </c>
      <c r="BA178" s="627">
        <v>0</v>
      </c>
      <c r="BB178" s="629">
        <v>2.881297446514838E-2</v>
      </c>
      <c r="BC178" s="627">
        <v>2.1160558464223385E-2</v>
      </c>
      <c r="BD178" s="678">
        <v>4.5092838196286469E-2</v>
      </c>
      <c r="BE178" s="627">
        <v>7.0362473347547971E-2</v>
      </c>
      <c r="BF178" s="629">
        <v>4.8208191126279866E-2</v>
      </c>
      <c r="BG178" s="627">
        <v>3.5348837209302326E-2</v>
      </c>
      <c r="BH178" s="678">
        <v>5.1426872770511299E-2</v>
      </c>
      <c r="BI178" s="627">
        <v>4.5390271493212668E-2</v>
      </c>
      <c r="BJ178" s="629">
        <v>4.2673716012084591E-2</v>
      </c>
      <c r="BK178" s="627">
        <v>4.4047619047619051E-2</v>
      </c>
      <c r="BL178" s="678">
        <v>7.6700434153400873E-2</v>
      </c>
      <c r="BM178" s="627">
        <v>6.8017127799736496E-2</v>
      </c>
      <c r="BN178" s="629">
        <v>7.2232223222322228E-2</v>
      </c>
      <c r="BO178" s="627">
        <v>6.6752577319587628E-2</v>
      </c>
      <c r="BP178" s="678">
        <v>0.1251660026560425</v>
      </c>
      <c r="BQ178" s="628">
        <v>7.047619047619047E-2</v>
      </c>
      <c r="BR178" s="627">
        <v>6.9444444444444448E-2</v>
      </c>
      <c r="BS178" s="627">
        <v>0.12021072796934866</v>
      </c>
      <c r="BT178" s="627">
        <v>7.7525252525252525E-2</v>
      </c>
      <c r="BU178" s="628">
        <v>7.0768662232076868E-2</v>
      </c>
      <c r="BV178" s="627">
        <v>6.0824742268041236E-2</v>
      </c>
      <c r="BW178" s="627">
        <v>4.8726114649681532E-2</v>
      </c>
      <c r="BX178" s="627">
        <v>5.0063775510204078E-2</v>
      </c>
      <c r="BY178" s="628">
        <v>4.8659384309831182E-2</v>
      </c>
      <c r="BZ178" s="627">
        <v>5.011587485515643E-2</v>
      </c>
      <c r="CA178" s="627">
        <v>4.8129981606376458E-2</v>
      </c>
      <c r="CB178" s="627">
        <v>6.9684796044499384E-2</v>
      </c>
      <c r="CC178" s="628">
        <v>5.8247674987763093E-2</v>
      </c>
      <c r="CD178" s="627">
        <v>5.3689567430025446E-2</v>
      </c>
      <c r="CE178" s="627">
        <v>7.6630103595368676E-2</v>
      </c>
      <c r="CF178" s="627">
        <v>8.2837301587301584E-2</v>
      </c>
      <c r="CG178" s="628">
        <v>5.6593868122637545E-2</v>
      </c>
      <c r="CH178" s="627">
        <v>7.0958904109589035E-2</v>
      </c>
      <c r="CI178" s="627">
        <v>6.9126074498567336E-2</v>
      </c>
      <c r="CJ178" s="627">
        <v>6.7277691107644311E-2</v>
      </c>
      <c r="CK178" s="628">
        <v>3.726082578046324E-2</v>
      </c>
      <c r="CL178" s="627">
        <v>4.6140939597315439E-2</v>
      </c>
      <c r="CM178" s="627">
        <v>5.641821946169772E-2</v>
      </c>
      <c r="CN178" s="627">
        <v>7.2927328556806545E-2</v>
      </c>
      <c r="CO178" s="628">
        <v>5.3253211769581435E-2</v>
      </c>
      <c r="CP178" s="629">
        <v>6.4285714285714279E-2</v>
      </c>
      <c r="CQ178" s="653">
        <v>8.1337108013937287E-2</v>
      </c>
      <c r="CR178" s="653">
        <v>8.2246376811594205E-2</v>
      </c>
      <c r="CS178" s="679">
        <v>3.9260825780463242E-2</v>
      </c>
      <c r="CT178" s="654">
        <v>4.8140939597315441E-2</v>
      </c>
      <c r="CU178" s="655">
        <v>5.8418219461697722E-2</v>
      </c>
      <c r="CV178" s="655">
        <v>7.4927328556806547E-2</v>
      </c>
      <c r="CW178" s="679">
        <v>5.5253211769581437E-2</v>
      </c>
      <c r="CX178" s="631"/>
      <c r="CY178" s="631"/>
      <c r="CZ178" s="631"/>
      <c r="DA178" s="632"/>
      <c r="DB178" s="631"/>
      <c r="DC178" s="631"/>
      <c r="DD178" s="631"/>
      <c r="DE178" s="632"/>
      <c r="DF178" s="631"/>
      <c r="DG178" s="631"/>
      <c r="DH178" s="631"/>
      <c r="DI178" s="632"/>
      <c r="DJ178" s="674"/>
      <c r="DK178" s="629"/>
      <c r="DL178" s="627"/>
      <c r="DM178" s="627"/>
      <c r="DN178" s="627"/>
      <c r="DO178" s="627"/>
      <c r="DP178" s="627"/>
      <c r="DQ178" s="627"/>
      <c r="DR178" s="627"/>
      <c r="DS178" s="627"/>
      <c r="DT178" s="633"/>
      <c r="DU178" s="633">
        <v>4.7222846863053747E-3</v>
      </c>
      <c r="DV178" s="633">
        <v>2.5231286795626578E-3</v>
      </c>
      <c r="DW178" s="633">
        <v>2.2652388797364084E-3</v>
      </c>
      <c r="DX178" s="633">
        <v>7.6369190486580843E-3</v>
      </c>
      <c r="DY178" s="633">
        <v>1.9278748015422998E-2</v>
      </c>
      <c r="DZ178" s="633">
        <v>9.4533762057877807E-2</v>
      </c>
      <c r="EA178" s="633">
        <v>0.10352656273649161</v>
      </c>
      <c r="EB178" s="633">
        <v>0.13508121972071815</v>
      </c>
      <c r="EC178" s="633">
        <v>0.11801573543139085</v>
      </c>
      <c r="ED178" s="633">
        <v>0.30066265988596086</v>
      </c>
      <c r="EE178" s="633">
        <v>0.24224063311487573</v>
      </c>
      <c r="EF178" s="633">
        <v>0.21484524102556107</v>
      </c>
      <c r="EG178" s="633">
        <v>0.22884162161834051</v>
      </c>
      <c r="EH178" s="631">
        <v>0.22884162161834051</v>
      </c>
      <c r="EI178" s="631">
        <v>0.22884162161834051</v>
      </c>
      <c r="EJ178" s="631">
        <v>0.22884162161834051</v>
      </c>
      <c r="EK178" s="631">
        <v>0.22884162161834051</v>
      </c>
      <c r="EL178" s="631">
        <v>0.22884162161834051</v>
      </c>
      <c r="EM178" s="631">
        <v>0.22884162161834051</v>
      </c>
      <c r="EN178" s="631">
        <v>0.22884162161834051</v>
      </c>
      <c r="EO178" s="631">
        <v>0.22884162161834051</v>
      </c>
      <c r="EP178" s="629"/>
      <c r="EQ178" s="634"/>
    </row>
    <row r="179" spans="1:147" s="589" customFormat="1" outlineLevel="2">
      <c r="A179"/>
      <c r="B179"/>
      <c r="C179"/>
      <c r="D179"/>
      <c r="E179"/>
      <c r="F179"/>
      <c r="G179"/>
      <c r="I179" s="680"/>
      <c r="J179" s="357"/>
      <c r="K179" s="357"/>
      <c r="L179" s="357"/>
      <c r="M179" s="357"/>
      <c r="N179" s="594"/>
      <c r="O179" s="357"/>
      <c r="P179" s="357"/>
      <c r="Q179" s="357"/>
      <c r="R179" s="594"/>
      <c r="S179" s="357"/>
      <c r="T179" s="357"/>
      <c r="U179" s="357"/>
      <c r="V179" s="594"/>
      <c r="W179" s="357"/>
      <c r="X179" s="357"/>
      <c r="Y179" s="357"/>
      <c r="Z179" s="594"/>
      <c r="AA179" s="357"/>
      <c r="AB179" s="357"/>
      <c r="AC179" s="357"/>
      <c r="AD179" s="594"/>
      <c r="AE179" s="357"/>
      <c r="AF179" s="357"/>
      <c r="AG179" s="357"/>
      <c r="AH179" s="594"/>
      <c r="AI179" s="357"/>
      <c r="AJ179" s="357"/>
      <c r="AK179" s="357"/>
      <c r="AL179" s="594"/>
      <c r="AM179" s="357"/>
      <c r="AN179" s="357"/>
      <c r="AO179" s="357"/>
      <c r="AP179" s="594"/>
      <c r="AQ179" s="357"/>
      <c r="AR179" s="357"/>
      <c r="AS179" s="357"/>
      <c r="AT179" s="594"/>
      <c r="AU179" s="357"/>
      <c r="AV179" s="357"/>
      <c r="AW179" s="357"/>
      <c r="AX179" s="594"/>
      <c r="AY179" s="357"/>
      <c r="AZ179" s="357"/>
      <c r="BA179" s="357"/>
      <c r="BB179" s="594"/>
      <c r="BC179" s="357"/>
      <c r="BD179" s="481"/>
      <c r="BE179" s="357"/>
      <c r="BF179" s="594"/>
      <c r="BG179" s="357"/>
      <c r="BH179" s="481"/>
      <c r="BI179" s="357"/>
      <c r="BJ179" s="594"/>
      <c r="BK179" s="357"/>
      <c r="BL179" s="481"/>
      <c r="BM179" s="357"/>
      <c r="BN179" s="594"/>
      <c r="BO179" s="357"/>
      <c r="BP179" s="481"/>
      <c r="BQ179" s="592"/>
      <c r="BR179" s="357"/>
      <c r="BS179" s="357"/>
      <c r="BT179" s="357"/>
      <c r="BU179" s="592"/>
      <c r="BV179" s="357"/>
      <c r="BW179" s="357"/>
      <c r="BX179" s="357"/>
      <c r="BY179" s="592"/>
      <c r="BZ179" s="357"/>
      <c r="CA179" s="357"/>
      <c r="CB179" s="357"/>
      <c r="CC179" s="592"/>
      <c r="CD179" s="357"/>
      <c r="CE179" s="357"/>
      <c r="CF179" s="357"/>
      <c r="CG179" s="592"/>
      <c r="CH179" s="357"/>
      <c r="CI179" s="357"/>
      <c r="CJ179" s="357"/>
      <c r="CK179" s="592"/>
      <c r="CL179" s="357"/>
      <c r="CM179" s="357"/>
      <c r="CN179" s="357"/>
      <c r="CO179" s="592"/>
      <c r="CP179" s="594"/>
      <c r="CQ179" s="357"/>
      <c r="CR179" s="357"/>
      <c r="CS179" s="592"/>
      <c r="CT179" s="594"/>
      <c r="CU179" s="357"/>
      <c r="CV179" s="357"/>
      <c r="CW179" s="592"/>
      <c r="CX179" s="357"/>
      <c r="CY179" s="357"/>
      <c r="CZ179" s="357"/>
      <c r="DA179" s="592"/>
      <c r="DB179" s="357"/>
      <c r="DC179" s="357"/>
      <c r="DD179" s="357"/>
      <c r="DE179" s="592"/>
      <c r="DF179" s="357"/>
      <c r="DG179" s="357"/>
      <c r="DH179" s="357"/>
      <c r="DI179" s="592"/>
      <c r="DJ179" s="364"/>
      <c r="DK179" s="594"/>
      <c r="DL179" s="357"/>
      <c r="DM179" s="357"/>
      <c r="DN179" s="357"/>
      <c r="DO179" s="357"/>
      <c r="DP179" s="357"/>
      <c r="DQ179" s="357"/>
      <c r="DR179" s="357"/>
      <c r="DS179" s="357"/>
      <c r="DT179" s="356"/>
      <c r="DU179" s="356"/>
      <c r="DV179" s="356"/>
      <c r="DW179" s="356"/>
      <c r="DX179" s="356"/>
      <c r="DY179" s="356"/>
      <c r="DZ179" s="356"/>
      <c r="EA179" s="356"/>
      <c r="EB179" s="356"/>
      <c r="EC179" s="356"/>
      <c r="ED179" s="356"/>
      <c r="EE179" s="356"/>
      <c r="EF179" s="356"/>
      <c r="EG179" s="356"/>
      <c r="EH179" s="357"/>
      <c r="EI179" s="357"/>
      <c r="EJ179" s="357"/>
      <c r="EK179" s="357"/>
      <c r="EL179" s="357"/>
      <c r="EM179" s="357"/>
      <c r="EN179" s="357"/>
      <c r="EO179" s="357"/>
      <c r="EP179" s="594"/>
      <c r="EQ179" s="357"/>
    </row>
    <row r="180" spans="1:147" s="596" customFormat="1" outlineLevel="2">
      <c r="A180" s="546"/>
      <c r="B180"/>
      <c r="C180"/>
      <c r="D180"/>
      <c r="E180"/>
      <c r="F180"/>
      <c r="G180"/>
      <c r="I180" s="638" t="s">
        <v>1693</v>
      </c>
      <c r="J180" s="409"/>
      <c r="K180" s="409"/>
      <c r="L180" s="409"/>
      <c r="M180" s="409"/>
      <c r="N180" s="598"/>
      <c r="O180" s="409"/>
      <c r="P180" s="409"/>
      <c r="Q180" s="409"/>
      <c r="R180" s="598"/>
      <c r="S180" s="409"/>
      <c r="T180" s="409"/>
      <c r="U180" s="409"/>
      <c r="V180" s="598"/>
      <c r="W180" s="409"/>
      <c r="X180" s="409"/>
      <c r="Y180" s="409"/>
      <c r="Z180" s="598"/>
      <c r="AA180" s="409"/>
      <c r="AB180" s="409"/>
      <c r="AC180" s="409"/>
      <c r="AD180" s="598"/>
      <c r="AE180" s="409"/>
      <c r="AF180" s="409"/>
      <c r="AG180" s="409"/>
      <c r="AH180" s="598"/>
      <c r="AI180" s="409"/>
      <c r="AJ180" s="409"/>
      <c r="AK180" s="409"/>
      <c r="AL180" s="598"/>
      <c r="AM180" s="409"/>
      <c r="AN180" s="409"/>
      <c r="AO180" s="409"/>
      <c r="AP180" s="598"/>
      <c r="AQ180" s="409"/>
      <c r="AR180" s="409"/>
      <c r="AS180" s="409"/>
      <c r="AT180" s="598"/>
      <c r="AU180" s="409"/>
      <c r="AV180" s="409"/>
      <c r="AW180" s="409"/>
      <c r="AX180" s="598">
        <v>0</v>
      </c>
      <c r="AY180" s="409">
        <v>0</v>
      </c>
      <c r="AZ180" s="409">
        <v>0</v>
      </c>
      <c r="BA180" s="409">
        <v>0</v>
      </c>
      <c r="BB180" s="598">
        <v>52.491638795986624</v>
      </c>
      <c r="BC180" s="409">
        <v>66.830985915492946</v>
      </c>
      <c r="BD180" s="681">
        <v>165.30797101449275</v>
      </c>
      <c r="BE180" s="409">
        <v>73.68012422360249</v>
      </c>
      <c r="BF180" s="598">
        <v>64.26556420233463</v>
      </c>
      <c r="BG180" s="409">
        <v>64.950873362445421</v>
      </c>
      <c r="BH180" s="681">
        <v>158.125</v>
      </c>
      <c r="BI180" s="409">
        <v>64.800724637681157</v>
      </c>
      <c r="BJ180" s="598">
        <v>65.27884615384616</v>
      </c>
      <c r="BK180" s="409">
        <v>70.858938547486034</v>
      </c>
      <c r="BL180" s="681">
        <v>239.42660550458717</v>
      </c>
      <c r="BM180" s="409">
        <v>65.047690763052216</v>
      </c>
      <c r="BN180" s="598">
        <v>67.926008968609864</v>
      </c>
      <c r="BO180" s="409">
        <v>82.81929347826086</v>
      </c>
      <c r="BP180" s="681">
        <v>161.81666666666666</v>
      </c>
      <c r="BQ180" s="410">
        <v>69.779411764705884</v>
      </c>
      <c r="BR180" s="409">
        <v>55.563118811881196</v>
      </c>
      <c r="BS180" s="409">
        <v>122.90816326530611</v>
      </c>
      <c r="BT180" s="409">
        <v>157.52094972067039</v>
      </c>
      <c r="BU180" s="410">
        <v>75.553935860058303</v>
      </c>
      <c r="BV180" s="409">
        <v>80.991124260355036</v>
      </c>
      <c r="BW180" s="409">
        <v>107.78523489932886</v>
      </c>
      <c r="BX180" s="409">
        <v>173.4572072072072</v>
      </c>
      <c r="BY180" s="410">
        <v>64.720447284345042</v>
      </c>
      <c r="BZ180" s="409">
        <v>95.716783216783213</v>
      </c>
      <c r="CA180" s="409">
        <v>114.41346153846155</v>
      </c>
      <c r="CB180" s="409">
        <v>191.68624161073825</v>
      </c>
      <c r="CC180" s="410">
        <v>95.076612903225808</v>
      </c>
      <c r="CD180" s="409">
        <v>96.882716049382708</v>
      </c>
      <c r="CE180" s="409">
        <v>120.9424603174603</v>
      </c>
      <c r="CF180" s="409">
        <v>224.17322834645668</v>
      </c>
      <c r="CG180" s="410">
        <v>76.192244224422438</v>
      </c>
      <c r="CH180" s="409">
        <v>99.65460526315789</v>
      </c>
      <c r="CI180" s="409">
        <v>165.90909090909091</v>
      </c>
      <c r="CJ180" s="409">
        <v>182.5</v>
      </c>
      <c r="CK180" s="410">
        <v>99.421641791044777</v>
      </c>
      <c r="CL180" s="409">
        <v>121.15546218487395</v>
      </c>
      <c r="CM180" s="409">
        <v>117.89233576642336</v>
      </c>
      <c r="CN180" s="409">
        <v>202.37623762376239</v>
      </c>
      <c r="CO180" s="410">
        <v>77.131088825214903</v>
      </c>
      <c r="CP180" s="598">
        <v>146.65178571428572</v>
      </c>
      <c r="CQ180" s="409">
        <v>170.70043103448273</v>
      </c>
      <c r="CR180" s="409">
        <v>188.58333333333334</v>
      </c>
      <c r="CS180" s="676">
        <v>97.421641791044777</v>
      </c>
      <c r="CT180" s="411">
        <v>119.15546218487395</v>
      </c>
      <c r="CU180" s="399">
        <v>115.89233576642336</v>
      </c>
      <c r="CV180" s="399">
        <v>200.37623762376239</v>
      </c>
      <c r="CW180" s="676">
        <v>75.131088825214903</v>
      </c>
      <c r="CX180" s="675"/>
      <c r="CY180" s="675"/>
      <c r="CZ180" s="675"/>
      <c r="DA180" s="676"/>
      <c r="DB180" s="675"/>
      <c r="DC180" s="675"/>
      <c r="DD180" s="675"/>
      <c r="DE180" s="676"/>
      <c r="DF180" s="675"/>
      <c r="DG180" s="675"/>
      <c r="DH180" s="675"/>
      <c r="DI180" s="676"/>
      <c r="DJ180" s="543"/>
      <c r="DK180" s="598"/>
      <c r="DL180" s="409"/>
      <c r="DM180" s="409"/>
      <c r="DN180" s="409"/>
      <c r="DO180" s="409"/>
      <c r="DP180" s="409"/>
      <c r="DQ180" s="409"/>
      <c r="DR180" s="409"/>
      <c r="DS180" s="409"/>
      <c r="DT180" s="386"/>
      <c r="DU180" s="386">
        <v>98.071798667653596</v>
      </c>
      <c r="DV180" s="386">
        <v>125.63989408649604</v>
      </c>
      <c r="DW180" s="386">
        <v>112.28251121076232</v>
      </c>
      <c r="DX180" s="386">
        <v>123.87667304015297</v>
      </c>
      <c r="DY180" s="386">
        <v>120.79938900203666</v>
      </c>
      <c r="DZ180" s="386">
        <v>119.0126291618829</v>
      </c>
      <c r="EA180" s="386">
        <v>109.20485175202157</v>
      </c>
      <c r="EB180" s="386">
        <v>161.05874316939889</v>
      </c>
      <c r="EC180" s="386">
        <v>128.6142061281337</v>
      </c>
      <c r="ED180" s="386">
        <v>162.46951219512195</v>
      </c>
      <c r="EE180" s="386">
        <v>152.51416430594901</v>
      </c>
      <c r="EF180" s="386">
        <v>180.41228992234406</v>
      </c>
      <c r="EG180" s="386">
        <v>228.65662932234989</v>
      </c>
      <c r="EH180" s="675">
        <v>226.65662932234989</v>
      </c>
      <c r="EI180" s="675">
        <v>224.65662932234989</v>
      </c>
      <c r="EJ180" s="675">
        <v>222.65662932234989</v>
      </c>
      <c r="EK180" s="675">
        <v>220.65662932234989</v>
      </c>
      <c r="EL180" s="675">
        <v>218.65662932234989</v>
      </c>
      <c r="EM180" s="675">
        <v>216.65662932234989</v>
      </c>
      <c r="EN180" s="675">
        <v>214.65662932234989</v>
      </c>
      <c r="EO180" s="675">
        <v>212.65662932234989</v>
      </c>
      <c r="EP180" s="598"/>
      <c r="EQ180" s="409"/>
    </row>
    <row r="181" spans="1:147" s="596" customFormat="1" outlineLevel="2">
      <c r="A181" s="546"/>
      <c r="B181"/>
      <c r="C181"/>
      <c r="D181"/>
      <c r="E181"/>
      <c r="F181"/>
      <c r="G181"/>
      <c r="I181" s="638" t="s">
        <v>1694</v>
      </c>
      <c r="J181" s="409"/>
      <c r="K181" s="409"/>
      <c r="L181" s="409"/>
      <c r="M181" s="409"/>
      <c r="N181" s="598"/>
      <c r="O181" s="409"/>
      <c r="P181" s="409"/>
      <c r="Q181" s="409"/>
      <c r="R181" s="598"/>
      <c r="S181" s="409"/>
      <c r="T181" s="409"/>
      <c r="U181" s="409"/>
      <c r="V181" s="598"/>
      <c r="W181" s="409"/>
      <c r="X181" s="409"/>
      <c r="Y181" s="409"/>
      <c r="Z181" s="598"/>
      <c r="AA181" s="409"/>
      <c r="AB181" s="409"/>
      <c r="AC181" s="409"/>
      <c r="AD181" s="598"/>
      <c r="AE181" s="409"/>
      <c r="AF181" s="409"/>
      <c r="AG181" s="409"/>
      <c r="AH181" s="598"/>
      <c r="AI181" s="409"/>
      <c r="AJ181" s="409"/>
      <c r="AK181" s="409"/>
      <c r="AL181" s="598"/>
      <c r="AM181" s="409"/>
      <c r="AN181" s="409"/>
      <c r="AO181" s="409"/>
      <c r="AP181" s="598"/>
      <c r="AQ181" s="409"/>
      <c r="AR181" s="409"/>
      <c r="AS181" s="409"/>
      <c r="AT181" s="598"/>
      <c r="AU181" s="409"/>
      <c r="AV181" s="409"/>
      <c r="AW181" s="409"/>
      <c r="AX181" s="598"/>
      <c r="AY181" s="409"/>
      <c r="AZ181" s="409"/>
      <c r="BA181" s="409"/>
      <c r="BB181" s="629">
        <v>0.71980676328502413</v>
      </c>
      <c r="BC181" s="627">
        <v>0.5244328097731239</v>
      </c>
      <c r="BD181" s="627">
        <v>0.64588859416445621</v>
      </c>
      <c r="BE181" s="627">
        <v>1.0461975835110164</v>
      </c>
      <c r="BF181" s="629">
        <v>0.78242320819112632</v>
      </c>
      <c r="BG181" s="627">
        <v>0.8418604651162791</v>
      </c>
      <c r="BH181" s="627">
        <v>1.0071343638525565</v>
      </c>
      <c r="BI181" s="627">
        <v>0.93721719457013575</v>
      </c>
      <c r="BJ181" s="629">
        <v>0.84969788519637457</v>
      </c>
      <c r="BK181" s="627">
        <v>0.6333333333333333</v>
      </c>
      <c r="BL181" s="627">
        <v>0.9276410998552822</v>
      </c>
      <c r="BM181" s="627">
        <v>0.91501976284584985</v>
      </c>
      <c r="BN181" s="629">
        <v>0.98289828982898286</v>
      </c>
      <c r="BO181" s="627">
        <v>0.79278350515463913</v>
      </c>
      <c r="BP181" s="627">
        <v>1.7330677290836654</v>
      </c>
      <c r="BQ181" s="628">
        <v>1.1409523809523809</v>
      </c>
      <c r="BR181" s="627">
        <v>0.90845070422535212</v>
      </c>
      <c r="BS181" s="627">
        <v>0.80172413793103448</v>
      </c>
      <c r="BT181" s="627">
        <v>0.91616161616161618</v>
      </c>
      <c r="BU181" s="628">
        <v>1.2579453067257946</v>
      </c>
      <c r="BV181" s="627">
        <v>0.82955326460481105</v>
      </c>
      <c r="BW181" s="627">
        <v>0.7885350318471338</v>
      </c>
      <c r="BX181" s="627">
        <v>0.84183673469387754</v>
      </c>
      <c r="BY181" s="628">
        <v>0.80834160873882821</v>
      </c>
      <c r="BZ181" s="627">
        <v>0.66801853997682503</v>
      </c>
      <c r="CA181" s="627">
        <v>0.5763335377069283</v>
      </c>
      <c r="CB181" s="627">
        <v>0.84857849196538937</v>
      </c>
      <c r="CC181" s="628">
        <v>0.94419970631424377</v>
      </c>
      <c r="CD181" s="627">
        <v>0.61272264631043261</v>
      </c>
      <c r="CE181" s="627">
        <v>0.5070079219987812</v>
      </c>
      <c r="CF181" s="627">
        <v>0.67261904761904767</v>
      </c>
      <c r="CG181" s="628">
        <v>0.62704745905081893</v>
      </c>
      <c r="CH181" s="627">
        <v>0.51013698630136983</v>
      </c>
      <c r="CI181" s="627">
        <v>0.52148997134670483</v>
      </c>
      <c r="CJ181" s="627">
        <v>0.54212168486739465</v>
      </c>
      <c r="CK181" s="628">
        <v>0.69234642497482379</v>
      </c>
      <c r="CL181" s="627">
        <v>0.59507829977628635</v>
      </c>
      <c r="CM181" s="627">
        <v>0.63250517598343681</v>
      </c>
      <c r="CN181" s="627">
        <v>0.5670419651995906</v>
      </c>
      <c r="CO181" s="628">
        <v>0.69995855781185246</v>
      </c>
      <c r="CP181" s="629">
        <v>0.64131868131868131</v>
      </c>
      <c r="CQ181" s="653">
        <v>0.46080139372822299</v>
      </c>
      <c r="CR181" s="653">
        <v>0.40772946859903381</v>
      </c>
      <c r="CS181" s="679">
        <v>0.68234642497482378</v>
      </c>
      <c r="CT181" s="654">
        <v>0.58507829977628634</v>
      </c>
      <c r="CU181" s="655">
        <v>0.6225051759834368</v>
      </c>
      <c r="CV181" s="655">
        <v>0.55704196519959059</v>
      </c>
      <c r="CW181" s="679">
        <v>0.68995855781185245</v>
      </c>
      <c r="CX181" s="675"/>
      <c r="CY181" s="675"/>
      <c r="CZ181" s="675"/>
      <c r="DA181" s="676"/>
      <c r="DB181" s="675"/>
      <c r="DC181" s="675"/>
      <c r="DD181" s="675"/>
      <c r="DE181" s="676"/>
      <c r="DF181" s="675"/>
      <c r="DG181" s="675"/>
      <c r="DH181" s="675"/>
      <c r="DI181" s="676"/>
      <c r="DJ181" s="674"/>
      <c r="DK181" s="629"/>
      <c r="DL181" s="627"/>
      <c r="DM181" s="627"/>
      <c r="DN181" s="627"/>
      <c r="DO181" s="627"/>
      <c r="DP181" s="627"/>
      <c r="DQ181" s="627"/>
      <c r="DR181" s="627"/>
      <c r="DS181" s="627"/>
      <c r="DT181" s="633"/>
      <c r="DU181" s="633"/>
      <c r="DV181" s="633"/>
      <c r="DW181" s="633"/>
      <c r="DX181" s="633">
        <v>0.30307658738817367</v>
      </c>
      <c r="DY181" s="633">
        <v>0.40757541392606034</v>
      </c>
      <c r="DZ181" s="633">
        <v>0.36484458735262593</v>
      </c>
      <c r="EA181" s="633">
        <v>0.24640532768276072</v>
      </c>
      <c r="EB181" s="633">
        <v>0.2748646337988031</v>
      </c>
      <c r="EC181" s="633">
        <v>0.19909321242832378</v>
      </c>
      <c r="ED181" s="633">
        <v>0.21189705655725075</v>
      </c>
      <c r="EE181" s="633">
        <v>0.20885371584023743</v>
      </c>
      <c r="EF181" s="633">
        <v>8.8179592035097412E-2</v>
      </c>
      <c r="EG181" s="633">
        <v>9.3473693869696173E-2</v>
      </c>
      <c r="EH181" s="631">
        <v>9.3473693869696173E-2</v>
      </c>
      <c r="EI181" s="631">
        <v>9.3473693869696173E-2</v>
      </c>
      <c r="EJ181" s="631">
        <v>9.3473693869696173E-2</v>
      </c>
      <c r="EK181" s="631">
        <v>9.3473693869696173E-2</v>
      </c>
      <c r="EL181" s="631">
        <v>9.3473693869696173E-2</v>
      </c>
      <c r="EM181" s="631">
        <v>9.3473693869696173E-2</v>
      </c>
      <c r="EN181" s="631">
        <v>9.3473693869696173E-2</v>
      </c>
      <c r="EO181" s="631">
        <v>9.3473693869696173E-2</v>
      </c>
      <c r="EP181" s="598"/>
      <c r="EQ181" s="409"/>
    </row>
    <row r="182" spans="1:147" s="635" customFormat="1" outlineLevel="2">
      <c r="A182" s="624"/>
      <c r="B182"/>
      <c r="C182"/>
      <c r="D182"/>
      <c r="E182"/>
      <c r="F182"/>
      <c r="G182"/>
      <c r="H182" s="625"/>
      <c r="I182" s="677" t="s">
        <v>1695</v>
      </c>
      <c r="J182" s="627"/>
      <c r="K182" s="627"/>
      <c r="L182" s="627"/>
      <c r="M182" s="627"/>
      <c r="N182" s="629"/>
      <c r="O182" s="627"/>
      <c r="P182" s="627"/>
      <c r="Q182" s="627"/>
      <c r="R182" s="629"/>
      <c r="S182" s="627"/>
      <c r="T182" s="627"/>
      <c r="U182" s="627"/>
      <c r="V182" s="629"/>
      <c r="W182" s="627"/>
      <c r="X182" s="627"/>
      <c r="Y182" s="627"/>
      <c r="Z182" s="629"/>
      <c r="AA182" s="627"/>
      <c r="AB182" s="627"/>
      <c r="AC182" s="627"/>
      <c r="AD182" s="629"/>
      <c r="AE182" s="627"/>
      <c r="AF182" s="627"/>
      <c r="AG182" s="627"/>
      <c r="AH182" s="629"/>
      <c r="AI182" s="627"/>
      <c r="AJ182" s="627"/>
      <c r="AK182" s="627"/>
      <c r="AL182" s="629"/>
      <c r="AM182" s="627"/>
      <c r="AN182" s="627"/>
      <c r="AO182" s="627"/>
      <c r="AP182" s="629"/>
      <c r="AQ182" s="627"/>
      <c r="AR182" s="627"/>
      <c r="AS182" s="627"/>
      <c r="AT182" s="629"/>
      <c r="AU182" s="627"/>
      <c r="AV182" s="627"/>
      <c r="AW182" s="627"/>
      <c r="AX182" s="629">
        <v>0</v>
      </c>
      <c r="AY182" s="627">
        <v>0</v>
      </c>
      <c r="AZ182" s="627">
        <v>0</v>
      </c>
      <c r="BA182" s="627">
        <v>0</v>
      </c>
      <c r="BB182" s="629">
        <v>0.54914703493095041</v>
      </c>
      <c r="BC182" s="627">
        <v>0.49847094801223241</v>
      </c>
      <c r="BD182" s="678">
        <v>0.81016442451420034</v>
      </c>
      <c r="BE182" s="627">
        <v>1.3423597678916828</v>
      </c>
      <c r="BF182" s="629">
        <v>0.6247689463955638</v>
      </c>
      <c r="BG182" s="627">
        <v>0.53677419354838707</v>
      </c>
      <c r="BH182" s="678">
        <v>0.66229985443959238</v>
      </c>
      <c r="BI182" s="627">
        <v>1.0618892508143323</v>
      </c>
      <c r="BJ182" s="629">
        <v>0.54545454545454541</v>
      </c>
      <c r="BK182" s="627">
        <v>0.41738197424892703</v>
      </c>
      <c r="BL182" s="678">
        <v>0.86201022146507666</v>
      </c>
      <c r="BM182" s="627">
        <v>0.95209580838323349</v>
      </c>
      <c r="BN182" s="629">
        <v>0.72904707233065447</v>
      </c>
      <c r="BO182" s="627">
        <v>0.59159859976662776</v>
      </c>
      <c r="BP182" s="678">
        <v>1.0973630831643002</v>
      </c>
      <c r="BQ182" s="628">
        <v>0.89561270801815429</v>
      </c>
      <c r="BR182" s="627">
        <v>0.57262569832402233</v>
      </c>
      <c r="BS182" s="627">
        <v>0.58553386911595862</v>
      </c>
      <c r="BT182" s="627">
        <v>0.53315290933694182</v>
      </c>
      <c r="BU182" s="628">
        <v>1.2135922330097086</v>
      </c>
      <c r="BV182" s="627">
        <v>0.74896093100581884</v>
      </c>
      <c r="BW182" s="627">
        <v>0.7342158859470469</v>
      </c>
      <c r="BX182" s="627">
        <v>0.69315895372233405</v>
      </c>
      <c r="BY182" s="628">
        <v>0.73607305936073064</v>
      </c>
      <c r="BZ182" s="627">
        <v>0.68072727272727274</v>
      </c>
      <c r="CA182" s="627">
        <v>0.570198105081826</v>
      </c>
      <c r="CB182" s="627">
        <v>0.70795568982880164</v>
      </c>
      <c r="CC182" s="628">
        <v>1.27002700270027</v>
      </c>
      <c r="CD182" s="627">
        <v>0.98789808917197452</v>
      </c>
      <c r="CE182" s="627">
        <v>0.84474522292993626</v>
      </c>
      <c r="CF182" s="627">
        <v>1.0323529411764707</v>
      </c>
      <c r="CG182" s="628">
        <v>0.76320272572402048</v>
      </c>
      <c r="CH182" s="627">
        <v>0.78712220762155061</v>
      </c>
      <c r="CI182" s="627">
        <v>0.6712580348943985</v>
      </c>
      <c r="CJ182" s="627">
        <v>0.79552390640895221</v>
      </c>
      <c r="CK182" s="628">
        <v>1.4821852731591449</v>
      </c>
      <c r="CL182" s="627">
        <v>1.0527143981117231</v>
      </c>
      <c r="CM182" s="627">
        <v>1.195046439628483</v>
      </c>
      <c r="CN182" s="627">
        <v>0.68509615384615385</v>
      </c>
      <c r="CO182" s="628">
        <v>0.88641779189833203</v>
      </c>
      <c r="CP182" s="629">
        <v>1.0281593406593406</v>
      </c>
      <c r="CQ182" s="653">
        <v>0.62372448979591832</v>
      </c>
      <c r="CR182" s="653">
        <v>0.8034782608695652</v>
      </c>
      <c r="CS182" s="632">
        <v>0.88641779189833203</v>
      </c>
      <c r="CT182" s="654">
        <v>1.0281593406593406</v>
      </c>
      <c r="CU182" s="655">
        <v>0.62372448979591832</v>
      </c>
      <c r="CV182" s="655">
        <v>0.8034782608695652</v>
      </c>
      <c r="CW182" s="632">
        <v>0.88641779189833203</v>
      </c>
      <c r="CX182" s="631"/>
      <c r="CY182" s="631"/>
      <c r="CZ182" s="631"/>
      <c r="DA182" s="632"/>
      <c r="DB182" s="631"/>
      <c r="DC182" s="631"/>
      <c r="DD182" s="631"/>
      <c r="DE182" s="632"/>
      <c r="DF182" s="631"/>
      <c r="DG182" s="631"/>
      <c r="DH182" s="631"/>
      <c r="DI182" s="632"/>
      <c r="DJ182" s="674"/>
      <c r="DK182" s="629"/>
      <c r="DL182" s="627"/>
      <c r="DM182" s="627"/>
      <c r="DN182" s="627"/>
      <c r="DO182" s="627"/>
      <c r="DP182" s="627"/>
      <c r="DQ182" s="627"/>
      <c r="DR182" s="627"/>
      <c r="DS182" s="627"/>
      <c r="DT182" s="633"/>
      <c r="DU182" s="633">
        <v>0.26592977893368008</v>
      </c>
      <c r="DV182" s="633">
        <v>0.20423778693349029</v>
      </c>
      <c r="DW182" s="633">
        <v>0.20645978467384421</v>
      </c>
      <c r="DX182" s="633">
        <v>0.19479326186830015</v>
      </c>
      <c r="DY182" s="633">
        <v>0.20541290770298404</v>
      </c>
      <c r="DZ182" s="633">
        <v>0.19537355423569866</v>
      </c>
      <c r="EA182" s="633">
        <v>0.18858212447356107</v>
      </c>
      <c r="EB182" s="633">
        <v>0.30409482758620687</v>
      </c>
      <c r="EC182" s="633">
        <v>0.17848605577689244</v>
      </c>
      <c r="ED182" s="633">
        <v>0.28133453561767358</v>
      </c>
      <c r="EE182" s="633">
        <v>0.23795309168443496</v>
      </c>
      <c r="EF182" s="633">
        <v>0.23593826002530974</v>
      </c>
      <c r="EG182" s="633">
        <v>0.33182467800941917</v>
      </c>
      <c r="EH182" s="631">
        <v>0.33682467800941918</v>
      </c>
      <c r="EI182" s="631">
        <v>0.34182467800941918</v>
      </c>
      <c r="EJ182" s="631">
        <v>0.34682467800941919</v>
      </c>
      <c r="EK182" s="631">
        <v>0.35182467800941919</v>
      </c>
      <c r="EL182" s="631">
        <v>0.35682467800941919</v>
      </c>
      <c r="EM182" s="631">
        <v>0.3618246780094192</v>
      </c>
      <c r="EN182" s="631">
        <v>0.3668246780094192</v>
      </c>
      <c r="EO182" s="631">
        <v>0.37182467800941921</v>
      </c>
      <c r="EP182" s="629"/>
      <c r="EQ182" s="634"/>
    </row>
    <row r="183" spans="1:147" s="635" customFormat="1" outlineLevel="2">
      <c r="A183" s="624"/>
      <c r="B183"/>
      <c r="C183"/>
      <c r="D183"/>
      <c r="E183"/>
      <c r="F183"/>
      <c r="G183"/>
      <c r="H183" s="625"/>
      <c r="I183" s="682" t="s">
        <v>1696</v>
      </c>
      <c r="J183" s="683"/>
      <c r="K183" s="683"/>
      <c r="L183" s="683"/>
      <c r="M183" s="683"/>
      <c r="N183" s="684"/>
      <c r="O183" s="683"/>
      <c r="P183" s="683"/>
      <c r="Q183" s="683"/>
      <c r="R183" s="684"/>
      <c r="S183" s="683"/>
      <c r="T183" s="683"/>
      <c r="U183" s="683"/>
      <c r="V183" s="684"/>
      <c r="W183" s="683"/>
      <c r="X183" s="683"/>
      <c r="Y183" s="683"/>
      <c r="Z183" s="684"/>
      <c r="AA183" s="683"/>
      <c r="AB183" s="683"/>
      <c r="AC183" s="683"/>
      <c r="AD183" s="684"/>
      <c r="AE183" s="683"/>
      <c r="AF183" s="683"/>
      <c r="AG183" s="683"/>
      <c r="AH183" s="684"/>
      <c r="AI183" s="683"/>
      <c r="AJ183" s="683"/>
      <c r="AK183" s="683"/>
      <c r="AL183" s="684"/>
      <c r="AM183" s="683"/>
      <c r="AN183" s="683"/>
      <c r="AO183" s="683"/>
      <c r="AP183" s="684"/>
      <c r="AQ183" s="683"/>
      <c r="AR183" s="683"/>
      <c r="AS183" s="683"/>
      <c r="AT183" s="684" t="s">
        <v>401</v>
      </c>
      <c r="AU183" s="683"/>
      <c r="AV183" s="683"/>
      <c r="AW183" s="683"/>
      <c r="AX183" s="684">
        <v>0</v>
      </c>
      <c r="AY183" s="683">
        <v>0</v>
      </c>
      <c r="AZ183" s="683">
        <v>0</v>
      </c>
      <c r="BA183" s="683">
        <v>0</v>
      </c>
      <c r="BB183" s="684">
        <v>0.13484971567831031</v>
      </c>
      <c r="BC183" s="683">
        <v>0.16717635066258921</v>
      </c>
      <c r="BD183" s="685">
        <v>0.25112107623318386</v>
      </c>
      <c r="BE183" s="683">
        <v>0.3365570599613153</v>
      </c>
      <c r="BF183" s="684">
        <v>0.15249537892791126</v>
      </c>
      <c r="BG183" s="683">
        <v>0.20645161290322581</v>
      </c>
      <c r="BH183" s="685">
        <v>0.23726346433770015</v>
      </c>
      <c r="BI183" s="683">
        <v>0.33550488599348532</v>
      </c>
      <c r="BJ183" s="684">
        <v>0.19294990723562153</v>
      </c>
      <c r="BK183" s="683">
        <v>0.22103004291845493</v>
      </c>
      <c r="BL183" s="685">
        <v>0.35093696763202725</v>
      </c>
      <c r="BM183" s="683">
        <v>0.44461077844311375</v>
      </c>
      <c r="BN183" s="684">
        <v>0.35017221584385766</v>
      </c>
      <c r="BO183" s="683">
        <v>0.40023337222870481</v>
      </c>
      <c r="BP183" s="685">
        <v>0.70385395537525353</v>
      </c>
      <c r="BQ183" s="686">
        <v>0.54614220877458397</v>
      </c>
      <c r="BR183" s="683">
        <v>0.41061452513966479</v>
      </c>
      <c r="BS183" s="683">
        <v>0.5350172215843858</v>
      </c>
      <c r="BT183" s="683">
        <v>0.69688768606224627</v>
      </c>
      <c r="BU183" s="686">
        <v>0.93786407766990287</v>
      </c>
      <c r="BV183" s="683">
        <v>0.66334164588528677</v>
      </c>
      <c r="BW183" s="683">
        <v>0.85030549898167007</v>
      </c>
      <c r="BX183" s="683">
        <v>0.94265593561368211</v>
      </c>
      <c r="BY183" s="686">
        <v>0.68127853881278544</v>
      </c>
      <c r="BZ183" s="683">
        <v>0.5905454545454546</v>
      </c>
      <c r="CA183" s="683">
        <v>0.77777777777777779</v>
      </c>
      <c r="CB183" s="683">
        <v>0.94058408862034237</v>
      </c>
      <c r="CC183" s="686">
        <v>1.063006300630063</v>
      </c>
      <c r="CD183" s="683">
        <v>0.79171974522292998</v>
      </c>
      <c r="CE183" s="683">
        <v>0.9116242038216561</v>
      </c>
      <c r="CF183" s="683">
        <v>0.97156862745098038</v>
      </c>
      <c r="CG183" s="686">
        <v>0.97700170357751281</v>
      </c>
      <c r="CH183" s="683">
        <v>0.89553219448094612</v>
      </c>
      <c r="CI183" s="683">
        <v>1.0890725436179982</v>
      </c>
      <c r="CJ183" s="683">
        <v>1.1414038657171923</v>
      </c>
      <c r="CK183" s="686">
        <v>1.1223277909738718</v>
      </c>
      <c r="CL183" s="683">
        <v>0.70023603461841066</v>
      </c>
      <c r="CM183" s="683">
        <v>0.89680082559339525</v>
      </c>
      <c r="CN183" s="683">
        <v>0.74038461538461542</v>
      </c>
      <c r="CO183" s="686">
        <v>0.75377283558379671</v>
      </c>
      <c r="CP183" s="684">
        <v>0.64697802197802201</v>
      </c>
      <c r="CQ183" s="687">
        <v>0.58418367346938771</v>
      </c>
      <c r="CR183" s="687">
        <v>0.84434782608695658</v>
      </c>
      <c r="CS183" s="688">
        <v>1.1223277909738718</v>
      </c>
      <c r="CT183" s="689">
        <v>0.70023603461841066</v>
      </c>
      <c r="CU183" s="690">
        <v>0.89680082559339525</v>
      </c>
      <c r="CV183" s="690">
        <v>0.74038461538461542</v>
      </c>
      <c r="CW183" s="688">
        <v>0.75377283558379671</v>
      </c>
      <c r="CX183" s="691"/>
      <c r="CY183" s="691"/>
      <c r="CZ183" s="691"/>
      <c r="DA183" s="688"/>
      <c r="DB183" s="691"/>
      <c r="DC183" s="691"/>
      <c r="DD183" s="691"/>
      <c r="DE183" s="688"/>
      <c r="DF183" s="691"/>
      <c r="DG183" s="691"/>
      <c r="DH183" s="691"/>
      <c r="DI183" s="688"/>
      <c r="DJ183" s="674"/>
      <c r="DK183" s="684"/>
      <c r="DL183" s="683"/>
      <c r="DM183" s="683"/>
      <c r="DN183" s="683"/>
      <c r="DO183" s="683"/>
      <c r="DP183" s="683"/>
      <c r="DQ183" s="683"/>
      <c r="DR183" s="683"/>
      <c r="DS183" s="683"/>
      <c r="DT183" s="692"/>
      <c r="DU183" s="692">
        <v>5.9817945383615082E-2</v>
      </c>
      <c r="DV183" s="692">
        <v>5.1206592113007654E-2</v>
      </c>
      <c r="DW183" s="692">
        <v>6.5231158961367955E-2</v>
      </c>
      <c r="DX183" s="692">
        <v>9.0964777947932618E-2</v>
      </c>
      <c r="DY183" s="692">
        <v>0.12526023594725885</v>
      </c>
      <c r="DZ183" s="692">
        <v>0.15098468271334792</v>
      </c>
      <c r="EA183" s="692">
        <v>0.17454375292466073</v>
      </c>
      <c r="EB183" s="692">
        <v>0.25452586206896549</v>
      </c>
      <c r="EC183" s="692">
        <v>0.22848605577689243</v>
      </c>
      <c r="ED183" s="692">
        <v>0.21302975653742109</v>
      </c>
      <c r="EE183" s="692">
        <v>0.2023454157782516</v>
      </c>
      <c r="EF183" s="692">
        <v>0.17307467865122561</v>
      </c>
      <c r="EG183" s="692">
        <v>0.18166642182388307</v>
      </c>
      <c r="EH183" s="691">
        <v>0.18166642182388307</v>
      </c>
      <c r="EI183" s="691">
        <v>0.18166642182388307</v>
      </c>
      <c r="EJ183" s="691">
        <v>0.18166642182388307</v>
      </c>
      <c r="EK183" s="691">
        <v>0.18166642182388307</v>
      </c>
      <c r="EL183" s="691">
        <v>0.18166642182388307</v>
      </c>
      <c r="EM183" s="691">
        <v>0.18166642182388307</v>
      </c>
      <c r="EN183" s="691">
        <v>0.18166642182388307</v>
      </c>
      <c r="EO183" s="691">
        <v>0.18166642182388307</v>
      </c>
      <c r="EP183" s="629"/>
      <c r="EQ183" s="634"/>
    </row>
    <row r="184" spans="1:147" s="656" customFormat="1" ht="15" customHeight="1" outlineLevel="1">
      <c r="A184" s="473"/>
      <c r="B184"/>
      <c r="C184"/>
      <c r="D184"/>
      <c r="E184"/>
      <c r="F184"/>
      <c r="G184"/>
      <c r="I184" s="693"/>
      <c r="J184" s="694"/>
      <c r="K184" s="694"/>
      <c r="L184" s="694"/>
      <c r="M184" s="694"/>
      <c r="N184" s="694"/>
      <c r="O184" s="694"/>
      <c r="P184" s="694"/>
      <c r="Q184" s="694"/>
      <c r="R184" s="694"/>
      <c r="S184" s="694"/>
      <c r="T184" s="694"/>
      <c r="U184" s="694"/>
      <c r="V184" s="694"/>
      <c r="W184" s="694"/>
      <c r="X184" s="694"/>
      <c r="Y184" s="694"/>
      <c r="Z184" s="694"/>
      <c r="AA184" s="694"/>
      <c r="AB184" s="694"/>
      <c r="AC184" s="694"/>
      <c r="AD184" s="694"/>
      <c r="AE184" s="694"/>
      <c r="AF184" s="694"/>
      <c r="AG184" s="694"/>
      <c r="AH184" s="694"/>
      <c r="AI184" s="694"/>
      <c r="AJ184" s="694"/>
      <c r="AK184" s="694"/>
      <c r="AL184" s="694"/>
      <c r="AM184" s="694"/>
      <c r="AN184" s="694"/>
      <c r="AO184" s="694"/>
      <c r="AP184" s="694"/>
      <c r="AQ184" s="694"/>
      <c r="AR184" s="694"/>
      <c r="AS184" s="694"/>
      <c r="AT184" s="694"/>
      <c r="AU184" s="694"/>
      <c r="AV184" s="694"/>
      <c r="AW184" s="694"/>
      <c r="AX184" s="694"/>
      <c r="AY184" s="694"/>
      <c r="AZ184" s="694"/>
      <c r="BA184" s="694"/>
      <c r="BB184" s="695"/>
      <c r="BC184" s="695"/>
      <c r="BD184" s="695"/>
      <c r="BE184" s="694"/>
      <c r="BF184" s="695"/>
      <c r="BG184" s="695"/>
      <c r="BH184" s="695"/>
      <c r="BI184" s="694"/>
      <c r="BJ184" s="695"/>
      <c r="BK184" s="695"/>
      <c r="BL184" s="695"/>
      <c r="BM184" s="694"/>
      <c r="BN184" s="695"/>
      <c r="BO184" s="695"/>
      <c r="BP184" s="695"/>
      <c r="BQ184" s="694"/>
      <c r="BR184" s="695"/>
      <c r="BS184" s="695"/>
      <c r="BT184" s="695"/>
      <c r="BU184" s="695"/>
      <c r="BV184" s="695"/>
      <c r="BW184" s="695"/>
      <c r="BX184" s="695"/>
      <c r="BY184" s="695"/>
      <c r="BZ184" s="695"/>
      <c r="CA184" s="695"/>
      <c r="CB184" s="695"/>
      <c r="CC184" s="695"/>
      <c r="CD184" s="695"/>
      <c r="CE184" s="695"/>
      <c r="CF184" s="695"/>
      <c r="CG184" s="696"/>
      <c r="CH184" s="695"/>
      <c r="CI184" s="695"/>
      <c r="CJ184" s="695"/>
      <c r="CK184" s="696"/>
      <c r="CL184" s="695"/>
      <c r="CM184" s="695"/>
      <c r="CN184" s="695"/>
      <c r="CO184" s="696"/>
      <c r="CP184" s="697"/>
      <c r="CQ184" s="695"/>
      <c r="CR184" s="695"/>
      <c r="CS184" s="696"/>
      <c r="CT184" s="697"/>
      <c r="CU184" s="695"/>
      <c r="CV184" s="695"/>
      <c r="CW184" s="696"/>
      <c r="CX184" s="698"/>
      <c r="CY184" s="698"/>
      <c r="CZ184" s="698"/>
      <c r="DA184" s="698"/>
      <c r="DB184" s="698"/>
      <c r="DC184" s="698"/>
      <c r="DD184" s="698"/>
      <c r="DE184" s="698"/>
      <c r="DF184" s="698"/>
      <c r="DG184" s="698"/>
      <c r="DH184" s="698"/>
      <c r="DI184" s="698"/>
      <c r="DK184" s="699"/>
      <c r="DL184" s="699"/>
      <c r="DM184" s="699"/>
      <c r="DN184" s="699"/>
      <c r="DO184" s="699"/>
      <c r="DP184" s="699"/>
      <c r="DQ184" s="699"/>
      <c r="DR184" s="699"/>
      <c r="DS184" s="699"/>
      <c r="DT184" s="699"/>
      <c r="DU184" s="699"/>
      <c r="DV184" s="699"/>
      <c r="DW184" s="699"/>
      <c r="DX184" s="699"/>
      <c r="DY184" s="699"/>
      <c r="DZ184" s="699"/>
      <c r="EA184" s="699"/>
      <c r="EB184" s="700"/>
      <c r="EC184" s="699"/>
      <c r="ED184" s="699"/>
      <c r="EE184" s="699"/>
      <c r="EF184" s="699"/>
      <c r="EG184" s="700"/>
      <c r="EH184" s="700"/>
      <c r="EI184" s="700"/>
      <c r="EJ184" s="700"/>
      <c r="EK184" s="700"/>
      <c r="EL184" s="700"/>
      <c r="EM184" s="700"/>
      <c r="EN184" s="700"/>
      <c r="EO184" s="700"/>
      <c r="EP184" s="701"/>
    </row>
    <row r="185" spans="1:147" customFormat="1" ht="12.95">
      <c r="A185" s="473"/>
      <c r="H185" s="702" t="s">
        <v>1564</v>
      </c>
      <c r="I185" s="703" t="s">
        <v>577</v>
      </c>
      <c r="J185" s="359"/>
      <c r="K185" s="359"/>
      <c r="L185" s="359"/>
      <c r="M185" s="360"/>
      <c r="N185" s="704"/>
      <c r="O185" s="359"/>
      <c r="P185" s="359"/>
      <c r="Q185" s="360"/>
      <c r="R185" s="704"/>
      <c r="S185" s="359"/>
      <c r="T185" s="359"/>
      <c r="U185" s="360"/>
      <c r="V185" s="704"/>
      <c r="W185" s="359"/>
      <c r="X185" s="359"/>
      <c r="Y185" s="360"/>
      <c r="Z185" s="704"/>
      <c r="AA185" s="359"/>
      <c r="AB185" s="359"/>
      <c r="AC185" s="360"/>
      <c r="AD185" s="704"/>
      <c r="AE185" s="359"/>
      <c r="AF185" s="359"/>
      <c r="AG185" s="360"/>
      <c r="AH185" s="704"/>
      <c r="AI185" s="359"/>
      <c r="AJ185" s="359"/>
      <c r="AK185" s="360"/>
      <c r="AL185" s="704"/>
      <c r="AM185" s="359"/>
      <c r="AN185" s="359"/>
      <c r="AO185" s="360"/>
      <c r="AP185" s="704"/>
      <c r="AQ185" s="359"/>
      <c r="AR185" s="359"/>
      <c r="AS185" s="360"/>
      <c r="AT185" s="704"/>
      <c r="AU185" s="359"/>
      <c r="AV185" s="359"/>
      <c r="AW185" s="360"/>
      <c r="AX185" s="704"/>
      <c r="AY185" s="359"/>
      <c r="AZ185" s="359"/>
      <c r="BA185" s="360"/>
      <c r="BB185" s="704"/>
      <c r="BC185" s="359"/>
      <c r="BD185" s="359"/>
      <c r="BE185" s="360"/>
      <c r="BF185" s="704"/>
      <c r="BG185" s="359"/>
      <c r="BH185" s="359"/>
      <c r="BI185" s="360"/>
      <c r="BJ185" s="704"/>
      <c r="BK185" s="359"/>
      <c r="BL185" s="359"/>
      <c r="BM185" s="360"/>
      <c r="BN185" s="704"/>
      <c r="BO185" s="359"/>
      <c r="BP185" s="359"/>
      <c r="BQ185" s="360"/>
      <c r="BR185" s="704"/>
      <c r="BS185" s="359"/>
      <c r="BT185" s="359"/>
      <c r="BU185" s="360"/>
      <c r="BV185" s="359"/>
      <c r="BW185" s="359"/>
      <c r="BX185" s="359"/>
      <c r="BY185" s="360"/>
      <c r="BZ185" s="359"/>
      <c r="CA185" s="359"/>
      <c r="CB185" s="359"/>
      <c r="CC185" s="360"/>
      <c r="CD185" s="359"/>
      <c r="CE185" s="359"/>
      <c r="CF185" s="359"/>
      <c r="CG185" s="360"/>
      <c r="CH185" s="359"/>
      <c r="CI185" s="359"/>
      <c r="CJ185" s="359"/>
      <c r="CK185" s="360"/>
      <c r="CL185" s="359"/>
      <c r="CM185" s="359"/>
      <c r="CN185" s="359"/>
      <c r="CO185" s="360"/>
      <c r="CP185" s="704"/>
      <c r="CQ185" s="359"/>
      <c r="CR185" s="359"/>
      <c r="CS185" s="360"/>
      <c r="CT185" s="704"/>
      <c r="CU185" s="359"/>
      <c r="CV185" s="359"/>
      <c r="CW185" s="360"/>
      <c r="CX185" s="359"/>
      <c r="CY185" s="359"/>
      <c r="CZ185" s="359"/>
      <c r="DA185" s="360"/>
      <c r="DB185" s="359"/>
      <c r="DC185" s="359"/>
      <c r="DD185" s="359"/>
      <c r="DE185" s="360"/>
      <c r="DF185" s="359"/>
      <c r="DG185" s="359"/>
      <c r="DH185" s="359"/>
      <c r="DI185" s="360"/>
      <c r="DJ185" s="364"/>
      <c r="DK185" s="361"/>
      <c r="DL185" s="362"/>
      <c r="DM185" s="362"/>
      <c r="DN185" s="362"/>
      <c r="DO185" s="362"/>
      <c r="DP185" s="362"/>
      <c r="DQ185" s="362"/>
      <c r="DR185" s="362"/>
      <c r="DS185" s="362"/>
      <c r="DT185" s="705"/>
      <c r="DU185" s="705"/>
      <c r="DV185" s="705"/>
      <c r="DW185" s="705"/>
      <c r="DX185" s="705"/>
      <c r="DY185" s="705"/>
      <c r="DZ185" s="705"/>
      <c r="EA185" s="705"/>
      <c r="EB185" s="362"/>
      <c r="EC185" s="362"/>
      <c r="ED185" s="362"/>
      <c r="EE185" s="362"/>
      <c r="EF185" s="362"/>
      <c r="EG185" s="362"/>
      <c r="EH185" s="362"/>
      <c r="EI185" s="362"/>
      <c r="EJ185" s="362"/>
      <c r="EK185" s="362"/>
      <c r="EL185" s="362"/>
      <c r="EM185" s="362"/>
      <c r="EN185" s="362"/>
      <c r="EO185" s="362"/>
      <c r="EP185" s="706"/>
    </row>
    <row r="186" spans="1:147" ht="15" customHeight="1">
      <c r="A186" s="473"/>
      <c r="H186" s="316"/>
      <c r="I186" s="707" t="s">
        <v>1697</v>
      </c>
      <c r="J186" s="708"/>
      <c r="K186" s="708"/>
      <c r="L186" s="708"/>
      <c r="M186" s="709"/>
      <c r="N186" s="708"/>
      <c r="O186" s="708"/>
      <c r="P186" s="708"/>
      <c r="Q186" s="709"/>
      <c r="R186" s="708"/>
      <c r="S186" s="708"/>
      <c r="T186" s="708"/>
      <c r="U186" s="709"/>
      <c r="V186" s="708"/>
      <c r="W186" s="708"/>
      <c r="X186" s="708"/>
      <c r="Y186" s="709"/>
      <c r="Z186" s="708"/>
      <c r="AA186" s="708"/>
      <c r="AB186" s="708"/>
      <c r="AC186" s="709"/>
      <c r="AD186" s="708"/>
      <c r="AE186" s="708"/>
      <c r="AF186" s="708"/>
      <c r="AG186" s="709"/>
      <c r="AH186" s="708"/>
      <c r="AI186" s="708"/>
      <c r="AJ186" s="708"/>
      <c r="AK186" s="709"/>
      <c r="AL186" s="708"/>
      <c r="AM186" s="708"/>
      <c r="AN186" s="708"/>
      <c r="AO186" s="709"/>
      <c r="AP186" s="708"/>
      <c r="AQ186" s="708"/>
      <c r="AR186" s="708"/>
      <c r="AS186" s="709"/>
      <c r="AT186" s="708"/>
      <c r="AU186" s="708"/>
      <c r="AV186" s="708"/>
      <c r="AW186" s="709"/>
      <c r="AX186" s="708"/>
      <c r="AY186" s="708"/>
      <c r="AZ186" s="708"/>
      <c r="BA186" s="709"/>
      <c r="BB186" s="708"/>
      <c r="BC186" s="708"/>
      <c r="BD186" s="708"/>
      <c r="BE186" s="709"/>
      <c r="BF186" s="708"/>
      <c r="BG186" s="708"/>
      <c r="BH186" s="708"/>
      <c r="BI186" s="709"/>
      <c r="BJ186" s="708"/>
      <c r="BK186" s="708"/>
      <c r="BL186" s="708"/>
      <c r="BM186" s="709"/>
      <c r="BN186" s="708"/>
      <c r="BO186" s="708"/>
      <c r="BP186" s="708"/>
      <c r="BQ186" s="709"/>
      <c r="BR186" s="708"/>
      <c r="BS186" s="708"/>
      <c r="BT186" s="708"/>
      <c r="BU186" s="709"/>
      <c r="BV186" s="708"/>
      <c r="BW186" s="708"/>
      <c r="BX186" s="708"/>
      <c r="BY186" s="709"/>
      <c r="BZ186" s="708"/>
      <c r="CA186" s="708"/>
      <c r="CB186" s="708"/>
      <c r="CC186" s="709"/>
      <c r="CD186" s="708"/>
      <c r="CE186" s="708"/>
      <c r="CF186" s="708"/>
      <c r="CG186" s="709"/>
      <c r="CH186" s="708"/>
      <c r="CI186" s="708"/>
      <c r="CJ186" s="708"/>
      <c r="CK186" s="709"/>
      <c r="CL186" s="708"/>
      <c r="CM186" s="708"/>
      <c r="CN186" s="708"/>
      <c r="CO186" s="709"/>
      <c r="CP186" s="710"/>
      <c r="CQ186" s="708"/>
      <c r="CR186" s="708"/>
      <c r="CS186" s="709"/>
      <c r="CT186" s="710"/>
      <c r="CU186" s="708"/>
      <c r="CV186" s="708"/>
      <c r="CW186" s="709"/>
      <c r="CX186" s="708"/>
      <c r="CY186" s="708"/>
      <c r="CZ186" s="708"/>
      <c r="DA186" s="709"/>
      <c r="DB186" s="708"/>
      <c r="DC186" s="708"/>
      <c r="DD186" s="708"/>
      <c r="DE186" s="709"/>
      <c r="DF186" s="708"/>
      <c r="DG186" s="708"/>
      <c r="DH186" s="708"/>
      <c r="DI186" s="709"/>
      <c r="DJ186" s="350"/>
      <c r="DK186" s="710"/>
      <c r="DL186" s="708"/>
      <c r="DM186" s="708"/>
      <c r="DN186" s="708"/>
      <c r="DO186" s="708"/>
      <c r="DP186" s="708"/>
      <c r="DQ186" s="708"/>
      <c r="DR186" s="708"/>
      <c r="DS186" s="708"/>
      <c r="DT186" s="708"/>
      <c r="DU186" s="708"/>
      <c r="DV186" s="708"/>
      <c r="DW186" s="708"/>
      <c r="DX186" s="708"/>
      <c r="DY186" s="708"/>
      <c r="DZ186" s="708"/>
      <c r="EA186" s="708"/>
      <c r="EB186" s="708"/>
      <c r="EC186" s="708"/>
      <c r="ED186" s="708"/>
      <c r="EE186" s="708"/>
      <c r="EF186" s="708"/>
      <c r="EG186" s="708"/>
      <c r="EH186" s="708"/>
      <c r="EI186" s="708"/>
      <c r="EJ186" s="708"/>
      <c r="EK186" s="708"/>
      <c r="EL186" s="708"/>
      <c r="EM186" s="708"/>
      <c r="EN186" s="708"/>
      <c r="EO186" s="708"/>
      <c r="EP186" s="355"/>
      <c r="EQ186" s="356"/>
    </row>
    <row r="187" spans="1:147" s="390" customFormat="1" ht="15" customHeight="1">
      <c r="A187" s="385"/>
      <c r="B187"/>
      <c r="C187"/>
      <c r="D187"/>
      <c r="E187"/>
      <c r="F187"/>
      <c r="G187"/>
      <c r="I187" s="370" t="s">
        <v>300</v>
      </c>
      <c r="J187" s="399"/>
      <c r="K187" s="399"/>
      <c r="L187" s="399"/>
      <c r="M187" s="400"/>
      <c r="N187" s="399"/>
      <c r="O187" s="399"/>
      <c r="P187" s="399"/>
      <c r="Q187" s="400"/>
      <c r="R187" s="399"/>
      <c r="S187" s="399"/>
      <c r="T187" s="399"/>
      <c r="U187" s="400"/>
      <c r="V187" s="399"/>
      <c r="W187" s="399"/>
      <c r="X187" s="399"/>
      <c r="Y187" s="400"/>
      <c r="Z187" s="399"/>
      <c r="AA187" s="399"/>
      <c r="AB187" s="399"/>
      <c r="AC187" s="400"/>
      <c r="AD187" s="399"/>
      <c r="AE187" s="399"/>
      <c r="AF187" s="399"/>
      <c r="AG187" s="400"/>
      <c r="AH187" s="399"/>
      <c r="AI187" s="399"/>
      <c r="AJ187" s="399"/>
      <c r="AK187" s="400"/>
      <c r="AL187" s="399"/>
      <c r="AM187" s="399"/>
      <c r="AN187" s="399"/>
      <c r="AO187" s="400"/>
      <c r="AP187" s="399"/>
      <c r="AQ187" s="399"/>
      <c r="AR187" s="399"/>
      <c r="AS187" s="400"/>
      <c r="AT187" s="399"/>
      <c r="AU187" s="399"/>
      <c r="AV187" s="399"/>
      <c r="AW187" s="400"/>
      <c r="AX187" s="399"/>
      <c r="AY187" s="399"/>
      <c r="AZ187" s="399"/>
      <c r="BA187" s="400"/>
      <c r="BB187" s="376">
        <v>503</v>
      </c>
      <c r="BC187" s="376">
        <v>335</v>
      </c>
      <c r="BD187" s="376">
        <v>148</v>
      </c>
      <c r="BE187" s="485">
        <v>99</v>
      </c>
      <c r="BF187" s="376">
        <v>384</v>
      </c>
      <c r="BG187" s="376">
        <v>185</v>
      </c>
      <c r="BH187" s="376">
        <v>226</v>
      </c>
      <c r="BI187" s="485">
        <v>354</v>
      </c>
      <c r="BJ187" s="376">
        <v>456</v>
      </c>
      <c r="BK187" s="376">
        <v>324</v>
      </c>
      <c r="BL187" s="376">
        <v>56</v>
      </c>
      <c r="BM187" s="485">
        <v>174</v>
      </c>
      <c r="BN187" s="376">
        <v>293</v>
      </c>
      <c r="BO187" s="376">
        <v>204</v>
      </c>
      <c r="BP187" s="376">
        <v>-23</v>
      </c>
      <c r="BQ187" s="485">
        <v>361</v>
      </c>
      <c r="BR187" s="376">
        <v>394</v>
      </c>
      <c r="BS187" s="376">
        <v>212</v>
      </c>
      <c r="BT187" s="376">
        <v>127</v>
      </c>
      <c r="BU187" s="485">
        <v>159</v>
      </c>
      <c r="BV187" s="376">
        <v>363</v>
      </c>
      <c r="BW187" s="376">
        <v>151</v>
      </c>
      <c r="BX187" s="376">
        <v>199</v>
      </c>
      <c r="BY187" s="485">
        <v>253</v>
      </c>
      <c r="BZ187" s="376">
        <v>426</v>
      </c>
      <c r="CA187" s="376">
        <v>243</v>
      </c>
      <c r="CB187" s="376">
        <v>188</v>
      </c>
      <c r="CC187" s="485">
        <v>-584</v>
      </c>
      <c r="CD187" s="376">
        <v>500</v>
      </c>
      <c r="CE187" s="376">
        <v>402</v>
      </c>
      <c r="CF187" s="376">
        <v>260</v>
      </c>
      <c r="CG187" s="485">
        <v>650</v>
      </c>
      <c r="CH187" s="376">
        <v>390</v>
      </c>
      <c r="CI187" s="376">
        <v>328</v>
      </c>
      <c r="CJ187" s="376">
        <v>204</v>
      </c>
      <c r="CK187" s="485">
        <v>525</v>
      </c>
      <c r="CL187" s="376">
        <v>505</v>
      </c>
      <c r="CM187" s="376">
        <v>580</v>
      </c>
      <c r="CN187" s="376">
        <v>604</v>
      </c>
      <c r="CO187" s="485">
        <v>508</v>
      </c>
      <c r="CP187" s="487">
        <v>619</v>
      </c>
      <c r="CQ187" s="376">
        <v>876</v>
      </c>
      <c r="CR187" s="376">
        <v>639</v>
      </c>
      <c r="CS187" s="485">
        <v>960.4976021179923</v>
      </c>
      <c r="CT187" s="487">
        <v>305.04206261218957</v>
      </c>
      <c r="CU187" s="376">
        <v>358.53006528527516</v>
      </c>
      <c r="CV187" s="376">
        <v>602.85801679751648</v>
      </c>
      <c r="CW187" s="485">
        <v>1160.6804591270529</v>
      </c>
      <c r="CX187" s="386"/>
      <c r="CY187" s="386"/>
      <c r="CZ187" s="386"/>
      <c r="DA187" s="388"/>
      <c r="DB187" s="386"/>
      <c r="DC187" s="386"/>
      <c r="DD187" s="386"/>
      <c r="DE187" s="388"/>
      <c r="DF187" s="386"/>
      <c r="DG187" s="386"/>
      <c r="DH187" s="386"/>
      <c r="DI187" s="388"/>
      <c r="DJ187" s="374"/>
      <c r="DK187" s="411"/>
      <c r="DL187" s="399"/>
      <c r="DM187" s="399"/>
      <c r="DN187" s="399"/>
      <c r="DO187" s="399"/>
      <c r="DP187" s="399"/>
      <c r="DQ187" s="399"/>
      <c r="DR187" s="399"/>
      <c r="DS187" s="376">
        <v>-107</v>
      </c>
      <c r="DT187" s="376">
        <v>113</v>
      </c>
      <c r="DU187" s="376">
        <v>418</v>
      </c>
      <c r="DV187" s="325">
        <v>1085</v>
      </c>
      <c r="DW187" s="325">
        <v>1149</v>
      </c>
      <c r="DX187" s="325">
        <v>1010</v>
      </c>
      <c r="DY187" s="325">
        <v>835</v>
      </c>
      <c r="DZ187" s="325">
        <v>892</v>
      </c>
      <c r="EA187" s="325">
        <v>966</v>
      </c>
      <c r="EB187" s="325">
        <v>273</v>
      </c>
      <c r="EC187" s="376">
        <v>1812</v>
      </c>
      <c r="ED187" s="376">
        <v>1447</v>
      </c>
      <c r="EE187" s="376">
        <v>2197</v>
      </c>
      <c r="EF187" s="376">
        <v>3094.4976021179923</v>
      </c>
      <c r="EG187" s="376">
        <v>2427.1106038220341</v>
      </c>
      <c r="EH187" s="376">
        <v>3109.6601610367948</v>
      </c>
      <c r="EI187" s="376">
        <v>2903.7756029560996</v>
      </c>
      <c r="EJ187" s="376">
        <v>2629.3122979699237</v>
      </c>
      <c r="EK187" s="376">
        <v>3766.9024015991104</v>
      </c>
      <c r="EL187" s="376">
        <v>3488.7893962614949</v>
      </c>
      <c r="EM187" s="376">
        <v>3556.2684049057207</v>
      </c>
      <c r="EN187" s="376">
        <v>3460.2517746227913</v>
      </c>
      <c r="EO187" s="376">
        <v>4002.7444764876827</v>
      </c>
      <c r="EP187" s="389"/>
      <c r="EQ187" s="386"/>
    </row>
    <row r="188" spans="1:147" s="390" customFormat="1" ht="15" customHeight="1">
      <c r="A188" s="385"/>
      <c r="B188"/>
      <c r="C188"/>
      <c r="D188"/>
      <c r="E188"/>
      <c r="F188"/>
      <c r="G188"/>
      <c r="H188" s="386"/>
      <c r="I188" s="370" t="s">
        <v>1698</v>
      </c>
      <c r="J188" s="399"/>
      <c r="K188" s="399"/>
      <c r="L188" s="399"/>
      <c r="M188" s="400"/>
      <c r="N188" s="399"/>
      <c r="O188" s="399"/>
      <c r="P188" s="399"/>
      <c r="Q188" s="400"/>
      <c r="R188" s="399"/>
      <c r="S188" s="399"/>
      <c r="T188" s="399"/>
      <c r="U188" s="400"/>
      <c r="V188" s="399"/>
      <c r="W188" s="399"/>
      <c r="X188" s="399"/>
      <c r="Y188" s="400"/>
      <c r="Z188" s="399"/>
      <c r="AA188" s="399"/>
      <c r="AB188" s="399"/>
      <c r="AC188" s="400"/>
      <c r="AD188" s="399"/>
      <c r="AE188" s="399"/>
      <c r="AF188" s="399"/>
      <c r="AG188" s="400"/>
      <c r="AH188" s="399"/>
      <c r="AI188" s="399"/>
      <c r="AJ188" s="399"/>
      <c r="AK188" s="400"/>
      <c r="AL188" s="399"/>
      <c r="AM188" s="399"/>
      <c r="AN188" s="399"/>
      <c r="AO188" s="400"/>
      <c r="AP188" s="399"/>
      <c r="AQ188" s="399"/>
      <c r="AR188" s="399"/>
      <c r="AS188" s="400"/>
      <c r="AT188" s="399"/>
      <c r="AU188" s="399"/>
      <c r="AV188" s="399"/>
      <c r="AW188" s="400"/>
      <c r="AX188" s="399"/>
      <c r="AY188" s="399"/>
      <c r="AZ188" s="399"/>
      <c r="BA188" s="400"/>
      <c r="BB188" s="401">
        <v>150</v>
      </c>
      <c r="BC188" s="401">
        <v>-31</v>
      </c>
      <c r="BD188" s="401">
        <v>5</v>
      </c>
      <c r="BE188" s="402">
        <v>-49</v>
      </c>
      <c r="BF188" s="401">
        <v>65</v>
      </c>
      <c r="BG188" s="401">
        <v>-36</v>
      </c>
      <c r="BH188" s="401">
        <v>-9</v>
      </c>
      <c r="BI188" s="402">
        <v>-30</v>
      </c>
      <c r="BJ188" s="401">
        <v>140</v>
      </c>
      <c r="BK188" s="401">
        <v>69</v>
      </c>
      <c r="BL188" s="401">
        <v>-6</v>
      </c>
      <c r="BM188" s="402">
        <v>-18</v>
      </c>
      <c r="BN188" s="401">
        <v>6</v>
      </c>
      <c r="BO188" s="401">
        <v>-27</v>
      </c>
      <c r="BP188" s="401">
        <v>-36</v>
      </c>
      <c r="BQ188" s="402">
        <v>13</v>
      </c>
      <c r="BR188" s="401">
        <v>-3</v>
      </c>
      <c r="BS188" s="401">
        <v>23</v>
      </c>
      <c r="BT188" s="401">
        <v>-42</v>
      </c>
      <c r="BU188" s="402">
        <v>-5</v>
      </c>
      <c r="BV188" s="401">
        <v>-63</v>
      </c>
      <c r="BW188" s="401">
        <v>-52</v>
      </c>
      <c r="BX188" s="401">
        <v>-85</v>
      </c>
      <c r="BY188" s="402">
        <v>191</v>
      </c>
      <c r="BZ188" s="401">
        <v>-80</v>
      </c>
      <c r="CA188" s="401">
        <v>-23</v>
      </c>
      <c r="CB188" s="401">
        <v>-35</v>
      </c>
      <c r="CC188" s="402">
        <v>-43</v>
      </c>
      <c r="CD188" s="401">
        <v>29</v>
      </c>
      <c r="CE188" s="401">
        <v>66</v>
      </c>
      <c r="CF188" s="401">
        <v>80</v>
      </c>
      <c r="CG188" s="402">
        <v>-155</v>
      </c>
      <c r="CH188" s="401">
        <v>86</v>
      </c>
      <c r="CI188" s="401">
        <v>5</v>
      </c>
      <c r="CJ188" s="401">
        <v>9</v>
      </c>
      <c r="CK188" s="402">
        <v>-452</v>
      </c>
      <c r="CL188" s="401">
        <v>11</v>
      </c>
      <c r="CM188" s="401">
        <v>-8</v>
      </c>
      <c r="CN188" s="401">
        <v>-16</v>
      </c>
      <c r="CO188" s="402">
        <v>-81</v>
      </c>
      <c r="CP188" s="438">
        <v>3</v>
      </c>
      <c r="CQ188" s="401">
        <v>-49</v>
      </c>
      <c r="CR188" s="401">
        <v>-36</v>
      </c>
      <c r="CS188" s="372">
        <v>0</v>
      </c>
      <c r="CT188" s="373">
        <v>0</v>
      </c>
      <c r="CU188" s="325">
        <v>0</v>
      </c>
      <c r="CV188" s="325">
        <v>0</v>
      </c>
      <c r="CW188" s="372">
        <v>0</v>
      </c>
      <c r="CX188" s="399"/>
      <c r="CY188" s="399"/>
      <c r="CZ188" s="399"/>
      <c r="DA188" s="400"/>
      <c r="DB188" s="399"/>
      <c r="DC188" s="399"/>
      <c r="DD188" s="399"/>
      <c r="DE188" s="400"/>
      <c r="DF188" s="399"/>
      <c r="DG188" s="399"/>
      <c r="DH188" s="399"/>
      <c r="DI188" s="400"/>
      <c r="DJ188" s="454"/>
      <c r="DK188" s="411"/>
      <c r="DL188" s="399"/>
      <c r="DM188" s="399"/>
      <c r="DN188" s="399"/>
      <c r="DO188" s="399"/>
      <c r="DP188" s="399"/>
      <c r="DQ188" s="399"/>
      <c r="DR188" s="399"/>
      <c r="DS188" s="401">
        <v>-430</v>
      </c>
      <c r="DT188" s="401">
        <v>-256</v>
      </c>
      <c r="DU188" s="401">
        <v>-278</v>
      </c>
      <c r="DV188" s="325">
        <v>75</v>
      </c>
      <c r="DW188" s="325">
        <v>-10</v>
      </c>
      <c r="DX188" s="325">
        <v>185</v>
      </c>
      <c r="DY188" s="325">
        <v>-44</v>
      </c>
      <c r="DZ188" s="325">
        <v>-27</v>
      </c>
      <c r="EA188" s="325">
        <v>-9</v>
      </c>
      <c r="EB188" s="325">
        <v>-181</v>
      </c>
      <c r="EC188" s="325">
        <v>20</v>
      </c>
      <c r="ED188" s="325">
        <v>-352</v>
      </c>
      <c r="EE188" s="325">
        <v>-94</v>
      </c>
      <c r="EF188" s="325">
        <v>-82</v>
      </c>
      <c r="EG188" s="376">
        <v>0</v>
      </c>
      <c r="EH188" s="325">
        <v>0</v>
      </c>
      <c r="EI188" s="325">
        <v>0</v>
      </c>
      <c r="EJ188" s="325">
        <v>0</v>
      </c>
      <c r="EK188" s="325">
        <v>0</v>
      </c>
      <c r="EL188" s="325">
        <v>0</v>
      </c>
      <c r="EM188" s="325">
        <v>0</v>
      </c>
      <c r="EN188" s="325">
        <v>0</v>
      </c>
      <c r="EO188" s="325">
        <v>0</v>
      </c>
      <c r="EP188" s="389"/>
      <c r="EQ188" s="386"/>
    </row>
    <row r="189" spans="1:147" s="390" customFormat="1" ht="15" customHeight="1">
      <c r="A189" s="385"/>
      <c r="B189"/>
      <c r="C189"/>
      <c r="D189"/>
      <c r="E189"/>
      <c r="F189"/>
      <c r="G189"/>
      <c r="I189" s="370" t="s">
        <v>1699</v>
      </c>
      <c r="J189" s="399"/>
      <c r="K189" s="399"/>
      <c r="L189" s="399"/>
      <c r="M189" s="400"/>
      <c r="N189" s="399"/>
      <c r="O189" s="399"/>
      <c r="P189" s="399"/>
      <c r="Q189" s="400"/>
      <c r="R189" s="399"/>
      <c r="S189" s="399"/>
      <c r="T189" s="399"/>
      <c r="U189" s="400"/>
      <c r="V189" s="399"/>
      <c r="W189" s="399"/>
      <c r="X189" s="399"/>
      <c r="Y189" s="400"/>
      <c r="Z189" s="399"/>
      <c r="AA189" s="399"/>
      <c r="AB189" s="399"/>
      <c r="AC189" s="400"/>
      <c r="AD189" s="399"/>
      <c r="AE189" s="399"/>
      <c r="AF189" s="399"/>
      <c r="AG189" s="400"/>
      <c r="AH189" s="399"/>
      <c r="AI189" s="399"/>
      <c r="AJ189" s="399"/>
      <c r="AK189" s="400"/>
      <c r="AL189" s="399"/>
      <c r="AM189" s="399"/>
      <c r="AN189" s="399"/>
      <c r="AO189" s="400"/>
      <c r="AP189" s="399"/>
      <c r="AQ189" s="399"/>
      <c r="AR189" s="399"/>
      <c r="AS189" s="400"/>
      <c r="AT189" s="399"/>
      <c r="AU189" s="399"/>
      <c r="AV189" s="399"/>
      <c r="AW189" s="400"/>
      <c r="AX189" s="399"/>
      <c r="AY189" s="399"/>
      <c r="AZ189" s="399"/>
      <c r="BA189" s="400"/>
      <c r="BB189" s="401">
        <v>0</v>
      </c>
      <c r="BC189" s="401">
        <v>0</v>
      </c>
      <c r="BD189" s="401">
        <v>0</v>
      </c>
      <c r="BE189" s="402">
        <v>0</v>
      </c>
      <c r="BF189" s="401">
        <v>0</v>
      </c>
      <c r="BG189" s="401">
        <v>0</v>
      </c>
      <c r="BH189" s="401">
        <v>0</v>
      </c>
      <c r="BI189" s="402">
        <v>0</v>
      </c>
      <c r="BJ189" s="401">
        <v>0</v>
      </c>
      <c r="BK189" s="401">
        <v>0</v>
      </c>
      <c r="BL189" s="401">
        <v>0</v>
      </c>
      <c r="BM189" s="402">
        <v>0</v>
      </c>
      <c r="BN189" s="401">
        <v>9</v>
      </c>
      <c r="BO189" s="401">
        <v>11</v>
      </c>
      <c r="BP189" s="401">
        <v>13</v>
      </c>
      <c r="BQ189" s="402">
        <v>6</v>
      </c>
      <c r="BR189" s="401">
        <v>6</v>
      </c>
      <c r="BS189" s="401">
        <v>6</v>
      </c>
      <c r="BT189" s="401">
        <v>4</v>
      </c>
      <c r="BU189" s="402">
        <v>27</v>
      </c>
      <c r="BV189" s="401">
        <v>11</v>
      </c>
      <c r="BW189" s="401">
        <v>8</v>
      </c>
      <c r="BX189" s="401">
        <v>10</v>
      </c>
      <c r="BY189" s="402">
        <v>13</v>
      </c>
      <c r="BZ189" s="401">
        <v>1</v>
      </c>
      <c r="CA189" s="401">
        <v>6</v>
      </c>
      <c r="CB189" s="401">
        <v>2</v>
      </c>
      <c r="CC189" s="402">
        <v>24</v>
      </c>
      <c r="CD189" s="401">
        <v>0</v>
      </c>
      <c r="CE189" s="401">
        <v>0</v>
      </c>
      <c r="CF189" s="401">
        <v>0</v>
      </c>
      <c r="CG189" s="402">
        <v>6</v>
      </c>
      <c r="CH189" s="401">
        <v>0</v>
      </c>
      <c r="CI189" s="401">
        <v>0</v>
      </c>
      <c r="CJ189" s="401">
        <v>0</v>
      </c>
      <c r="CK189" s="402">
        <v>6</v>
      </c>
      <c r="CL189" s="401">
        <v>0</v>
      </c>
      <c r="CM189" s="401">
        <v>0</v>
      </c>
      <c r="CN189" s="401">
        <v>0</v>
      </c>
      <c r="CO189" s="402">
        <v>0</v>
      </c>
      <c r="CP189" s="438">
        <v>0</v>
      </c>
      <c r="CQ189" s="401">
        <v>0</v>
      </c>
      <c r="CR189" s="401">
        <v>0</v>
      </c>
      <c r="CS189" s="402">
        <v>0</v>
      </c>
      <c r="CT189" s="373">
        <v>0</v>
      </c>
      <c r="CU189" s="325">
        <v>0</v>
      </c>
      <c r="CV189" s="325">
        <v>0</v>
      </c>
      <c r="CW189" s="402">
        <v>0</v>
      </c>
      <c r="CX189" s="399"/>
      <c r="CY189" s="399"/>
      <c r="CZ189" s="399"/>
      <c r="DA189" s="400"/>
      <c r="DB189" s="399"/>
      <c r="DC189" s="399"/>
      <c r="DD189" s="399"/>
      <c r="DE189" s="400"/>
      <c r="DF189" s="399"/>
      <c r="DG189" s="399"/>
      <c r="DH189" s="399"/>
      <c r="DI189" s="400"/>
      <c r="DJ189" s="454"/>
      <c r="DK189" s="411"/>
      <c r="DL189" s="399"/>
      <c r="DM189" s="399"/>
      <c r="DN189" s="399"/>
      <c r="DO189" s="399"/>
      <c r="DP189" s="399"/>
      <c r="DQ189" s="399"/>
      <c r="DR189" s="399"/>
      <c r="DS189" s="401">
        <v>0</v>
      </c>
      <c r="DT189" s="401">
        <v>0</v>
      </c>
      <c r="DU189" s="401">
        <v>0</v>
      </c>
      <c r="DV189" s="325">
        <v>0</v>
      </c>
      <c r="DW189" s="325">
        <v>0</v>
      </c>
      <c r="DX189" s="325">
        <v>0</v>
      </c>
      <c r="DY189" s="325">
        <v>39</v>
      </c>
      <c r="DZ189" s="325">
        <v>43</v>
      </c>
      <c r="EA189" s="325">
        <v>42</v>
      </c>
      <c r="EB189" s="325">
        <v>33</v>
      </c>
      <c r="EC189" s="325">
        <v>6</v>
      </c>
      <c r="ED189" s="401">
        <v>6</v>
      </c>
      <c r="EE189" s="401">
        <v>0</v>
      </c>
      <c r="EF189" s="401">
        <v>0</v>
      </c>
      <c r="EG189" s="401">
        <v>0</v>
      </c>
      <c r="EH189" s="401">
        <v>0</v>
      </c>
      <c r="EI189" s="401">
        <v>0</v>
      </c>
      <c r="EJ189" s="401">
        <v>0</v>
      </c>
      <c r="EK189" s="401">
        <v>0</v>
      </c>
      <c r="EL189" s="401">
        <v>0</v>
      </c>
      <c r="EM189" s="401">
        <v>0</v>
      </c>
      <c r="EN189" s="401">
        <v>0</v>
      </c>
      <c r="EO189" s="401">
        <v>0</v>
      </c>
      <c r="EP189" s="389"/>
      <c r="EQ189" s="386"/>
    </row>
    <row r="190" spans="1:147" s="390" customFormat="1" ht="15" customHeight="1">
      <c r="A190" s="385"/>
      <c r="B190"/>
      <c r="C190"/>
      <c r="D190"/>
      <c r="E190"/>
      <c r="F190"/>
      <c r="G190"/>
      <c r="I190" s="370" t="s">
        <v>1700</v>
      </c>
      <c r="J190" s="399"/>
      <c r="K190" s="399"/>
      <c r="L190" s="399"/>
      <c r="M190" s="400"/>
      <c r="N190" s="399"/>
      <c r="O190" s="399"/>
      <c r="P190" s="399"/>
      <c r="Q190" s="400"/>
      <c r="R190" s="399"/>
      <c r="S190" s="399"/>
      <c r="T190" s="399"/>
      <c r="U190" s="400"/>
      <c r="V190" s="399"/>
      <c r="W190" s="399"/>
      <c r="X190" s="399"/>
      <c r="Y190" s="400"/>
      <c r="Z190" s="399"/>
      <c r="AA190" s="399"/>
      <c r="AB190" s="399"/>
      <c r="AC190" s="400"/>
      <c r="AD190" s="399"/>
      <c r="AE190" s="399"/>
      <c r="AF190" s="399"/>
      <c r="AG190" s="400"/>
      <c r="AH190" s="399"/>
      <c r="AI190" s="399"/>
      <c r="AJ190" s="399"/>
      <c r="AK190" s="400"/>
      <c r="AL190" s="399"/>
      <c r="AM190" s="399"/>
      <c r="AN190" s="399"/>
      <c r="AO190" s="400"/>
      <c r="AP190" s="399"/>
      <c r="AQ190" s="399"/>
      <c r="AR190" s="399"/>
      <c r="AS190" s="400"/>
      <c r="AT190" s="399"/>
      <c r="AU190" s="399"/>
      <c r="AV190" s="399"/>
      <c r="AW190" s="400"/>
      <c r="AX190" s="399"/>
      <c r="AY190" s="399"/>
      <c r="AZ190" s="399"/>
      <c r="BA190" s="400"/>
      <c r="BB190" s="401">
        <v>26</v>
      </c>
      <c r="BC190" s="401">
        <v>26</v>
      </c>
      <c r="BD190" s="401">
        <v>25</v>
      </c>
      <c r="BE190" s="402">
        <v>71</v>
      </c>
      <c r="BF190" s="401">
        <v>23</v>
      </c>
      <c r="BG190" s="401">
        <v>22</v>
      </c>
      <c r="BH190" s="401">
        <v>24</v>
      </c>
      <c r="BI190" s="402">
        <v>51</v>
      </c>
      <c r="BJ190" s="401">
        <v>24</v>
      </c>
      <c r="BK190" s="401">
        <v>23</v>
      </c>
      <c r="BL190" s="401">
        <v>21</v>
      </c>
      <c r="BM190" s="402">
        <v>40</v>
      </c>
      <c r="BN190" s="401">
        <v>19</v>
      </c>
      <c r="BO190" s="401">
        <v>19</v>
      </c>
      <c r="BP190" s="401">
        <v>23</v>
      </c>
      <c r="BQ190" s="402">
        <v>29</v>
      </c>
      <c r="BR190" s="401">
        <v>20</v>
      </c>
      <c r="BS190" s="401">
        <v>20</v>
      </c>
      <c r="BT190" s="401">
        <v>25</v>
      </c>
      <c r="BU190" s="402">
        <v>30</v>
      </c>
      <c r="BV190" s="401">
        <v>107</v>
      </c>
      <c r="BW190" s="401">
        <v>234</v>
      </c>
      <c r="BX190" s="401">
        <v>243</v>
      </c>
      <c r="BY190" s="402">
        <v>245</v>
      </c>
      <c r="BZ190" s="401">
        <v>224</v>
      </c>
      <c r="CA190" s="401">
        <v>226</v>
      </c>
      <c r="CB190" s="401">
        <v>220</v>
      </c>
      <c r="CC190" s="402">
        <v>218</v>
      </c>
      <c r="CD190" s="401">
        <v>155</v>
      </c>
      <c r="CE190" s="401">
        <v>112</v>
      </c>
      <c r="CF190" s="401">
        <v>118</v>
      </c>
      <c r="CG190" s="402">
        <v>124</v>
      </c>
      <c r="CH190" s="401">
        <v>87</v>
      </c>
      <c r="CI190" s="401">
        <v>79</v>
      </c>
      <c r="CJ190" s="401">
        <v>80</v>
      </c>
      <c r="CK190" s="402">
        <v>82</v>
      </c>
      <c r="CL190" s="401">
        <v>62</v>
      </c>
      <c r="CM190" s="401">
        <v>44</v>
      </c>
      <c r="CN190" s="401">
        <v>46</v>
      </c>
      <c r="CO190" s="402">
        <v>45</v>
      </c>
      <c r="CP190" s="438">
        <v>33</v>
      </c>
      <c r="CQ190" s="401">
        <v>28</v>
      </c>
      <c r="CR190" s="401">
        <v>27</v>
      </c>
      <c r="CS190" s="372">
        <v>38.878770819201982</v>
      </c>
      <c r="CT190" s="373">
        <v>28.239906061051261</v>
      </c>
      <c r="CU190" s="325">
        <v>26.642049991120743</v>
      </c>
      <c r="CV190" s="325">
        <v>40.046409104251275</v>
      </c>
      <c r="CW190" s="372">
        <v>66.098724329180214</v>
      </c>
      <c r="CX190" s="386"/>
      <c r="CY190" s="386"/>
      <c r="CZ190" s="386"/>
      <c r="DA190" s="388"/>
      <c r="DB190" s="386"/>
      <c r="DC190" s="386"/>
      <c r="DD190" s="386"/>
      <c r="DE190" s="388"/>
      <c r="DF190" s="386"/>
      <c r="DG190" s="386"/>
      <c r="DH190" s="386"/>
      <c r="DI190" s="388"/>
      <c r="DJ190" s="374"/>
      <c r="DK190" s="411"/>
      <c r="DL190" s="399"/>
      <c r="DM190" s="399"/>
      <c r="DN190" s="399"/>
      <c r="DO190" s="399"/>
      <c r="DP190" s="399"/>
      <c r="DQ190" s="399"/>
      <c r="DR190" s="399"/>
      <c r="DS190" s="401">
        <v>385</v>
      </c>
      <c r="DT190" s="401">
        <v>347</v>
      </c>
      <c r="DU190" s="401">
        <v>198</v>
      </c>
      <c r="DV190" s="325">
        <v>148</v>
      </c>
      <c r="DW190" s="325">
        <v>120</v>
      </c>
      <c r="DX190" s="325">
        <v>108</v>
      </c>
      <c r="DY190" s="325">
        <v>90</v>
      </c>
      <c r="DZ190" s="325">
        <v>95</v>
      </c>
      <c r="EA190" s="325">
        <v>829</v>
      </c>
      <c r="EB190" s="325">
        <v>888</v>
      </c>
      <c r="EC190" s="325">
        <v>509</v>
      </c>
      <c r="ED190" s="325">
        <v>328</v>
      </c>
      <c r="EE190" s="325">
        <v>197</v>
      </c>
      <c r="EF190" s="325">
        <v>126.87877081920197</v>
      </c>
      <c r="EG190" s="325">
        <v>161.02708948560348</v>
      </c>
      <c r="EH190" s="325">
        <v>178.43913293223679</v>
      </c>
      <c r="EI190" s="325">
        <v>165.75922207317078</v>
      </c>
      <c r="EJ190" s="325">
        <v>159.00567642373034</v>
      </c>
      <c r="EK190" s="325">
        <v>169.48401748842389</v>
      </c>
      <c r="EL190" s="325">
        <v>163.47862903266423</v>
      </c>
      <c r="EM190" s="325">
        <v>164.57788837296641</v>
      </c>
      <c r="EN190" s="325">
        <v>163.6826514701832</v>
      </c>
      <c r="EO190" s="325">
        <v>176.20245252308914</v>
      </c>
      <c r="EP190" s="389"/>
      <c r="EQ190" s="386"/>
    </row>
    <row r="191" spans="1:147" s="390" customFormat="1" ht="15" customHeight="1">
      <c r="A191" s="385"/>
      <c r="B191"/>
      <c r="C191"/>
      <c r="D191"/>
      <c r="E191"/>
      <c r="F191"/>
      <c r="G191"/>
      <c r="I191" s="370" t="s">
        <v>1701</v>
      </c>
      <c r="J191" s="399"/>
      <c r="K191" s="399"/>
      <c r="L191" s="399"/>
      <c r="M191" s="400"/>
      <c r="N191" s="399"/>
      <c r="O191" s="399"/>
      <c r="P191" s="399"/>
      <c r="Q191" s="400"/>
      <c r="R191" s="399"/>
      <c r="S191" s="399"/>
      <c r="T191" s="399"/>
      <c r="U191" s="400"/>
      <c r="V191" s="399"/>
      <c r="W191" s="399"/>
      <c r="X191" s="399"/>
      <c r="Y191" s="400"/>
      <c r="Z191" s="399"/>
      <c r="AA191" s="399"/>
      <c r="AB191" s="399"/>
      <c r="AC191" s="400"/>
      <c r="AD191" s="399"/>
      <c r="AE191" s="399"/>
      <c r="AF191" s="399"/>
      <c r="AG191" s="400"/>
      <c r="AH191" s="399"/>
      <c r="AI191" s="399"/>
      <c r="AJ191" s="399"/>
      <c r="AK191" s="400"/>
      <c r="AL191" s="399"/>
      <c r="AM191" s="399"/>
      <c r="AN191" s="399"/>
      <c r="AO191" s="400"/>
      <c r="AP191" s="399"/>
      <c r="AQ191" s="399"/>
      <c r="AR191" s="399"/>
      <c r="AS191" s="400"/>
      <c r="AT191" s="399"/>
      <c r="AU191" s="399"/>
      <c r="AV191" s="399"/>
      <c r="AW191" s="400"/>
      <c r="AX191" s="399"/>
      <c r="AY191" s="399"/>
      <c r="AZ191" s="399"/>
      <c r="BA191" s="400"/>
      <c r="BB191" s="401">
        <v>0</v>
      </c>
      <c r="BC191" s="401">
        <v>0</v>
      </c>
      <c r="BD191" s="401">
        <v>1</v>
      </c>
      <c r="BE191" s="402">
        <v>3</v>
      </c>
      <c r="BF191" s="401">
        <v>0</v>
      </c>
      <c r="BG191" s="401">
        <v>0</v>
      </c>
      <c r="BH191" s="401">
        <v>0</v>
      </c>
      <c r="BI191" s="402">
        <v>1</v>
      </c>
      <c r="BJ191" s="401">
        <v>0</v>
      </c>
      <c r="BK191" s="401">
        <v>0</v>
      </c>
      <c r="BL191" s="401">
        <v>0</v>
      </c>
      <c r="BM191" s="402">
        <v>0</v>
      </c>
      <c r="BN191" s="401">
        <v>0</v>
      </c>
      <c r="BO191" s="401">
        <v>0</v>
      </c>
      <c r="BP191" s="401">
        <v>0</v>
      </c>
      <c r="BQ191" s="402">
        <v>1</v>
      </c>
      <c r="BR191" s="401">
        <v>0</v>
      </c>
      <c r="BS191" s="401">
        <v>0</v>
      </c>
      <c r="BT191" s="401">
        <v>0</v>
      </c>
      <c r="BU191" s="402">
        <v>0</v>
      </c>
      <c r="BV191" s="401">
        <v>0</v>
      </c>
      <c r="BW191" s="401">
        <v>0</v>
      </c>
      <c r="BX191" s="401">
        <v>0</v>
      </c>
      <c r="BY191" s="402">
        <v>0</v>
      </c>
      <c r="BZ191" s="401">
        <v>0</v>
      </c>
      <c r="CA191" s="401">
        <v>0</v>
      </c>
      <c r="CB191" s="401">
        <v>0</v>
      </c>
      <c r="CC191" s="402">
        <v>0</v>
      </c>
      <c r="CD191" s="401">
        <v>0</v>
      </c>
      <c r="CE191" s="401">
        <v>0</v>
      </c>
      <c r="CF191" s="401">
        <v>0</v>
      </c>
      <c r="CG191" s="402">
        <v>0</v>
      </c>
      <c r="CH191" s="401">
        <v>0</v>
      </c>
      <c r="CI191" s="401">
        <v>0</v>
      </c>
      <c r="CJ191" s="401">
        <v>0</v>
      </c>
      <c r="CK191" s="402">
        <v>0</v>
      </c>
      <c r="CL191" s="401">
        <v>0</v>
      </c>
      <c r="CM191" s="401">
        <v>0</v>
      </c>
      <c r="CN191" s="401">
        <v>0</v>
      </c>
      <c r="CO191" s="402">
        <v>0</v>
      </c>
      <c r="CP191" s="438">
        <v>0</v>
      </c>
      <c r="CQ191" s="401">
        <v>0</v>
      </c>
      <c r="CR191" s="401">
        <v>0</v>
      </c>
      <c r="CS191" s="372">
        <v>0</v>
      </c>
      <c r="CT191" s="373">
        <v>0</v>
      </c>
      <c r="CU191" s="325">
        <v>0</v>
      </c>
      <c r="CV191" s="325">
        <v>0</v>
      </c>
      <c r="CW191" s="372">
        <v>0</v>
      </c>
      <c r="CX191" s="386"/>
      <c r="CY191" s="386"/>
      <c r="CZ191" s="386"/>
      <c r="DA191" s="388"/>
      <c r="DB191" s="386"/>
      <c r="DC191" s="386"/>
      <c r="DD191" s="386"/>
      <c r="DE191" s="388"/>
      <c r="DF191" s="386"/>
      <c r="DG191" s="386"/>
      <c r="DH191" s="386"/>
      <c r="DI191" s="388"/>
      <c r="DJ191" s="374"/>
      <c r="DK191" s="411"/>
      <c r="DL191" s="399"/>
      <c r="DM191" s="399"/>
      <c r="DN191" s="399"/>
      <c r="DO191" s="399"/>
      <c r="DP191" s="399"/>
      <c r="DQ191" s="399"/>
      <c r="DR191" s="399"/>
      <c r="DS191" s="401">
        <v>1</v>
      </c>
      <c r="DT191" s="401">
        <v>2</v>
      </c>
      <c r="DU191" s="401">
        <v>1</v>
      </c>
      <c r="DV191" s="325">
        <v>4</v>
      </c>
      <c r="DW191" s="325">
        <v>1</v>
      </c>
      <c r="DX191" s="325">
        <v>0</v>
      </c>
      <c r="DY191" s="325">
        <v>1</v>
      </c>
      <c r="DZ191" s="325">
        <v>0</v>
      </c>
      <c r="EA191" s="325">
        <v>0</v>
      </c>
      <c r="EB191" s="325">
        <v>0</v>
      </c>
      <c r="EC191" s="325">
        <v>0</v>
      </c>
      <c r="ED191" s="325">
        <v>0</v>
      </c>
      <c r="EE191" s="325">
        <v>0</v>
      </c>
      <c r="EF191" s="325">
        <v>0</v>
      </c>
      <c r="EG191" s="325">
        <v>0</v>
      </c>
      <c r="EH191" s="325">
        <v>0</v>
      </c>
      <c r="EI191" s="325">
        <v>0</v>
      </c>
      <c r="EJ191" s="325">
        <v>0</v>
      </c>
      <c r="EK191" s="325">
        <v>0</v>
      </c>
      <c r="EL191" s="325">
        <v>0</v>
      </c>
      <c r="EM191" s="325">
        <v>0</v>
      </c>
      <c r="EN191" s="325">
        <v>0</v>
      </c>
      <c r="EO191" s="325">
        <v>0</v>
      </c>
      <c r="EP191" s="389"/>
      <c r="EQ191" s="386"/>
    </row>
    <row r="192" spans="1:147" s="390" customFormat="1" ht="15" customHeight="1">
      <c r="A192" s="385"/>
      <c r="B192"/>
      <c r="C192"/>
      <c r="D192"/>
      <c r="E192"/>
      <c r="F192"/>
      <c r="G192"/>
      <c r="I192" s="370" t="s">
        <v>1702</v>
      </c>
      <c r="J192" s="399"/>
      <c r="K192" s="399"/>
      <c r="L192" s="399"/>
      <c r="M192" s="400"/>
      <c r="N192" s="399"/>
      <c r="O192" s="399"/>
      <c r="P192" s="399"/>
      <c r="Q192" s="400"/>
      <c r="R192" s="399"/>
      <c r="S192" s="399"/>
      <c r="T192" s="399"/>
      <c r="U192" s="400"/>
      <c r="V192" s="399"/>
      <c r="W192" s="399"/>
      <c r="X192" s="399"/>
      <c r="Y192" s="400"/>
      <c r="Z192" s="399"/>
      <c r="AA192" s="399"/>
      <c r="AB192" s="399"/>
      <c r="AC192" s="400"/>
      <c r="AD192" s="399"/>
      <c r="AE192" s="399"/>
      <c r="AF192" s="399"/>
      <c r="AG192" s="400"/>
      <c r="AH192" s="399"/>
      <c r="AI192" s="399"/>
      <c r="AJ192" s="399"/>
      <c r="AK192" s="400"/>
      <c r="AL192" s="399"/>
      <c r="AM192" s="399"/>
      <c r="AN192" s="399"/>
      <c r="AO192" s="400"/>
      <c r="AP192" s="399"/>
      <c r="AQ192" s="399"/>
      <c r="AR192" s="399"/>
      <c r="AS192" s="400"/>
      <c r="AT192" s="399"/>
      <c r="AU192" s="399"/>
      <c r="AV192" s="399"/>
      <c r="AW192" s="400"/>
      <c r="AX192" s="399"/>
      <c r="AY192" s="399"/>
      <c r="AZ192" s="399"/>
      <c r="BA192" s="400"/>
      <c r="BB192" s="401">
        <v>69</v>
      </c>
      <c r="BC192" s="401">
        <v>55</v>
      </c>
      <c r="BD192" s="401">
        <v>27</v>
      </c>
      <c r="BE192" s="402">
        <v>136</v>
      </c>
      <c r="BF192" s="401">
        <v>30</v>
      </c>
      <c r="BG192" s="401">
        <v>72</v>
      </c>
      <c r="BH192" s="401">
        <v>21</v>
      </c>
      <c r="BI192" s="402">
        <v>85</v>
      </c>
      <c r="BJ192" s="401">
        <v>83</v>
      </c>
      <c r="BK192" s="401">
        <v>43</v>
      </c>
      <c r="BL192" s="401">
        <v>14</v>
      </c>
      <c r="BM192" s="402">
        <v>67</v>
      </c>
      <c r="BN192" s="401">
        <v>51</v>
      </c>
      <c r="BO192" s="401">
        <v>46</v>
      </c>
      <c r="BP192" s="401">
        <v>34</v>
      </c>
      <c r="BQ192" s="402">
        <v>125</v>
      </c>
      <c r="BR192" s="401">
        <v>142</v>
      </c>
      <c r="BS192" s="401">
        <v>83</v>
      </c>
      <c r="BT192" s="401">
        <v>78</v>
      </c>
      <c r="BU192" s="402">
        <v>96</v>
      </c>
      <c r="BV192" s="401">
        <v>150</v>
      </c>
      <c r="BW192" s="401">
        <v>115</v>
      </c>
      <c r="BX192" s="401">
        <v>-17</v>
      </c>
      <c r="BY192" s="402">
        <v>73</v>
      </c>
      <c r="BZ192" s="401">
        <v>89</v>
      </c>
      <c r="CA192" s="401">
        <v>79</v>
      </c>
      <c r="CB192" s="401">
        <v>34</v>
      </c>
      <c r="CC192" s="402">
        <v>109</v>
      </c>
      <c r="CD192" s="401">
        <v>150</v>
      </c>
      <c r="CE192" s="401">
        <v>56</v>
      </c>
      <c r="CF192" s="401">
        <v>32</v>
      </c>
      <c r="CG192" s="402">
        <v>251</v>
      </c>
      <c r="CH192" s="401">
        <v>104</v>
      </c>
      <c r="CI192" s="401">
        <v>49</v>
      </c>
      <c r="CJ192" s="401">
        <v>10</v>
      </c>
      <c r="CK192" s="402">
        <v>62</v>
      </c>
      <c r="CL192" s="401">
        <v>77</v>
      </c>
      <c r="CM192" s="401">
        <v>28</v>
      </c>
      <c r="CN192" s="401">
        <v>36</v>
      </c>
      <c r="CO192" s="402">
        <v>108</v>
      </c>
      <c r="CP192" s="438">
        <v>106</v>
      </c>
      <c r="CQ192" s="401">
        <v>81</v>
      </c>
      <c r="CR192" s="401">
        <v>69</v>
      </c>
      <c r="CS192" s="372">
        <v>0</v>
      </c>
      <c r="CT192" s="373">
        <v>0</v>
      </c>
      <c r="CU192" s="325">
        <v>0</v>
      </c>
      <c r="CV192" s="325">
        <v>0</v>
      </c>
      <c r="CW192" s="372">
        <v>0</v>
      </c>
      <c r="CX192" s="386"/>
      <c r="CY192" s="386"/>
      <c r="CZ192" s="386"/>
      <c r="DA192" s="388"/>
      <c r="DB192" s="386"/>
      <c r="DC192" s="386"/>
      <c r="DD192" s="386"/>
      <c r="DE192" s="388"/>
      <c r="DF192" s="386"/>
      <c r="DG192" s="386"/>
      <c r="DH192" s="386"/>
      <c r="DI192" s="388"/>
      <c r="DJ192" s="374"/>
      <c r="DK192" s="411"/>
      <c r="DL192" s="399"/>
      <c r="DM192" s="399"/>
      <c r="DN192" s="399"/>
      <c r="DO192" s="399"/>
      <c r="DP192" s="399"/>
      <c r="DQ192" s="399"/>
      <c r="DR192" s="399"/>
      <c r="DS192" s="401">
        <v>176</v>
      </c>
      <c r="DT192" s="401">
        <v>281</v>
      </c>
      <c r="DU192" s="401">
        <v>319</v>
      </c>
      <c r="DV192" s="325">
        <v>287</v>
      </c>
      <c r="DW192" s="325">
        <v>208</v>
      </c>
      <c r="DX192" s="325">
        <v>207</v>
      </c>
      <c r="DY192" s="325">
        <v>256</v>
      </c>
      <c r="DZ192" s="325">
        <v>399</v>
      </c>
      <c r="EA192" s="325">
        <v>321</v>
      </c>
      <c r="EB192" s="325">
        <v>311</v>
      </c>
      <c r="EC192" s="325">
        <v>489</v>
      </c>
      <c r="ED192" s="325">
        <v>225</v>
      </c>
      <c r="EE192" s="325">
        <v>249</v>
      </c>
      <c r="EF192" s="325">
        <v>256</v>
      </c>
      <c r="EG192" s="325">
        <v>0</v>
      </c>
      <c r="EH192" s="325">
        <v>0</v>
      </c>
      <c r="EI192" s="325">
        <v>0</v>
      </c>
      <c r="EJ192" s="325">
        <v>0</v>
      </c>
      <c r="EK192" s="325">
        <v>0</v>
      </c>
      <c r="EL192" s="325">
        <v>0</v>
      </c>
      <c r="EM192" s="325">
        <v>0</v>
      </c>
      <c r="EN192" s="325">
        <v>0</v>
      </c>
      <c r="EO192" s="325">
        <v>0</v>
      </c>
      <c r="EP192" s="389"/>
      <c r="EQ192" s="386"/>
    </row>
    <row r="193" spans="1:147" s="390" customFormat="1" ht="15" customHeight="1">
      <c r="A193" s="385"/>
      <c r="B193"/>
      <c r="C193"/>
      <c r="D193"/>
      <c r="E193"/>
      <c r="F193"/>
      <c r="G193"/>
      <c r="I193" s="370" t="s">
        <v>1703</v>
      </c>
      <c r="J193" s="399"/>
      <c r="K193" s="399"/>
      <c r="L193" s="399"/>
      <c r="M193" s="400"/>
      <c r="N193" s="399"/>
      <c r="O193" s="399"/>
      <c r="P193" s="399"/>
      <c r="Q193" s="400"/>
      <c r="R193" s="399"/>
      <c r="S193" s="399"/>
      <c r="T193" s="399"/>
      <c r="U193" s="400"/>
      <c r="V193" s="399"/>
      <c r="W193" s="399"/>
      <c r="X193" s="399"/>
      <c r="Y193" s="400"/>
      <c r="Z193" s="399"/>
      <c r="AA193" s="399"/>
      <c r="AB193" s="399"/>
      <c r="AC193" s="400"/>
      <c r="AD193" s="399"/>
      <c r="AE193" s="399"/>
      <c r="AF193" s="399"/>
      <c r="AG193" s="400"/>
      <c r="AH193" s="399"/>
      <c r="AI193" s="399"/>
      <c r="AJ193" s="399"/>
      <c r="AK193" s="400"/>
      <c r="AL193" s="399"/>
      <c r="AM193" s="399"/>
      <c r="AN193" s="399"/>
      <c r="AO193" s="400"/>
      <c r="AP193" s="399"/>
      <c r="AQ193" s="399"/>
      <c r="AR193" s="399"/>
      <c r="AS193" s="400"/>
      <c r="AT193" s="399"/>
      <c r="AU193" s="399"/>
      <c r="AV193" s="399"/>
      <c r="AW193" s="400"/>
      <c r="AX193" s="399"/>
      <c r="AY193" s="399"/>
      <c r="AZ193" s="399"/>
      <c r="BA193" s="400"/>
      <c r="BB193" s="401">
        <v>0</v>
      </c>
      <c r="BC193" s="401">
        <v>0</v>
      </c>
      <c r="BD193" s="401">
        <v>0</v>
      </c>
      <c r="BE193" s="402">
        <v>0</v>
      </c>
      <c r="BF193" s="401">
        <v>0</v>
      </c>
      <c r="BG193" s="401">
        <v>0</v>
      </c>
      <c r="BH193" s="401">
        <v>0</v>
      </c>
      <c r="BI193" s="402">
        <v>0</v>
      </c>
      <c r="BJ193" s="401">
        <v>0</v>
      </c>
      <c r="BK193" s="401">
        <v>0</v>
      </c>
      <c r="BL193" s="401">
        <v>0</v>
      </c>
      <c r="BM193" s="402">
        <v>1</v>
      </c>
      <c r="BN193" s="401">
        <v>2</v>
      </c>
      <c r="BO193" s="401">
        <v>1</v>
      </c>
      <c r="BP193" s="401">
        <v>2</v>
      </c>
      <c r="BQ193" s="402">
        <v>2</v>
      </c>
      <c r="BR193" s="401">
        <v>2</v>
      </c>
      <c r="BS193" s="401">
        <v>2</v>
      </c>
      <c r="BT193" s="401">
        <v>1</v>
      </c>
      <c r="BU193" s="402">
        <v>2</v>
      </c>
      <c r="BV193" s="401">
        <v>4</v>
      </c>
      <c r="BW193" s="401">
        <v>8</v>
      </c>
      <c r="BX193" s="401">
        <v>14</v>
      </c>
      <c r="BY193" s="402">
        <v>24</v>
      </c>
      <c r="BZ193" s="401">
        <v>7</v>
      </c>
      <c r="CA193" s="401">
        <v>13</v>
      </c>
      <c r="CB193" s="401">
        <v>2</v>
      </c>
      <c r="CC193" s="402">
        <v>2</v>
      </c>
      <c r="CD193" s="401">
        <v>0</v>
      </c>
      <c r="CE193" s="401">
        <v>4</v>
      </c>
      <c r="CF193" s="401">
        <v>1</v>
      </c>
      <c r="CG193" s="402">
        <v>41</v>
      </c>
      <c r="CH193" s="401">
        <v>0</v>
      </c>
      <c r="CI193" s="401">
        <v>0</v>
      </c>
      <c r="CJ193" s="401">
        <v>0</v>
      </c>
      <c r="CK193" s="402"/>
      <c r="CL193" s="401">
        <v>0</v>
      </c>
      <c r="CM193" s="401">
        <v>0</v>
      </c>
      <c r="CN193" s="401">
        <v>0</v>
      </c>
      <c r="CO193" s="402"/>
      <c r="CP193" s="438">
        <v>0</v>
      </c>
      <c r="CQ193" s="401">
        <v>0</v>
      </c>
      <c r="CR193" s="401">
        <v>0</v>
      </c>
      <c r="CS193" s="372">
        <v>0</v>
      </c>
      <c r="CT193" s="373">
        <v>0</v>
      </c>
      <c r="CU193" s="325">
        <v>0</v>
      </c>
      <c r="CV193" s="325">
        <v>0</v>
      </c>
      <c r="CW193" s="372">
        <v>0</v>
      </c>
      <c r="CX193" s="386"/>
      <c r="CY193" s="386"/>
      <c r="CZ193" s="386"/>
      <c r="DA193" s="388"/>
      <c r="DB193" s="386"/>
      <c r="DC193" s="386"/>
      <c r="DD193" s="386"/>
      <c r="DE193" s="388"/>
      <c r="DF193" s="386"/>
      <c r="DG193" s="386"/>
      <c r="DH193" s="386"/>
      <c r="DI193" s="388"/>
      <c r="DJ193" s="374"/>
      <c r="DK193" s="411"/>
      <c r="DL193" s="399"/>
      <c r="DM193" s="399"/>
      <c r="DN193" s="399"/>
      <c r="DO193" s="399"/>
      <c r="DP193" s="399"/>
      <c r="DQ193" s="399"/>
      <c r="DR193" s="399"/>
      <c r="DS193" s="401">
        <v>0</v>
      </c>
      <c r="DT193" s="401">
        <v>0</v>
      </c>
      <c r="DU193" s="401">
        <v>0</v>
      </c>
      <c r="DV193" s="325">
        <v>0</v>
      </c>
      <c r="DW193" s="325">
        <v>0</v>
      </c>
      <c r="DX193" s="325">
        <v>1</v>
      </c>
      <c r="DY193" s="325">
        <v>7</v>
      </c>
      <c r="DZ193" s="325">
        <v>7</v>
      </c>
      <c r="EA193" s="325">
        <v>50</v>
      </c>
      <c r="EB193" s="325">
        <v>24</v>
      </c>
      <c r="EC193" s="325">
        <v>46</v>
      </c>
      <c r="ED193" s="325">
        <v>0</v>
      </c>
      <c r="EE193" s="325">
        <v>0</v>
      </c>
      <c r="EF193" s="325">
        <v>0</v>
      </c>
      <c r="EG193" s="325">
        <v>0</v>
      </c>
      <c r="EH193" s="325">
        <v>0</v>
      </c>
      <c r="EI193" s="325">
        <v>0</v>
      </c>
      <c r="EJ193" s="325">
        <v>0</v>
      </c>
      <c r="EK193" s="325">
        <v>0</v>
      </c>
      <c r="EL193" s="325">
        <v>0</v>
      </c>
      <c r="EM193" s="325">
        <v>0</v>
      </c>
      <c r="EN193" s="325">
        <v>0</v>
      </c>
      <c r="EO193" s="325">
        <v>0</v>
      </c>
      <c r="EP193" s="389"/>
      <c r="EQ193" s="386"/>
    </row>
    <row r="194" spans="1:147" s="390" customFormat="1" ht="15" customHeight="1">
      <c r="A194" s="385"/>
      <c r="B194"/>
      <c r="C194"/>
      <c r="D194"/>
      <c r="E194"/>
      <c r="F194"/>
      <c r="G194"/>
      <c r="H194" s="369"/>
      <c r="I194" s="370" t="s">
        <v>1704</v>
      </c>
      <c r="J194" s="399"/>
      <c r="K194" s="399"/>
      <c r="L194" s="399"/>
      <c r="M194" s="400"/>
      <c r="N194" s="399"/>
      <c r="O194" s="399"/>
      <c r="P194" s="399"/>
      <c r="Q194" s="400"/>
      <c r="R194" s="399"/>
      <c r="S194" s="399"/>
      <c r="T194" s="399"/>
      <c r="U194" s="400"/>
      <c r="V194" s="399"/>
      <c r="W194" s="399"/>
      <c r="X194" s="399"/>
      <c r="Y194" s="400"/>
      <c r="Z194" s="399"/>
      <c r="AA194" s="399"/>
      <c r="AB194" s="399"/>
      <c r="AC194" s="400"/>
      <c r="AD194" s="399"/>
      <c r="AE194" s="399"/>
      <c r="AF194" s="399"/>
      <c r="AG194" s="400"/>
      <c r="AH194" s="399"/>
      <c r="AI194" s="399"/>
      <c r="AJ194" s="399"/>
      <c r="AK194" s="400"/>
      <c r="AL194" s="399"/>
      <c r="AM194" s="399"/>
      <c r="AN194" s="399"/>
      <c r="AO194" s="400"/>
      <c r="AP194" s="399"/>
      <c r="AQ194" s="399"/>
      <c r="AR194" s="399"/>
      <c r="AS194" s="400"/>
      <c r="AT194" s="399"/>
      <c r="AU194" s="399"/>
      <c r="AV194" s="399"/>
      <c r="AW194" s="400"/>
      <c r="AX194" s="399"/>
      <c r="AY194" s="399"/>
      <c r="AZ194" s="399"/>
      <c r="BA194" s="400"/>
      <c r="BB194" s="401">
        <v>23</v>
      </c>
      <c r="BC194" s="401">
        <v>20</v>
      </c>
      <c r="BD194" s="401">
        <v>18</v>
      </c>
      <c r="BE194" s="402">
        <v>42</v>
      </c>
      <c r="BF194" s="401">
        <v>21</v>
      </c>
      <c r="BG194" s="401">
        <v>28</v>
      </c>
      <c r="BH194" s="401">
        <v>34</v>
      </c>
      <c r="BI194" s="402">
        <v>43</v>
      </c>
      <c r="BJ194" s="401">
        <v>27</v>
      </c>
      <c r="BK194" s="401">
        <v>23</v>
      </c>
      <c r="BL194" s="401">
        <v>26</v>
      </c>
      <c r="BM194" s="402">
        <v>32</v>
      </c>
      <c r="BN194" s="401">
        <v>29</v>
      </c>
      <c r="BO194" s="401">
        <v>23</v>
      </c>
      <c r="BP194" s="401">
        <v>22</v>
      </c>
      <c r="BQ194" s="402">
        <v>30</v>
      </c>
      <c r="BR194" s="401">
        <v>23</v>
      </c>
      <c r="BS194" s="401">
        <v>20</v>
      </c>
      <c r="BT194" s="401">
        <v>28</v>
      </c>
      <c r="BU194" s="402">
        <v>21</v>
      </c>
      <c r="BV194" s="401">
        <v>34</v>
      </c>
      <c r="BW194" s="401">
        <v>41</v>
      </c>
      <c r="BX194" s="401">
        <v>32</v>
      </c>
      <c r="BY194" s="402">
        <v>40</v>
      </c>
      <c r="BZ194" s="401">
        <v>33</v>
      </c>
      <c r="CA194" s="401">
        <v>38</v>
      </c>
      <c r="CB194" s="401">
        <v>47</v>
      </c>
      <c r="CC194" s="402">
        <v>58</v>
      </c>
      <c r="CD194" s="401">
        <v>54</v>
      </c>
      <c r="CE194" s="401">
        <v>56</v>
      </c>
      <c r="CF194" s="401">
        <v>55</v>
      </c>
      <c r="CG194" s="402">
        <v>44</v>
      </c>
      <c r="CH194" s="401">
        <v>63</v>
      </c>
      <c r="CI194" s="401">
        <v>37</v>
      </c>
      <c r="CJ194" s="401">
        <v>27</v>
      </c>
      <c r="CK194" s="402">
        <v>39</v>
      </c>
      <c r="CL194" s="401">
        <v>43</v>
      </c>
      <c r="CM194" s="401">
        <v>42</v>
      </c>
      <c r="CN194" s="401">
        <v>53</v>
      </c>
      <c r="CO194" s="402">
        <v>80</v>
      </c>
      <c r="CP194" s="438">
        <v>151</v>
      </c>
      <c r="CQ194" s="401">
        <v>43</v>
      </c>
      <c r="CR194" s="401">
        <v>65</v>
      </c>
      <c r="CS194" s="372">
        <v>84</v>
      </c>
      <c r="CT194" s="373">
        <v>158.55000000000001</v>
      </c>
      <c r="CU194" s="325">
        <v>45.15</v>
      </c>
      <c r="CV194" s="325">
        <v>67.2</v>
      </c>
      <c r="CW194" s="372">
        <v>88.2</v>
      </c>
      <c r="CX194" s="386"/>
      <c r="CY194" s="386"/>
      <c r="CZ194" s="386"/>
      <c r="DA194" s="388"/>
      <c r="DB194" s="386"/>
      <c r="DC194" s="386"/>
      <c r="DD194" s="386"/>
      <c r="DE194" s="388"/>
      <c r="DF194" s="386"/>
      <c r="DG194" s="386"/>
      <c r="DH194" s="386"/>
      <c r="DI194" s="388"/>
      <c r="DJ194" s="374"/>
      <c r="DK194" s="411"/>
      <c r="DL194" s="399"/>
      <c r="DM194" s="399"/>
      <c r="DN194" s="399"/>
      <c r="DO194" s="399"/>
      <c r="DP194" s="399"/>
      <c r="DQ194" s="399"/>
      <c r="DR194" s="399"/>
      <c r="DS194" s="401">
        <v>89</v>
      </c>
      <c r="DT194" s="401">
        <v>156</v>
      </c>
      <c r="DU194" s="401">
        <v>131</v>
      </c>
      <c r="DV194" s="325">
        <v>103</v>
      </c>
      <c r="DW194" s="325">
        <v>126</v>
      </c>
      <c r="DX194" s="325">
        <v>108</v>
      </c>
      <c r="DY194" s="325">
        <v>104</v>
      </c>
      <c r="DZ194" s="325">
        <v>92</v>
      </c>
      <c r="EA194" s="325">
        <v>147</v>
      </c>
      <c r="EB194" s="325">
        <v>176</v>
      </c>
      <c r="EC194" s="325">
        <v>209</v>
      </c>
      <c r="ED194" s="325">
        <v>166</v>
      </c>
      <c r="EE194" s="325">
        <v>218</v>
      </c>
      <c r="EF194" s="325">
        <v>343</v>
      </c>
      <c r="EG194" s="325">
        <v>359.1</v>
      </c>
      <c r="EH194" s="325">
        <v>373.46400000000006</v>
      </c>
      <c r="EI194" s="325">
        <v>388.40256000000005</v>
      </c>
      <c r="EJ194" s="325">
        <v>403.93866240000006</v>
      </c>
      <c r="EK194" s="325">
        <v>420.09620889600006</v>
      </c>
      <c r="EL194" s="325">
        <v>436.90005725184011</v>
      </c>
      <c r="EM194" s="325">
        <v>454.37605954191372</v>
      </c>
      <c r="EN194" s="325">
        <v>472.55110192359029</v>
      </c>
      <c r="EO194" s="325">
        <v>491.45314600053393</v>
      </c>
      <c r="EP194" s="389"/>
      <c r="EQ194" s="386"/>
    </row>
    <row r="195" spans="1:147" s="390" customFormat="1" ht="15" customHeight="1">
      <c r="A195" s="385"/>
      <c r="B195"/>
      <c r="C195"/>
      <c r="D195"/>
      <c r="E195"/>
      <c r="F195"/>
      <c r="G195"/>
      <c r="H195" s="369"/>
      <c r="I195" s="370" t="s">
        <v>1705</v>
      </c>
      <c r="J195" s="399"/>
      <c r="K195" s="399"/>
      <c r="L195" s="399"/>
      <c r="M195" s="400"/>
      <c r="N195" s="399"/>
      <c r="O195" s="399"/>
      <c r="P195" s="399"/>
      <c r="Q195" s="400"/>
      <c r="R195" s="399"/>
      <c r="S195" s="399"/>
      <c r="T195" s="399"/>
      <c r="U195" s="400"/>
      <c r="V195" s="399"/>
      <c r="W195" s="399"/>
      <c r="X195" s="399"/>
      <c r="Y195" s="400"/>
      <c r="Z195" s="399"/>
      <c r="AA195" s="399"/>
      <c r="AB195" s="399"/>
      <c r="AC195" s="400"/>
      <c r="AD195" s="399"/>
      <c r="AE195" s="399"/>
      <c r="AF195" s="399"/>
      <c r="AG195" s="400"/>
      <c r="AH195" s="399"/>
      <c r="AI195" s="399"/>
      <c r="AJ195" s="399"/>
      <c r="AK195" s="400"/>
      <c r="AL195" s="399"/>
      <c r="AM195" s="399"/>
      <c r="AN195" s="399"/>
      <c r="AO195" s="400"/>
      <c r="AP195" s="399"/>
      <c r="AQ195" s="399"/>
      <c r="AR195" s="399"/>
      <c r="AS195" s="400"/>
      <c r="AT195" s="399"/>
      <c r="AU195" s="399"/>
      <c r="AV195" s="399"/>
      <c r="AW195" s="400"/>
      <c r="AX195" s="399"/>
      <c r="AY195" s="399"/>
      <c r="AZ195" s="399"/>
      <c r="BA195" s="400"/>
      <c r="BB195" s="401">
        <v>-1</v>
      </c>
      <c r="BC195" s="401">
        <v>-3</v>
      </c>
      <c r="BD195" s="401">
        <v>-17</v>
      </c>
      <c r="BE195" s="402">
        <v>-3</v>
      </c>
      <c r="BF195" s="401">
        <v>-2</v>
      </c>
      <c r="BG195" s="401">
        <v>-1</v>
      </c>
      <c r="BH195" s="401">
        <v>-1</v>
      </c>
      <c r="BI195" s="402">
        <v>-1</v>
      </c>
      <c r="BJ195" s="401">
        <v>-4</v>
      </c>
      <c r="BK195" s="401">
        <v>-1</v>
      </c>
      <c r="BL195" s="401">
        <v>-8</v>
      </c>
      <c r="BM195" s="402">
        <v>-16</v>
      </c>
      <c r="BN195" s="401">
        <v>-17</v>
      </c>
      <c r="BO195" s="401">
        <v>-6</v>
      </c>
      <c r="BP195" s="401">
        <v>-6</v>
      </c>
      <c r="BQ195" s="402">
        <v>-10</v>
      </c>
      <c r="BR195" s="401">
        <v>-14</v>
      </c>
      <c r="BS195" s="401">
        <v>-9</v>
      </c>
      <c r="BT195" s="401">
        <v>-10</v>
      </c>
      <c r="BU195" s="402">
        <v>-34</v>
      </c>
      <c r="BV195" s="401">
        <v>-28</v>
      </c>
      <c r="BW195" s="401">
        <v>-24</v>
      </c>
      <c r="BX195" s="401">
        <v>52</v>
      </c>
      <c r="BY195" s="402">
        <v>63</v>
      </c>
      <c r="BZ195" s="401">
        <v>14</v>
      </c>
      <c r="CA195" s="401">
        <v>-14</v>
      </c>
      <c r="CB195" s="401">
        <v>0</v>
      </c>
      <c r="CC195" s="402">
        <v>0</v>
      </c>
      <c r="CD195" s="401">
        <v>0</v>
      </c>
      <c r="CE195" s="401">
        <v>0</v>
      </c>
      <c r="CF195" s="401">
        <v>0</v>
      </c>
      <c r="CG195" s="402">
        <v>0</v>
      </c>
      <c r="CH195" s="401">
        <v>0</v>
      </c>
      <c r="CI195" s="401">
        <v>0</v>
      </c>
      <c r="CJ195" s="401">
        <v>0</v>
      </c>
      <c r="CK195" s="402">
        <v>0</v>
      </c>
      <c r="CL195" s="401">
        <v>0</v>
      </c>
      <c r="CM195" s="401">
        <v>0</v>
      </c>
      <c r="CN195" s="401">
        <v>0</v>
      </c>
      <c r="CO195" s="402">
        <v>0</v>
      </c>
      <c r="CP195" s="438">
        <v>0</v>
      </c>
      <c r="CQ195" s="401">
        <v>0</v>
      </c>
      <c r="CR195" s="401">
        <v>0</v>
      </c>
      <c r="CS195" s="372">
        <v>0</v>
      </c>
      <c r="CT195" s="373">
        <v>0</v>
      </c>
      <c r="CU195" s="325">
        <v>0</v>
      </c>
      <c r="CV195" s="325">
        <v>0</v>
      </c>
      <c r="CW195" s="372">
        <v>0</v>
      </c>
      <c r="CX195" s="386"/>
      <c r="CY195" s="386"/>
      <c r="CZ195" s="386"/>
      <c r="DA195" s="388"/>
      <c r="DB195" s="386"/>
      <c r="DC195" s="386"/>
      <c r="DD195" s="386"/>
      <c r="DE195" s="388"/>
      <c r="DF195" s="386"/>
      <c r="DG195" s="386"/>
      <c r="DH195" s="386"/>
      <c r="DI195" s="388"/>
      <c r="DJ195" s="374"/>
      <c r="DK195" s="411"/>
      <c r="DL195" s="399"/>
      <c r="DM195" s="399"/>
      <c r="DN195" s="399"/>
      <c r="DO195" s="399"/>
      <c r="DP195" s="399"/>
      <c r="DQ195" s="399"/>
      <c r="DR195" s="399"/>
      <c r="DS195" s="401">
        <v>-21</v>
      </c>
      <c r="DT195" s="401">
        <v>-79</v>
      </c>
      <c r="DU195" s="401">
        <v>-22</v>
      </c>
      <c r="DV195" s="325">
        <v>-24</v>
      </c>
      <c r="DW195" s="325">
        <v>-5</v>
      </c>
      <c r="DX195" s="325">
        <v>-29</v>
      </c>
      <c r="DY195" s="325">
        <v>-39</v>
      </c>
      <c r="DZ195" s="325">
        <v>-67</v>
      </c>
      <c r="EA195" s="325">
        <v>63</v>
      </c>
      <c r="EB195" s="325">
        <v>0</v>
      </c>
      <c r="EC195" s="325">
        <v>0</v>
      </c>
      <c r="ED195" s="325">
        <v>0</v>
      </c>
      <c r="EE195" s="325">
        <v>0</v>
      </c>
      <c r="EF195" s="325">
        <v>0</v>
      </c>
      <c r="EG195" s="325">
        <v>0</v>
      </c>
      <c r="EH195" s="325">
        <v>0</v>
      </c>
      <c r="EI195" s="325">
        <v>0</v>
      </c>
      <c r="EJ195" s="325">
        <v>0</v>
      </c>
      <c r="EK195" s="325">
        <v>0</v>
      </c>
      <c r="EL195" s="325">
        <v>0</v>
      </c>
      <c r="EM195" s="325">
        <v>0</v>
      </c>
      <c r="EN195" s="325">
        <v>0</v>
      </c>
      <c r="EO195" s="325">
        <v>0</v>
      </c>
      <c r="EP195" s="389"/>
      <c r="EQ195" s="386"/>
    </row>
    <row r="196" spans="1:147" s="390" customFormat="1" ht="15" customHeight="1">
      <c r="A196" s="385"/>
      <c r="B196"/>
      <c r="C196"/>
      <c r="D196"/>
      <c r="E196"/>
      <c r="F196"/>
      <c r="G196"/>
      <c r="H196" s="369"/>
      <c r="I196" s="370" t="s">
        <v>200</v>
      </c>
      <c r="J196" s="399"/>
      <c r="K196" s="399"/>
      <c r="L196" s="399"/>
      <c r="M196" s="400"/>
      <c r="N196" s="399"/>
      <c r="O196" s="399"/>
      <c r="P196" s="399"/>
      <c r="Q196" s="400"/>
      <c r="R196" s="399"/>
      <c r="S196" s="399"/>
      <c r="T196" s="399"/>
      <c r="U196" s="400"/>
      <c r="V196" s="399"/>
      <c r="W196" s="399"/>
      <c r="X196" s="399"/>
      <c r="Y196" s="400"/>
      <c r="Z196" s="399"/>
      <c r="AA196" s="399"/>
      <c r="AB196" s="399"/>
      <c r="AC196" s="400"/>
      <c r="AD196" s="399"/>
      <c r="AE196" s="399"/>
      <c r="AF196" s="399"/>
      <c r="AG196" s="400"/>
      <c r="AH196" s="399"/>
      <c r="AI196" s="399"/>
      <c r="AJ196" s="399"/>
      <c r="AK196" s="400"/>
      <c r="AL196" s="399"/>
      <c r="AM196" s="399"/>
      <c r="AN196" s="399"/>
      <c r="AO196" s="400"/>
      <c r="AP196" s="399"/>
      <c r="AQ196" s="399"/>
      <c r="AR196" s="399"/>
      <c r="AS196" s="400"/>
      <c r="AT196" s="399"/>
      <c r="AU196" s="399"/>
      <c r="AV196" s="399"/>
      <c r="AW196" s="400"/>
      <c r="AX196" s="399"/>
      <c r="AY196" s="399"/>
      <c r="AZ196" s="399"/>
      <c r="BA196" s="400"/>
      <c r="BB196" s="401">
        <v>0</v>
      </c>
      <c r="BC196" s="401">
        <v>0</v>
      </c>
      <c r="BD196" s="401">
        <v>0</v>
      </c>
      <c r="BE196" s="402">
        <v>12</v>
      </c>
      <c r="BF196" s="401"/>
      <c r="BG196" s="401"/>
      <c r="BH196" s="401"/>
      <c r="BI196" s="402"/>
      <c r="BJ196" s="401"/>
      <c r="BK196" s="401"/>
      <c r="BL196" s="401"/>
      <c r="BM196" s="402"/>
      <c r="BN196" s="401"/>
      <c r="BO196" s="401"/>
      <c r="BP196" s="401"/>
      <c r="BQ196" s="402"/>
      <c r="BR196" s="401"/>
      <c r="BS196" s="401"/>
      <c r="BT196" s="401"/>
      <c r="BU196" s="372"/>
      <c r="BV196" s="401">
        <v>-27</v>
      </c>
      <c r="BW196" s="325">
        <v>-24</v>
      </c>
      <c r="BX196" s="401">
        <v>51</v>
      </c>
      <c r="BY196" s="402">
        <v>4</v>
      </c>
      <c r="BZ196" s="401">
        <v>0</v>
      </c>
      <c r="CA196" s="401">
        <v>16</v>
      </c>
      <c r="CB196" s="401">
        <v>-1</v>
      </c>
      <c r="CC196" s="402">
        <v>13</v>
      </c>
      <c r="CD196" s="401">
        <v>10</v>
      </c>
      <c r="CE196" s="401">
        <v>-5</v>
      </c>
      <c r="CF196" s="401">
        <v>50</v>
      </c>
      <c r="CG196" s="402">
        <v>-54</v>
      </c>
      <c r="CH196" s="401">
        <v>30</v>
      </c>
      <c r="CI196" s="401">
        <v>-6</v>
      </c>
      <c r="CJ196" s="401">
        <v>34</v>
      </c>
      <c r="CK196" s="402">
        <v>19</v>
      </c>
      <c r="CL196" s="401">
        <v>16</v>
      </c>
      <c r="CM196" s="401">
        <v>19</v>
      </c>
      <c r="CN196" s="401">
        <v>52</v>
      </c>
      <c r="CO196" s="402">
        <v>37</v>
      </c>
      <c r="CP196" s="438">
        <v>5</v>
      </c>
      <c r="CQ196" s="401">
        <v>-41</v>
      </c>
      <c r="CR196" s="401">
        <v>43</v>
      </c>
      <c r="CS196" s="372">
        <v>0</v>
      </c>
      <c r="CT196" s="373">
        <v>0</v>
      </c>
      <c r="CU196" s="325">
        <v>0</v>
      </c>
      <c r="CV196" s="325">
        <v>0</v>
      </c>
      <c r="CW196" s="372">
        <v>0</v>
      </c>
      <c r="CX196" s="386"/>
      <c r="CY196" s="386"/>
      <c r="CZ196" s="386"/>
      <c r="DA196" s="388"/>
      <c r="DB196" s="386"/>
      <c r="DC196" s="386"/>
      <c r="DD196" s="386"/>
      <c r="DE196" s="388"/>
      <c r="DF196" s="386"/>
      <c r="DG196" s="386"/>
      <c r="DH196" s="386"/>
      <c r="DI196" s="388"/>
      <c r="DJ196" s="374"/>
      <c r="DK196" s="411"/>
      <c r="DL196" s="399"/>
      <c r="DM196" s="399"/>
      <c r="DN196" s="399"/>
      <c r="DO196" s="399"/>
      <c r="DP196" s="399"/>
      <c r="DQ196" s="399"/>
      <c r="DR196" s="399"/>
      <c r="DS196" s="376">
        <v>35</v>
      </c>
      <c r="DT196" s="401">
        <v>409</v>
      </c>
      <c r="DU196" s="401">
        <v>326</v>
      </c>
      <c r="DV196" s="325">
        <v>12</v>
      </c>
      <c r="DW196" s="325">
        <v>0</v>
      </c>
      <c r="DX196" s="325">
        <v>0</v>
      </c>
      <c r="DY196" s="325">
        <v>0</v>
      </c>
      <c r="DZ196" s="325">
        <v>0</v>
      </c>
      <c r="EA196" s="325">
        <v>4</v>
      </c>
      <c r="EB196" s="325">
        <v>28</v>
      </c>
      <c r="EC196" s="325">
        <v>1</v>
      </c>
      <c r="ED196" s="325">
        <v>77</v>
      </c>
      <c r="EE196" s="325">
        <v>124</v>
      </c>
      <c r="EF196" s="325">
        <v>7</v>
      </c>
      <c r="EG196" s="325">
        <v>0</v>
      </c>
      <c r="EH196" s="325">
        <v>-234.49672443808004</v>
      </c>
      <c r="EI196" s="325">
        <v>100.81308507959989</v>
      </c>
      <c r="EJ196" s="325">
        <v>72.501319769215797</v>
      </c>
      <c r="EK196" s="325">
        <v>-124.18566835732872</v>
      </c>
      <c r="EL196" s="325">
        <v>84.906168456322803</v>
      </c>
      <c r="EM196" s="325">
        <v>-25.253723804316678</v>
      </c>
      <c r="EN196" s="325">
        <v>18.856272327963779</v>
      </c>
      <c r="EO196" s="325">
        <v>-146.9196703259347</v>
      </c>
      <c r="EP196" s="389"/>
      <c r="EQ196" s="386"/>
    </row>
    <row r="197" spans="1:147" s="712" customFormat="1" ht="15" customHeight="1">
      <c r="A197" s="711"/>
      <c r="B197"/>
      <c r="C197"/>
      <c r="D197"/>
      <c r="E197"/>
      <c r="F197"/>
      <c r="G197"/>
      <c r="I197" s="713" t="s">
        <v>1706</v>
      </c>
      <c r="J197" s="714"/>
      <c r="K197" s="714"/>
      <c r="L197" s="714"/>
      <c r="M197" s="715"/>
      <c r="N197" s="714"/>
      <c r="O197" s="714"/>
      <c r="P197" s="714"/>
      <c r="Q197" s="715"/>
      <c r="R197" s="714"/>
      <c r="S197" s="714"/>
      <c r="T197" s="714"/>
      <c r="U197" s="715"/>
      <c r="V197" s="714"/>
      <c r="W197" s="714"/>
      <c r="X197" s="714"/>
      <c r="Y197" s="715"/>
      <c r="Z197" s="714"/>
      <c r="AA197" s="714"/>
      <c r="AB197" s="714"/>
      <c r="AC197" s="715"/>
      <c r="AD197" s="714"/>
      <c r="AE197" s="714"/>
      <c r="AF197" s="714"/>
      <c r="AG197" s="715"/>
      <c r="AH197" s="714"/>
      <c r="AI197" s="714"/>
      <c r="AJ197" s="714"/>
      <c r="AK197" s="715"/>
      <c r="AL197" s="714"/>
      <c r="AM197" s="714"/>
      <c r="AN197" s="714"/>
      <c r="AO197" s="715"/>
      <c r="AP197" s="714"/>
      <c r="AQ197" s="714"/>
      <c r="AR197" s="714"/>
      <c r="AS197" s="715"/>
      <c r="AT197" s="714"/>
      <c r="AU197" s="714"/>
      <c r="AV197" s="714"/>
      <c r="AW197" s="715"/>
      <c r="AX197" s="714">
        <v>0</v>
      </c>
      <c r="AY197" s="714">
        <v>0</v>
      </c>
      <c r="AZ197" s="714">
        <v>0</v>
      </c>
      <c r="BA197" s="715">
        <v>0</v>
      </c>
      <c r="BB197" s="716">
        <v>770</v>
      </c>
      <c r="BC197" s="716">
        <v>402</v>
      </c>
      <c r="BD197" s="716">
        <v>207</v>
      </c>
      <c r="BE197" s="717">
        <v>311</v>
      </c>
      <c r="BF197" s="716">
        <v>521</v>
      </c>
      <c r="BG197" s="716">
        <v>270</v>
      </c>
      <c r="BH197" s="716">
        <v>295</v>
      </c>
      <c r="BI197" s="717">
        <v>503</v>
      </c>
      <c r="BJ197" s="716">
        <v>726</v>
      </c>
      <c r="BK197" s="716">
        <v>481</v>
      </c>
      <c r="BL197" s="716">
        <v>103</v>
      </c>
      <c r="BM197" s="717">
        <v>280</v>
      </c>
      <c r="BN197" s="716">
        <v>392</v>
      </c>
      <c r="BO197" s="716">
        <v>271</v>
      </c>
      <c r="BP197" s="716">
        <v>29</v>
      </c>
      <c r="BQ197" s="717">
        <v>557</v>
      </c>
      <c r="BR197" s="716">
        <v>570</v>
      </c>
      <c r="BS197" s="716">
        <v>357</v>
      </c>
      <c r="BT197" s="716">
        <v>211</v>
      </c>
      <c r="BU197" s="717">
        <v>296</v>
      </c>
      <c r="BV197" s="716">
        <v>551</v>
      </c>
      <c r="BW197" s="716">
        <v>457</v>
      </c>
      <c r="BX197" s="716">
        <v>499</v>
      </c>
      <c r="BY197" s="717">
        <v>906</v>
      </c>
      <c r="BZ197" s="716">
        <v>714</v>
      </c>
      <c r="CA197" s="716">
        <v>584</v>
      </c>
      <c r="CB197" s="716">
        <v>457</v>
      </c>
      <c r="CC197" s="717">
        <v>-203</v>
      </c>
      <c r="CD197" s="716">
        <v>898</v>
      </c>
      <c r="CE197" s="716">
        <v>691</v>
      </c>
      <c r="CF197" s="716">
        <v>596</v>
      </c>
      <c r="CG197" s="717">
        <v>907</v>
      </c>
      <c r="CH197" s="716">
        <v>760</v>
      </c>
      <c r="CI197" s="716">
        <v>492</v>
      </c>
      <c r="CJ197" s="716">
        <v>364</v>
      </c>
      <c r="CK197" s="717">
        <v>281</v>
      </c>
      <c r="CL197" s="716">
        <v>714</v>
      </c>
      <c r="CM197" s="716">
        <v>705</v>
      </c>
      <c r="CN197" s="716">
        <v>775</v>
      </c>
      <c r="CO197" s="717">
        <v>697</v>
      </c>
      <c r="CP197" s="718">
        <v>917</v>
      </c>
      <c r="CQ197" s="716">
        <v>938</v>
      </c>
      <c r="CR197" s="716">
        <v>807</v>
      </c>
      <c r="CS197" s="717">
        <v>1083.3763729371944</v>
      </c>
      <c r="CT197" s="718">
        <v>491.83196867324085</v>
      </c>
      <c r="CU197" s="716">
        <v>430.32211527639589</v>
      </c>
      <c r="CV197" s="716">
        <v>710.10442590176785</v>
      </c>
      <c r="CW197" s="717">
        <v>1314.9791834562332</v>
      </c>
      <c r="CX197" s="714"/>
      <c r="CY197" s="714"/>
      <c r="CZ197" s="714"/>
      <c r="DA197" s="715"/>
      <c r="DB197" s="714"/>
      <c r="DC197" s="714"/>
      <c r="DD197" s="714"/>
      <c r="DE197" s="715"/>
      <c r="DF197" s="714"/>
      <c r="DG197" s="714"/>
      <c r="DH197" s="714"/>
      <c r="DI197" s="715"/>
      <c r="DJ197" s="587"/>
      <c r="DK197" s="719"/>
      <c r="DL197" s="714"/>
      <c r="DM197" s="714"/>
      <c r="DN197" s="714"/>
      <c r="DO197" s="714"/>
      <c r="DP197" s="714"/>
      <c r="DQ197" s="714"/>
      <c r="DR197" s="714"/>
      <c r="DS197" s="720">
        <v>128</v>
      </c>
      <c r="DT197" s="720">
        <v>973</v>
      </c>
      <c r="DU197" s="720">
        <v>1093</v>
      </c>
      <c r="DV197" s="721">
        <v>1690</v>
      </c>
      <c r="DW197" s="721">
        <v>1589</v>
      </c>
      <c r="DX197" s="721">
        <v>1590</v>
      </c>
      <c r="DY197" s="721">
        <v>1249</v>
      </c>
      <c r="DZ197" s="721">
        <v>1434</v>
      </c>
      <c r="EA197" s="721">
        <v>2413</v>
      </c>
      <c r="EB197" s="721">
        <v>1552</v>
      </c>
      <c r="EC197" s="721">
        <v>3092</v>
      </c>
      <c r="ED197" s="716">
        <v>1897</v>
      </c>
      <c r="EE197" s="716">
        <v>2891</v>
      </c>
      <c r="EF197" s="716">
        <v>3745.3763729371944</v>
      </c>
      <c r="EG197" s="716">
        <v>2947.2376933076375</v>
      </c>
      <c r="EH197" s="716">
        <v>3427.0665695309513</v>
      </c>
      <c r="EI197" s="716">
        <v>3558.7504701088701</v>
      </c>
      <c r="EJ197" s="716">
        <v>3264.7579565628694</v>
      </c>
      <c r="EK197" s="716">
        <v>4232.2969596262055</v>
      </c>
      <c r="EL197" s="716">
        <v>4174.0742510023219</v>
      </c>
      <c r="EM197" s="716">
        <v>4149.9686290162836</v>
      </c>
      <c r="EN197" s="716">
        <v>4115.3418003445286</v>
      </c>
      <c r="EO197" s="716">
        <v>4523.4804046853706</v>
      </c>
      <c r="EP197" s="722"/>
      <c r="EQ197" s="723"/>
    </row>
    <row r="198" spans="1:147" s="390" customFormat="1" ht="15" customHeight="1">
      <c r="A198" s="385"/>
      <c r="B198"/>
      <c r="C198"/>
      <c r="D198"/>
      <c r="E198"/>
      <c r="F198"/>
      <c r="G198"/>
      <c r="I198" s="370" t="s">
        <v>1707</v>
      </c>
      <c r="J198" s="409"/>
      <c r="K198" s="409"/>
      <c r="L198" s="409"/>
      <c r="M198" s="410"/>
      <c r="N198" s="409"/>
      <c r="O198" s="409"/>
      <c r="P198" s="409"/>
      <c r="Q198" s="410"/>
      <c r="R198" s="409"/>
      <c r="S198" s="409"/>
      <c r="T198" s="409"/>
      <c r="U198" s="410"/>
      <c r="V198" s="409"/>
      <c r="W198" s="409"/>
      <c r="X198" s="409"/>
      <c r="Y198" s="410"/>
      <c r="Z198" s="409"/>
      <c r="AA198" s="409"/>
      <c r="AB198" s="409"/>
      <c r="AC198" s="410"/>
      <c r="AD198" s="409"/>
      <c r="AE198" s="409"/>
      <c r="AF198" s="409"/>
      <c r="AG198" s="410"/>
      <c r="AH198" s="409"/>
      <c r="AI198" s="409"/>
      <c r="AJ198" s="409"/>
      <c r="AK198" s="410"/>
      <c r="AL198" s="409"/>
      <c r="AM198" s="409"/>
      <c r="AN198" s="409"/>
      <c r="AO198" s="410"/>
      <c r="AP198" s="409"/>
      <c r="AQ198" s="409"/>
      <c r="AR198" s="409"/>
      <c r="AS198" s="410"/>
      <c r="AT198" s="409"/>
      <c r="AU198" s="409"/>
      <c r="AV198" s="409"/>
      <c r="AW198" s="410"/>
      <c r="AX198" s="409">
        <v>0</v>
      </c>
      <c r="AY198" s="409">
        <v>0</v>
      </c>
      <c r="AZ198" s="409">
        <v>0</v>
      </c>
      <c r="BA198" s="410">
        <v>0</v>
      </c>
      <c r="BB198" s="412">
        <v>-636</v>
      </c>
      <c r="BC198" s="412">
        <v>-480</v>
      </c>
      <c r="BD198" s="412">
        <v>-161</v>
      </c>
      <c r="BE198" s="413">
        <v>539</v>
      </c>
      <c r="BF198" s="412">
        <v>-368</v>
      </c>
      <c r="BG198" s="412">
        <v>-178</v>
      </c>
      <c r="BH198" s="412">
        <v>-171</v>
      </c>
      <c r="BI198" s="413">
        <v>473</v>
      </c>
      <c r="BJ198" s="412">
        <v>-401</v>
      </c>
      <c r="BK198" s="412">
        <v>-372</v>
      </c>
      <c r="BL198" s="412">
        <v>-153</v>
      </c>
      <c r="BM198" s="413">
        <v>600</v>
      </c>
      <c r="BN198" s="412">
        <v>-256</v>
      </c>
      <c r="BO198" s="412">
        <v>-165</v>
      </c>
      <c r="BP198" s="412">
        <v>-174</v>
      </c>
      <c r="BQ198" s="413">
        <v>638</v>
      </c>
      <c r="BR198" s="412">
        <v>-361</v>
      </c>
      <c r="BS198" s="412">
        <v>-222</v>
      </c>
      <c r="BT198" s="412">
        <v>-392</v>
      </c>
      <c r="BU198" s="413">
        <v>733</v>
      </c>
      <c r="BV198" s="412">
        <v>-242</v>
      </c>
      <c r="BW198" s="412">
        <v>22</v>
      </c>
      <c r="BX198" s="412">
        <v>9</v>
      </c>
      <c r="BY198" s="413">
        <v>-47</v>
      </c>
      <c r="BZ198" s="412">
        <v>-303</v>
      </c>
      <c r="CA198" s="412">
        <v>-319</v>
      </c>
      <c r="CB198" s="412">
        <v>-79</v>
      </c>
      <c r="CC198" s="413">
        <v>1362</v>
      </c>
      <c r="CD198" s="412">
        <v>-369</v>
      </c>
      <c r="CE198" s="412">
        <v>-682</v>
      </c>
      <c r="CF198" s="412">
        <v>-342</v>
      </c>
      <c r="CG198" s="413">
        <v>90</v>
      </c>
      <c r="CH198" s="412">
        <v>-367</v>
      </c>
      <c r="CI198" s="412">
        <v>-338</v>
      </c>
      <c r="CJ198" s="412">
        <v>-54</v>
      </c>
      <c r="CK198" s="413">
        <v>637</v>
      </c>
      <c r="CL198" s="412">
        <v>-566</v>
      </c>
      <c r="CM198" s="412">
        <v>63</v>
      </c>
      <c r="CN198" s="412">
        <v>-578</v>
      </c>
      <c r="CO198" s="413">
        <v>442</v>
      </c>
      <c r="CP198" s="567">
        <v>-73</v>
      </c>
      <c r="CQ198" s="412">
        <v>-550</v>
      </c>
      <c r="CR198" s="412">
        <v>-287</v>
      </c>
      <c r="CS198" s="413">
        <v>-103.26893899993593</v>
      </c>
      <c r="CT198" s="567">
        <v>571.47130758944695</v>
      </c>
      <c r="CU198" s="412">
        <v>-463.96123842891961</v>
      </c>
      <c r="CV198" s="412">
        <v>-334.54948030490652</v>
      </c>
      <c r="CW198" s="413">
        <v>-71.044635829012805</v>
      </c>
      <c r="CX198" s="409"/>
      <c r="CY198" s="409"/>
      <c r="CZ198" s="409"/>
      <c r="DA198" s="410"/>
      <c r="DB198" s="409"/>
      <c r="DC198" s="409"/>
      <c r="DD198" s="409"/>
      <c r="DE198" s="410"/>
      <c r="DF198" s="409"/>
      <c r="DG198" s="409"/>
      <c r="DH198" s="409"/>
      <c r="DI198" s="410"/>
      <c r="DJ198" s="454"/>
      <c r="DK198" s="598"/>
      <c r="DL198" s="409"/>
      <c r="DM198" s="409"/>
      <c r="DN198" s="409"/>
      <c r="DO198" s="409"/>
      <c r="DP198" s="409"/>
      <c r="DQ198" s="409"/>
      <c r="DR198" s="409"/>
      <c r="DS198" s="376">
        <v>251</v>
      </c>
      <c r="DT198" s="376">
        <v>210</v>
      </c>
      <c r="DU198" s="376">
        <v>283</v>
      </c>
      <c r="DV198" s="325">
        <v>-738</v>
      </c>
      <c r="DW198" s="325">
        <v>-244</v>
      </c>
      <c r="DX198" s="325">
        <v>-326</v>
      </c>
      <c r="DY198" s="325">
        <v>43</v>
      </c>
      <c r="DZ198" s="325">
        <v>-242</v>
      </c>
      <c r="EA198" s="325">
        <v>-258</v>
      </c>
      <c r="EB198" s="325">
        <v>661</v>
      </c>
      <c r="EC198" s="325">
        <v>-1303</v>
      </c>
      <c r="ED198" s="412">
        <v>-122</v>
      </c>
      <c r="EE198" s="412">
        <v>-639</v>
      </c>
      <c r="EF198" s="412">
        <v>-1013.2689389999359</v>
      </c>
      <c r="EG198" s="325">
        <v>-298.08404697339199</v>
      </c>
      <c r="EH198" s="412">
        <v>-1092.354814471217</v>
      </c>
      <c r="EI198" s="412">
        <v>-76.448818752395852</v>
      </c>
      <c r="EJ198" s="412">
        <v>112.8740772737961</v>
      </c>
      <c r="EK198" s="412">
        <v>-52.542201792851984</v>
      </c>
      <c r="EL198" s="412">
        <v>73.503941613249907</v>
      </c>
      <c r="EM198" s="412">
        <v>-20.15487719740263</v>
      </c>
      <c r="EN198" s="412">
        <v>51.728780564728105</v>
      </c>
      <c r="EO198" s="412">
        <v>-89.387629166363467</v>
      </c>
      <c r="EP198" s="389"/>
      <c r="EQ198" s="386"/>
    </row>
    <row r="199" spans="1:147" s="390" customFormat="1" ht="15" customHeight="1" outlineLevel="1">
      <c r="A199" s="385"/>
      <c r="B199"/>
      <c r="C199"/>
      <c r="D199"/>
      <c r="E199"/>
      <c r="F199"/>
      <c r="G199"/>
      <c r="H199" s="386"/>
      <c r="I199" s="724" t="s">
        <v>587</v>
      </c>
      <c r="J199" s="399"/>
      <c r="K199" s="399"/>
      <c r="L199" s="399"/>
      <c r="M199" s="400"/>
      <c r="N199" s="399"/>
      <c r="O199" s="399"/>
      <c r="P199" s="399"/>
      <c r="Q199" s="400"/>
      <c r="R199" s="399"/>
      <c r="S199" s="399"/>
      <c r="T199" s="399"/>
      <c r="U199" s="400"/>
      <c r="V199" s="399"/>
      <c r="W199" s="399"/>
      <c r="X199" s="399"/>
      <c r="Y199" s="400"/>
      <c r="Z199" s="399"/>
      <c r="AA199" s="399"/>
      <c r="AB199" s="399"/>
      <c r="AC199" s="400"/>
      <c r="AD199" s="399"/>
      <c r="AE199" s="399"/>
      <c r="AF199" s="399"/>
      <c r="AG199" s="400"/>
      <c r="AH199" s="399"/>
      <c r="AI199" s="399"/>
      <c r="AJ199" s="399"/>
      <c r="AK199" s="400"/>
      <c r="AL199" s="399"/>
      <c r="AM199" s="399"/>
      <c r="AN199" s="399"/>
      <c r="AO199" s="400"/>
      <c r="AP199" s="399"/>
      <c r="AQ199" s="399"/>
      <c r="AR199" s="399"/>
      <c r="AS199" s="400"/>
      <c r="AT199" s="399"/>
      <c r="AU199" s="399"/>
      <c r="AV199" s="399"/>
      <c r="AW199" s="400"/>
      <c r="AX199" s="399"/>
      <c r="AY199" s="399"/>
      <c r="AZ199" s="399"/>
      <c r="BA199" s="400"/>
      <c r="BB199" s="401">
        <v>554</v>
      </c>
      <c r="BC199" s="401">
        <v>-36</v>
      </c>
      <c r="BD199" s="401">
        <v>-2</v>
      </c>
      <c r="BE199" s="402">
        <v>-503</v>
      </c>
      <c r="BF199" s="401">
        <v>553</v>
      </c>
      <c r="BG199" s="401">
        <v>-132</v>
      </c>
      <c r="BH199" s="401">
        <v>29</v>
      </c>
      <c r="BI199" s="402">
        <v>-496</v>
      </c>
      <c r="BJ199" s="401">
        <v>465</v>
      </c>
      <c r="BK199" s="401">
        <v>118</v>
      </c>
      <c r="BL199" s="401">
        <v>-85</v>
      </c>
      <c r="BM199" s="402">
        <v>-300</v>
      </c>
      <c r="BN199" s="401">
        <v>290</v>
      </c>
      <c r="BO199" s="401">
        <v>112</v>
      </c>
      <c r="BP199" s="401">
        <v>-595</v>
      </c>
      <c r="BQ199" s="402">
        <v>16</v>
      </c>
      <c r="BR199" s="401">
        <v>438</v>
      </c>
      <c r="BS199" s="401">
        <v>7</v>
      </c>
      <c r="BT199" s="401">
        <v>-303</v>
      </c>
      <c r="BU199" s="402">
        <v>-182</v>
      </c>
      <c r="BV199" s="401">
        <v>459</v>
      </c>
      <c r="BW199" s="401">
        <v>-82</v>
      </c>
      <c r="BX199" s="401">
        <v>18</v>
      </c>
      <c r="BY199" s="402">
        <v>-311</v>
      </c>
      <c r="BZ199" s="401">
        <v>396</v>
      </c>
      <c r="CA199" s="401">
        <v>-11</v>
      </c>
      <c r="CB199" s="401">
        <v>-525</v>
      </c>
      <c r="CC199" s="402">
        <v>-25</v>
      </c>
      <c r="CD199" s="401">
        <v>503</v>
      </c>
      <c r="CE199" s="401">
        <v>8</v>
      </c>
      <c r="CF199" s="401">
        <v>-221</v>
      </c>
      <c r="CG199" s="402">
        <v>-404</v>
      </c>
      <c r="CH199" s="401">
        <v>438</v>
      </c>
      <c r="CI199" s="401">
        <v>132</v>
      </c>
      <c r="CJ199" s="401">
        <v>65</v>
      </c>
      <c r="CK199" s="402">
        <v>-453</v>
      </c>
      <c r="CL199" s="401">
        <v>249</v>
      </c>
      <c r="CM199" s="401">
        <v>-19</v>
      </c>
      <c r="CN199" s="401">
        <v>-5</v>
      </c>
      <c r="CO199" s="402">
        <v>-419</v>
      </c>
      <c r="CP199" s="438">
        <v>276</v>
      </c>
      <c r="CQ199" s="401">
        <v>93</v>
      </c>
      <c r="CR199" s="401">
        <v>93</v>
      </c>
      <c r="CS199" s="413">
        <v>-648.68620646439808</v>
      </c>
      <c r="CT199" s="373">
        <v>682.11024251578885</v>
      </c>
      <c r="CU199" s="325">
        <v>29.844129625188998</v>
      </c>
      <c r="CV199" s="325">
        <v>-171.01926240263674</v>
      </c>
      <c r="CW199" s="413">
        <v>-898.78719409868461</v>
      </c>
      <c r="CX199" s="409"/>
      <c r="CY199" s="409"/>
      <c r="CZ199" s="409"/>
      <c r="DA199" s="410"/>
      <c r="DB199" s="409"/>
      <c r="DC199" s="409"/>
      <c r="DD199" s="409"/>
      <c r="DE199" s="410"/>
      <c r="DF199" s="409"/>
      <c r="DG199" s="409"/>
      <c r="DH199" s="409"/>
      <c r="DI199" s="410"/>
      <c r="DJ199" s="454"/>
      <c r="DK199" s="411"/>
      <c r="DL199" s="399"/>
      <c r="DM199" s="399"/>
      <c r="DN199" s="399"/>
      <c r="DO199" s="399"/>
      <c r="DP199" s="399"/>
      <c r="DQ199" s="399"/>
      <c r="DR199" s="399"/>
      <c r="DS199" s="401">
        <v>-428</v>
      </c>
      <c r="DT199" s="401">
        <v>235</v>
      </c>
      <c r="DU199" s="401">
        <v>76</v>
      </c>
      <c r="DV199" s="325">
        <v>13</v>
      </c>
      <c r="DW199" s="325">
        <v>-46</v>
      </c>
      <c r="DX199" s="325">
        <v>198</v>
      </c>
      <c r="DY199" s="325">
        <v>-177</v>
      </c>
      <c r="DZ199" s="325">
        <v>-40</v>
      </c>
      <c r="EA199" s="325">
        <v>84</v>
      </c>
      <c r="EB199" s="325">
        <v>-165</v>
      </c>
      <c r="EC199" s="325">
        <v>-114</v>
      </c>
      <c r="ED199" s="412">
        <v>182</v>
      </c>
      <c r="EE199" s="412">
        <v>-194</v>
      </c>
      <c r="EF199" s="412">
        <v>-186.68620646439808</v>
      </c>
      <c r="EG199" s="412">
        <v>-357.8520843603435</v>
      </c>
      <c r="EH199" s="412">
        <v>-264.29464436245325</v>
      </c>
      <c r="EI199" s="412">
        <v>108.17198171474274</v>
      </c>
      <c r="EJ199" s="412">
        <v>71.205136470842717</v>
      </c>
      <c r="EK199" s="412">
        <v>-110.47703594945824</v>
      </c>
      <c r="EL199" s="412">
        <v>63.317037708661928</v>
      </c>
      <c r="EM199" s="412">
        <v>-11.589898907331872</v>
      </c>
      <c r="EN199" s="412">
        <v>9.4388146827279797</v>
      </c>
      <c r="EO199" s="412">
        <v>-132.0009057218449</v>
      </c>
      <c r="EP199" s="389"/>
      <c r="EQ199" s="386"/>
    </row>
    <row r="200" spans="1:147" s="390" customFormat="1" ht="15" customHeight="1" outlineLevel="1">
      <c r="A200" s="385"/>
      <c r="B200"/>
      <c r="C200"/>
      <c r="D200"/>
      <c r="E200"/>
      <c r="F200"/>
      <c r="G200"/>
      <c r="H200" s="386"/>
      <c r="I200" s="724" t="s">
        <v>588</v>
      </c>
      <c r="J200" s="399"/>
      <c r="K200" s="399"/>
      <c r="L200" s="399"/>
      <c r="M200" s="400"/>
      <c r="N200" s="399"/>
      <c r="O200" s="399"/>
      <c r="P200" s="399"/>
      <c r="Q200" s="400"/>
      <c r="R200" s="399"/>
      <c r="S200" s="399"/>
      <c r="T200" s="399"/>
      <c r="U200" s="400"/>
      <c r="V200" s="399"/>
      <c r="W200" s="399"/>
      <c r="X200" s="399"/>
      <c r="Y200" s="400"/>
      <c r="Z200" s="399"/>
      <c r="AA200" s="399"/>
      <c r="AB200" s="399"/>
      <c r="AC200" s="400"/>
      <c r="AD200" s="399"/>
      <c r="AE200" s="399"/>
      <c r="AF200" s="399"/>
      <c r="AG200" s="400"/>
      <c r="AH200" s="399"/>
      <c r="AI200" s="399"/>
      <c r="AJ200" s="399"/>
      <c r="AK200" s="400"/>
      <c r="AL200" s="399"/>
      <c r="AM200" s="399"/>
      <c r="AN200" s="399"/>
      <c r="AO200" s="400"/>
      <c r="AP200" s="399"/>
      <c r="AQ200" s="399"/>
      <c r="AR200" s="399"/>
      <c r="AS200" s="400"/>
      <c r="AT200" s="399"/>
      <c r="AU200" s="399"/>
      <c r="AV200" s="399"/>
      <c r="AW200" s="400"/>
      <c r="AX200" s="399"/>
      <c r="AY200" s="399"/>
      <c r="AZ200" s="399"/>
      <c r="BA200" s="400"/>
      <c r="BB200" s="401">
        <v>11</v>
      </c>
      <c r="BC200" s="401">
        <v>10</v>
      </c>
      <c r="BD200" s="401">
        <v>-117</v>
      </c>
      <c r="BE200" s="402">
        <v>62</v>
      </c>
      <c r="BF200" s="401">
        <v>0</v>
      </c>
      <c r="BG200" s="401">
        <v>15</v>
      </c>
      <c r="BH200" s="401">
        <v>-160</v>
      </c>
      <c r="BI200" s="402">
        <v>83</v>
      </c>
      <c r="BJ200" s="401">
        <v>47</v>
      </c>
      <c r="BK200" s="401">
        <v>29</v>
      </c>
      <c r="BL200" s="401">
        <v>-179</v>
      </c>
      <c r="BM200" s="402">
        <v>142</v>
      </c>
      <c r="BN200" s="401">
        <v>5</v>
      </c>
      <c r="BO200" s="401">
        <v>-4</v>
      </c>
      <c r="BP200" s="401">
        <v>-91</v>
      </c>
      <c r="BQ200" s="402">
        <v>88</v>
      </c>
      <c r="BR200" s="401">
        <v>10</v>
      </c>
      <c r="BS200" s="401">
        <v>-19</v>
      </c>
      <c r="BT200" s="401">
        <v>-126</v>
      </c>
      <c r="BU200" s="402">
        <v>81</v>
      </c>
      <c r="BV200" s="401">
        <v>14</v>
      </c>
      <c r="BW200" s="401">
        <v>-1</v>
      </c>
      <c r="BX200" s="401">
        <v>-45</v>
      </c>
      <c r="BY200" s="402">
        <v>64</v>
      </c>
      <c r="BZ200" s="401">
        <v>2</v>
      </c>
      <c r="CA200" s="401">
        <v>-8</v>
      </c>
      <c r="CB200" s="401">
        <v>-44</v>
      </c>
      <c r="CC200" s="402">
        <v>24</v>
      </c>
      <c r="CD200" s="401">
        <v>4</v>
      </c>
      <c r="CE200" s="401">
        <v>4</v>
      </c>
      <c r="CF200" s="401">
        <v>-135</v>
      </c>
      <c r="CG200" s="402">
        <v>122</v>
      </c>
      <c r="CH200" s="401">
        <v>-2</v>
      </c>
      <c r="CI200" s="401">
        <v>-2</v>
      </c>
      <c r="CJ200" s="401">
        <v>-61</v>
      </c>
      <c r="CK200" s="402">
        <v>72</v>
      </c>
      <c r="CL200" s="401">
        <v>0</v>
      </c>
      <c r="CM200" s="401">
        <v>0</v>
      </c>
      <c r="CN200" s="401">
        <v>0</v>
      </c>
      <c r="CO200" s="402">
        <v>0</v>
      </c>
      <c r="CP200" s="438">
        <v>0</v>
      </c>
      <c r="CQ200" s="401">
        <v>0</v>
      </c>
      <c r="CR200" s="401">
        <v>0</v>
      </c>
      <c r="CS200" s="413">
        <v>-42.256036472175005</v>
      </c>
      <c r="CT200" s="373">
        <v>41.695184050038016</v>
      </c>
      <c r="CU200" s="325">
        <v>0.26329242621917809</v>
      </c>
      <c r="CV200" s="325">
        <v>-0.25230329572602744</v>
      </c>
      <c r="CW200" s="413">
        <v>-3.9307512338876718</v>
      </c>
      <c r="CX200" s="409"/>
      <c r="CY200" s="409"/>
      <c r="CZ200" s="409"/>
      <c r="DA200" s="410"/>
      <c r="DB200" s="409"/>
      <c r="DC200" s="409"/>
      <c r="DD200" s="409"/>
      <c r="DE200" s="410"/>
      <c r="DF200" s="409"/>
      <c r="DG200" s="409"/>
      <c r="DH200" s="409"/>
      <c r="DI200" s="410"/>
      <c r="DJ200" s="454"/>
      <c r="DK200" s="411"/>
      <c r="DL200" s="399"/>
      <c r="DM200" s="399"/>
      <c r="DN200" s="399"/>
      <c r="DO200" s="399"/>
      <c r="DP200" s="399"/>
      <c r="DQ200" s="399"/>
      <c r="DR200" s="399"/>
      <c r="DS200" s="401">
        <v>-20</v>
      </c>
      <c r="DT200" s="401">
        <v>21</v>
      </c>
      <c r="DU200" s="401">
        <v>124</v>
      </c>
      <c r="DV200" s="325">
        <v>-34</v>
      </c>
      <c r="DW200" s="325">
        <v>-62</v>
      </c>
      <c r="DX200" s="325">
        <v>39</v>
      </c>
      <c r="DY200" s="325">
        <v>-2</v>
      </c>
      <c r="DZ200" s="325">
        <v>-54</v>
      </c>
      <c r="EA200" s="325">
        <v>32</v>
      </c>
      <c r="EB200" s="325">
        <v>-26</v>
      </c>
      <c r="EC200" s="325">
        <v>-5</v>
      </c>
      <c r="ED200" s="412">
        <v>7</v>
      </c>
      <c r="EE200" s="412">
        <v>0</v>
      </c>
      <c r="EF200" s="412">
        <v>-42.256036472175005</v>
      </c>
      <c r="EG200" s="412">
        <v>37.775421946643498</v>
      </c>
      <c r="EH200" s="412">
        <v>-2.7769175025973505</v>
      </c>
      <c r="EI200" s="412">
        <v>1.8536611886191015</v>
      </c>
      <c r="EJ200" s="412">
        <v>0.40695670322470079</v>
      </c>
      <c r="EK200" s="412">
        <v>-0.85700326453350684</v>
      </c>
      <c r="EL200" s="412">
        <v>0.51891425573918237</v>
      </c>
      <c r="EM200" s="412">
        <v>0.33497927067873956</v>
      </c>
      <c r="EN200" s="412">
        <v>-2.9238564922627219E-2</v>
      </c>
      <c r="EO200" s="412">
        <v>-0.85832815740246815</v>
      </c>
      <c r="EP200" s="389"/>
      <c r="EQ200" s="386"/>
    </row>
    <row r="201" spans="1:147" s="390" customFormat="1" ht="15" customHeight="1" outlineLevel="1">
      <c r="A201" s="385"/>
      <c r="B201"/>
      <c r="C201"/>
      <c r="D201"/>
      <c r="E201"/>
      <c r="F201"/>
      <c r="G201"/>
      <c r="H201" s="386"/>
      <c r="I201" s="724" t="s">
        <v>1708</v>
      </c>
      <c r="J201" s="399"/>
      <c r="K201" s="399"/>
      <c r="L201" s="399"/>
      <c r="M201" s="400"/>
      <c r="N201" s="399"/>
      <c r="O201" s="399"/>
      <c r="P201" s="399"/>
      <c r="Q201" s="400"/>
      <c r="R201" s="399"/>
      <c r="S201" s="399"/>
      <c r="T201" s="399"/>
      <c r="U201" s="400"/>
      <c r="V201" s="399"/>
      <c r="W201" s="399"/>
      <c r="X201" s="399"/>
      <c r="Y201" s="400"/>
      <c r="Z201" s="399"/>
      <c r="AA201" s="399"/>
      <c r="AB201" s="399"/>
      <c r="AC201" s="400"/>
      <c r="AD201" s="399"/>
      <c r="AE201" s="399"/>
      <c r="AF201" s="399"/>
      <c r="AG201" s="400"/>
      <c r="AH201" s="399"/>
      <c r="AI201" s="399"/>
      <c r="AJ201" s="399"/>
      <c r="AK201" s="400"/>
      <c r="AL201" s="399"/>
      <c r="AM201" s="399"/>
      <c r="AN201" s="399"/>
      <c r="AO201" s="400"/>
      <c r="AP201" s="399"/>
      <c r="AQ201" s="399"/>
      <c r="AR201" s="399"/>
      <c r="AS201" s="400"/>
      <c r="AT201" s="399"/>
      <c r="AU201" s="399"/>
      <c r="AV201" s="399"/>
      <c r="AW201" s="400"/>
      <c r="AX201" s="399"/>
      <c r="AY201" s="399"/>
      <c r="AZ201" s="399"/>
      <c r="BA201" s="400"/>
      <c r="BB201" s="401">
        <v>-45</v>
      </c>
      <c r="BC201" s="401">
        <v>-71</v>
      </c>
      <c r="BD201" s="401">
        <v>-65</v>
      </c>
      <c r="BE201" s="402">
        <v>-73</v>
      </c>
      <c r="BF201" s="401">
        <v>-67</v>
      </c>
      <c r="BG201" s="401">
        <v>-79</v>
      </c>
      <c r="BH201" s="401">
        <v>-72</v>
      </c>
      <c r="BI201" s="402">
        <v>-83</v>
      </c>
      <c r="BJ201" s="401">
        <v>-73</v>
      </c>
      <c r="BK201" s="401">
        <v>-67</v>
      </c>
      <c r="BL201" s="401">
        <v>-72</v>
      </c>
      <c r="BM201" s="402">
        <v>-56</v>
      </c>
      <c r="BN201" s="401">
        <v>-71</v>
      </c>
      <c r="BO201" s="401">
        <v>-90</v>
      </c>
      <c r="BP201" s="401">
        <v>-92</v>
      </c>
      <c r="BQ201" s="402">
        <v>-96</v>
      </c>
      <c r="BR201" s="401">
        <v>-77</v>
      </c>
      <c r="BS201" s="401">
        <v>-94</v>
      </c>
      <c r="BT201" s="401">
        <v>-78</v>
      </c>
      <c r="BU201" s="402">
        <v>-101</v>
      </c>
      <c r="BV201" s="401">
        <v>-130</v>
      </c>
      <c r="BW201" s="401">
        <v>-142</v>
      </c>
      <c r="BX201" s="401">
        <v>-23</v>
      </c>
      <c r="BY201" s="402">
        <v>-67</v>
      </c>
      <c r="BZ201" s="401">
        <v>-67</v>
      </c>
      <c r="CA201" s="401">
        <v>-87</v>
      </c>
      <c r="CB201" s="401">
        <v>-73</v>
      </c>
      <c r="CC201" s="402">
        <v>-74</v>
      </c>
      <c r="CD201" s="401">
        <v>-100</v>
      </c>
      <c r="CE201" s="401">
        <v>-109</v>
      </c>
      <c r="CF201" s="401">
        <v>-96</v>
      </c>
      <c r="CG201" s="402">
        <v>-67</v>
      </c>
      <c r="CH201" s="401">
        <v>-46</v>
      </c>
      <c r="CI201" s="401">
        <v>-59</v>
      </c>
      <c r="CJ201" s="401">
        <v>-81</v>
      </c>
      <c r="CK201" s="402">
        <v>-89</v>
      </c>
      <c r="CL201" s="401">
        <v>-85</v>
      </c>
      <c r="CM201" s="401">
        <v>-105</v>
      </c>
      <c r="CN201" s="401">
        <v>-110</v>
      </c>
      <c r="CO201" s="402">
        <v>-78</v>
      </c>
      <c r="CP201" s="438">
        <v>-84</v>
      </c>
      <c r="CQ201" s="401">
        <v>-105</v>
      </c>
      <c r="CR201" s="401">
        <v>-114</v>
      </c>
      <c r="CS201" s="413">
        <v>-138.69093865800187</v>
      </c>
      <c r="CT201" s="373">
        <v>234.14150926088274</v>
      </c>
      <c r="CU201" s="325">
        <v>16.219136262082273</v>
      </c>
      <c r="CV201" s="325">
        <v>-328.21051150842385</v>
      </c>
      <c r="CW201" s="413">
        <v>8.018845210919892</v>
      </c>
      <c r="CX201" s="409"/>
      <c r="CY201" s="409"/>
      <c r="CZ201" s="409"/>
      <c r="DA201" s="410"/>
      <c r="DB201" s="409"/>
      <c r="DC201" s="409"/>
      <c r="DD201" s="409"/>
      <c r="DE201" s="410"/>
      <c r="DF201" s="409"/>
      <c r="DG201" s="409"/>
      <c r="DH201" s="409"/>
      <c r="DI201" s="410"/>
      <c r="DJ201" s="454"/>
      <c r="DK201" s="411"/>
      <c r="DL201" s="399"/>
      <c r="DM201" s="399"/>
      <c r="DN201" s="399"/>
      <c r="DO201" s="399"/>
      <c r="DP201" s="399"/>
      <c r="DQ201" s="399"/>
      <c r="DR201" s="399"/>
      <c r="DS201" s="401">
        <v>-181</v>
      </c>
      <c r="DT201" s="401">
        <v>-308</v>
      </c>
      <c r="DU201" s="401">
        <v>-313</v>
      </c>
      <c r="DV201" s="325">
        <v>-254</v>
      </c>
      <c r="DW201" s="325">
        <v>-301</v>
      </c>
      <c r="DX201" s="325">
        <v>-268</v>
      </c>
      <c r="DY201" s="325">
        <v>-349</v>
      </c>
      <c r="DZ201" s="325">
        <v>-350</v>
      </c>
      <c r="EA201" s="325">
        <v>-362</v>
      </c>
      <c r="EB201" s="325">
        <v>-301</v>
      </c>
      <c r="EC201" s="325">
        <v>-372</v>
      </c>
      <c r="ED201" s="412">
        <v>-275</v>
      </c>
      <c r="EE201" s="412">
        <v>-378</v>
      </c>
      <c r="EF201" s="412">
        <v>-441.69093865800187</v>
      </c>
      <c r="EG201" s="412">
        <v>-69.831020774538956</v>
      </c>
      <c r="EH201" s="412">
        <v>171.38490661129777</v>
      </c>
      <c r="EI201" s="412">
        <v>-57.054179966048821</v>
      </c>
      <c r="EJ201" s="412">
        <v>24.951964198852238</v>
      </c>
      <c r="EK201" s="412">
        <v>7.9665811077616695</v>
      </c>
      <c r="EL201" s="412">
        <v>-19.230762016010544</v>
      </c>
      <c r="EM201" s="412">
        <v>13.035756306439396</v>
      </c>
      <c r="EN201" s="412">
        <v>-3.3294551724687835</v>
      </c>
      <c r="EO201" s="412">
        <v>-3.4477419295171785E-2</v>
      </c>
      <c r="EP201" s="389"/>
      <c r="EQ201" s="386"/>
    </row>
    <row r="202" spans="1:147" s="390" customFormat="1" ht="15" customHeight="1" outlineLevel="1">
      <c r="A202" s="385"/>
      <c r="B202"/>
      <c r="C202"/>
      <c r="D202"/>
      <c r="E202"/>
      <c r="F202"/>
      <c r="G202"/>
      <c r="H202" s="386"/>
      <c r="I202" s="724" t="s">
        <v>1709</v>
      </c>
      <c r="J202" s="399"/>
      <c r="K202" s="399"/>
      <c r="L202" s="399"/>
      <c r="M202" s="400"/>
      <c r="N202" s="399"/>
      <c r="O202" s="399"/>
      <c r="P202" s="399"/>
      <c r="Q202" s="400"/>
      <c r="R202" s="399"/>
      <c r="S202" s="399"/>
      <c r="T202" s="399"/>
      <c r="U202" s="400"/>
      <c r="V202" s="399"/>
      <c r="W202" s="399"/>
      <c r="X202" s="399"/>
      <c r="Y202" s="400"/>
      <c r="Z202" s="399"/>
      <c r="AA202" s="399"/>
      <c r="AB202" s="399"/>
      <c r="AC202" s="400"/>
      <c r="AD202" s="399"/>
      <c r="AE202" s="399"/>
      <c r="AF202" s="399"/>
      <c r="AG202" s="400"/>
      <c r="AH202" s="399"/>
      <c r="AI202" s="399"/>
      <c r="AJ202" s="399"/>
      <c r="AK202" s="400"/>
      <c r="AL202" s="399"/>
      <c r="AM202" s="399"/>
      <c r="AN202" s="399"/>
      <c r="AO202" s="400"/>
      <c r="AP202" s="399"/>
      <c r="AQ202" s="399"/>
      <c r="AR202" s="399"/>
      <c r="AS202" s="400"/>
      <c r="AT202" s="399"/>
      <c r="AU202" s="399"/>
      <c r="AV202" s="399"/>
      <c r="AW202" s="400"/>
      <c r="AX202" s="399"/>
      <c r="AY202" s="399"/>
      <c r="AZ202" s="399"/>
      <c r="BA202" s="400"/>
      <c r="BB202" s="401">
        <v>129</v>
      </c>
      <c r="BC202" s="401">
        <v>80</v>
      </c>
      <c r="BD202" s="401">
        <v>-39</v>
      </c>
      <c r="BE202" s="402">
        <v>-237</v>
      </c>
      <c r="BF202" s="401">
        <v>174</v>
      </c>
      <c r="BG202" s="401">
        <v>72</v>
      </c>
      <c r="BH202" s="401">
        <v>-18</v>
      </c>
      <c r="BI202" s="402">
        <v>-140</v>
      </c>
      <c r="BJ202" s="401">
        <v>91</v>
      </c>
      <c r="BK202" s="401">
        <v>41</v>
      </c>
      <c r="BL202" s="401">
        <v>-33</v>
      </c>
      <c r="BM202" s="402">
        <v>-190</v>
      </c>
      <c r="BN202" s="401">
        <v>111</v>
      </c>
      <c r="BO202" s="401">
        <v>71</v>
      </c>
      <c r="BP202" s="401">
        <v>-123</v>
      </c>
      <c r="BQ202" s="402">
        <v>-41</v>
      </c>
      <c r="BR202" s="401">
        <v>108</v>
      </c>
      <c r="BS202" s="401">
        <v>58</v>
      </c>
      <c r="BT202" s="401">
        <v>-8</v>
      </c>
      <c r="BU202" s="402">
        <v>-137</v>
      </c>
      <c r="BV202" s="401">
        <v>83</v>
      </c>
      <c r="BW202" s="401">
        <v>46</v>
      </c>
      <c r="BX202" s="401">
        <v>-44</v>
      </c>
      <c r="BY202" s="402">
        <v>-95</v>
      </c>
      <c r="BZ202" s="401">
        <v>-3</v>
      </c>
      <c r="CA202" s="401">
        <v>-16</v>
      </c>
      <c r="CB202" s="401">
        <v>-51</v>
      </c>
      <c r="CC202" s="402">
        <v>-76</v>
      </c>
      <c r="CD202" s="401">
        <v>22</v>
      </c>
      <c r="CE202" s="401">
        <v>17</v>
      </c>
      <c r="CF202" s="401">
        <v>-54</v>
      </c>
      <c r="CG202" s="402">
        <v>-36</v>
      </c>
      <c r="CH202" s="401">
        <v>-19</v>
      </c>
      <c r="CI202" s="401">
        <v>97</v>
      </c>
      <c r="CJ202" s="401">
        <v>-61</v>
      </c>
      <c r="CK202" s="402">
        <v>147</v>
      </c>
      <c r="CL202" s="401">
        <v>-11</v>
      </c>
      <c r="CM202" s="401">
        <v>-92</v>
      </c>
      <c r="CN202" s="401">
        <v>-103</v>
      </c>
      <c r="CO202" s="402">
        <v>87</v>
      </c>
      <c r="CP202" s="438">
        <v>-2</v>
      </c>
      <c r="CQ202" s="401">
        <v>22</v>
      </c>
      <c r="CR202" s="401">
        <v>-108</v>
      </c>
      <c r="CS202" s="413">
        <v>238.61361256695125</v>
      </c>
      <c r="CT202" s="373">
        <v>130.85174548669715</v>
      </c>
      <c r="CU202" s="325">
        <v>-59.292068746695293</v>
      </c>
      <c r="CV202" s="325">
        <v>-262.66568827604459</v>
      </c>
      <c r="CW202" s="413">
        <v>-153.54324314651217</v>
      </c>
      <c r="CX202" s="409"/>
      <c r="CY202" s="409"/>
      <c r="CZ202" s="409"/>
      <c r="DA202" s="410"/>
      <c r="DB202" s="409"/>
      <c r="DC202" s="409"/>
      <c r="DD202" s="409"/>
      <c r="DE202" s="410"/>
      <c r="DF202" s="409"/>
      <c r="DG202" s="409"/>
      <c r="DH202" s="409"/>
      <c r="DI202" s="410"/>
      <c r="DJ202" s="454"/>
      <c r="DK202" s="411"/>
      <c r="DL202" s="399"/>
      <c r="DM202" s="399"/>
      <c r="DN202" s="399"/>
      <c r="DO202" s="399"/>
      <c r="DP202" s="399"/>
      <c r="DQ202" s="399"/>
      <c r="DR202" s="399"/>
      <c r="DS202" s="401">
        <v>-165</v>
      </c>
      <c r="DT202" s="401">
        <v>-110</v>
      </c>
      <c r="DU202" s="401">
        <v>17</v>
      </c>
      <c r="DV202" s="325">
        <v>-67</v>
      </c>
      <c r="DW202" s="325">
        <v>88</v>
      </c>
      <c r="DX202" s="325">
        <v>-91</v>
      </c>
      <c r="DY202" s="325">
        <v>18</v>
      </c>
      <c r="DZ202" s="325">
        <v>21</v>
      </c>
      <c r="EA202" s="325">
        <v>-10</v>
      </c>
      <c r="EB202" s="325">
        <v>-146</v>
      </c>
      <c r="EC202" s="325">
        <v>-51</v>
      </c>
      <c r="ED202" s="412">
        <v>164</v>
      </c>
      <c r="EE202" s="412">
        <v>-119</v>
      </c>
      <c r="EF202" s="412">
        <v>150.61361256695125</v>
      </c>
      <c r="EG202" s="412">
        <v>-344.6492546825549</v>
      </c>
      <c r="EH202" s="412">
        <v>-1582.4031241651653</v>
      </c>
      <c r="EI202" s="412">
        <v>138.10881466788533</v>
      </c>
      <c r="EJ202" s="412">
        <v>90.911314005379154</v>
      </c>
      <c r="EK202" s="412">
        <v>-141.05179771261919</v>
      </c>
      <c r="EL202" s="412">
        <v>80.840166627300277</v>
      </c>
      <c r="EM202" s="412">
        <v>-14.797428824344934</v>
      </c>
      <c r="EN202" s="412">
        <v>12.051027327381689</v>
      </c>
      <c r="EO202" s="412">
        <v>-168.53244560505846</v>
      </c>
      <c r="EP202" s="389"/>
      <c r="EQ202" s="386"/>
    </row>
    <row r="203" spans="1:147" s="390" customFormat="1" ht="15" customHeight="1" outlineLevel="1">
      <c r="A203" s="385"/>
      <c r="B203"/>
      <c r="C203"/>
      <c r="D203"/>
      <c r="E203"/>
      <c r="F203"/>
      <c r="G203"/>
      <c r="H203" s="386"/>
      <c r="I203" s="724" t="s">
        <v>1710</v>
      </c>
      <c r="J203" s="399"/>
      <c r="K203" s="399"/>
      <c r="L203" s="399"/>
      <c r="M203" s="400"/>
      <c r="N203" s="399"/>
      <c r="O203" s="399"/>
      <c r="P203" s="399"/>
      <c r="Q203" s="400"/>
      <c r="R203" s="399"/>
      <c r="S203" s="399"/>
      <c r="T203" s="399"/>
      <c r="U203" s="400"/>
      <c r="V203" s="399"/>
      <c r="W203" s="399"/>
      <c r="X203" s="399"/>
      <c r="Y203" s="400"/>
      <c r="Z203" s="399"/>
      <c r="AA203" s="399"/>
      <c r="AB203" s="399"/>
      <c r="AC203" s="400"/>
      <c r="AD203" s="399"/>
      <c r="AE203" s="399"/>
      <c r="AF203" s="399"/>
      <c r="AG203" s="400"/>
      <c r="AH203" s="399"/>
      <c r="AI203" s="399"/>
      <c r="AJ203" s="399"/>
      <c r="AK203" s="400"/>
      <c r="AL203" s="399"/>
      <c r="AM203" s="399"/>
      <c r="AN203" s="399"/>
      <c r="AO203" s="400"/>
      <c r="AP203" s="399"/>
      <c r="AQ203" s="399"/>
      <c r="AR203" s="399"/>
      <c r="AS203" s="400"/>
      <c r="AT203" s="399"/>
      <c r="AU203" s="399"/>
      <c r="AV203" s="399"/>
      <c r="AW203" s="400"/>
      <c r="AX203" s="399"/>
      <c r="AY203" s="399"/>
      <c r="AZ203" s="399"/>
      <c r="BA203" s="400"/>
      <c r="BB203" s="401">
        <v>-716</v>
      </c>
      <c r="BC203" s="401">
        <v>-448</v>
      </c>
      <c r="BD203" s="401">
        <v>-104</v>
      </c>
      <c r="BE203" s="402">
        <v>1020</v>
      </c>
      <c r="BF203" s="401">
        <v>-576</v>
      </c>
      <c r="BG203" s="401">
        <v>12</v>
      </c>
      <c r="BH203" s="401">
        <v>-75</v>
      </c>
      <c r="BI203" s="402">
        <v>792</v>
      </c>
      <c r="BJ203" s="401">
        <v>-511</v>
      </c>
      <c r="BK203" s="401">
        <v>-463</v>
      </c>
      <c r="BL203" s="401">
        <v>-34</v>
      </c>
      <c r="BM203" s="402">
        <v>733</v>
      </c>
      <c r="BN203" s="401">
        <v>-298</v>
      </c>
      <c r="BO203" s="401">
        <v>-324</v>
      </c>
      <c r="BP203" s="401">
        <v>568</v>
      </c>
      <c r="BQ203" s="402">
        <v>529</v>
      </c>
      <c r="BR203" s="401">
        <v>-567</v>
      </c>
      <c r="BS203" s="401">
        <v>-336</v>
      </c>
      <c r="BT203" s="401">
        <v>70</v>
      </c>
      <c r="BU203" s="402">
        <v>806</v>
      </c>
      <c r="BV203" s="401">
        <v>-508</v>
      </c>
      <c r="BW203" s="401">
        <v>40</v>
      </c>
      <c r="BX203" s="401">
        <v>72</v>
      </c>
      <c r="BY203" s="402">
        <v>361</v>
      </c>
      <c r="BZ203" s="401">
        <v>-494</v>
      </c>
      <c r="CA203" s="401">
        <v>-239</v>
      </c>
      <c r="CB203" s="401">
        <v>413</v>
      </c>
      <c r="CC203" s="402">
        <v>540</v>
      </c>
      <c r="CD203" s="401">
        <v>-551</v>
      </c>
      <c r="CE203" s="401">
        <v>-340</v>
      </c>
      <c r="CF203" s="401">
        <v>181</v>
      </c>
      <c r="CG203" s="402">
        <v>588</v>
      </c>
      <c r="CH203" s="401">
        <v>-582</v>
      </c>
      <c r="CI203" s="401">
        <v>-222</v>
      </c>
      <c r="CJ203" s="401">
        <v>-5</v>
      </c>
      <c r="CK203" s="402">
        <v>655</v>
      </c>
      <c r="CL203" s="401">
        <v>-334</v>
      </c>
      <c r="CM203" s="401">
        <v>142</v>
      </c>
      <c r="CN203" s="401">
        <v>-130</v>
      </c>
      <c r="CO203" s="402">
        <v>538</v>
      </c>
      <c r="CP203" s="438">
        <v>-204</v>
      </c>
      <c r="CQ203" s="401">
        <v>-407</v>
      </c>
      <c r="CR203" s="401">
        <v>-207</v>
      </c>
      <c r="CS203" s="413">
        <v>-10</v>
      </c>
      <c r="CT203" s="373">
        <v>-1</v>
      </c>
      <c r="CU203" s="325">
        <v>-1</v>
      </c>
      <c r="CV203" s="325">
        <v>-1</v>
      </c>
      <c r="CW203" s="413">
        <v>-1</v>
      </c>
      <c r="CX203" s="409"/>
      <c r="CY203" s="409"/>
      <c r="CZ203" s="409"/>
      <c r="DA203" s="410"/>
      <c r="DB203" s="409"/>
      <c r="DC203" s="409"/>
      <c r="DD203" s="409"/>
      <c r="DE203" s="410"/>
      <c r="DF203" s="409"/>
      <c r="DG203" s="409"/>
      <c r="DH203" s="409"/>
      <c r="DI203" s="410"/>
      <c r="DJ203" s="454"/>
      <c r="DK203" s="411"/>
      <c r="DL203" s="399"/>
      <c r="DM203" s="399"/>
      <c r="DN203" s="399"/>
      <c r="DO203" s="399"/>
      <c r="DP203" s="399"/>
      <c r="DQ203" s="399"/>
      <c r="DR203" s="399"/>
      <c r="DS203" s="401">
        <v>726</v>
      </c>
      <c r="DT203" s="401">
        <v>503</v>
      </c>
      <c r="DU203" s="401">
        <v>293</v>
      </c>
      <c r="DV203" s="325">
        <v>-248</v>
      </c>
      <c r="DW203" s="325">
        <v>153</v>
      </c>
      <c r="DX203" s="325">
        <v>-275</v>
      </c>
      <c r="DY203" s="325">
        <v>475</v>
      </c>
      <c r="DZ203" s="325">
        <v>-27</v>
      </c>
      <c r="EA203" s="325">
        <v>-35</v>
      </c>
      <c r="EB203" s="325">
        <v>220</v>
      </c>
      <c r="EC203" s="325">
        <v>-122</v>
      </c>
      <c r="ED203" s="412">
        <v>-154</v>
      </c>
      <c r="EE203" s="412">
        <v>216</v>
      </c>
      <c r="EF203" s="412">
        <v>-828</v>
      </c>
      <c r="EG203" s="412">
        <v>-4</v>
      </c>
      <c r="EH203" s="412">
        <v>164.28350478788821</v>
      </c>
      <c r="EI203" s="412">
        <v>-85.310684435683129</v>
      </c>
      <c r="EJ203" s="412">
        <v>-34.661856300874774</v>
      </c>
      <c r="EK203" s="412">
        <v>72.337206678486496</v>
      </c>
      <c r="EL203" s="412">
        <v>-47.288372348326448</v>
      </c>
      <c r="EM203" s="412">
        <v>12.438965164861088</v>
      </c>
      <c r="EN203" s="412">
        <v>-7.2333288273584913</v>
      </c>
      <c r="EO203" s="412">
        <v>82.632468254712535</v>
      </c>
      <c r="EP203" s="389"/>
      <c r="EQ203" s="386"/>
    </row>
    <row r="204" spans="1:147" s="390" customFormat="1" ht="15" customHeight="1" outlineLevel="1">
      <c r="A204" s="385"/>
      <c r="B204"/>
      <c r="C204"/>
      <c r="D204"/>
      <c r="E204"/>
      <c r="F204"/>
      <c r="G204"/>
      <c r="H204" s="386"/>
      <c r="I204" s="724" t="s">
        <v>589</v>
      </c>
      <c r="J204" s="399"/>
      <c r="K204" s="399"/>
      <c r="L204" s="399"/>
      <c r="M204" s="400"/>
      <c r="N204" s="399"/>
      <c r="O204" s="399"/>
      <c r="P204" s="399"/>
      <c r="Q204" s="400"/>
      <c r="R204" s="399"/>
      <c r="S204" s="399"/>
      <c r="T204" s="399"/>
      <c r="U204" s="400"/>
      <c r="V204" s="399"/>
      <c r="W204" s="399"/>
      <c r="X204" s="399"/>
      <c r="Y204" s="400"/>
      <c r="Z204" s="399"/>
      <c r="AA204" s="399"/>
      <c r="AB204" s="399"/>
      <c r="AC204" s="400"/>
      <c r="AD204" s="399"/>
      <c r="AE204" s="399"/>
      <c r="AF204" s="399"/>
      <c r="AG204" s="400"/>
      <c r="AH204" s="399"/>
      <c r="AI204" s="399"/>
      <c r="AJ204" s="399"/>
      <c r="AK204" s="400"/>
      <c r="AL204" s="399"/>
      <c r="AM204" s="399"/>
      <c r="AN204" s="399"/>
      <c r="AO204" s="400"/>
      <c r="AP204" s="399"/>
      <c r="AQ204" s="399"/>
      <c r="AR204" s="399"/>
      <c r="AS204" s="400"/>
      <c r="AT204" s="399"/>
      <c r="AU204" s="399"/>
      <c r="AV204" s="399"/>
      <c r="AW204" s="400"/>
      <c r="AX204" s="399"/>
      <c r="AY204" s="399"/>
      <c r="AZ204" s="399"/>
      <c r="BA204" s="400"/>
      <c r="BB204" s="401">
        <v>-199</v>
      </c>
      <c r="BC204" s="401">
        <v>-17</v>
      </c>
      <c r="BD204" s="401">
        <v>99</v>
      </c>
      <c r="BE204" s="402">
        <v>148</v>
      </c>
      <c r="BF204" s="401">
        <v>-215</v>
      </c>
      <c r="BG204" s="401">
        <v>-13</v>
      </c>
      <c r="BH204" s="401">
        <v>87</v>
      </c>
      <c r="BI204" s="402">
        <v>87</v>
      </c>
      <c r="BJ204" s="401">
        <v>-149</v>
      </c>
      <c r="BK204" s="401">
        <v>-48</v>
      </c>
      <c r="BL204" s="401">
        <v>141</v>
      </c>
      <c r="BM204" s="402">
        <v>63</v>
      </c>
      <c r="BN204" s="401">
        <v>-189</v>
      </c>
      <c r="BO204" s="401">
        <v>-1</v>
      </c>
      <c r="BP204" s="401">
        <v>107</v>
      </c>
      <c r="BQ204" s="402">
        <v>71</v>
      </c>
      <c r="BR204" s="401">
        <v>-208</v>
      </c>
      <c r="BS204" s="401">
        <v>86</v>
      </c>
      <c r="BT204" s="401">
        <v>115</v>
      </c>
      <c r="BU204" s="402">
        <v>-18</v>
      </c>
      <c r="BV204" s="401">
        <v>-184</v>
      </c>
      <c r="BW204" s="401">
        <v>72</v>
      </c>
      <c r="BX204" s="401">
        <v>36</v>
      </c>
      <c r="BY204" s="402">
        <v>26</v>
      </c>
      <c r="BZ204" s="401">
        <v>-76</v>
      </c>
      <c r="CA204" s="401">
        <v>8</v>
      </c>
      <c r="CB204" s="401">
        <v>146</v>
      </c>
      <c r="CC204" s="402">
        <v>7</v>
      </c>
      <c r="CD204" s="401">
        <v>-160</v>
      </c>
      <c r="CE204" s="401">
        <v>3</v>
      </c>
      <c r="CF204" s="401">
        <v>143</v>
      </c>
      <c r="CG204" s="402">
        <v>-51</v>
      </c>
      <c r="CH204" s="401">
        <v>-91</v>
      </c>
      <c r="CI204" s="401">
        <v>16</v>
      </c>
      <c r="CJ204" s="401">
        <v>97</v>
      </c>
      <c r="CK204" s="402">
        <v>9</v>
      </c>
      <c r="CL204" s="401">
        <v>-132</v>
      </c>
      <c r="CM204" s="401">
        <v>19</v>
      </c>
      <c r="CN204" s="401">
        <v>42</v>
      </c>
      <c r="CO204" s="402">
        <v>61</v>
      </c>
      <c r="CP204" s="438">
        <v>-70</v>
      </c>
      <c r="CQ204" s="401">
        <v>-10</v>
      </c>
      <c r="CR204" s="401">
        <v>34</v>
      </c>
      <c r="CS204" s="413">
        <v>98.067395311172277</v>
      </c>
      <c r="CT204" s="373">
        <v>-279.23876573393363</v>
      </c>
      <c r="CU204" s="325">
        <v>-32.343706619676446</v>
      </c>
      <c r="CV204" s="325">
        <v>75.694614629447187</v>
      </c>
      <c r="CW204" s="413">
        <v>226.4539103222464</v>
      </c>
      <c r="CX204" s="409"/>
      <c r="CY204" s="409"/>
      <c r="CZ204" s="409"/>
      <c r="DA204" s="410"/>
      <c r="DB204" s="409"/>
      <c r="DC204" s="409"/>
      <c r="DD204" s="409"/>
      <c r="DE204" s="410"/>
      <c r="DF204" s="409"/>
      <c r="DG204" s="409"/>
      <c r="DH204" s="409"/>
      <c r="DI204" s="410"/>
      <c r="DJ204" s="454"/>
      <c r="DK204" s="411"/>
      <c r="DL204" s="399"/>
      <c r="DM204" s="399"/>
      <c r="DN204" s="399"/>
      <c r="DO204" s="399"/>
      <c r="DP204" s="399"/>
      <c r="DQ204" s="399"/>
      <c r="DR204" s="399"/>
      <c r="DS204" s="401">
        <v>86</v>
      </c>
      <c r="DT204" s="401">
        <v>-18</v>
      </c>
      <c r="DU204" s="401">
        <v>70</v>
      </c>
      <c r="DV204" s="325">
        <v>31</v>
      </c>
      <c r="DW204" s="325">
        <v>-54</v>
      </c>
      <c r="DX204" s="325">
        <v>7</v>
      </c>
      <c r="DY204" s="325">
        <v>-12</v>
      </c>
      <c r="DZ204" s="325">
        <v>-25</v>
      </c>
      <c r="EA204" s="325">
        <v>-50</v>
      </c>
      <c r="EB204" s="325">
        <v>85</v>
      </c>
      <c r="EC204" s="325">
        <v>-65</v>
      </c>
      <c r="ED204" s="412">
        <v>31</v>
      </c>
      <c r="EE204" s="412">
        <v>-10</v>
      </c>
      <c r="EF204" s="412">
        <v>52.067395311172277</v>
      </c>
      <c r="EG204" s="412">
        <v>-9.4339474019164697</v>
      </c>
      <c r="EH204" s="412">
        <v>203.86353334075125</v>
      </c>
      <c r="EI204" s="412">
        <v>-141.60061104078807</v>
      </c>
      <c r="EJ204" s="412">
        <v>-33.323967813220406</v>
      </c>
      <c r="EK204" s="412">
        <v>58.851130032046854</v>
      </c>
      <c r="EL204" s="412">
        <v>-41.128479096913111</v>
      </c>
      <c r="EM204" s="412">
        <v>-27.352471778823713</v>
      </c>
      <c r="EN204" s="412">
        <v>-1.2235501134953211</v>
      </c>
      <c r="EO204" s="412">
        <v>56.669721790048186</v>
      </c>
      <c r="EP204" s="389"/>
      <c r="EQ204" s="386"/>
    </row>
    <row r="205" spans="1:147" s="390" customFormat="1" ht="15" customHeight="1" outlineLevel="1">
      <c r="A205" s="385"/>
      <c r="B205"/>
      <c r="C205"/>
      <c r="D205"/>
      <c r="E205"/>
      <c r="F205"/>
      <c r="G205"/>
      <c r="I205" s="724" t="s">
        <v>1711</v>
      </c>
      <c r="J205" s="399"/>
      <c r="K205" s="399"/>
      <c r="L205" s="399"/>
      <c r="M205" s="400"/>
      <c r="N205" s="399"/>
      <c r="O205" s="399"/>
      <c r="P205" s="399"/>
      <c r="Q205" s="400"/>
      <c r="R205" s="399"/>
      <c r="S205" s="399"/>
      <c r="T205" s="399"/>
      <c r="U205" s="400"/>
      <c r="V205" s="399"/>
      <c r="W205" s="399"/>
      <c r="X205" s="399"/>
      <c r="Y205" s="400"/>
      <c r="Z205" s="399"/>
      <c r="AA205" s="399"/>
      <c r="AB205" s="399"/>
      <c r="AC205" s="400"/>
      <c r="AD205" s="399"/>
      <c r="AE205" s="399"/>
      <c r="AF205" s="399"/>
      <c r="AG205" s="400"/>
      <c r="AH205" s="399"/>
      <c r="AI205" s="399"/>
      <c r="AJ205" s="399"/>
      <c r="AK205" s="400"/>
      <c r="AL205" s="399"/>
      <c r="AM205" s="399"/>
      <c r="AN205" s="399"/>
      <c r="AO205" s="400"/>
      <c r="AP205" s="399"/>
      <c r="AQ205" s="399"/>
      <c r="AR205" s="399"/>
      <c r="AS205" s="400"/>
      <c r="AT205" s="399"/>
      <c r="AU205" s="399"/>
      <c r="AV205" s="399"/>
      <c r="AW205" s="400"/>
      <c r="AX205" s="399"/>
      <c r="AY205" s="399"/>
      <c r="AZ205" s="399"/>
      <c r="BA205" s="400"/>
      <c r="BB205" s="401">
        <v>-370</v>
      </c>
      <c r="BC205" s="401">
        <v>2</v>
      </c>
      <c r="BD205" s="401">
        <v>67</v>
      </c>
      <c r="BE205" s="402">
        <v>122</v>
      </c>
      <c r="BF205" s="401">
        <v>-237</v>
      </c>
      <c r="BG205" s="401">
        <v>-53</v>
      </c>
      <c r="BH205" s="401">
        <v>38</v>
      </c>
      <c r="BI205" s="402">
        <v>230</v>
      </c>
      <c r="BJ205" s="401">
        <v>-271</v>
      </c>
      <c r="BK205" s="401">
        <v>18</v>
      </c>
      <c r="BL205" s="401">
        <v>109</v>
      </c>
      <c r="BM205" s="402">
        <v>208</v>
      </c>
      <c r="BN205" s="401">
        <v>-104</v>
      </c>
      <c r="BO205" s="401">
        <v>71</v>
      </c>
      <c r="BP205" s="401">
        <v>52</v>
      </c>
      <c r="BQ205" s="402">
        <v>71</v>
      </c>
      <c r="BR205" s="401">
        <v>-65</v>
      </c>
      <c r="BS205" s="401">
        <v>76</v>
      </c>
      <c r="BT205" s="401">
        <v>-62</v>
      </c>
      <c r="BU205" s="402">
        <v>284</v>
      </c>
      <c r="BV205" s="401">
        <v>24</v>
      </c>
      <c r="BW205" s="401">
        <v>89</v>
      </c>
      <c r="BX205" s="401">
        <v>-5</v>
      </c>
      <c r="BY205" s="402">
        <v>-25</v>
      </c>
      <c r="BZ205" s="401">
        <v>-61</v>
      </c>
      <c r="CA205" s="401">
        <v>34</v>
      </c>
      <c r="CB205" s="401">
        <v>55</v>
      </c>
      <c r="CC205" s="402">
        <v>966</v>
      </c>
      <c r="CD205" s="401">
        <v>-87</v>
      </c>
      <c r="CE205" s="401">
        <v>-265</v>
      </c>
      <c r="CF205" s="401">
        <v>-160</v>
      </c>
      <c r="CG205" s="402">
        <v>-62</v>
      </c>
      <c r="CH205" s="401">
        <v>-65</v>
      </c>
      <c r="CI205" s="401">
        <v>-300</v>
      </c>
      <c r="CJ205" s="401">
        <v>-8</v>
      </c>
      <c r="CK205" s="402">
        <v>296</v>
      </c>
      <c r="CL205" s="401">
        <v>-253</v>
      </c>
      <c r="CM205" s="401">
        <v>118</v>
      </c>
      <c r="CN205" s="401">
        <v>-272</v>
      </c>
      <c r="CO205" s="402">
        <v>253</v>
      </c>
      <c r="CP205" s="438">
        <v>11</v>
      </c>
      <c r="CQ205" s="401">
        <v>-143</v>
      </c>
      <c r="CR205" s="401">
        <v>15</v>
      </c>
      <c r="CS205" s="413">
        <v>399.68323471651547</v>
      </c>
      <c r="CT205" s="373">
        <v>-237.08860799002628</v>
      </c>
      <c r="CU205" s="325">
        <v>-417.65202137603831</v>
      </c>
      <c r="CV205" s="325">
        <v>352.90367054847741</v>
      </c>
      <c r="CW205" s="413">
        <v>751.7437971169054</v>
      </c>
      <c r="CX205" s="409"/>
      <c r="CY205" s="409"/>
      <c r="CZ205" s="409"/>
      <c r="DA205" s="410"/>
      <c r="DB205" s="409"/>
      <c r="DC205" s="409"/>
      <c r="DD205" s="409"/>
      <c r="DE205" s="410"/>
      <c r="DF205" s="409"/>
      <c r="DG205" s="409"/>
      <c r="DH205" s="409"/>
      <c r="DI205" s="410"/>
      <c r="DJ205" s="454"/>
      <c r="DK205" s="411"/>
      <c r="DL205" s="399"/>
      <c r="DM205" s="399"/>
      <c r="DN205" s="399"/>
      <c r="DO205" s="399"/>
      <c r="DP205" s="399"/>
      <c r="DQ205" s="399"/>
      <c r="DR205" s="399"/>
      <c r="DS205" s="401">
        <v>233</v>
      </c>
      <c r="DT205" s="401">
        <v>-113</v>
      </c>
      <c r="DU205" s="401">
        <v>16</v>
      </c>
      <c r="DV205" s="325">
        <v>-179</v>
      </c>
      <c r="DW205" s="325">
        <v>-22</v>
      </c>
      <c r="DX205" s="325">
        <v>64</v>
      </c>
      <c r="DY205" s="325">
        <v>90</v>
      </c>
      <c r="DZ205" s="325">
        <v>233</v>
      </c>
      <c r="EA205" s="325">
        <v>83</v>
      </c>
      <c r="EB205" s="325">
        <v>994</v>
      </c>
      <c r="EC205" s="325">
        <v>-574</v>
      </c>
      <c r="ED205" s="412">
        <v>-77</v>
      </c>
      <c r="EE205" s="412">
        <v>-154</v>
      </c>
      <c r="EF205" s="412">
        <v>282.68323471651547</v>
      </c>
      <c r="EG205" s="412">
        <v>449.90683829931822</v>
      </c>
      <c r="EH205" s="412">
        <v>217.58792681906175</v>
      </c>
      <c r="EI205" s="412">
        <v>-40.617800881123003</v>
      </c>
      <c r="EJ205" s="412">
        <v>-6.6154699904075187</v>
      </c>
      <c r="EK205" s="412">
        <v>60.688717315463919</v>
      </c>
      <c r="EL205" s="412">
        <v>36.475436482798614</v>
      </c>
      <c r="EM205" s="412">
        <v>7.7752215711186636</v>
      </c>
      <c r="EN205" s="412">
        <v>42.054511232863661</v>
      </c>
      <c r="EO205" s="412">
        <v>72.736337692476809</v>
      </c>
      <c r="EP205" s="389"/>
      <c r="EQ205" s="386"/>
    </row>
    <row r="206" spans="1:147" s="390" customFormat="1" ht="15" customHeight="1">
      <c r="A206" s="385"/>
      <c r="B206"/>
      <c r="C206"/>
      <c r="D206"/>
      <c r="E206"/>
      <c r="F206"/>
      <c r="G206"/>
      <c r="I206" s="517" t="s">
        <v>1712</v>
      </c>
      <c r="J206" s="552"/>
      <c r="K206" s="552"/>
      <c r="L206" s="552"/>
      <c r="M206" s="553"/>
      <c r="N206" s="552"/>
      <c r="O206" s="552"/>
      <c r="P206" s="552"/>
      <c r="Q206" s="553"/>
      <c r="R206" s="552"/>
      <c r="S206" s="552"/>
      <c r="T206" s="552"/>
      <c r="U206" s="553"/>
      <c r="V206" s="552"/>
      <c r="W206" s="552"/>
      <c r="X206" s="552"/>
      <c r="Y206" s="553"/>
      <c r="Z206" s="552"/>
      <c r="AA206" s="552"/>
      <c r="AB206" s="552"/>
      <c r="AC206" s="553"/>
      <c r="AD206" s="552"/>
      <c r="AE206" s="552"/>
      <c r="AF206" s="552"/>
      <c r="AG206" s="553"/>
      <c r="AH206" s="552"/>
      <c r="AI206" s="552"/>
      <c r="AJ206" s="552"/>
      <c r="AK206" s="553"/>
      <c r="AL206" s="552"/>
      <c r="AM206" s="552"/>
      <c r="AN206" s="552"/>
      <c r="AO206" s="553"/>
      <c r="AP206" s="552"/>
      <c r="AQ206" s="552"/>
      <c r="AR206" s="552"/>
      <c r="AS206" s="553"/>
      <c r="AT206" s="552"/>
      <c r="AU206" s="552"/>
      <c r="AV206" s="552"/>
      <c r="AW206" s="553"/>
      <c r="AX206" s="552">
        <v>0</v>
      </c>
      <c r="AY206" s="552">
        <v>0</v>
      </c>
      <c r="AZ206" s="552">
        <v>0</v>
      </c>
      <c r="BA206" s="553">
        <v>0</v>
      </c>
      <c r="BB206" s="554">
        <v>134</v>
      </c>
      <c r="BC206" s="554">
        <v>-78</v>
      </c>
      <c r="BD206" s="554">
        <v>46</v>
      </c>
      <c r="BE206" s="555">
        <v>850</v>
      </c>
      <c r="BF206" s="554">
        <v>153</v>
      </c>
      <c r="BG206" s="554">
        <v>92</v>
      </c>
      <c r="BH206" s="554">
        <v>124</v>
      </c>
      <c r="BI206" s="555">
        <v>976</v>
      </c>
      <c r="BJ206" s="554">
        <v>325</v>
      </c>
      <c r="BK206" s="554">
        <v>109</v>
      </c>
      <c r="BL206" s="554">
        <v>-50</v>
      </c>
      <c r="BM206" s="555">
        <v>880</v>
      </c>
      <c r="BN206" s="554">
        <v>136</v>
      </c>
      <c r="BO206" s="554">
        <v>106</v>
      </c>
      <c r="BP206" s="554">
        <v>-145</v>
      </c>
      <c r="BQ206" s="555">
        <v>1195</v>
      </c>
      <c r="BR206" s="554">
        <v>209</v>
      </c>
      <c r="BS206" s="554">
        <v>135</v>
      </c>
      <c r="BT206" s="554">
        <v>-181</v>
      </c>
      <c r="BU206" s="555">
        <v>1029</v>
      </c>
      <c r="BV206" s="554">
        <v>309</v>
      </c>
      <c r="BW206" s="554">
        <v>479</v>
      </c>
      <c r="BX206" s="554">
        <v>508</v>
      </c>
      <c r="BY206" s="555">
        <v>859</v>
      </c>
      <c r="BZ206" s="554">
        <v>411</v>
      </c>
      <c r="CA206" s="554">
        <v>265</v>
      </c>
      <c r="CB206" s="554">
        <v>378</v>
      </c>
      <c r="CC206" s="555">
        <v>1159</v>
      </c>
      <c r="CD206" s="554">
        <v>529</v>
      </c>
      <c r="CE206" s="554">
        <v>9</v>
      </c>
      <c r="CF206" s="554">
        <v>254</v>
      </c>
      <c r="CG206" s="555">
        <v>997</v>
      </c>
      <c r="CH206" s="554">
        <v>393</v>
      </c>
      <c r="CI206" s="554">
        <v>154</v>
      </c>
      <c r="CJ206" s="554">
        <v>310</v>
      </c>
      <c r="CK206" s="555">
        <v>918</v>
      </c>
      <c r="CL206" s="554">
        <v>148</v>
      </c>
      <c r="CM206" s="554">
        <v>768</v>
      </c>
      <c r="CN206" s="554">
        <v>197</v>
      </c>
      <c r="CO206" s="555">
        <v>1139</v>
      </c>
      <c r="CP206" s="557">
        <v>844</v>
      </c>
      <c r="CQ206" s="554">
        <v>388</v>
      </c>
      <c r="CR206" s="554">
        <v>520</v>
      </c>
      <c r="CS206" s="555">
        <v>980.10743393725852</v>
      </c>
      <c r="CT206" s="557">
        <v>1063.3032762626879</v>
      </c>
      <c r="CU206" s="554">
        <v>-33.639123152523723</v>
      </c>
      <c r="CV206" s="554">
        <v>375.55494559686133</v>
      </c>
      <c r="CW206" s="555">
        <v>1243.9345476272204</v>
      </c>
      <c r="CX206" s="552"/>
      <c r="CY206" s="552"/>
      <c r="CZ206" s="552"/>
      <c r="DA206" s="553"/>
      <c r="DB206" s="552"/>
      <c r="DC206" s="552"/>
      <c r="DD206" s="552"/>
      <c r="DE206" s="553"/>
      <c r="DF206" s="552"/>
      <c r="DG206" s="552"/>
      <c r="DH206" s="552"/>
      <c r="DI206" s="553"/>
      <c r="DJ206" s="454"/>
      <c r="DK206" s="558"/>
      <c r="DL206" s="552"/>
      <c r="DM206" s="552"/>
      <c r="DN206" s="552"/>
      <c r="DO206" s="552"/>
      <c r="DP206" s="552"/>
      <c r="DQ206" s="552"/>
      <c r="DR206" s="552"/>
      <c r="DS206" s="398">
        <v>379</v>
      </c>
      <c r="DT206" s="398">
        <v>1183</v>
      </c>
      <c r="DU206" s="398">
        <v>1376</v>
      </c>
      <c r="DV206" s="394">
        <v>952</v>
      </c>
      <c r="DW206" s="394">
        <v>1345</v>
      </c>
      <c r="DX206" s="394">
        <v>1264</v>
      </c>
      <c r="DY206" s="394">
        <v>1292</v>
      </c>
      <c r="DZ206" s="394">
        <v>1192</v>
      </c>
      <c r="EA206" s="394">
        <v>2155</v>
      </c>
      <c r="EB206" s="394">
        <v>2213</v>
      </c>
      <c r="EC206" s="394">
        <v>1789</v>
      </c>
      <c r="ED206" s="554">
        <v>1775</v>
      </c>
      <c r="EE206" s="554">
        <v>2252</v>
      </c>
      <c r="EF206" s="554">
        <v>2732.1074339372585</v>
      </c>
      <c r="EG206" s="554">
        <v>2649.1536463342454</v>
      </c>
      <c r="EH206" s="554">
        <v>2334.7117550597341</v>
      </c>
      <c r="EI206" s="554">
        <v>3482.3016513564744</v>
      </c>
      <c r="EJ206" s="554">
        <v>3377.6320338366654</v>
      </c>
      <c r="EK206" s="554">
        <v>4179.7547578333533</v>
      </c>
      <c r="EL206" s="554">
        <v>4247.5781926155714</v>
      </c>
      <c r="EM206" s="554">
        <v>4129.8137518188805</v>
      </c>
      <c r="EN206" s="554">
        <v>4167.0705809092569</v>
      </c>
      <c r="EO206" s="554">
        <v>4434.0927755190069</v>
      </c>
      <c r="EP206" s="389"/>
      <c r="EQ206" s="386"/>
    </row>
    <row r="207" spans="1:147" s="390" customFormat="1" ht="15" customHeight="1">
      <c r="A207" s="385"/>
      <c r="B207"/>
      <c r="C207"/>
      <c r="D207"/>
      <c r="E207"/>
      <c r="F207"/>
      <c r="G207"/>
      <c r="H207" s="386"/>
      <c r="I207" s="370"/>
      <c r="J207" s="386"/>
      <c r="K207" s="386"/>
      <c r="L207" s="386"/>
      <c r="M207" s="388"/>
      <c r="N207" s="386"/>
      <c r="O207" s="386"/>
      <c r="P207" s="386"/>
      <c r="Q207" s="388"/>
      <c r="R207" s="386"/>
      <c r="S207" s="386"/>
      <c r="T207" s="386"/>
      <c r="U207" s="388"/>
      <c r="V207" s="386"/>
      <c r="W207" s="386"/>
      <c r="X207" s="386"/>
      <c r="Y207" s="388"/>
      <c r="Z207" s="386"/>
      <c r="AA207" s="386"/>
      <c r="AB207" s="386"/>
      <c r="AC207" s="388"/>
      <c r="AD207" s="386"/>
      <c r="AE207" s="386"/>
      <c r="AF207" s="386"/>
      <c r="AG207" s="388"/>
      <c r="AH207" s="386"/>
      <c r="AI207" s="386"/>
      <c r="AJ207" s="386"/>
      <c r="AK207" s="388"/>
      <c r="AL207" s="386"/>
      <c r="AM207" s="386"/>
      <c r="AN207" s="386"/>
      <c r="AO207" s="388"/>
      <c r="AP207" s="386"/>
      <c r="AQ207" s="386"/>
      <c r="AR207" s="386"/>
      <c r="AS207" s="388"/>
      <c r="AT207" s="386"/>
      <c r="AU207" s="386"/>
      <c r="AV207" s="386"/>
      <c r="AW207" s="388"/>
      <c r="AX207" s="386"/>
      <c r="AY207" s="386"/>
      <c r="AZ207" s="386"/>
      <c r="BA207" s="388"/>
      <c r="BB207" s="325"/>
      <c r="BC207" s="325"/>
      <c r="BD207" s="325"/>
      <c r="BE207" s="372"/>
      <c r="BF207" s="325"/>
      <c r="BG207" s="325"/>
      <c r="BH207" s="325"/>
      <c r="BI207" s="372"/>
      <c r="BJ207" s="325"/>
      <c r="BK207" s="325"/>
      <c r="BL207" s="325"/>
      <c r="BM207" s="372"/>
      <c r="BN207" s="325"/>
      <c r="BO207" s="325"/>
      <c r="BP207" s="325"/>
      <c r="BQ207" s="372"/>
      <c r="BR207" s="325"/>
      <c r="BS207" s="325"/>
      <c r="BT207" s="325"/>
      <c r="BU207" s="372"/>
      <c r="BV207" s="325"/>
      <c r="BW207" s="325"/>
      <c r="BX207" s="325"/>
      <c r="BY207" s="372"/>
      <c r="BZ207" s="325"/>
      <c r="CA207" s="325"/>
      <c r="CB207" s="325"/>
      <c r="CC207" s="372"/>
      <c r="CD207" s="325"/>
      <c r="CE207" s="325"/>
      <c r="CF207" s="325"/>
      <c r="CG207" s="372"/>
      <c r="CH207" s="325"/>
      <c r="CI207" s="325"/>
      <c r="CJ207" s="325"/>
      <c r="CK207" s="372"/>
      <c r="CL207" s="325"/>
      <c r="CM207" s="325"/>
      <c r="CN207" s="325"/>
      <c r="CO207" s="372"/>
      <c r="CP207" s="373"/>
      <c r="CQ207" s="325"/>
      <c r="CR207" s="325"/>
      <c r="CS207" s="372"/>
      <c r="CT207" s="373"/>
      <c r="CU207" s="325"/>
      <c r="CV207" s="325"/>
      <c r="CW207" s="372"/>
      <c r="CX207" s="386"/>
      <c r="CY207" s="386"/>
      <c r="CZ207" s="386"/>
      <c r="DA207" s="388"/>
      <c r="DB207" s="386"/>
      <c r="DC207" s="386"/>
      <c r="DD207" s="386"/>
      <c r="DE207" s="388"/>
      <c r="DF207" s="386"/>
      <c r="DG207" s="386"/>
      <c r="DH207" s="386"/>
      <c r="DI207" s="388"/>
      <c r="DJ207" s="454"/>
      <c r="DK207" s="389"/>
      <c r="DL207" s="386"/>
      <c r="DM207" s="386"/>
      <c r="DN207" s="386"/>
      <c r="DO207" s="386"/>
      <c r="DP207" s="386"/>
      <c r="DQ207" s="386"/>
      <c r="DR207" s="386"/>
      <c r="DS207" s="401"/>
      <c r="DT207" s="401"/>
      <c r="DU207" s="401"/>
      <c r="DV207" s="325"/>
      <c r="DW207" s="325"/>
      <c r="DX207" s="325"/>
      <c r="DY207" s="325"/>
      <c r="DZ207" s="325"/>
      <c r="EA207" s="325"/>
      <c r="EB207" s="325"/>
      <c r="EC207" s="325"/>
      <c r="ED207" s="325"/>
      <c r="EE207" s="325"/>
      <c r="EF207" s="325"/>
      <c r="EG207" s="325"/>
      <c r="EH207" s="325"/>
      <c r="EI207" s="325"/>
      <c r="EJ207" s="325"/>
      <c r="EK207" s="325"/>
      <c r="EL207" s="325"/>
      <c r="EM207" s="325"/>
      <c r="EN207" s="325"/>
      <c r="EO207" s="325"/>
      <c r="EP207" s="389"/>
      <c r="EQ207" s="386"/>
    </row>
    <row r="208" spans="1:147" s="390" customFormat="1" ht="15" customHeight="1">
      <c r="A208" s="385"/>
      <c r="B208"/>
      <c r="C208"/>
      <c r="D208"/>
      <c r="E208"/>
      <c r="F208"/>
      <c r="G208"/>
      <c r="H208" s="386"/>
      <c r="I208" s="547" t="s">
        <v>1713</v>
      </c>
      <c r="J208" s="548"/>
      <c r="K208" s="548"/>
      <c r="L208" s="548"/>
      <c r="M208" s="549"/>
      <c r="N208" s="548"/>
      <c r="O208" s="548"/>
      <c r="P208" s="548"/>
      <c r="Q208" s="549"/>
      <c r="R208" s="548"/>
      <c r="S208" s="548"/>
      <c r="T208" s="548"/>
      <c r="U208" s="549"/>
      <c r="V208" s="548"/>
      <c r="W208" s="548"/>
      <c r="X208" s="548"/>
      <c r="Y208" s="549"/>
      <c r="Z208" s="548"/>
      <c r="AA208" s="548"/>
      <c r="AB208" s="548"/>
      <c r="AC208" s="549"/>
      <c r="AD208" s="548"/>
      <c r="AE208" s="548"/>
      <c r="AF208" s="548"/>
      <c r="AG208" s="549"/>
      <c r="AH208" s="548"/>
      <c r="AI208" s="548"/>
      <c r="AJ208" s="548"/>
      <c r="AK208" s="549"/>
      <c r="AL208" s="548"/>
      <c r="AM208" s="548"/>
      <c r="AN208" s="548"/>
      <c r="AO208" s="549"/>
      <c r="AP208" s="548"/>
      <c r="AQ208" s="548"/>
      <c r="AR208" s="548"/>
      <c r="AS208" s="549"/>
      <c r="AT208" s="548"/>
      <c r="AU208" s="548"/>
      <c r="AV208" s="548"/>
      <c r="AW208" s="549"/>
      <c r="AX208" s="548"/>
      <c r="AY208" s="548"/>
      <c r="AZ208" s="548"/>
      <c r="BA208" s="549"/>
      <c r="BB208" s="563"/>
      <c r="BC208" s="563"/>
      <c r="BD208" s="563"/>
      <c r="BE208" s="564"/>
      <c r="BF208" s="563"/>
      <c r="BG208" s="563"/>
      <c r="BH208" s="563"/>
      <c r="BI208" s="564"/>
      <c r="BJ208" s="563"/>
      <c r="BK208" s="563"/>
      <c r="BL208" s="563"/>
      <c r="BM208" s="564"/>
      <c r="BN208" s="563"/>
      <c r="BO208" s="563"/>
      <c r="BP208" s="563"/>
      <c r="BQ208" s="564"/>
      <c r="BR208" s="563"/>
      <c r="BS208" s="563"/>
      <c r="BT208" s="563"/>
      <c r="BU208" s="564"/>
      <c r="BV208" s="563"/>
      <c r="BW208" s="563"/>
      <c r="BX208" s="563"/>
      <c r="BY208" s="564"/>
      <c r="BZ208" s="563"/>
      <c r="CA208" s="563"/>
      <c r="CB208" s="563"/>
      <c r="CC208" s="564"/>
      <c r="CD208" s="563"/>
      <c r="CE208" s="563"/>
      <c r="CF208" s="563"/>
      <c r="CG208" s="564"/>
      <c r="CH208" s="563"/>
      <c r="CI208" s="563"/>
      <c r="CJ208" s="563"/>
      <c r="CK208" s="564"/>
      <c r="CL208" s="563"/>
      <c r="CM208" s="563"/>
      <c r="CN208" s="563"/>
      <c r="CO208" s="564"/>
      <c r="CP208" s="566"/>
      <c r="CQ208" s="563"/>
      <c r="CR208" s="563"/>
      <c r="CS208" s="564"/>
      <c r="CT208" s="566"/>
      <c r="CU208" s="563"/>
      <c r="CV208" s="563"/>
      <c r="CW208" s="564"/>
      <c r="CX208" s="548"/>
      <c r="CY208" s="548"/>
      <c r="CZ208" s="548"/>
      <c r="DA208" s="549"/>
      <c r="DB208" s="548"/>
      <c r="DC208" s="548"/>
      <c r="DD208" s="548"/>
      <c r="DE208" s="549"/>
      <c r="DF208" s="548"/>
      <c r="DG208" s="548"/>
      <c r="DH208" s="548"/>
      <c r="DI208" s="549"/>
      <c r="DJ208" s="454"/>
      <c r="DK208" s="550"/>
      <c r="DL208" s="548"/>
      <c r="DM208" s="548"/>
      <c r="DN208" s="548"/>
      <c r="DO208" s="548"/>
      <c r="DP208" s="548"/>
      <c r="DQ208" s="548"/>
      <c r="DR208" s="548"/>
      <c r="DS208" s="565"/>
      <c r="DT208" s="565"/>
      <c r="DU208" s="565"/>
      <c r="DV208" s="563"/>
      <c r="DW208" s="563"/>
      <c r="DX208" s="563"/>
      <c r="DY208" s="563"/>
      <c r="DZ208" s="563"/>
      <c r="EA208" s="563"/>
      <c r="EB208" s="563"/>
      <c r="EC208" s="563"/>
      <c r="ED208" s="563"/>
      <c r="EE208" s="563"/>
      <c r="EF208" s="563"/>
      <c r="EG208" s="563"/>
      <c r="EH208" s="563"/>
      <c r="EI208" s="563"/>
      <c r="EJ208" s="563"/>
      <c r="EK208" s="563"/>
      <c r="EL208" s="563"/>
      <c r="EM208" s="563"/>
      <c r="EN208" s="563"/>
      <c r="EO208" s="563"/>
      <c r="EP208" s="389"/>
      <c r="EQ208" s="386"/>
    </row>
    <row r="209" spans="1:147" s="390" customFormat="1" ht="15" customHeight="1">
      <c r="A209" s="385"/>
      <c r="B209"/>
      <c r="C209"/>
      <c r="D209"/>
      <c r="E209"/>
      <c r="F209"/>
      <c r="G209"/>
      <c r="H209" s="386"/>
      <c r="I209" s="370" t="s">
        <v>1714</v>
      </c>
      <c r="J209" s="548"/>
      <c r="K209" s="548"/>
      <c r="L209" s="548"/>
      <c r="M209" s="549"/>
      <c r="N209" s="548"/>
      <c r="O209" s="548"/>
      <c r="P209" s="548"/>
      <c r="Q209" s="549"/>
      <c r="R209" s="548"/>
      <c r="S209" s="548"/>
      <c r="T209" s="548"/>
      <c r="U209" s="549"/>
      <c r="V209" s="548"/>
      <c r="W209" s="548"/>
      <c r="X209" s="548"/>
      <c r="Y209" s="549"/>
      <c r="Z209" s="548"/>
      <c r="AA209" s="548"/>
      <c r="AB209" s="548"/>
      <c r="AC209" s="549"/>
      <c r="AD209" s="548"/>
      <c r="AE209" s="548"/>
      <c r="AF209" s="548"/>
      <c r="AG209" s="549"/>
      <c r="AH209" s="548"/>
      <c r="AI209" s="548"/>
      <c r="AJ209" s="548"/>
      <c r="AK209" s="549"/>
      <c r="AL209" s="548"/>
      <c r="AM209" s="548"/>
      <c r="AN209" s="548"/>
      <c r="AO209" s="549"/>
      <c r="AP209" s="548"/>
      <c r="AQ209" s="548"/>
      <c r="AR209" s="548"/>
      <c r="AS209" s="549"/>
      <c r="AT209" s="548"/>
      <c r="AU209" s="548"/>
      <c r="AV209" s="548"/>
      <c r="AW209" s="549"/>
      <c r="AX209" s="548"/>
      <c r="AY209" s="548"/>
      <c r="AZ209" s="548"/>
      <c r="BA209" s="549"/>
      <c r="BB209" s="401">
        <v>154</v>
      </c>
      <c r="BC209" s="401">
        <v>220</v>
      </c>
      <c r="BD209" s="401">
        <v>229</v>
      </c>
      <c r="BE209" s="402">
        <v>137</v>
      </c>
      <c r="BF209" s="401">
        <v>115</v>
      </c>
      <c r="BG209" s="401">
        <v>138</v>
      </c>
      <c r="BH209" s="401">
        <v>52</v>
      </c>
      <c r="BI209" s="402">
        <v>139</v>
      </c>
      <c r="BJ209" s="401">
        <v>113</v>
      </c>
      <c r="BK209" s="401">
        <v>116</v>
      </c>
      <c r="BL209" s="401">
        <v>66</v>
      </c>
      <c r="BM209" s="402">
        <v>9</v>
      </c>
      <c r="BN209" s="401">
        <v>21</v>
      </c>
      <c r="BO209" s="401">
        <v>0</v>
      </c>
      <c r="BP209" s="401">
        <v>0</v>
      </c>
      <c r="BQ209" s="402">
        <v>0</v>
      </c>
      <c r="BR209" s="507">
        <v>0</v>
      </c>
      <c r="BS209" s="401">
        <v>0</v>
      </c>
      <c r="BT209" s="401">
        <v>15</v>
      </c>
      <c r="BU209" s="402">
        <v>130</v>
      </c>
      <c r="BV209" s="725">
        <v>0</v>
      </c>
      <c r="BW209" s="725">
        <v>0</v>
      </c>
      <c r="BX209" s="725">
        <v>0</v>
      </c>
      <c r="BY209" s="726">
        <v>0</v>
      </c>
      <c r="BZ209" s="725">
        <v>0</v>
      </c>
      <c r="CA209" s="725">
        <v>0</v>
      </c>
      <c r="CB209" s="401">
        <v>0</v>
      </c>
      <c r="CC209" s="402">
        <v>0</v>
      </c>
      <c r="CD209" s="401">
        <v>0</v>
      </c>
      <c r="CE209" s="725">
        <v>0</v>
      </c>
      <c r="CF209" s="725">
        <v>0</v>
      </c>
      <c r="CG209" s="402">
        <v>0</v>
      </c>
      <c r="CH209" s="401">
        <v>13</v>
      </c>
      <c r="CI209" s="401">
        <v>62</v>
      </c>
      <c r="CJ209" s="401">
        <v>78</v>
      </c>
      <c r="CK209" s="402">
        <v>0</v>
      </c>
      <c r="CL209" s="401">
        <v>0</v>
      </c>
      <c r="CM209" s="401">
        <v>0</v>
      </c>
      <c r="CN209" s="401">
        <v>36</v>
      </c>
      <c r="CO209" s="402">
        <v>85</v>
      </c>
      <c r="CP209" s="438">
        <v>16</v>
      </c>
      <c r="CQ209" s="401">
        <v>28</v>
      </c>
      <c r="CR209" s="401">
        <v>142</v>
      </c>
      <c r="CS209" s="726">
        <v>0</v>
      </c>
      <c r="CT209" s="373">
        <v>0</v>
      </c>
      <c r="CU209" s="325">
        <v>0</v>
      </c>
      <c r="CV209" s="325">
        <v>0</v>
      </c>
      <c r="CW209" s="726">
        <v>0</v>
      </c>
      <c r="CX209" s="548"/>
      <c r="CY209" s="548"/>
      <c r="CZ209" s="548"/>
      <c r="DA209" s="549"/>
      <c r="DB209" s="548"/>
      <c r="DC209" s="548"/>
      <c r="DD209" s="548"/>
      <c r="DE209" s="549"/>
      <c r="DF209" s="548"/>
      <c r="DG209" s="548"/>
      <c r="DH209" s="548"/>
      <c r="DI209" s="549"/>
      <c r="DJ209" s="454"/>
      <c r="DK209" s="550"/>
      <c r="DL209" s="548"/>
      <c r="DM209" s="548"/>
      <c r="DN209" s="548"/>
      <c r="DO209" s="548"/>
      <c r="DP209" s="548"/>
      <c r="DQ209" s="548"/>
      <c r="DR209" s="548"/>
      <c r="DS209" s="507">
        <v>0</v>
      </c>
      <c r="DT209" s="401">
        <v>44</v>
      </c>
      <c r="DU209" s="401">
        <v>580</v>
      </c>
      <c r="DV209" s="325">
        <v>740</v>
      </c>
      <c r="DW209" s="325">
        <v>444</v>
      </c>
      <c r="DX209" s="325">
        <v>304</v>
      </c>
      <c r="DY209" s="325">
        <v>21</v>
      </c>
      <c r="DZ209" s="325">
        <v>145</v>
      </c>
      <c r="EA209" s="325">
        <v>0</v>
      </c>
      <c r="EB209" s="325">
        <v>0</v>
      </c>
      <c r="EC209" s="325">
        <v>0</v>
      </c>
      <c r="ED209" s="725">
        <v>153</v>
      </c>
      <c r="EE209" s="725">
        <v>121</v>
      </c>
      <c r="EF209" s="725">
        <v>186</v>
      </c>
      <c r="EG209" s="412">
        <v>0</v>
      </c>
      <c r="EH209" s="725">
        <v>0</v>
      </c>
      <c r="EI209" s="725">
        <v>0</v>
      </c>
      <c r="EJ209" s="725">
        <v>0</v>
      </c>
      <c r="EK209" s="725">
        <v>0</v>
      </c>
      <c r="EL209" s="725">
        <v>0</v>
      </c>
      <c r="EM209" s="725">
        <v>0</v>
      </c>
      <c r="EN209" s="725">
        <v>0</v>
      </c>
      <c r="EO209" s="725">
        <v>0</v>
      </c>
      <c r="EP209" s="389"/>
      <c r="EQ209" s="386"/>
    </row>
    <row r="210" spans="1:147" s="390" customFormat="1" ht="15" customHeight="1">
      <c r="A210" s="385"/>
      <c r="B210"/>
      <c r="C210"/>
      <c r="D210"/>
      <c r="E210"/>
      <c r="F210"/>
      <c r="G210"/>
      <c r="H210" s="386"/>
      <c r="I210" s="370" t="s">
        <v>1715</v>
      </c>
      <c r="J210" s="548"/>
      <c r="K210" s="548"/>
      <c r="L210" s="548"/>
      <c r="M210" s="549"/>
      <c r="N210" s="548"/>
      <c r="O210" s="548"/>
      <c r="P210" s="548"/>
      <c r="Q210" s="549"/>
      <c r="R210" s="548"/>
      <c r="S210" s="548"/>
      <c r="T210" s="548"/>
      <c r="U210" s="549"/>
      <c r="V210" s="548"/>
      <c r="W210" s="548"/>
      <c r="X210" s="548"/>
      <c r="Y210" s="549"/>
      <c r="Z210" s="548"/>
      <c r="AA210" s="548"/>
      <c r="AB210" s="548"/>
      <c r="AC210" s="549"/>
      <c r="AD210" s="548"/>
      <c r="AE210" s="548"/>
      <c r="AF210" s="548"/>
      <c r="AG210" s="549"/>
      <c r="AH210" s="548"/>
      <c r="AI210" s="548"/>
      <c r="AJ210" s="548"/>
      <c r="AK210" s="549"/>
      <c r="AL210" s="548"/>
      <c r="AM210" s="548"/>
      <c r="AN210" s="548"/>
      <c r="AO210" s="549"/>
      <c r="AP210" s="548"/>
      <c r="AQ210" s="548"/>
      <c r="AR210" s="548"/>
      <c r="AS210" s="549"/>
      <c r="AT210" s="548"/>
      <c r="AU210" s="548"/>
      <c r="AV210" s="548"/>
      <c r="AW210" s="549"/>
      <c r="AX210" s="548"/>
      <c r="AY210" s="548"/>
      <c r="AZ210" s="548"/>
      <c r="BA210" s="549"/>
      <c r="BB210" s="401">
        <v>0</v>
      </c>
      <c r="BC210" s="401">
        <v>0</v>
      </c>
      <c r="BD210" s="401">
        <v>0</v>
      </c>
      <c r="BE210" s="402">
        <v>0</v>
      </c>
      <c r="BF210" s="401">
        <v>0</v>
      </c>
      <c r="BG210" s="401">
        <v>0</v>
      </c>
      <c r="BH210" s="401">
        <v>0</v>
      </c>
      <c r="BI210" s="402">
        <v>0</v>
      </c>
      <c r="BJ210" s="401">
        <v>0</v>
      </c>
      <c r="BK210" s="401">
        <v>0</v>
      </c>
      <c r="BL210" s="401">
        <v>60</v>
      </c>
      <c r="BM210" s="402">
        <v>38</v>
      </c>
      <c r="BN210" s="401">
        <v>0</v>
      </c>
      <c r="BO210" s="401">
        <v>0</v>
      </c>
      <c r="BP210" s="401">
        <v>0</v>
      </c>
      <c r="BQ210" s="402">
        <v>0</v>
      </c>
      <c r="BR210" s="507">
        <v>0</v>
      </c>
      <c r="BS210" s="401">
        <v>0</v>
      </c>
      <c r="BT210" s="401">
        <v>0</v>
      </c>
      <c r="BU210" s="402">
        <v>0</v>
      </c>
      <c r="BV210" s="725">
        <v>0</v>
      </c>
      <c r="BW210" s="725">
        <v>0</v>
      </c>
      <c r="BX210" s="725">
        <v>0</v>
      </c>
      <c r="BY210" s="726">
        <v>0</v>
      </c>
      <c r="BZ210" s="725">
        <v>0</v>
      </c>
      <c r="CA210" s="725">
        <v>0</v>
      </c>
      <c r="CB210" s="401">
        <v>-80</v>
      </c>
      <c r="CC210" s="402">
        <v>160</v>
      </c>
      <c r="CD210" s="401">
        <v>0</v>
      </c>
      <c r="CE210" s="725">
        <v>0</v>
      </c>
      <c r="CF210" s="725">
        <v>0</v>
      </c>
      <c r="CG210" s="402">
        <v>116</v>
      </c>
      <c r="CH210" s="401">
        <v>0</v>
      </c>
      <c r="CI210" s="725">
        <v>0</v>
      </c>
      <c r="CJ210" s="725">
        <v>0</v>
      </c>
      <c r="CK210" s="402">
        <v>0</v>
      </c>
      <c r="CL210" s="401">
        <v>0</v>
      </c>
      <c r="CM210" s="725">
        <v>0</v>
      </c>
      <c r="CN210" s="725">
        <v>0</v>
      </c>
      <c r="CO210" s="402">
        <v>0</v>
      </c>
      <c r="CP210" s="438">
        <v>0</v>
      </c>
      <c r="CQ210" s="401">
        <v>0</v>
      </c>
      <c r="CR210" s="401">
        <v>0</v>
      </c>
      <c r="CS210" s="726">
        <v>0</v>
      </c>
      <c r="CT210" s="373">
        <v>0</v>
      </c>
      <c r="CU210" s="325">
        <v>0</v>
      </c>
      <c r="CV210" s="325">
        <v>0</v>
      </c>
      <c r="CW210" s="726">
        <v>0</v>
      </c>
      <c r="CX210" s="548"/>
      <c r="CY210" s="548"/>
      <c r="CZ210" s="548"/>
      <c r="DA210" s="549"/>
      <c r="DB210" s="548"/>
      <c r="DC210" s="548"/>
      <c r="DD210" s="548"/>
      <c r="DE210" s="549"/>
      <c r="DF210" s="548"/>
      <c r="DG210" s="548"/>
      <c r="DH210" s="548"/>
      <c r="DI210" s="549"/>
      <c r="DJ210" s="454"/>
      <c r="DK210" s="550"/>
      <c r="DL210" s="548"/>
      <c r="DM210" s="548"/>
      <c r="DN210" s="548"/>
      <c r="DO210" s="548"/>
      <c r="DP210" s="548"/>
      <c r="DQ210" s="548"/>
      <c r="DR210" s="548"/>
      <c r="DS210" s="507">
        <v>0</v>
      </c>
      <c r="DT210" s="401">
        <v>2</v>
      </c>
      <c r="DU210" s="507">
        <v>0</v>
      </c>
      <c r="DV210" s="325">
        <v>0</v>
      </c>
      <c r="DW210" s="325">
        <v>0</v>
      </c>
      <c r="DX210" s="325">
        <v>98</v>
      </c>
      <c r="DY210" s="325">
        <v>0</v>
      </c>
      <c r="DZ210" s="325">
        <v>0</v>
      </c>
      <c r="EA210" s="325">
        <v>0</v>
      </c>
      <c r="EB210" s="325">
        <v>80</v>
      </c>
      <c r="EC210" s="325">
        <v>116</v>
      </c>
      <c r="ED210" s="725">
        <v>0</v>
      </c>
      <c r="EE210" s="725">
        <v>0</v>
      </c>
      <c r="EF210" s="725">
        <v>0</v>
      </c>
      <c r="EG210" s="725">
        <v>0</v>
      </c>
      <c r="EH210" s="725">
        <v>0</v>
      </c>
      <c r="EI210" s="725">
        <v>0</v>
      </c>
      <c r="EJ210" s="725">
        <v>0</v>
      </c>
      <c r="EK210" s="725">
        <v>0</v>
      </c>
      <c r="EL210" s="725">
        <v>0</v>
      </c>
      <c r="EM210" s="725">
        <v>0</v>
      </c>
      <c r="EN210" s="725">
        <v>0</v>
      </c>
      <c r="EO210" s="725">
        <v>0</v>
      </c>
      <c r="EP210" s="389"/>
      <c r="EQ210" s="386"/>
    </row>
    <row r="211" spans="1:147" s="390" customFormat="1" ht="15" customHeight="1">
      <c r="A211" s="385"/>
      <c r="B211"/>
      <c r="C211"/>
      <c r="D211"/>
      <c r="E211"/>
      <c r="F211"/>
      <c r="G211"/>
      <c r="H211" s="386"/>
      <c r="I211" s="370" t="s">
        <v>1716</v>
      </c>
      <c r="J211" s="548"/>
      <c r="K211" s="548"/>
      <c r="L211" s="548"/>
      <c r="M211" s="549"/>
      <c r="N211" s="548"/>
      <c r="O211" s="548"/>
      <c r="P211" s="548"/>
      <c r="Q211" s="549"/>
      <c r="R211" s="548"/>
      <c r="S211" s="548"/>
      <c r="T211" s="548"/>
      <c r="U211" s="549"/>
      <c r="V211" s="548"/>
      <c r="W211" s="548"/>
      <c r="X211" s="548"/>
      <c r="Y211" s="549"/>
      <c r="Z211" s="548"/>
      <c r="AA211" s="548"/>
      <c r="AB211" s="548"/>
      <c r="AC211" s="549"/>
      <c r="AD211" s="548"/>
      <c r="AE211" s="548"/>
      <c r="AF211" s="548"/>
      <c r="AG211" s="549"/>
      <c r="AH211" s="548"/>
      <c r="AI211" s="548"/>
      <c r="AJ211" s="548"/>
      <c r="AK211" s="549"/>
      <c r="AL211" s="548"/>
      <c r="AM211" s="548"/>
      <c r="AN211" s="548"/>
      <c r="AO211" s="549"/>
      <c r="AP211" s="548"/>
      <c r="AQ211" s="548"/>
      <c r="AR211" s="548"/>
      <c r="AS211" s="549"/>
      <c r="AT211" s="548"/>
      <c r="AU211" s="548"/>
      <c r="AV211" s="548"/>
      <c r="AW211" s="549"/>
      <c r="AX211" s="548"/>
      <c r="AY211" s="548"/>
      <c r="AZ211" s="548"/>
      <c r="BA211" s="549"/>
      <c r="BB211" s="401">
        <v>-161</v>
      </c>
      <c r="BC211" s="401">
        <v>-139</v>
      </c>
      <c r="BD211" s="401">
        <v>-25</v>
      </c>
      <c r="BE211" s="402">
        <v>-92</v>
      </c>
      <c r="BF211" s="401">
        <v>-187</v>
      </c>
      <c r="BG211" s="401">
        <v>-115</v>
      </c>
      <c r="BH211" s="401">
        <v>-80</v>
      </c>
      <c r="BI211" s="402">
        <v>-121</v>
      </c>
      <c r="BJ211" s="401">
        <v>-26</v>
      </c>
      <c r="BK211" s="401">
        <v>0</v>
      </c>
      <c r="BL211" s="401">
        <v>0</v>
      </c>
      <c r="BM211" s="402">
        <v>0</v>
      </c>
      <c r="BN211" s="507">
        <v>0</v>
      </c>
      <c r="BO211" s="401">
        <v>0</v>
      </c>
      <c r="BP211" s="401">
        <v>0</v>
      </c>
      <c r="BQ211" s="727">
        <v>0</v>
      </c>
      <c r="BR211" s="507">
        <v>0</v>
      </c>
      <c r="BS211" s="401">
        <v>-100</v>
      </c>
      <c r="BT211" s="401">
        <v>-44</v>
      </c>
      <c r="BU211" s="402">
        <v>-1</v>
      </c>
      <c r="BV211" s="401">
        <v>0</v>
      </c>
      <c r="BW211" s="725">
        <v>0</v>
      </c>
      <c r="BX211" s="725">
        <v>0</v>
      </c>
      <c r="BY211" s="726">
        <v>0</v>
      </c>
      <c r="BZ211" s="725">
        <v>0</v>
      </c>
      <c r="CA211" s="725">
        <v>0</v>
      </c>
      <c r="CB211" s="401">
        <v>0</v>
      </c>
      <c r="CC211" s="402">
        <v>-135</v>
      </c>
      <c r="CD211" s="401">
        <v>-20</v>
      </c>
      <c r="CE211" s="401">
        <v>-39</v>
      </c>
      <c r="CF211" s="401">
        <v>0</v>
      </c>
      <c r="CG211" s="402">
        <v>-150</v>
      </c>
      <c r="CH211" s="401">
        <v>0</v>
      </c>
      <c r="CI211" s="401">
        <v>0</v>
      </c>
      <c r="CJ211" s="401">
        <v>0</v>
      </c>
      <c r="CK211" s="402">
        <v>-65</v>
      </c>
      <c r="CL211" s="401">
        <v>-9</v>
      </c>
      <c r="CM211" s="401">
        <v>-47</v>
      </c>
      <c r="CN211" s="401">
        <v>-102</v>
      </c>
      <c r="CO211" s="402">
        <v>-63</v>
      </c>
      <c r="CP211" s="438">
        <v>-80</v>
      </c>
      <c r="CQ211" s="401">
        <v>-123</v>
      </c>
      <c r="CR211" s="401">
        <v>-45</v>
      </c>
      <c r="CS211" s="726">
        <v>0</v>
      </c>
      <c r="CT211" s="373">
        <v>0</v>
      </c>
      <c r="CU211" s="325">
        <v>0</v>
      </c>
      <c r="CV211" s="325">
        <v>0</v>
      </c>
      <c r="CW211" s="726">
        <v>0</v>
      </c>
      <c r="CX211" s="548"/>
      <c r="CY211" s="548"/>
      <c r="CZ211" s="548"/>
      <c r="DA211" s="549"/>
      <c r="DB211" s="548"/>
      <c r="DC211" s="548"/>
      <c r="DD211" s="548"/>
      <c r="DE211" s="549"/>
      <c r="DF211" s="548"/>
      <c r="DG211" s="548"/>
      <c r="DH211" s="548"/>
      <c r="DI211" s="549"/>
      <c r="DJ211" s="454"/>
      <c r="DK211" s="550"/>
      <c r="DL211" s="548"/>
      <c r="DM211" s="548"/>
      <c r="DN211" s="548"/>
      <c r="DO211" s="548"/>
      <c r="DP211" s="548"/>
      <c r="DQ211" s="548"/>
      <c r="DR211" s="548"/>
      <c r="DS211" s="507">
        <v>0</v>
      </c>
      <c r="DT211" s="401">
        <v>-425</v>
      </c>
      <c r="DU211" s="401">
        <v>-800</v>
      </c>
      <c r="DV211" s="325">
        <v>-417</v>
      </c>
      <c r="DW211" s="325">
        <v>-503</v>
      </c>
      <c r="DX211" s="325">
        <v>-26</v>
      </c>
      <c r="DY211" s="325">
        <v>0</v>
      </c>
      <c r="DZ211" s="325">
        <v>-145</v>
      </c>
      <c r="EA211" s="325">
        <v>0</v>
      </c>
      <c r="EB211" s="325">
        <v>-135</v>
      </c>
      <c r="EC211" s="325">
        <v>-209</v>
      </c>
      <c r="ED211" s="725">
        <v>-65</v>
      </c>
      <c r="EE211" s="725">
        <v>-221</v>
      </c>
      <c r="EF211" s="725">
        <v>-248</v>
      </c>
      <c r="EG211" s="725">
        <v>0</v>
      </c>
      <c r="EH211" s="725">
        <v>0</v>
      </c>
      <c r="EI211" s="725">
        <v>0</v>
      </c>
      <c r="EJ211" s="725">
        <v>0</v>
      </c>
      <c r="EK211" s="725">
        <v>0</v>
      </c>
      <c r="EL211" s="725">
        <v>0</v>
      </c>
      <c r="EM211" s="725">
        <v>0</v>
      </c>
      <c r="EN211" s="725">
        <v>0</v>
      </c>
      <c r="EO211" s="725">
        <v>0</v>
      </c>
      <c r="EP211" s="389"/>
      <c r="EQ211" s="386"/>
    </row>
    <row r="212" spans="1:147" s="390" customFormat="1" ht="15" customHeight="1">
      <c r="A212" s="385"/>
      <c r="B212"/>
      <c r="C212"/>
      <c r="D212"/>
      <c r="E212"/>
      <c r="F212"/>
      <c r="G212"/>
      <c r="H212" s="386"/>
      <c r="I212" s="370" t="s">
        <v>133</v>
      </c>
      <c r="J212" s="399"/>
      <c r="K212" s="399"/>
      <c r="L212" s="399"/>
      <c r="M212" s="400"/>
      <c r="N212" s="399"/>
      <c r="O212" s="399"/>
      <c r="P212" s="399"/>
      <c r="Q212" s="400"/>
      <c r="R212" s="399"/>
      <c r="S212" s="399"/>
      <c r="T212" s="399"/>
      <c r="U212" s="400"/>
      <c r="V212" s="399"/>
      <c r="W212" s="399"/>
      <c r="X212" s="399"/>
      <c r="Y212" s="400"/>
      <c r="Z212" s="399"/>
      <c r="AA212" s="399"/>
      <c r="AB212" s="399"/>
      <c r="AC212" s="400"/>
      <c r="AD212" s="399"/>
      <c r="AE212" s="399"/>
      <c r="AF212" s="399"/>
      <c r="AG212" s="400"/>
      <c r="AH212" s="399"/>
      <c r="AI212" s="399"/>
      <c r="AJ212" s="399"/>
      <c r="AK212" s="400"/>
      <c r="AL212" s="399"/>
      <c r="AM212" s="399"/>
      <c r="AN212" s="399"/>
      <c r="AO212" s="400"/>
      <c r="AP212" s="399"/>
      <c r="AQ212" s="399"/>
      <c r="AR212" s="399"/>
      <c r="AS212" s="400"/>
      <c r="AT212" s="399"/>
      <c r="AU212" s="399"/>
      <c r="AV212" s="399"/>
      <c r="AW212" s="400"/>
      <c r="AX212" s="399"/>
      <c r="AY212" s="399"/>
      <c r="AZ212" s="399"/>
      <c r="BA212" s="400"/>
      <c r="BB212" s="401">
        <v>-4</v>
      </c>
      <c r="BC212" s="401">
        <v>-14</v>
      </c>
      <c r="BD212" s="401">
        <v>-29</v>
      </c>
      <c r="BE212" s="402">
        <v>-25</v>
      </c>
      <c r="BF212" s="401">
        <v>-9</v>
      </c>
      <c r="BG212" s="401">
        <v>-17</v>
      </c>
      <c r="BH212" s="401">
        <v>-20</v>
      </c>
      <c r="BI212" s="402">
        <v>-27</v>
      </c>
      <c r="BJ212" s="401">
        <v>-17</v>
      </c>
      <c r="BK212" s="401">
        <v>-19</v>
      </c>
      <c r="BL212" s="401">
        <v>-22</v>
      </c>
      <c r="BM212" s="402">
        <v>-16</v>
      </c>
      <c r="BN212" s="401">
        <v>-37</v>
      </c>
      <c r="BO212" s="401">
        <v>-25</v>
      </c>
      <c r="BP212" s="401">
        <v>-28</v>
      </c>
      <c r="BQ212" s="402">
        <v>-17</v>
      </c>
      <c r="BR212" s="401">
        <v>-21</v>
      </c>
      <c r="BS212" s="401">
        <v>-28</v>
      </c>
      <c r="BT212" s="401">
        <v>-46</v>
      </c>
      <c r="BU212" s="402">
        <v>-16</v>
      </c>
      <c r="BV212" s="401">
        <v>-27</v>
      </c>
      <c r="BW212" s="401">
        <v>-44</v>
      </c>
      <c r="BX212" s="401">
        <v>-28</v>
      </c>
      <c r="BY212" s="402">
        <v>-37</v>
      </c>
      <c r="BZ212" s="401">
        <v>-21</v>
      </c>
      <c r="CA212" s="401">
        <v>-31</v>
      </c>
      <c r="CB212" s="401">
        <v>-34</v>
      </c>
      <c r="CC212" s="402">
        <v>-69</v>
      </c>
      <c r="CD212" s="401">
        <v>-31</v>
      </c>
      <c r="CE212" s="401">
        <v>-30</v>
      </c>
      <c r="CF212" s="401">
        <v>-36</v>
      </c>
      <c r="CG212" s="402">
        <v>-34</v>
      </c>
      <c r="CH212" s="401">
        <v>-18</v>
      </c>
      <c r="CI212" s="401">
        <v>-27</v>
      </c>
      <c r="CJ212" s="401">
        <v>-34</v>
      </c>
      <c r="CK212" s="402">
        <v>-37</v>
      </c>
      <c r="CL212" s="401">
        <v>-19</v>
      </c>
      <c r="CM212" s="401">
        <v>-13</v>
      </c>
      <c r="CN212" s="401">
        <v>-24</v>
      </c>
      <c r="CO212" s="402">
        <v>-22</v>
      </c>
      <c r="CP212" s="438">
        <v>-22</v>
      </c>
      <c r="CQ212" s="401">
        <v>-14</v>
      </c>
      <c r="CR212" s="401">
        <v>-23</v>
      </c>
      <c r="CS212" s="413">
        <v>-52.481327704248969</v>
      </c>
      <c r="CT212" s="373">
        <v>-17.191662591723244</v>
      </c>
      <c r="CU212" s="325">
        <v>-10.67822166281899</v>
      </c>
      <c r="CV212" s="325">
        <v>-48.614856077654416</v>
      </c>
      <c r="CW212" s="413">
        <v>-81.90392553173028</v>
      </c>
      <c r="CX212" s="409"/>
      <c r="CY212" s="409"/>
      <c r="CZ212" s="409"/>
      <c r="DA212" s="410"/>
      <c r="DB212" s="409"/>
      <c r="DC212" s="409"/>
      <c r="DD212" s="409"/>
      <c r="DE212" s="410"/>
      <c r="DF212" s="409"/>
      <c r="DG212" s="409"/>
      <c r="DH212" s="409"/>
      <c r="DI212" s="410"/>
      <c r="DJ212" s="454"/>
      <c r="DK212" s="411"/>
      <c r="DL212" s="399"/>
      <c r="DM212" s="399"/>
      <c r="DN212" s="399"/>
      <c r="DO212" s="399"/>
      <c r="DP212" s="399"/>
      <c r="DQ212" s="399"/>
      <c r="DR212" s="399"/>
      <c r="DS212" s="401">
        <v>-46</v>
      </c>
      <c r="DT212" s="401">
        <v>-69</v>
      </c>
      <c r="DU212" s="401">
        <v>-97</v>
      </c>
      <c r="DV212" s="325">
        <v>-72</v>
      </c>
      <c r="DW212" s="325">
        <v>-73</v>
      </c>
      <c r="DX212" s="325">
        <v>-74</v>
      </c>
      <c r="DY212" s="325">
        <v>-107</v>
      </c>
      <c r="DZ212" s="325">
        <v>-111</v>
      </c>
      <c r="EA212" s="325">
        <v>-136</v>
      </c>
      <c r="EB212" s="325">
        <v>-155</v>
      </c>
      <c r="EC212" s="325">
        <v>-131</v>
      </c>
      <c r="ED212" s="412">
        <v>-116</v>
      </c>
      <c r="EE212" s="412">
        <v>-78</v>
      </c>
      <c r="EF212" s="412">
        <v>-111.48132770424897</v>
      </c>
      <c r="EG212" s="412">
        <v>-158.38866586392692</v>
      </c>
      <c r="EH212" s="412">
        <v>-179.47453844523935</v>
      </c>
      <c r="EI212" s="412">
        <v>-166.73427632066</v>
      </c>
      <c r="EJ212" s="412">
        <v>-159.94100393210522</v>
      </c>
      <c r="EK212" s="412">
        <v>-170.48098229717931</v>
      </c>
      <c r="EL212" s="412">
        <v>-164.440268026974</v>
      </c>
      <c r="EM212" s="412">
        <v>-165.54599359868973</v>
      </c>
      <c r="EN212" s="412">
        <v>-164.6454905964784</v>
      </c>
      <c r="EO212" s="412">
        <v>-177.23893753793081</v>
      </c>
      <c r="EP212" s="389"/>
      <c r="EQ212" s="386"/>
    </row>
    <row r="213" spans="1:147" s="390" customFormat="1" ht="15" customHeight="1">
      <c r="A213" s="385"/>
      <c r="B213"/>
      <c r="C213"/>
      <c r="D213"/>
      <c r="E213"/>
      <c r="F213"/>
      <c r="G213"/>
      <c r="H213" s="386"/>
      <c r="I213" s="370" t="s">
        <v>321</v>
      </c>
      <c r="J213" s="399"/>
      <c r="K213" s="399"/>
      <c r="L213" s="399"/>
      <c r="M213" s="400"/>
      <c r="N213" s="399"/>
      <c r="O213" s="399"/>
      <c r="P213" s="399"/>
      <c r="Q213" s="400"/>
      <c r="R213" s="399"/>
      <c r="S213" s="399"/>
      <c r="T213" s="399"/>
      <c r="U213" s="400"/>
      <c r="V213" s="399"/>
      <c r="W213" s="399"/>
      <c r="X213" s="399"/>
      <c r="Y213" s="400"/>
      <c r="Z213" s="399"/>
      <c r="AA213" s="399"/>
      <c r="AB213" s="399"/>
      <c r="AC213" s="400"/>
      <c r="AD213" s="399"/>
      <c r="AE213" s="399"/>
      <c r="AF213" s="399"/>
      <c r="AG213" s="400"/>
      <c r="AH213" s="399"/>
      <c r="AI213" s="399"/>
      <c r="AJ213" s="399"/>
      <c r="AK213" s="400"/>
      <c r="AL213" s="399"/>
      <c r="AM213" s="399"/>
      <c r="AN213" s="399"/>
      <c r="AO213" s="400"/>
      <c r="AP213" s="399"/>
      <c r="AQ213" s="399"/>
      <c r="AR213" s="399"/>
      <c r="AS213" s="400"/>
      <c r="AT213" s="399"/>
      <c r="AU213" s="399"/>
      <c r="AV213" s="399"/>
      <c r="AW213" s="400"/>
      <c r="AX213" s="399"/>
      <c r="AY213" s="399"/>
      <c r="AZ213" s="399"/>
      <c r="BA213" s="400"/>
      <c r="BB213" s="401">
        <v>0</v>
      </c>
      <c r="BC213" s="401">
        <v>0</v>
      </c>
      <c r="BD213" s="401">
        <v>0</v>
      </c>
      <c r="BE213" s="402">
        <v>0</v>
      </c>
      <c r="BF213" s="401">
        <v>0</v>
      </c>
      <c r="BG213" s="401">
        <v>0</v>
      </c>
      <c r="BH213" s="401">
        <v>0</v>
      </c>
      <c r="BI213" s="402">
        <v>0</v>
      </c>
      <c r="BJ213" s="401">
        <v>0</v>
      </c>
      <c r="BK213" s="401">
        <v>0</v>
      </c>
      <c r="BL213" s="401">
        <v>0</v>
      </c>
      <c r="BM213" s="402">
        <v>0</v>
      </c>
      <c r="BN213" s="401">
        <v>0</v>
      </c>
      <c r="BO213" s="401">
        <v>0</v>
      </c>
      <c r="BP213" s="401">
        <v>0</v>
      </c>
      <c r="BQ213" s="402">
        <v>0</v>
      </c>
      <c r="BR213" s="401">
        <v>0</v>
      </c>
      <c r="BS213" s="401">
        <v>5</v>
      </c>
      <c r="BT213" s="401">
        <v>-5</v>
      </c>
      <c r="BU213" s="402">
        <v>-46</v>
      </c>
      <c r="BV213" s="401">
        <v>-4588</v>
      </c>
      <c r="BW213" s="401">
        <v>0</v>
      </c>
      <c r="BX213" s="401">
        <v>0</v>
      </c>
      <c r="BY213" s="402">
        <v>0</v>
      </c>
      <c r="BZ213" s="401">
        <v>0</v>
      </c>
      <c r="CA213" s="401">
        <v>0</v>
      </c>
      <c r="CB213" s="401">
        <v>0</v>
      </c>
      <c r="CC213" s="402">
        <v>0</v>
      </c>
      <c r="CD213" s="401">
        <v>0</v>
      </c>
      <c r="CE213" s="401">
        <v>0</v>
      </c>
      <c r="CF213" s="401">
        <v>0</v>
      </c>
      <c r="CG213" s="402">
        <v>0</v>
      </c>
      <c r="CH213" s="401">
        <v>0</v>
      </c>
      <c r="CI213" s="401">
        <v>0</v>
      </c>
      <c r="CJ213" s="401">
        <v>0</v>
      </c>
      <c r="CK213" s="402">
        <v>0</v>
      </c>
      <c r="CL213" s="401">
        <v>0</v>
      </c>
      <c r="CM213" s="401">
        <v>0</v>
      </c>
      <c r="CN213" s="401">
        <v>0</v>
      </c>
      <c r="CO213" s="402">
        <v>0</v>
      </c>
      <c r="CP213" s="438">
        <v>0</v>
      </c>
      <c r="CQ213" s="401">
        <v>0</v>
      </c>
      <c r="CR213" s="401">
        <v>0</v>
      </c>
      <c r="CS213" s="402">
        <v>0</v>
      </c>
      <c r="CT213" s="373">
        <v>0</v>
      </c>
      <c r="CU213" s="325">
        <v>0</v>
      </c>
      <c r="CV213" s="325">
        <v>0</v>
      </c>
      <c r="CW213" s="402">
        <v>0</v>
      </c>
      <c r="CX213" s="399"/>
      <c r="CY213" s="399"/>
      <c r="CZ213" s="399"/>
      <c r="DA213" s="400"/>
      <c r="DB213" s="399"/>
      <c r="DC213" s="399"/>
      <c r="DD213" s="399"/>
      <c r="DE213" s="400"/>
      <c r="DF213" s="399"/>
      <c r="DG213" s="399"/>
      <c r="DH213" s="399"/>
      <c r="DI213" s="400"/>
      <c r="DJ213" s="454"/>
      <c r="DK213" s="411"/>
      <c r="DL213" s="399"/>
      <c r="DM213" s="399"/>
      <c r="DN213" s="399"/>
      <c r="DO213" s="399"/>
      <c r="DP213" s="399"/>
      <c r="DQ213" s="399"/>
      <c r="DR213" s="399"/>
      <c r="DS213" s="401">
        <v>1120</v>
      </c>
      <c r="DT213" s="401">
        <v>0</v>
      </c>
      <c r="DU213" s="401">
        <v>0</v>
      </c>
      <c r="DV213" s="325">
        <v>0</v>
      </c>
      <c r="DW213" s="325">
        <v>0</v>
      </c>
      <c r="DX213" s="325">
        <v>0</v>
      </c>
      <c r="DY213" s="325">
        <v>0</v>
      </c>
      <c r="DZ213" s="325">
        <v>-46</v>
      </c>
      <c r="EA213" s="325">
        <v>-4588</v>
      </c>
      <c r="EB213" s="325">
        <v>0</v>
      </c>
      <c r="EC213" s="325">
        <v>0</v>
      </c>
      <c r="ED213" s="401">
        <v>0</v>
      </c>
      <c r="EE213" s="401">
        <v>0</v>
      </c>
      <c r="EF213" s="401">
        <v>0</v>
      </c>
      <c r="EG213" s="401">
        <v>0</v>
      </c>
      <c r="EH213" s="401">
        <v>0</v>
      </c>
      <c r="EI213" s="401">
        <v>0</v>
      </c>
      <c r="EJ213" s="401">
        <v>0</v>
      </c>
      <c r="EK213" s="401">
        <v>0</v>
      </c>
      <c r="EL213" s="401">
        <v>0</v>
      </c>
      <c r="EM213" s="401">
        <v>0</v>
      </c>
      <c r="EN213" s="401">
        <v>0</v>
      </c>
      <c r="EO213" s="401">
        <v>0</v>
      </c>
      <c r="EP213" s="389"/>
      <c r="EQ213" s="386"/>
    </row>
    <row r="214" spans="1:147" s="390" customFormat="1" ht="15" customHeight="1">
      <c r="A214" s="385"/>
      <c r="B214"/>
      <c r="C214"/>
      <c r="D214"/>
      <c r="E214"/>
      <c r="F214"/>
      <c r="G214"/>
      <c r="H214" s="386"/>
      <c r="I214" s="370" t="s">
        <v>1717</v>
      </c>
      <c r="J214" s="399"/>
      <c r="K214" s="399"/>
      <c r="L214" s="399"/>
      <c r="M214" s="400"/>
      <c r="N214" s="399"/>
      <c r="O214" s="399"/>
      <c r="P214" s="399"/>
      <c r="Q214" s="400"/>
      <c r="R214" s="399"/>
      <c r="S214" s="399"/>
      <c r="T214" s="399"/>
      <c r="U214" s="400"/>
      <c r="V214" s="399"/>
      <c r="W214" s="399"/>
      <c r="X214" s="399"/>
      <c r="Y214" s="400"/>
      <c r="Z214" s="399"/>
      <c r="AA214" s="399"/>
      <c r="AB214" s="399"/>
      <c r="AC214" s="400"/>
      <c r="AD214" s="399"/>
      <c r="AE214" s="399"/>
      <c r="AF214" s="399"/>
      <c r="AG214" s="400"/>
      <c r="AH214" s="399"/>
      <c r="AI214" s="399"/>
      <c r="AJ214" s="399"/>
      <c r="AK214" s="400"/>
      <c r="AL214" s="399"/>
      <c r="AM214" s="399"/>
      <c r="AN214" s="399"/>
      <c r="AO214" s="400"/>
      <c r="AP214" s="399"/>
      <c r="AQ214" s="399"/>
      <c r="AR214" s="399"/>
      <c r="AS214" s="400"/>
      <c r="AT214" s="399"/>
      <c r="AU214" s="399"/>
      <c r="AV214" s="399"/>
      <c r="AW214" s="400"/>
      <c r="AX214" s="399"/>
      <c r="AY214" s="399"/>
      <c r="AZ214" s="399"/>
      <c r="BA214" s="400"/>
      <c r="BB214" s="401">
        <v>0</v>
      </c>
      <c r="BC214" s="401">
        <v>10</v>
      </c>
      <c r="BD214" s="401">
        <v>-28</v>
      </c>
      <c r="BE214" s="402">
        <v>26</v>
      </c>
      <c r="BF214" s="401">
        <v>4</v>
      </c>
      <c r="BG214" s="401">
        <v>-3</v>
      </c>
      <c r="BH214" s="401">
        <v>-23</v>
      </c>
      <c r="BI214" s="402">
        <v>20</v>
      </c>
      <c r="BJ214" s="401">
        <v>10</v>
      </c>
      <c r="BK214" s="401">
        <v>-1</v>
      </c>
      <c r="BL214" s="401">
        <v>-18</v>
      </c>
      <c r="BM214" s="402">
        <v>15</v>
      </c>
      <c r="BN214" s="401">
        <v>4</v>
      </c>
      <c r="BO214" s="401">
        <v>3</v>
      </c>
      <c r="BP214" s="401">
        <v>-18</v>
      </c>
      <c r="BQ214" s="402">
        <v>13</v>
      </c>
      <c r="BR214" s="725">
        <v>0</v>
      </c>
      <c r="BS214" s="725">
        <v>0</v>
      </c>
      <c r="BT214" s="725">
        <v>0</v>
      </c>
      <c r="BU214" s="402">
        <v>2</v>
      </c>
      <c r="BV214" s="401">
        <v>-14</v>
      </c>
      <c r="BW214" s="401">
        <v>-1</v>
      </c>
      <c r="BX214" s="401">
        <v>-4</v>
      </c>
      <c r="BY214" s="726">
        <v>5</v>
      </c>
      <c r="BZ214" s="725">
        <v>0</v>
      </c>
      <c r="CA214" s="401">
        <v>0</v>
      </c>
      <c r="CB214" s="401">
        <v>0</v>
      </c>
      <c r="CC214" s="402">
        <v>13</v>
      </c>
      <c r="CD214" s="401">
        <v>0</v>
      </c>
      <c r="CE214" s="401">
        <v>0</v>
      </c>
      <c r="CF214" s="401">
        <v>0</v>
      </c>
      <c r="CG214" s="402">
        <v>0</v>
      </c>
      <c r="CH214" s="401">
        <v>0</v>
      </c>
      <c r="CI214" s="401">
        <v>0</v>
      </c>
      <c r="CJ214" s="401">
        <v>0</v>
      </c>
      <c r="CK214" s="402">
        <v>0</v>
      </c>
      <c r="CL214" s="401">
        <v>0</v>
      </c>
      <c r="CM214" s="401">
        <v>0</v>
      </c>
      <c r="CN214" s="401">
        <v>0</v>
      </c>
      <c r="CO214" s="402">
        <v>0</v>
      </c>
      <c r="CP214" s="438">
        <v>0</v>
      </c>
      <c r="CQ214" s="401">
        <v>0</v>
      </c>
      <c r="CR214" s="401">
        <v>0</v>
      </c>
      <c r="CS214" s="726">
        <v>0</v>
      </c>
      <c r="CT214" s="373">
        <v>0</v>
      </c>
      <c r="CU214" s="325">
        <v>0</v>
      </c>
      <c r="CV214" s="325">
        <v>0</v>
      </c>
      <c r="CW214" s="726">
        <v>0</v>
      </c>
      <c r="CX214" s="399"/>
      <c r="CY214" s="399"/>
      <c r="CZ214" s="399"/>
      <c r="DA214" s="400"/>
      <c r="DB214" s="399"/>
      <c r="DC214" s="399"/>
      <c r="DD214" s="399"/>
      <c r="DE214" s="400"/>
      <c r="DF214" s="399"/>
      <c r="DG214" s="399"/>
      <c r="DH214" s="399"/>
      <c r="DI214" s="400"/>
      <c r="DJ214" s="454"/>
      <c r="DK214" s="411"/>
      <c r="DL214" s="399"/>
      <c r="DM214" s="399"/>
      <c r="DN214" s="399"/>
      <c r="DO214" s="399"/>
      <c r="DP214" s="399"/>
      <c r="DQ214" s="399"/>
      <c r="DR214" s="399"/>
      <c r="DS214" s="401">
        <v>18</v>
      </c>
      <c r="DT214" s="401">
        <v>5</v>
      </c>
      <c r="DU214" s="401">
        <v>9</v>
      </c>
      <c r="DV214" s="325">
        <v>8</v>
      </c>
      <c r="DW214" s="325">
        <v>-2</v>
      </c>
      <c r="DX214" s="325">
        <v>6</v>
      </c>
      <c r="DY214" s="325">
        <v>2</v>
      </c>
      <c r="DZ214" s="325">
        <v>2</v>
      </c>
      <c r="EA214" s="325">
        <v>-14</v>
      </c>
      <c r="EB214" s="325">
        <v>13</v>
      </c>
      <c r="EC214" s="325">
        <v>0</v>
      </c>
      <c r="ED214" s="725">
        <v>0</v>
      </c>
      <c r="EE214" s="725">
        <v>0</v>
      </c>
      <c r="EF214" s="725">
        <v>0</v>
      </c>
      <c r="EG214" s="725">
        <v>0</v>
      </c>
      <c r="EH214" s="725">
        <v>0</v>
      </c>
      <c r="EI214" s="725">
        <v>0</v>
      </c>
      <c r="EJ214" s="725">
        <v>0</v>
      </c>
      <c r="EK214" s="725">
        <v>0</v>
      </c>
      <c r="EL214" s="725">
        <v>0</v>
      </c>
      <c r="EM214" s="725">
        <v>0</v>
      </c>
      <c r="EN214" s="725">
        <v>0</v>
      </c>
      <c r="EO214" s="725">
        <v>0</v>
      </c>
      <c r="EP214" s="389"/>
      <c r="EQ214" s="386"/>
    </row>
    <row r="215" spans="1:147" s="390" customFormat="1" ht="15" customHeight="1">
      <c r="A215" s="385"/>
      <c r="B215"/>
      <c r="C215"/>
      <c r="D215"/>
      <c r="E215"/>
      <c r="F215"/>
      <c r="G215"/>
      <c r="H215" s="386"/>
      <c r="I215" s="370" t="s">
        <v>200</v>
      </c>
      <c r="J215" s="399"/>
      <c r="K215" s="399"/>
      <c r="L215" s="399"/>
      <c r="M215" s="400"/>
      <c r="N215" s="399"/>
      <c r="O215" s="399"/>
      <c r="P215" s="399"/>
      <c r="Q215" s="400"/>
      <c r="R215" s="399"/>
      <c r="S215" s="399"/>
      <c r="T215" s="399"/>
      <c r="U215" s="400"/>
      <c r="V215" s="399"/>
      <c r="W215" s="399"/>
      <c r="X215" s="399"/>
      <c r="Y215" s="400"/>
      <c r="Z215" s="399"/>
      <c r="AA215" s="399"/>
      <c r="AB215" s="399"/>
      <c r="AC215" s="400"/>
      <c r="AD215" s="399"/>
      <c r="AE215" s="399"/>
      <c r="AF215" s="399"/>
      <c r="AG215" s="400"/>
      <c r="AH215" s="399"/>
      <c r="AI215" s="399"/>
      <c r="AJ215" s="399"/>
      <c r="AK215" s="400"/>
      <c r="AL215" s="399"/>
      <c r="AM215" s="399"/>
      <c r="AN215" s="399"/>
      <c r="AO215" s="400"/>
      <c r="AP215" s="399"/>
      <c r="AQ215" s="399"/>
      <c r="AR215" s="399"/>
      <c r="AS215" s="400"/>
      <c r="AT215" s="399"/>
      <c r="AU215" s="399"/>
      <c r="AV215" s="399"/>
      <c r="AW215" s="400"/>
      <c r="AX215" s="399"/>
      <c r="AY215" s="399"/>
      <c r="AZ215" s="399"/>
      <c r="BA215" s="400"/>
      <c r="BB215" s="401">
        <v>-3</v>
      </c>
      <c r="BC215" s="401">
        <v>0</v>
      </c>
      <c r="BD215" s="401">
        <v>0</v>
      </c>
      <c r="BE215" s="402">
        <v>10</v>
      </c>
      <c r="BF215" s="401">
        <v>0</v>
      </c>
      <c r="BG215" s="401">
        <v>0</v>
      </c>
      <c r="BH215" s="401">
        <v>0</v>
      </c>
      <c r="BI215" s="402">
        <v>10</v>
      </c>
      <c r="BJ215" s="401">
        <v>0</v>
      </c>
      <c r="BK215" s="401">
        <v>0</v>
      </c>
      <c r="BL215" s="401">
        <v>-71</v>
      </c>
      <c r="BM215" s="402">
        <v>71</v>
      </c>
      <c r="BN215" s="401">
        <v>0</v>
      </c>
      <c r="BO215" s="401">
        <v>0</v>
      </c>
      <c r="BP215" s="401">
        <v>0</v>
      </c>
      <c r="BQ215" s="402">
        <v>0</v>
      </c>
      <c r="BR215" s="401">
        <v>5</v>
      </c>
      <c r="BS215" s="401">
        <v>-5</v>
      </c>
      <c r="BT215" s="401">
        <v>-15</v>
      </c>
      <c r="BU215" s="402">
        <v>-3546</v>
      </c>
      <c r="BV215" s="401">
        <v>3561</v>
      </c>
      <c r="BW215" s="401">
        <v>0</v>
      </c>
      <c r="BX215" s="401">
        <v>-5</v>
      </c>
      <c r="BY215" s="372">
        <v>5</v>
      </c>
      <c r="BZ215" s="401">
        <v>-2</v>
      </c>
      <c r="CA215" s="401">
        <v>13</v>
      </c>
      <c r="CB215" s="401">
        <v>-1</v>
      </c>
      <c r="CC215" s="402">
        <v>-10</v>
      </c>
      <c r="CD215" s="401">
        <v>0</v>
      </c>
      <c r="CE215" s="401">
        <v>-4</v>
      </c>
      <c r="CF215" s="401">
        <v>0</v>
      </c>
      <c r="CG215" s="402">
        <v>-2</v>
      </c>
      <c r="CH215" s="401">
        <v>0</v>
      </c>
      <c r="CI215" s="401">
        <v>7</v>
      </c>
      <c r="CJ215" s="401">
        <v>-2</v>
      </c>
      <c r="CK215" s="402">
        <v>-1</v>
      </c>
      <c r="CL215" s="401">
        <v>0</v>
      </c>
      <c r="CM215" s="401">
        <v>0</v>
      </c>
      <c r="CN215" s="401">
        <v>0</v>
      </c>
      <c r="CO215" s="402">
        <v>0</v>
      </c>
      <c r="CP215" s="438">
        <v>0</v>
      </c>
      <c r="CQ215" s="401">
        <v>21</v>
      </c>
      <c r="CR215" s="401">
        <v>-1</v>
      </c>
      <c r="CS215" s="372">
        <v>0</v>
      </c>
      <c r="CT215" s="373">
        <v>0</v>
      </c>
      <c r="CU215" s="325">
        <v>0</v>
      </c>
      <c r="CV215" s="325">
        <v>0</v>
      </c>
      <c r="CW215" s="372">
        <v>0</v>
      </c>
      <c r="CX215" s="386"/>
      <c r="CY215" s="386"/>
      <c r="CZ215" s="386"/>
      <c r="DA215" s="388"/>
      <c r="DB215" s="386"/>
      <c r="DC215" s="386"/>
      <c r="DD215" s="386"/>
      <c r="DE215" s="388"/>
      <c r="DF215" s="386"/>
      <c r="DG215" s="386"/>
      <c r="DH215" s="386"/>
      <c r="DI215" s="388"/>
      <c r="DJ215" s="454"/>
      <c r="DK215" s="411"/>
      <c r="DL215" s="399"/>
      <c r="DM215" s="399"/>
      <c r="DN215" s="399"/>
      <c r="DO215" s="399"/>
      <c r="DP215" s="399"/>
      <c r="DQ215" s="399"/>
      <c r="DR215" s="399"/>
      <c r="DS215" s="401">
        <v>9</v>
      </c>
      <c r="DT215" s="401">
        <v>0</v>
      </c>
      <c r="DU215" s="401">
        <v>-4</v>
      </c>
      <c r="DV215" s="325">
        <v>7</v>
      </c>
      <c r="DW215" s="325">
        <v>10</v>
      </c>
      <c r="DX215" s="325">
        <v>0</v>
      </c>
      <c r="DY215" s="325">
        <v>0</v>
      </c>
      <c r="DZ215" s="325">
        <v>-3561</v>
      </c>
      <c r="EA215" s="325">
        <v>3561</v>
      </c>
      <c r="EB215" s="325">
        <v>0</v>
      </c>
      <c r="EC215" s="325">
        <v>-6</v>
      </c>
      <c r="ED215" s="325">
        <v>4</v>
      </c>
      <c r="EE215" s="325">
        <v>0</v>
      </c>
      <c r="EF215" s="325">
        <v>20</v>
      </c>
      <c r="EG215" s="325">
        <v>0</v>
      </c>
      <c r="EH215" s="325">
        <v>0</v>
      </c>
      <c r="EI215" s="325">
        <v>0</v>
      </c>
      <c r="EJ215" s="325">
        <v>0</v>
      </c>
      <c r="EK215" s="325">
        <v>0</v>
      </c>
      <c r="EL215" s="325">
        <v>0</v>
      </c>
      <c r="EM215" s="325">
        <v>0</v>
      </c>
      <c r="EN215" s="325">
        <v>0</v>
      </c>
      <c r="EO215" s="325">
        <v>0</v>
      </c>
      <c r="EP215" s="389"/>
      <c r="EQ215" s="386"/>
    </row>
    <row r="216" spans="1:147" s="390" customFormat="1" ht="15" customHeight="1">
      <c r="A216" s="385"/>
      <c r="B216"/>
      <c r="C216"/>
      <c r="D216"/>
      <c r="E216"/>
      <c r="F216"/>
      <c r="G216"/>
      <c r="H216" s="386"/>
      <c r="I216" s="517" t="s">
        <v>1718</v>
      </c>
      <c r="J216" s="552"/>
      <c r="K216" s="552"/>
      <c r="L216" s="552"/>
      <c r="M216" s="553"/>
      <c r="N216" s="552"/>
      <c r="O216" s="552"/>
      <c r="P216" s="552"/>
      <c r="Q216" s="553"/>
      <c r="R216" s="552"/>
      <c r="S216" s="552"/>
      <c r="T216" s="552"/>
      <c r="U216" s="553"/>
      <c r="V216" s="552"/>
      <c r="W216" s="552"/>
      <c r="X216" s="552"/>
      <c r="Y216" s="553"/>
      <c r="Z216" s="552"/>
      <c r="AA216" s="552"/>
      <c r="AB216" s="552"/>
      <c r="AC216" s="553"/>
      <c r="AD216" s="552"/>
      <c r="AE216" s="552"/>
      <c r="AF216" s="552"/>
      <c r="AG216" s="553"/>
      <c r="AH216" s="552"/>
      <c r="AI216" s="552"/>
      <c r="AJ216" s="552"/>
      <c r="AK216" s="553"/>
      <c r="AL216" s="552"/>
      <c r="AM216" s="552"/>
      <c r="AN216" s="552"/>
      <c r="AO216" s="553"/>
      <c r="AP216" s="552"/>
      <c r="AQ216" s="552"/>
      <c r="AR216" s="552"/>
      <c r="AS216" s="553"/>
      <c r="AT216" s="552"/>
      <c r="AU216" s="552"/>
      <c r="AV216" s="552"/>
      <c r="AW216" s="553"/>
      <c r="AX216" s="552">
        <v>0</v>
      </c>
      <c r="AY216" s="552">
        <v>0</v>
      </c>
      <c r="AZ216" s="552">
        <v>0</v>
      </c>
      <c r="BA216" s="553">
        <v>0</v>
      </c>
      <c r="BB216" s="554">
        <v>-14</v>
      </c>
      <c r="BC216" s="554">
        <v>77</v>
      </c>
      <c r="BD216" s="554">
        <v>147</v>
      </c>
      <c r="BE216" s="555">
        <v>56</v>
      </c>
      <c r="BF216" s="554">
        <v>-77</v>
      </c>
      <c r="BG216" s="554">
        <v>3</v>
      </c>
      <c r="BH216" s="554">
        <v>-71</v>
      </c>
      <c r="BI216" s="555">
        <v>21</v>
      </c>
      <c r="BJ216" s="554">
        <v>80</v>
      </c>
      <c r="BK216" s="554">
        <v>96</v>
      </c>
      <c r="BL216" s="554">
        <v>15</v>
      </c>
      <c r="BM216" s="555">
        <v>117</v>
      </c>
      <c r="BN216" s="554">
        <v>-12</v>
      </c>
      <c r="BO216" s="554">
        <v>-22</v>
      </c>
      <c r="BP216" s="554">
        <v>-46</v>
      </c>
      <c r="BQ216" s="555">
        <v>-4</v>
      </c>
      <c r="BR216" s="554">
        <v>-16</v>
      </c>
      <c r="BS216" s="554">
        <v>-128</v>
      </c>
      <c r="BT216" s="554">
        <v>-95</v>
      </c>
      <c r="BU216" s="555">
        <v>-3477</v>
      </c>
      <c r="BV216" s="554">
        <v>-1068</v>
      </c>
      <c r="BW216" s="554">
        <v>-45</v>
      </c>
      <c r="BX216" s="554">
        <v>-37</v>
      </c>
      <c r="BY216" s="555">
        <v>-27</v>
      </c>
      <c r="BZ216" s="554">
        <v>-23</v>
      </c>
      <c r="CA216" s="554">
        <v>-18</v>
      </c>
      <c r="CB216" s="554">
        <v>-115</v>
      </c>
      <c r="CC216" s="555">
        <v>-41</v>
      </c>
      <c r="CD216" s="554">
        <v>-51</v>
      </c>
      <c r="CE216" s="554">
        <v>-73</v>
      </c>
      <c r="CF216" s="554">
        <v>-36</v>
      </c>
      <c r="CG216" s="555">
        <v>-70</v>
      </c>
      <c r="CH216" s="554">
        <v>-5</v>
      </c>
      <c r="CI216" s="554">
        <v>42</v>
      </c>
      <c r="CJ216" s="554">
        <v>42</v>
      </c>
      <c r="CK216" s="555">
        <v>-103</v>
      </c>
      <c r="CL216" s="554">
        <v>-28</v>
      </c>
      <c r="CM216" s="554">
        <v>-60</v>
      </c>
      <c r="CN216" s="554">
        <v>-90</v>
      </c>
      <c r="CO216" s="555">
        <v>0</v>
      </c>
      <c r="CP216" s="557">
        <v>-86</v>
      </c>
      <c r="CQ216" s="554">
        <v>-88</v>
      </c>
      <c r="CR216" s="554">
        <v>73</v>
      </c>
      <c r="CS216" s="555">
        <v>-52.481327704248969</v>
      </c>
      <c r="CT216" s="557">
        <v>-17.191662591723244</v>
      </c>
      <c r="CU216" s="554">
        <v>-10.67822166281899</v>
      </c>
      <c r="CV216" s="554">
        <v>-48.614856077654416</v>
      </c>
      <c r="CW216" s="555">
        <v>-81.90392553173028</v>
      </c>
      <c r="CX216" s="552"/>
      <c r="CY216" s="552"/>
      <c r="CZ216" s="552"/>
      <c r="DA216" s="553"/>
      <c r="DB216" s="552"/>
      <c r="DC216" s="552"/>
      <c r="DD216" s="552"/>
      <c r="DE216" s="553"/>
      <c r="DF216" s="552"/>
      <c r="DG216" s="552"/>
      <c r="DH216" s="552"/>
      <c r="DI216" s="553"/>
      <c r="DJ216" s="454"/>
      <c r="DK216" s="558"/>
      <c r="DL216" s="552"/>
      <c r="DM216" s="552"/>
      <c r="DN216" s="552"/>
      <c r="DO216" s="552"/>
      <c r="DP216" s="552"/>
      <c r="DQ216" s="552"/>
      <c r="DR216" s="552"/>
      <c r="DS216" s="398">
        <v>1101</v>
      </c>
      <c r="DT216" s="398">
        <v>-443</v>
      </c>
      <c r="DU216" s="398">
        <v>-312</v>
      </c>
      <c r="DV216" s="394">
        <v>266</v>
      </c>
      <c r="DW216" s="394">
        <v>-124</v>
      </c>
      <c r="DX216" s="394">
        <v>308</v>
      </c>
      <c r="DY216" s="394">
        <v>-84</v>
      </c>
      <c r="DZ216" s="394">
        <v>-3716</v>
      </c>
      <c r="EA216" s="394">
        <v>-1177</v>
      </c>
      <c r="EB216" s="394">
        <v>-197</v>
      </c>
      <c r="EC216" s="394">
        <v>-230</v>
      </c>
      <c r="ED216" s="554">
        <v>-24</v>
      </c>
      <c r="EE216" s="554">
        <v>-178</v>
      </c>
      <c r="EF216" s="554">
        <v>-153.48132770424897</v>
      </c>
      <c r="EG216" s="554">
        <v>-158.38866586392692</v>
      </c>
      <c r="EH216" s="554">
        <v>-179.47453844523935</v>
      </c>
      <c r="EI216" s="554">
        <v>-166.73427632066</v>
      </c>
      <c r="EJ216" s="554">
        <v>-159.94100393210522</v>
      </c>
      <c r="EK216" s="554">
        <v>-170.48098229717931</v>
      </c>
      <c r="EL216" s="554">
        <v>-164.440268026974</v>
      </c>
      <c r="EM216" s="554">
        <v>-165.54599359868973</v>
      </c>
      <c r="EN216" s="554">
        <v>-164.6454905964784</v>
      </c>
      <c r="EO216" s="554">
        <v>-177.23893753793081</v>
      </c>
      <c r="EP216" s="389"/>
      <c r="EQ216" s="386"/>
    </row>
    <row r="217" spans="1:147" s="390" customFormat="1" ht="15" customHeight="1">
      <c r="A217" s="385"/>
      <c r="B217"/>
      <c r="C217"/>
      <c r="D217"/>
      <c r="E217"/>
      <c r="F217"/>
      <c r="G217"/>
      <c r="H217" s="386"/>
      <c r="I217" s="370"/>
      <c r="J217" s="386"/>
      <c r="K217" s="386"/>
      <c r="L217" s="386"/>
      <c r="M217" s="388"/>
      <c r="N217" s="386"/>
      <c r="O217" s="386"/>
      <c r="P217" s="386"/>
      <c r="Q217" s="388"/>
      <c r="R217" s="386"/>
      <c r="S217" s="386"/>
      <c r="T217" s="386"/>
      <c r="U217" s="388"/>
      <c r="V217" s="386"/>
      <c r="W217" s="386"/>
      <c r="X217" s="386"/>
      <c r="Y217" s="388"/>
      <c r="Z217" s="386"/>
      <c r="AA217" s="386"/>
      <c r="AB217" s="386"/>
      <c r="AC217" s="388"/>
      <c r="AD217" s="386"/>
      <c r="AE217" s="386"/>
      <c r="AF217" s="386"/>
      <c r="AG217" s="388"/>
      <c r="AH217" s="386"/>
      <c r="AI217" s="386"/>
      <c r="AJ217" s="386"/>
      <c r="AK217" s="388"/>
      <c r="AL217" s="386"/>
      <c r="AM217" s="386"/>
      <c r="AN217" s="386"/>
      <c r="AO217" s="388"/>
      <c r="AP217" s="386"/>
      <c r="AQ217" s="386"/>
      <c r="AR217" s="386"/>
      <c r="AS217" s="388"/>
      <c r="AT217" s="386"/>
      <c r="AU217" s="386"/>
      <c r="AV217" s="386"/>
      <c r="AW217" s="388"/>
      <c r="AX217" s="386"/>
      <c r="AY217" s="386"/>
      <c r="AZ217" s="386"/>
      <c r="BA217" s="388"/>
      <c r="BB217" s="325"/>
      <c r="BC217" s="325"/>
      <c r="BD217" s="325"/>
      <c r="BE217" s="372"/>
      <c r="BF217" s="325"/>
      <c r="BG217" s="325"/>
      <c r="BH217" s="325"/>
      <c r="BI217" s="372"/>
      <c r="BJ217" s="325"/>
      <c r="BK217" s="325"/>
      <c r="BL217" s="325"/>
      <c r="BM217" s="372"/>
      <c r="BN217" s="325"/>
      <c r="BO217" s="325"/>
      <c r="BP217" s="325"/>
      <c r="BQ217" s="372"/>
      <c r="BR217" s="325"/>
      <c r="BS217" s="325"/>
      <c r="BT217" s="325"/>
      <c r="BU217" s="372"/>
      <c r="BV217" s="325"/>
      <c r="BW217" s="325"/>
      <c r="BX217" s="325"/>
      <c r="BY217" s="372"/>
      <c r="BZ217" s="325"/>
      <c r="CA217" s="325"/>
      <c r="CB217" s="325"/>
      <c r="CC217" s="372"/>
      <c r="CD217" s="325"/>
      <c r="CE217" s="325"/>
      <c r="CF217" s="325"/>
      <c r="CG217" s="372"/>
      <c r="CH217" s="325"/>
      <c r="CI217" s="325"/>
      <c r="CJ217" s="325"/>
      <c r="CK217" s="372"/>
      <c r="CL217" s="325"/>
      <c r="CM217" s="325"/>
      <c r="CN217" s="325"/>
      <c r="CO217" s="372"/>
      <c r="CP217" s="373"/>
      <c r="CQ217" s="325"/>
      <c r="CR217" s="325"/>
      <c r="CS217" s="372"/>
      <c r="CT217" s="373"/>
      <c r="CU217" s="325"/>
      <c r="CV217" s="325"/>
      <c r="CW217" s="372"/>
      <c r="CX217" s="386"/>
      <c r="CY217" s="386"/>
      <c r="CZ217" s="386"/>
      <c r="DA217" s="388"/>
      <c r="DB217" s="386"/>
      <c r="DC217" s="386"/>
      <c r="DD217" s="386"/>
      <c r="DE217" s="388"/>
      <c r="DF217" s="386"/>
      <c r="DG217" s="386"/>
      <c r="DH217" s="386"/>
      <c r="DI217" s="388"/>
      <c r="DJ217" s="454"/>
      <c r="DK217" s="389"/>
      <c r="DL217" s="386"/>
      <c r="DM217" s="386"/>
      <c r="DN217" s="386"/>
      <c r="DO217" s="386"/>
      <c r="DP217" s="386"/>
      <c r="DQ217" s="386"/>
      <c r="DR217" s="386"/>
      <c r="DS217" s="401"/>
      <c r="DT217" s="401"/>
      <c r="DU217" s="401"/>
      <c r="DV217" s="325"/>
      <c r="DW217" s="325"/>
      <c r="DX217" s="325"/>
      <c r="DY217" s="325"/>
      <c r="DZ217" s="325"/>
      <c r="EA217" s="325"/>
      <c r="EB217" s="325"/>
      <c r="EC217" s="325"/>
      <c r="ED217" s="325"/>
      <c r="EE217" s="325"/>
      <c r="EF217" s="325"/>
      <c r="EG217" s="325"/>
      <c r="EH217" s="325"/>
      <c r="EI217" s="325"/>
      <c r="EJ217" s="325"/>
      <c r="EK217" s="325"/>
      <c r="EL217" s="325"/>
      <c r="EM217" s="325"/>
      <c r="EN217" s="325"/>
      <c r="EO217" s="325"/>
      <c r="EP217" s="389"/>
      <c r="EQ217" s="386"/>
    </row>
    <row r="218" spans="1:147" s="390" customFormat="1" ht="15" customHeight="1">
      <c r="A218" s="385"/>
      <c r="B218"/>
      <c r="C218"/>
      <c r="D218"/>
      <c r="E218"/>
      <c r="F218"/>
      <c r="G218"/>
      <c r="H218" s="386"/>
      <c r="I218" s="547" t="s">
        <v>1719</v>
      </c>
      <c r="J218" s="548"/>
      <c r="K218" s="548"/>
      <c r="L218" s="548"/>
      <c r="M218" s="549"/>
      <c r="N218" s="548"/>
      <c r="O218" s="548"/>
      <c r="P218" s="548"/>
      <c r="Q218" s="549"/>
      <c r="R218" s="548"/>
      <c r="S218" s="548"/>
      <c r="T218" s="548"/>
      <c r="U218" s="549"/>
      <c r="V218" s="548"/>
      <c r="W218" s="548"/>
      <c r="X218" s="548"/>
      <c r="Y218" s="549"/>
      <c r="Z218" s="548"/>
      <c r="AA218" s="548"/>
      <c r="AB218" s="548"/>
      <c r="AC218" s="549"/>
      <c r="AD218" s="548"/>
      <c r="AE218" s="548"/>
      <c r="AF218" s="548"/>
      <c r="AG218" s="549"/>
      <c r="AH218" s="548"/>
      <c r="AI218" s="548"/>
      <c r="AJ218" s="548"/>
      <c r="AK218" s="549"/>
      <c r="AL218" s="548"/>
      <c r="AM218" s="548"/>
      <c r="AN218" s="548"/>
      <c r="AO218" s="549"/>
      <c r="AP218" s="548"/>
      <c r="AQ218" s="548"/>
      <c r="AR218" s="548"/>
      <c r="AS218" s="549"/>
      <c r="AT218" s="548"/>
      <c r="AU218" s="548"/>
      <c r="AV218" s="548"/>
      <c r="AW218" s="549"/>
      <c r="AX218" s="548"/>
      <c r="AY218" s="548"/>
      <c r="AZ218" s="548"/>
      <c r="BA218" s="549"/>
      <c r="BB218" s="563"/>
      <c r="BC218" s="563"/>
      <c r="BD218" s="563"/>
      <c r="BE218" s="564"/>
      <c r="BF218" s="563"/>
      <c r="BG218" s="563"/>
      <c r="BH218" s="563"/>
      <c r="BI218" s="564"/>
      <c r="BJ218" s="563"/>
      <c r="BK218" s="563"/>
      <c r="BL218" s="563"/>
      <c r="BM218" s="564"/>
      <c r="BN218" s="563"/>
      <c r="BO218" s="563"/>
      <c r="BP218" s="563"/>
      <c r="BQ218" s="564"/>
      <c r="BR218" s="563"/>
      <c r="BS218" s="563"/>
      <c r="BT218" s="563"/>
      <c r="BU218" s="564"/>
      <c r="BV218" s="563"/>
      <c r="BW218" s="563"/>
      <c r="BX218" s="563"/>
      <c r="BY218" s="564"/>
      <c r="BZ218" s="563"/>
      <c r="CA218" s="563"/>
      <c r="CB218" s="563"/>
      <c r="CC218" s="564"/>
      <c r="CD218" s="563"/>
      <c r="CE218" s="728"/>
      <c r="CF218" s="563"/>
      <c r="CG218" s="564"/>
      <c r="CH218" s="563"/>
      <c r="CI218" s="728"/>
      <c r="CJ218" s="563"/>
      <c r="CK218" s="564"/>
      <c r="CL218" s="563"/>
      <c r="CM218" s="728"/>
      <c r="CN218" s="563"/>
      <c r="CO218" s="564"/>
      <c r="CP218" s="566"/>
      <c r="CQ218" s="563"/>
      <c r="CR218" s="563"/>
      <c r="CS218" s="564"/>
      <c r="CT218" s="566"/>
      <c r="CU218" s="563"/>
      <c r="CV218" s="563"/>
      <c r="CW218" s="564"/>
      <c r="CX218" s="548"/>
      <c r="CY218" s="548"/>
      <c r="CZ218" s="548"/>
      <c r="DA218" s="549"/>
      <c r="DB218" s="548"/>
      <c r="DC218" s="548"/>
      <c r="DD218" s="548"/>
      <c r="DE218" s="549"/>
      <c r="DF218" s="548"/>
      <c r="DG218" s="548"/>
      <c r="DH218" s="548"/>
      <c r="DI218" s="549"/>
      <c r="DJ218" s="454"/>
      <c r="DK218" s="550"/>
      <c r="DL218" s="548"/>
      <c r="DM218" s="548"/>
      <c r="DN218" s="548"/>
      <c r="DO218" s="548"/>
      <c r="DP218" s="548"/>
      <c r="DQ218" s="548"/>
      <c r="DR218" s="548"/>
      <c r="DS218" s="565"/>
      <c r="DT218" s="565"/>
      <c r="DU218" s="565"/>
      <c r="DV218" s="563"/>
      <c r="DW218" s="563"/>
      <c r="DX218" s="563"/>
      <c r="DY218" s="563"/>
      <c r="DZ218" s="563"/>
      <c r="EA218" s="563"/>
      <c r="EB218" s="563"/>
      <c r="EC218" s="563"/>
      <c r="ED218" s="563"/>
      <c r="EE218" s="563"/>
      <c r="EF218" s="563"/>
      <c r="EG218" s="563"/>
      <c r="EH218" s="563"/>
      <c r="EI218" s="563"/>
      <c r="EJ218" s="563"/>
      <c r="EK218" s="563"/>
      <c r="EL218" s="563"/>
      <c r="EM218" s="563"/>
      <c r="EN218" s="563"/>
      <c r="EO218" s="563"/>
      <c r="EP218" s="389"/>
      <c r="EQ218" s="386"/>
    </row>
    <row r="219" spans="1:147" s="390" customFormat="1" ht="15" customHeight="1">
      <c r="A219" s="385"/>
      <c r="B219"/>
      <c r="C219"/>
      <c r="D219"/>
      <c r="E219"/>
      <c r="F219"/>
      <c r="G219"/>
      <c r="H219" s="386"/>
      <c r="I219" s="370" t="s">
        <v>1720</v>
      </c>
      <c r="J219" s="548"/>
      <c r="K219" s="548"/>
      <c r="L219" s="548"/>
      <c r="M219" s="549"/>
      <c r="N219" s="548"/>
      <c r="O219" s="548"/>
      <c r="P219" s="548"/>
      <c r="Q219" s="549"/>
      <c r="R219" s="548"/>
      <c r="S219" s="548"/>
      <c r="T219" s="548"/>
      <c r="U219" s="549"/>
      <c r="V219" s="548"/>
      <c r="W219" s="548"/>
      <c r="X219" s="548"/>
      <c r="Y219" s="549"/>
      <c r="Z219" s="548"/>
      <c r="AA219" s="548"/>
      <c r="AB219" s="548"/>
      <c r="AC219" s="549"/>
      <c r="AD219" s="548"/>
      <c r="AE219" s="548"/>
      <c r="AF219" s="548"/>
      <c r="AG219" s="549"/>
      <c r="AH219" s="548"/>
      <c r="AI219" s="548"/>
      <c r="AJ219" s="548"/>
      <c r="AK219" s="549"/>
      <c r="AL219" s="548"/>
      <c r="AM219" s="548"/>
      <c r="AN219" s="548"/>
      <c r="AO219" s="549"/>
      <c r="AP219" s="548"/>
      <c r="AQ219" s="548"/>
      <c r="AR219" s="548"/>
      <c r="AS219" s="549"/>
      <c r="AT219" s="548"/>
      <c r="AU219" s="548"/>
      <c r="AV219" s="548"/>
      <c r="AW219" s="549"/>
      <c r="AX219" s="548"/>
      <c r="AY219" s="548"/>
      <c r="AZ219" s="548"/>
      <c r="BA219" s="549"/>
      <c r="BB219" s="325">
        <v>5</v>
      </c>
      <c r="BC219" s="401">
        <v>21</v>
      </c>
      <c r="BD219" s="401">
        <v>13</v>
      </c>
      <c r="BE219" s="402">
        <v>30</v>
      </c>
      <c r="BF219" s="401">
        <v>13</v>
      </c>
      <c r="BG219" s="401">
        <v>7</v>
      </c>
      <c r="BH219" s="401">
        <v>5</v>
      </c>
      <c r="BI219" s="402">
        <v>8</v>
      </c>
      <c r="BJ219" s="325">
        <v>33</v>
      </c>
      <c r="BK219" s="401">
        <v>18</v>
      </c>
      <c r="BL219" s="401">
        <v>41</v>
      </c>
      <c r="BM219" s="402">
        <v>66</v>
      </c>
      <c r="BN219" s="401">
        <v>119</v>
      </c>
      <c r="BO219" s="401">
        <v>18</v>
      </c>
      <c r="BP219" s="401">
        <v>23</v>
      </c>
      <c r="BQ219" s="402">
        <v>15</v>
      </c>
      <c r="BR219" s="401">
        <v>27</v>
      </c>
      <c r="BS219" s="401">
        <v>34</v>
      </c>
      <c r="BT219" s="401">
        <v>21</v>
      </c>
      <c r="BU219" s="402">
        <v>24</v>
      </c>
      <c r="BV219" s="401">
        <v>24</v>
      </c>
      <c r="BW219" s="401">
        <v>36</v>
      </c>
      <c r="BX219" s="401">
        <v>26</v>
      </c>
      <c r="BY219" s="402">
        <v>20</v>
      </c>
      <c r="BZ219" s="401">
        <v>109</v>
      </c>
      <c r="CA219" s="401">
        <v>21</v>
      </c>
      <c r="CB219" s="401">
        <v>20</v>
      </c>
      <c r="CC219" s="402">
        <v>28</v>
      </c>
      <c r="CD219" s="401">
        <v>47</v>
      </c>
      <c r="CE219" s="401">
        <v>30</v>
      </c>
      <c r="CF219" s="401">
        <v>14</v>
      </c>
      <c r="CG219" s="402">
        <v>8</v>
      </c>
      <c r="CH219" s="401">
        <v>30</v>
      </c>
      <c r="CI219" s="401">
        <v>27</v>
      </c>
      <c r="CJ219" s="401">
        <v>30</v>
      </c>
      <c r="CK219" s="402">
        <v>18</v>
      </c>
      <c r="CL219" s="401">
        <v>26</v>
      </c>
      <c r="CM219" s="401">
        <v>43</v>
      </c>
      <c r="CN219" s="401">
        <v>45</v>
      </c>
      <c r="CO219" s="402">
        <v>56</v>
      </c>
      <c r="CP219" s="438">
        <v>29</v>
      </c>
      <c r="CQ219" s="401">
        <v>38</v>
      </c>
      <c r="CR219" s="401">
        <v>11</v>
      </c>
      <c r="CS219" s="726">
        <v>0</v>
      </c>
      <c r="CT219" s="373">
        <v>0</v>
      </c>
      <c r="CU219" s="325">
        <v>0</v>
      </c>
      <c r="CV219" s="325">
        <v>0</v>
      </c>
      <c r="CW219" s="726">
        <v>0</v>
      </c>
      <c r="CX219" s="548"/>
      <c r="CY219" s="548"/>
      <c r="CZ219" s="548"/>
      <c r="DA219" s="549"/>
      <c r="DB219" s="548"/>
      <c r="DC219" s="548"/>
      <c r="DD219" s="548"/>
      <c r="DE219" s="549"/>
      <c r="DF219" s="548"/>
      <c r="DG219" s="548"/>
      <c r="DH219" s="548"/>
      <c r="DI219" s="549"/>
      <c r="DJ219" s="454"/>
      <c r="DK219" s="550"/>
      <c r="DL219" s="548"/>
      <c r="DM219" s="548"/>
      <c r="DN219" s="548"/>
      <c r="DO219" s="548"/>
      <c r="DP219" s="548"/>
      <c r="DQ219" s="548"/>
      <c r="DR219" s="548"/>
      <c r="DS219" s="507">
        <v>22</v>
      </c>
      <c r="DT219" s="401">
        <v>81</v>
      </c>
      <c r="DU219" s="401">
        <v>73</v>
      </c>
      <c r="DV219" s="325">
        <v>69</v>
      </c>
      <c r="DW219" s="325">
        <v>33</v>
      </c>
      <c r="DX219" s="325">
        <v>158</v>
      </c>
      <c r="DY219" s="325">
        <v>175</v>
      </c>
      <c r="DZ219" s="325">
        <v>106</v>
      </c>
      <c r="EA219" s="325">
        <v>106</v>
      </c>
      <c r="EB219" s="325">
        <v>178</v>
      </c>
      <c r="EC219" s="325">
        <v>99</v>
      </c>
      <c r="ED219" s="725">
        <v>105</v>
      </c>
      <c r="EE219" s="725">
        <v>170</v>
      </c>
      <c r="EF219" s="725">
        <v>78</v>
      </c>
      <c r="EG219" s="725">
        <v>0</v>
      </c>
      <c r="EH219" s="725">
        <v>0</v>
      </c>
      <c r="EI219" s="725">
        <v>0</v>
      </c>
      <c r="EJ219" s="725">
        <v>0</v>
      </c>
      <c r="EK219" s="725">
        <v>0</v>
      </c>
      <c r="EL219" s="725">
        <v>0</v>
      </c>
      <c r="EM219" s="725">
        <v>0</v>
      </c>
      <c r="EN219" s="725">
        <v>0</v>
      </c>
      <c r="EO219" s="725">
        <v>0</v>
      </c>
      <c r="EP219" s="389"/>
      <c r="EQ219" s="386"/>
    </row>
    <row r="220" spans="1:147" s="390" customFormat="1" ht="15" customHeight="1">
      <c r="A220" s="385"/>
      <c r="B220"/>
      <c r="C220"/>
      <c r="D220"/>
      <c r="E220"/>
      <c r="F220"/>
      <c r="G220"/>
      <c r="H220" s="386"/>
      <c r="I220" s="370" t="s">
        <v>1721</v>
      </c>
      <c r="J220" s="548"/>
      <c r="K220" s="548"/>
      <c r="L220" s="548"/>
      <c r="M220" s="549"/>
      <c r="N220" s="548"/>
      <c r="O220" s="548"/>
      <c r="P220" s="548"/>
      <c r="Q220" s="549"/>
      <c r="R220" s="548"/>
      <c r="S220" s="548"/>
      <c r="T220" s="548"/>
      <c r="U220" s="549"/>
      <c r="V220" s="548"/>
      <c r="W220" s="548"/>
      <c r="X220" s="548"/>
      <c r="Y220" s="549"/>
      <c r="Z220" s="548"/>
      <c r="AA220" s="548"/>
      <c r="AB220" s="548"/>
      <c r="AC220" s="549"/>
      <c r="AD220" s="548"/>
      <c r="AE220" s="548"/>
      <c r="AF220" s="548"/>
      <c r="AG220" s="549"/>
      <c r="AH220" s="548"/>
      <c r="AI220" s="548"/>
      <c r="AJ220" s="548"/>
      <c r="AK220" s="549"/>
      <c r="AL220" s="548"/>
      <c r="AM220" s="548"/>
      <c r="AN220" s="548"/>
      <c r="AO220" s="549"/>
      <c r="AP220" s="548"/>
      <c r="AQ220" s="548"/>
      <c r="AR220" s="548"/>
      <c r="AS220" s="549"/>
      <c r="AT220" s="548"/>
      <c r="AU220" s="548"/>
      <c r="AV220" s="548"/>
      <c r="AW220" s="549"/>
      <c r="AX220" s="548"/>
      <c r="AY220" s="548"/>
      <c r="AZ220" s="548"/>
      <c r="BA220" s="549"/>
      <c r="BB220" s="325">
        <v>0</v>
      </c>
      <c r="BC220" s="401">
        <v>0</v>
      </c>
      <c r="BD220" s="401">
        <v>0</v>
      </c>
      <c r="BE220" s="402">
        <v>-15</v>
      </c>
      <c r="BF220" s="325">
        <v>0</v>
      </c>
      <c r="BG220" s="401">
        <v>0</v>
      </c>
      <c r="BH220" s="401">
        <v>0</v>
      </c>
      <c r="BI220" s="402">
        <v>-16</v>
      </c>
      <c r="BJ220" s="325">
        <v>-14</v>
      </c>
      <c r="BK220" s="401">
        <v>-2</v>
      </c>
      <c r="BL220" s="401">
        <v>-3</v>
      </c>
      <c r="BM220" s="402">
        <v>-30</v>
      </c>
      <c r="BN220" s="401">
        <v>-13</v>
      </c>
      <c r="BO220" s="401">
        <v>-21</v>
      </c>
      <c r="BP220" s="401">
        <v>-7</v>
      </c>
      <c r="BQ220" s="402">
        <v>-25</v>
      </c>
      <c r="BR220" s="401">
        <v>-3</v>
      </c>
      <c r="BS220" s="401">
        <v>-21</v>
      </c>
      <c r="BT220" s="401">
        <v>-12</v>
      </c>
      <c r="BU220" s="402">
        <v>-47</v>
      </c>
      <c r="BV220" s="401">
        <v>-11</v>
      </c>
      <c r="BW220" s="401">
        <v>-58</v>
      </c>
      <c r="BX220" s="401">
        <v>-7</v>
      </c>
      <c r="BY220" s="402">
        <v>-39</v>
      </c>
      <c r="BZ220" s="401">
        <v>-13</v>
      </c>
      <c r="CA220" s="401">
        <v>-23</v>
      </c>
      <c r="CB220" s="401">
        <v>-8</v>
      </c>
      <c r="CC220" s="402">
        <v>-12</v>
      </c>
      <c r="CD220" s="401">
        <v>-39</v>
      </c>
      <c r="CE220" s="401">
        <v>-29</v>
      </c>
      <c r="CF220" s="401">
        <v>-17</v>
      </c>
      <c r="CG220" s="402">
        <v>-9</v>
      </c>
      <c r="CH220" s="401">
        <v>-6</v>
      </c>
      <c r="CI220" s="401">
        <v>-42</v>
      </c>
      <c r="CJ220" s="401">
        <v>-7</v>
      </c>
      <c r="CK220" s="402">
        <v>-4</v>
      </c>
      <c r="CL220" s="401">
        <v>-19</v>
      </c>
      <c r="CM220" s="401">
        <v>-15</v>
      </c>
      <c r="CN220" s="401">
        <v>-7</v>
      </c>
      <c r="CO220" s="402">
        <v>2</v>
      </c>
      <c r="CP220" s="438">
        <v>-124</v>
      </c>
      <c r="CQ220" s="401">
        <v>-49</v>
      </c>
      <c r="CR220" s="401">
        <v>-73</v>
      </c>
      <c r="CS220" s="726">
        <v>0</v>
      </c>
      <c r="CT220" s="373">
        <v>0</v>
      </c>
      <c r="CU220" s="325">
        <v>0</v>
      </c>
      <c r="CV220" s="325">
        <v>0</v>
      </c>
      <c r="CW220" s="726">
        <v>0</v>
      </c>
      <c r="CX220" s="548"/>
      <c r="CY220" s="548"/>
      <c r="CZ220" s="548"/>
      <c r="DA220" s="549"/>
      <c r="DB220" s="548"/>
      <c r="DC220" s="548"/>
      <c r="DD220" s="548"/>
      <c r="DE220" s="549"/>
      <c r="DF220" s="548"/>
      <c r="DG220" s="548"/>
      <c r="DH220" s="548"/>
      <c r="DI220" s="549"/>
      <c r="DJ220" s="454"/>
      <c r="DK220" s="550"/>
      <c r="DL220" s="548"/>
      <c r="DM220" s="548"/>
      <c r="DN220" s="548"/>
      <c r="DO220" s="548"/>
      <c r="DP220" s="548"/>
      <c r="DQ220" s="548"/>
      <c r="DR220" s="548"/>
      <c r="DS220" s="565">
        <v>0</v>
      </c>
      <c r="DT220" s="401">
        <v>0</v>
      </c>
      <c r="DU220" s="507">
        <v>0</v>
      </c>
      <c r="DV220" s="325">
        <v>-15</v>
      </c>
      <c r="DW220" s="325">
        <v>-16</v>
      </c>
      <c r="DX220" s="325">
        <v>-49</v>
      </c>
      <c r="DY220" s="325">
        <v>-66</v>
      </c>
      <c r="DZ220" s="325">
        <v>-83</v>
      </c>
      <c r="EA220" s="325">
        <v>-115</v>
      </c>
      <c r="EB220" s="325">
        <v>-56</v>
      </c>
      <c r="EC220" s="325">
        <v>-94</v>
      </c>
      <c r="ED220" s="725">
        <v>-59</v>
      </c>
      <c r="EE220" s="725">
        <v>-39</v>
      </c>
      <c r="EF220" s="725">
        <v>-246</v>
      </c>
      <c r="EG220" s="725">
        <v>0</v>
      </c>
      <c r="EH220" s="725">
        <v>0</v>
      </c>
      <c r="EI220" s="725">
        <v>0</v>
      </c>
      <c r="EJ220" s="725">
        <v>0</v>
      </c>
      <c r="EK220" s="725">
        <v>0</v>
      </c>
      <c r="EL220" s="725">
        <v>0</v>
      </c>
      <c r="EM220" s="725">
        <v>0</v>
      </c>
      <c r="EN220" s="725">
        <v>0</v>
      </c>
      <c r="EO220" s="725">
        <v>0</v>
      </c>
      <c r="EP220" s="389"/>
      <c r="EQ220" s="386"/>
    </row>
    <row r="221" spans="1:147" s="390" customFormat="1" ht="15" customHeight="1">
      <c r="A221" s="385"/>
      <c r="B221"/>
      <c r="C221"/>
      <c r="D221"/>
      <c r="E221"/>
      <c r="F221"/>
      <c r="G221"/>
      <c r="H221" s="386"/>
      <c r="I221" s="370" t="s">
        <v>1705</v>
      </c>
      <c r="J221" s="399"/>
      <c r="K221" s="399"/>
      <c r="L221" s="399"/>
      <c r="M221" s="400"/>
      <c r="N221" s="399"/>
      <c r="O221" s="399"/>
      <c r="P221" s="399"/>
      <c r="Q221" s="400"/>
      <c r="R221" s="399"/>
      <c r="S221" s="399"/>
      <c r="T221" s="399"/>
      <c r="U221" s="400"/>
      <c r="V221" s="399"/>
      <c r="W221" s="399"/>
      <c r="X221" s="399"/>
      <c r="Y221" s="400"/>
      <c r="Z221" s="399"/>
      <c r="AA221" s="399"/>
      <c r="AB221" s="399"/>
      <c r="AC221" s="400"/>
      <c r="AD221" s="399"/>
      <c r="AE221" s="399"/>
      <c r="AF221" s="399"/>
      <c r="AG221" s="400"/>
      <c r="AH221" s="399"/>
      <c r="AI221" s="399"/>
      <c r="AJ221" s="399"/>
      <c r="AK221" s="400"/>
      <c r="AL221" s="399"/>
      <c r="AM221" s="399"/>
      <c r="AN221" s="399"/>
      <c r="AO221" s="400"/>
      <c r="AP221" s="399"/>
      <c r="AQ221" s="399"/>
      <c r="AR221" s="399"/>
      <c r="AS221" s="400"/>
      <c r="AT221" s="399"/>
      <c r="AU221" s="399"/>
      <c r="AV221" s="399"/>
      <c r="AW221" s="400"/>
      <c r="AX221" s="399"/>
      <c r="AY221" s="399"/>
      <c r="AZ221" s="399"/>
      <c r="BA221" s="400"/>
      <c r="BB221" s="401">
        <v>1</v>
      </c>
      <c r="BC221" s="401">
        <v>3</v>
      </c>
      <c r="BD221" s="401">
        <v>17</v>
      </c>
      <c r="BE221" s="402">
        <v>3</v>
      </c>
      <c r="BF221" s="401">
        <v>2</v>
      </c>
      <c r="BG221" s="401">
        <v>1</v>
      </c>
      <c r="BH221" s="401">
        <v>1</v>
      </c>
      <c r="BI221" s="402">
        <v>1</v>
      </c>
      <c r="BJ221" s="401">
        <v>4</v>
      </c>
      <c r="BK221" s="401">
        <v>1</v>
      </c>
      <c r="BL221" s="401">
        <v>9</v>
      </c>
      <c r="BM221" s="402">
        <v>15</v>
      </c>
      <c r="BN221" s="401">
        <v>17</v>
      </c>
      <c r="BO221" s="401">
        <v>6</v>
      </c>
      <c r="BP221" s="401">
        <v>6</v>
      </c>
      <c r="BQ221" s="402">
        <v>10</v>
      </c>
      <c r="BR221" s="401">
        <v>14</v>
      </c>
      <c r="BS221" s="401">
        <v>9</v>
      </c>
      <c r="BT221" s="401">
        <v>10</v>
      </c>
      <c r="BU221" s="402">
        <v>34</v>
      </c>
      <c r="BV221" s="401">
        <v>28</v>
      </c>
      <c r="BW221" s="401">
        <v>24</v>
      </c>
      <c r="BX221" s="401">
        <v>-52</v>
      </c>
      <c r="BY221" s="402">
        <v>0</v>
      </c>
      <c r="BZ221" s="401">
        <v>0</v>
      </c>
      <c r="CA221" s="401">
        <v>0</v>
      </c>
      <c r="CB221" s="401">
        <v>0</v>
      </c>
      <c r="CC221" s="402">
        <v>0</v>
      </c>
      <c r="CD221" s="401">
        <v>0</v>
      </c>
      <c r="CE221" s="401">
        <v>0</v>
      </c>
      <c r="CF221" s="401">
        <v>0</v>
      </c>
      <c r="CG221" s="402">
        <v>0</v>
      </c>
      <c r="CH221" s="401">
        <v>0</v>
      </c>
      <c r="CI221" s="401">
        <v>0</v>
      </c>
      <c r="CJ221" s="401">
        <v>0</v>
      </c>
      <c r="CK221" s="402">
        <v>0</v>
      </c>
      <c r="CL221" s="401">
        <v>0</v>
      </c>
      <c r="CM221" s="401">
        <v>0</v>
      </c>
      <c r="CN221" s="401">
        <v>0</v>
      </c>
      <c r="CO221" s="402">
        <v>0</v>
      </c>
      <c r="CP221" s="438">
        <v>0</v>
      </c>
      <c r="CQ221" s="401">
        <v>0</v>
      </c>
      <c r="CR221" s="401">
        <v>0</v>
      </c>
      <c r="CS221" s="402">
        <v>0</v>
      </c>
      <c r="CT221" s="373">
        <v>0</v>
      </c>
      <c r="CU221" s="325">
        <v>0</v>
      </c>
      <c r="CV221" s="325">
        <v>0</v>
      </c>
      <c r="CW221" s="402">
        <v>0</v>
      </c>
      <c r="CX221" s="399"/>
      <c r="CY221" s="399"/>
      <c r="CZ221" s="399"/>
      <c r="DA221" s="400"/>
      <c r="DB221" s="399"/>
      <c r="DC221" s="399"/>
      <c r="DD221" s="399"/>
      <c r="DE221" s="400"/>
      <c r="DF221" s="399"/>
      <c r="DG221" s="399"/>
      <c r="DH221" s="399"/>
      <c r="DI221" s="400"/>
      <c r="DJ221" s="454"/>
      <c r="DK221" s="411"/>
      <c r="DL221" s="399"/>
      <c r="DM221" s="399"/>
      <c r="DN221" s="399"/>
      <c r="DO221" s="399"/>
      <c r="DP221" s="399"/>
      <c r="DQ221" s="399"/>
      <c r="DR221" s="399"/>
      <c r="DS221" s="401">
        <v>21</v>
      </c>
      <c r="DT221" s="401">
        <v>79</v>
      </c>
      <c r="DU221" s="401">
        <v>22</v>
      </c>
      <c r="DV221" s="325">
        <v>24</v>
      </c>
      <c r="DW221" s="325">
        <v>5</v>
      </c>
      <c r="DX221" s="325">
        <v>29</v>
      </c>
      <c r="DY221" s="325">
        <v>39</v>
      </c>
      <c r="DZ221" s="325">
        <v>67</v>
      </c>
      <c r="EA221" s="325">
        <v>0</v>
      </c>
      <c r="EB221" s="325">
        <v>0</v>
      </c>
      <c r="EC221" s="325">
        <v>0</v>
      </c>
      <c r="ED221" s="401">
        <v>0</v>
      </c>
      <c r="EE221" s="401">
        <v>0</v>
      </c>
      <c r="EF221" s="401">
        <v>0</v>
      </c>
      <c r="EG221" s="401">
        <v>0</v>
      </c>
      <c r="EH221" s="401">
        <v>0</v>
      </c>
      <c r="EI221" s="401">
        <v>0</v>
      </c>
      <c r="EJ221" s="401">
        <v>0</v>
      </c>
      <c r="EK221" s="401">
        <v>0</v>
      </c>
      <c r="EL221" s="401">
        <v>0</v>
      </c>
      <c r="EM221" s="401">
        <v>0</v>
      </c>
      <c r="EN221" s="401">
        <v>0</v>
      </c>
      <c r="EO221" s="401">
        <v>0</v>
      </c>
      <c r="EP221" s="389"/>
      <c r="EQ221" s="386"/>
    </row>
    <row r="222" spans="1:147" s="390" customFormat="1" ht="15" customHeight="1">
      <c r="A222" s="385"/>
      <c r="B222"/>
      <c r="C222"/>
      <c r="D222"/>
      <c r="E222"/>
      <c r="F222"/>
      <c r="G222"/>
      <c r="H222" s="386"/>
      <c r="I222" s="370" t="s">
        <v>1722</v>
      </c>
      <c r="J222" s="399"/>
      <c r="K222" s="399"/>
      <c r="L222" s="399"/>
      <c r="M222" s="400"/>
      <c r="N222" s="399"/>
      <c r="O222" s="399"/>
      <c r="P222" s="399"/>
      <c r="Q222" s="400"/>
      <c r="R222" s="399"/>
      <c r="S222" s="399"/>
      <c r="T222" s="399"/>
      <c r="U222" s="400"/>
      <c r="V222" s="399"/>
      <c r="W222" s="399"/>
      <c r="X222" s="399"/>
      <c r="Y222" s="400"/>
      <c r="Z222" s="399"/>
      <c r="AA222" s="399"/>
      <c r="AB222" s="399"/>
      <c r="AC222" s="400"/>
      <c r="AD222" s="399"/>
      <c r="AE222" s="399"/>
      <c r="AF222" s="399"/>
      <c r="AG222" s="400"/>
      <c r="AH222" s="399"/>
      <c r="AI222" s="399"/>
      <c r="AJ222" s="399"/>
      <c r="AK222" s="400"/>
      <c r="AL222" s="399"/>
      <c r="AM222" s="399"/>
      <c r="AN222" s="399"/>
      <c r="AO222" s="400"/>
      <c r="AP222" s="399"/>
      <c r="AQ222" s="399"/>
      <c r="AR222" s="399"/>
      <c r="AS222" s="400"/>
      <c r="AT222" s="399"/>
      <c r="AU222" s="399"/>
      <c r="AV222" s="399"/>
      <c r="AW222" s="400"/>
      <c r="AX222" s="399"/>
      <c r="AY222" s="399"/>
      <c r="AZ222" s="399"/>
      <c r="BA222" s="400"/>
      <c r="BB222" s="401">
        <v>0</v>
      </c>
      <c r="BC222" s="401">
        <v>-192</v>
      </c>
      <c r="BD222" s="401">
        <v>-2</v>
      </c>
      <c r="BE222" s="402">
        <v>0</v>
      </c>
      <c r="BF222" s="401">
        <v>0</v>
      </c>
      <c r="BG222" s="401">
        <v>-204</v>
      </c>
      <c r="BH222" s="401">
        <v>0</v>
      </c>
      <c r="BI222" s="402">
        <v>0</v>
      </c>
      <c r="BJ222" s="401">
        <v>0</v>
      </c>
      <c r="BK222" s="401">
        <v>-216</v>
      </c>
      <c r="BL222" s="401">
        <v>0</v>
      </c>
      <c r="BM222" s="402">
        <v>0</v>
      </c>
      <c r="BN222" s="401">
        <v>0</v>
      </c>
      <c r="BO222" s="401">
        <v>-147</v>
      </c>
      <c r="BP222" s="401">
        <v>0</v>
      </c>
      <c r="BQ222" s="402">
        <v>0</v>
      </c>
      <c r="BR222" s="401">
        <v>0</v>
      </c>
      <c r="BS222" s="401">
        <v>-170</v>
      </c>
      <c r="BT222" s="401">
        <v>0</v>
      </c>
      <c r="BU222" s="402">
        <v>0</v>
      </c>
      <c r="BV222" s="725">
        <v>0</v>
      </c>
      <c r="BW222" s="401">
        <v>-195</v>
      </c>
      <c r="BX222" s="725">
        <v>0</v>
      </c>
      <c r="BY222" s="726">
        <v>0</v>
      </c>
      <c r="BZ222" s="401">
        <v>0</v>
      </c>
      <c r="CA222" s="401">
        <v>-226</v>
      </c>
      <c r="CB222" s="401">
        <v>0</v>
      </c>
      <c r="CC222" s="726">
        <v>0</v>
      </c>
      <c r="CD222" s="725">
        <v>0</v>
      </c>
      <c r="CE222" s="401">
        <v>-259</v>
      </c>
      <c r="CF222" s="401">
        <v>0</v>
      </c>
      <c r="CG222" s="402">
        <v>0</v>
      </c>
      <c r="CH222" s="725">
        <v>0</v>
      </c>
      <c r="CI222" s="401">
        <v>-283</v>
      </c>
      <c r="CJ222" s="401">
        <v>0</v>
      </c>
      <c r="CK222" s="402">
        <v>0</v>
      </c>
      <c r="CL222" s="725">
        <v>0</v>
      </c>
      <c r="CM222" s="401">
        <v>-316</v>
      </c>
      <c r="CN222" s="401">
        <v>0</v>
      </c>
      <c r="CO222" s="402">
        <v>0</v>
      </c>
      <c r="CP222" s="729">
        <v>0</v>
      </c>
      <c r="CQ222" s="401">
        <v>-365</v>
      </c>
      <c r="CR222" s="401">
        <v>0</v>
      </c>
      <c r="CS222" s="726">
        <v>0</v>
      </c>
      <c r="CT222" s="373">
        <v>0</v>
      </c>
      <c r="CU222" s="325">
        <v>0</v>
      </c>
      <c r="CV222" s="325">
        <v>0</v>
      </c>
      <c r="CW222" s="726">
        <v>0</v>
      </c>
      <c r="CX222" s="399"/>
      <c r="CY222" s="399"/>
      <c r="CZ222" s="399"/>
      <c r="DA222" s="400"/>
      <c r="DB222" s="399"/>
      <c r="DC222" s="399"/>
      <c r="DD222" s="399"/>
      <c r="DE222" s="400"/>
      <c r="DF222" s="399"/>
      <c r="DG222" s="399"/>
      <c r="DH222" s="399"/>
      <c r="DI222" s="400"/>
      <c r="DJ222" s="454"/>
      <c r="DK222" s="411"/>
      <c r="DL222" s="399"/>
      <c r="DM222" s="399"/>
      <c r="DN222" s="399"/>
      <c r="DO222" s="399"/>
      <c r="DP222" s="399"/>
      <c r="DQ222" s="399"/>
      <c r="DR222" s="399"/>
      <c r="DS222" s="401">
        <v>0</v>
      </c>
      <c r="DT222" s="401">
        <v>0</v>
      </c>
      <c r="DU222" s="401">
        <v>-189</v>
      </c>
      <c r="DV222" s="325">
        <v>-194</v>
      </c>
      <c r="DW222" s="325">
        <v>-204</v>
      </c>
      <c r="DX222" s="325">
        <v>-216</v>
      </c>
      <c r="DY222" s="325">
        <v>-147</v>
      </c>
      <c r="DZ222" s="325">
        <v>-170</v>
      </c>
      <c r="EA222" s="325">
        <v>-195</v>
      </c>
      <c r="EB222" s="325">
        <v>-226</v>
      </c>
      <c r="EC222" s="325">
        <v>-259</v>
      </c>
      <c r="ED222" s="725">
        <v>-283</v>
      </c>
      <c r="EE222" s="725">
        <v>-316</v>
      </c>
      <c r="EF222" s="725">
        <v>-365</v>
      </c>
      <c r="EG222" s="725">
        <v>0</v>
      </c>
      <c r="EH222" s="725">
        <v>0</v>
      </c>
      <c r="EI222" s="725">
        <v>0</v>
      </c>
      <c r="EJ222" s="725">
        <v>0</v>
      </c>
      <c r="EK222" s="725">
        <v>0</v>
      </c>
      <c r="EL222" s="725">
        <v>0</v>
      </c>
      <c r="EM222" s="725">
        <v>0</v>
      </c>
      <c r="EN222" s="725">
        <v>0</v>
      </c>
      <c r="EO222" s="725">
        <v>0</v>
      </c>
      <c r="EP222" s="389"/>
      <c r="EQ222" s="386"/>
    </row>
    <row r="223" spans="1:147" s="390" customFormat="1" ht="15" customHeight="1">
      <c r="A223" s="385"/>
      <c r="B223"/>
      <c r="C223"/>
      <c r="D223"/>
      <c r="E223"/>
      <c r="F223"/>
      <c r="G223"/>
      <c r="I223" s="370" t="s">
        <v>1723</v>
      </c>
      <c r="J223" s="399"/>
      <c r="K223" s="399"/>
      <c r="L223" s="399"/>
      <c r="M223" s="400"/>
      <c r="N223" s="399"/>
      <c r="O223" s="399"/>
      <c r="P223" s="399"/>
      <c r="Q223" s="400"/>
      <c r="R223" s="399"/>
      <c r="S223" s="399"/>
      <c r="T223" s="399"/>
      <c r="U223" s="400"/>
      <c r="V223" s="399"/>
      <c r="W223" s="399"/>
      <c r="X223" s="399"/>
      <c r="Y223" s="400"/>
      <c r="Z223" s="399"/>
      <c r="AA223" s="399"/>
      <c r="AB223" s="399"/>
      <c r="AC223" s="400"/>
      <c r="AD223" s="399"/>
      <c r="AE223" s="399"/>
      <c r="AF223" s="399"/>
      <c r="AG223" s="400"/>
      <c r="AH223" s="399"/>
      <c r="AI223" s="399"/>
      <c r="AJ223" s="399"/>
      <c r="AK223" s="400"/>
      <c r="AL223" s="399"/>
      <c r="AM223" s="399"/>
      <c r="AN223" s="399"/>
      <c r="AO223" s="400"/>
      <c r="AP223" s="399"/>
      <c r="AQ223" s="399"/>
      <c r="AR223" s="399"/>
      <c r="AS223" s="400"/>
      <c r="AT223" s="399"/>
      <c r="AU223" s="399"/>
      <c r="AV223" s="399"/>
      <c r="AW223" s="400"/>
      <c r="AX223" s="399"/>
      <c r="AY223" s="399"/>
      <c r="AZ223" s="399"/>
      <c r="BA223" s="400"/>
      <c r="BB223" s="401">
        <v>0</v>
      </c>
      <c r="BC223" s="401">
        <v>0</v>
      </c>
      <c r="BD223" s="401">
        <v>0</v>
      </c>
      <c r="BE223" s="402">
        <v>0</v>
      </c>
      <c r="BF223" s="401">
        <v>0</v>
      </c>
      <c r="BG223" s="401">
        <v>0</v>
      </c>
      <c r="BH223" s="401">
        <v>0</v>
      </c>
      <c r="BI223" s="402">
        <v>0</v>
      </c>
      <c r="BJ223" s="401">
        <v>0</v>
      </c>
      <c r="BK223" s="401">
        <v>0</v>
      </c>
      <c r="BL223" s="401">
        <v>0</v>
      </c>
      <c r="BM223" s="402">
        <v>4744</v>
      </c>
      <c r="BN223" s="401">
        <v>-375</v>
      </c>
      <c r="BO223" s="401">
        <v>0</v>
      </c>
      <c r="BP223" s="401">
        <v>0</v>
      </c>
      <c r="BQ223" s="402">
        <v>0</v>
      </c>
      <c r="BR223" s="401">
        <v>-250</v>
      </c>
      <c r="BS223" s="401">
        <v>0</v>
      </c>
      <c r="BT223" s="401">
        <v>0</v>
      </c>
      <c r="BU223" s="402">
        <v>0</v>
      </c>
      <c r="BV223" s="401">
        <v>1766</v>
      </c>
      <c r="BW223" s="401">
        <v>-782</v>
      </c>
      <c r="BX223" s="401">
        <v>1337</v>
      </c>
      <c r="BY223" s="402">
        <v>-1617</v>
      </c>
      <c r="BZ223" s="401">
        <v>2551</v>
      </c>
      <c r="CA223" s="401">
        <v>1190</v>
      </c>
      <c r="CB223" s="401">
        <v>0</v>
      </c>
      <c r="CC223" s="402">
        <v>0</v>
      </c>
      <c r="CD223" s="401">
        <v>0</v>
      </c>
      <c r="CE223" s="401">
        <v>0</v>
      </c>
      <c r="CF223" s="401">
        <v>-1740</v>
      </c>
      <c r="CG223" s="402">
        <v>0</v>
      </c>
      <c r="CH223" s="401">
        <v>0</v>
      </c>
      <c r="CI223" s="401">
        <v>0</v>
      </c>
      <c r="CJ223" s="401">
        <v>0</v>
      </c>
      <c r="CK223" s="402">
        <v>0</v>
      </c>
      <c r="CL223" s="401">
        <v>0</v>
      </c>
      <c r="CM223" s="401">
        <v>0</v>
      </c>
      <c r="CN223" s="401">
        <v>896</v>
      </c>
      <c r="CO223" s="402">
        <v>0</v>
      </c>
      <c r="CP223" s="438">
        <v>0</v>
      </c>
      <c r="CQ223" s="401">
        <v>0</v>
      </c>
      <c r="CR223" s="401">
        <v>0</v>
      </c>
      <c r="CS223" s="402">
        <v>0</v>
      </c>
      <c r="CT223" s="373">
        <v>0</v>
      </c>
      <c r="CU223" s="325">
        <v>0</v>
      </c>
      <c r="CV223" s="325">
        <v>0</v>
      </c>
      <c r="CW223" s="402">
        <v>0</v>
      </c>
      <c r="CX223" s="399"/>
      <c r="CY223" s="399"/>
      <c r="CZ223" s="399"/>
      <c r="DA223" s="400"/>
      <c r="DB223" s="399"/>
      <c r="DC223" s="399"/>
      <c r="DD223" s="399"/>
      <c r="DE223" s="400"/>
      <c r="DF223" s="399"/>
      <c r="DG223" s="399"/>
      <c r="DH223" s="399"/>
      <c r="DI223" s="400"/>
      <c r="DJ223" s="454"/>
      <c r="DK223" s="411"/>
      <c r="DL223" s="399"/>
      <c r="DM223" s="399"/>
      <c r="DN223" s="399"/>
      <c r="DO223" s="399"/>
      <c r="DP223" s="399"/>
      <c r="DQ223" s="399"/>
      <c r="DR223" s="399"/>
      <c r="DS223" s="401">
        <v>0</v>
      </c>
      <c r="DT223" s="401">
        <v>0</v>
      </c>
      <c r="DU223" s="401">
        <v>0</v>
      </c>
      <c r="DV223" s="325">
        <v>0</v>
      </c>
      <c r="DW223" s="325">
        <v>0</v>
      </c>
      <c r="DX223" s="325">
        <v>4744</v>
      </c>
      <c r="DY223" s="325">
        <v>-375</v>
      </c>
      <c r="DZ223" s="325">
        <v>-250</v>
      </c>
      <c r="EA223" s="325">
        <v>704</v>
      </c>
      <c r="EB223" s="325">
        <v>3741</v>
      </c>
      <c r="EC223" s="325">
        <v>-1740</v>
      </c>
      <c r="ED223" s="401">
        <v>0</v>
      </c>
      <c r="EE223" s="401">
        <v>896</v>
      </c>
      <c r="EF223" s="401">
        <v>0</v>
      </c>
      <c r="EG223" s="401">
        <v>0</v>
      </c>
      <c r="EH223" s="401">
        <v>0</v>
      </c>
      <c r="EI223" s="401">
        <v>0</v>
      </c>
      <c r="EJ223" s="401">
        <v>0</v>
      </c>
      <c r="EK223" s="401">
        <v>0</v>
      </c>
      <c r="EL223" s="401">
        <v>0</v>
      </c>
      <c r="EM223" s="401">
        <v>0</v>
      </c>
      <c r="EN223" s="401">
        <v>0</v>
      </c>
      <c r="EO223" s="401">
        <v>0</v>
      </c>
      <c r="EP223" s="389"/>
      <c r="EQ223" s="386"/>
    </row>
    <row r="224" spans="1:147" s="390" customFormat="1" ht="15" customHeight="1">
      <c r="A224" s="385"/>
      <c r="B224"/>
      <c r="C224"/>
      <c r="D224"/>
      <c r="E224"/>
      <c r="F224"/>
      <c r="G224"/>
      <c r="H224" s="409"/>
      <c r="I224" s="370" t="s">
        <v>1724</v>
      </c>
      <c r="J224" s="399"/>
      <c r="K224" s="399"/>
      <c r="L224" s="399"/>
      <c r="M224" s="400"/>
      <c r="N224" s="399"/>
      <c r="O224" s="399"/>
      <c r="P224" s="399"/>
      <c r="Q224" s="400"/>
      <c r="R224" s="399"/>
      <c r="S224" s="399"/>
      <c r="T224" s="399"/>
      <c r="U224" s="400"/>
      <c r="V224" s="399"/>
      <c r="W224" s="399"/>
      <c r="X224" s="399"/>
      <c r="Y224" s="400"/>
      <c r="Z224" s="399"/>
      <c r="AA224" s="399"/>
      <c r="AB224" s="399"/>
      <c r="AC224" s="400"/>
      <c r="AD224" s="399"/>
      <c r="AE224" s="399"/>
      <c r="AF224" s="399"/>
      <c r="AG224" s="400"/>
      <c r="AH224" s="399"/>
      <c r="AI224" s="399"/>
      <c r="AJ224" s="399"/>
      <c r="AK224" s="400"/>
      <c r="AL224" s="399"/>
      <c r="AM224" s="399"/>
      <c r="AN224" s="399"/>
      <c r="AO224" s="400"/>
      <c r="AP224" s="399"/>
      <c r="AQ224" s="399"/>
      <c r="AR224" s="399"/>
      <c r="AS224" s="400"/>
      <c r="AT224" s="399"/>
      <c r="AU224" s="399"/>
      <c r="AV224" s="399"/>
      <c r="AW224" s="400"/>
      <c r="AX224" s="399"/>
      <c r="AY224" s="399"/>
      <c r="AZ224" s="399"/>
      <c r="BA224" s="400"/>
      <c r="BB224" s="401">
        <v>0</v>
      </c>
      <c r="BC224" s="401">
        <v>0</v>
      </c>
      <c r="BD224" s="401">
        <v>0</v>
      </c>
      <c r="BE224" s="402">
        <v>0</v>
      </c>
      <c r="BF224" s="401">
        <v>0</v>
      </c>
      <c r="BG224" s="401">
        <v>0</v>
      </c>
      <c r="BH224" s="401">
        <v>0</v>
      </c>
      <c r="BI224" s="402">
        <v>0</v>
      </c>
      <c r="BJ224" s="401">
        <v>0</v>
      </c>
      <c r="BK224" s="401">
        <v>0</v>
      </c>
      <c r="BL224" s="401">
        <v>0</v>
      </c>
      <c r="BM224" s="402">
        <v>0</v>
      </c>
      <c r="BN224" s="401">
        <v>0</v>
      </c>
      <c r="BO224" s="401">
        <v>0</v>
      </c>
      <c r="BP224" s="401">
        <v>0</v>
      </c>
      <c r="BQ224" s="402">
        <v>0</v>
      </c>
      <c r="BR224" s="401">
        <v>0</v>
      </c>
      <c r="BS224" s="401">
        <v>0</v>
      </c>
      <c r="BT224" s="401">
        <v>202</v>
      </c>
      <c r="BU224" s="402">
        <v>0</v>
      </c>
      <c r="BV224" s="401">
        <v>0</v>
      </c>
      <c r="BW224" s="401">
        <v>0</v>
      </c>
      <c r="BX224" s="401">
        <v>0</v>
      </c>
      <c r="BY224" s="402">
        <v>0</v>
      </c>
      <c r="BZ224" s="401">
        <v>-3051</v>
      </c>
      <c r="CA224" s="401">
        <v>-1200</v>
      </c>
      <c r="CB224" s="401">
        <v>0</v>
      </c>
      <c r="CC224" s="402">
        <v>0</v>
      </c>
      <c r="CD224" s="401">
        <v>0</v>
      </c>
      <c r="CE224" s="401">
        <v>0</v>
      </c>
      <c r="CF224" s="401">
        <v>0</v>
      </c>
      <c r="CG224" s="402"/>
      <c r="CH224" s="401">
        <v>0</v>
      </c>
      <c r="CI224" s="401">
        <v>0</v>
      </c>
      <c r="CJ224" s="401">
        <v>0</v>
      </c>
      <c r="CK224" s="402">
        <v>0</v>
      </c>
      <c r="CL224" s="401">
        <v>0</v>
      </c>
      <c r="CM224" s="401">
        <v>0</v>
      </c>
      <c r="CN224" s="401">
        <v>0</v>
      </c>
      <c r="CO224" s="402">
        <v>0</v>
      </c>
      <c r="CP224" s="438">
        <v>0</v>
      </c>
      <c r="CQ224" s="401">
        <v>0</v>
      </c>
      <c r="CR224" s="401">
        <v>0</v>
      </c>
      <c r="CS224" s="402">
        <v>0</v>
      </c>
      <c r="CT224" s="373">
        <v>0</v>
      </c>
      <c r="CU224" s="325">
        <v>0</v>
      </c>
      <c r="CV224" s="325">
        <v>0</v>
      </c>
      <c r="CW224" s="402">
        <v>0</v>
      </c>
      <c r="CX224" s="399"/>
      <c r="CY224" s="399"/>
      <c r="CZ224" s="399"/>
      <c r="DA224" s="400"/>
      <c r="DB224" s="399"/>
      <c r="DC224" s="399"/>
      <c r="DD224" s="399"/>
      <c r="DE224" s="400"/>
      <c r="DF224" s="399"/>
      <c r="DG224" s="399"/>
      <c r="DH224" s="399"/>
      <c r="DI224" s="400"/>
      <c r="DJ224" s="543"/>
      <c r="DK224" s="411"/>
      <c r="DL224" s="399"/>
      <c r="DM224" s="399"/>
      <c r="DN224" s="399"/>
      <c r="DO224" s="399"/>
      <c r="DP224" s="399"/>
      <c r="DQ224" s="399"/>
      <c r="DR224" s="399"/>
      <c r="DS224" s="401">
        <v>0</v>
      </c>
      <c r="DT224" s="401">
        <v>0</v>
      </c>
      <c r="DU224" s="401">
        <v>0</v>
      </c>
      <c r="DV224" s="325">
        <v>0</v>
      </c>
      <c r="DW224" s="325">
        <v>0</v>
      </c>
      <c r="DX224" s="325">
        <v>0</v>
      </c>
      <c r="DY224" s="325">
        <v>0</v>
      </c>
      <c r="DZ224" s="325">
        <v>202</v>
      </c>
      <c r="EA224" s="325">
        <v>0</v>
      </c>
      <c r="EB224" s="325">
        <v>-4251</v>
      </c>
      <c r="EC224" s="325">
        <v>0</v>
      </c>
      <c r="ED224" s="401">
        <v>0</v>
      </c>
      <c r="EE224" s="401">
        <v>0</v>
      </c>
      <c r="EF224" s="401">
        <v>0</v>
      </c>
      <c r="EG224" s="401">
        <v>0</v>
      </c>
      <c r="EH224" s="401">
        <v>0</v>
      </c>
      <c r="EI224" s="401">
        <v>0</v>
      </c>
      <c r="EJ224" s="401">
        <v>0</v>
      </c>
      <c r="EK224" s="401">
        <v>0</v>
      </c>
      <c r="EL224" s="401">
        <v>0</v>
      </c>
      <c r="EM224" s="401">
        <v>0</v>
      </c>
      <c r="EN224" s="401">
        <v>0</v>
      </c>
      <c r="EO224" s="401">
        <v>0</v>
      </c>
      <c r="EP224" s="389"/>
      <c r="EQ224" s="386"/>
    </row>
    <row r="225" spans="1:147" s="390" customFormat="1" ht="15" customHeight="1">
      <c r="A225" s="385"/>
      <c r="B225"/>
      <c r="C225"/>
      <c r="D225"/>
      <c r="E225"/>
      <c r="F225"/>
      <c r="G225"/>
      <c r="H225" s="409"/>
      <c r="I225" s="370" t="s">
        <v>1725</v>
      </c>
      <c r="J225" s="399"/>
      <c r="K225" s="399"/>
      <c r="L225" s="399"/>
      <c r="M225" s="400"/>
      <c r="N225" s="399"/>
      <c r="O225" s="399"/>
      <c r="P225" s="399"/>
      <c r="Q225" s="400"/>
      <c r="R225" s="399"/>
      <c r="S225" s="399"/>
      <c r="T225" s="399"/>
      <c r="U225" s="400"/>
      <c r="V225" s="399"/>
      <c r="W225" s="399"/>
      <c r="X225" s="399"/>
      <c r="Y225" s="400"/>
      <c r="Z225" s="399"/>
      <c r="AA225" s="399"/>
      <c r="AB225" s="399"/>
      <c r="AC225" s="400"/>
      <c r="AD225" s="399"/>
      <c r="AE225" s="399"/>
      <c r="AF225" s="399"/>
      <c r="AG225" s="400"/>
      <c r="AH225" s="399"/>
      <c r="AI225" s="399"/>
      <c r="AJ225" s="399"/>
      <c r="AK225" s="400"/>
      <c r="AL225" s="399"/>
      <c r="AM225" s="399"/>
      <c r="AN225" s="399"/>
      <c r="AO225" s="400"/>
      <c r="AP225" s="399"/>
      <c r="AQ225" s="399"/>
      <c r="AR225" s="399"/>
      <c r="AS225" s="400"/>
      <c r="AT225" s="399"/>
      <c r="AU225" s="399"/>
      <c r="AV225" s="399"/>
      <c r="AW225" s="400"/>
      <c r="AX225" s="399"/>
      <c r="AY225" s="399"/>
      <c r="AZ225" s="399"/>
      <c r="BA225" s="400"/>
      <c r="BB225" s="401">
        <v>-343</v>
      </c>
      <c r="BC225" s="401">
        <v>-158</v>
      </c>
      <c r="BD225" s="401">
        <v>-23</v>
      </c>
      <c r="BE225" s="402">
        <v>-168</v>
      </c>
      <c r="BF225" s="401">
        <v>-261</v>
      </c>
      <c r="BG225" s="401">
        <v>-54</v>
      </c>
      <c r="BH225" s="401">
        <v>0</v>
      </c>
      <c r="BI225" s="402">
        <v>0</v>
      </c>
      <c r="BJ225" s="401">
        <v>0</v>
      </c>
      <c r="BK225" s="401">
        <v>0</v>
      </c>
      <c r="BL225" s="401">
        <v>0</v>
      </c>
      <c r="BM225" s="402">
        <v>-5830</v>
      </c>
      <c r="BN225" s="725">
        <v>0</v>
      </c>
      <c r="BO225" s="725">
        <v>0</v>
      </c>
      <c r="BP225" s="725">
        <v>0</v>
      </c>
      <c r="BQ225" s="726">
        <v>0</v>
      </c>
      <c r="BR225" s="725">
        <v>0</v>
      </c>
      <c r="BS225" s="725">
        <v>0</v>
      </c>
      <c r="BT225" s="725">
        <v>0</v>
      </c>
      <c r="BU225" s="402">
        <v>0</v>
      </c>
      <c r="BV225" s="725">
        <v>0</v>
      </c>
      <c r="BW225" s="401">
        <v>0</v>
      </c>
      <c r="BX225" s="725">
        <v>0</v>
      </c>
      <c r="BY225" s="726">
        <v>0</v>
      </c>
      <c r="BZ225" s="401">
        <v>0</v>
      </c>
      <c r="CA225" s="401">
        <v>0</v>
      </c>
      <c r="CB225" s="401">
        <v>0</v>
      </c>
      <c r="CC225" s="726">
        <v>0</v>
      </c>
      <c r="CD225" s="725">
        <v>0</v>
      </c>
      <c r="CE225" s="401">
        <v>0</v>
      </c>
      <c r="CF225" s="401">
        <v>0</v>
      </c>
      <c r="CG225" s="726">
        <v>0</v>
      </c>
      <c r="CH225" s="725">
        <v>0</v>
      </c>
      <c r="CI225" s="401">
        <v>0</v>
      </c>
      <c r="CJ225" s="401">
        <v>0</v>
      </c>
      <c r="CK225" s="726">
        <v>0</v>
      </c>
      <c r="CL225" s="725">
        <v>0</v>
      </c>
      <c r="CM225" s="401">
        <v>0</v>
      </c>
      <c r="CN225" s="401">
        <v>0</v>
      </c>
      <c r="CO225" s="726">
        <v>0</v>
      </c>
      <c r="CP225" s="729">
        <v>0</v>
      </c>
      <c r="CQ225" s="725">
        <v>0</v>
      </c>
      <c r="CR225" s="725">
        <v>0</v>
      </c>
      <c r="CS225" s="726">
        <v>0</v>
      </c>
      <c r="CT225" s="373">
        <v>0</v>
      </c>
      <c r="CU225" s="325">
        <v>0</v>
      </c>
      <c r="CV225" s="325">
        <v>0</v>
      </c>
      <c r="CW225" s="726">
        <v>0</v>
      </c>
      <c r="CX225" s="399"/>
      <c r="CY225" s="399"/>
      <c r="CZ225" s="399"/>
      <c r="DA225" s="400"/>
      <c r="DB225" s="399"/>
      <c r="DC225" s="399"/>
      <c r="DD225" s="399"/>
      <c r="DE225" s="400"/>
      <c r="DF225" s="399"/>
      <c r="DG225" s="399"/>
      <c r="DH225" s="399"/>
      <c r="DI225" s="400"/>
      <c r="DJ225" s="543"/>
      <c r="DK225" s="411"/>
      <c r="DL225" s="399"/>
      <c r="DM225" s="399"/>
      <c r="DN225" s="399"/>
      <c r="DO225" s="399"/>
      <c r="DP225" s="399"/>
      <c r="DQ225" s="399"/>
      <c r="DR225" s="399"/>
      <c r="DS225" s="401">
        <v>-126</v>
      </c>
      <c r="DT225" s="401">
        <v>-1109</v>
      </c>
      <c r="DU225" s="401">
        <v>-959</v>
      </c>
      <c r="DV225" s="325">
        <v>-692</v>
      </c>
      <c r="DW225" s="325">
        <v>-315</v>
      </c>
      <c r="DX225" s="325">
        <v>-5830</v>
      </c>
      <c r="DY225" s="325">
        <v>0</v>
      </c>
      <c r="DZ225" s="325">
        <v>0</v>
      </c>
      <c r="EA225" s="325">
        <v>0</v>
      </c>
      <c r="EB225" s="325">
        <v>0</v>
      </c>
      <c r="EC225" s="325">
        <v>0</v>
      </c>
      <c r="ED225" s="725">
        <v>0</v>
      </c>
      <c r="EE225" s="725">
        <v>0</v>
      </c>
      <c r="EF225" s="725">
        <v>0</v>
      </c>
      <c r="EG225" s="725">
        <v>0</v>
      </c>
      <c r="EH225" s="725">
        <v>0</v>
      </c>
      <c r="EI225" s="725">
        <v>0</v>
      </c>
      <c r="EJ225" s="725">
        <v>0</v>
      </c>
      <c r="EK225" s="725">
        <v>0</v>
      </c>
      <c r="EL225" s="725">
        <v>0</v>
      </c>
      <c r="EM225" s="725">
        <v>0</v>
      </c>
      <c r="EN225" s="725">
        <v>0</v>
      </c>
      <c r="EO225" s="725">
        <v>0</v>
      </c>
      <c r="EP225" s="389"/>
      <c r="EQ225" s="386"/>
    </row>
    <row r="226" spans="1:147" s="390" customFormat="1" ht="15" customHeight="1">
      <c r="A226" s="385"/>
      <c r="B226"/>
      <c r="C226"/>
      <c r="D226"/>
      <c r="E226"/>
      <c r="F226"/>
      <c r="G226"/>
      <c r="I226" s="370" t="s">
        <v>200</v>
      </c>
      <c r="J226" s="399"/>
      <c r="K226" s="399"/>
      <c r="L226" s="399"/>
      <c r="M226" s="400"/>
      <c r="N226" s="399"/>
      <c r="O226" s="399"/>
      <c r="P226" s="399"/>
      <c r="Q226" s="400"/>
      <c r="R226" s="399"/>
      <c r="S226" s="399"/>
      <c r="T226" s="399"/>
      <c r="U226" s="400"/>
      <c r="V226" s="399"/>
      <c r="W226" s="399"/>
      <c r="X226" s="399"/>
      <c r="Y226" s="400"/>
      <c r="Z226" s="399"/>
      <c r="AA226" s="399"/>
      <c r="AB226" s="399"/>
      <c r="AC226" s="400"/>
      <c r="AD226" s="399"/>
      <c r="AE226" s="399"/>
      <c r="AF226" s="399"/>
      <c r="AG226" s="400"/>
      <c r="AH226" s="399"/>
      <c r="AI226" s="399"/>
      <c r="AJ226" s="399"/>
      <c r="AK226" s="400"/>
      <c r="AL226" s="399"/>
      <c r="AM226" s="399"/>
      <c r="AN226" s="399"/>
      <c r="AO226" s="400"/>
      <c r="AP226" s="399"/>
      <c r="AQ226" s="399"/>
      <c r="AR226" s="399"/>
      <c r="AS226" s="400"/>
      <c r="AT226" s="399"/>
      <c r="AU226" s="399"/>
      <c r="AV226" s="399"/>
      <c r="AW226" s="400"/>
      <c r="AX226" s="399"/>
      <c r="AY226" s="399"/>
      <c r="AZ226" s="399"/>
      <c r="BA226" s="400"/>
      <c r="BB226" s="401">
        <v>0</v>
      </c>
      <c r="BC226" s="401">
        <v>0</v>
      </c>
      <c r="BD226" s="401">
        <v>0</v>
      </c>
      <c r="BE226" s="402">
        <v>0</v>
      </c>
      <c r="BF226" s="401">
        <v>0</v>
      </c>
      <c r="BG226" s="401">
        <v>0</v>
      </c>
      <c r="BH226" s="401">
        <v>0</v>
      </c>
      <c r="BI226" s="402">
        <v>0</v>
      </c>
      <c r="BJ226" s="401">
        <v>0</v>
      </c>
      <c r="BK226" s="401">
        <v>0</v>
      </c>
      <c r="BL226" s="401">
        <v>0</v>
      </c>
      <c r="BM226" s="402">
        <v>-59</v>
      </c>
      <c r="BN226" s="401">
        <v>0</v>
      </c>
      <c r="BO226" s="401">
        <v>0</v>
      </c>
      <c r="BP226" s="401">
        <v>0</v>
      </c>
      <c r="BQ226" s="402">
        <v>0</v>
      </c>
      <c r="BR226" s="401">
        <v>0</v>
      </c>
      <c r="BS226" s="401">
        <v>0</v>
      </c>
      <c r="BT226" s="401">
        <v>0</v>
      </c>
      <c r="BU226" s="402">
        <v>-7</v>
      </c>
      <c r="BV226" s="401">
        <v>0</v>
      </c>
      <c r="BW226" s="401">
        <v>-34</v>
      </c>
      <c r="BX226" s="401">
        <v>-19</v>
      </c>
      <c r="BY226" s="402">
        <v>53</v>
      </c>
      <c r="BZ226" s="401">
        <v>0</v>
      </c>
      <c r="CA226" s="401">
        <v>-10</v>
      </c>
      <c r="CB226" s="401">
        <v>1</v>
      </c>
      <c r="CC226" s="402">
        <v>-1</v>
      </c>
      <c r="CD226" s="401">
        <v>0</v>
      </c>
      <c r="CE226" s="401">
        <v>0</v>
      </c>
      <c r="CF226" s="401">
        <v>-27</v>
      </c>
      <c r="CG226" s="402">
        <v>1</v>
      </c>
      <c r="CH226" s="401">
        <v>0</v>
      </c>
      <c r="CI226" s="401">
        <v>0</v>
      </c>
      <c r="CJ226" s="401">
        <v>0</v>
      </c>
      <c r="CK226" s="402">
        <v>0</v>
      </c>
      <c r="CL226" s="401">
        <v>0</v>
      </c>
      <c r="CM226" s="401">
        <v>0</v>
      </c>
      <c r="CN226" s="401">
        <v>0</v>
      </c>
      <c r="CO226" s="402">
        <v>0</v>
      </c>
      <c r="CP226" s="438">
        <v>0</v>
      </c>
      <c r="CQ226" s="401">
        <v>0</v>
      </c>
      <c r="CR226" s="401">
        <v>0</v>
      </c>
      <c r="CS226" s="402">
        <v>0</v>
      </c>
      <c r="CT226" s="373">
        <v>0</v>
      </c>
      <c r="CU226" s="325">
        <v>0</v>
      </c>
      <c r="CV226" s="325">
        <v>0</v>
      </c>
      <c r="CW226" s="402">
        <v>0</v>
      </c>
      <c r="CX226" s="399"/>
      <c r="CY226" s="399"/>
      <c r="CZ226" s="399"/>
      <c r="DA226" s="400"/>
      <c r="DB226" s="399"/>
      <c r="DC226" s="399"/>
      <c r="DD226" s="399"/>
      <c r="DE226" s="400"/>
      <c r="DF226" s="399"/>
      <c r="DG226" s="399"/>
      <c r="DH226" s="399"/>
      <c r="DI226" s="400"/>
      <c r="DJ226" s="454"/>
      <c r="DK226" s="411"/>
      <c r="DL226" s="399"/>
      <c r="DM226" s="399"/>
      <c r="DN226" s="399"/>
      <c r="DO226" s="399"/>
      <c r="DP226" s="399"/>
      <c r="DQ226" s="399"/>
      <c r="DR226" s="399"/>
      <c r="DS226" s="376">
        <v>1571</v>
      </c>
      <c r="DT226" s="401">
        <v>0</v>
      </c>
      <c r="DU226" s="401">
        <v>0</v>
      </c>
      <c r="DV226" s="325">
        <v>0</v>
      </c>
      <c r="DW226" s="325">
        <v>0</v>
      </c>
      <c r="DX226" s="325">
        <v>-59</v>
      </c>
      <c r="DY226" s="325">
        <v>0</v>
      </c>
      <c r="DZ226" s="325">
        <v>-7</v>
      </c>
      <c r="EA226" s="325">
        <v>0</v>
      </c>
      <c r="EB226" s="325">
        <v>-10</v>
      </c>
      <c r="EC226" s="325">
        <v>-26</v>
      </c>
      <c r="ED226" s="401">
        <v>0</v>
      </c>
      <c r="EE226" s="401">
        <v>0</v>
      </c>
      <c r="EF226" s="401">
        <v>0</v>
      </c>
      <c r="EG226" s="401">
        <v>0</v>
      </c>
      <c r="EH226" s="401">
        <v>0</v>
      </c>
      <c r="EI226" s="401">
        <v>0</v>
      </c>
      <c r="EJ226" s="401">
        <v>0</v>
      </c>
      <c r="EK226" s="401">
        <v>0</v>
      </c>
      <c r="EL226" s="401">
        <v>0</v>
      </c>
      <c r="EM226" s="401">
        <v>0</v>
      </c>
      <c r="EN226" s="401">
        <v>0</v>
      </c>
      <c r="EO226" s="401">
        <v>0</v>
      </c>
      <c r="EP226" s="389"/>
      <c r="EQ226" s="386"/>
    </row>
    <row r="227" spans="1:147" s="390" customFormat="1" ht="15" customHeight="1">
      <c r="A227" s="385"/>
      <c r="B227"/>
      <c r="C227"/>
      <c r="D227"/>
      <c r="E227"/>
      <c r="F227"/>
      <c r="G227"/>
      <c r="H227" s="386"/>
      <c r="I227" s="517" t="s">
        <v>1726</v>
      </c>
      <c r="J227" s="552"/>
      <c r="K227" s="552"/>
      <c r="L227" s="552"/>
      <c r="M227" s="553"/>
      <c r="N227" s="552"/>
      <c r="O227" s="552"/>
      <c r="P227" s="552"/>
      <c r="Q227" s="553"/>
      <c r="R227" s="552"/>
      <c r="S227" s="552"/>
      <c r="T227" s="552"/>
      <c r="U227" s="553"/>
      <c r="V227" s="552"/>
      <c r="W227" s="552"/>
      <c r="X227" s="552"/>
      <c r="Y227" s="553"/>
      <c r="Z227" s="552"/>
      <c r="AA227" s="552"/>
      <c r="AB227" s="552"/>
      <c r="AC227" s="553"/>
      <c r="AD227" s="552"/>
      <c r="AE227" s="552"/>
      <c r="AF227" s="552"/>
      <c r="AG227" s="553"/>
      <c r="AH227" s="552"/>
      <c r="AI227" s="552"/>
      <c r="AJ227" s="552"/>
      <c r="AK227" s="553"/>
      <c r="AL227" s="552"/>
      <c r="AM227" s="552"/>
      <c r="AN227" s="552"/>
      <c r="AO227" s="553"/>
      <c r="AP227" s="552"/>
      <c r="AQ227" s="552"/>
      <c r="AR227" s="552"/>
      <c r="AS227" s="553"/>
      <c r="AT227" s="552"/>
      <c r="AU227" s="552"/>
      <c r="AV227" s="552"/>
      <c r="AW227" s="553"/>
      <c r="AX227" s="552">
        <v>0</v>
      </c>
      <c r="AY227" s="552">
        <v>0</v>
      </c>
      <c r="AZ227" s="552">
        <v>0</v>
      </c>
      <c r="BA227" s="553">
        <v>0</v>
      </c>
      <c r="BB227" s="554">
        <v>-337</v>
      </c>
      <c r="BC227" s="554">
        <v>-326</v>
      </c>
      <c r="BD227" s="554">
        <v>5</v>
      </c>
      <c r="BE227" s="555">
        <v>-150</v>
      </c>
      <c r="BF227" s="554">
        <v>-246</v>
      </c>
      <c r="BG227" s="554">
        <v>-250</v>
      </c>
      <c r="BH227" s="554">
        <v>6</v>
      </c>
      <c r="BI227" s="555">
        <v>-7</v>
      </c>
      <c r="BJ227" s="554">
        <v>23</v>
      </c>
      <c r="BK227" s="554">
        <v>-199</v>
      </c>
      <c r="BL227" s="554">
        <v>47</v>
      </c>
      <c r="BM227" s="555">
        <v>-1094</v>
      </c>
      <c r="BN227" s="554">
        <v>-252</v>
      </c>
      <c r="BO227" s="554">
        <v>-144</v>
      </c>
      <c r="BP227" s="554">
        <v>22</v>
      </c>
      <c r="BQ227" s="555">
        <v>0</v>
      </c>
      <c r="BR227" s="554">
        <v>-212</v>
      </c>
      <c r="BS227" s="554">
        <v>-148</v>
      </c>
      <c r="BT227" s="554">
        <v>221</v>
      </c>
      <c r="BU227" s="555">
        <v>4</v>
      </c>
      <c r="BV227" s="554">
        <v>1807</v>
      </c>
      <c r="BW227" s="554">
        <v>-1009</v>
      </c>
      <c r="BX227" s="554">
        <v>1285</v>
      </c>
      <c r="BY227" s="555">
        <v>-1583</v>
      </c>
      <c r="BZ227" s="554">
        <v>-404</v>
      </c>
      <c r="CA227" s="554">
        <v>-248</v>
      </c>
      <c r="CB227" s="554">
        <v>13</v>
      </c>
      <c r="CC227" s="555">
        <v>15</v>
      </c>
      <c r="CD227" s="557">
        <v>8</v>
      </c>
      <c r="CE227" s="554">
        <v>-258</v>
      </c>
      <c r="CF227" s="554">
        <v>-1770</v>
      </c>
      <c r="CG227" s="555">
        <v>0</v>
      </c>
      <c r="CH227" s="557">
        <v>24</v>
      </c>
      <c r="CI227" s="554">
        <v>-298</v>
      </c>
      <c r="CJ227" s="554">
        <v>23</v>
      </c>
      <c r="CK227" s="555">
        <v>14</v>
      </c>
      <c r="CL227" s="557">
        <v>7</v>
      </c>
      <c r="CM227" s="554">
        <v>-288</v>
      </c>
      <c r="CN227" s="554">
        <v>934</v>
      </c>
      <c r="CO227" s="555">
        <v>58</v>
      </c>
      <c r="CP227" s="557">
        <v>-95</v>
      </c>
      <c r="CQ227" s="554">
        <v>-376</v>
      </c>
      <c r="CR227" s="554">
        <v>-62</v>
      </c>
      <c r="CS227" s="555">
        <v>0</v>
      </c>
      <c r="CT227" s="557">
        <v>0</v>
      </c>
      <c r="CU227" s="554">
        <v>0</v>
      </c>
      <c r="CV227" s="554">
        <v>0</v>
      </c>
      <c r="CW227" s="555">
        <v>0</v>
      </c>
      <c r="CX227" s="552"/>
      <c r="CY227" s="552"/>
      <c r="CZ227" s="552"/>
      <c r="DA227" s="553"/>
      <c r="DB227" s="552"/>
      <c r="DC227" s="552"/>
      <c r="DD227" s="552"/>
      <c r="DE227" s="553"/>
      <c r="DF227" s="552"/>
      <c r="DG227" s="552"/>
      <c r="DH227" s="552"/>
      <c r="DI227" s="553"/>
      <c r="DJ227" s="454"/>
      <c r="DK227" s="558"/>
      <c r="DL227" s="552"/>
      <c r="DM227" s="552"/>
      <c r="DN227" s="552"/>
      <c r="DO227" s="552"/>
      <c r="DP227" s="552"/>
      <c r="DQ227" s="552"/>
      <c r="DR227" s="552"/>
      <c r="DS227" s="398">
        <v>1488</v>
      </c>
      <c r="DT227" s="398">
        <v>-949</v>
      </c>
      <c r="DU227" s="398">
        <v>-1053</v>
      </c>
      <c r="DV227" s="394">
        <v>-808</v>
      </c>
      <c r="DW227" s="394">
        <v>-497</v>
      </c>
      <c r="DX227" s="394">
        <v>-1223</v>
      </c>
      <c r="DY227" s="394">
        <v>-374</v>
      </c>
      <c r="DZ227" s="394">
        <v>-135</v>
      </c>
      <c r="EA227" s="394">
        <v>500</v>
      </c>
      <c r="EB227" s="394">
        <v>-624</v>
      </c>
      <c r="EC227" s="394">
        <v>-2020</v>
      </c>
      <c r="ED227" s="554">
        <v>-237</v>
      </c>
      <c r="EE227" s="554">
        <v>711</v>
      </c>
      <c r="EF227" s="554">
        <v>-533</v>
      </c>
      <c r="EG227" s="554">
        <v>0</v>
      </c>
      <c r="EH227" s="554">
        <v>0</v>
      </c>
      <c r="EI227" s="554">
        <v>0</v>
      </c>
      <c r="EJ227" s="554">
        <v>0</v>
      </c>
      <c r="EK227" s="554">
        <v>0</v>
      </c>
      <c r="EL227" s="554">
        <v>0</v>
      </c>
      <c r="EM227" s="554">
        <v>0</v>
      </c>
      <c r="EN227" s="554">
        <v>0</v>
      </c>
      <c r="EO227" s="554">
        <v>0</v>
      </c>
      <c r="EP227" s="389"/>
      <c r="EQ227" s="386"/>
    </row>
    <row r="228" spans="1:147" s="390" customFormat="1" ht="15" customHeight="1">
      <c r="A228" s="385"/>
      <c r="B228"/>
      <c r="C228"/>
      <c r="D228"/>
      <c r="E228"/>
      <c r="F228"/>
      <c r="G228"/>
      <c r="H228" s="386"/>
      <c r="I228" s="370"/>
      <c r="J228" s="386"/>
      <c r="K228" s="386"/>
      <c r="L228" s="386"/>
      <c r="M228" s="388"/>
      <c r="N228" s="386"/>
      <c r="O228" s="386"/>
      <c r="P228" s="386"/>
      <c r="Q228" s="388"/>
      <c r="R228" s="386"/>
      <c r="S228" s="386"/>
      <c r="T228" s="386"/>
      <c r="U228" s="388"/>
      <c r="V228" s="386"/>
      <c r="W228" s="386"/>
      <c r="X228" s="386"/>
      <c r="Y228" s="388"/>
      <c r="Z228" s="386"/>
      <c r="AA228" s="386"/>
      <c r="AB228" s="386"/>
      <c r="AC228" s="388"/>
      <c r="AD228" s="386"/>
      <c r="AE228" s="386"/>
      <c r="AF228" s="386"/>
      <c r="AG228" s="388"/>
      <c r="AH228" s="386"/>
      <c r="AI228" s="386"/>
      <c r="AJ228" s="386"/>
      <c r="AK228" s="388"/>
      <c r="AL228" s="386"/>
      <c r="AM228" s="386"/>
      <c r="AN228" s="386"/>
      <c r="AO228" s="388"/>
      <c r="AP228" s="386"/>
      <c r="AQ228" s="386"/>
      <c r="AR228" s="386"/>
      <c r="AS228" s="388"/>
      <c r="AT228" s="386"/>
      <c r="AU228" s="386"/>
      <c r="AV228" s="386"/>
      <c r="AW228" s="388"/>
      <c r="AX228" s="386"/>
      <c r="AY228" s="386"/>
      <c r="AZ228" s="386"/>
      <c r="BA228" s="388"/>
      <c r="BB228" s="325"/>
      <c r="BC228" s="325"/>
      <c r="BD228" s="325"/>
      <c r="BE228" s="372"/>
      <c r="BF228" s="325"/>
      <c r="BG228" s="325"/>
      <c r="BH228" s="325"/>
      <c r="BI228" s="372"/>
      <c r="BJ228" s="325"/>
      <c r="BK228" s="325"/>
      <c r="BL228" s="325"/>
      <c r="BM228" s="372"/>
      <c r="BN228" s="325"/>
      <c r="BO228" s="325"/>
      <c r="BP228" s="325"/>
      <c r="BQ228" s="372"/>
      <c r="BR228" s="325"/>
      <c r="BS228" s="325"/>
      <c r="BT228" s="325"/>
      <c r="BU228" s="372"/>
      <c r="BV228" s="325"/>
      <c r="BW228" s="325"/>
      <c r="BX228" s="325"/>
      <c r="BY228" s="372"/>
      <c r="BZ228" s="325"/>
      <c r="CA228" s="325"/>
      <c r="CB228" s="325"/>
      <c r="CC228" s="372"/>
      <c r="CD228" s="373"/>
      <c r="CE228" s="325"/>
      <c r="CF228" s="325"/>
      <c r="CG228" s="372"/>
      <c r="CH228" s="373"/>
      <c r="CI228" s="325"/>
      <c r="CJ228" s="325"/>
      <c r="CK228" s="372"/>
      <c r="CL228" s="373"/>
      <c r="CM228" s="325"/>
      <c r="CN228" s="325"/>
      <c r="CO228" s="372"/>
      <c r="CP228" s="373"/>
      <c r="CQ228" s="325"/>
      <c r="CR228" s="325"/>
      <c r="CS228" s="372"/>
      <c r="CT228" s="373"/>
      <c r="CU228" s="325"/>
      <c r="CV228" s="325"/>
      <c r="CW228" s="372"/>
      <c r="CX228" s="386"/>
      <c r="CY228" s="386"/>
      <c r="CZ228" s="386"/>
      <c r="DA228" s="388"/>
      <c r="DB228" s="386"/>
      <c r="DC228" s="386"/>
      <c r="DD228" s="386"/>
      <c r="DE228" s="388"/>
      <c r="DF228" s="386"/>
      <c r="DG228" s="386"/>
      <c r="DH228" s="386"/>
      <c r="DI228" s="388"/>
      <c r="DJ228" s="454"/>
      <c r="DK228" s="389"/>
      <c r="DL228" s="386"/>
      <c r="DM228" s="386"/>
      <c r="DN228" s="386"/>
      <c r="DO228" s="386"/>
      <c r="DP228" s="386"/>
      <c r="DQ228" s="386"/>
      <c r="DR228" s="386"/>
      <c r="DS228" s="401"/>
      <c r="DT228" s="401"/>
      <c r="DU228" s="401"/>
      <c r="DV228" s="325"/>
      <c r="DW228" s="325"/>
      <c r="DX228" s="325"/>
      <c r="DY228" s="325"/>
      <c r="DZ228" s="325"/>
      <c r="EA228" s="325"/>
      <c r="EB228" s="325"/>
      <c r="EC228" s="325"/>
      <c r="ED228" s="325"/>
      <c r="EE228" s="325"/>
      <c r="EF228" s="325"/>
      <c r="EG228" s="325"/>
      <c r="EH228" s="325"/>
      <c r="EI228" s="325"/>
      <c r="EJ228" s="325"/>
      <c r="EK228" s="325"/>
      <c r="EL228" s="325"/>
      <c r="EM228" s="325"/>
      <c r="EN228" s="325"/>
      <c r="EO228" s="325"/>
      <c r="EP228" s="389"/>
      <c r="EQ228" s="386"/>
    </row>
    <row r="229" spans="1:147" s="390" customFormat="1" ht="15" customHeight="1">
      <c r="A229" s="385"/>
      <c r="B229"/>
      <c r="C229"/>
      <c r="D229"/>
      <c r="E229"/>
      <c r="F229"/>
      <c r="G229"/>
      <c r="H229" s="386"/>
      <c r="I229" s="370" t="s">
        <v>1727</v>
      </c>
      <c r="J229" s="399"/>
      <c r="K229" s="399"/>
      <c r="L229" s="399"/>
      <c r="M229" s="400"/>
      <c r="N229" s="399"/>
      <c r="O229" s="399"/>
      <c r="P229" s="399"/>
      <c r="Q229" s="400"/>
      <c r="R229" s="399"/>
      <c r="S229" s="399"/>
      <c r="T229" s="399"/>
      <c r="U229" s="400"/>
      <c r="V229" s="399"/>
      <c r="W229" s="399"/>
      <c r="X229" s="399"/>
      <c r="Y229" s="400"/>
      <c r="Z229" s="399"/>
      <c r="AA229" s="399"/>
      <c r="AB229" s="399"/>
      <c r="AC229" s="400"/>
      <c r="AD229" s="399"/>
      <c r="AE229" s="399"/>
      <c r="AF229" s="399"/>
      <c r="AG229" s="400"/>
      <c r="AH229" s="399"/>
      <c r="AI229" s="399"/>
      <c r="AJ229" s="399"/>
      <c r="AK229" s="400"/>
      <c r="AL229" s="399"/>
      <c r="AM229" s="399"/>
      <c r="AN229" s="399"/>
      <c r="AO229" s="400"/>
      <c r="AP229" s="399"/>
      <c r="AQ229" s="399"/>
      <c r="AR229" s="399"/>
      <c r="AS229" s="400"/>
      <c r="AT229" s="399"/>
      <c r="AU229" s="399"/>
      <c r="AV229" s="399"/>
      <c r="AW229" s="400"/>
      <c r="AX229" s="399"/>
      <c r="AY229" s="399"/>
      <c r="AZ229" s="399"/>
      <c r="BA229" s="400"/>
      <c r="BB229" s="401">
        <v>63</v>
      </c>
      <c r="BC229" s="401">
        <v>3</v>
      </c>
      <c r="BD229" s="401">
        <v>-63</v>
      </c>
      <c r="BE229" s="402">
        <v>-60</v>
      </c>
      <c r="BF229" s="401">
        <v>54</v>
      </c>
      <c r="BG229" s="401">
        <v>-108</v>
      </c>
      <c r="BH229" s="401">
        <v>64</v>
      </c>
      <c r="BI229" s="402">
        <v>60</v>
      </c>
      <c r="BJ229" s="401">
        <v>-88</v>
      </c>
      <c r="BK229" s="401">
        <v>36</v>
      </c>
      <c r="BL229" s="401">
        <v>91</v>
      </c>
      <c r="BM229" s="402">
        <v>63</v>
      </c>
      <c r="BN229" s="401">
        <v>-3</v>
      </c>
      <c r="BO229" s="401">
        <v>-20</v>
      </c>
      <c r="BP229" s="401">
        <v>-225</v>
      </c>
      <c r="BQ229" s="402">
        <v>-148</v>
      </c>
      <c r="BR229" s="401">
        <v>-364</v>
      </c>
      <c r="BS229" s="401">
        <v>92</v>
      </c>
      <c r="BT229" s="401">
        <v>4</v>
      </c>
      <c r="BU229" s="402">
        <v>-98</v>
      </c>
      <c r="BV229" s="401">
        <v>1</v>
      </c>
      <c r="BW229" s="401">
        <v>-26</v>
      </c>
      <c r="BX229" s="401">
        <v>2</v>
      </c>
      <c r="BY229" s="402">
        <v>-33</v>
      </c>
      <c r="BZ229" s="401">
        <v>19</v>
      </c>
      <c r="CA229" s="401">
        <v>31</v>
      </c>
      <c r="CB229" s="401">
        <v>22</v>
      </c>
      <c r="CC229" s="402">
        <v>4</v>
      </c>
      <c r="CD229" s="438">
        <v>18</v>
      </c>
      <c r="CE229" s="401">
        <v>-37</v>
      </c>
      <c r="CF229" s="401">
        <v>4</v>
      </c>
      <c r="CG229" s="402">
        <v>-31</v>
      </c>
      <c r="CH229" s="438">
        <v>2</v>
      </c>
      <c r="CI229" s="401">
        <v>1</v>
      </c>
      <c r="CJ229" s="401">
        <v>-27</v>
      </c>
      <c r="CK229" s="402">
        <v>21</v>
      </c>
      <c r="CL229" s="438">
        <v>-15</v>
      </c>
      <c r="CM229" s="401">
        <v>10</v>
      </c>
      <c r="CN229" s="401">
        <v>37</v>
      </c>
      <c r="CO229" s="402">
        <v>37</v>
      </c>
      <c r="CP229" s="438">
        <v>-28</v>
      </c>
      <c r="CQ229" s="401">
        <v>12</v>
      </c>
      <c r="CR229" s="401">
        <v>-19</v>
      </c>
      <c r="CS229" s="402">
        <v>0</v>
      </c>
      <c r="CT229" s="438">
        <v>0</v>
      </c>
      <c r="CU229" s="401">
        <v>0</v>
      </c>
      <c r="CV229" s="401">
        <v>0</v>
      </c>
      <c r="CW229" s="402">
        <v>0</v>
      </c>
      <c r="CX229" s="399"/>
      <c r="CY229" s="399"/>
      <c r="CZ229" s="399"/>
      <c r="DA229" s="400"/>
      <c r="DB229" s="399"/>
      <c r="DC229" s="399"/>
      <c r="DD229" s="399"/>
      <c r="DE229" s="400"/>
      <c r="DF229" s="399"/>
      <c r="DG229" s="399"/>
      <c r="DH229" s="399"/>
      <c r="DI229" s="400"/>
      <c r="DJ229" s="454"/>
      <c r="DK229" s="411"/>
      <c r="DL229" s="399"/>
      <c r="DM229" s="399"/>
      <c r="DN229" s="399"/>
      <c r="DO229" s="399"/>
      <c r="DP229" s="399"/>
      <c r="DQ229" s="399"/>
      <c r="DR229" s="399"/>
      <c r="DS229" s="401">
        <v>-72</v>
      </c>
      <c r="DT229" s="401">
        <v>19</v>
      </c>
      <c r="DU229" s="401">
        <v>33</v>
      </c>
      <c r="DV229" s="325">
        <v>-57</v>
      </c>
      <c r="DW229" s="325">
        <v>70</v>
      </c>
      <c r="DX229" s="325">
        <v>102</v>
      </c>
      <c r="DY229" s="325">
        <v>-396</v>
      </c>
      <c r="DZ229" s="325">
        <v>-366</v>
      </c>
      <c r="EA229" s="325">
        <v>-56</v>
      </c>
      <c r="EB229" s="325">
        <v>76</v>
      </c>
      <c r="EC229" s="325">
        <v>-46</v>
      </c>
      <c r="ED229" s="401">
        <v>-3</v>
      </c>
      <c r="EE229" s="401">
        <v>69</v>
      </c>
      <c r="EF229" s="401">
        <v>-35</v>
      </c>
      <c r="EG229" s="401">
        <v>0</v>
      </c>
      <c r="EH229" s="401">
        <v>0</v>
      </c>
      <c r="EI229" s="401">
        <v>0</v>
      </c>
      <c r="EJ229" s="401">
        <v>0</v>
      </c>
      <c r="EK229" s="401">
        <v>0</v>
      </c>
      <c r="EL229" s="401">
        <v>0</v>
      </c>
      <c r="EM229" s="401">
        <v>0</v>
      </c>
      <c r="EN229" s="401">
        <v>0</v>
      </c>
      <c r="EO229" s="401">
        <v>0</v>
      </c>
      <c r="EP229" s="389"/>
      <c r="EQ229" s="386"/>
    </row>
    <row r="230" spans="1:147" s="390" customFormat="1" ht="15" customHeight="1">
      <c r="A230" s="385"/>
      <c r="B230"/>
      <c r="C230"/>
      <c r="D230"/>
      <c r="E230"/>
      <c r="F230"/>
      <c r="G230"/>
      <c r="H230" s="386"/>
      <c r="I230" s="370"/>
      <c r="J230" s="386"/>
      <c r="K230" s="386"/>
      <c r="L230" s="386"/>
      <c r="M230" s="388"/>
      <c r="N230" s="386"/>
      <c r="O230" s="386"/>
      <c r="P230" s="386"/>
      <c r="Q230" s="388"/>
      <c r="R230" s="386"/>
      <c r="S230" s="386"/>
      <c r="T230" s="386"/>
      <c r="U230" s="388"/>
      <c r="V230" s="386"/>
      <c r="W230" s="386"/>
      <c r="X230" s="386"/>
      <c r="Y230" s="388"/>
      <c r="Z230" s="386"/>
      <c r="AA230" s="386"/>
      <c r="AB230" s="386"/>
      <c r="AC230" s="388"/>
      <c r="AD230" s="386"/>
      <c r="AE230" s="386"/>
      <c r="AF230" s="386"/>
      <c r="AG230" s="388"/>
      <c r="AH230" s="386"/>
      <c r="AI230" s="386"/>
      <c r="AJ230" s="386"/>
      <c r="AK230" s="388"/>
      <c r="AL230" s="386"/>
      <c r="AM230" s="386"/>
      <c r="AN230" s="386"/>
      <c r="AO230" s="388"/>
      <c r="AP230" s="386"/>
      <c r="AQ230" s="386"/>
      <c r="AR230" s="386"/>
      <c r="AS230" s="388"/>
      <c r="AT230" s="386"/>
      <c r="AU230" s="386"/>
      <c r="AV230" s="386"/>
      <c r="AW230" s="388"/>
      <c r="AX230" s="386"/>
      <c r="AY230" s="386"/>
      <c r="AZ230" s="386"/>
      <c r="BA230" s="388"/>
      <c r="BB230" s="325"/>
      <c r="BC230" s="325"/>
      <c r="BD230" s="325"/>
      <c r="BE230" s="372"/>
      <c r="BF230" s="325"/>
      <c r="BG230" s="325"/>
      <c r="BH230" s="325"/>
      <c r="BI230" s="372"/>
      <c r="BJ230" s="325"/>
      <c r="BK230" s="325"/>
      <c r="BL230" s="325"/>
      <c r="BM230" s="372"/>
      <c r="BN230" s="325"/>
      <c r="BO230" s="325"/>
      <c r="BP230" s="325"/>
      <c r="BQ230" s="372"/>
      <c r="BR230" s="325"/>
      <c r="BS230" s="325"/>
      <c r="BT230" s="325"/>
      <c r="BU230" s="372"/>
      <c r="BV230" s="325"/>
      <c r="BW230" s="325"/>
      <c r="BX230" s="325"/>
      <c r="BY230" s="372"/>
      <c r="BZ230" s="325"/>
      <c r="CA230" s="325"/>
      <c r="CB230" s="325"/>
      <c r="CC230" s="372"/>
      <c r="CD230" s="373"/>
      <c r="CE230" s="325"/>
      <c r="CF230" s="325"/>
      <c r="CG230" s="372"/>
      <c r="CH230" s="373"/>
      <c r="CI230" s="325"/>
      <c r="CJ230" s="325"/>
      <c r="CK230" s="372"/>
      <c r="CL230" s="373"/>
      <c r="CM230" s="325"/>
      <c r="CN230" s="325"/>
      <c r="CO230" s="372"/>
      <c r="CP230" s="373"/>
      <c r="CQ230" s="325"/>
      <c r="CR230" s="325"/>
      <c r="CS230" s="372"/>
      <c r="CT230" s="373"/>
      <c r="CU230" s="325"/>
      <c r="CV230" s="325"/>
      <c r="CW230" s="372"/>
      <c r="CX230" s="386"/>
      <c r="CY230" s="386"/>
      <c r="CZ230" s="386"/>
      <c r="DA230" s="388"/>
      <c r="DB230" s="386"/>
      <c r="DC230" s="386"/>
      <c r="DD230" s="386"/>
      <c r="DE230" s="388"/>
      <c r="DF230" s="386"/>
      <c r="DG230" s="386"/>
      <c r="DH230" s="386"/>
      <c r="DI230" s="388"/>
      <c r="DJ230" s="454"/>
      <c r="DK230" s="389"/>
      <c r="DL230" s="386"/>
      <c r="DM230" s="386"/>
      <c r="DN230" s="386"/>
      <c r="DO230" s="386"/>
      <c r="DP230" s="386"/>
      <c r="DQ230" s="386"/>
      <c r="DR230" s="386"/>
      <c r="DS230" s="401"/>
      <c r="DT230" s="401"/>
      <c r="DU230" s="401"/>
      <c r="DV230" s="325"/>
      <c r="DW230" s="325"/>
      <c r="DX230" s="325"/>
      <c r="DY230" s="325"/>
      <c r="DZ230" s="325"/>
      <c r="EA230" s="325"/>
      <c r="EB230" s="325"/>
      <c r="EC230" s="325"/>
      <c r="ED230" s="325"/>
      <c r="EE230" s="325"/>
      <c r="EF230" s="325"/>
      <c r="EG230" s="325"/>
      <c r="EH230" s="325"/>
      <c r="EI230" s="325"/>
      <c r="EJ230" s="325"/>
      <c r="EK230" s="325"/>
      <c r="EL230" s="325"/>
      <c r="EM230" s="325"/>
      <c r="EN230" s="325"/>
      <c r="EO230" s="325"/>
      <c r="EP230" s="389"/>
      <c r="EQ230" s="386"/>
    </row>
    <row r="231" spans="1:147" s="377" customFormat="1" ht="15" customHeight="1">
      <c r="A231" s="368"/>
      <c r="B231"/>
      <c r="C231"/>
      <c r="D231"/>
      <c r="E231"/>
      <c r="F231"/>
      <c r="G231"/>
      <c r="H231" s="369"/>
      <c r="I231" s="517" t="s">
        <v>1728</v>
      </c>
      <c r="J231" s="559"/>
      <c r="K231" s="559"/>
      <c r="L231" s="559"/>
      <c r="M231" s="560"/>
      <c r="N231" s="559"/>
      <c r="O231" s="559"/>
      <c r="P231" s="559"/>
      <c r="Q231" s="560"/>
      <c r="R231" s="559"/>
      <c r="S231" s="559"/>
      <c r="T231" s="559"/>
      <c r="U231" s="560"/>
      <c r="V231" s="559"/>
      <c r="W231" s="559"/>
      <c r="X231" s="559"/>
      <c r="Y231" s="560"/>
      <c r="Z231" s="559"/>
      <c r="AA231" s="559"/>
      <c r="AB231" s="559"/>
      <c r="AC231" s="560"/>
      <c r="AD231" s="559"/>
      <c r="AE231" s="559"/>
      <c r="AF231" s="559"/>
      <c r="AG231" s="560"/>
      <c r="AH231" s="559"/>
      <c r="AI231" s="559"/>
      <c r="AJ231" s="559"/>
      <c r="AK231" s="560"/>
      <c r="AL231" s="559"/>
      <c r="AM231" s="559"/>
      <c r="AN231" s="559"/>
      <c r="AO231" s="560"/>
      <c r="AP231" s="559"/>
      <c r="AQ231" s="559"/>
      <c r="AR231" s="559"/>
      <c r="AS231" s="560"/>
      <c r="AT231" s="559"/>
      <c r="AU231" s="559"/>
      <c r="AV231" s="559"/>
      <c r="AW231" s="560"/>
      <c r="AX231" s="559">
        <v>0</v>
      </c>
      <c r="AY231" s="559">
        <v>0</v>
      </c>
      <c r="AZ231" s="559">
        <v>0</v>
      </c>
      <c r="BA231" s="560">
        <v>0</v>
      </c>
      <c r="BB231" s="562">
        <v>-154</v>
      </c>
      <c r="BC231" s="562">
        <v>-324</v>
      </c>
      <c r="BD231" s="562">
        <v>135</v>
      </c>
      <c r="BE231" s="600">
        <v>696</v>
      </c>
      <c r="BF231" s="562">
        <v>-116</v>
      </c>
      <c r="BG231" s="562">
        <v>-263</v>
      </c>
      <c r="BH231" s="562">
        <v>123</v>
      </c>
      <c r="BI231" s="600">
        <v>1050</v>
      </c>
      <c r="BJ231" s="562">
        <v>340</v>
      </c>
      <c r="BK231" s="562">
        <v>42</v>
      </c>
      <c r="BL231" s="562">
        <v>103</v>
      </c>
      <c r="BM231" s="600">
        <v>-34</v>
      </c>
      <c r="BN231" s="562">
        <v>-131</v>
      </c>
      <c r="BO231" s="562">
        <v>-80</v>
      </c>
      <c r="BP231" s="562">
        <v>-394</v>
      </c>
      <c r="BQ231" s="600">
        <v>1043</v>
      </c>
      <c r="BR231" s="562">
        <v>-383</v>
      </c>
      <c r="BS231" s="562">
        <v>-49</v>
      </c>
      <c r="BT231" s="562">
        <v>-51</v>
      </c>
      <c r="BU231" s="600">
        <v>-2542</v>
      </c>
      <c r="BV231" s="562">
        <v>1049</v>
      </c>
      <c r="BW231" s="562">
        <v>-601</v>
      </c>
      <c r="BX231" s="562">
        <v>1758</v>
      </c>
      <c r="BY231" s="449">
        <v>-784</v>
      </c>
      <c r="BZ231" s="562">
        <v>3</v>
      </c>
      <c r="CA231" s="562">
        <v>30</v>
      </c>
      <c r="CB231" s="562">
        <v>298</v>
      </c>
      <c r="CC231" s="449">
        <v>1137</v>
      </c>
      <c r="CD231" s="450">
        <v>504</v>
      </c>
      <c r="CE231" s="562">
        <v>-359</v>
      </c>
      <c r="CF231" s="562">
        <v>-1548</v>
      </c>
      <c r="CG231" s="449">
        <v>896</v>
      </c>
      <c r="CH231" s="450">
        <v>414</v>
      </c>
      <c r="CI231" s="562">
        <v>-101</v>
      </c>
      <c r="CJ231" s="562">
        <v>348</v>
      </c>
      <c r="CK231" s="449">
        <v>850</v>
      </c>
      <c r="CL231" s="450">
        <v>112</v>
      </c>
      <c r="CM231" s="562">
        <v>430</v>
      </c>
      <c r="CN231" s="562">
        <v>1078</v>
      </c>
      <c r="CO231" s="449">
        <v>1234</v>
      </c>
      <c r="CP231" s="450">
        <v>635</v>
      </c>
      <c r="CQ231" s="448">
        <v>-64</v>
      </c>
      <c r="CR231" s="448">
        <v>512</v>
      </c>
      <c r="CS231" s="449">
        <v>927.62610623300952</v>
      </c>
      <c r="CT231" s="450">
        <v>1046.1116136709645</v>
      </c>
      <c r="CU231" s="448">
        <v>-44.317344815342715</v>
      </c>
      <c r="CV231" s="448">
        <v>326.94008951920694</v>
      </c>
      <c r="CW231" s="449">
        <v>1162.0306220954901</v>
      </c>
      <c r="CX231" s="559"/>
      <c r="CY231" s="559"/>
      <c r="CZ231" s="559"/>
      <c r="DA231" s="560"/>
      <c r="DB231" s="559"/>
      <c r="DC231" s="559"/>
      <c r="DD231" s="559"/>
      <c r="DE231" s="560"/>
      <c r="DF231" s="559"/>
      <c r="DG231" s="559"/>
      <c r="DH231" s="559"/>
      <c r="DI231" s="560"/>
      <c r="DJ231" s="374"/>
      <c r="DK231" s="561"/>
      <c r="DL231" s="559"/>
      <c r="DM231" s="559"/>
      <c r="DN231" s="559"/>
      <c r="DO231" s="559"/>
      <c r="DP231" s="559"/>
      <c r="DQ231" s="559"/>
      <c r="DR231" s="559"/>
      <c r="DS231" s="461">
        <v>2896</v>
      </c>
      <c r="DT231" s="461">
        <v>-190</v>
      </c>
      <c r="DU231" s="461">
        <v>44</v>
      </c>
      <c r="DV231" s="448">
        <v>353</v>
      </c>
      <c r="DW231" s="448">
        <v>794</v>
      </c>
      <c r="DX231" s="448">
        <v>451</v>
      </c>
      <c r="DY231" s="448">
        <v>438</v>
      </c>
      <c r="DZ231" s="448">
        <v>-3025</v>
      </c>
      <c r="EA231" s="448">
        <v>1422</v>
      </c>
      <c r="EB231" s="448">
        <v>1468</v>
      </c>
      <c r="EC231" s="562">
        <v>-507</v>
      </c>
      <c r="ED231" s="562">
        <v>1511</v>
      </c>
      <c r="EE231" s="562">
        <v>2854</v>
      </c>
      <c r="EF231" s="562">
        <v>2010.6261062330095</v>
      </c>
      <c r="EG231" s="562">
        <v>2490.7649804703187</v>
      </c>
      <c r="EH231" s="562">
        <v>2155.2372166144946</v>
      </c>
      <c r="EI231" s="562">
        <v>3315.5673750358146</v>
      </c>
      <c r="EJ231" s="562">
        <v>3217.6910299045603</v>
      </c>
      <c r="EK231" s="562">
        <v>4009.2737755361741</v>
      </c>
      <c r="EL231" s="562">
        <v>4083.1379245885973</v>
      </c>
      <c r="EM231" s="562">
        <v>3964.2677582201909</v>
      </c>
      <c r="EN231" s="562">
        <v>4002.4250903127786</v>
      </c>
      <c r="EO231" s="562">
        <v>4256.8538379810761</v>
      </c>
      <c r="EP231" s="375"/>
      <c r="EQ231" s="369"/>
    </row>
    <row r="232" spans="1:147" s="390" customFormat="1" ht="15" customHeight="1">
      <c r="A232" s="385"/>
      <c r="B232"/>
      <c r="C232"/>
      <c r="D232"/>
      <c r="E232"/>
      <c r="F232"/>
      <c r="G232"/>
      <c r="H232" s="386"/>
      <c r="I232" s="378" t="s">
        <v>1729</v>
      </c>
      <c r="J232" s="409"/>
      <c r="K232" s="409"/>
      <c r="L232" s="409"/>
      <c r="M232" s="410"/>
      <c r="N232" s="409"/>
      <c r="O232" s="409"/>
      <c r="P232" s="409"/>
      <c r="Q232" s="410"/>
      <c r="R232" s="409"/>
      <c r="S232" s="409"/>
      <c r="T232" s="409"/>
      <c r="U232" s="410"/>
      <c r="V232" s="409"/>
      <c r="W232" s="409"/>
      <c r="X232" s="409"/>
      <c r="Y232" s="410"/>
      <c r="Z232" s="409"/>
      <c r="AA232" s="409"/>
      <c r="AB232" s="409"/>
      <c r="AC232" s="410"/>
      <c r="AD232" s="409"/>
      <c r="AE232" s="409"/>
      <c r="AF232" s="409"/>
      <c r="AG232" s="410"/>
      <c r="AH232" s="409"/>
      <c r="AI232" s="409"/>
      <c r="AJ232" s="409"/>
      <c r="AK232" s="410"/>
      <c r="AL232" s="409"/>
      <c r="AM232" s="409"/>
      <c r="AN232" s="409"/>
      <c r="AO232" s="410"/>
      <c r="AP232" s="409"/>
      <c r="AQ232" s="409"/>
      <c r="AR232" s="409"/>
      <c r="AS232" s="410"/>
      <c r="AT232" s="409"/>
      <c r="AU232" s="409"/>
      <c r="AV232" s="409"/>
      <c r="AW232" s="410"/>
      <c r="AX232" s="399">
        <v>0</v>
      </c>
      <c r="AY232" s="409">
        <v>0</v>
      </c>
      <c r="AZ232" s="409">
        <v>0</v>
      </c>
      <c r="BA232" s="410">
        <v>0</v>
      </c>
      <c r="BB232" s="412">
        <v>2812</v>
      </c>
      <c r="BC232" s="412">
        <v>2658</v>
      </c>
      <c r="BD232" s="412">
        <v>2334</v>
      </c>
      <c r="BE232" s="413">
        <v>2469</v>
      </c>
      <c r="BF232" s="412">
        <v>3165</v>
      </c>
      <c r="BG232" s="412">
        <v>3049</v>
      </c>
      <c r="BH232" s="412">
        <v>2786</v>
      </c>
      <c r="BI232" s="413">
        <v>2909</v>
      </c>
      <c r="BJ232" s="412">
        <v>3959</v>
      </c>
      <c r="BK232" s="412">
        <v>4299</v>
      </c>
      <c r="BL232" s="412">
        <v>4341</v>
      </c>
      <c r="BM232" s="413">
        <v>4444</v>
      </c>
      <c r="BN232" s="412">
        <v>4410</v>
      </c>
      <c r="BO232" s="412">
        <v>4279</v>
      </c>
      <c r="BP232" s="412">
        <v>4199</v>
      </c>
      <c r="BQ232" s="413">
        <v>3805</v>
      </c>
      <c r="BR232" s="412">
        <v>4848</v>
      </c>
      <c r="BS232" s="412">
        <v>4465</v>
      </c>
      <c r="BT232" s="412">
        <v>4416</v>
      </c>
      <c r="BU232" s="413">
        <v>4365</v>
      </c>
      <c r="BV232" s="412">
        <v>1823</v>
      </c>
      <c r="BW232" s="412">
        <v>2872</v>
      </c>
      <c r="BX232" s="412">
        <v>2271</v>
      </c>
      <c r="BY232" s="413">
        <v>4029</v>
      </c>
      <c r="BZ232" s="412">
        <v>3245</v>
      </c>
      <c r="CA232" s="412">
        <v>3248</v>
      </c>
      <c r="CB232" s="412">
        <v>3278</v>
      </c>
      <c r="CC232" s="413">
        <v>3576</v>
      </c>
      <c r="CD232" s="567">
        <v>4713</v>
      </c>
      <c r="CE232" s="412">
        <v>5217</v>
      </c>
      <c r="CF232" s="412">
        <v>4857</v>
      </c>
      <c r="CG232" s="413">
        <v>3308</v>
      </c>
      <c r="CH232" s="567">
        <v>4225</v>
      </c>
      <c r="CI232" s="412">
        <v>4696</v>
      </c>
      <c r="CJ232" s="412">
        <v>4592</v>
      </c>
      <c r="CK232" s="413">
        <v>4939</v>
      </c>
      <c r="CL232" s="567">
        <v>5794</v>
      </c>
      <c r="CM232" s="412">
        <v>5906</v>
      </c>
      <c r="CN232" s="412">
        <v>6338</v>
      </c>
      <c r="CO232" s="413">
        <v>7415</v>
      </c>
      <c r="CP232" s="567">
        <v>8647</v>
      </c>
      <c r="CQ232" s="412">
        <v>9281</v>
      </c>
      <c r="CR232" s="412">
        <v>9209</v>
      </c>
      <c r="CS232" s="413">
        <v>9718</v>
      </c>
      <c r="CT232" s="567">
        <v>10645.626106233009</v>
      </c>
      <c r="CU232" s="412">
        <v>11691.737719903973</v>
      </c>
      <c r="CV232" s="412">
        <v>11647.42037508863</v>
      </c>
      <c r="CW232" s="413">
        <v>11974.360464607837</v>
      </c>
      <c r="CX232" s="409"/>
      <c r="CY232" s="409"/>
      <c r="CZ232" s="409"/>
      <c r="DA232" s="410"/>
      <c r="DB232" s="409"/>
      <c r="DC232" s="409"/>
      <c r="DD232" s="409"/>
      <c r="DE232" s="410"/>
      <c r="DF232" s="409"/>
      <c r="DG232" s="409"/>
      <c r="DH232" s="409"/>
      <c r="DI232" s="410"/>
      <c r="DJ232" s="454"/>
      <c r="DK232" s="598"/>
      <c r="DL232" s="409"/>
      <c r="DM232" s="409"/>
      <c r="DN232" s="409"/>
      <c r="DO232" s="409"/>
      <c r="DP232" s="409"/>
      <c r="DQ232" s="409"/>
      <c r="DR232" s="409"/>
      <c r="DS232" s="401">
        <v>62</v>
      </c>
      <c r="DT232" s="376">
        <v>2958</v>
      </c>
      <c r="DU232" s="376">
        <v>2768</v>
      </c>
      <c r="DV232" s="325">
        <v>2812</v>
      </c>
      <c r="DW232" s="325">
        <v>3165</v>
      </c>
      <c r="DX232" s="325">
        <v>3959</v>
      </c>
      <c r="DY232" s="325">
        <v>4410</v>
      </c>
      <c r="DZ232" s="325">
        <v>4848</v>
      </c>
      <c r="EA232" s="325">
        <v>1823</v>
      </c>
      <c r="EB232" s="325">
        <v>3245</v>
      </c>
      <c r="EC232" s="412">
        <v>4713</v>
      </c>
      <c r="ED232" s="412">
        <v>4225</v>
      </c>
      <c r="EE232" s="412">
        <v>5794</v>
      </c>
      <c r="EF232" s="412">
        <v>8647</v>
      </c>
      <c r="EG232" s="412">
        <v>10645.626106233009</v>
      </c>
      <c r="EH232" s="412">
        <v>13136.391086703326</v>
      </c>
      <c r="EI232" s="412">
        <v>15291.628303317821</v>
      </c>
      <c r="EJ232" s="412">
        <v>18607.195678353637</v>
      </c>
      <c r="EK232" s="412">
        <v>21824.886708258196</v>
      </c>
      <c r="EL232" s="412">
        <v>25834.160483794371</v>
      </c>
      <c r="EM232" s="412">
        <v>29917.298408382969</v>
      </c>
      <c r="EN232" s="412">
        <v>33881.566166603159</v>
      </c>
      <c r="EO232" s="412">
        <v>37883.991256915935</v>
      </c>
      <c r="EP232" s="389"/>
      <c r="EQ232" s="386"/>
    </row>
    <row r="233" spans="1:147" s="390" customFormat="1" ht="15" customHeight="1">
      <c r="A233" s="385"/>
      <c r="B233"/>
      <c r="C233"/>
      <c r="D233"/>
      <c r="E233"/>
      <c r="F233"/>
      <c r="G233"/>
      <c r="H233" s="386"/>
      <c r="I233" s="378" t="s">
        <v>1615</v>
      </c>
      <c r="J233" s="399"/>
      <c r="K233" s="399"/>
      <c r="L233" s="399"/>
      <c r="M233" s="400"/>
      <c r="N233" s="399"/>
      <c r="O233" s="399"/>
      <c r="P233" s="399"/>
      <c r="Q233" s="400"/>
      <c r="R233" s="399"/>
      <c r="S233" s="399"/>
      <c r="T233" s="399"/>
      <c r="U233" s="400"/>
      <c r="V233" s="399"/>
      <c r="W233" s="399"/>
      <c r="X233" s="399"/>
      <c r="Y233" s="400"/>
      <c r="Z233" s="399"/>
      <c r="AA233" s="399"/>
      <c r="AB233" s="399"/>
      <c r="AC233" s="400"/>
      <c r="AD233" s="399"/>
      <c r="AE233" s="399"/>
      <c r="AF233" s="399"/>
      <c r="AG233" s="400"/>
      <c r="AH233" s="399"/>
      <c r="AI233" s="399"/>
      <c r="AJ233" s="399"/>
      <c r="AK233" s="400"/>
      <c r="AL233" s="399"/>
      <c r="AM233" s="399"/>
      <c r="AN233" s="399"/>
      <c r="AO233" s="400"/>
      <c r="AP233" s="399"/>
      <c r="AQ233" s="399"/>
      <c r="AR233" s="399"/>
      <c r="AS233" s="400"/>
      <c r="AT233" s="399"/>
      <c r="AU233" s="399"/>
      <c r="AV233" s="399"/>
      <c r="AW233" s="400"/>
      <c r="AX233" s="399"/>
      <c r="AY233" s="399"/>
      <c r="AZ233" s="399"/>
      <c r="BA233" s="400"/>
      <c r="BB233" s="730">
        <v>0</v>
      </c>
      <c r="BC233" s="730">
        <v>0</v>
      </c>
      <c r="BD233" s="730">
        <v>0</v>
      </c>
      <c r="BE233" s="402">
        <v>0</v>
      </c>
      <c r="BF233" s="730">
        <v>0</v>
      </c>
      <c r="BG233" s="730">
        <v>0</v>
      </c>
      <c r="BH233" s="730">
        <v>0</v>
      </c>
      <c r="BI233" s="402">
        <v>0</v>
      </c>
      <c r="BJ233" s="730">
        <v>0</v>
      </c>
      <c r="BK233" s="730">
        <v>0</v>
      </c>
      <c r="BL233" s="730">
        <v>0</v>
      </c>
      <c r="BM233" s="402">
        <v>0</v>
      </c>
      <c r="BN233" s="730">
        <v>0</v>
      </c>
      <c r="BO233" s="730">
        <v>0</v>
      </c>
      <c r="BP233" s="730">
        <v>0</v>
      </c>
      <c r="BQ233" s="402">
        <v>0</v>
      </c>
      <c r="BR233" s="730">
        <v>0</v>
      </c>
      <c r="BS233" s="730">
        <v>0</v>
      </c>
      <c r="BT233" s="730">
        <v>0</v>
      </c>
      <c r="BU233" s="731">
        <v>0</v>
      </c>
      <c r="BV233" s="730">
        <v>0</v>
      </c>
      <c r="BW233" s="730">
        <v>0</v>
      </c>
      <c r="BX233" s="730">
        <v>0</v>
      </c>
      <c r="BY233" s="731">
        <v>0</v>
      </c>
      <c r="BZ233" s="730">
        <v>0</v>
      </c>
      <c r="CA233" s="730">
        <v>0</v>
      </c>
      <c r="CB233" s="730">
        <v>0</v>
      </c>
      <c r="CC233" s="731">
        <v>0</v>
      </c>
      <c r="CD233" s="732">
        <v>0</v>
      </c>
      <c r="CE233" s="401">
        <v>-1</v>
      </c>
      <c r="CF233" s="401">
        <v>-1</v>
      </c>
      <c r="CG233" s="402">
        <v>21</v>
      </c>
      <c r="CH233" s="732">
        <v>57</v>
      </c>
      <c r="CI233" s="730">
        <v>-3</v>
      </c>
      <c r="CJ233" s="401">
        <v>-1</v>
      </c>
      <c r="CK233" s="402">
        <v>5</v>
      </c>
      <c r="CL233" s="732">
        <v>0</v>
      </c>
      <c r="CM233" s="730">
        <v>2</v>
      </c>
      <c r="CN233" s="401">
        <v>-1</v>
      </c>
      <c r="CO233" s="402">
        <v>-2</v>
      </c>
      <c r="CP233" s="732">
        <v>-1</v>
      </c>
      <c r="CQ233" s="733">
        <v>-8</v>
      </c>
      <c r="CR233" s="733">
        <v>-3</v>
      </c>
      <c r="CS233" s="731">
        <v>0</v>
      </c>
      <c r="CT233" s="732">
        <v>0</v>
      </c>
      <c r="CU233" s="733">
        <v>0</v>
      </c>
      <c r="CV233" s="733">
        <v>0</v>
      </c>
      <c r="CW233" s="731">
        <v>0</v>
      </c>
      <c r="CX233" s="734"/>
      <c r="CY233" s="734"/>
      <c r="CZ233" s="734"/>
      <c r="DA233" s="735"/>
      <c r="DB233" s="734"/>
      <c r="DC233" s="734"/>
      <c r="DD233" s="734"/>
      <c r="DE233" s="735"/>
      <c r="DF233" s="734"/>
      <c r="DG233" s="734"/>
      <c r="DH233" s="734"/>
      <c r="DI233" s="735"/>
      <c r="DJ233" s="454"/>
      <c r="DK233" s="411"/>
      <c r="DL233" s="399"/>
      <c r="DM233" s="399"/>
      <c r="DN233" s="399"/>
      <c r="DO233" s="399"/>
      <c r="DP233" s="399"/>
      <c r="DQ233" s="399"/>
      <c r="DR233" s="399"/>
      <c r="DS233" s="325">
        <v>0</v>
      </c>
      <c r="DT233" s="325">
        <v>0</v>
      </c>
      <c r="DU233" s="325">
        <v>0</v>
      </c>
      <c r="DV233" s="325">
        <v>0</v>
      </c>
      <c r="DW233" s="325">
        <v>0</v>
      </c>
      <c r="DX233" s="325">
        <v>0</v>
      </c>
      <c r="DY233" s="325">
        <v>0</v>
      </c>
      <c r="DZ233" s="325">
        <v>0</v>
      </c>
      <c r="EA233" s="325">
        <v>0</v>
      </c>
      <c r="EB233" s="325">
        <v>0</v>
      </c>
      <c r="EC233" s="730">
        <v>19</v>
      </c>
      <c r="ED233" s="730">
        <v>58</v>
      </c>
      <c r="EE233" s="730">
        <v>-1</v>
      </c>
      <c r="EF233" s="730">
        <v>-12</v>
      </c>
      <c r="EG233" s="730">
        <v>0</v>
      </c>
      <c r="EH233" s="730">
        <v>0</v>
      </c>
      <c r="EI233" s="730">
        <v>0</v>
      </c>
      <c r="EJ233" s="730">
        <v>0</v>
      </c>
      <c r="EK233" s="730">
        <v>0</v>
      </c>
      <c r="EL233" s="730">
        <v>0</v>
      </c>
      <c r="EM233" s="730">
        <v>0</v>
      </c>
      <c r="EN233" s="730">
        <v>0</v>
      </c>
      <c r="EO233" s="730">
        <v>0</v>
      </c>
      <c r="EP233" s="389"/>
      <c r="EQ233" s="386"/>
    </row>
    <row r="234" spans="1:147" s="390" customFormat="1" ht="15" customHeight="1">
      <c r="A234" s="385"/>
      <c r="B234"/>
      <c r="C234"/>
      <c r="D234"/>
      <c r="E234"/>
      <c r="F234"/>
      <c r="G234"/>
      <c r="H234" s="386"/>
      <c r="I234" s="379" t="s">
        <v>1730</v>
      </c>
      <c r="J234" s="552"/>
      <c r="K234" s="552"/>
      <c r="L234" s="552"/>
      <c r="M234" s="553"/>
      <c r="N234" s="552"/>
      <c r="O234" s="552"/>
      <c r="P234" s="552"/>
      <c r="Q234" s="553"/>
      <c r="R234" s="552"/>
      <c r="S234" s="552"/>
      <c r="T234" s="552"/>
      <c r="U234" s="553"/>
      <c r="V234" s="552"/>
      <c r="W234" s="552"/>
      <c r="X234" s="552"/>
      <c r="Y234" s="553"/>
      <c r="Z234" s="552"/>
      <c r="AA234" s="552"/>
      <c r="AB234" s="552"/>
      <c r="AC234" s="553"/>
      <c r="AD234" s="552"/>
      <c r="AE234" s="552"/>
      <c r="AF234" s="552"/>
      <c r="AG234" s="553"/>
      <c r="AH234" s="552"/>
      <c r="AI234" s="552"/>
      <c r="AJ234" s="552"/>
      <c r="AK234" s="553"/>
      <c r="AL234" s="552"/>
      <c r="AM234" s="552"/>
      <c r="AN234" s="552"/>
      <c r="AO234" s="553"/>
      <c r="AP234" s="552"/>
      <c r="AQ234" s="552"/>
      <c r="AR234" s="552"/>
      <c r="AS234" s="553"/>
      <c r="AT234" s="552"/>
      <c r="AU234" s="552"/>
      <c r="AV234" s="552"/>
      <c r="AW234" s="553"/>
      <c r="AX234" s="552">
        <v>0</v>
      </c>
      <c r="AY234" s="552">
        <v>0</v>
      </c>
      <c r="AZ234" s="552">
        <v>0</v>
      </c>
      <c r="BA234" s="553">
        <v>0</v>
      </c>
      <c r="BB234" s="554">
        <v>2658</v>
      </c>
      <c r="BC234" s="554">
        <v>2334</v>
      </c>
      <c r="BD234" s="554">
        <v>2469</v>
      </c>
      <c r="BE234" s="555">
        <v>3165</v>
      </c>
      <c r="BF234" s="554">
        <v>3049</v>
      </c>
      <c r="BG234" s="554">
        <v>2786</v>
      </c>
      <c r="BH234" s="554">
        <v>2909</v>
      </c>
      <c r="BI234" s="555">
        <v>3959</v>
      </c>
      <c r="BJ234" s="554">
        <v>4299</v>
      </c>
      <c r="BK234" s="554">
        <v>4341</v>
      </c>
      <c r="BL234" s="554">
        <v>4444</v>
      </c>
      <c r="BM234" s="555">
        <v>4410</v>
      </c>
      <c r="BN234" s="554">
        <v>4279</v>
      </c>
      <c r="BO234" s="554">
        <v>4199</v>
      </c>
      <c r="BP234" s="554">
        <v>3805</v>
      </c>
      <c r="BQ234" s="555">
        <v>4848</v>
      </c>
      <c r="BR234" s="554">
        <v>4465</v>
      </c>
      <c r="BS234" s="554">
        <v>4416</v>
      </c>
      <c r="BT234" s="554">
        <v>4365</v>
      </c>
      <c r="BU234" s="555">
        <v>1823</v>
      </c>
      <c r="BV234" s="554">
        <v>2872</v>
      </c>
      <c r="BW234" s="554">
        <v>2271</v>
      </c>
      <c r="BX234" s="554">
        <v>4029</v>
      </c>
      <c r="BY234" s="555">
        <v>3245</v>
      </c>
      <c r="BZ234" s="554">
        <v>3248</v>
      </c>
      <c r="CA234" s="554">
        <v>3278</v>
      </c>
      <c r="CB234" s="554">
        <v>3576</v>
      </c>
      <c r="CC234" s="555">
        <v>4713</v>
      </c>
      <c r="CD234" s="554">
        <v>5217</v>
      </c>
      <c r="CE234" s="554">
        <v>4857</v>
      </c>
      <c r="CF234" s="554">
        <v>3308</v>
      </c>
      <c r="CG234" s="555">
        <v>4225</v>
      </c>
      <c r="CH234" s="554">
        <v>4696</v>
      </c>
      <c r="CI234" s="554">
        <v>4592</v>
      </c>
      <c r="CJ234" s="554">
        <v>4939</v>
      </c>
      <c r="CK234" s="555">
        <v>5794</v>
      </c>
      <c r="CL234" s="554">
        <v>5906</v>
      </c>
      <c r="CM234" s="554">
        <v>6338</v>
      </c>
      <c r="CN234" s="554">
        <v>7415</v>
      </c>
      <c r="CO234" s="555">
        <v>8647</v>
      </c>
      <c r="CP234" s="557">
        <v>9281</v>
      </c>
      <c r="CQ234" s="554">
        <v>9209</v>
      </c>
      <c r="CR234" s="554">
        <v>9718</v>
      </c>
      <c r="CS234" s="555">
        <v>10645.626106233009</v>
      </c>
      <c r="CT234" s="557">
        <v>11691.737719903973</v>
      </c>
      <c r="CU234" s="554">
        <v>11647.42037508863</v>
      </c>
      <c r="CV234" s="554">
        <v>11974.360464607837</v>
      </c>
      <c r="CW234" s="555">
        <v>13136.391086703326</v>
      </c>
      <c r="CX234" s="552"/>
      <c r="CY234" s="552"/>
      <c r="CZ234" s="552"/>
      <c r="DA234" s="553"/>
      <c r="DB234" s="552"/>
      <c r="DC234" s="552"/>
      <c r="DD234" s="552"/>
      <c r="DE234" s="553"/>
      <c r="DF234" s="552"/>
      <c r="DG234" s="552"/>
      <c r="DH234" s="552"/>
      <c r="DI234" s="553"/>
      <c r="DJ234" s="454"/>
      <c r="DK234" s="558"/>
      <c r="DL234" s="552"/>
      <c r="DM234" s="552"/>
      <c r="DN234" s="552"/>
      <c r="DO234" s="552"/>
      <c r="DP234" s="552"/>
      <c r="DQ234" s="552"/>
      <c r="DR234" s="552"/>
      <c r="DS234" s="394">
        <v>2958</v>
      </c>
      <c r="DT234" s="394">
        <v>2768</v>
      </c>
      <c r="DU234" s="394">
        <v>2812</v>
      </c>
      <c r="DV234" s="394">
        <v>3165</v>
      </c>
      <c r="DW234" s="394">
        <v>3959</v>
      </c>
      <c r="DX234" s="394">
        <v>4410</v>
      </c>
      <c r="DY234" s="394">
        <v>4848</v>
      </c>
      <c r="DZ234" s="394">
        <v>1823</v>
      </c>
      <c r="EA234" s="394">
        <v>3245</v>
      </c>
      <c r="EB234" s="394">
        <v>4713</v>
      </c>
      <c r="EC234" s="554">
        <v>4225</v>
      </c>
      <c r="ED234" s="554">
        <v>5794</v>
      </c>
      <c r="EE234" s="554">
        <v>8647</v>
      </c>
      <c r="EF234" s="554">
        <v>10645.626106233009</v>
      </c>
      <c r="EG234" s="554">
        <v>13136.391086703326</v>
      </c>
      <c r="EH234" s="554">
        <v>15291.628303317821</v>
      </c>
      <c r="EI234" s="554">
        <v>18607.195678353637</v>
      </c>
      <c r="EJ234" s="554">
        <v>21824.886708258196</v>
      </c>
      <c r="EK234" s="554">
        <v>25834.160483794371</v>
      </c>
      <c r="EL234" s="554">
        <v>29917.298408382969</v>
      </c>
      <c r="EM234" s="554">
        <v>33881.566166603159</v>
      </c>
      <c r="EN234" s="554">
        <v>37883.991256915935</v>
      </c>
      <c r="EO234" s="554">
        <v>42140.845094897013</v>
      </c>
      <c r="EP234" s="389"/>
      <c r="EQ234" s="386"/>
    </row>
    <row r="235" spans="1:147" ht="15" customHeight="1" outlineLevel="1">
      <c r="A235" s="473"/>
      <c r="H235" s="474"/>
      <c r="I235" s="581" t="s">
        <v>1667</v>
      </c>
      <c r="J235" s="736"/>
      <c r="K235" s="736"/>
      <c r="L235" s="736"/>
      <c r="M235" s="737"/>
      <c r="N235" s="736"/>
      <c r="O235" s="736"/>
      <c r="P235" s="736"/>
      <c r="Q235" s="737"/>
      <c r="R235" s="736"/>
      <c r="S235" s="736"/>
      <c r="T235" s="736"/>
      <c r="U235" s="737"/>
      <c r="V235" s="736"/>
      <c r="W235" s="736"/>
      <c r="X235" s="736"/>
      <c r="Y235" s="737"/>
      <c r="Z235" s="736"/>
      <c r="AA235" s="736"/>
      <c r="AB235" s="736"/>
      <c r="AC235" s="737"/>
      <c r="AD235" s="736"/>
      <c r="AE235" s="736"/>
      <c r="AF235" s="736"/>
      <c r="AG235" s="737"/>
      <c r="AH235" s="736"/>
      <c r="AI235" s="736"/>
      <c r="AJ235" s="736"/>
      <c r="AK235" s="737"/>
      <c r="AL235" s="736"/>
      <c r="AM235" s="736"/>
      <c r="AN235" s="736"/>
      <c r="AO235" s="737"/>
      <c r="AP235" s="736"/>
      <c r="AQ235" s="736"/>
      <c r="AR235" s="736"/>
      <c r="AS235" s="737"/>
      <c r="AT235" s="736" t="b">
        <v>1</v>
      </c>
      <c r="AU235" s="736" t="b">
        <v>1</v>
      </c>
      <c r="AV235" s="736" t="b">
        <v>1</v>
      </c>
      <c r="AW235" s="737" t="b">
        <v>1</v>
      </c>
      <c r="AX235" s="736" t="b">
        <v>1</v>
      </c>
      <c r="AY235" s="736" t="b">
        <v>1</v>
      </c>
      <c r="AZ235" s="736" t="b">
        <v>1</v>
      </c>
      <c r="BA235" s="737" t="b">
        <v>1</v>
      </c>
      <c r="BB235" s="412" t="s">
        <v>1731</v>
      </c>
      <c r="BC235" s="412" t="s">
        <v>1731</v>
      </c>
      <c r="BD235" s="412" t="s">
        <v>1731</v>
      </c>
      <c r="BE235" s="413" t="s">
        <v>1731</v>
      </c>
      <c r="BF235" s="412" t="s">
        <v>1731</v>
      </c>
      <c r="BG235" s="412" t="s">
        <v>1731</v>
      </c>
      <c r="BH235" s="412" t="s">
        <v>1731</v>
      </c>
      <c r="BI235" s="413" t="s">
        <v>1731</v>
      </c>
      <c r="BJ235" s="412" t="s">
        <v>1731</v>
      </c>
      <c r="BK235" s="412" t="s">
        <v>1731</v>
      </c>
      <c r="BL235" s="412" t="s">
        <v>1731</v>
      </c>
      <c r="BM235" s="413" t="s">
        <v>1731</v>
      </c>
      <c r="BN235" s="412" t="s">
        <v>1731</v>
      </c>
      <c r="BO235" s="412" t="s">
        <v>1731</v>
      </c>
      <c r="BP235" s="412" t="s">
        <v>1731</v>
      </c>
      <c r="BQ235" s="413" t="s">
        <v>1731</v>
      </c>
      <c r="BR235" s="412" t="s">
        <v>1731</v>
      </c>
      <c r="BS235" s="412" t="s">
        <v>1731</v>
      </c>
      <c r="BT235" s="412" t="s">
        <v>1731</v>
      </c>
      <c r="BU235" s="413" t="s">
        <v>1731</v>
      </c>
      <c r="BV235" s="412" t="s">
        <v>1731</v>
      </c>
      <c r="BW235" s="412" t="s">
        <v>1731</v>
      </c>
      <c r="BX235" s="412" t="s">
        <v>1731</v>
      </c>
      <c r="BY235" s="413" t="s">
        <v>1731</v>
      </c>
      <c r="BZ235" s="412" t="s">
        <v>1731</v>
      </c>
      <c r="CA235" s="412" t="s">
        <v>1731</v>
      </c>
      <c r="CB235" s="412" t="s">
        <v>1731</v>
      </c>
      <c r="CC235" s="413" t="s">
        <v>1731</v>
      </c>
      <c r="CD235" s="412" t="s">
        <v>1731</v>
      </c>
      <c r="CE235" s="412" t="s">
        <v>1731</v>
      </c>
      <c r="CF235" s="412" t="s">
        <v>1731</v>
      </c>
      <c r="CG235" s="413" t="s">
        <v>1731</v>
      </c>
      <c r="CH235" s="412" t="s">
        <v>1731</v>
      </c>
      <c r="CI235" s="412" t="s">
        <v>1731</v>
      </c>
      <c r="CJ235" s="412" t="s">
        <v>1731</v>
      </c>
      <c r="CK235" s="413" t="s">
        <v>1731</v>
      </c>
      <c r="CL235" s="412" t="s">
        <v>1731</v>
      </c>
      <c r="CM235" s="412" t="s">
        <v>1731</v>
      </c>
      <c r="CN235" s="412" t="s">
        <v>1731</v>
      </c>
      <c r="CO235" s="413" t="s">
        <v>1731</v>
      </c>
      <c r="CP235" s="412" t="s">
        <v>1731</v>
      </c>
      <c r="CQ235" s="412" t="s">
        <v>1731</v>
      </c>
      <c r="CR235" s="412" t="s">
        <v>1731</v>
      </c>
      <c r="CS235" s="413" t="s">
        <v>1731</v>
      </c>
      <c r="CT235" s="412" t="s">
        <v>1731</v>
      </c>
      <c r="CU235" s="412" t="s">
        <v>1731</v>
      </c>
      <c r="CV235" s="412" t="s">
        <v>1731</v>
      </c>
      <c r="CW235" s="413" t="s">
        <v>1731</v>
      </c>
      <c r="CX235" s="736"/>
      <c r="CY235" s="736"/>
      <c r="CZ235" s="736"/>
      <c r="DA235" s="737"/>
      <c r="DB235" s="736"/>
      <c r="DC235" s="736"/>
      <c r="DD235" s="736"/>
      <c r="DE235" s="737"/>
      <c r="DF235" s="736"/>
      <c r="DG235" s="736"/>
      <c r="DH235" s="736"/>
      <c r="DI235" s="737"/>
      <c r="DJ235" s="454"/>
      <c r="DK235" s="738"/>
      <c r="DL235" s="736"/>
      <c r="DM235" s="736"/>
      <c r="DN235" s="736"/>
      <c r="DO235" s="736"/>
      <c r="DP235" s="736"/>
      <c r="DQ235" s="736"/>
      <c r="DR235" s="736"/>
      <c r="DS235" s="325" t="s">
        <v>1731</v>
      </c>
      <c r="DT235" s="325" t="s">
        <v>1731</v>
      </c>
      <c r="DU235" s="325" t="s">
        <v>1731</v>
      </c>
      <c r="DV235" s="325" t="s">
        <v>1731</v>
      </c>
      <c r="DW235" s="325" t="s">
        <v>1731</v>
      </c>
      <c r="DX235" s="325" t="s">
        <v>1731</v>
      </c>
      <c r="DY235" s="325" t="s">
        <v>1731</v>
      </c>
      <c r="DZ235" s="325" t="s">
        <v>1731</v>
      </c>
      <c r="EA235" s="325" t="s">
        <v>1731</v>
      </c>
      <c r="EB235" s="325" t="s">
        <v>1731</v>
      </c>
      <c r="EC235" s="412" t="s">
        <v>1731</v>
      </c>
      <c r="ED235" s="412" t="s">
        <v>1731</v>
      </c>
      <c r="EE235" s="412" t="s">
        <v>1731</v>
      </c>
      <c r="EF235" s="412" t="s">
        <v>1731</v>
      </c>
      <c r="EG235" s="412" t="s">
        <v>1731</v>
      </c>
      <c r="EH235" s="412" t="s">
        <v>1731</v>
      </c>
      <c r="EI235" s="412" t="s">
        <v>1731</v>
      </c>
      <c r="EJ235" s="412" t="s">
        <v>1731</v>
      </c>
      <c r="EK235" s="412" t="s">
        <v>1731</v>
      </c>
      <c r="EL235" s="412" t="s">
        <v>1731</v>
      </c>
      <c r="EM235" s="412" t="s">
        <v>1731</v>
      </c>
      <c r="EN235" s="412" t="s">
        <v>1731</v>
      </c>
      <c r="EO235" s="412" t="s">
        <v>1731</v>
      </c>
      <c r="EP235" s="355"/>
      <c r="EQ235" s="356"/>
    </row>
    <row r="236" spans="1:147" ht="15" customHeight="1">
      <c r="A236" s="473"/>
      <c r="H236" s="474"/>
      <c r="I236" s="739"/>
      <c r="J236" s="740"/>
      <c r="K236" s="740"/>
      <c r="L236" s="740"/>
      <c r="M236" s="741"/>
      <c r="N236" s="740"/>
      <c r="O236" s="740"/>
      <c r="P236" s="740"/>
      <c r="Q236" s="741"/>
      <c r="R236" s="740"/>
      <c r="S236" s="740"/>
      <c r="T236" s="740"/>
      <c r="U236" s="741"/>
      <c r="V236" s="740"/>
      <c r="W236" s="740"/>
      <c r="X236" s="740"/>
      <c r="Y236" s="741"/>
      <c r="Z236" s="740"/>
      <c r="AA236" s="740"/>
      <c r="AB236" s="740"/>
      <c r="AC236" s="741"/>
      <c r="AD236" s="740"/>
      <c r="AE236" s="740"/>
      <c r="AF236" s="740"/>
      <c r="AG236" s="741"/>
      <c r="AH236" s="740"/>
      <c r="AI236" s="740"/>
      <c r="AJ236" s="740"/>
      <c r="AK236" s="741"/>
      <c r="AL236" s="740"/>
      <c r="AM236" s="740"/>
      <c r="AN236" s="740"/>
      <c r="AO236" s="741"/>
      <c r="AP236" s="740"/>
      <c r="AQ236" s="740"/>
      <c r="AR236" s="740"/>
      <c r="AS236" s="741"/>
      <c r="AT236" s="740"/>
      <c r="AU236" s="740"/>
      <c r="AV236" s="740"/>
      <c r="AW236" s="741"/>
      <c r="AX236" s="742">
        <v>0</v>
      </c>
      <c r="AY236" s="742">
        <v>0</v>
      </c>
      <c r="AZ236" s="742">
        <v>0</v>
      </c>
      <c r="BA236" s="743">
        <v>0</v>
      </c>
      <c r="BB236" s="562"/>
      <c r="BC236" s="562"/>
      <c r="BD236" s="562"/>
      <c r="BE236" s="600"/>
      <c r="BF236" s="562"/>
      <c r="BG236" s="562"/>
      <c r="BH236" s="562"/>
      <c r="BI236" s="600"/>
      <c r="BJ236" s="562"/>
      <c r="BK236" s="562"/>
      <c r="BL236" s="412"/>
      <c r="BM236" s="600"/>
      <c r="BN236" s="562"/>
      <c r="BO236" s="562"/>
      <c r="BP236" s="562"/>
      <c r="BQ236" s="600"/>
      <c r="BR236" s="562"/>
      <c r="BS236" s="562"/>
      <c r="BT236" s="562"/>
      <c r="BU236" s="600"/>
      <c r="BV236" s="562"/>
      <c r="BW236" s="562"/>
      <c r="BX236" s="562"/>
      <c r="BY236" s="600"/>
      <c r="BZ236" s="562"/>
      <c r="CA236" s="562"/>
      <c r="CB236" s="562"/>
      <c r="CC236" s="600"/>
      <c r="CD236" s="562"/>
      <c r="CE236" s="562"/>
      <c r="CF236" s="562"/>
      <c r="CG236" s="600"/>
      <c r="CH236" s="562"/>
      <c r="CI236" s="562"/>
      <c r="CJ236" s="562"/>
      <c r="CK236" s="600"/>
      <c r="CL236" s="562"/>
      <c r="CM236" s="562"/>
      <c r="CN236" s="562"/>
      <c r="CO236" s="600"/>
      <c r="CP236" s="562"/>
      <c r="CQ236" s="562"/>
      <c r="CR236" s="562"/>
      <c r="CS236" s="600"/>
      <c r="CT236" s="562"/>
      <c r="CU236" s="562"/>
      <c r="CV236" s="562"/>
      <c r="CW236" s="600"/>
      <c r="CX236" s="740"/>
      <c r="CY236" s="740"/>
      <c r="CZ236" s="740"/>
      <c r="DA236" s="741"/>
      <c r="DB236" s="740"/>
      <c r="DC236" s="740"/>
      <c r="DD236" s="740"/>
      <c r="DE236" s="741"/>
      <c r="DF236" s="740"/>
      <c r="DG236" s="740"/>
      <c r="DH236" s="740"/>
      <c r="DI236" s="741"/>
      <c r="DJ236" s="454"/>
      <c r="DK236" s="744"/>
      <c r="DL236" s="740"/>
      <c r="DM236" s="740"/>
      <c r="DN236" s="740"/>
      <c r="DO236" s="740"/>
      <c r="DP236" s="740"/>
      <c r="DQ236" s="740"/>
      <c r="DR236" s="740"/>
      <c r="DS236" s="562"/>
      <c r="DT236" s="448"/>
      <c r="DU236" s="448"/>
      <c r="DV236" s="448"/>
      <c r="DW236" s="448"/>
      <c r="DX236" s="448"/>
      <c r="DY236" s="448"/>
      <c r="DZ236" s="448"/>
      <c r="EA236" s="448"/>
      <c r="EB236" s="448"/>
      <c r="EC236" s="562"/>
      <c r="ED236" s="562"/>
      <c r="EE236" s="562"/>
      <c r="EF236" s="562"/>
      <c r="EG236" s="562"/>
      <c r="EH236" s="562"/>
      <c r="EI236" s="562"/>
      <c r="EJ236" s="562"/>
      <c r="EK236" s="562"/>
      <c r="EL236" s="562"/>
      <c r="EM236" s="562"/>
      <c r="EN236" s="562"/>
      <c r="EO236" s="562"/>
      <c r="EP236" s="355"/>
      <c r="EQ236" s="356"/>
    </row>
    <row r="237" spans="1:147" s="377" customFormat="1" ht="15" customHeight="1" outlineLevel="1">
      <c r="A237" s="368"/>
      <c r="B237"/>
      <c r="C237"/>
      <c r="D237"/>
      <c r="E237"/>
      <c r="F237"/>
      <c r="G237"/>
      <c r="H237" s="369"/>
      <c r="I237" s="517" t="s">
        <v>1732</v>
      </c>
      <c r="J237" s="559"/>
      <c r="K237" s="559"/>
      <c r="L237" s="559"/>
      <c r="M237" s="560"/>
      <c r="N237" s="559"/>
      <c r="O237" s="559"/>
      <c r="P237" s="559"/>
      <c r="Q237" s="560"/>
      <c r="R237" s="559"/>
      <c r="S237" s="559"/>
      <c r="T237" s="559"/>
      <c r="U237" s="560"/>
      <c r="V237" s="559"/>
      <c r="W237" s="559"/>
      <c r="X237" s="559"/>
      <c r="Y237" s="560"/>
      <c r="Z237" s="559"/>
      <c r="AA237" s="559"/>
      <c r="AB237" s="559"/>
      <c r="AC237" s="560"/>
      <c r="AD237" s="559"/>
      <c r="AE237" s="559"/>
      <c r="AF237" s="559"/>
      <c r="AG237" s="560"/>
      <c r="AH237" s="559"/>
      <c r="AI237" s="559"/>
      <c r="AJ237" s="559"/>
      <c r="AK237" s="560"/>
      <c r="AL237" s="559"/>
      <c r="AM237" s="559"/>
      <c r="AN237" s="559"/>
      <c r="AO237" s="560"/>
      <c r="AP237" s="559"/>
      <c r="AQ237" s="559"/>
      <c r="AR237" s="559"/>
      <c r="AS237" s="560"/>
      <c r="AT237" s="559"/>
      <c r="AU237" s="559"/>
      <c r="AV237" s="559"/>
      <c r="AW237" s="560"/>
      <c r="AX237" s="559"/>
      <c r="AY237" s="559"/>
      <c r="AZ237" s="559"/>
      <c r="BA237" s="560"/>
      <c r="BB237" s="562"/>
      <c r="BC237" s="562"/>
      <c r="BD237" s="562"/>
      <c r="BE237" s="600"/>
      <c r="BF237" s="562"/>
      <c r="BG237" s="562"/>
      <c r="BH237" s="562"/>
      <c r="BI237" s="600"/>
      <c r="BJ237" s="562"/>
      <c r="BK237" s="562"/>
      <c r="BL237" s="562"/>
      <c r="BM237" s="600"/>
      <c r="BN237" s="562"/>
      <c r="BO237" s="562"/>
      <c r="BP237" s="562"/>
      <c r="BQ237" s="600"/>
      <c r="BR237" s="562"/>
      <c r="BS237" s="562"/>
      <c r="BT237" s="562"/>
      <c r="BU237" s="600"/>
      <c r="BV237" s="562"/>
      <c r="BW237" s="562"/>
      <c r="BX237" s="562"/>
      <c r="BY237" s="600"/>
      <c r="BZ237" s="562"/>
      <c r="CA237" s="562"/>
      <c r="CB237" s="562"/>
      <c r="CC237" s="600"/>
      <c r="CD237" s="562"/>
      <c r="CE237" s="562"/>
      <c r="CF237" s="562"/>
      <c r="CG237" s="600"/>
      <c r="CH237" s="562"/>
      <c r="CI237" s="562"/>
      <c r="CJ237" s="562"/>
      <c r="CK237" s="600"/>
      <c r="CL237" s="562"/>
      <c r="CM237" s="562"/>
      <c r="CN237" s="562"/>
      <c r="CO237" s="600"/>
      <c r="CP237" s="562"/>
      <c r="CQ237" s="562"/>
      <c r="CR237" s="562"/>
      <c r="CS237" s="600"/>
      <c r="CT237" s="562"/>
      <c r="CU237" s="562"/>
      <c r="CV237" s="562"/>
      <c r="CW237" s="600"/>
      <c r="CX237" s="559"/>
      <c r="CY237" s="559"/>
      <c r="CZ237" s="559"/>
      <c r="DA237" s="560"/>
      <c r="DB237" s="559"/>
      <c r="DC237" s="559"/>
      <c r="DD237" s="559"/>
      <c r="DE237" s="560"/>
      <c r="DF237" s="559"/>
      <c r="DG237" s="559"/>
      <c r="DH237" s="559"/>
      <c r="DI237" s="560"/>
      <c r="DJ237" s="374"/>
      <c r="DK237" s="561"/>
      <c r="DL237" s="559"/>
      <c r="DM237" s="559"/>
      <c r="DN237" s="559"/>
      <c r="DO237" s="559"/>
      <c r="DP237" s="559"/>
      <c r="DQ237" s="559"/>
      <c r="DR237" s="559"/>
      <c r="DS237" s="562"/>
      <c r="DT237" s="448"/>
      <c r="DU237" s="448"/>
      <c r="DV237" s="448"/>
      <c r="DW237" s="448"/>
      <c r="DX237" s="448"/>
      <c r="DY237" s="448"/>
      <c r="DZ237" s="448"/>
      <c r="EA237" s="448"/>
      <c r="EB237" s="448"/>
      <c r="EC237" s="562"/>
      <c r="ED237" s="562"/>
      <c r="EE237" s="562"/>
      <c r="EF237" s="562"/>
      <c r="EG237" s="562"/>
      <c r="EH237" s="562"/>
      <c r="EI237" s="562"/>
      <c r="EJ237" s="562"/>
      <c r="EK237" s="562"/>
      <c r="EL237" s="562"/>
      <c r="EM237" s="562"/>
      <c r="EN237" s="562"/>
      <c r="EO237" s="562"/>
      <c r="EP237" s="375"/>
      <c r="EQ237" s="369"/>
    </row>
    <row r="238" spans="1:147" s="390" customFormat="1" ht="15" customHeight="1" outlineLevel="1">
      <c r="A238" s="385"/>
      <c r="B238"/>
      <c r="C238"/>
      <c r="D238"/>
      <c r="E238"/>
      <c r="F238"/>
      <c r="G238"/>
      <c r="H238" s="386"/>
      <c r="I238" s="370" t="s">
        <v>1733</v>
      </c>
      <c r="J238" s="409"/>
      <c r="K238" s="409"/>
      <c r="L238" s="409"/>
      <c r="M238" s="410"/>
      <c r="N238" s="409"/>
      <c r="O238" s="409"/>
      <c r="P238" s="409"/>
      <c r="Q238" s="410"/>
      <c r="R238" s="409"/>
      <c r="S238" s="409"/>
      <c r="T238" s="409"/>
      <c r="U238" s="410"/>
      <c r="V238" s="409"/>
      <c r="W238" s="409"/>
      <c r="X238" s="409"/>
      <c r="Y238" s="410"/>
      <c r="Z238" s="409"/>
      <c r="AA238" s="409"/>
      <c r="AB238" s="409"/>
      <c r="AC238" s="410"/>
      <c r="AD238" s="409"/>
      <c r="AE238" s="409"/>
      <c r="AF238" s="409"/>
      <c r="AG238" s="410"/>
      <c r="AH238" s="409"/>
      <c r="AI238" s="409"/>
      <c r="AJ238" s="409"/>
      <c r="AK238" s="410"/>
      <c r="AL238" s="409"/>
      <c r="AM238" s="409"/>
      <c r="AN238" s="409"/>
      <c r="AO238" s="410"/>
      <c r="AP238" s="409"/>
      <c r="AQ238" s="409"/>
      <c r="AR238" s="409"/>
      <c r="AS238" s="410"/>
      <c r="AT238" s="409">
        <v>0</v>
      </c>
      <c r="AU238" s="409">
        <v>0</v>
      </c>
      <c r="AV238" s="409">
        <v>0</v>
      </c>
      <c r="AW238" s="410">
        <v>0</v>
      </c>
      <c r="AX238" s="409">
        <v>0</v>
      </c>
      <c r="AY238" s="409">
        <v>0</v>
      </c>
      <c r="AZ238" s="409">
        <v>0</v>
      </c>
      <c r="BA238" s="410">
        <v>0</v>
      </c>
      <c r="BB238" s="412">
        <v>134</v>
      </c>
      <c r="BC238" s="412">
        <v>-78</v>
      </c>
      <c r="BD238" s="412">
        <v>46</v>
      </c>
      <c r="BE238" s="413">
        <v>850</v>
      </c>
      <c r="BF238" s="412">
        <v>153</v>
      </c>
      <c r="BG238" s="412">
        <v>92</v>
      </c>
      <c r="BH238" s="412">
        <v>124</v>
      </c>
      <c r="BI238" s="413">
        <v>976</v>
      </c>
      <c r="BJ238" s="412">
        <v>325</v>
      </c>
      <c r="BK238" s="412">
        <v>109</v>
      </c>
      <c r="BL238" s="412">
        <v>-50</v>
      </c>
      <c r="BM238" s="413">
        <v>880</v>
      </c>
      <c r="BN238" s="412">
        <v>136</v>
      </c>
      <c r="BO238" s="412">
        <v>106</v>
      </c>
      <c r="BP238" s="412">
        <v>-145</v>
      </c>
      <c r="BQ238" s="413">
        <v>1195</v>
      </c>
      <c r="BR238" s="412">
        <v>209</v>
      </c>
      <c r="BS238" s="412">
        <v>135</v>
      </c>
      <c r="BT238" s="412">
        <v>-181</v>
      </c>
      <c r="BU238" s="413">
        <v>1029</v>
      </c>
      <c r="BV238" s="412">
        <v>309</v>
      </c>
      <c r="BW238" s="412">
        <v>479</v>
      </c>
      <c r="BX238" s="412">
        <v>508</v>
      </c>
      <c r="BY238" s="413">
        <v>859</v>
      </c>
      <c r="BZ238" s="412">
        <v>411</v>
      </c>
      <c r="CA238" s="412">
        <v>265</v>
      </c>
      <c r="CB238" s="412">
        <v>378</v>
      </c>
      <c r="CC238" s="413">
        <v>1159</v>
      </c>
      <c r="CD238" s="412">
        <v>529</v>
      </c>
      <c r="CE238" s="412">
        <v>9</v>
      </c>
      <c r="CF238" s="412">
        <v>254</v>
      </c>
      <c r="CG238" s="413">
        <v>997</v>
      </c>
      <c r="CH238" s="412">
        <v>393</v>
      </c>
      <c r="CI238" s="412">
        <v>154</v>
      </c>
      <c r="CJ238" s="412">
        <v>310</v>
      </c>
      <c r="CK238" s="413">
        <v>918</v>
      </c>
      <c r="CL238" s="412">
        <v>148</v>
      </c>
      <c r="CM238" s="412">
        <v>768</v>
      </c>
      <c r="CN238" s="412">
        <v>197</v>
      </c>
      <c r="CO238" s="413">
        <v>1139</v>
      </c>
      <c r="CP238" s="412">
        <v>844</v>
      </c>
      <c r="CQ238" s="412">
        <v>388</v>
      </c>
      <c r="CR238" s="412">
        <v>520</v>
      </c>
      <c r="CS238" s="413">
        <v>980.10743393725852</v>
      </c>
      <c r="CT238" s="412">
        <v>1063.3032762626879</v>
      </c>
      <c r="CU238" s="412">
        <v>-33.639123152523723</v>
      </c>
      <c r="CV238" s="412">
        <v>375.55494559686133</v>
      </c>
      <c r="CW238" s="413">
        <v>1243.9345476272204</v>
      </c>
      <c r="CX238" s="409"/>
      <c r="CY238" s="409"/>
      <c r="CZ238" s="409"/>
      <c r="DA238" s="410"/>
      <c r="DB238" s="409"/>
      <c r="DC238" s="409"/>
      <c r="DD238" s="409"/>
      <c r="DE238" s="410"/>
      <c r="DF238" s="409"/>
      <c r="DG238" s="409"/>
      <c r="DH238" s="409"/>
      <c r="DI238" s="410"/>
      <c r="DJ238" s="454"/>
      <c r="DK238" s="598"/>
      <c r="DL238" s="409"/>
      <c r="DM238" s="409"/>
      <c r="DN238" s="409"/>
      <c r="DO238" s="409"/>
      <c r="DP238" s="409"/>
      <c r="DQ238" s="409"/>
      <c r="DR238" s="409"/>
      <c r="DS238" s="325">
        <v>379</v>
      </c>
      <c r="DT238" s="325">
        <v>1183</v>
      </c>
      <c r="DU238" s="325">
        <v>1376</v>
      </c>
      <c r="DV238" s="325">
        <v>952</v>
      </c>
      <c r="DW238" s="325">
        <v>1345</v>
      </c>
      <c r="DX238" s="325">
        <v>1264</v>
      </c>
      <c r="DY238" s="325">
        <v>1292</v>
      </c>
      <c r="DZ238" s="325">
        <v>1192</v>
      </c>
      <c r="EA238" s="325">
        <v>2155</v>
      </c>
      <c r="EB238" s="325">
        <v>2213</v>
      </c>
      <c r="EC238" s="412">
        <v>1789</v>
      </c>
      <c r="ED238" s="412">
        <v>1775</v>
      </c>
      <c r="EE238" s="412">
        <v>2252</v>
      </c>
      <c r="EF238" s="412">
        <v>2732.1074339372585</v>
      </c>
      <c r="EG238" s="412">
        <v>2649.1536463342454</v>
      </c>
      <c r="EH238" s="412">
        <v>2334.7117550597341</v>
      </c>
      <c r="EI238" s="412">
        <v>3482.3016513564744</v>
      </c>
      <c r="EJ238" s="412">
        <v>3377.6320338366654</v>
      </c>
      <c r="EK238" s="412">
        <v>4179.7547578333533</v>
      </c>
      <c r="EL238" s="412">
        <v>4247.5781926155714</v>
      </c>
      <c r="EM238" s="412">
        <v>4129.8137518188805</v>
      </c>
      <c r="EN238" s="412">
        <v>4167.0705809092569</v>
      </c>
      <c r="EO238" s="412">
        <v>4434.0927755190069</v>
      </c>
      <c r="EP238" s="389"/>
      <c r="EQ238" s="386"/>
    </row>
    <row r="239" spans="1:147" s="390" customFormat="1" ht="15" customHeight="1" outlineLevel="1">
      <c r="A239" s="385"/>
      <c r="B239"/>
      <c r="C239"/>
      <c r="D239"/>
      <c r="E239"/>
      <c r="F239"/>
      <c r="G239"/>
      <c r="H239" s="386"/>
      <c r="I239" s="378" t="s">
        <v>1734</v>
      </c>
      <c r="J239" s="386"/>
      <c r="K239" s="386"/>
      <c r="L239" s="386"/>
      <c r="M239" s="388"/>
      <c r="N239" s="386"/>
      <c r="O239" s="386"/>
      <c r="P239" s="386"/>
      <c r="Q239" s="388"/>
      <c r="R239" s="386"/>
      <c r="S239" s="386"/>
      <c r="T239" s="386"/>
      <c r="U239" s="388"/>
      <c r="V239" s="386"/>
      <c r="W239" s="386"/>
      <c r="X239" s="386"/>
      <c r="Y239" s="388"/>
      <c r="Z239" s="386"/>
      <c r="AA239" s="386"/>
      <c r="AB239" s="386"/>
      <c r="AC239" s="388"/>
      <c r="AD239" s="386"/>
      <c r="AE239" s="386"/>
      <c r="AF239" s="386"/>
      <c r="AG239" s="388"/>
      <c r="AH239" s="386"/>
      <c r="AI239" s="386"/>
      <c r="AJ239" s="386"/>
      <c r="AK239" s="388"/>
      <c r="AL239" s="386"/>
      <c r="AM239" s="386"/>
      <c r="AN239" s="386"/>
      <c r="AO239" s="388"/>
      <c r="AP239" s="386"/>
      <c r="AQ239" s="386"/>
      <c r="AR239" s="386"/>
      <c r="AS239" s="388"/>
      <c r="AT239" s="386">
        <v>0</v>
      </c>
      <c r="AU239" s="386">
        <v>0</v>
      </c>
      <c r="AV239" s="386">
        <v>0</v>
      </c>
      <c r="AW239" s="388">
        <v>0</v>
      </c>
      <c r="AX239" s="386">
        <v>0</v>
      </c>
      <c r="AY239" s="386">
        <v>0</v>
      </c>
      <c r="AZ239" s="386">
        <v>0</v>
      </c>
      <c r="BA239" s="388">
        <v>0</v>
      </c>
      <c r="BB239" s="325">
        <v>-4</v>
      </c>
      <c r="BC239" s="325">
        <v>-14</v>
      </c>
      <c r="BD239" s="325">
        <v>-29</v>
      </c>
      <c r="BE239" s="372">
        <v>-25</v>
      </c>
      <c r="BF239" s="325">
        <v>-9</v>
      </c>
      <c r="BG239" s="325">
        <v>-17</v>
      </c>
      <c r="BH239" s="325">
        <v>-20</v>
      </c>
      <c r="BI239" s="372">
        <v>-27</v>
      </c>
      <c r="BJ239" s="325">
        <v>-17</v>
      </c>
      <c r="BK239" s="325">
        <v>-19</v>
      </c>
      <c r="BL239" s="325">
        <v>-22</v>
      </c>
      <c r="BM239" s="372">
        <v>-16</v>
      </c>
      <c r="BN239" s="325">
        <v>-37</v>
      </c>
      <c r="BO239" s="325">
        <v>-25</v>
      </c>
      <c r="BP239" s="325">
        <v>-28</v>
      </c>
      <c r="BQ239" s="372">
        <v>-17</v>
      </c>
      <c r="BR239" s="325">
        <v>-21</v>
      </c>
      <c r="BS239" s="325">
        <v>-28</v>
      </c>
      <c r="BT239" s="325">
        <v>-46</v>
      </c>
      <c r="BU239" s="372">
        <v>-16</v>
      </c>
      <c r="BV239" s="325">
        <v>-27</v>
      </c>
      <c r="BW239" s="325">
        <v>-44</v>
      </c>
      <c r="BX239" s="325">
        <v>-28</v>
      </c>
      <c r="BY239" s="372">
        <v>-37</v>
      </c>
      <c r="BZ239" s="325">
        <v>-21</v>
      </c>
      <c r="CA239" s="325">
        <v>-31</v>
      </c>
      <c r="CB239" s="325">
        <v>-34</v>
      </c>
      <c r="CC239" s="372">
        <v>-69</v>
      </c>
      <c r="CD239" s="325">
        <v>-31</v>
      </c>
      <c r="CE239" s="325">
        <v>-30</v>
      </c>
      <c r="CF239" s="325">
        <v>-36</v>
      </c>
      <c r="CG239" s="372">
        <v>-34</v>
      </c>
      <c r="CH239" s="325">
        <v>-18</v>
      </c>
      <c r="CI239" s="325">
        <v>-27</v>
      </c>
      <c r="CJ239" s="325">
        <v>-34</v>
      </c>
      <c r="CK239" s="372">
        <v>-37</v>
      </c>
      <c r="CL239" s="325">
        <v>-19</v>
      </c>
      <c r="CM239" s="325">
        <v>-13</v>
      </c>
      <c r="CN239" s="325">
        <v>-24</v>
      </c>
      <c r="CO239" s="372">
        <v>-22</v>
      </c>
      <c r="CP239" s="325">
        <v>-22</v>
      </c>
      <c r="CQ239" s="325">
        <v>-14</v>
      </c>
      <c r="CR239" s="325">
        <v>-23</v>
      </c>
      <c r="CS239" s="372">
        <v>-52.481327704248969</v>
      </c>
      <c r="CT239" s="325">
        <v>-17.191662591723244</v>
      </c>
      <c r="CU239" s="325">
        <v>-10.67822166281899</v>
      </c>
      <c r="CV239" s="325">
        <v>-48.614856077654416</v>
      </c>
      <c r="CW239" s="372">
        <v>-81.90392553173028</v>
      </c>
      <c r="CX239" s="386"/>
      <c r="CY239" s="386"/>
      <c r="CZ239" s="386"/>
      <c r="DA239" s="388"/>
      <c r="DB239" s="386"/>
      <c r="DC239" s="386"/>
      <c r="DD239" s="386"/>
      <c r="DE239" s="388"/>
      <c r="DF239" s="386"/>
      <c r="DG239" s="386"/>
      <c r="DH239" s="386"/>
      <c r="DI239" s="388"/>
      <c r="DJ239" s="454"/>
      <c r="DK239" s="389"/>
      <c r="DL239" s="386"/>
      <c r="DM239" s="386"/>
      <c r="DN239" s="386"/>
      <c r="DO239" s="386"/>
      <c r="DP239" s="386"/>
      <c r="DQ239" s="386"/>
      <c r="DR239" s="386"/>
      <c r="DS239" s="325">
        <v>-46</v>
      </c>
      <c r="DT239" s="325">
        <v>-69</v>
      </c>
      <c r="DU239" s="325">
        <v>-97</v>
      </c>
      <c r="DV239" s="325">
        <v>-72</v>
      </c>
      <c r="DW239" s="325">
        <v>-73</v>
      </c>
      <c r="DX239" s="506">
        <v>-74</v>
      </c>
      <c r="DY239" s="506">
        <v>-107</v>
      </c>
      <c r="DZ239" s="506">
        <v>-111</v>
      </c>
      <c r="EA239" s="506">
        <v>-136</v>
      </c>
      <c r="EB239" s="506">
        <v>-155</v>
      </c>
      <c r="EC239" s="506">
        <v>-131</v>
      </c>
      <c r="ED239" s="506">
        <v>-116</v>
      </c>
      <c r="EE239" s="506">
        <v>-78</v>
      </c>
      <c r="EF239" s="506">
        <v>-111.48132770424897</v>
      </c>
      <c r="EG239" s="506">
        <v>-158.38866586392692</v>
      </c>
      <c r="EH239" s="506">
        <v>-179.47453844523935</v>
      </c>
      <c r="EI239" s="506">
        <v>-166.73427632066</v>
      </c>
      <c r="EJ239" s="506">
        <v>-159.94100393210522</v>
      </c>
      <c r="EK239" s="506">
        <v>-170.48098229717931</v>
      </c>
      <c r="EL239" s="506">
        <v>-164.440268026974</v>
      </c>
      <c r="EM239" s="506">
        <v>-165.54599359868973</v>
      </c>
      <c r="EN239" s="506">
        <v>-164.6454905964784</v>
      </c>
      <c r="EO239" s="506">
        <v>-177.23893753793081</v>
      </c>
      <c r="EP239" s="389"/>
      <c r="EQ239" s="386"/>
    </row>
    <row r="240" spans="1:147" s="390" customFormat="1" ht="15" customHeight="1">
      <c r="A240" s="385"/>
      <c r="B240"/>
      <c r="C240"/>
      <c r="D240"/>
      <c r="E240"/>
      <c r="F240"/>
      <c r="G240"/>
      <c r="H240" s="386"/>
      <c r="I240" s="379" t="s">
        <v>1732</v>
      </c>
      <c r="J240" s="552"/>
      <c r="K240" s="552"/>
      <c r="L240" s="552"/>
      <c r="M240" s="553"/>
      <c r="N240" s="552"/>
      <c r="O240" s="552"/>
      <c r="P240" s="552"/>
      <c r="Q240" s="553"/>
      <c r="R240" s="552"/>
      <c r="S240" s="552"/>
      <c r="T240" s="552"/>
      <c r="U240" s="553"/>
      <c r="V240" s="552"/>
      <c r="W240" s="552"/>
      <c r="X240" s="552"/>
      <c r="Y240" s="553"/>
      <c r="Z240" s="552"/>
      <c r="AA240" s="552"/>
      <c r="AB240" s="552"/>
      <c r="AC240" s="553"/>
      <c r="AD240" s="552"/>
      <c r="AE240" s="552"/>
      <c r="AF240" s="552"/>
      <c r="AG240" s="553"/>
      <c r="AH240" s="552"/>
      <c r="AI240" s="552"/>
      <c r="AJ240" s="552"/>
      <c r="AK240" s="553"/>
      <c r="AL240" s="552"/>
      <c r="AM240" s="552"/>
      <c r="AN240" s="552"/>
      <c r="AO240" s="553"/>
      <c r="AP240" s="552"/>
      <c r="AQ240" s="552"/>
      <c r="AR240" s="552"/>
      <c r="AS240" s="553"/>
      <c r="AT240" s="552">
        <v>0</v>
      </c>
      <c r="AU240" s="552">
        <v>0</v>
      </c>
      <c r="AV240" s="552">
        <v>0</v>
      </c>
      <c r="AW240" s="553">
        <v>0</v>
      </c>
      <c r="AX240" s="552">
        <v>0</v>
      </c>
      <c r="AY240" s="552">
        <v>0</v>
      </c>
      <c r="AZ240" s="552">
        <v>0</v>
      </c>
      <c r="BA240" s="553">
        <v>0</v>
      </c>
      <c r="BB240" s="554">
        <v>130</v>
      </c>
      <c r="BC240" s="554">
        <v>-92</v>
      </c>
      <c r="BD240" s="554">
        <v>17</v>
      </c>
      <c r="BE240" s="555">
        <v>825</v>
      </c>
      <c r="BF240" s="554">
        <v>144</v>
      </c>
      <c r="BG240" s="554">
        <v>75</v>
      </c>
      <c r="BH240" s="554">
        <v>104</v>
      </c>
      <c r="BI240" s="555">
        <v>949</v>
      </c>
      <c r="BJ240" s="554">
        <v>308</v>
      </c>
      <c r="BK240" s="554">
        <v>90</v>
      </c>
      <c r="BL240" s="554">
        <v>-72</v>
      </c>
      <c r="BM240" s="555">
        <v>864</v>
      </c>
      <c r="BN240" s="554">
        <v>99</v>
      </c>
      <c r="BO240" s="554">
        <v>81</v>
      </c>
      <c r="BP240" s="554">
        <v>-173</v>
      </c>
      <c r="BQ240" s="555">
        <v>1178</v>
      </c>
      <c r="BR240" s="554">
        <v>188</v>
      </c>
      <c r="BS240" s="554">
        <v>107</v>
      </c>
      <c r="BT240" s="554">
        <v>-227</v>
      </c>
      <c r="BU240" s="555">
        <v>1013</v>
      </c>
      <c r="BV240" s="554">
        <v>282</v>
      </c>
      <c r="BW240" s="554">
        <v>435</v>
      </c>
      <c r="BX240" s="554">
        <v>480</v>
      </c>
      <c r="BY240" s="555">
        <v>822</v>
      </c>
      <c r="BZ240" s="554">
        <v>390</v>
      </c>
      <c r="CA240" s="554">
        <v>234</v>
      </c>
      <c r="CB240" s="554">
        <v>344</v>
      </c>
      <c r="CC240" s="555">
        <v>1090</v>
      </c>
      <c r="CD240" s="554">
        <v>498</v>
      </c>
      <c r="CE240" s="554">
        <v>-21</v>
      </c>
      <c r="CF240" s="554">
        <v>218</v>
      </c>
      <c r="CG240" s="555">
        <v>963</v>
      </c>
      <c r="CH240" s="554">
        <v>375</v>
      </c>
      <c r="CI240" s="554">
        <v>127</v>
      </c>
      <c r="CJ240" s="554">
        <v>276</v>
      </c>
      <c r="CK240" s="555">
        <v>881</v>
      </c>
      <c r="CL240" s="554">
        <v>129</v>
      </c>
      <c r="CM240" s="554">
        <v>755</v>
      </c>
      <c r="CN240" s="554">
        <v>173</v>
      </c>
      <c r="CO240" s="555">
        <v>1117</v>
      </c>
      <c r="CP240" s="554">
        <v>822</v>
      </c>
      <c r="CQ240" s="554">
        <v>374</v>
      </c>
      <c r="CR240" s="554">
        <v>497</v>
      </c>
      <c r="CS240" s="555">
        <v>927.62610623300952</v>
      </c>
      <c r="CT240" s="554">
        <v>1046.1116136709645</v>
      </c>
      <c r="CU240" s="554">
        <v>-44.317344815342715</v>
      </c>
      <c r="CV240" s="554">
        <v>326.94008951920694</v>
      </c>
      <c r="CW240" s="555">
        <v>1162.0306220954901</v>
      </c>
      <c r="CX240" s="552"/>
      <c r="CY240" s="552"/>
      <c r="CZ240" s="552"/>
      <c r="DA240" s="553"/>
      <c r="DB240" s="552"/>
      <c r="DC240" s="552"/>
      <c r="DD240" s="552"/>
      <c r="DE240" s="553"/>
      <c r="DF240" s="552"/>
      <c r="DG240" s="552"/>
      <c r="DH240" s="552"/>
      <c r="DI240" s="553"/>
      <c r="DJ240" s="454"/>
      <c r="DK240" s="558"/>
      <c r="DL240" s="552"/>
      <c r="DM240" s="552"/>
      <c r="DN240" s="552"/>
      <c r="DO240" s="552"/>
      <c r="DP240" s="552"/>
      <c r="DQ240" s="552"/>
      <c r="DR240" s="552"/>
      <c r="DS240" s="394">
        <v>333</v>
      </c>
      <c r="DT240" s="394">
        <v>1114</v>
      </c>
      <c r="DU240" s="394">
        <v>1279</v>
      </c>
      <c r="DV240" s="394">
        <v>880</v>
      </c>
      <c r="DW240" s="394">
        <v>1272</v>
      </c>
      <c r="DX240" s="448">
        <v>1190</v>
      </c>
      <c r="DY240" s="448">
        <v>1185</v>
      </c>
      <c r="DZ240" s="448">
        <v>1081</v>
      </c>
      <c r="EA240" s="448">
        <v>2019</v>
      </c>
      <c r="EB240" s="448">
        <v>2058</v>
      </c>
      <c r="EC240" s="562">
        <v>1658</v>
      </c>
      <c r="ED240" s="562">
        <v>1659</v>
      </c>
      <c r="EE240" s="562">
        <v>2174</v>
      </c>
      <c r="EF240" s="562">
        <v>2620.6261062330095</v>
      </c>
      <c r="EG240" s="562">
        <v>2490.7649804703187</v>
      </c>
      <c r="EH240" s="562">
        <v>2155.2372166144946</v>
      </c>
      <c r="EI240" s="562">
        <v>3315.5673750358146</v>
      </c>
      <c r="EJ240" s="562">
        <v>3217.6910299045603</v>
      </c>
      <c r="EK240" s="562">
        <v>4009.2737755361741</v>
      </c>
      <c r="EL240" s="562">
        <v>4083.1379245885973</v>
      </c>
      <c r="EM240" s="562">
        <v>3964.2677582201909</v>
      </c>
      <c r="EN240" s="562">
        <v>4002.4250903127786</v>
      </c>
      <c r="EO240" s="562">
        <v>4256.8538379810761</v>
      </c>
      <c r="EP240" s="389"/>
      <c r="EQ240" s="386"/>
    </row>
    <row r="241" spans="1:147" s="751" customFormat="1" ht="15" customHeight="1">
      <c r="A241" s="745"/>
      <c r="B241"/>
      <c r="C241"/>
      <c r="D241"/>
      <c r="E241"/>
      <c r="F241"/>
      <c r="G241"/>
      <c r="H241" s="746"/>
      <c r="I241" s="747" t="s">
        <v>1735</v>
      </c>
      <c r="J241" s="627"/>
      <c r="K241" s="627"/>
      <c r="L241" s="627"/>
      <c r="M241" s="628"/>
      <c r="N241" s="627"/>
      <c r="O241" s="627"/>
      <c r="P241" s="627"/>
      <c r="Q241" s="628"/>
      <c r="R241" s="627"/>
      <c r="S241" s="627"/>
      <c r="T241" s="627"/>
      <c r="U241" s="628"/>
      <c r="V241" s="627"/>
      <c r="W241" s="627"/>
      <c r="X241" s="627"/>
      <c r="Y241" s="628"/>
      <c r="Z241" s="627"/>
      <c r="AA241" s="627"/>
      <c r="AB241" s="627"/>
      <c r="AC241" s="628"/>
      <c r="AD241" s="627"/>
      <c r="AE241" s="627"/>
      <c r="AF241" s="627"/>
      <c r="AG241" s="628"/>
      <c r="AH241" s="627"/>
      <c r="AI241" s="627"/>
      <c r="AJ241" s="627"/>
      <c r="AK241" s="628"/>
      <c r="AL241" s="627"/>
      <c r="AM241" s="627"/>
      <c r="AN241" s="627"/>
      <c r="AO241" s="628"/>
      <c r="AP241" s="627"/>
      <c r="AQ241" s="627"/>
      <c r="AR241" s="627"/>
      <c r="AS241" s="628"/>
      <c r="AT241" s="627"/>
      <c r="AU241" s="627"/>
      <c r="AV241" s="627"/>
      <c r="AW241" s="628"/>
      <c r="AX241" s="627" t="s">
        <v>1736</v>
      </c>
      <c r="AY241" s="627" t="s">
        <v>1736</v>
      </c>
      <c r="AZ241" s="627" t="s">
        <v>1736</v>
      </c>
      <c r="BA241" s="628" t="s">
        <v>1736</v>
      </c>
      <c r="BB241" s="627" t="s">
        <v>1736</v>
      </c>
      <c r="BC241" s="627" t="s">
        <v>1736</v>
      </c>
      <c r="BD241" s="627" t="s">
        <v>1736</v>
      </c>
      <c r="BE241" s="628" t="s">
        <v>1736</v>
      </c>
      <c r="BF241" s="627">
        <v>0.10769230769230775</v>
      </c>
      <c r="BG241" s="627">
        <v>-1.8152173913043477</v>
      </c>
      <c r="BH241" s="627">
        <v>5.117647058823529</v>
      </c>
      <c r="BI241" s="628">
        <v>0.15030303030303038</v>
      </c>
      <c r="BJ241" s="627">
        <v>1.1388888888888888</v>
      </c>
      <c r="BK241" s="627">
        <v>0.19999999999999996</v>
      </c>
      <c r="BL241" s="627">
        <v>-1.6923076923076923</v>
      </c>
      <c r="BM241" s="628">
        <v>-8.9567966280295064E-2</v>
      </c>
      <c r="BN241" s="627">
        <v>-0.6785714285714286</v>
      </c>
      <c r="BO241" s="627">
        <v>-9.9999999999999978E-2</v>
      </c>
      <c r="BP241" s="627">
        <v>1.4027777777777777</v>
      </c>
      <c r="BQ241" s="628">
        <v>0.36342592592592582</v>
      </c>
      <c r="BR241" s="627">
        <v>0.89898989898989901</v>
      </c>
      <c r="BS241" s="627">
        <v>0.32098765432098775</v>
      </c>
      <c r="BT241" s="627">
        <v>0.31213872832369938</v>
      </c>
      <c r="BU241" s="628">
        <v>-0.14006791171477084</v>
      </c>
      <c r="BV241" s="627">
        <v>0.5</v>
      </c>
      <c r="BW241" s="627">
        <v>3.0654205607476639</v>
      </c>
      <c r="BX241" s="627">
        <v>-3.1145374449339207</v>
      </c>
      <c r="BY241" s="628">
        <v>-0.18854886475814414</v>
      </c>
      <c r="BZ241" s="627">
        <v>0.38297872340425543</v>
      </c>
      <c r="CA241" s="627">
        <v>-0.46206896551724141</v>
      </c>
      <c r="CB241" s="627">
        <v>-0.28333333333333333</v>
      </c>
      <c r="CC241" s="628">
        <v>0.32603406326034068</v>
      </c>
      <c r="CD241" s="627">
        <v>0.27692307692307683</v>
      </c>
      <c r="CE241" s="627">
        <v>-1.0897435897435896</v>
      </c>
      <c r="CF241" s="627">
        <v>-0.36627906976744184</v>
      </c>
      <c r="CG241" s="628">
        <v>-0.11651376146788994</v>
      </c>
      <c r="CH241" s="627">
        <v>-0.24698795180722888</v>
      </c>
      <c r="CI241" s="627">
        <v>-7.0476190476190474</v>
      </c>
      <c r="CJ241" s="627">
        <v>0.26605504587155959</v>
      </c>
      <c r="CK241" s="628">
        <v>-8.5150571131879516E-2</v>
      </c>
      <c r="CL241" s="627">
        <v>-0.65600000000000003</v>
      </c>
      <c r="CM241" s="627">
        <v>4.9448818897637796</v>
      </c>
      <c r="CN241" s="627">
        <v>-0.37318840579710144</v>
      </c>
      <c r="CO241" s="628">
        <v>0.26787741203178217</v>
      </c>
      <c r="CP241" s="627">
        <v>5.3720930232558137</v>
      </c>
      <c r="CQ241" s="627">
        <v>-0.50463576158940393</v>
      </c>
      <c r="CR241" s="627">
        <v>1.8728323699421967</v>
      </c>
      <c r="CS241" s="628">
        <v>-0.16953795323812937</v>
      </c>
      <c r="CT241" s="627">
        <v>0.27264186577976224</v>
      </c>
      <c r="CU241" s="627">
        <v>-1.1184955743725742</v>
      </c>
      <c r="CV241" s="627">
        <v>-0.34217285811024767</v>
      </c>
      <c r="CW241" s="628">
        <v>0.25269288378953925</v>
      </c>
      <c r="CX241" s="627"/>
      <c r="CY241" s="627"/>
      <c r="CZ241" s="627"/>
      <c r="DA241" s="628"/>
      <c r="DB241" s="627"/>
      <c r="DC241" s="627"/>
      <c r="DD241" s="627"/>
      <c r="DE241" s="628"/>
      <c r="DF241" s="627"/>
      <c r="DG241" s="627"/>
      <c r="DH241" s="627"/>
      <c r="DI241" s="628"/>
      <c r="DJ241" s="748"/>
      <c r="DK241" s="629"/>
      <c r="DL241" s="627"/>
      <c r="DM241" s="627"/>
      <c r="DN241" s="627"/>
      <c r="DO241" s="627"/>
      <c r="DP241" s="627"/>
      <c r="DQ241" s="627"/>
      <c r="DR241" s="627"/>
      <c r="DS241" s="749" t="s">
        <v>1736</v>
      </c>
      <c r="DT241" s="749">
        <v>2.3453453453453452</v>
      </c>
      <c r="DU241" s="749">
        <v>0.14811490125673243</v>
      </c>
      <c r="DV241" s="749">
        <v>-0.31196247068021887</v>
      </c>
      <c r="DW241" s="749">
        <v>0.44545454545454555</v>
      </c>
      <c r="DX241" s="633">
        <v>-6.4465408805031488E-2</v>
      </c>
      <c r="DY241" s="633">
        <v>-4.2016806722688926E-3</v>
      </c>
      <c r="DZ241" s="633">
        <v>-8.7763713080168726E-2</v>
      </c>
      <c r="EA241" s="633">
        <v>0.86771507863089736</v>
      </c>
      <c r="EB241" s="633">
        <v>1.9316493313521477E-2</v>
      </c>
      <c r="EC241" s="627">
        <v>-0.19436345966958213</v>
      </c>
      <c r="ED241" s="627">
        <v>6.0313630880570734E-4</v>
      </c>
      <c r="EE241" s="627">
        <v>0.31042796865581668</v>
      </c>
      <c r="EF241" s="627">
        <v>0.20543979127553347</v>
      </c>
      <c r="EG241" s="627">
        <v>-4.9553473291677697E-2</v>
      </c>
      <c r="EH241" s="627">
        <v>-0.13470872060858508</v>
      </c>
      <c r="EI241" s="627">
        <v>0.53837700531359522</v>
      </c>
      <c r="EJ241" s="627">
        <v>-2.9520240145986198E-2</v>
      </c>
      <c r="EK241" s="627">
        <v>0.24600955724922202</v>
      </c>
      <c r="EL241" s="627">
        <v>1.8423323820670134E-2</v>
      </c>
      <c r="EM241" s="627">
        <v>-2.9112454333852456E-2</v>
      </c>
      <c r="EN241" s="627">
        <v>9.6253165577591115E-3</v>
      </c>
      <c r="EO241" s="627">
        <v>6.3568646989571764E-2</v>
      </c>
      <c r="EP241" s="750"/>
      <c r="EQ241" s="746"/>
    </row>
    <row r="242" spans="1:147" s="751" customFormat="1" ht="15" customHeight="1">
      <c r="A242" s="745"/>
      <c r="B242"/>
      <c r="C242"/>
      <c r="D242"/>
      <c r="E242"/>
      <c r="F242"/>
      <c r="G242"/>
      <c r="H242" s="746"/>
      <c r="I242" s="752"/>
      <c r="J242" s="753"/>
      <c r="K242" s="753"/>
      <c r="L242" s="753"/>
      <c r="M242" s="754"/>
      <c r="N242" s="753"/>
      <c r="O242" s="753"/>
      <c r="P242" s="753"/>
      <c r="Q242" s="754"/>
      <c r="R242" s="753"/>
      <c r="S242" s="753"/>
      <c r="T242" s="753"/>
      <c r="U242" s="754"/>
      <c r="V242" s="753"/>
      <c r="W242" s="753"/>
      <c r="X242" s="753"/>
      <c r="Y242" s="754"/>
      <c r="Z242" s="753"/>
      <c r="AA242" s="753"/>
      <c r="AB242" s="753"/>
      <c r="AC242" s="754"/>
      <c r="AD242" s="753"/>
      <c r="AE242" s="753"/>
      <c r="AF242" s="753"/>
      <c r="AG242" s="754"/>
      <c r="AH242" s="753"/>
      <c r="AI242" s="753"/>
      <c r="AJ242" s="753"/>
      <c r="AK242" s="754"/>
      <c r="AL242" s="753"/>
      <c r="AM242" s="753"/>
      <c r="AN242" s="753"/>
      <c r="AO242" s="754"/>
      <c r="AP242" s="753"/>
      <c r="AQ242" s="753"/>
      <c r="AR242" s="753"/>
      <c r="AS242" s="754"/>
      <c r="AT242" s="753"/>
      <c r="AU242" s="753"/>
      <c r="AV242" s="753"/>
      <c r="AW242" s="754"/>
      <c r="AX242" s="753"/>
      <c r="AY242" s="753"/>
      <c r="AZ242" s="753"/>
      <c r="BA242" s="754"/>
      <c r="BB242" s="753"/>
      <c r="BC242" s="753"/>
      <c r="BD242" s="753"/>
      <c r="BE242" s="754"/>
      <c r="BF242" s="753"/>
      <c r="BG242" s="753"/>
      <c r="BH242" s="753"/>
      <c r="BI242" s="754"/>
      <c r="BJ242" s="753"/>
      <c r="BK242" s="753"/>
      <c r="BL242" s="753"/>
      <c r="BM242" s="754"/>
      <c r="BN242" s="753"/>
      <c r="BO242" s="753"/>
      <c r="BP242" s="753"/>
      <c r="BQ242" s="754"/>
      <c r="BR242" s="753"/>
      <c r="BS242" s="753"/>
      <c r="BT242" s="753"/>
      <c r="BU242" s="754"/>
      <c r="BV242" s="753"/>
      <c r="BW242" s="753"/>
      <c r="BX242" s="753"/>
      <c r="BY242" s="754"/>
      <c r="BZ242" s="753"/>
      <c r="CA242" s="753"/>
      <c r="CB242" s="753"/>
      <c r="CC242" s="754"/>
      <c r="CD242" s="753"/>
      <c r="CE242" s="753"/>
      <c r="CF242" s="753"/>
      <c r="CG242" s="754"/>
      <c r="CH242" s="753"/>
      <c r="CI242" s="753"/>
      <c r="CJ242" s="753"/>
      <c r="CK242" s="754"/>
      <c r="CL242" s="753"/>
      <c r="CM242" s="753"/>
      <c r="CN242" s="753"/>
      <c r="CO242" s="754"/>
      <c r="CP242" s="753"/>
      <c r="CQ242" s="753"/>
      <c r="CR242" s="753"/>
      <c r="CS242" s="754"/>
      <c r="CT242" s="753"/>
      <c r="CU242" s="753"/>
      <c r="CV242" s="753"/>
      <c r="CW242" s="754"/>
      <c r="CX242" s="753"/>
      <c r="CY242" s="753"/>
      <c r="CZ242" s="753"/>
      <c r="DA242" s="754"/>
      <c r="DB242" s="753"/>
      <c r="DC242" s="753"/>
      <c r="DD242" s="753"/>
      <c r="DE242" s="754"/>
      <c r="DF242" s="753"/>
      <c r="DG242" s="753"/>
      <c r="DH242" s="753"/>
      <c r="DI242" s="754"/>
      <c r="DJ242" s="748"/>
      <c r="DK242" s="755"/>
      <c r="DL242" s="753"/>
      <c r="DM242" s="753"/>
      <c r="DN242" s="753"/>
      <c r="DO242" s="753"/>
      <c r="DP242" s="753"/>
      <c r="DQ242" s="753"/>
      <c r="DR242" s="753"/>
      <c r="DS242" s="756"/>
      <c r="DT242" s="756"/>
      <c r="DU242" s="756"/>
      <c r="DV242" s="756"/>
      <c r="DW242" s="756"/>
      <c r="DX242" s="756"/>
      <c r="DY242" s="756"/>
      <c r="DZ242" s="756"/>
      <c r="EA242" s="756"/>
      <c r="EB242" s="756"/>
      <c r="EC242" s="753"/>
      <c r="ED242" s="753"/>
      <c r="EE242" s="753"/>
      <c r="EF242" s="753"/>
      <c r="EG242" s="753"/>
      <c r="EH242" s="753"/>
      <c r="EI242" s="753"/>
      <c r="EJ242" s="753"/>
      <c r="EK242" s="753"/>
      <c r="EL242" s="753"/>
      <c r="EM242" s="753"/>
      <c r="EN242" s="753"/>
      <c r="EO242" s="753"/>
      <c r="EP242" s="750"/>
      <c r="EQ242" s="746"/>
    </row>
    <row r="243" spans="1:147" s="751" customFormat="1" ht="15" customHeight="1">
      <c r="A243" s="745"/>
      <c r="B243"/>
      <c r="C243"/>
      <c r="D243"/>
      <c r="E243"/>
      <c r="F243"/>
      <c r="G243"/>
      <c r="H243" s="746"/>
      <c r="I243" s="752" t="s">
        <v>1737</v>
      </c>
      <c r="J243" s="753"/>
      <c r="K243" s="753"/>
      <c r="L243" s="753"/>
      <c r="M243" s="754"/>
      <c r="N243" s="753"/>
      <c r="O243" s="753"/>
      <c r="P243" s="753"/>
      <c r="Q243" s="754"/>
      <c r="R243" s="753"/>
      <c r="S243" s="753"/>
      <c r="T243" s="753"/>
      <c r="U243" s="754"/>
      <c r="V243" s="753"/>
      <c r="W243" s="753"/>
      <c r="X243" s="753"/>
      <c r="Y243" s="754"/>
      <c r="Z243" s="753"/>
      <c r="AA243" s="753"/>
      <c r="AB243" s="753"/>
      <c r="AC243" s="754"/>
      <c r="AD243" s="753"/>
      <c r="AE243" s="753"/>
      <c r="AF243" s="753"/>
      <c r="AG243" s="754"/>
      <c r="AH243" s="753"/>
      <c r="AI243" s="753"/>
      <c r="AJ243" s="753"/>
      <c r="AK243" s="754"/>
      <c r="AL243" s="753"/>
      <c r="AM243" s="753"/>
      <c r="AN243" s="753"/>
      <c r="AO243" s="754"/>
      <c r="AP243" s="753"/>
      <c r="AQ243" s="753"/>
      <c r="AR243" s="753"/>
      <c r="AS243" s="754"/>
      <c r="AT243" s="753">
        <v>0</v>
      </c>
      <c r="AU243" s="753">
        <v>0</v>
      </c>
      <c r="AV243" s="753">
        <v>0</v>
      </c>
      <c r="AW243" s="754">
        <v>0</v>
      </c>
      <c r="AX243" s="753">
        <v>0</v>
      </c>
      <c r="AY243" s="753">
        <v>0</v>
      </c>
      <c r="AZ243" s="753">
        <v>0</v>
      </c>
      <c r="BA243" s="754">
        <v>0</v>
      </c>
      <c r="BB243" s="753">
        <v>0.53278688524590168</v>
      </c>
      <c r="BC243" s="753">
        <v>-0.48167539267015708</v>
      </c>
      <c r="BD243" s="753">
        <v>0.15454545454545454</v>
      </c>
      <c r="BE243" s="754">
        <v>0.85848074921956297</v>
      </c>
      <c r="BF243" s="753">
        <v>1.2743362831858407</v>
      </c>
      <c r="BG243" s="753">
        <v>0.23291925465838509</v>
      </c>
      <c r="BH243" s="753">
        <v>0.5842696629213483</v>
      </c>
      <c r="BI243" s="754">
        <v>0.78755186721991699</v>
      </c>
      <c r="BJ243" s="753">
        <v>1.1407407407407408</v>
      </c>
      <c r="BK243" s="753">
        <v>0.63829787234042556</v>
      </c>
      <c r="BL243" s="753">
        <v>-0.57599999999999996</v>
      </c>
      <c r="BM243" s="754">
        <v>0.97078651685393258</v>
      </c>
      <c r="BN243" s="753">
        <v>0.38223938223938225</v>
      </c>
      <c r="BO243" s="753">
        <v>0.61363636363636365</v>
      </c>
      <c r="BP243" s="753">
        <v>-0.61130742049469966</v>
      </c>
      <c r="BQ243" s="754">
        <v>1.2492046659597031</v>
      </c>
      <c r="BR243" s="753">
        <v>0.8392857142857143</v>
      </c>
      <c r="BS243" s="753">
        <v>0.55440414507772018</v>
      </c>
      <c r="BT243" s="753">
        <v>-0.82545454545454544</v>
      </c>
      <c r="BU243" s="754">
        <v>1.1751740139211138</v>
      </c>
      <c r="BV243" s="753">
        <v>1.0180505415162455</v>
      </c>
      <c r="BW243" s="753">
        <v>0.7027463651050081</v>
      </c>
      <c r="BX243" s="753">
        <v>0.79077429983525538</v>
      </c>
      <c r="BY243" s="754">
        <v>0.80985221674876851</v>
      </c>
      <c r="BZ243" s="753">
        <v>1.0129870129870129</v>
      </c>
      <c r="CA243" s="753">
        <v>0.46520874751491054</v>
      </c>
      <c r="CB243" s="753">
        <v>0.52279635258358659</v>
      </c>
      <c r="CC243" s="754">
        <v>1.1054766734279919</v>
      </c>
      <c r="CD243" s="753">
        <v>1.1581395348837209</v>
      </c>
      <c r="CE243" s="753">
        <v>-4.9881235154394299E-2</v>
      </c>
      <c r="CF243" s="753">
        <v>0.41366223908918404</v>
      </c>
      <c r="CG243" s="754">
        <v>0.77723970944309928</v>
      </c>
      <c r="CH243" s="753">
        <v>1.1160714285714286</v>
      </c>
      <c r="CI243" s="753">
        <v>0.37352941176470589</v>
      </c>
      <c r="CJ243" s="753">
        <v>0.83890577507598785</v>
      </c>
      <c r="CK243" s="754">
        <v>0.73539232053422365</v>
      </c>
      <c r="CL243" s="753">
        <v>0.22671353251318102</v>
      </c>
      <c r="CM243" s="753">
        <v>0.76108870967741937</v>
      </c>
      <c r="CN243" s="753">
        <v>0.23505434782608695</v>
      </c>
      <c r="CO243" s="754">
        <v>0.94580863674851823</v>
      </c>
      <c r="CP243" s="753">
        <v>0.93728620296465226</v>
      </c>
      <c r="CQ243" s="753">
        <v>0.48761408083441982</v>
      </c>
      <c r="CR243" s="753">
        <v>0.65052356020942403</v>
      </c>
      <c r="CS243" s="754">
        <v>0.68180002518691041</v>
      </c>
      <c r="CT243" s="753">
        <v>1.7814312282434075</v>
      </c>
      <c r="CU243" s="753">
        <v>-8.2207214705182829E-2</v>
      </c>
      <c r="CV243" s="753">
        <v>0.37154080224270253</v>
      </c>
      <c r="CW243" s="754">
        <v>0.71540931561269128</v>
      </c>
      <c r="CX243" s="753"/>
      <c r="CY243" s="753"/>
      <c r="CZ243" s="753"/>
      <c r="DA243" s="754"/>
      <c r="DB243" s="753"/>
      <c r="DC243" s="753"/>
      <c r="DD243" s="753"/>
      <c r="DE243" s="754"/>
      <c r="DF243" s="753"/>
      <c r="DG243" s="753"/>
      <c r="DH243" s="753"/>
      <c r="DI243" s="754"/>
      <c r="DJ243" s="748"/>
      <c r="DK243" s="755"/>
      <c r="DL243" s="753"/>
      <c r="DM243" s="753"/>
      <c r="DN243" s="753"/>
      <c r="DO243" s="753"/>
      <c r="DP243" s="753"/>
      <c r="DQ243" s="753"/>
      <c r="DR243" s="753"/>
      <c r="DS243" s="756">
        <v>0.2890625</v>
      </c>
      <c r="DT243" s="756">
        <v>0.70461733080328903</v>
      </c>
      <c r="DU243" s="756">
        <v>0.81516889738687059</v>
      </c>
      <c r="DV243" s="756">
        <v>0.58432934926958835</v>
      </c>
      <c r="DW243" s="756">
        <v>0.6996699669966997</v>
      </c>
      <c r="DX243" s="756">
        <v>0.83450210378681622</v>
      </c>
      <c r="DY243" s="756">
        <v>0.73283858998144713</v>
      </c>
      <c r="DZ243" s="756">
        <v>0.69562419562419564</v>
      </c>
      <c r="EA243" s="756">
        <v>0.80182684670373316</v>
      </c>
      <c r="EB243" s="756">
        <v>0.8127962085308057</v>
      </c>
      <c r="EC243" s="753">
        <v>0.63354986625907528</v>
      </c>
      <c r="ED243" s="753">
        <v>0.75306400363141168</v>
      </c>
      <c r="EE243" s="753">
        <v>0.614992927864215</v>
      </c>
      <c r="EF243" s="753">
        <v>0.68503169731406155</v>
      </c>
      <c r="EG243" s="753">
        <v>0.67544898764962114</v>
      </c>
      <c r="EH243" s="753">
        <v>0.46641285013681205</v>
      </c>
      <c r="EI243" s="753">
        <v>0.78754868213356943</v>
      </c>
      <c r="EJ243" s="753">
        <v>0.82350698670727884</v>
      </c>
      <c r="EK243" s="753">
        <v>0.90272267821586583</v>
      </c>
      <c r="EL243" s="753">
        <v>1.0057813502948367</v>
      </c>
      <c r="EM243" s="753">
        <v>0.94771223182737696</v>
      </c>
      <c r="EN243" s="753">
        <v>0.97811681018767072</v>
      </c>
      <c r="EO243" s="753">
        <v>0.90149772317417443</v>
      </c>
      <c r="EP243" s="750"/>
      <c r="EQ243" s="746"/>
    </row>
    <row r="244" spans="1:147" s="751" customFormat="1" ht="15" customHeight="1">
      <c r="A244" s="745"/>
      <c r="B244"/>
      <c r="C244"/>
      <c r="D244"/>
      <c r="E244"/>
      <c r="F244"/>
      <c r="G244"/>
      <c r="H244" s="746"/>
      <c r="I244" s="752" t="s">
        <v>1738</v>
      </c>
      <c r="J244" s="753"/>
      <c r="K244" s="753"/>
      <c r="L244" s="753"/>
      <c r="M244" s="754"/>
      <c r="N244" s="753"/>
      <c r="O244" s="753"/>
      <c r="P244" s="753"/>
      <c r="Q244" s="754"/>
      <c r="R244" s="753"/>
      <c r="S244" s="753"/>
      <c r="T244" s="753"/>
      <c r="U244" s="754"/>
      <c r="V244" s="753"/>
      <c r="W244" s="753"/>
      <c r="X244" s="753"/>
      <c r="Y244" s="754"/>
      <c r="Z244" s="753"/>
      <c r="AA244" s="753"/>
      <c r="AB244" s="753"/>
      <c r="AC244" s="754"/>
      <c r="AD244" s="753"/>
      <c r="AE244" s="753"/>
      <c r="AF244" s="753"/>
      <c r="AG244" s="754"/>
      <c r="AH244" s="753"/>
      <c r="AI244" s="753"/>
      <c r="AJ244" s="753"/>
      <c r="AK244" s="754"/>
      <c r="AL244" s="753"/>
      <c r="AM244" s="753"/>
      <c r="AN244" s="753"/>
      <c r="AO244" s="754"/>
      <c r="AP244" s="753"/>
      <c r="AQ244" s="753"/>
      <c r="AR244" s="753"/>
      <c r="AS244" s="754"/>
      <c r="AT244" s="753">
        <v>0</v>
      </c>
      <c r="AU244" s="753">
        <v>0</v>
      </c>
      <c r="AV244" s="753">
        <v>0</v>
      </c>
      <c r="AW244" s="754">
        <v>0</v>
      </c>
      <c r="AX244" s="753">
        <v>0</v>
      </c>
      <c r="AY244" s="753">
        <v>0</v>
      </c>
      <c r="AZ244" s="753">
        <v>0</v>
      </c>
      <c r="BA244" s="754">
        <v>0</v>
      </c>
      <c r="BB244" s="753">
        <v>0.24208566108007448</v>
      </c>
      <c r="BC244" s="753">
        <v>-0.25842696629213485</v>
      </c>
      <c r="BD244" s="753">
        <v>0.10119047619047619</v>
      </c>
      <c r="BE244" s="754">
        <v>4.6875</v>
      </c>
      <c r="BF244" s="753">
        <v>0.35820895522388058</v>
      </c>
      <c r="BG244" s="753">
        <v>0.36231884057971014</v>
      </c>
      <c r="BH244" s="753">
        <v>0.41434262948207173</v>
      </c>
      <c r="BI244" s="754">
        <v>2.3374384236453203</v>
      </c>
      <c r="BJ244" s="753">
        <v>0.6470588235294118</v>
      </c>
      <c r="BK244" s="753">
        <v>0.26392961876832843</v>
      </c>
      <c r="BL244" s="753">
        <v>-0.63716814159292035</v>
      </c>
      <c r="BM244" s="754">
        <v>3.9272727272727272</v>
      </c>
      <c r="BN244" s="753">
        <v>0.31730769230769229</v>
      </c>
      <c r="BO244" s="753">
        <v>0.36986301369863012</v>
      </c>
      <c r="BP244" s="753">
        <v>-4.3250000000000002</v>
      </c>
      <c r="BQ244" s="754">
        <v>3.3753581661891117</v>
      </c>
      <c r="BR244" s="753">
        <v>0.45742092457420924</v>
      </c>
      <c r="BS244" s="753">
        <v>0.46724890829694321</v>
      </c>
      <c r="BT244" s="753">
        <v>-1.5442176870748299</v>
      </c>
      <c r="BU244" s="754">
        <v>5.5054347826086953</v>
      </c>
      <c r="BV244" s="753">
        <v>0.63945578231292521</v>
      </c>
      <c r="BW244" s="753">
        <v>1.2756598240469208</v>
      </c>
      <c r="BX244" s="753">
        <v>1.2972972972972974</v>
      </c>
      <c r="BY244" s="754">
        <v>1.657258064516129</v>
      </c>
      <c r="BZ244" s="753">
        <v>0.7142857142857143</v>
      </c>
      <c r="CA244" s="753">
        <v>0.5611510791366906</v>
      </c>
      <c r="CB244" s="753">
        <v>0.96089385474860334</v>
      </c>
      <c r="CC244" s="754">
        <v>2.9066666666666667</v>
      </c>
      <c r="CD244" s="753">
        <v>0.82314049586776861</v>
      </c>
      <c r="CE244" s="753">
        <v>-4.4397463002114168E-2</v>
      </c>
      <c r="CF244" s="753">
        <v>0.67076923076923078</v>
      </c>
      <c r="CG244" s="754">
        <v>1.3816355810616929</v>
      </c>
      <c r="CH244" s="753">
        <v>0.62189054726368154</v>
      </c>
      <c r="CI244" s="753">
        <v>0.31127450980392157</v>
      </c>
      <c r="CJ244" s="753">
        <v>0.93559322033898307</v>
      </c>
      <c r="CK244" s="754">
        <v>1.8278008298755186</v>
      </c>
      <c r="CL244" s="753">
        <v>0.21827411167512689</v>
      </c>
      <c r="CM244" s="753">
        <v>1.196513470681458</v>
      </c>
      <c r="CN244" s="753">
        <v>0.25329428989751096</v>
      </c>
      <c r="CO244" s="754">
        <v>1.8932203389830509</v>
      </c>
      <c r="CP244" s="753">
        <v>1.0703125</v>
      </c>
      <c r="CQ244" s="753">
        <v>0.39744952178533477</v>
      </c>
      <c r="CR244" s="753">
        <v>0.71</v>
      </c>
      <c r="CS244" s="754">
        <v>0.89070136877395223</v>
      </c>
      <c r="CT244" s="753">
        <v>2.4132754360515674</v>
      </c>
      <c r="CU244" s="753">
        <v>-0.11184186123335277</v>
      </c>
      <c r="CV244" s="753">
        <v>0.49670486248598306</v>
      </c>
      <c r="CW244" s="754">
        <v>0.94256366547079273</v>
      </c>
      <c r="CX244" s="753"/>
      <c r="CY244" s="753"/>
      <c r="CZ244" s="753"/>
      <c r="DA244" s="754"/>
      <c r="DB244" s="753"/>
      <c r="DC244" s="753"/>
      <c r="DD244" s="753"/>
      <c r="DE244" s="754"/>
      <c r="DF244" s="753"/>
      <c r="DG244" s="753"/>
      <c r="DH244" s="753"/>
      <c r="DI244" s="754"/>
      <c r="DJ244" s="748"/>
      <c r="DK244" s="755"/>
      <c r="DL244" s="753"/>
      <c r="DM244" s="753"/>
      <c r="DN244" s="753"/>
      <c r="DO244" s="753"/>
      <c r="DP244" s="753"/>
      <c r="DQ244" s="753"/>
      <c r="DR244" s="753"/>
      <c r="DS244" s="756">
        <v>-3.1121495327102804</v>
      </c>
      <c r="DT244" s="756">
        <v>1.7654516640253566</v>
      </c>
      <c r="DU244" s="756">
        <v>1.6940397350993377</v>
      </c>
      <c r="DV244" s="756">
        <v>0.7113985448666128</v>
      </c>
      <c r="DW244" s="756">
        <v>1.0047393364928909</v>
      </c>
      <c r="DX244" s="756">
        <v>1.0347826086956522</v>
      </c>
      <c r="DY244" s="756">
        <v>1.2880434782608696</v>
      </c>
      <c r="DZ244" s="756">
        <v>1.1132852729145211</v>
      </c>
      <c r="EA244" s="756">
        <v>1.225121359223301</v>
      </c>
      <c r="EB244" s="756">
        <v>1.2134433962264151</v>
      </c>
      <c r="EC244" s="753">
        <v>0.78952380952380952</v>
      </c>
      <c r="ED244" s="753">
        <v>0.92785234899328861</v>
      </c>
      <c r="EE244" s="753">
        <v>0.87134268537074144</v>
      </c>
      <c r="EF244" s="753">
        <v>0.75950142776117202</v>
      </c>
      <c r="EG244" s="753">
        <v>0.91545632985184999</v>
      </c>
      <c r="EH244" s="753">
        <v>0.63232525121436012</v>
      </c>
      <c r="EI244" s="753">
        <v>1.0314418410135262</v>
      </c>
      <c r="EJ244" s="753">
        <v>1.0898327198487043</v>
      </c>
      <c r="EK244" s="753">
        <v>0.95755316600453311</v>
      </c>
      <c r="EL244" s="753">
        <v>1.040113417600216</v>
      </c>
      <c r="EM244" s="753">
        <v>0.98843659500647596</v>
      </c>
      <c r="EN244" s="753">
        <v>1.0177029502753865</v>
      </c>
      <c r="EO244" s="753">
        <v>0.94718884115831681</v>
      </c>
      <c r="EP244" s="750"/>
      <c r="EQ244" s="746"/>
    </row>
    <row r="245" spans="1:147" s="766" customFormat="1" ht="15" customHeight="1">
      <c r="A245" s="757"/>
      <c r="B245"/>
      <c r="C245"/>
      <c r="D245"/>
      <c r="E245"/>
      <c r="F245"/>
      <c r="G245"/>
      <c r="H245" s="758"/>
      <c r="I245" s="759" t="s">
        <v>1739</v>
      </c>
      <c r="J245" s="760"/>
      <c r="K245" s="760"/>
      <c r="L245" s="760"/>
      <c r="M245" s="761"/>
      <c r="N245" s="760"/>
      <c r="O245" s="760"/>
      <c r="P245" s="760"/>
      <c r="Q245" s="761"/>
      <c r="R245" s="760"/>
      <c r="S245" s="760"/>
      <c r="T245" s="760"/>
      <c r="U245" s="761"/>
      <c r="V245" s="760"/>
      <c r="W245" s="760"/>
      <c r="X245" s="760"/>
      <c r="Y245" s="761"/>
      <c r="Z245" s="760"/>
      <c r="AA245" s="760"/>
      <c r="AB245" s="760"/>
      <c r="AC245" s="761"/>
      <c r="AD245" s="760"/>
      <c r="AE245" s="760"/>
      <c r="AF245" s="760"/>
      <c r="AG245" s="761"/>
      <c r="AH245" s="760"/>
      <c r="AI245" s="760"/>
      <c r="AJ245" s="760"/>
      <c r="AK245" s="761"/>
      <c r="AL245" s="760"/>
      <c r="AM245" s="760"/>
      <c r="AN245" s="760"/>
      <c r="AO245" s="761"/>
      <c r="AP245" s="760"/>
      <c r="AQ245" s="760"/>
      <c r="AR245" s="760"/>
      <c r="AS245" s="761"/>
      <c r="AT245" s="760">
        <v>0</v>
      </c>
      <c r="AU245" s="760">
        <v>0</v>
      </c>
      <c r="AV245" s="760">
        <v>0</v>
      </c>
      <c r="AW245" s="761">
        <v>0</v>
      </c>
      <c r="AX245" s="760">
        <v>0</v>
      </c>
      <c r="AY245" s="760">
        <v>0</v>
      </c>
      <c r="AZ245" s="760">
        <v>0</v>
      </c>
      <c r="BA245" s="761">
        <v>0</v>
      </c>
      <c r="BB245" s="760">
        <v>8.9717046238785375E-2</v>
      </c>
      <c r="BC245" s="760">
        <v>-8.0279232111692841E-2</v>
      </c>
      <c r="BD245" s="760">
        <v>2.2546419098143235E-2</v>
      </c>
      <c r="BE245" s="761">
        <v>0.5863539445628998</v>
      </c>
      <c r="BF245" s="760">
        <v>0.12286689419795221</v>
      </c>
      <c r="BG245" s="760">
        <v>6.9767441860465115E-2</v>
      </c>
      <c r="BH245" s="760">
        <v>0.12366230677764566</v>
      </c>
      <c r="BI245" s="761">
        <v>0.53676470588235292</v>
      </c>
      <c r="BJ245" s="760">
        <v>0.23262839879154079</v>
      </c>
      <c r="BK245" s="760">
        <v>8.5714285714285715E-2</v>
      </c>
      <c r="BL245" s="760">
        <v>-0.10419681620839363</v>
      </c>
      <c r="BM245" s="761">
        <v>0.56916996047430835</v>
      </c>
      <c r="BN245" s="760">
        <v>8.9108910891089105E-2</v>
      </c>
      <c r="BO245" s="760">
        <v>8.3505154639175252E-2</v>
      </c>
      <c r="BP245" s="760">
        <v>-0.2297476759628154</v>
      </c>
      <c r="BQ245" s="761">
        <v>0.7479365079365079</v>
      </c>
      <c r="BR245" s="760">
        <v>0.14710485133020346</v>
      </c>
      <c r="BS245" s="760">
        <v>0.1024904214559387</v>
      </c>
      <c r="BT245" s="760">
        <v>-0.2292929292929293</v>
      </c>
      <c r="BU245" s="761">
        <v>0.74870657797487061</v>
      </c>
      <c r="BV245" s="760">
        <v>0.19381443298969073</v>
      </c>
      <c r="BW245" s="760">
        <v>0.27707006369426751</v>
      </c>
      <c r="BX245" s="760">
        <v>0.30612244897959184</v>
      </c>
      <c r="BY245" s="761">
        <v>0.40814299900695133</v>
      </c>
      <c r="BZ245" s="760">
        <v>0.22595596755504055</v>
      </c>
      <c r="CA245" s="760">
        <v>0.14347026364193746</v>
      </c>
      <c r="CB245" s="760">
        <v>0.21260815822002471</v>
      </c>
      <c r="CC245" s="761">
        <v>0.53352912383749385</v>
      </c>
      <c r="CD245" s="760">
        <v>0.25343511450381678</v>
      </c>
      <c r="CE245" s="760">
        <v>-1.2797074954296161E-2</v>
      </c>
      <c r="CF245" s="760">
        <v>0.14417989417989419</v>
      </c>
      <c r="CG245" s="761">
        <v>0.40445191096178079</v>
      </c>
      <c r="CH245" s="760">
        <v>0.20547945205479451</v>
      </c>
      <c r="CI245" s="760">
        <v>9.0974212034383953E-2</v>
      </c>
      <c r="CJ245" s="760">
        <v>0.21528861154446177</v>
      </c>
      <c r="CK245" s="761">
        <v>0.44360523665659618</v>
      </c>
      <c r="CL245" s="760">
        <v>7.2147651006711416E-2</v>
      </c>
      <c r="CM245" s="760">
        <v>0.39078674948240166</v>
      </c>
      <c r="CN245" s="760">
        <v>8.8536335721596721E-2</v>
      </c>
      <c r="CO245" s="761">
        <v>0.46290924160795688</v>
      </c>
      <c r="CP245" s="760">
        <v>0.36131868131868133</v>
      </c>
      <c r="CQ245" s="760">
        <v>0.16289198606271776</v>
      </c>
      <c r="CR245" s="760">
        <v>0.24009661835748791</v>
      </c>
      <c r="CS245" s="761">
        <v>0.32929916453846964</v>
      </c>
      <c r="CT245" s="760">
        <v>0.64661567896460859</v>
      </c>
      <c r="CU245" s="760">
        <v>-2.7926147720523042E-2</v>
      </c>
      <c r="CV245" s="760">
        <v>0.15467745182522752</v>
      </c>
      <c r="CW245" s="761">
        <v>0.32631774526902402</v>
      </c>
      <c r="CX245" s="760"/>
      <c r="CY245" s="760"/>
      <c r="CZ245" s="760"/>
      <c r="DA245" s="761"/>
      <c r="DB245" s="760"/>
      <c r="DC245" s="760"/>
      <c r="DD245" s="760"/>
      <c r="DE245" s="761"/>
      <c r="DF245" s="760"/>
      <c r="DG245" s="760"/>
      <c r="DH245" s="760"/>
      <c r="DI245" s="761"/>
      <c r="DJ245" s="762"/>
      <c r="DK245" s="763"/>
      <c r="DL245" s="760"/>
      <c r="DM245" s="760"/>
      <c r="DN245" s="760"/>
      <c r="DO245" s="760"/>
      <c r="DP245" s="760"/>
      <c r="DQ245" s="760"/>
      <c r="DR245" s="760"/>
      <c r="DS245" s="760">
        <v>0.11004626569729015</v>
      </c>
      <c r="DT245" s="760">
        <v>0.26034120121523718</v>
      </c>
      <c r="DU245" s="760">
        <v>0.28760962446593208</v>
      </c>
      <c r="DV245" s="760">
        <v>0.18502943650126155</v>
      </c>
      <c r="DW245" s="760">
        <v>0.26194398682042835</v>
      </c>
      <c r="DX245" s="760">
        <v>0.25965524765437487</v>
      </c>
      <c r="DY245" s="760">
        <v>0.26876842821501473</v>
      </c>
      <c r="DZ245" s="760">
        <v>0.23172561629153268</v>
      </c>
      <c r="EA245" s="760">
        <v>0.30558498562131076</v>
      </c>
      <c r="EB245" s="760">
        <v>0.29324593901396412</v>
      </c>
      <c r="EC245" s="760">
        <v>0.22109614615282039</v>
      </c>
      <c r="ED245" s="760">
        <v>0.25566343042071199</v>
      </c>
      <c r="EE245" s="760">
        <v>0.26882651168542104</v>
      </c>
      <c r="EF245" s="760">
        <v>0.27708122412967939</v>
      </c>
      <c r="EG245" s="760">
        <v>0.28050723287450885</v>
      </c>
      <c r="EH245" s="760">
        <v>0.20815392515774192</v>
      </c>
      <c r="EI245" s="760">
        <v>0.340039273053103</v>
      </c>
      <c r="EJ245" s="760">
        <v>0.34401757684805445</v>
      </c>
      <c r="EK245" s="760">
        <v>0.4021479735619925</v>
      </c>
      <c r="EL245" s="760">
        <v>0.4246019502900093</v>
      </c>
      <c r="EM245" s="760">
        <v>0.40948728019293973</v>
      </c>
      <c r="EN245" s="760">
        <v>0.41568990924925103</v>
      </c>
      <c r="EO245" s="760">
        <v>0.41070095341718116</v>
      </c>
      <c r="EP245" s="764"/>
      <c r="EQ245" s="765"/>
    </row>
    <row r="246" spans="1:147" ht="15" customHeight="1">
      <c r="A246" s="473"/>
      <c r="H246" s="474"/>
      <c r="I246" s="767"/>
      <c r="J246" s="768"/>
      <c r="K246" s="768"/>
      <c r="L246" s="768"/>
      <c r="M246" s="768"/>
      <c r="N246" s="768"/>
      <c r="O246" s="768"/>
      <c r="P246" s="768"/>
      <c r="Q246" s="768"/>
      <c r="R246" s="768"/>
      <c r="S246" s="768"/>
      <c r="T246" s="768"/>
      <c r="U246" s="768"/>
      <c r="V246" s="768"/>
      <c r="W246" s="768"/>
      <c r="X246" s="768"/>
      <c r="Y246" s="768"/>
      <c r="Z246" s="768"/>
      <c r="AA246" s="768"/>
      <c r="AB246" s="768"/>
      <c r="AC246" s="768"/>
      <c r="AD246" s="768"/>
      <c r="AE246" s="768"/>
      <c r="AF246" s="768"/>
      <c r="AG246" s="768"/>
      <c r="AH246" s="768"/>
      <c r="AI246" s="768"/>
      <c r="AJ246" s="768"/>
      <c r="AK246" s="768"/>
      <c r="AL246" s="768"/>
      <c r="AM246" s="768"/>
      <c r="AN246" s="768"/>
      <c r="AO246" s="768"/>
      <c r="AP246" s="768"/>
      <c r="AQ246" s="768"/>
      <c r="AR246" s="768"/>
      <c r="AS246" s="768"/>
      <c r="AT246" s="768"/>
      <c r="AU246" s="768"/>
      <c r="AV246" s="768"/>
      <c r="AW246" s="768"/>
      <c r="AX246" s="768"/>
      <c r="AY246" s="768"/>
      <c r="AZ246" s="768"/>
      <c r="BA246" s="768"/>
      <c r="BB246" s="768"/>
      <c r="BC246" s="768"/>
      <c r="BD246" s="768"/>
      <c r="BE246" s="768"/>
      <c r="BF246" s="768"/>
      <c r="BG246" s="768"/>
      <c r="BH246" s="768"/>
      <c r="BI246" s="768"/>
      <c r="BJ246" s="768"/>
      <c r="BK246" s="768"/>
      <c r="BL246" s="768"/>
      <c r="BM246" s="768"/>
      <c r="BN246" s="768"/>
      <c r="BO246" s="768"/>
      <c r="BP246" s="768"/>
      <c r="BQ246" s="768"/>
      <c r="BR246" s="768"/>
      <c r="BS246" s="768"/>
      <c r="BT246" s="768"/>
      <c r="BU246" s="768"/>
      <c r="BV246" s="768"/>
      <c r="BW246" s="768"/>
      <c r="BX246" s="768"/>
      <c r="BY246" s="768"/>
      <c r="BZ246" s="768"/>
      <c r="CA246" s="768"/>
      <c r="CB246" s="768"/>
      <c r="CC246" s="768"/>
      <c r="CD246" s="768"/>
      <c r="CE246" s="768"/>
      <c r="CF246" s="768"/>
      <c r="CG246" s="768"/>
      <c r="CH246" s="768"/>
      <c r="CI246" s="768"/>
      <c r="CJ246" s="768"/>
      <c r="CK246" s="768"/>
      <c r="CL246" s="768"/>
      <c r="CM246" s="768"/>
      <c r="CN246" s="768"/>
      <c r="CO246" s="768"/>
      <c r="CP246" s="768"/>
      <c r="CQ246" s="768"/>
      <c r="CR246" s="768"/>
      <c r="CS246" s="768"/>
      <c r="CT246" s="768"/>
      <c r="CU246" s="768"/>
      <c r="CV246" s="768"/>
      <c r="CW246" s="768"/>
      <c r="CX246" s="768"/>
      <c r="CY246" s="768"/>
      <c r="CZ246" s="768"/>
      <c r="DA246" s="768"/>
      <c r="DB246" s="768"/>
      <c r="DC246" s="768"/>
      <c r="DD246" s="768"/>
      <c r="DE246" s="768"/>
      <c r="DF246" s="768"/>
      <c r="DG246" s="768"/>
      <c r="DH246" s="768"/>
      <c r="DI246" s="768"/>
      <c r="DJ246" s="386"/>
      <c r="DK246" s="768"/>
      <c r="DL246" s="768"/>
      <c r="DM246" s="768"/>
      <c r="DN246" s="768"/>
      <c r="DO246" s="768"/>
      <c r="DP246" s="768"/>
      <c r="DQ246" s="768"/>
      <c r="DR246" s="768"/>
      <c r="DS246" s="768"/>
      <c r="DT246" s="768"/>
      <c r="DU246" s="768"/>
      <c r="DV246" s="768"/>
      <c r="DW246" s="768"/>
      <c r="DX246" s="768"/>
      <c r="DY246" s="768"/>
      <c r="DZ246" s="768"/>
      <c r="EA246" s="768"/>
      <c r="EB246" s="768"/>
      <c r="EC246" s="768"/>
      <c r="ED246" s="768"/>
      <c r="EE246" s="768"/>
      <c r="EF246" s="768"/>
      <c r="EG246" s="768"/>
      <c r="EH246" s="768"/>
      <c r="EI246" s="768"/>
      <c r="EJ246" s="768"/>
      <c r="EK246" s="768"/>
      <c r="EL246" s="768"/>
      <c r="EM246" s="768"/>
      <c r="EN246" s="768"/>
      <c r="EO246" s="768"/>
      <c r="EP246" s="356"/>
      <c r="EQ246" s="356"/>
    </row>
    <row r="247" spans="1:147" s="589" customFormat="1" ht="12.95">
      <c r="A247"/>
      <c r="B247"/>
      <c r="C247"/>
      <c r="D247"/>
      <c r="E247"/>
      <c r="F247"/>
      <c r="G247"/>
      <c r="I247" s="769" t="s">
        <v>1740</v>
      </c>
      <c r="J247" s="357"/>
      <c r="K247" s="357"/>
      <c r="L247" s="357"/>
      <c r="M247" s="357"/>
      <c r="N247" s="357"/>
      <c r="O247" s="357"/>
      <c r="P247" s="357"/>
      <c r="Q247" s="357"/>
      <c r="R247" s="357"/>
      <c r="S247" s="357"/>
      <c r="T247" s="357"/>
      <c r="U247" s="357"/>
      <c r="V247" s="357"/>
      <c r="W247" s="357"/>
      <c r="X247" s="357"/>
      <c r="Y247" s="357"/>
      <c r="Z247" s="357"/>
      <c r="AA247" s="357"/>
      <c r="AB247" s="357"/>
      <c r="AC247" s="357"/>
      <c r="AD247" s="357"/>
      <c r="AE247" s="357"/>
      <c r="AF247" s="357"/>
      <c r="AG247" s="357"/>
      <c r="AH247" s="357"/>
      <c r="AI247" s="357"/>
      <c r="AJ247" s="357"/>
      <c r="AK247" s="357"/>
      <c r="AL247" s="357"/>
      <c r="AM247" s="357"/>
      <c r="AN247" s="357"/>
      <c r="AO247" s="357"/>
      <c r="AP247" s="357"/>
      <c r="AQ247" s="357"/>
      <c r="AR247" s="357"/>
      <c r="AS247" s="357"/>
      <c r="AT247" s="357"/>
      <c r="AU247" s="357"/>
      <c r="AV247" s="357"/>
      <c r="AW247" s="357"/>
      <c r="AX247" s="357"/>
      <c r="AY247" s="357"/>
      <c r="AZ247" s="357"/>
      <c r="BA247" s="357"/>
      <c r="BB247" s="357"/>
      <c r="BC247" s="357"/>
      <c r="BD247" s="357"/>
      <c r="BE247" s="357"/>
      <c r="BF247" s="357"/>
      <c r="BG247" s="357"/>
      <c r="BH247" s="357"/>
      <c r="BI247" s="357"/>
      <c r="BJ247" s="357"/>
      <c r="BK247" s="357"/>
      <c r="BL247" s="357"/>
      <c r="BM247" s="357"/>
      <c r="BN247" s="357"/>
      <c r="BO247" s="357"/>
      <c r="BP247" s="357"/>
      <c r="BQ247" s="357"/>
      <c r="BR247" s="357"/>
      <c r="BS247" s="357"/>
      <c r="BT247" s="357"/>
      <c r="BU247" s="357"/>
      <c r="BV247" s="357"/>
      <c r="BW247" s="357"/>
      <c r="BX247" s="357"/>
      <c r="BY247" s="357"/>
      <c r="BZ247" s="357"/>
      <c r="CA247" s="357"/>
      <c r="CB247" s="357"/>
      <c r="CC247" s="357"/>
      <c r="CD247" s="357"/>
      <c r="CE247" s="357"/>
      <c r="CF247" s="357"/>
      <c r="CG247" s="357"/>
      <c r="CH247" s="357"/>
      <c r="CI247" s="357"/>
      <c r="CJ247" s="357"/>
      <c r="CK247" s="357"/>
      <c r="CL247" s="357"/>
      <c r="CM247" s="357"/>
      <c r="CN247" s="357"/>
      <c r="CO247" s="357"/>
      <c r="CP247" s="357"/>
      <c r="CQ247" s="357"/>
      <c r="CR247" s="357"/>
      <c r="CS247" s="357"/>
      <c r="CT247" s="357"/>
      <c r="CU247" s="357"/>
      <c r="CV247" s="357"/>
      <c r="CW247" s="357"/>
      <c r="CX247" s="357"/>
      <c r="CY247" s="357"/>
      <c r="CZ247" s="357"/>
      <c r="DA247" s="357"/>
      <c r="DB247" s="357"/>
      <c r="DC247" s="357"/>
      <c r="DD247" s="357"/>
      <c r="DE247" s="357"/>
      <c r="DF247" s="357"/>
      <c r="DG247" s="357"/>
      <c r="DH247" s="357"/>
      <c r="DI247" s="357"/>
      <c r="DJ247" s="357"/>
      <c r="DK247" s="357"/>
      <c r="DL247" s="357"/>
      <c r="DM247" s="357"/>
      <c r="DN247" s="357"/>
      <c r="DO247" s="357"/>
      <c r="DP247" s="357"/>
      <c r="DQ247" s="357"/>
      <c r="DR247" s="357"/>
      <c r="DS247" s="357"/>
      <c r="DT247" s="356"/>
      <c r="DU247" s="356"/>
      <c r="DV247" s="356"/>
      <c r="DW247" s="356"/>
      <c r="DX247" s="356"/>
      <c r="DY247" s="356"/>
      <c r="DZ247" s="356"/>
      <c r="EA247" s="356"/>
      <c r="EB247" s="357"/>
      <c r="EC247" s="357"/>
      <c r="ED247" s="357"/>
      <c r="EE247" s="357"/>
      <c r="EF247" s="357"/>
      <c r="EG247" s="357"/>
      <c r="EH247" s="357"/>
      <c r="EI247" s="357"/>
      <c r="EJ247" s="357"/>
      <c r="EK247" s="357"/>
      <c r="EL247" s="357"/>
      <c r="EM247" s="357"/>
      <c r="EN247" s="357"/>
      <c r="EO247" s="357"/>
      <c r="EP247" s="357"/>
      <c r="EQ247" s="357"/>
    </row>
    <row r="248" spans="1:147" s="357" customFormat="1">
      <c r="A248"/>
      <c r="B248"/>
      <c r="C248"/>
      <c r="D248"/>
      <c r="E248"/>
      <c r="F248"/>
      <c r="G248"/>
      <c r="I248" s="770" t="s">
        <v>1741</v>
      </c>
      <c r="J248" s="771"/>
      <c r="K248" s="771"/>
      <c r="L248" s="771"/>
      <c r="M248" s="771"/>
      <c r="N248" s="771"/>
      <c r="O248" s="771"/>
      <c r="P248" s="771"/>
      <c r="Q248" s="771"/>
      <c r="R248" s="771"/>
      <c r="S248" s="771"/>
      <c r="T248" s="771"/>
      <c r="U248" s="771"/>
      <c r="V248" s="771"/>
      <c r="W248" s="771"/>
      <c r="X248" s="771"/>
      <c r="Y248" s="771"/>
      <c r="Z248" s="771"/>
      <c r="AA248" s="771"/>
      <c r="AB248" s="771"/>
      <c r="AC248" s="771"/>
      <c r="AD248" s="771"/>
      <c r="AE248" s="771"/>
      <c r="AF248" s="771"/>
      <c r="AG248" s="771"/>
      <c r="AH248" s="771"/>
      <c r="AI248" s="771"/>
      <c r="AJ248" s="771"/>
      <c r="AK248" s="771"/>
      <c r="AL248" s="771"/>
      <c r="AM248" s="771"/>
      <c r="AN248" s="771"/>
      <c r="AO248" s="771"/>
      <c r="AP248" s="771"/>
      <c r="AQ248" s="771"/>
      <c r="AR248" s="771"/>
      <c r="AS248" s="771"/>
      <c r="AT248" s="771" t="s">
        <v>1742</v>
      </c>
      <c r="AU248" s="771" t="s">
        <v>1742</v>
      </c>
      <c r="AV248" s="771" t="s">
        <v>1742</v>
      </c>
      <c r="AW248" s="771" t="s">
        <v>1742</v>
      </c>
      <c r="AX248" s="771" t="s">
        <v>1742</v>
      </c>
      <c r="AY248" s="771" t="s">
        <v>1742</v>
      </c>
      <c r="AZ248" s="771" t="s">
        <v>1742</v>
      </c>
      <c r="BA248" s="771" t="s">
        <v>1742</v>
      </c>
      <c r="BB248" s="771" t="s">
        <v>1742</v>
      </c>
      <c r="BC248" s="771" t="s">
        <v>1742</v>
      </c>
      <c r="BD248" s="771" t="s">
        <v>1742</v>
      </c>
      <c r="BE248" s="771" t="s">
        <v>1742</v>
      </c>
      <c r="BF248" s="771" t="s">
        <v>1742</v>
      </c>
      <c r="BG248" s="771" t="s">
        <v>1742</v>
      </c>
      <c r="BH248" s="771" t="s">
        <v>1742</v>
      </c>
      <c r="BI248" s="771" t="s">
        <v>1742</v>
      </c>
      <c r="BJ248" s="771" t="s">
        <v>1742</v>
      </c>
      <c r="BK248" s="771" t="s">
        <v>1742</v>
      </c>
      <c r="BL248" s="771" t="s">
        <v>1742</v>
      </c>
      <c r="BM248" s="771" t="s">
        <v>1742</v>
      </c>
      <c r="BN248" s="771" t="s">
        <v>1742</v>
      </c>
      <c r="BO248" s="771" t="s">
        <v>1742</v>
      </c>
      <c r="BP248" s="771" t="s">
        <v>1742</v>
      </c>
      <c r="BQ248" s="771" t="s">
        <v>1742</v>
      </c>
      <c r="BR248" s="771" t="s">
        <v>1742</v>
      </c>
      <c r="BS248" s="771" t="s">
        <v>1742</v>
      </c>
      <c r="BT248" s="771" t="s">
        <v>1742</v>
      </c>
      <c r="BU248" s="771" t="s">
        <v>1742</v>
      </c>
      <c r="BV248" s="771" t="s">
        <v>1742</v>
      </c>
      <c r="BW248" s="771" t="s">
        <v>1742</v>
      </c>
      <c r="BX248" s="771" t="s">
        <v>1742</v>
      </c>
      <c r="BY248" s="771" t="s">
        <v>1742</v>
      </c>
      <c r="BZ248" s="771" t="s">
        <v>1742</v>
      </c>
      <c r="CA248" s="771" t="s">
        <v>1742</v>
      </c>
      <c r="CB248" s="771" t="s">
        <v>1742</v>
      </c>
      <c r="CC248" s="771" t="s">
        <v>1742</v>
      </c>
      <c r="CD248" s="771" t="s">
        <v>1742</v>
      </c>
      <c r="CE248" s="771" t="s">
        <v>1742</v>
      </c>
      <c r="CF248" s="771" t="s">
        <v>1742</v>
      </c>
      <c r="CG248" s="771" t="s">
        <v>1742</v>
      </c>
      <c r="CH248" s="771" t="s">
        <v>1742</v>
      </c>
      <c r="CI248" s="771" t="s">
        <v>1742</v>
      </c>
      <c r="CJ248" s="771" t="s">
        <v>1742</v>
      </c>
      <c r="CK248" s="771" t="s">
        <v>1742</v>
      </c>
      <c r="CL248" s="771" t="s">
        <v>1742</v>
      </c>
      <c r="CM248" s="771" t="s">
        <v>1742</v>
      </c>
      <c r="CN248" s="771" t="s">
        <v>1742</v>
      </c>
      <c r="CO248" s="771" t="s">
        <v>1742</v>
      </c>
      <c r="CP248" s="771" t="s">
        <v>1742</v>
      </c>
      <c r="CQ248" s="771" t="s">
        <v>1742</v>
      </c>
      <c r="CR248" s="771" t="s">
        <v>1742</v>
      </c>
      <c r="CS248" s="771" t="s">
        <v>1742</v>
      </c>
      <c r="CT248" s="771" t="s">
        <v>1742</v>
      </c>
      <c r="CU248" s="771" t="s">
        <v>1742</v>
      </c>
      <c r="CV248" s="771" t="s">
        <v>1742</v>
      </c>
      <c r="CW248" s="771" t="s">
        <v>1742</v>
      </c>
      <c r="CX248" s="771"/>
      <c r="CY248" s="771"/>
      <c r="CZ248" s="771"/>
      <c r="DA248" s="771"/>
      <c r="DB248" s="771"/>
      <c r="DC248" s="771"/>
      <c r="DD248" s="771"/>
      <c r="DE248" s="771"/>
      <c r="DF248" s="771"/>
      <c r="DG248" s="771"/>
      <c r="DH248" s="771"/>
      <c r="DI248" s="771"/>
      <c r="DJ248" s="771"/>
      <c r="DK248" s="771"/>
      <c r="DL248" s="771"/>
      <c r="DM248" s="771"/>
      <c r="DN248" s="771"/>
      <c r="DO248" s="771"/>
      <c r="DP248" s="771"/>
      <c r="DQ248" s="771"/>
      <c r="DR248" s="771"/>
      <c r="DS248" s="356" t="s">
        <v>1742</v>
      </c>
      <c r="DT248" s="356" t="s">
        <v>1742</v>
      </c>
      <c r="DU248" s="356" t="s">
        <v>1742</v>
      </c>
      <c r="DV248" s="356" t="s">
        <v>1742</v>
      </c>
      <c r="DW248" s="356" t="s">
        <v>1742</v>
      </c>
      <c r="DX248" s="356" t="s">
        <v>1742</v>
      </c>
      <c r="DY248" s="356" t="s">
        <v>1742</v>
      </c>
      <c r="DZ248" s="356" t="s">
        <v>1742</v>
      </c>
      <c r="EA248" s="356" t="s">
        <v>1742</v>
      </c>
      <c r="EB248" s="771" t="s">
        <v>1742</v>
      </c>
      <c r="EC248" s="771" t="s">
        <v>1742</v>
      </c>
      <c r="ED248" s="771" t="s">
        <v>1742</v>
      </c>
      <c r="EE248" s="771" t="s">
        <v>1742</v>
      </c>
      <c r="EF248" s="771" t="s">
        <v>1742</v>
      </c>
      <c r="EG248" s="771" t="s">
        <v>1742</v>
      </c>
      <c r="EH248" s="771" t="s">
        <v>1742</v>
      </c>
      <c r="EI248" s="771" t="s">
        <v>1742</v>
      </c>
      <c r="EJ248" s="771" t="s">
        <v>1742</v>
      </c>
      <c r="EK248" s="771" t="s">
        <v>1742</v>
      </c>
      <c r="EL248" s="771" t="s">
        <v>1742</v>
      </c>
      <c r="EM248" s="771" t="s">
        <v>1742</v>
      </c>
      <c r="EN248" s="771" t="s">
        <v>1742</v>
      </c>
      <c r="EO248" s="771" t="s">
        <v>1742</v>
      </c>
    </row>
    <row r="249" spans="1:147" s="596" customFormat="1">
      <c r="A249" s="546"/>
      <c r="B249"/>
      <c r="C249"/>
      <c r="D249"/>
      <c r="E249"/>
      <c r="F249"/>
      <c r="G249"/>
      <c r="I249" s="596" t="s">
        <v>1743</v>
      </c>
      <c r="J249" s="409"/>
      <c r="K249" s="409"/>
      <c r="L249" s="409"/>
      <c r="M249" s="409"/>
      <c r="N249" s="409"/>
      <c r="O249" s="409"/>
      <c r="P249" s="409"/>
      <c r="Q249" s="409"/>
      <c r="R249" s="409"/>
      <c r="S249" s="409"/>
      <c r="T249" s="409"/>
      <c r="U249" s="409"/>
      <c r="V249" s="409"/>
      <c r="W249" s="409"/>
      <c r="X249" s="409"/>
      <c r="Y249" s="409"/>
      <c r="Z249" s="409"/>
      <c r="AA249" s="409"/>
      <c r="AB249" s="409"/>
      <c r="AC249" s="409"/>
      <c r="AD249" s="409"/>
      <c r="AE249" s="409"/>
      <c r="AF249" s="409"/>
      <c r="AG249" s="409"/>
      <c r="AH249" s="409"/>
      <c r="AI249" s="409"/>
      <c r="AJ249" s="409"/>
      <c r="AK249" s="409"/>
      <c r="AL249" s="409"/>
      <c r="AM249" s="409"/>
      <c r="AN249" s="409"/>
      <c r="AO249" s="409"/>
      <c r="AP249" s="409"/>
      <c r="AQ249" s="409"/>
      <c r="AR249" s="409"/>
      <c r="AS249" s="409"/>
      <c r="AT249" s="409">
        <v>0</v>
      </c>
      <c r="AU249" s="409">
        <v>0</v>
      </c>
      <c r="AV249" s="409">
        <v>0</v>
      </c>
      <c r="AW249" s="409">
        <v>0</v>
      </c>
      <c r="AX249" s="409">
        <v>0</v>
      </c>
      <c r="AY249" s="409">
        <v>0</v>
      </c>
      <c r="AZ249" s="409">
        <v>0</v>
      </c>
      <c r="BA249" s="409">
        <v>0</v>
      </c>
      <c r="BB249" s="409">
        <v>1153.373675</v>
      </c>
      <c r="BC249" s="409">
        <v>1142.158668</v>
      </c>
      <c r="BD249" s="409">
        <v>1142.796893</v>
      </c>
      <c r="BE249" s="409">
        <v>1133.3913709999999</v>
      </c>
      <c r="BF249" s="409">
        <v>1114.117148</v>
      </c>
      <c r="BG249" s="409">
        <v>1110.8701410000001</v>
      </c>
      <c r="BH249" s="409">
        <v>1112.1574840000001</v>
      </c>
      <c r="BI249" s="409">
        <v>1111.6060869999999</v>
      </c>
      <c r="BJ249" s="409">
        <v>1116.913935</v>
      </c>
      <c r="BK249" s="409">
        <v>1119.0154809999999</v>
      </c>
      <c r="BL249" s="409">
        <v>1123.569395</v>
      </c>
      <c r="BM249" s="409">
        <v>703.70895300000007</v>
      </c>
      <c r="BN249" s="409">
        <v>714.77048500000001</v>
      </c>
      <c r="BO249" s="409">
        <v>716.70159600000011</v>
      </c>
      <c r="BP249" s="409">
        <v>718.95911799999999</v>
      </c>
      <c r="BQ249" s="409">
        <v>721.92945499999996</v>
      </c>
      <c r="BR249" s="409">
        <v>725.90438700000004</v>
      </c>
      <c r="BS249" s="409">
        <v>728.87000699999999</v>
      </c>
      <c r="BT249" s="409">
        <v>730.9437539999999</v>
      </c>
      <c r="BU249" s="409">
        <v>734.99811499999998</v>
      </c>
      <c r="BV249" s="409">
        <v>738.22764099999995</v>
      </c>
      <c r="BW249" s="409">
        <v>741.46706200000006</v>
      </c>
      <c r="BX249" s="409">
        <v>743.21337100000005</v>
      </c>
      <c r="BY249" s="409">
        <v>751.84695799999997</v>
      </c>
      <c r="BZ249" s="409">
        <v>753.66240700000003</v>
      </c>
      <c r="CA249" s="409">
        <v>754.92117399999995</v>
      </c>
      <c r="CB249" s="409">
        <v>756.09945500000003</v>
      </c>
      <c r="CC249" s="409">
        <v>758.631663</v>
      </c>
      <c r="CD249" s="409">
        <v>761.22671500000001</v>
      </c>
      <c r="CE249" s="409">
        <v>762.40858700000001</v>
      </c>
      <c r="CF249" s="409">
        <v>762.40858700000001</v>
      </c>
      <c r="CG249" s="409">
        <v>763</v>
      </c>
      <c r="CH249" s="409">
        <v>764</v>
      </c>
      <c r="CI249" s="409">
        <v>766</v>
      </c>
      <c r="CJ249" s="409">
        <v>767</v>
      </c>
      <c r="CK249" s="409">
        <v>767</v>
      </c>
      <c r="CL249" s="409">
        <v>769</v>
      </c>
      <c r="CM249" s="409">
        <v>771</v>
      </c>
      <c r="CN249" s="409">
        <v>772</v>
      </c>
      <c r="CO249" s="409">
        <v>767</v>
      </c>
      <c r="CP249" s="409">
        <v>775</v>
      </c>
      <c r="CQ249" s="409">
        <v>777</v>
      </c>
      <c r="CR249" s="409">
        <v>778</v>
      </c>
      <c r="CS249" s="409">
        <v>778.93169988384034</v>
      </c>
      <c r="CT249" s="409">
        <v>780.56001796786677</v>
      </c>
      <c r="CU249" s="409">
        <v>780.98936355048352</v>
      </c>
      <c r="CV249" s="409">
        <v>781.58105427588123</v>
      </c>
      <c r="CW249" s="409">
        <v>782.30012286577437</v>
      </c>
      <c r="CX249" s="409"/>
      <c r="CY249" s="409"/>
      <c r="CZ249" s="409"/>
      <c r="DA249" s="409"/>
      <c r="DB249" s="409"/>
      <c r="DC249" s="409"/>
      <c r="DD249" s="409"/>
      <c r="DE249" s="409"/>
      <c r="DF249" s="409"/>
      <c r="DG249" s="409"/>
      <c r="DH249" s="409"/>
      <c r="DI249" s="409"/>
      <c r="DJ249" s="409"/>
      <c r="DK249" s="409"/>
      <c r="DL249" s="409"/>
      <c r="DM249" s="409"/>
      <c r="DN249" s="409"/>
      <c r="DO249" s="409"/>
      <c r="DP249" s="409"/>
      <c r="DQ249" s="409"/>
      <c r="DR249" s="409"/>
      <c r="DS249" s="386">
        <v>0</v>
      </c>
      <c r="DT249" s="386">
        <v>0</v>
      </c>
      <c r="DU249" s="386">
        <v>1116.913935</v>
      </c>
      <c r="DV249" s="386">
        <v>1119.0154809999999</v>
      </c>
      <c r="DW249" s="386">
        <v>1123.569395</v>
      </c>
      <c r="DX249" s="386">
        <v>703.70895300000007</v>
      </c>
      <c r="DY249" s="386">
        <v>721.92945499999996</v>
      </c>
      <c r="DZ249" s="386">
        <v>734.99811499999998</v>
      </c>
      <c r="EA249" s="386">
        <v>751.84695799999997</v>
      </c>
      <c r="EB249" s="409">
        <v>758.631663</v>
      </c>
      <c r="EC249" s="409">
        <v>763</v>
      </c>
      <c r="ED249" s="409">
        <v>767</v>
      </c>
      <c r="EE249" s="409">
        <v>767</v>
      </c>
      <c r="EF249" s="409">
        <v>778.93169988384034</v>
      </c>
      <c r="EG249" s="409">
        <v>782.30012286577437</v>
      </c>
      <c r="EH249" s="409">
        <v>787.77622372583471</v>
      </c>
      <c r="EI249" s="409">
        <v>793.29065729191552</v>
      </c>
      <c r="EJ249" s="409">
        <v>798.84369189295887</v>
      </c>
      <c r="EK249" s="409">
        <v>804.4355977362095</v>
      </c>
      <c r="EL249" s="409">
        <v>810.06664692036293</v>
      </c>
      <c r="EM249" s="409">
        <v>815.73711344880542</v>
      </c>
      <c r="EN249" s="409">
        <v>821.44727324294695</v>
      </c>
      <c r="EO249" s="409">
        <v>827.19740415564752</v>
      </c>
      <c r="EP249" s="409"/>
      <c r="EQ249" s="409"/>
    </row>
    <row r="250" spans="1:147" s="635" customFormat="1">
      <c r="A250" s="624"/>
      <c r="B250"/>
      <c r="C250"/>
      <c r="D250"/>
      <c r="E250"/>
      <c r="F250"/>
      <c r="G250"/>
      <c r="H250" s="625"/>
      <c r="I250" s="635" t="s">
        <v>1744</v>
      </c>
      <c r="J250" s="634"/>
      <c r="K250" s="634"/>
      <c r="L250" s="634"/>
      <c r="M250" s="634"/>
      <c r="N250" s="634"/>
      <c r="O250" s="634"/>
      <c r="P250" s="634"/>
      <c r="Q250" s="634"/>
      <c r="R250" s="634"/>
      <c r="S250" s="634"/>
      <c r="T250" s="634"/>
      <c r="U250" s="634"/>
      <c r="V250" s="634"/>
      <c r="W250" s="634"/>
      <c r="X250" s="634"/>
      <c r="Y250" s="634"/>
      <c r="Z250" s="634"/>
      <c r="AA250" s="634"/>
      <c r="AB250" s="634"/>
      <c r="AC250" s="634"/>
      <c r="AD250" s="634"/>
      <c r="AE250" s="634"/>
      <c r="AF250" s="634"/>
      <c r="AG250" s="634"/>
      <c r="AH250" s="634"/>
      <c r="AI250" s="634"/>
      <c r="AJ250" s="634"/>
      <c r="AK250" s="634"/>
      <c r="AL250" s="634"/>
      <c r="AM250" s="634"/>
      <c r="AN250" s="634"/>
      <c r="AO250" s="634"/>
      <c r="AP250" s="634"/>
      <c r="AQ250" s="634"/>
      <c r="AR250" s="634"/>
      <c r="AS250" s="634"/>
      <c r="AT250" s="634">
        <v>0.34</v>
      </c>
      <c r="AU250" s="634">
        <v>0.34</v>
      </c>
      <c r="AV250" s="634">
        <v>0.34</v>
      </c>
      <c r="AW250" s="634">
        <v>0.34</v>
      </c>
      <c r="AX250" s="634">
        <v>0.39400000000000002</v>
      </c>
      <c r="AY250" s="634">
        <v>0.39400000000000002</v>
      </c>
      <c r="AZ250" s="634">
        <v>0.39400000000000002</v>
      </c>
      <c r="BA250" s="634">
        <v>0.39400000000000002</v>
      </c>
      <c r="BB250" s="634">
        <v>0.36199999999999999</v>
      </c>
      <c r="BC250" s="634">
        <v>0.36199999999999999</v>
      </c>
      <c r="BD250" s="634">
        <v>0.36199999999999999</v>
      </c>
      <c r="BE250" s="634">
        <v>0.36199999999999999</v>
      </c>
      <c r="BF250" s="634">
        <v>0.36299999999999999</v>
      </c>
      <c r="BG250" s="634">
        <v>0.36299999999999999</v>
      </c>
      <c r="BH250" s="634">
        <v>0.36299999999999999</v>
      </c>
      <c r="BI250" s="634">
        <v>0.36299999999999999</v>
      </c>
      <c r="BJ250" s="634">
        <v>0.37</v>
      </c>
      <c r="BK250" s="634">
        <v>0.37</v>
      </c>
      <c r="BL250" s="634">
        <v>0.37</v>
      </c>
      <c r="BM250" s="634">
        <v>0.37</v>
      </c>
      <c r="BN250" s="634">
        <v>0.36899999999999999</v>
      </c>
      <c r="BO250" s="634">
        <v>0.36899999999999999</v>
      </c>
      <c r="BP250" s="634">
        <v>0.36899999999999999</v>
      </c>
      <c r="BQ250" s="634">
        <v>0.36899999999999999</v>
      </c>
      <c r="BR250" s="634">
        <v>0.36899999999999999</v>
      </c>
      <c r="BS250" s="634">
        <v>0.36899999999999999</v>
      </c>
      <c r="BT250" s="634">
        <v>0.36899999999999999</v>
      </c>
      <c r="BU250" s="634">
        <v>0.36899999999999999</v>
      </c>
      <c r="BV250" s="634">
        <v>0.36899999999999999</v>
      </c>
      <c r="BW250" s="634">
        <v>0.36899999999999999</v>
      </c>
      <c r="BX250" s="634">
        <v>0.36899999999999999</v>
      </c>
      <c r="BY250" s="634">
        <v>0.36899999999999999</v>
      </c>
      <c r="BZ250" s="634">
        <v>0.36899999999999999</v>
      </c>
      <c r="CA250" s="634">
        <v>0.36899999999999999</v>
      </c>
      <c r="CB250" s="634">
        <v>0.36899999999999999</v>
      </c>
      <c r="CC250" s="634">
        <v>0.36899999999999999</v>
      </c>
      <c r="CD250" s="634">
        <v>0.36899999999999999</v>
      </c>
      <c r="CE250" s="634">
        <v>0.36899999999999999</v>
      </c>
      <c r="CF250" s="634">
        <v>0.36899999999999999</v>
      </c>
      <c r="CG250" s="634">
        <v>0.36899999999999999</v>
      </c>
      <c r="CH250" s="627">
        <v>0.36899999999999999</v>
      </c>
      <c r="CI250" s="627">
        <v>0.36899999999999999</v>
      </c>
      <c r="CJ250" s="627">
        <v>0.36899999999999999</v>
      </c>
      <c r="CK250" s="627">
        <v>0.36899999999999999</v>
      </c>
      <c r="CL250" s="627">
        <v>0.36899999999999999</v>
      </c>
      <c r="CM250" s="627">
        <v>0.36899999999999999</v>
      </c>
      <c r="CN250" s="627">
        <v>0.36899999999999999</v>
      </c>
      <c r="CO250" s="627">
        <v>0.36899999999999999</v>
      </c>
      <c r="CP250" s="627">
        <v>0.36899999999999999</v>
      </c>
      <c r="CQ250" s="627">
        <v>0.36899999999999999</v>
      </c>
      <c r="CR250" s="627">
        <v>0.36899999999999999</v>
      </c>
      <c r="CS250" s="627">
        <v>0.36899999999999999</v>
      </c>
      <c r="CT250" s="627">
        <v>0.36899999999999999</v>
      </c>
      <c r="CU250" s="627">
        <v>0.36899999999999999</v>
      </c>
      <c r="CV250" s="627">
        <v>0.36899999999999999</v>
      </c>
      <c r="CW250" s="627">
        <v>0.36899999999999999</v>
      </c>
      <c r="CX250" s="627"/>
      <c r="CY250" s="627"/>
      <c r="CZ250" s="627"/>
      <c r="DA250" s="627"/>
      <c r="DB250" s="627"/>
      <c r="DC250" s="627"/>
      <c r="DD250" s="627"/>
      <c r="DE250" s="627"/>
      <c r="DF250" s="627"/>
      <c r="DG250" s="627"/>
      <c r="DH250" s="627"/>
      <c r="DI250" s="627"/>
      <c r="DJ250" s="627"/>
      <c r="DK250" s="772"/>
      <c r="DL250" s="772"/>
      <c r="DM250" s="772"/>
      <c r="DN250" s="772"/>
      <c r="DO250" s="772"/>
      <c r="DP250" s="772"/>
      <c r="DQ250" s="772"/>
      <c r="DR250" s="772"/>
      <c r="DS250" s="773">
        <v>0.34</v>
      </c>
      <c r="DT250" s="773">
        <v>0.34</v>
      </c>
      <c r="DU250" s="773">
        <v>0.39400000000000002</v>
      </c>
      <c r="DV250" s="773">
        <v>0.36199999999999999</v>
      </c>
      <c r="DW250" s="773">
        <v>0.36299999999999999</v>
      </c>
      <c r="DX250" s="773">
        <v>0.37</v>
      </c>
      <c r="DY250" s="773">
        <v>0.36899999999999999</v>
      </c>
      <c r="DZ250" s="773">
        <v>0.36899999999999999</v>
      </c>
      <c r="EA250" s="773">
        <v>0.36899999999999999</v>
      </c>
      <c r="EB250" s="634">
        <v>0.36899999999999999</v>
      </c>
      <c r="EC250" s="634">
        <v>0.36899999999999999</v>
      </c>
      <c r="ED250" s="634">
        <v>0.36899999999999999</v>
      </c>
      <c r="EE250" s="634">
        <v>0.36899999999999999</v>
      </c>
      <c r="EF250" s="634">
        <v>0.36899999999999999</v>
      </c>
      <c r="EG250" s="634">
        <v>0.36899999999999999</v>
      </c>
      <c r="EH250" s="634">
        <v>0.36899999999999999</v>
      </c>
      <c r="EI250" s="634">
        <v>0.36899999999999999</v>
      </c>
      <c r="EJ250" s="627">
        <v>0.36899999999999999</v>
      </c>
      <c r="EK250" s="627">
        <v>0.36899999999999999</v>
      </c>
      <c r="EL250" s="627">
        <v>0.36899999999999999</v>
      </c>
      <c r="EM250" s="627">
        <v>0.36899999999999999</v>
      </c>
      <c r="EN250" s="627">
        <v>0.36899999999999999</v>
      </c>
      <c r="EO250" s="627">
        <v>0.36899999999999999</v>
      </c>
      <c r="EP250" s="634"/>
      <c r="EQ250" s="634"/>
    </row>
    <row r="251" spans="1:147" s="635" customFormat="1">
      <c r="A251" s="624"/>
      <c r="B251"/>
      <c r="C251"/>
      <c r="D251"/>
      <c r="E251"/>
      <c r="F251"/>
      <c r="G251"/>
      <c r="H251" s="625"/>
      <c r="I251" s="774" t="s">
        <v>1745</v>
      </c>
      <c r="J251" s="634"/>
      <c r="K251" s="634"/>
      <c r="L251" s="634"/>
      <c r="M251" s="634"/>
      <c r="N251" s="634"/>
      <c r="O251" s="634"/>
      <c r="P251" s="634"/>
      <c r="Q251" s="634"/>
      <c r="R251" s="634"/>
      <c r="S251" s="634"/>
      <c r="T251" s="634"/>
      <c r="U251" s="634"/>
      <c r="V251" s="634"/>
      <c r="W251" s="634"/>
      <c r="X251" s="634"/>
      <c r="Y251" s="634"/>
      <c r="Z251" s="634"/>
      <c r="AA251" s="634"/>
      <c r="AB251" s="634"/>
      <c r="AC251" s="634"/>
      <c r="AD251" s="634"/>
      <c r="AE251" s="634"/>
      <c r="AF251" s="634"/>
      <c r="AG251" s="634"/>
      <c r="AH251" s="634"/>
      <c r="AI251" s="634"/>
      <c r="AJ251" s="634"/>
      <c r="AK251" s="634"/>
      <c r="AL251" s="634"/>
      <c r="AM251" s="634"/>
      <c r="AN251" s="634"/>
      <c r="AO251" s="634"/>
      <c r="AP251" s="634"/>
      <c r="AQ251" s="634"/>
      <c r="AR251" s="634"/>
      <c r="AS251" s="634"/>
      <c r="AT251" s="634"/>
      <c r="AU251" s="634"/>
      <c r="AV251" s="634"/>
      <c r="AW251" s="634"/>
      <c r="AX251" s="634">
        <v>0.34</v>
      </c>
      <c r="AY251" s="634">
        <v>0.34</v>
      </c>
      <c r="AZ251" s="634">
        <v>0.34</v>
      </c>
      <c r="BA251" s="634">
        <v>0.34</v>
      </c>
      <c r="BB251" s="634">
        <v>0.35</v>
      </c>
      <c r="BC251" s="634">
        <v>0.35</v>
      </c>
      <c r="BD251" s="634">
        <v>0.35</v>
      </c>
      <c r="BE251" s="634">
        <v>0.35</v>
      </c>
      <c r="BF251" s="634">
        <v>0.35</v>
      </c>
      <c r="BG251" s="634">
        <v>0.35</v>
      </c>
      <c r="BH251" s="634">
        <v>0.35</v>
      </c>
      <c r="BI251" s="634">
        <v>0.35</v>
      </c>
      <c r="BJ251" s="634">
        <v>0.35</v>
      </c>
      <c r="BK251" s="634">
        <v>0.35</v>
      </c>
      <c r="BL251" s="634">
        <v>0.35</v>
      </c>
      <c r="BM251" s="634">
        <v>0.35</v>
      </c>
      <c r="BN251" s="634">
        <v>0.35</v>
      </c>
      <c r="BO251" s="634">
        <v>0.35</v>
      </c>
      <c r="BP251" s="634">
        <v>0.35</v>
      </c>
      <c r="BQ251" s="634">
        <v>0.35</v>
      </c>
      <c r="BR251" s="634">
        <v>0</v>
      </c>
      <c r="BS251" s="634">
        <v>0</v>
      </c>
      <c r="BT251" s="634">
        <v>0</v>
      </c>
      <c r="BU251" s="634">
        <v>0</v>
      </c>
      <c r="BV251" s="634">
        <v>0</v>
      </c>
      <c r="BW251" s="634">
        <v>0</v>
      </c>
      <c r="BX251" s="634">
        <v>0</v>
      </c>
      <c r="BY251" s="634">
        <v>0</v>
      </c>
      <c r="BZ251" s="634">
        <v>0</v>
      </c>
      <c r="CA251" s="634">
        <v>0</v>
      </c>
      <c r="CB251" s="634">
        <v>0</v>
      </c>
      <c r="CC251" s="634">
        <v>0</v>
      </c>
      <c r="CD251" s="634">
        <v>0</v>
      </c>
      <c r="CE251" s="634">
        <v>0</v>
      </c>
      <c r="CF251" s="634">
        <v>0</v>
      </c>
      <c r="CG251" s="634">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c r="CY251" s="627"/>
      <c r="CZ251" s="627"/>
      <c r="DA251" s="627"/>
      <c r="DB251" s="627"/>
      <c r="DC251" s="627"/>
      <c r="DD251" s="627"/>
      <c r="DE251" s="627"/>
      <c r="DF251" s="627"/>
      <c r="DG251" s="627"/>
      <c r="DH251" s="627"/>
      <c r="DI251" s="627"/>
      <c r="DJ251" s="627"/>
      <c r="DK251" s="772"/>
      <c r="DL251" s="772"/>
      <c r="DM251" s="772"/>
      <c r="DN251" s="772"/>
      <c r="DO251" s="772"/>
      <c r="DP251" s="772"/>
      <c r="DQ251" s="772"/>
      <c r="DR251" s="772"/>
      <c r="DS251" s="775">
        <v>0.34</v>
      </c>
      <c r="DT251" s="775">
        <v>0.34</v>
      </c>
      <c r="DU251" s="775">
        <v>0.34</v>
      </c>
      <c r="DV251" s="775">
        <v>0.35</v>
      </c>
      <c r="DW251" s="775">
        <v>0.35</v>
      </c>
      <c r="DX251" s="775">
        <v>0.35</v>
      </c>
      <c r="DY251" s="775">
        <v>0.35</v>
      </c>
      <c r="DZ251" s="773"/>
      <c r="EA251" s="773"/>
      <c r="EB251" s="634"/>
      <c r="EC251" s="634"/>
      <c r="ED251" s="634"/>
      <c r="EE251" s="634"/>
      <c r="EF251" s="634"/>
      <c r="EG251" s="634"/>
      <c r="EH251" s="634"/>
      <c r="EI251" s="634"/>
      <c r="EJ251" s="627"/>
      <c r="EK251" s="627"/>
      <c r="EL251" s="627"/>
      <c r="EM251" s="627"/>
      <c r="EN251" s="627"/>
      <c r="EO251" s="627"/>
      <c r="EP251" s="634"/>
      <c r="EQ251" s="634"/>
    </row>
    <row r="252" spans="1:147" s="635" customFormat="1">
      <c r="A252" s="624"/>
      <c r="B252"/>
      <c r="C252"/>
      <c r="D252"/>
      <c r="E252"/>
      <c r="F252"/>
      <c r="G252"/>
      <c r="H252" s="625"/>
      <c r="I252" s="774" t="s">
        <v>1746</v>
      </c>
      <c r="J252" s="634"/>
      <c r="K252" s="634"/>
      <c r="L252" s="634"/>
      <c r="M252" s="634"/>
      <c r="N252" s="634"/>
      <c r="O252" s="634"/>
      <c r="P252" s="634"/>
      <c r="Q252" s="634"/>
      <c r="R252" s="634"/>
      <c r="S252" s="634"/>
      <c r="T252" s="634"/>
      <c r="U252" s="634"/>
      <c r="V252" s="634"/>
      <c r="W252" s="634"/>
      <c r="X252" s="634"/>
      <c r="Y252" s="634"/>
      <c r="Z252" s="634"/>
      <c r="AA252" s="634"/>
      <c r="AB252" s="634"/>
      <c r="AC252" s="634"/>
      <c r="AD252" s="634"/>
      <c r="AE252" s="634"/>
      <c r="AF252" s="634"/>
      <c r="AG252" s="634"/>
      <c r="AH252" s="634"/>
      <c r="AI252" s="634"/>
      <c r="AJ252" s="634"/>
      <c r="AK252" s="634"/>
      <c r="AL252" s="634"/>
      <c r="AM252" s="634"/>
      <c r="AN252" s="634"/>
      <c r="AO252" s="634"/>
      <c r="AP252" s="634"/>
      <c r="AQ252" s="634"/>
      <c r="AR252" s="634"/>
      <c r="AS252" s="634"/>
      <c r="AT252" s="634"/>
      <c r="AU252" s="634"/>
      <c r="AV252" s="634"/>
      <c r="AW252" s="634"/>
      <c r="AX252" s="634">
        <v>5.3999999999999999E-2</v>
      </c>
      <c r="AY252" s="634">
        <v>5.3999999999999999E-2</v>
      </c>
      <c r="AZ252" s="634">
        <v>5.3999999999999999E-2</v>
      </c>
      <c r="BA252" s="634">
        <v>5.3999999999999999E-2</v>
      </c>
      <c r="BB252" s="634">
        <v>1.2E-2</v>
      </c>
      <c r="BC252" s="634">
        <v>1.2E-2</v>
      </c>
      <c r="BD252" s="634">
        <v>1.2E-2</v>
      </c>
      <c r="BE252" s="634">
        <v>1.2E-2</v>
      </c>
      <c r="BF252" s="634">
        <v>1.2999999999999999E-2</v>
      </c>
      <c r="BG252" s="634">
        <v>1.2999999999999999E-2</v>
      </c>
      <c r="BH252" s="634">
        <v>1.2999999999999999E-2</v>
      </c>
      <c r="BI252" s="634">
        <v>1.2999999999999999E-2</v>
      </c>
      <c r="BJ252" s="634">
        <v>0.02</v>
      </c>
      <c r="BK252" s="634">
        <v>0.02</v>
      </c>
      <c r="BL252" s="634">
        <v>0.02</v>
      </c>
      <c r="BM252" s="634">
        <v>0.02</v>
      </c>
      <c r="BN252" s="634">
        <v>1.9E-2</v>
      </c>
      <c r="BO252" s="634">
        <v>1.9E-2</v>
      </c>
      <c r="BP252" s="634">
        <v>1.9E-2</v>
      </c>
      <c r="BQ252" s="634">
        <v>1.9E-2</v>
      </c>
      <c r="BR252" s="634">
        <v>0</v>
      </c>
      <c r="BS252" s="634">
        <v>0</v>
      </c>
      <c r="BT252" s="634">
        <v>0</v>
      </c>
      <c r="BU252" s="634">
        <v>0</v>
      </c>
      <c r="BV252" s="634">
        <v>0</v>
      </c>
      <c r="BW252" s="634">
        <v>0</v>
      </c>
      <c r="BX252" s="634">
        <v>0</v>
      </c>
      <c r="BY252" s="634">
        <v>0</v>
      </c>
      <c r="BZ252" s="634">
        <v>0</v>
      </c>
      <c r="CA252" s="634">
        <v>0</v>
      </c>
      <c r="CB252" s="634">
        <v>0</v>
      </c>
      <c r="CC252" s="634">
        <v>0</v>
      </c>
      <c r="CD252" s="634">
        <v>0</v>
      </c>
      <c r="CE252" s="634">
        <v>0</v>
      </c>
      <c r="CF252" s="634">
        <v>0</v>
      </c>
      <c r="CG252" s="634">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c r="CY252" s="627"/>
      <c r="CZ252" s="627"/>
      <c r="DA252" s="627"/>
      <c r="DB252" s="627"/>
      <c r="DC252" s="627"/>
      <c r="DD252" s="627"/>
      <c r="DE252" s="627"/>
      <c r="DF252" s="627"/>
      <c r="DG252" s="627"/>
      <c r="DH252" s="627"/>
      <c r="DI252" s="627"/>
      <c r="DJ252" s="627"/>
      <c r="DK252" s="772"/>
      <c r="DL252" s="772"/>
      <c r="DM252" s="772"/>
      <c r="DN252" s="772"/>
      <c r="DO252" s="772"/>
      <c r="DP252" s="772"/>
      <c r="DQ252" s="772"/>
      <c r="DR252" s="772"/>
      <c r="DS252" s="775"/>
      <c r="DT252" s="775"/>
      <c r="DU252" s="775">
        <v>5.3999999999999999E-2</v>
      </c>
      <c r="DV252" s="775">
        <v>1.2E-2</v>
      </c>
      <c r="DW252" s="775">
        <v>1.2999999999999999E-2</v>
      </c>
      <c r="DX252" s="775">
        <v>0.02</v>
      </c>
      <c r="DY252" s="775">
        <v>1.9E-2</v>
      </c>
      <c r="DZ252" s="773"/>
      <c r="EA252" s="773"/>
      <c r="EB252" s="634"/>
      <c r="EC252" s="634"/>
      <c r="ED252" s="634"/>
      <c r="EE252" s="634"/>
      <c r="EF252" s="634"/>
      <c r="EG252" s="634"/>
      <c r="EH252" s="634"/>
      <c r="EI252" s="634"/>
      <c r="EJ252" s="627"/>
      <c r="EK252" s="627"/>
      <c r="EL252" s="627"/>
      <c r="EM252" s="627"/>
      <c r="EN252" s="627"/>
      <c r="EO252" s="627"/>
      <c r="EP252" s="634"/>
      <c r="EQ252" s="634"/>
    </row>
    <row r="253" spans="1:147" s="596" customFormat="1">
      <c r="A253" s="546"/>
      <c r="B253"/>
      <c r="C253"/>
      <c r="D253"/>
      <c r="E253"/>
      <c r="F253"/>
      <c r="G253"/>
      <c r="I253" s="596" t="s">
        <v>1747</v>
      </c>
      <c r="J253" s="409"/>
      <c r="K253" s="409"/>
      <c r="L253" s="409"/>
      <c r="M253" s="409"/>
      <c r="N253" s="409"/>
      <c r="O253" s="409"/>
      <c r="P253" s="409"/>
      <c r="Q253" s="409"/>
      <c r="R253" s="409"/>
      <c r="S253" s="409"/>
      <c r="T253" s="409"/>
      <c r="U253" s="409"/>
      <c r="V253" s="409"/>
      <c r="W253" s="409"/>
      <c r="X253" s="409"/>
      <c r="Y253" s="409"/>
      <c r="Z253" s="409"/>
      <c r="AA253" s="409"/>
      <c r="AB253" s="409"/>
      <c r="AC253" s="409"/>
      <c r="AD253" s="409"/>
      <c r="AE253" s="409"/>
      <c r="AF253" s="409"/>
      <c r="AG253" s="409"/>
      <c r="AH253" s="409"/>
      <c r="AI253" s="409"/>
      <c r="AJ253" s="409"/>
      <c r="AK253" s="409"/>
      <c r="AL253" s="409"/>
      <c r="AM253" s="409"/>
      <c r="AN253" s="409"/>
      <c r="AO253" s="409"/>
      <c r="AP253" s="409"/>
      <c r="AQ253" s="409"/>
      <c r="AR253" s="409"/>
      <c r="AS253" s="409"/>
      <c r="AT253" s="409">
        <v>0</v>
      </c>
      <c r="AU253" s="409">
        <v>0</v>
      </c>
      <c r="AV253" s="409">
        <v>0</v>
      </c>
      <c r="AW253" s="409">
        <v>0</v>
      </c>
      <c r="AX253" s="409">
        <v>0</v>
      </c>
      <c r="AY253" s="409">
        <v>0</v>
      </c>
      <c r="AZ253" s="409">
        <v>0</v>
      </c>
      <c r="BA253" s="409">
        <v>0</v>
      </c>
      <c r="BB253" s="409">
        <v>23</v>
      </c>
      <c r="BC253" s="409">
        <v>20</v>
      </c>
      <c r="BD253" s="409">
        <v>18</v>
      </c>
      <c r="BE253" s="409">
        <v>42</v>
      </c>
      <c r="BF253" s="409">
        <v>21</v>
      </c>
      <c r="BG253" s="409">
        <v>28</v>
      </c>
      <c r="BH253" s="409">
        <v>34</v>
      </c>
      <c r="BI253" s="409">
        <v>43</v>
      </c>
      <c r="BJ253" s="409">
        <v>27</v>
      </c>
      <c r="BK253" s="409">
        <v>23</v>
      </c>
      <c r="BL253" s="409">
        <v>26</v>
      </c>
      <c r="BM253" s="409">
        <v>32</v>
      </c>
      <c r="BN253" s="409">
        <v>29</v>
      </c>
      <c r="BO253" s="409">
        <v>23</v>
      </c>
      <c r="BP253" s="409">
        <v>22</v>
      </c>
      <c r="BQ253" s="409">
        <v>30</v>
      </c>
      <c r="BR253" s="409">
        <v>23</v>
      </c>
      <c r="BS253" s="409">
        <v>20</v>
      </c>
      <c r="BT253" s="409">
        <v>230</v>
      </c>
      <c r="BU253" s="409">
        <v>21</v>
      </c>
      <c r="BV253" s="409">
        <v>34</v>
      </c>
      <c r="BW253" s="409">
        <v>41</v>
      </c>
      <c r="BX253" s="409">
        <v>32</v>
      </c>
      <c r="BY253" s="409">
        <v>40</v>
      </c>
      <c r="BZ253" s="409">
        <v>-3018</v>
      </c>
      <c r="CA253" s="409">
        <v>-1162</v>
      </c>
      <c r="CB253" s="409">
        <v>47</v>
      </c>
      <c r="CC253" s="409">
        <v>58</v>
      </c>
      <c r="CD253" s="409">
        <v>54</v>
      </c>
      <c r="CE253" s="409">
        <v>56</v>
      </c>
      <c r="CF253" s="409">
        <v>55</v>
      </c>
      <c r="CG253" s="409">
        <v>44</v>
      </c>
      <c r="CH253" s="409">
        <v>63</v>
      </c>
      <c r="CI253" s="409">
        <v>37</v>
      </c>
      <c r="CJ253" s="409">
        <v>27</v>
      </c>
      <c r="CK253" s="409">
        <v>39</v>
      </c>
      <c r="CL253" s="409">
        <v>43</v>
      </c>
      <c r="CM253" s="409">
        <v>42</v>
      </c>
      <c r="CN253" s="409">
        <v>53</v>
      </c>
      <c r="CO253" s="409">
        <v>80</v>
      </c>
      <c r="CP253" s="409">
        <v>151</v>
      </c>
      <c r="CQ253" s="409">
        <v>43</v>
      </c>
      <c r="CR253" s="409">
        <v>65</v>
      </c>
      <c r="CS253" s="409">
        <v>84</v>
      </c>
      <c r="CT253" s="409">
        <v>158.55000000000001</v>
      </c>
      <c r="CU253" s="409">
        <v>45.15</v>
      </c>
      <c r="CV253" s="409">
        <v>67.2</v>
      </c>
      <c r="CW253" s="409">
        <v>88.2</v>
      </c>
      <c r="CX253" s="409"/>
      <c r="CY253" s="409"/>
      <c r="CZ253" s="409"/>
      <c r="DA253" s="409"/>
      <c r="DB253" s="409"/>
      <c r="DC253" s="409"/>
      <c r="DD253" s="409"/>
      <c r="DE253" s="409"/>
      <c r="DF253" s="409"/>
      <c r="DG253" s="409"/>
      <c r="DH253" s="409"/>
      <c r="DI253" s="409"/>
      <c r="DJ253" s="409"/>
      <c r="DK253" s="409"/>
      <c r="DL253" s="409"/>
      <c r="DM253" s="409"/>
      <c r="DN253" s="409"/>
      <c r="DO253" s="409"/>
      <c r="DP253" s="409"/>
      <c r="DQ253" s="409"/>
      <c r="DR253" s="409"/>
      <c r="DS253" s="386">
        <v>89</v>
      </c>
      <c r="DT253" s="386">
        <v>156</v>
      </c>
      <c r="DU253" s="386">
        <v>131</v>
      </c>
      <c r="DV253" s="386">
        <v>103</v>
      </c>
      <c r="DW253" s="386">
        <v>126</v>
      </c>
      <c r="DX253" s="386">
        <v>108</v>
      </c>
      <c r="DY253" s="386">
        <v>104</v>
      </c>
      <c r="DZ253" s="386">
        <v>294</v>
      </c>
      <c r="EA253" s="386">
        <v>147</v>
      </c>
      <c r="EB253" s="409">
        <v>-4075</v>
      </c>
      <c r="EC253" s="409">
        <v>209</v>
      </c>
      <c r="ED253" s="409">
        <v>166</v>
      </c>
      <c r="EE253" s="409">
        <v>218</v>
      </c>
      <c r="EF253" s="409">
        <v>343</v>
      </c>
      <c r="EG253" s="409">
        <v>359.1</v>
      </c>
      <c r="EH253" s="409">
        <v>373.46400000000006</v>
      </c>
      <c r="EI253" s="409">
        <v>388.40256000000005</v>
      </c>
      <c r="EJ253" s="409">
        <v>403.93866240000006</v>
      </c>
      <c r="EK253" s="409">
        <v>420.09620889600006</v>
      </c>
      <c r="EL253" s="409">
        <v>436.90005725184011</v>
      </c>
      <c r="EM253" s="409">
        <v>454.37605954191372</v>
      </c>
      <c r="EN253" s="409">
        <v>472.55110192359029</v>
      </c>
      <c r="EO253" s="409">
        <v>491.45314600053393</v>
      </c>
      <c r="EP253" s="409"/>
      <c r="EQ253" s="409"/>
    </row>
    <row r="254" spans="1:147" s="596" customFormat="1">
      <c r="A254" s="546"/>
      <c r="B254"/>
      <c r="C254"/>
      <c r="D254"/>
      <c r="E254"/>
      <c r="F254"/>
      <c r="G254"/>
      <c r="I254" s="596" t="s">
        <v>1748</v>
      </c>
      <c r="J254" s="409"/>
      <c r="K254" s="409"/>
      <c r="L254" s="409"/>
      <c r="M254" s="409"/>
      <c r="N254" s="409"/>
      <c r="O254" s="409"/>
      <c r="P254" s="409"/>
      <c r="Q254" s="409"/>
      <c r="R254" s="409"/>
      <c r="S254" s="409"/>
      <c r="T254" s="409"/>
      <c r="U254" s="409"/>
      <c r="V254" s="409"/>
      <c r="W254" s="409"/>
      <c r="X254" s="409"/>
      <c r="Y254" s="409"/>
      <c r="Z254" s="409"/>
      <c r="AA254" s="409"/>
      <c r="AB254" s="409"/>
      <c r="AC254" s="409"/>
      <c r="AD254" s="409"/>
      <c r="AE254" s="409"/>
      <c r="AF254" s="409"/>
      <c r="AG254" s="409"/>
      <c r="AH254" s="409"/>
      <c r="AI254" s="409"/>
      <c r="AJ254" s="409"/>
      <c r="AK254" s="409"/>
      <c r="AL254" s="409"/>
      <c r="AM254" s="409"/>
      <c r="AN254" s="409"/>
      <c r="AO254" s="409"/>
      <c r="AP254" s="409"/>
      <c r="AQ254" s="409"/>
      <c r="AR254" s="409"/>
      <c r="AS254" s="409"/>
      <c r="AT254" s="409">
        <v>28</v>
      </c>
      <c r="AU254" s="409">
        <v>17</v>
      </c>
      <c r="AV254" s="409">
        <v>7</v>
      </c>
      <c r="AW254" s="409">
        <v>142</v>
      </c>
      <c r="AX254" s="409">
        <v>98</v>
      </c>
      <c r="AY254" s="409">
        <v>62</v>
      </c>
      <c r="AZ254" s="409">
        <v>-34</v>
      </c>
      <c r="BA254" s="409">
        <v>-333</v>
      </c>
      <c r="BB254" s="409">
        <v>186</v>
      </c>
      <c r="BC254" s="409">
        <v>147</v>
      </c>
      <c r="BD254" s="409">
        <v>50</v>
      </c>
      <c r="BE254" s="409">
        <v>-53</v>
      </c>
      <c r="BF254" s="409">
        <v>139</v>
      </c>
      <c r="BG254" s="409">
        <v>40</v>
      </c>
      <c r="BH254" s="409">
        <v>39</v>
      </c>
      <c r="BI254" s="409">
        <v>-25</v>
      </c>
      <c r="BJ254" s="409">
        <v>169</v>
      </c>
      <c r="BK254" s="409">
        <v>123</v>
      </c>
      <c r="BL254" s="409">
        <v>16</v>
      </c>
      <c r="BM254" s="409">
        <v>-43</v>
      </c>
      <c r="BN254" s="409">
        <v>87</v>
      </c>
      <c r="BO254" s="409">
        <v>85</v>
      </c>
      <c r="BP254" s="409">
        <v>-20</v>
      </c>
      <c r="BQ254" s="409">
        <v>-6</v>
      </c>
      <c r="BR254" s="409">
        <v>203</v>
      </c>
      <c r="BS254" s="409">
        <v>124</v>
      </c>
      <c r="BT254" s="409">
        <v>55</v>
      </c>
      <c r="BU254" s="409">
        <v>-22</v>
      </c>
      <c r="BV254" s="409">
        <v>251</v>
      </c>
      <c r="BW254" s="409">
        <v>215</v>
      </c>
      <c r="BX254" s="409">
        <v>111</v>
      </c>
      <c r="BY254" s="409">
        <v>233</v>
      </c>
      <c r="BZ254" s="409">
        <v>231</v>
      </c>
      <c r="CA254" s="409">
        <v>230</v>
      </c>
      <c r="CB254" s="409">
        <v>123</v>
      </c>
      <c r="CC254" s="409">
        <v>889</v>
      </c>
      <c r="CD254" s="409">
        <v>265</v>
      </c>
      <c r="CE254" s="409">
        <v>94</v>
      </c>
      <c r="CF254" s="409">
        <v>27</v>
      </c>
      <c r="CG254" s="409">
        <v>174</v>
      </c>
      <c r="CH254" s="409">
        <v>334</v>
      </c>
      <c r="CI254" s="409">
        <v>90</v>
      </c>
      <c r="CJ254" s="409">
        <v>51</v>
      </c>
      <c r="CK254" s="409">
        <v>-139</v>
      </c>
      <c r="CL254" s="409">
        <v>150</v>
      </c>
      <c r="CM254" s="409">
        <v>4</v>
      </c>
      <c r="CN254" s="409">
        <v>73</v>
      </c>
      <c r="CO254" s="409">
        <v>1</v>
      </c>
      <c r="CP254" s="409">
        <v>129</v>
      </c>
      <c r="CQ254" s="409">
        <v>150</v>
      </c>
      <c r="CR254" s="409">
        <v>-97</v>
      </c>
      <c r="CS254" s="409">
        <v>-1.5718025048355742</v>
      </c>
      <c r="CT254" s="409">
        <v>-29.962999999999994</v>
      </c>
      <c r="CU254" s="409">
        <v>-7.282999999999987</v>
      </c>
      <c r="CV254" s="409">
        <v>-11.693000000000026</v>
      </c>
      <c r="CW254" s="409">
        <v>-15.893000000000015</v>
      </c>
      <c r="CX254" s="409"/>
      <c r="CY254" s="409"/>
      <c r="CZ254" s="409"/>
      <c r="DA254" s="409"/>
      <c r="DB254" s="409"/>
      <c r="DC254" s="409"/>
      <c r="DD254" s="409"/>
      <c r="DE254" s="409"/>
      <c r="DF254" s="409"/>
      <c r="DG254" s="409"/>
      <c r="DH254" s="409"/>
      <c r="DI254" s="409"/>
      <c r="DJ254" s="409"/>
      <c r="DK254" s="409"/>
      <c r="DL254" s="409"/>
      <c r="DM254" s="409"/>
      <c r="DN254" s="409"/>
      <c r="DO254" s="409"/>
      <c r="DP254" s="409"/>
      <c r="DQ254" s="409"/>
      <c r="DR254" s="409"/>
      <c r="DS254" s="386">
        <v>-532</v>
      </c>
      <c r="DT254" s="386">
        <v>77</v>
      </c>
      <c r="DU254" s="386">
        <v>112</v>
      </c>
      <c r="DV254" s="386">
        <v>330</v>
      </c>
      <c r="DW254" s="386">
        <v>193</v>
      </c>
      <c r="DX254" s="386">
        <v>265</v>
      </c>
      <c r="DY254" s="386">
        <v>146</v>
      </c>
      <c r="DZ254" s="386">
        <v>360</v>
      </c>
      <c r="EA254" s="386">
        <v>810</v>
      </c>
      <c r="EB254" s="409">
        <v>1473</v>
      </c>
      <c r="EC254" s="409">
        <v>560</v>
      </c>
      <c r="ED254" s="409">
        <v>336</v>
      </c>
      <c r="EE254" s="409">
        <v>228</v>
      </c>
      <c r="EF254" s="409">
        <v>180.42819749516445</v>
      </c>
      <c r="EG254" s="409">
        <v>-64.83200000000005</v>
      </c>
      <c r="EH254" s="409">
        <v>-96.227542219966381</v>
      </c>
      <c r="EI254" s="409">
        <v>-66.497748396902182</v>
      </c>
      <c r="EJ254" s="409">
        <v>-76.244159214573244</v>
      </c>
      <c r="EK254" s="409">
        <v>-9.4821637798933125</v>
      </c>
      <c r="EL254" s="409">
        <v>6.1752820992400075</v>
      </c>
      <c r="EM254" s="409">
        <v>-1.6305344146041421</v>
      </c>
      <c r="EN254" s="409">
        <v>0.94816501443972356</v>
      </c>
      <c r="EO254" s="409">
        <v>-10.831695520267431</v>
      </c>
      <c r="EP254" s="409"/>
      <c r="EQ254" s="409"/>
    </row>
    <row r="255" spans="1:147" ht="15" customHeight="1">
      <c r="A255" s="473"/>
      <c r="I255" s="777" t="s">
        <v>1749</v>
      </c>
      <c r="J255" s="356"/>
      <c r="K255" s="356"/>
      <c r="L255" s="356"/>
      <c r="M255" s="356"/>
      <c r="N255" s="356"/>
      <c r="O255" s="356"/>
      <c r="P255" s="356"/>
      <c r="Q255" s="356"/>
      <c r="R255" s="356"/>
      <c r="S255" s="356"/>
      <c r="T255" s="356"/>
      <c r="U255" s="356"/>
      <c r="V255" s="356"/>
      <c r="W255" s="356"/>
      <c r="X255" s="356"/>
      <c r="Y255" s="356"/>
      <c r="Z255" s="356"/>
      <c r="AA255" s="356"/>
      <c r="AB255" s="356"/>
      <c r="AC255" s="356"/>
      <c r="AD255" s="356"/>
      <c r="AE255" s="356"/>
      <c r="AF255" s="356"/>
      <c r="AG255" s="356"/>
      <c r="AH255" s="356"/>
      <c r="AI255" s="356"/>
      <c r="AJ255" s="356"/>
      <c r="AK255" s="356"/>
      <c r="AL255" s="356"/>
      <c r="AM255" s="356"/>
      <c r="AN255" s="356"/>
      <c r="AO255" s="356"/>
      <c r="AP255" s="356"/>
      <c r="AQ255" s="356"/>
      <c r="AR255" s="356"/>
      <c r="AS255" s="356"/>
      <c r="AT255" s="356">
        <v>1</v>
      </c>
      <c r="AU255" s="356">
        <v>1</v>
      </c>
      <c r="AV255" s="356">
        <v>1</v>
      </c>
      <c r="AW255" s="356">
        <v>1</v>
      </c>
      <c r="AX255" s="356">
        <v>1</v>
      </c>
      <c r="AY255" s="356">
        <v>1</v>
      </c>
      <c r="AZ255" s="356">
        <v>1</v>
      </c>
      <c r="BA255" s="356">
        <v>1</v>
      </c>
      <c r="BB255" s="356">
        <v>1</v>
      </c>
      <c r="BC255" s="356">
        <v>1</v>
      </c>
      <c r="BD255" s="356">
        <v>1</v>
      </c>
      <c r="BE255" s="356">
        <v>1</v>
      </c>
      <c r="BF255" s="356">
        <v>1</v>
      </c>
      <c r="BG255" s="356">
        <v>1</v>
      </c>
      <c r="BH255" s="356">
        <v>1</v>
      </c>
      <c r="BI255" s="356">
        <v>1</v>
      </c>
      <c r="BJ255" s="356">
        <v>1</v>
      </c>
      <c r="BK255" s="356">
        <v>1</v>
      </c>
      <c r="BL255" s="356">
        <v>1</v>
      </c>
      <c r="BM255" s="356">
        <v>1</v>
      </c>
      <c r="BN255" s="356">
        <v>1</v>
      </c>
      <c r="BO255" s="356">
        <v>1</v>
      </c>
      <c r="BP255" s="356">
        <v>1</v>
      </c>
      <c r="BQ255" s="356">
        <v>1</v>
      </c>
      <c r="BR255" s="356">
        <v>1</v>
      </c>
      <c r="BS255" s="356">
        <v>1</v>
      </c>
      <c r="BT255" s="356">
        <v>1</v>
      </c>
      <c r="BU255" s="356">
        <v>1</v>
      </c>
      <c r="BV255" s="356">
        <v>1</v>
      </c>
      <c r="BW255" s="356">
        <v>1</v>
      </c>
      <c r="BX255" s="356">
        <v>1</v>
      </c>
      <c r="BY255" s="356">
        <v>1</v>
      </c>
      <c r="BZ255" s="356">
        <v>1</v>
      </c>
      <c r="CA255" s="356">
        <v>1</v>
      </c>
      <c r="CB255" s="356">
        <v>1</v>
      </c>
      <c r="CC255" s="356">
        <v>1</v>
      </c>
      <c r="CD255" s="356">
        <v>1</v>
      </c>
      <c r="CE255" s="356">
        <v>1</v>
      </c>
      <c r="CF255" s="356">
        <v>1</v>
      </c>
      <c r="CG255" s="356">
        <v>1</v>
      </c>
      <c r="CH255" s="356">
        <v>1</v>
      </c>
      <c r="CI255" s="356">
        <v>1</v>
      </c>
      <c r="CJ255" s="356">
        <v>1</v>
      </c>
      <c r="CK255" s="356">
        <v>1</v>
      </c>
      <c r="CL255" s="356">
        <v>1</v>
      </c>
      <c r="CM255" s="356">
        <v>1</v>
      </c>
      <c r="CN255" s="356">
        <v>1</v>
      </c>
      <c r="CO255" s="356">
        <v>1</v>
      </c>
      <c r="CP255" s="356">
        <v>1</v>
      </c>
      <c r="CQ255" s="356">
        <v>1</v>
      </c>
      <c r="CR255" s="356">
        <v>1</v>
      </c>
      <c r="CS255" s="356">
        <v>1</v>
      </c>
      <c r="CT255" s="356">
        <v>1</v>
      </c>
      <c r="CU255" s="356">
        <v>1</v>
      </c>
      <c r="CV255" s="356">
        <v>1</v>
      </c>
      <c r="CW255" s="356">
        <v>1</v>
      </c>
      <c r="CX255" s="356"/>
      <c r="CY255" s="356"/>
      <c r="CZ255" s="356"/>
      <c r="DA255" s="356"/>
      <c r="DB255" s="356"/>
      <c r="DC255" s="356"/>
      <c r="DD255" s="356"/>
      <c r="DE255" s="356"/>
      <c r="DF255" s="356"/>
      <c r="DG255" s="356"/>
      <c r="DH255" s="356"/>
      <c r="DI255" s="356"/>
      <c r="DJ255" s="356"/>
      <c r="DK255" s="356"/>
      <c r="DL255" s="356"/>
      <c r="DM255" s="356"/>
      <c r="DN255" s="356"/>
      <c r="DO255" s="356"/>
      <c r="DP255" s="356"/>
      <c r="DQ255" s="356"/>
      <c r="DR255" s="356"/>
      <c r="DS255" s="356"/>
      <c r="DT255" s="356"/>
      <c r="DU255" s="356"/>
      <c r="DV255" s="356"/>
      <c r="DW255" s="356"/>
      <c r="DX255" s="356"/>
      <c r="DY255" s="356">
        <v>1</v>
      </c>
      <c r="DZ255" s="356">
        <v>1</v>
      </c>
      <c r="EA255" s="356">
        <v>1</v>
      </c>
      <c r="EB255" s="356">
        <v>1</v>
      </c>
      <c r="EC255" s="356">
        <v>1</v>
      </c>
      <c r="ED255" s="356">
        <v>1</v>
      </c>
      <c r="EE255" s="356">
        <v>1</v>
      </c>
      <c r="EF255" s="356">
        <v>1</v>
      </c>
      <c r="EG255" s="356">
        <v>1</v>
      </c>
      <c r="EH255" s="356">
        <v>1</v>
      </c>
      <c r="EI255" s="356">
        <v>1</v>
      </c>
      <c r="EJ255" s="356">
        <v>1</v>
      </c>
      <c r="EK255" s="356">
        <v>1</v>
      </c>
      <c r="EL255" s="356">
        <v>1</v>
      </c>
      <c r="EM255" s="356">
        <v>1</v>
      </c>
      <c r="EN255" s="356">
        <v>1</v>
      </c>
      <c r="EO255" s="356">
        <v>1</v>
      </c>
      <c r="EP255" s="356"/>
      <c r="EQ255" s="356"/>
    </row>
    <row r="256" spans="1:147" ht="15" customHeight="1">
      <c r="A256" s="473"/>
      <c r="J256" s="356"/>
      <c r="K256" s="356"/>
      <c r="L256" s="356"/>
      <c r="M256" s="356"/>
      <c r="N256" s="356"/>
      <c r="O256" s="356"/>
      <c r="P256" s="356"/>
      <c r="Q256" s="356"/>
      <c r="R256" s="356"/>
      <c r="S256" s="356"/>
      <c r="T256" s="356"/>
      <c r="U256" s="356"/>
      <c r="V256" s="356"/>
      <c r="W256" s="356"/>
      <c r="X256" s="356"/>
      <c r="Y256" s="356"/>
      <c r="Z256" s="356"/>
      <c r="AA256" s="356"/>
      <c r="AB256" s="356"/>
      <c r="AC256" s="356"/>
      <c r="AD256" s="356"/>
      <c r="AE256" s="356"/>
      <c r="AF256" s="356"/>
      <c r="AG256" s="356"/>
      <c r="AH256" s="356"/>
      <c r="AI256" s="356"/>
      <c r="AJ256" s="356"/>
      <c r="AK256" s="356"/>
      <c r="AL256" s="356"/>
      <c r="AM256" s="356"/>
      <c r="AN256" s="356"/>
      <c r="AO256" s="356"/>
      <c r="AP256" s="356"/>
      <c r="AQ256" s="356"/>
      <c r="AR256" s="356"/>
      <c r="AS256" s="356"/>
      <c r="AT256" s="356"/>
      <c r="AU256" s="356"/>
      <c r="AV256" s="356"/>
      <c r="AW256" s="356"/>
      <c r="AX256" s="356"/>
      <c r="AY256" s="356"/>
      <c r="AZ256" s="356"/>
      <c r="BA256" s="356"/>
      <c r="BB256" s="356"/>
      <c r="BC256" s="356"/>
      <c r="BD256" s="356"/>
      <c r="BE256" s="356"/>
      <c r="BF256" s="356"/>
      <c r="BG256" s="356"/>
      <c r="BH256" s="356"/>
      <c r="BI256" s="356"/>
      <c r="BJ256" s="356"/>
      <c r="BK256" s="356"/>
      <c r="BL256" s="356"/>
      <c r="BM256" s="356"/>
      <c r="BN256" s="356"/>
      <c r="BO256" s="356"/>
      <c r="BP256" s="356"/>
      <c r="BQ256" s="356"/>
      <c r="BR256" s="356"/>
      <c r="BS256" s="356"/>
      <c r="BT256" s="356"/>
      <c r="BU256" s="356"/>
      <c r="BV256" s="356"/>
      <c r="BW256" s="356"/>
      <c r="BX256" s="356"/>
      <c r="BY256" s="356"/>
      <c r="BZ256" s="356"/>
      <c r="CA256" s="356"/>
      <c r="CB256" s="356"/>
      <c r="CC256" s="356"/>
      <c r="CD256" s="356"/>
      <c r="CE256" s="356"/>
      <c r="CF256" s="356"/>
      <c r="CG256" s="356"/>
      <c r="CH256" s="356"/>
      <c r="CI256" s="356"/>
      <c r="CJ256" s="356"/>
      <c r="CK256" s="356"/>
      <c r="CL256" s="356"/>
      <c r="CM256" s="356"/>
      <c r="CN256" s="356"/>
      <c r="CO256" s="356"/>
      <c r="CP256" s="356"/>
      <c r="CQ256" s="356"/>
      <c r="CR256" s="356"/>
      <c r="CS256" s="356"/>
      <c r="CT256" s="356"/>
      <c r="CU256" s="356"/>
      <c r="CV256" s="356"/>
      <c r="CW256" s="356"/>
      <c r="CX256" s="356"/>
      <c r="CY256" s="356"/>
      <c r="CZ256" s="356"/>
      <c r="DA256" s="356"/>
      <c r="DB256" s="356"/>
      <c r="DC256" s="356"/>
      <c r="DD256" s="356"/>
      <c r="DE256" s="356"/>
      <c r="DF256" s="356"/>
      <c r="DG256" s="356"/>
      <c r="DH256" s="356"/>
      <c r="DI256" s="356"/>
      <c r="DJ256" s="356"/>
      <c r="DK256" s="356"/>
      <c r="DL256" s="356"/>
      <c r="DM256" s="356"/>
      <c r="DN256" s="356"/>
      <c r="DO256" s="356"/>
      <c r="DP256" s="356"/>
      <c r="DQ256" s="356"/>
      <c r="DR256" s="356"/>
      <c r="DS256" s="356"/>
      <c r="DT256" s="356"/>
      <c r="DU256" s="356"/>
      <c r="DV256" s="356"/>
      <c r="DW256" s="356"/>
      <c r="DX256" s="356"/>
      <c r="DY256" s="356"/>
      <c r="DZ256" s="356"/>
      <c r="EA256" s="356"/>
      <c r="EB256" s="356"/>
      <c r="EC256" s="356"/>
      <c r="ED256" s="356"/>
      <c r="EE256" s="356"/>
      <c r="EF256" s="356"/>
      <c r="EG256" s="356"/>
      <c r="EH256" s="356"/>
      <c r="EI256" s="356"/>
      <c r="EJ256" s="356"/>
      <c r="EK256" s="356"/>
      <c r="EL256" s="356"/>
      <c r="EM256" s="356"/>
      <c r="EN256" s="356"/>
      <c r="EO256" s="356"/>
      <c r="EP256" s="356"/>
      <c r="EQ256" s="356"/>
    </row>
    <row r="257" spans="1:147" ht="15" customHeight="1">
      <c r="A257" s="473"/>
      <c r="I257" s="778" t="s">
        <v>1750</v>
      </c>
      <c r="J257" s="356"/>
      <c r="K257" s="356"/>
      <c r="L257" s="356"/>
      <c r="M257" s="356"/>
      <c r="N257" s="356"/>
      <c r="O257" s="356"/>
      <c r="P257" s="356"/>
      <c r="Q257" s="356"/>
      <c r="R257" s="356"/>
      <c r="S257" s="356"/>
      <c r="T257" s="356"/>
      <c r="U257" s="356"/>
      <c r="V257" s="356"/>
      <c r="W257" s="356"/>
      <c r="X257" s="356"/>
      <c r="Y257" s="356"/>
      <c r="Z257" s="356"/>
      <c r="AA257" s="356"/>
      <c r="AB257" s="356"/>
      <c r="AC257" s="356"/>
      <c r="AD257" s="356"/>
      <c r="AE257" s="356"/>
      <c r="AF257" s="356"/>
      <c r="AG257" s="356"/>
      <c r="AH257" s="356"/>
      <c r="AI257" s="356"/>
      <c r="AJ257" s="356"/>
      <c r="AK257" s="356"/>
      <c r="AL257" s="356"/>
      <c r="AM257" s="356"/>
      <c r="AN257" s="356"/>
      <c r="AO257" s="356"/>
      <c r="AP257" s="356"/>
      <c r="AQ257" s="356"/>
      <c r="AR257" s="356"/>
      <c r="AS257" s="356"/>
      <c r="AT257" s="356"/>
      <c r="AU257" s="356"/>
      <c r="AV257" s="356"/>
      <c r="AW257" s="356"/>
      <c r="AX257" s="356"/>
      <c r="AY257" s="356"/>
      <c r="AZ257" s="356"/>
      <c r="BA257" s="356"/>
      <c r="BB257" s="356"/>
      <c r="BC257" s="356"/>
      <c r="BD257" s="356"/>
      <c r="BE257" s="356"/>
      <c r="BF257" s="356"/>
      <c r="BG257" s="356"/>
      <c r="BH257" s="356"/>
      <c r="BI257" s="356"/>
      <c r="BJ257" s="356"/>
      <c r="BK257" s="356"/>
      <c r="BL257" s="356"/>
      <c r="BM257" s="356"/>
      <c r="BN257" s="356"/>
      <c r="BO257" s="356"/>
      <c r="BP257" s="356"/>
      <c r="BQ257" s="356"/>
      <c r="BR257" s="356"/>
      <c r="BS257" s="356"/>
      <c r="BT257" s="356"/>
      <c r="BU257" s="356"/>
      <c r="BV257" s="356"/>
      <c r="BW257" s="356"/>
      <c r="BX257" s="356"/>
      <c r="BY257" s="356"/>
      <c r="BZ257" s="356"/>
      <c r="CA257" s="356"/>
      <c r="CB257" s="356"/>
      <c r="CC257" s="356"/>
      <c r="CD257" s="356"/>
      <c r="CE257" s="356"/>
      <c r="CF257" s="356"/>
      <c r="CG257" s="356"/>
      <c r="CH257" s="356"/>
      <c r="CI257" s="356"/>
      <c r="CJ257" s="356"/>
      <c r="CK257" s="356"/>
      <c r="CL257" s="356"/>
      <c r="CM257" s="356"/>
      <c r="CN257" s="356"/>
      <c r="CO257" s="356"/>
      <c r="CP257" s="356"/>
      <c r="CQ257" s="356"/>
      <c r="CR257" s="356"/>
      <c r="CS257" s="356"/>
      <c r="CT257" s="356"/>
      <c r="CU257" s="356"/>
      <c r="CV257" s="356"/>
      <c r="CW257" s="356"/>
      <c r="CX257" s="356"/>
      <c r="CY257" s="356"/>
      <c r="CZ257" s="356"/>
      <c r="DA257" s="356"/>
      <c r="DB257" s="356"/>
      <c r="DC257" s="356"/>
      <c r="DD257" s="356"/>
      <c r="DE257" s="356"/>
      <c r="DF257" s="356"/>
      <c r="DG257" s="356"/>
      <c r="DH257" s="356"/>
      <c r="DI257" s="356"/>
      <c r="DJ257" s="356"/>
      <c r="DK257" s="356"/>
      <c r="DL257" s="356"/>
      <c r="DM257" s="356"/>
      <c r="DN257" s="356"/>
      <c r="DO257" s="356"/>
      <c r="DP257" s="356"/>
      <c r="DQ257" s="356"/>
      <c r="DR257" s="356"/>
      <c r="DS257" s="356"/>
      <c r="DT257" s="356"/>
      <c r="DU257" s="356"/>
      <c r="DV257" s="356"/>
      <c r="DW257" s="356"/>
      <c r="DX257" s="356"/>
      <c r="DY257" s="356"/>
      <c r="DZ257" s="356"/>
      <c r="EA257" s="356"/>
      <c r="EB257" s="356"/>
      <c r="EC257" s="356"/>
      <c r="ED257" s="356"/>
      <c r="EE257" s="356"/>
      <c r="EF257" s="356"/>
      <c r="EG257" s="356"/>
      <c r="EH257" s="356"/>
      <c r="EI257" s="356"/>
      <c r="EJ257" s="356"/>
      <c r="EK257" s="356"/>
      <c r="EL257" s="356"/>
      <c r="EM257" s="356"/>
      <c r="EN257" s="356"/>
      <c r="EO257" s="356"/>
      <c r="EP257" s="356"/>
      <c r="EQ257" s="356"/>
    </row>
    <row r="258" spans="1:147" ht="15" customHeight="1">
      <c r="A258" s="473"/>
      <c r="I258" s="777" t="s">
        <v>1751</v>
      </c>
      <c r="J258" s="356"/>
      <c r="K258" s="356"/>
      <c r="L258" s="356"/>
      <c r="M258" s="356"/>
      <c r="N258" s="356"/>
      <c r="O258" s="356"/>
      <c r="P258" s="356"/>
      <c r="Q258" s="356"/>
      <c r="R258" s="356"/>
      <c r="S258" s="356"/>
      <c r="T258" s="356"/>
      <c r="U258" s="356"/>
      <c r="V258" s="356"/>
      <c r="W258" s="356"/>
      <c r="X258" s="356"/>
      <c r="Y258" s="356"/>
      <c r="Z258" s="356"/>
      <c r="AA258" s="356"/>
      <c r="AB258" s="356"/>
      <c r="AC258" s="356"/>
      <c r="AD258" s="356"/>
      <c r="AE258" s="356"/>
      <c r="AF258" s="356"/>
      <c r="AG258" s="356"/>
      <c r="AH258" s="356"/>
      <c r="AI258" s="356"/>
      <c r="AJ258" s="356"/>
      <c r="AK258" s="356"/>
      <c r="AL258" s="356"/>
      <c r="AM258" s="356"/>
      <c r="AN258" s="356"/>
      <c r="AO258" s="356"/>
      <c r="AP258" s="356"/>
      <c r="AQ258" s="356"/>
      <c r="AR258" s="356"/>
      <c r="AS258" s="356"/>
      <c r="AT258" s="325">
        <v>724</v>
      </c>
      <c r="AU258" s="325">
        <v>801</v>
      </c>
      <c r="AV258" s="325">
        <v>755</v>
      </c>
      <c r="AW258" s="325">
        <v>2495</v>
      </c>
      <c r="AX258" s="325">
        <v>714</v>
      </c>
      <c r="AY258" s="325">
        <v>683</v>
      </c>
      <c r="AZ258" s="325">
        <v>857</v>
      </c>
      <c r="BA258" s="325">
        <v>2548</v>
      </c>
      <c r="BB258" s="325">
        <v>755</v>
      </c>
      <c r="BC258" s="325">
        <v>699</v>
      </c>
      <c r="BD258" s="325">
        <v>627</v>
      </c>
      <c r="BE258" s="325">
        <v>2408</v>
      </c>
      <c r="BF258" s="325">
        <v>587</v>
      </c>
      <c r="BG258" s="325">
        <v>1054</v>
      </c>
      <c r="BH258" s="325">
        <v>751</v>
      </c>
      <c r="BI258" s="325">
        <v>2595</v>
      </c>
      <c r="BJ258" s="325">
        <v>804</v>
      </c>
      <c r="BK258" s="325">
        <v>608</v>
      </c>
      <c r="BL258" s="325">
        <v>657</v>
      </c>
      <c r="BM258" s="325">
        <v>2272</v>
      </c>
      <c r="BN258" s="325">
        <v>772</v>
      </c>
      <c r="BO258" s="325">
        <v>658</v>
      </c>
      <c r="BP258" s="325">
        <v>1170</v>
      </c>
      <c r="BQ258" s="325">
        <v>2213</v>
      </c>
      <c r="BR258" s="325">
        <v>703</v>
      </c>
      <c r="BS258" s="325">
        <v>759</v>
      </c>
      <c r="BT258" s="325">
        <v>1040</v>
      </c>
      <c r="BU258" s="325">
        <v>2118</v>
      </c>
      <c r="BV258" s="325">
        <v>908</v>
      </c>
      <c r="BW258" s="325">
        <v>1609</v>
      </c>
      <c r="BX258" s="325">
        <v>1630</v>
      </c>
      <c r="BY258" s="325">
        <v>2452</v>
      </c>
      <c r="BZ258" s="325">
        <v>1196</v>
      </c>
      <c r="CA258" s="325">
        <v>1418</v>
      </c>
      <c r="CB258" s="325">
        <v>1902</v>
      </c>
      <c r="CC258" s="325">
        <v>2659</v>
      </c>
      <c r="CD258" s="325">
        <v>1384</v>
      </c>
      <c r="CE258" s="325">
        <v>1385</v>
      </c>
      <c r="CF258" s="325">
        <v>1658</v>
      </c>
      <c r="CG258" s="325">
        <v>2835</v>
      </c>
      <c r="CH258" s="325">
        <v>1258</v>
      </c>
      <c r="CI258" s="325">
        <v>1207</v>
      </c>
      <c r="CJ258" s="325">
        <v>1214</v>
      </c>
      <c r="CK258" s="325">
        <v>2708</v>
      </c>
      <c r="CL258" s="325">
        <v>1522</v>
      </c>
      <c r="CM258" s="325">
        <v>2078</v>
      </c>
      <c r="CN258" s="325">
        <v>1767</v>
      </c>
      <c r="CO258" s="325">
        <v>3051</v>
      </c>
      <c r="CP258" s="325">
        <v>2066</v>
      </c>
      <c r="CQ258" s="325">
        <v>1921</v>
      </c>
      <c r="CR258" s="325">
        <v>2060</v>
      </c>
      <c r="CS258" s="325">
        <v>2806.9707248821205</v>
      </c>
      <c r="CT258" s="325">
        <v>1616.8259323158504</v>
      </c>
      <c r="CU258" s="325">
        <v>1585.9480194281759</v>
      </c>
      <c r="CV258" s="325">
        <v>2112.6893946806267</v>
      </c>
      <c r="CW258" s="325">
        <v>3560.0402405100122</v>
      </c>
      <c r="CX258" s="356"/>
      <c r="CY258" s="356"/>
      <c r="CZ258" s="356"/>
      <c r="DA258" s="356"/>
      <c r="DB258" s="356"/>
      <c r="DC258" s="356"/>
      <c r="DD258" s="356"/>
      <c r="DE258" s="356"/>
      <c r="DF258" s="356"/>
      <c r="DG258" s="356"/>
      <c r="DH258" s="356"/>
      <c r="DI258" s="356"/>
      <c r="DJ258" s="356"/>
      <c r="DK258" s="325"/>
      <c r="DL258" s="325"/>
      <c r="DM258" s="325"/>
      <c r="DN258" s="325"/>
      <c r="DO258" s="325"/>
      <c r="DP258" s="325"/>
      <c r="DQ258" s="325"/>
      <c r="DR258" s="325"/>
      <c r="DS258" s="325">
        <v>3722</v>
      </c>
      <c r="DT258" s="325">
        <v>4775</v>
      </c>
      <c r="DU258" s="325">
        <v>4802</v>
      </c>
      <c r="DV258" s="325">
        <v>4489</v>
      </c>
      <c r="DW258" s="325">
        <v>4987</v>
      </c>
      <c r="DX258" s="325">
        <v>4341</v>
      </c>
      <c r="DY258" s="325">
        <v>4813</v>
      </c>
      <c r="DZ258" s="325">
        <v>4620</v>
      </c>
      <c r="EA258" s="325">
        <v>6599</v>
      </c>
      <c r="EB258" s="325">
        <v>7175</v>
      </c>
      <c r="EC258" s="325">
        <v>7262</v>
      </c>
      <c r="ED258" s="325">
        <v>6387</v>
      </c>
      <c r="EE258" s="325">
        <v>8418</v>
      </c>
      <c r="EF258" s="325">
        <v>8853.9707248821214</v>
      </c>
      <c r="EG258" s="325">
        <v>8875.5035869346648</v>
      </c>
      <c r="EH258" s="325">
        <v>10518.338634813546</v>
      </c>
      <c r="EI258" s="325">
        <v>9665.2317904567153</v>
      </c>
      <c r="EJ258" s="325">
        <v>9318.6132274479678</v>
      </c>
      <c r="EK258" s="325">
        <v>10041.985294232833</v>
      </c>
      <c r="EL258" s="325">
        <v>9569.1015707495681</v>
      </c>
      <c r="EM258" s="325">
        <v>9693.4912223981792</v>
      </c>
      <c r="EN258" s="325">
        <v>9621.1579341245942</v>
      </c>
      <c r="EO258" s="325">
        <v>10447.482616671719</v>
      </c>
      <c r="EP258" s="356"/>
      <c r="EQ258" s="356"/>
    </row>
    <row r="259" spans="1:147" ht="15" customHeight="1">
      <c r="A259" s="473"/>
      <c r="I259" s="777" t="s">
        <v>302</v>
      </c>
      <c r="J259" s="356"/>
      <c r="K259" s="356"/>
      <c r="L259" s="356"/>
      <c r="M259" s="356"/>
      <c r="N259" s="356"/>
      <c r="O259" s="356"/>
      <c r="P259" s="356"/>
      <c r="Q259" s="356"/>
      <c r="R259" s="356"/>
      <c r="S259" s="356"/>
      <c r="T259" s="356"/>
      <c r="U259" s="356"/>
      <c r="V259" s="356"/>
      <c r="W259" s="356"/>
      <c r="X259" s="356"/>
      <c r="Y259" s="356"/>
      <c r="Z259" s="356"/>
      <c r="AA259" s="356"/>
      <c r="AB259" s="356"/>
      <c r="AC259" s="356"/>
      <c r="AD259" s="356"/>
      <c r="AE259" s="356"/>
      <c r="AF259" s="356"/>
      <c r="AG259" s="356"/>
      <c r="AH259" s="356"/>
      <c r="AI259" s="356"/>
      <c r="AJ259" s="356"/>
      <c r="AK259" s="356"/>
      <c r="AL259" s="356"/>
      <c r="AM259" s="356"/>
      <c r="AN259" s="356"/>
      <c r="AO259" s="356"/>
      <c r="AP259" s="356"/>
      <c r="AQ259" s="356"/>
      <c r="AR259" s="356"/>
      <c r="AS259" s="356"/>
      <c r="AT259" s="418">
        <v>0.08</v>
      </c>
      <c r="AU259" s="418">
        <v>0.08</v>
      </c>
      <c r="AV259" s="418">
        <v>0.04</v>
      </c>
      <c r="AW259" s="418">
        <v>0.83</v>
      </c>
      <c r="AX259" s="418">
        <v>0.09</v>
      </c>
      <c r="AY259" s="418">
        <v>0.06</v>
      </c>
      <c r="AZ259" s="418">
        <v>0.12</v>
      </c>
      <c r="BA259" s="418">
        <v>0.55000000000000004</v>
      </c>
      <c r="BB259" s="418">
        <v>0.13</v>
      </c>
      <c r="BC259" s="418">
        <v>0.1</v>
      </c>
      <c r="BD259" s="418">
        <v>0.08</v>
      </c>
      <c r="BE259" s="418">
        <v>0.63</v>
      </c>
      <c r="BF259" s="418">
        <v>0.06</v>
      </c>
      <c r="BG259" s="418">
        <v>0.2</v>
      </c>
      <c r="BH259" s="418">
        <v>0.15</v>
      </c>
      <c r="BI259" s="418">
        <v>0.8</v>
      </c>
      <c r="BJ259" s="418">
        <v>0.18</v>
      </c>
      <c r="BK259" s="418">
        <v>0.08</v>
      </c>
      <c r="BL259" s="418">
        <v>0.08</v>
      </c>
      <c r="BM259" s="418">
        <v>0.8</v>
      </c>
      <c r="BN259" s="418">
        <v>0.19</v>
      </c>
      <c r="BO259" s="418">
        <v>0.06</v>
      </c>
      <c r="BP259" s="418">
        <v>0.23</v>
      </c>
      <c r="BQ259" s="418">
        <v>0.94</v>
      </c>
      <c r="BR259" s="418">
        <v>0.16</v>
      </c>
      <c r="BS259" s="418">
        <v>0.13</v>
      </c>
      <c r="BT259" s="418">
        <v>0.21</v>
      </c>
      <c r="BU259" s="418">
        <v>0.83</v>
      </c>
      <c r="BV259" s="418">
        <v>0.23</v>
      </c>
      <c r="BW259" s="418">
        <v>0.54</v>
      </c>
      <c r="BX259" s="418">
        <v>0.52</v>
      </c>
      <c r="BY259" s="418">
        <v>0.92</v>
      </c>
      <c r="BZ259" s="418">
        <v>0.31</v>
      </c>
      <c r="CA259" s="418">
        <v>0.43</v>
      </c>
      <c r="CB259" s="418">
        <v>0.6</v>
      </c>
      <c r="CC259" s="418">
        <v>0.95</v>
      </c>
      <c r="CD259" s="418">
        <v>0.38</v>
      </c>
      <c r="CE259" s="418">
        <v>0.41</v>
      </c>
      <c r="CF259" s="418">
        <v>0.52</v>
      </c>
      <c r="CG259" s="418">
        <v>1.29</v>
      </c>
      <c r="CH259" s="418">
        <v>0.31</v>
      </c>
      <c r="CI259" s="418">
        <v>0.38</v>
      </c>
      <c r="CJ259" s="418">
        <v>0.32</v>
      </c>
      <c r="CK259" s="418">
        <v>1.24</v>
      </c>
      <c r="CL259" s="418">
        <v>0.57999999999999996</v>
      </c>
      <c r="CM259" s="418">
        <v>0.97</v>
      </c>
      <c r="CN259" s="418">
        <v>0.71</v>
      </c>
      <c r="CO259" s="418">
        <v>1.21</v>
      </c>
      <c r="CP259" s="418">
        <v>0.84</v>
      </c>
      <c r="CQ259" s="418">
        <v>0.91</v>
      </c>
      <c r="CR259" s="418">
        <v>0.72</v>
      </c>
      <c r="CS259" s="418">
        <v>1.32</v>
      </c>
      <c r="CT259" s="418">
        <v>0.55000000000000004</v>
      </c>
      <c r="CU259" s="418">
        <v>0.5</v>
      </c>
      <c r="CV259" s="418">
        <v>0.83</v>
      </c>
      <c r="CW259" s="418">
        <v>1.56</v>
      </c>
      <c r="CX259" s="356"/>
      <c r="CY259" s="356"/>
      <c r="CZ259" s="356"/>
      <c r="DA259" s="356"/>
      <c r="DB259" s="356"/>
      <c r="DC259" s="356"/>
      <c r="DD259" s="356"/>
      <c r="DE259" s="356"/>
      <c r="DF259" s="356"/>
      <c r="DG259" s="356"/>
      <c r="DH259" s="356"/>
      <c r="DI259" s="356"/>
      <c r="DJ259" s="356"/>
      <c r="DK259" s="418"/>
      <c r="DL259" s="418"/>
      <c r="DM259" s="418"/>
      <c r="DN259" s="418"/>
      <c r="DO259" s="418"/>
      <c r="DP259" s="418"/>
      <c r="DQ259" s="418"/>
      <c r="DR259" s="418"/>
      <c r="DS259" s="418">
        <v>0</v>
      </c>
      <c r="DT259" s="418">
        <v>0.69</v>
      </c>
      <c r="DU259" s="418">
        <v>0.8</v>
      </c>
      <c r="DV259" s="418">
        <v>0.94</v>
      </c>
      <c r="DW259" s="418">
        <v>1.21</v>
      </c>
      <c r="DX259" s="418">
        <v>0.97</v>
      </c>
      <c r="DY259" s="418">
        <v>1.46</v>
      </c>
      <c r="DZ259" s="418">
        <v>1.34</v>
      </c>
      <c r="EA259" s="418">
        <v>2.2200000000000002</v>
      </c>
      <c r="EB259" s="418">
        <v>2.29</v>
      </c>
      <c r="EC259" s="418">
        <v>2.6</v>
      </c>
      <c r="ED259" s="418">
        <v>2.2599999999999998</v>
      </c>
      <c r="EE259" s="418">
        <v>3.48</v>
      </c>
      <c r="EF259" s="418">
        <v>3.8</v>
      </c>
      <c r="EG259" s="418">
        <v>3.45</v>
      </c>
      <c r="EH259" s="418">
        <v>4.4000000000000004</v>
      </c>
      <c r="EI259" s="418">
        <v>3.98</v>
      </c>
      <c r="EJ259" s="418">
        <v>3.65</v>
      </c>
      <c r="EK259" s="418">
        <v>5.22</v>
      </c>
      <c r="EL259" s="418">
        <v>4.79</v>
      </c>
      <c r="EM259" s="418">
        <v>4.9000000000000004</v>
      </c>
      <c r="EN259" s="418">
        <v>4.76</v>
      </c>
      <c r="EO259" s="418">
        <v>5.45</v>
      </c>
      <c r="EP259" s="356"/>
      <c r="EQ259" s="356"/>
    </row>
    <row r="260" spans="1:147" ht="15" customHeight="1">
      <c r="A260" s="473"/>
      <c r="I260" s="777" t="s">
        <v>1752</v>
      </c>
      <c r="J260" s="356"/>
      <c r="K260" s="356"/>
      <c r="L260" s="356"/>
      <c r="M260" s="356"/>
      <c r="N260" s="356"/>
      <c r="O260" s="356"/>
      <c r="P260" s="356"/>
      <c r="Q260" s="356"/>
      <c r="R260" s="356"/>
      <c r="S260" s="356"/>
      <c r="T260" s="356"/>
      <c r="U260" s="356"/>
      <c r="V260" s="356"/>
      <c r="W260" s="356"/>
      <c r="X260" s="356"/>
      <c r="Y260" s="356"/>
      <c r="Z260" s="356"/>
      <c r="AA260" s="356"/>
      <c r="AB260" s="356"/>
      <c r="AC260" s="356"/>
      <c r="AD260" s="356"/>
      <c r="AE260" s="356"/>
      <c r="AF260" s="356"/>
      <c r="AG260" s="356"/>
      <c r="AH260" s="356"/>
      <c r="AI260" s="356"/>
      <c r="AJ260" s="356"/>
      <c r="AK260" s="356"/>
      <c r="AL260" s="356"/>
      <c r="AM260" s="356"/>
      <c r="AN260" s="356"/>
      <c r="AO260" s="356"/>
      <c r="AP260" s="356"/>
      <c r="AQ260" s="356"/>
      <c r="AR260" s="356"/>
      <c r="AS260" s="356"/>
      <c r="AT260" s="456">
        <v>0.25966850828729282</v>
      </c>
      <c r="AU260" s="456">
        <v>0.2696629213483146</v>
      </c>
      <c r="AV260" s="456">
        <v>0.176158940397351</v>
      </c>
      <c r="AW260" s="456">
        <v>0.418436873747495</v>
      </c>
      <c r="AX260" s="456">
        <v>0.27731092436974791</v>
      </c>
      <c r="AY260" s="456">
        <v>0.21815519765739386</v>
      </c>
      <c r="AZ260" s="456">
        <v>0.25670945157526254</v>
      </c>
      <c r="BA260" s="456">
        <v>0.39324960753532184</v>
      </c>
      <c r="BB260" s="456">
        <v>0.32317880794701986</v>
      </c>
      <c r="BC260" s="456">
        <v>0.27324749642346208</v>
      </c>
      <c r="BD260" s="456">
        <v>0.17543859649122806</v>
      </c>
      <c r="BE260" s="456">
        <v>0.39908637873754155</v>
      </c>
      <c r="BF260" s="456">
        <v>0.19250425894378195</v>
      </c>
      <c r="BG260" s="456">
        <v>0.30550284629981023</v>
      </c>
      <c r="BH260" s="456">
        <v>0.23701731025299599</v>
      </c>
      <c r="BI260" s="456">
        <v>0.46435452793834298</v>
      </c>
      <c r="BJ260" s="456">
        <v>0.33582089552238809</v>
      </c>
      <c r="BK260" s="456">
        <v>0.23190789473684212</v>
      </c>
      <c r="BL260" s="456">
        <v>0.19025875190258751</v>
      </c>
      <c r="BM260" s="456">
        <v>0.39172535211267606</v>
      </c>
      <c r="BN260" s="456">
        <v>0.33549222797927464</v>
      </c>
      <c r="BO260" s="456">
        <v>0.20060790273556231</v>
      </c>
      <c r="BP260" s="456">
        <v>0.24188034188034188</v>
      </c>
      <c r="BQ260" s="456">
        <v>0.42611839132399459</v>
      </c>
      <c r="BR260" s="456">
        <v>0.31863442389758179</v>
      </c>
      <c r="BS260" s="456">
        <v>0.25428194993412384</v>
      </c>
      <c r="BT260" s="456">
        <v>0.26442307692307693</v>
      </c>
      <c r="BU260" s="456">
        <v>0.40698772426817753</v>
      </c>
      <c r="BV260" s="456">
        <v>0.30506607929515417</v>
      </c>
      <c r="BW260" s="456">
        <v>0.38471100062150404</v>
      </c>
      <c r="BX260" s="456">
        <v>0.37239263803680983</v>
      </c>
      <c r="BY260" s="456">
        <v>0.41394779771615009</v>
      </c>
      <c r="BZ260" s="456">
        <v>0.32190635451505017</v>
      </c>
      <c r="CA260" s="456">
        <v>0.35472496473906912</v>
      </c>
      <c r="CB260" s="456">
        <v>0.3459516298633018</v>
      </c>
      <c r="CC260" s="456">
        <v>0.37081609627679579</v>
      </c>
      <c r="CD260" s="456">
        <v>0.31069364161849711</v>
      </c>
      <c r="CE260" s="456">
        <v>0.303971119133574</v>
      </c>
      <c r="CF260" s="456">
        <v>0.3178528347406514</v>
      </c>
      <c r="CG260" s="456">
        <v>0.43703703703703706</v>
      </c>
      <c r="CH260" s="456">
        <v>0.26709062003179651</v>
      </c>
      <c r="CI260" s="456">
        <v>0.28169014084507044</v>
      </c>
      <c r="CJ260" s="456">
        <v>0.27100494233937394</v>
      </c>
      <c r="CK260" s="456">
        <v>0.44239290989660268</v>
      </c>
      <c r="CL260" s="456">
        <v>0.37385019710906703</v>
      </c>
      <c r="CM260" s="456">
        <v>0.4773820981713186</v>
      </c>
      <c r="CN260" s="456">
        <v>0.41652518392756083</v>
      </c>
      <c r="CO260" s="456">
        <v>0.38708620124549326</v>
      </c>
      <c r="CP260" s="456">
        <v>0.4244917715392062</v>
      </c>
      <c r="CQ260" s="456">
        <v>0.39927121290994272</v>
      </c>
      <c r="CR260" s="456">
        <v>0.37087378640776697</v>
      </c>
      <c r="CS260" s="456">
        <v>0.48470563240120168</v>
      </c>
      <c r="CT260" s="456">
        <v>0.36319987983194424</v>
      </c>
      <c r="CU260" s="456">
        <v>0.33991853767823249</v>
      </c>
      <c r="CV260" s="456">
        <v>0.41651055394925635</v>
      </c>
      <c r="CW260" s="456">
        <v>0.45625546019257934</v>
      </c>
      <c r="CX260" s="356"/>
      <c r="CY260" s="356"/>
      <c r="CZ260" s="356"/>
      <c r="DA260" s="356"/>
      <c r="DB260" s="356"/>
      <c r="DC260" s="356"/>
      <c r="DD260" s="356"/>
      <c r="DE260" s="356"/>
      <c r="DF260" s="356"/>
      <c r="DG260" s="356"/>
      <c r="DH260" s="356"/>
      <c r="DI260" s="356"/>
      <c r="DJ260" s="356"/>
      <c r="DK260" s="456"/>
      <c r="DL260" s="456"/>
      <c r="DM260" s="456"/>
      <c r="DN260" s="456"/>
      <c r="DO260" s="456"/>
      <c r="DP260" s="456"/>
      <c r="DQ260" s="456"/>
      <c r="DR260" s="456"/>
      <c r="DS260" s="456">
        <v>0.30951101558301986</v>
      </c>
      <c r="DT260" s="456">
        <v>0.3310994764397906</v>
      </c>
      <c r="DU260" s="456">
        <v>0.32673885880882964</v>
      </c>
      <c r="DV260" s="456">
        <v>0.33548674537758966</v>
      </c>
      <c r="DW260" s="456">
        <v>0.36454782434329258</v>
      </c>
      <c r="DX260" s="456">
        <v>0.32849573830914536</v>
      </c>
      <c r="DY260" s="456">
        <v>0.33596509453563267</v>
      </c>
      <c r="DZ260" s="456">
        <v>0.33636363636363636</v>
      </c>
      <c r="EA260" s="456">
        <v>0.38157296560084863</v>
      </c>
      <c r="EB260" s="456">
        <v>0.35289198606271777</v>
      </c>
      <c r="EC260" s="456">
        <v>0.36036904434040207</v>
      </c>
      <c r="ED260" s="456">
        <v>0.34491936746516361</v>
      </c>
      <c r="EE260" s="456">
        <v>0.41993347588500829</v>
      </c>
      <c r="EF260" s="456">
        <v>0.43207218989156754</v>
      </c>
      <c r="EG260" s="456">
        <v>0.4154771960986523</v>
      </c>
      <c r="EH260" s="456">
        <v>0.43931640596336363</v>
      </c>
      <c r="EI260" s="456">
        <v>0.43558024492204261</v>
      </c>
      <c r="EJ260" s="456">
        <v>0.41930087157265833</v>
      </c>
      <c r="EK260" s="456">
        <v>0.44227437689944038</v>
      </c>
      <c r="EL260" s="456">
        <v>0.42424751522421994</v>
      </c>
      <c r="EM260" s="456">
        <v>0.43152530976131409</v>
      </c>
      <c r="EN260" s="456">
        <v>0.42530956092153072</v>
      </c>
      <c r="EO260" s="456">
        <v>0.45197295374807356</v>
      </c>
      <c r="EP260" s="356"/>
      <c r="EQ260" s="356"/>
    </row>
    <row r="261" spans="1:147" ht="15" customHeight="1">
      <c r="A261" s="473"/>
      <c r="J261" s="356"/>
      <c r="K261" s="356"/>
      <c r="L261" s="356"/>
      <c r="M261" s="356"/>
      <c r="N261" s="356"/>
      <c r="O261" s="356"/>
      <c r="P261" s="356"/>
      <c r="Q261" s="356"/>
      <c r="R261" s="356"/>
      <c r="S261" s="356"/>
      <c r="T261" s="356"/>
      <c r="U261" s="356"/>
      <c r="V261" s="356"/>
      <c r="W261" s="356"/>
      <c r="X261" s="356"/>
      <c r="Y261" s="356"/>
      <c r="Z261" s="356"/>
      <c r="AA261" s="356"/>
      <c r="AB261" s="356"/>
      <c r="AC261" s="356"/>
      <c r="AD261" s="356"/>
      <c r="AE261" s="356"/>
      <c r="AF261" s="356"/>
      <c r="AG261" s="356"/>
      <c r="AH261" s="356"/>
      <c r="AI261" s="356"/>
      <c r="AJ261" s="356"/>
      <c r="AK261" s="356"/>
      <c r="AL261" s="356"/>
      <c r="AM261" s="356"/>
      <c r="AN261" s="356"/>
      <c r="AO261" s="356"/>
      <c r="AP261" s="356"/>
      <c r="AQ261" s="356"/>
      <c r="AR261" s="356"/>
      <c r="AS261" s="356"/>
      <c r="AT261" s="356"/>
      <c r="AU261" s="356"/>
      <c r="AV261" s="356"/>
      <c r="AW261" s="356"/>
      <c r="AX261" s="356"/>
      <c r="AY261" s="356"/>
      <c r="AZ261" s="356"/>
      <c r="BA261" s="356"/>
      <c r="BB261" s="356"/>
      <c r="BC261" s="356"/>
      <c r="BD261" s="356"/>
      <c r="BE261" s="356"/>
      <c r="BF261" s="356"/>
      <c r="BG261" s="356"/>
      <c r="BH261" s="356"/>
      <c r="BI261" s="356"/>
      <c r="BJ261" s="356"/>
      <c r="BK261" s="356"/>
      <c r="BL261" s="356"/>
      <c r="BM261" s="356"/>
      <c r="BN261" s="356"/>
      <c r="BO261" s="356"/>
      <c r="BP261" s="356"/>
      <c r="BQ261" s="356"/>
      <c r="BR261" s="356"/>
      <c r="BS261" s="356"/>
      <c r="BT261" s="356"/>
      <c r="BU261" s="356"/>
      <c r="BV261" s="356"/>
      <c r="BW261" s="356"/>
      <c r="BX261" s="356"/>
      <c r="BY261" s="356"/>
      <c r="BZ261" s="356"/>
      <c r="CA261" s="356"/>
      <c r="CB261" s="356"/>
      <c r="CC261" s="356"/>
      <c r="CD261" s="356"/>
      <c r="CE261" s="356"/>
      <c r="CF261" s="356"/>
      <c r="CG261" s="356"/>
      <c r="CH261" s="356"/>
      <c r="CI261" s="356"/>
      <c r="CJ261" s="356"/>
      <c r="CK261" s="356"/>
      <c r="CL261" s="356"/>
      <c r="CM261" s="356"/>
      <c r="CN261" s="356"/>
      <c r="CO261" s="356"/>
      <c r="CP261" s="356"/>
      <c r="CQ261" s="356"/>
      <c r="CR261" s="356"/>
      <c r="CS261" s="356"/>
      <c r="CT261" s="356"/>
      <c r="CU261" s="356"/>
      <c r="CV261" s="356"/>
      <c r="CW261" s="356"/>
      <c r="CX261" s="356"/>
      <c r="CY261" s="356"/>
      <c r="CZ261" s="356"/>
      <c r="DA261" s="356"/>
      <c r="DB261" s="356"/>
      <c r="DC261" s="356"/>
      <c r="DD261" s="356"/>
      <c r="DE261" s="356"/>
      <c r="DF261" s="356"/>
      <c r="DG261" s="356"/>
      <c r="DH261" s="356"/>
      <c r="DI261" s="356"/>
      <c r="DJ261" s="356"/>
      <c r="DK261" s="356"/>
      <c r="DL261" s="356"/>
      <c r="DM261" s="356"/>
      <c r="DN261" s="356"/>
      <c r="DO261" s="356"/>
      <c r="DP261" s="356"/>
      <c r="DQ261" s="356"/>
      <c r="DR261" s="356"/>
      <c r="DS261" s="356"/>
      <c r="DT261" s="356"/>
      <c r="DU261" s="356"/>
      <c r="DV261" s="356"/>
      <c r="DW261" s="356"/>
      <c r="DX261" s="356"/>
      <c r="DY261" s="356"/>
      <c r="DZ261" s="356"/>
      <c r="EA261" s="356"/>
      <c r="EB261" s="356"/>
      <c r="EC261" s="356"/>
      <c r="ED261" s="356"/>
      <c r="EE261" s="356"/>
      <c r="EF261" s="356"/>
      <c r="EG261" s="356"/>
      <c r="EH261" s="356"/>
      <c r="EI261" s="356"/>
      <c r="EJ261" s="356"/>
      <c r="EK261" s="356"/>
      <c r="EL261" s="356"/>
      <c r="EM261" s="356"/>
      <c r="EN261" s="356"/>
      <c r="EO261" s="356"/>
      <c r="EP261" s="356"/>
      <c r="EQ261" s="356"/>
    </row>
    <row r="262" spans="1:147" ht="15" customHeight="1">
      <c r="A262" s="473"/>
      <c r="J262" s="356"/>
      <c r="K262" s="356"/>
      <c r="L262" s="356"/>
      <c r="M262" s="356"/>
      <c r="N262" s="356"/>
      <c r="O262" s="356"/>
      <c r="P262" s="356"/>
      <c r="Q262" s="356"/>
      <c r="R262" s="356"/>
      <c r="S262" s="356"/>
      <c r="T262" s="356"/>
      <c r="U262" s="356"/>
      <c r="V262" s="356"/>
      <c r="W262" s="356"/>
      <c r="X262" s="356"/>
      <c r="Y262" s="356"/>
      <c r="Z262" s="356"/>
      <c r="AA262" s="356"/>
      <c r="AB262" s="356"/>
      <c r="AC262" s="356"/>
      <c r="AD262" s="356"/>
      <c r="AE262" s="356"/>
      <c r="AF262" s="356"/>
      <c r="AG262" s="356"/>
      <c r="AH262" s="356"/>
      <c r="AI262" s="356"/>
      <c r="AJ262" s="356"/>
      <c r="AK262" s="356"/>
      <c r="AL262" s="356"/>
      <c r="AM262" s="356"/>
      <c r="AN262" s="356"/>
      <c r="AO262" s="356"/>
      <c r="AP262" s="356"/>
      <c r="AQ262" s="356"/>
      <c r="AR262" s="356"/>
      <c r="AS262" s="356"/>
      <c r="AT262" s="356"/>
      <c r="AU262" s="356"/>
      <c r="AV262" s="356"/>
      <c r="AW262" s="356"/>
      <c r="AX262" s="356"/>
      <c r="AY262" s="356"/>
      <c r="AZ262" s="356"/>
      <c r="BA262" s="356"/>
      <c r="BB262" s="356"/>
      <c r="BC262" s="356"/>
      <c r="BD262" s="356"/>
      <c r="BE262" s="356"/>
      <c r="BF262" s="356"/>
      <c r="BG262" s="356"/>
      <c r="BH262" s="356"/>
      <c r="BI262" s="356"/>
      <c r="BJ262" s="356"/>
      <c r="BK262" s="356"/>
      <c r="BL262" s="356"/>
      <c r="BM262" s="356"/>
      <c r="BN262" s="356"/>
      <c r="BO262" s="356"/>
      <c r="BP262" s="356"/>
      <c r="BQ262" s="356"/>
      <c r="BR262" s="356"/>
      <c r="BS262" s="356"/>
      <c r="BT262" s="356"/>
      <c r="BU262" s="356"/>
      <c r="BV262" s="356"/>
      <c r="BW262" s="356"/>
      <c r="BX262" s="356"/>
      <c r="BY262" s="356"/>
      <c r="BZ262" s="356"/>
      <c r="CA262" s="356"/>
      <c r="CB262" s="356"/>
      <c r="CC262" s="356"/>
      <c r="CD262" s="356"/>
      <c r="CE262" s="356"/>
      <c r="CF262" s="356"/>
      <c r="CG262" s="356"/>
      <c r="CH262" s="356"/>
      <c r="CI262" s="356"/>
      <c r="CJ262" s="356"/>
      <c r="CK262" s="356"/>
      <c r="CL262" s="356"/>
      <c r="CM262" s="356"/>
      <c r="CN262" s="356"/>
      <c r="CO262" s="356"/>
      <c r="CP262" s="356"/>
      <c r="CQ262" s="356"/>
      <c r="CR262" s="356"/>
      <c r="CS262" s="356"/>
      <c r="CT262" s="356"/>
      <c r="CU262" s="356"/>
      <c r="CV262" s="356"/>
      <c r="CW262" s="356"/>
      <c r="CX262" s="356"/>
      <c r="CY262" s="356"/>
      <c r="CZ262" s="356"/>
      <c r="DA262" s="356"/>
      <c r="DB262" s="356"/>
      <c r="DC262" s="356"/>
      <c r="DD262" s="356"/>
      <c r="DE262" s="356"/>
      <c r="DF262" s="356"/>
      <c r="DG262" s="356"/>
      <c r="DH262" s="356"/>
      <c r="DI262" s="356"/>
      <c r="DJ262" s="356"/>
      <c r="DK262" s="356"/>
      <c r="DL262" s="356"/>
      <c r="DM262" s="356"/>
      <c r="DN262" s="356"/>
      <c r="DO262" s="356"/>
      <c r="DP262" s="356"/>
      <c r="DQ262" s="356"/>
      <c r="DR262" s="356"/>
      <c r="DS262" s="356"/>
      <c r="DT262" s="356"/>
      <c r="DU262" s="356"/>
      <c r="DV262" s="356"/>
      <c r="DW262" s="356"/>
      <c r="DX262" s="356"/>
      <c r="DY262" s="356"/>
      <c r="DZ262" s="356"/>
      <c r="EA262" s="356"/>
      <c r="EB262" s="356"/>
      <c r="EC262" s="356"/>
      <c r="ED262" s="356"/>
      <c r="EE262" s="356"/>
      <c r="EF262" s="356"/>
      <c r="EG262" s="356"/>
      <c r="EH262" s="356"/>
      <c r="EI262" s="356"/>
      <c r="EJ262" s="356"/>
      <c r="EK262" s="356"/>
      <c r="EL262" s="356"/>
      <c r="EM262" s="356"/>
      <c r="EN262" s="356"/>
      <c r="EO262" s="356"/>
      <c r="EP262" s="356"/>
      <c r="EQ262" s="356"/>
    </row>
    <row r="263" spans="1:147" customFormat="1" ht="15" customHeight="1"/>
    <row r="264" spans="1:147" ht="15" customHeight="1">
      <c r="A264" s="473"/>
      <c r="H264" s="474"/>
      <c r="AT264" s="356"/>
      <c r="AU264" s="356"/>
      <c r="AV264" s="356"/>
      <c r="AW264" s="356"/>
      <c r="AX264" s="356"/>
      <c r="AY264" s="356"/>
      <c r="AZ264" s="356"/>
      <c r="BA264" s="356"/>
      <c r="BB264" s="356"/>
      <c r="BC264" s="356"/>
      <c r="BD264" s="356"/>
      <c r="BE264" s="356"/>
      <c r="BF264" s="356"/>
      <c r="BG264" s="356"/>
      <c r="BH264" s="356"/>
      <c r="BI264" s="356"/>
      <c r="BJ264" s="356"/>
      <c r="BK264" s="356"/>
      <c r="BL264" s="356"/>
      <c r="BM264" s="356"/>
      <c r="BN264" s="356"/>
      <c r="BO264" s="356"/>
      <c r="BP264" s="356"/>
      <c r="BQ264" s="356"/>
      <c r="BR264" s="356"/>
      <c r="BS264" s="356"/>
      <c r="BT264" s="356"/>
      <c r="BU264" s="356"/>
      <c r="BV264" s="356"/>
      <c r="BW264" s="356"/>
      <c r="BX264" s="356"/>
      <c r="BY264" s="356"/>
      <c r="BZ264" s="356"/>
      <c r="CA264" s="356"/>
      <c r="CB264" s="356"/>
      <c r="CC264" s="356"/>
      <c r="CD264" s="356"/>
      <c r="CE264" s="356"/>
      <c r="CF264" s="356"/>
      <c r="CG264" s="356"/>
      <c r="CH264" s="356"/>
      <c r="CI264" s="356"/>
      <c r="CJ264" s="356"/>
      <c r="CK264" s="356"/>
      <c r="CL264" s="356"/>
      <c r="CM264" s="356"/>
      <c r="CN264" s="356"/>
      <c r="CO264" s="356"/>
      <c r="CP264" s="356"/>
      <c r="CQ264" s="356"/>
      <c r="CR264" s="356"/>
      <c r="CS264" s="356"/>
      <c r="CT264" s="356"/>
      <c r="CU264" s="356"/>
      <c r="CV264" s="356"/>
      <c r="CW264" s="356"/>
      <c r="CX264" s="356"/>
      <c r="CY264" s="356"/>
      <c r="CZ264" s="356"/>
      <c r="DA264" s="356"/>
      <c r="DB264" s="356"/>
      <c r="DC264" s="356"/>
      <c r="DD264" s="356"/>
      <c r="DE264" s="356"/>
      <c r="DF264" s="356"/>
      <c r="DG264" s="356"/>
      <c r="DH264" s="356"/>
      <c r="DI264" s="356"/>
      <c r="DJ264" s="474"/>
      <c r="DK264" s="356"/>
      <c r="DL264" s="356"/>
      <c r="DM264" s="356"/>
      <c r="DN264" s="356"/>
      <c r="DO264" s="356"/>
      <c r="DP264" s="356"/>
      <c r="DQ264" s="356"/>
      <c r="DR264" s="356"/>
      <c r="DS264" s="356"/>
      <c r="DT264" s="356"/>
      <c r="DU264" s="356"/>
      <c r="DV264" s="356"/>
      <c r="DW264" s="356"/>
      <c r="DX264" s="356"/>
      <c r="DY264" s="356"/>
      <c r="DZ264" s="356"/>
      <c r="EA264" s="356"/>
      <c r="EB264" s="356"/>
      <c r="EC264" s="356"/>
      <c r="ED264" s="356"/>
      <c r="EE264" s="356"/>
      <c r="EF264" s="356"/>
      <c r="EG264" s="356"/>
      <c r="EH264" s="356"/>
      <c r="EI264" s="356"/>
      <c r="EJ264" s="356"/>
      <c r="EK264" s="356"/>
      <c r="EL264" s="356"/>
      <c r="EM264" s="356"/>
      <c r="EN264" s="356"/>
      <c r="EO264" s="356"/>
      <c r="EP264" s="356"/>
      <c r="EQ264" s="356"/>
    </row>
    <row r="265" spans="1:147" ht="15" customHeight="1">
      <c r="A265" s="473"/>
      <c r="H265" s="474"/>
      <c r="AT265" s="356"/>
      <c r="AU265" s="356"/>
      <c r="AV265" s="356"/>
      <c r="AW265" s="356"/>
      <c r="AX265" s="356"/>
      <c r="AY265" s="356"/>
      <c r="AZ265" s="356"/>
      <c r="BA265" s="356"/>
      <c r="BB265" s="356"/>
      <c r="BC265" s="356"/>
      <c r="BD265" s="356"/>
      <c r="BE265" s="356"/>
      <c r="BF265" s="356"/>
      <c r="BG265" s="356"/>
      <c r="BH265" s="356"/>
      <c r="BI265" s="356"/>
      <c r="BJ265" s="356"/>
      <c r="BK265" s="356"/>
      <c r="BL265" s="356"/>
      <c r="BM265" s="356"/>
      <c r="BN265" s="356"/>
      <c r="BO265" s="356"/>
      <c r="BP265" s="356"/>
      <c r="BQ265" s="356"/>
      <c r="BR265" s="356"/>
      <c r="BS265" s="356"/>
      <c r="BT265" s="356"/>
      <c r="BU265" s="356"/>
      <c r="BV265" s="356"/>
      <c r="BW265" s="356"/>
      <c r="BX265" s="356"/>
      <c r="BY265" s="356"/>
      <c r="BZ265" s="356"/>
      <c r="CA265" s="356"/>
      <c r="CB265" s="356"/>
      <c r="CC265" s="356"/>
      <c r="CD265" s="356"/>
      <c r="CE265" s="356"/>
      <c r="CF265" s="356"/>
      <c r="CG265" s="356"/>
      <c r="CH265" s="356"/>
      <c r="CI265" s="356"/>
      <c r="CJ265" s="356"/>
      <c r="CK265" s="356"/>
      <c r="CL265" s="356"/>
      <c r="CM265" s="356"/>
      <c r="CN265" s="356"/>
      <c r="CO265" s="356"/>
      <c r="CP265" s="356"/>
      <c r="CQ265" s="356"/>
      <c r="CR265" s="356"/>
      <c r="CS265" s="356"/>
      <c r="CT265" s="356"/>
      <c r="CU265" s="356"/>
      <c r="CV265" s="356"/>
      <c r="CW265" s="356"/>
      <c r="CX265" s="356"/>
      <c r="CY265" s="356"/>
      <c r="CZ265" s="356"/>
      <c r="DA265" s="356"/>
      <c r="DB265" s="356"/>
      <c r="DC265" s="356"/>
      <c r="DD265" s="356"/>
      <c r="DE265" s="356"/>
      <c r="DF265" s="356"/>
      <c r="DG265" s="356"/>
      <c r="DH265" s="356"/>
      <c r="DI265" s="356"/>
      <c r="DJ265" s="386"/>
      <c r="DK265" s="356"/>
      <c r="DL265" s="356"/>
      <c r="DM265" s="356"/>
      <c r="DN265" s="356"/>
      <c r="DO265" s="356"/>
      <c r="DP265" s="356"/>
      <c r="DQ265" s="356"/>
      <c r="DR265" s="356"/>
      <c r="DS265" s="356"/>
      <c r="DT265" s="356"/>
      <c r="DU265" s="356"/>
      <c r="DV265" s="356"/>
      <c r="DW265" s="356"/>
      <c r="DX265" s="356"/>
      <c r="DY265" s="356"/>
      <c r="DZ265" s="356"/>
      <c r="EA265" s="356"/>
      <c r="EB265" s="356"/>
      <c r="EC265" s="356"/>
      <c r="ED265" s="356"/>
      <c r="EE265" s="356"/>
      <c r="EF265" s="356"/>
      <c r="EG265" s="356"/>
      <c r="EH265" s="356"/>
      <c r="EI265" s="356"/>
      <c r="EJ265" s="356"/>
      <c r="EK265" s="356"/>
      <c r="EL265" s="356"/>
      <c r="EM265" s="356"/>
      <c r="EN265" s="356"/>
      <c r="EO265" s="356"/>
      <c r="EP265" s="356"/>
      <c r="EQ265" s="356"/>
    </row>
    <row r="266" spans="1:147" ht="15" customHeight="1">
      <c r="A266" s="473"/>
      <c r="H266" s="474"/>
      <c r="AT266" s="356"/>
      <c r="AU266" s="356"/>
      <c r="AV266" s="356"/>
      <c r="AW266" s="356"/>
      <c r="AX266" s="356"/>
      <c r="AY266" s="356"/>
      <c r="AZ266" s="356"/>
      <c r="BA266" s="356"/>
      <c r="BB266" s="356"/>
      <c r="BC266" s="356"/>
      <c r="BD266" s="356"/>
      <c r="BE266" s="356"/>
      <c r="BF266" s="356"/>
      <c r="BG266" s="356"/>
      <c r="BH266" s="356"/>
      <c r="BI266" s="356"/>
      <c r="BJ266" s="356"/>
      <c r="BK266" s="356"/>
      <c r="BL266" s="356"/>
      <c r="BM266" s="356"/>
      <c r="BN266" s="356"/>
      <c r="BO266" s="356"/>
      <c r="BP266" s="356"/>
      <c r="BQ266" s="356"/>
      <c r="BR266" s="356"/>
      <c r="BS266" s="356"/>
      <c r="BT266" s="356"/>
      <c r="BU266" s="356"/>
      <c r="BV266" s="356"/>
      <c r="BW266" s="356"/>
      <c r="BX266" s="356"/>
      <c r="BY266" s="356"/>
      <c r="BZ266" s="356"/>
      <c r="CA266" s="356"/>
      <c r="CB266" s="356"/>
      <c r="CC266" s="356"/>
      <c r="CD266" s="356"/>
      <c r="CE266" s="356"/>
      <c r="CF266" s="356"/>
      <c r="CG266" s="356"/>
      <c r="CH266" s="356"/>
      <c r="CI266" s="356"/>
      <c r="CJ266" s="356"/>
      <c r="CK266" s="356"/>
      <c r="CL266" s="356"/>
      <c r="CM266" s="356"/>
      <c r="CN266" s="356"/>
      <c r="CO266" s="356"/>
      <c r="CP266" s="356"/>
      <c r="CQ266" s="356"/>
      <c r="CR266" s="356"/>
      <c r="CS266" s="356"/>
      <c r="CT266" s="356"/>
      <c r="CU266" s="356"/>
      <c r="CV266" s="356"/>
      <c r="CW266" s="356"/>
      <c r="CX266" s="356"/>
      <c r="CY266" s="356"/>
      <c r="CZ266" s="356"/>
      <c r="DA266" s="356"/>
      <c r="DB266" s="356"/>
      <c r="DC266" s="356"/>
      <c r="DD266" s="356"/>
      <c r="DE266" s="356"/>
      <c r="DF266" s="356"/>
      <c r="DG266" s="356"/>
      <c r="DH266" s="356"/>
      <c r="DI266" s="356"/>
      <c r="DJ266" s="386"/>
      <c r="DK266" s="356"/>
      <c r="DL266" s="356"/>
      <c r="DM266" s="356"/>
      <c r="DN266" s="356"/>
      <c r="DO266" s="356"/>
      <c r="DP266" s="356"/>
      <c r="DQ266" s="356"/>
      <c r="DR266" s="356"/>
      <c r="DS266" s="356"/>
      <c r="DT266" s="356"/>
      <c r="DU266" s="356"/>
      <c r="DV266" s="356"/>
      <c r="DW266" s="356"/>
      <c r="DX266" s="356"/>
      <c r="DY266" s="356"/>
      <c r="DZ266" s="356"/>
      <c r="EA266" s="356"/>
      <c r="EB266" s="356"/>
      <c r="EC266" s="356"/>
      <c r="ED266" s="356"/>
      <c r="EE266" s="356"/>
      <c r="EF266" s="356"/>
      <c r="EG266" s="356"/>
      <c r="EH266" s="356"/>
      <c r="EI266" s="356"/>
      <c r="EJ266" s="356"/>
      <c r="EK266" s="356"/>
      <c r="EL266" s="356"/>
      <c r="EM266" s="356"/>
      <c r="EN266" s="356"/>
      <c r="EO266" s="356"/>
      <c r="EP266" s="356"/>
      <c r="EQ266" s="356"/>
    </row>
    <row r="267" spans="1:147" ht="15" customHeight="1">
      <c r="A267" s="473"/>
      <c r="BB267" s="356"/>
      <c r="BC267" s="356"/>
      <c r="BD267" s="356"/>
      <c r="BE267" s="356"/>
      <c r="BF267" s="356"/>
      <c r="BG267" s="356"/>
      <c r="BH267" s="356"/>
      <c r="BI267" s="356"/>
      <c r="BJ267" s="356"/>
      <c r="BK267" s="356"/>
      <c r="BL267" s="356"/>
      <c r="BM267" s="356"/>
      <c r="BN267" s="356"/>
      <c r="BO267" s="356"/>
      <c r="BP267" s="356"/>
      <c r="BQ267" s="356"/>
      <c r="BR267" s="356"/>
      <c r="BS267" s="356"/>
      <c r="BT267" s="356"/>
      <c r="BU267" s="356"/>
      <c r="BV267" s="356"/>
      <c r="BW267" s="356"/>
      <c r="BX267" s="356"/>
      <c r="BY267" s="356"/>
      <c r="BZ267" s="356"/>
      <c r="CA267" s="356"/>
      <c r="CB267" s="356"/>
      <c r="CC267" s="356"/>
      <c r="CD267" s="356"/>
      <c r="CE267" s="356"/>
      <c r="CF267" s="356"/>
      <c r="CG267" s="356"/>
      <c r="CH267" s="356"/>
      <c r="CI267" s="356"/>
      <c r="CJ267" s="356"/>
      <c r="CK267" s="356"/>
      <c r="CL267" s="356"/>
      <c r="CM267" s="356"/>
      <c r="CN267" s="356"/>
      <c r="CO267" s="356"/>
      <c r="CP267" s="356"/>
      <c r="CQ267" s="356"/>
      <c r="CR267" s="356"/>
      <c r="CS267" s="356"/>
      <c r="CT267" s="356"/>
      <c r="CU267" s="356"/>
      <c r="CV267" s="356"/>
      <c r="CW267" s="356"/>
      <c r="CX267" s="356"/>
      <c r="CY267" s="356"/>
      <c r="CZ267" s="356"/>
      <c r="DA267" s="356"/>
      <c r="DB267" s="356"/>
      <c r="DC267" s="356"/>
      <c r="DD267" s="356"/>
      <c r="DE267" s="356"/>
      <c r="DF267" s="356"/>
      <c r="DG267" s="356"/>
      <c r="DH267" s="356"/>
      <c r="DI267" s="356"/>
      <c r="DJ267" s="356"/>
      <c r="DK267" s="356"/>
      <c r="DL267" s="356"/>
      <c r="DM267" s="356"/>
      <c r="DN267" s="356"/>
      <c r="DO267" s="356"/>
      <c r="DP267" s="356"/>
      <c r="DQ267" s="356"/>
      <c r="DR267" s="356"/>
      <c r="DS267" s="356"/>
      <c r="DT267" s="356"/>
      <c r="DU267" s="356"/>
      <c r="DV267" s="356"/>
      <c r="DW267" s="356"/>
      <c r="DX267" s="356"/>
      <c r="DY267" s="356"/>
      <c r="DZ267" s="356"/>
      <c r="EA267" s="356"/>
      <c r="EB267" s="356"/>
      <c r="EC267" s="356"/>
      <c r="ED267" s="356"/>
      <c r="EE267" s="356"/>
      <c r="EF267" s="356"/>
      <c r="EG267" s="356"/>
      <c r="EH267" s="356"/>
      <c r="EI267" s="356"/>
      <c r="EJ267" s="356"/>
      <c r="EK267" s="356"/>
      <c r="EL267" s="356"/>
      <c r="EM267" s="356"/>
      <c r="EN267" s="356"/>
      <c r="EO267" s="356"/>
      <c r="EP267" s="356"/>
      <c r="EQ267" s="356"/>
    </row>
    <row r="268" spans="1:147" ht="15" customHeight="1">
      <c r="A268" s="473"/>
      <c r="BB268" s="356"/>
      <c r="BC268" s="356"/>
      <c r="BD268" s="356"/>
      <c r="BE268" s="356"/>
      <c r="BF268" s="356"/>
      <c r="BG268" s="356"/>
      <c r="BH268" s="356"/>
      <c r="BI268" s="356"/>
      <c r="BJ268" s="356"/>
      <c r="BK268" s="356"/>
      <c r="BL268" s="356"/>
      <c r="BM268" s="356"/>
      <c r="BN268" s="356"/>
      <c r="BO268" s="356"/>
      <c r="BP268" s="356"/>
      <c r="BQ268" s="356"/>
      <c r="BR268" s="356"/>
      <c r="BS268" s="356"/>
      <c r="BT268" s="356"/>
      <c r="BU268" s="356"/>
      <c r="BV268" s="356"/>
      <c r="BW268" s="356"/>
      <c r="BX268" s="356"/>
      <c r="BY268" s="356"/>
      <c r="BZ268" s="356"/>
      <c r="CA268" s="356"/>
      <c r="CB268" s="356"/>
      <c r="CC268" s="356"/>
      <c r="CD268" s="356"/>
      <c r="CE268" s="356"/>
      <c r="CF268" s="356"/>
      <c r="CG268" s="356"/>
      <c r="CH268" s="356"/>
      <c r="CI268" s="356"/>
      <c r="CJ268" s="356"/>
      <c r="CK268" s="356"/>
      <c r="CL268" s="356"/>
      <c r="CM268" s="356"/>
      <c r="CN268" s="356"/>
      <c r="CO268" s="356"/>
      <c r="CP268" s="356"/>
      <c r="CQ268" s="356"/>
      <c r="CR268" s="356"/>
      <c r="CS268" s="356"/>
      <c r="CT268" s="356"/>
      <c r="CU268" s="356"/>
      <c r="CV268" s="356"/>
      <c r="CW268" s="356"/>
      <c r="CX268" s="356"/>
      <c r="CY268" s="356"/>
      <c r="CZ268" s="356"/>
      <c r="DA268" s="356"/>
      <c r="DB268" s="356"/>
      <c r="DC268" s="356"/>
      <c r="DD268" s="356"/>
      <c r="DE268" s="356"/>
      <c r="DF268" s="356"/>
      <c r="DG268" s="356"/>
      <c r="DH268" s="356"/>
      <c r="DI268" s="356"/>
      <c r="DJ268" s="356"/>
      <c r="DK268" s="356"/>
      <c r="DL268" s="356"/>
      <c r="DM268" s="356"/>
      <c r="DN268" s="356"/>
      <c r="DO268" s="356"/>
      <c r="DP268" s="356"/>
      <c r="DQ268" s="356"/>
      <c r="DR268" s="356"/>
      <c r="DS268" s="356"/>
      <c r="DT268" s="356"/>
      <c r="DU268" s="356"/>
      <c r="DV268" s="356"/>
      <c r="DW268" s="356"/>
      <c r="DX268" s="356"/>
      <c r="DY268" s="356"/>
      <c r="DZ268" s="356"/>
      <c r="EA268" s="356"/>
      <c r="EB268" s="356"/>
      <c r="EC268" s="356"/>
      <c r="ED268" s="356"/>
      <c r="EE268" s="356"/>
      <c r="EF268" s="356"/>
      <c r="EG268" s="356"/>
      <c r="EH268" s="356"/>
      <c r="EI268" s="356"/>
      <c r="EJ268" s="356"/>
      <c r="EK268" s="356"/>
      <c r="EL268" s="356"/>
      <c r="EM268" s="356"/>
      <c r="EN268" s="356"/>
      <c r="EO268" s="356"/>
      <c r="EP268" s="356"/>
      <c r="EQ268" s="356"/>
    </row>
    <row r="269" spans="1:147" ht="15" customHeight="1">
      <c r="A269" s="473"/>
      <c r="BB269" s="356"/>
      <c r="BC269" s="356"/>
      <c r="BD269" s="356"/>
      <c r="BE269" s="356"/>
      <c r="BF269" s="356"/>
      <c r="BG269" s="356"/>
      <c r="BH269" s="356"/>
      <c r="BI269" s="356"/>
      <c r="BJ269" s="356"/>
      <c r="BK269" s="356"/>
      <c r="BL269" s="356"/>
      <c r="BM269" s="356"/>
      <c r="BN269" s="356"/>
      <c r="BO269" s="356"/>
      <c r="BP269" s="356"/>
      <c r="BQ269" s="356"/>
      <c r="BR269" s="356"/>
      <c r="BS269" s="356"/>
      <c r="BT269" s="356"/>
      <c r="BU269" s="356"/>
      <c r="BV269" s="356"/>
      <c r="BW269" s="356"/>
      <c r="BX269" s="356"/>
      <c r="BY269" s="356"/>
      <c r="BZ269" s="356"/>
      <c r="CA269" s="356"/>
      <c r="CB269" s="356"/>
      <c r="CC269" s="356"/>
      <c r="CD269" s="356"/>
      <c r="CE269" s="356"/>
      <c r="CF269" s="356"/>
      <c r="CG269" s="356"/>
      <c r="CH269" s="356"/>
      <c r="CI269" s="356"/>
      <c r="CJ269" s="356"/>
      <c r="CK269" s="356"/>
      <c r="CL269" s="356"/>
      <c r="CM269" s="356"/>
      <c r="CN269" s="356"/>
      <c r="CO269" s="356"/>
      <c r="CP269" s="356"/>
      <c r="CQ269" s="356"/>
      <c r="CR269" s="356"/>
      <c r="CS269" s="356"/>
      <c r="CT269" s="356"/>
      <c r="CU269" s="356"/>
      <c r="CV269" s="356"/>
      <c r="CW269" s="356"/>
      <c r="CX269" s="356"/>
      <c r="CY269" s="356"/>
      <c r="CZ269" s="356"/>
      <c r="DA269" s="356"/>
      <c r="DB269" s="356"/>
      <c r="DC269" s="356"/>
      <c r="DD269" s="356"/>
      <c r="DE269" s="356"/>
      <c r="DF269" s="356"/>
      <c r="DG269" s="356"/>
      <c r="DH269" s="356"/>
      <c r="DI269" s="356"/>
      <c r="DJ269" s="356"/>
      <c r="DK269" s="356"/>
      <c r="DL269" s="356"/>
      <c r="DM269" s="356"/>
      <c r="DN269" s="356"/>
      <c r="DO269" s="356"/>
      <c r="DP269" s="356"/>
      <c r="DQ269" s="356"/>
      <c r="DR269" s="356"/>
      <c r="DS269" s="356"/>
      <c r="DT269" s="356"/>
      <c r="DU269" s="356"/>
      <c r="DV269" s="356"/>
      <c r="DW269" s="356"/>
      <c r="DX269" s="356"/>
      <c r="DY269" s="356"/>
      <c r="DZ269" s="356"/>
      <c r="EA269" s="356"/>
      <c r="EB269" s="356"/>
      <c r="EC269" s="356"/>
      <c r="ED269" s="356"/>
      <c r="EE269" s="356"/>
      <c r="EF269" s="356"/>
      <c r="EG269" s="356"/>
      <c r="EH269" s="356"/>
      <c r="EI269" s="356"/>
      <c r="EJ269" s="356"/>
      <c r="EK269" s="356"/>
      <c r="EL269" s="356"/>
      <c r="EM269" s="356"/>
      <c r="EN269" s="356"/>
      <c r="EO269" s="356"/>
      <c r="EP269" s="356"/>
      <c r="EQ269" s="356"/>
    </row>
    <row r="270" spans="1:147" ht="15" customHeight="1">
      <c r="A270" s="473"/>
      <c r="BB270" s="356"/>
      <c r="BC270" s="356"/>
      <c r="BD270" s="356"/>
      <c r="BE270" s="356"/>
      <c r="BF270" s="356"/>
      <c r="BG270" s="356"/>
      <c r="BH270" s="356"/>
      <c r="BI270" s="356"/>
      <c r="BJ270" s="356"/>
      <c r="BK270" s="356"/>
      <c r="BL270" s="356"/>
      <c r="BM270" s="356"/>
      <c r="BN270" s="356"/>
      <c r="BO270" s="356"/>
      <c r="BP270" s="356"/>
      <c r="BQ270" s="356"/>
      <c r="BR270" s="356"/>
      <c r="BS270" s="356"/>
      <c r="BT270" s="356"/>
      <c r="BU270" s="356"/>
      <c r="BV270" s="356"/>
      <c r="BW270" s="356"/>
      <c r="BX270" s="356"/>
      <c r="BY270" s="356"/>
      <c r="BZ270" s="356"/>
      <c r="CA270" s="356"/>
      <c r="CB270" s="356"/>
      <c r="CC270" s="356"/>
      <c r="CD270" s="356"/>
      <c r="CE270" s="356"/>
      <c r="CF270" s="356"/>
      <c r="CG270" s="356"/>
      <c r="CH270" s="356"/>
      <c r="CI270" s="356"/>
      <c r="CJ270" s="356"/>
      <c r="CK270" s="356"/>
      <c r="CL270" s="356"/>
      <c r="CM270" s="356"/>
      <c r="CN270" s="356"/>
      <c r="CO270" s="356"/>
      <c r="CP270" s="356"/>
      <c r="CQ270" s="356"/>
      <c r="CR270" s="356"/>
      <c r="CS270" s="356"/>
      <c r="CT270" s="356"/>
      <c r="CU270" s="356"/>
      <c r="CV270" s="356"/>
      <c r="CW270" s="356"/>
      <c r="CX270" s="356"/>
      <c r="CY270" s="356"/>
      <c r="CZ270" s="356"/>
      <c r="DA270" s="356"/>
      <c r="DB270" s="356"/>
      <c r="DC270" s="356"/>
      <c r="DD270" s="356"/>
      <c r="DE270" s="356"/>
      <c r="DF270" s="356"/>
      <c r="DG270" s="356"/>
      <c r="DH270" s="356"/>
      <c r="DI270" s="356"/>
      <c r="DJ270" s="356"/>
      <c r="DK270" s="356"/>
      <c r="DL270" s="356"/>
      <c r="DM270" s="356"/>
      <c r="DN270" s="356"/>
      <c r="DO270" s="356"/>
      <c r="DP270" s="356"/>
      <c r="DQ270" s="356"/>
      <c r="DR270" s="356"/>
      <c r="DS270" s="356"/>
      <c r="DT270" s="356"/>
      <c r="DU270" s="356"/>
      <c r="DV270" s="356"/>
      <c r="DW270" s="356"/>
      <c r="DX270" s="356"/>
      <c r="DY270" s="356"/>
      <c r="DZ270" s="356"/>
      <c r="EA270" s="356"/>
      <c r="EB270" s="356"/>
      <c r="EC270" s="356"/>
      <c r="ED270" s="356"/>
      <c r="EE270" s="356"/>
      <c r="EF270" s="356"/>
      <c r="EG270" s="356"/>
      <c r="EH270" s="356"/>
      <c r="EI270" s="356"/>
      <c r="EJ270" s="356"/>
      <c r="EK270" s="356"/>
      <c r="EL270" s="356"/>
      <c r="EM270" s="356"/>
      <c r="EN270" s="356"/>
      <c r="EO270" s="356"/>
      <c r="EP270" s="356"/>
      <c r="EQ270" s="356"/>
    </row>
    <row r="271" spans="1:147" ht="15" customHeight="1">
      <c r="A271" s="473"/>
      <c r="BB271" s="356"/>
      <c r="BC271" s="356"/>
      <c r="BD271" s="356"/>
      <c r="BE271" s="356"/>
      <c r="BF271" s="356"/>
      <c r="BG271" s="356"/>
      <c r="BH271" s="356"/>
      <c r="BI271" s="356"/>
      <c r="BJ271" s="356"/>
      <c r="BK271" s="356"/>
      <c r="BL271" s="356"/>
      <c r="BM271" s="356"/>
      <c r="BN271" s="356"/>
      <c r="BO271" s="356"/>
      <c r="BP271" s="356"/>
      <c r="BQ271" s="356"/>
      <c r="BR271" s="356"/>
      <c r="BS271" s="356"/>
      <c r="BT271" s="356"/>
      <c r="BU271" s="356"/>
      <c r="BV271" s="356"/>
      <c r="BW271" s="356"/>
      <c r="BX271" s="356"/>
      <c r="BY271" s="356"/>
      <c r="BZ271" s="356"/>
      <c r="CA271" s="356"/>
      <c r="CB271" s="356"/>
      <c r="CC271" s="356"/>
      <c r="CD271" s="356"/>
      <c r="CE271" s="356"/>
      <c r="CF271" s="356"/>
      <c r="CG271" s="356"/>
      <c r="CH271" s="356"/>
      <c r="CI271" s="356"/>
      <c r="CJ271" s="356"/>
      <c r="CK271" s="356"/>
      <c r="CL271" s="356"/>
      <c r="CM271" s="356"/>
      <c r="CN271" s="356"/>
      <c r="CO271" s="356"/>
      <c r="CP271" s="356"/>
      <c r="CQ271" s="356"/>
      <c r="CR271" s="356"/>
      <c r="CS271" s="356"/>
      <c r="CT271" s="356"/>
      <c r="CU271" s="356"/>
      <c r="CV271" s="356"/>
      <c r="CW271" s="356"/>
      <c r="CX271" s="356"/>
      <c r="CY271" s="356"/>
      <c r="CZ271" s="356"/>
      <c r="DA271" s="356"/>
      <c r="DB271" s="356"/>
      <c r="DC271" s="356"/>
      <c r="DD271" s="356"/>
      <c r="DE271" s="356"/>
      <c r="DF271" s="356"/>
      <c r="DG271" s="356"/>
      <c r="DH271" s="356"/>
      <c r="DI271" s="356"/>
      <c r="DJ271" s="356"/>
      <c r="DK271" s="356"/>
      <c r="DL271" s="356"/>
      <c r="DM271" s="356"/>
      <c r="DN271" s="356"/>
      <c r="DO271" s="356"/>
      <c r="DP271" s="356"/>
      <c r="DQ271" s="356"/>
      <c r="DR271" s="356"/>
      <c r="DS271" s="356"/>
      <c r="DT271" s="356"/>
      <c r="DU271" s="356"/>
      <c r="DV271" s="356"/>
      <c r="DW271" s="356"/>
      <c r="DX271" s="356"/>
      <c r="DY271" s="356"/>
      <c r="DZ271" s="356"/>
      <c r="EA271" s="356"/>
      <c r="EB271" s="356"/>
      <c r="EC271" s="356"/>
      <c r="ED271" s="356"/>
      <c r="EE271" s="356"/>
      <c r="EF271" s="356"/>
      <c r="EG271" s="356"/>
      <c r="EH271" s="356"/>
      <c r="EI271" s="356"/>
      <c r="EJ271" s="356"/>
      <c r="EK271" s="356"/>
      <c r="EL271" s="356"/>
      <c r="EM271" s="356"/>
      <c r="EN271" s="356"/>
      <c r="EO271" s="356"/>
      <c r="EP271" s="356"/>
      <c r="EQ271" s="356"/>
    </row>
    <row r="272" spans="1:147" ht="15" customHeight="1">
      <c r="A272" s="473"/>
      <c r="BB272" s="356"/>
      <c r="BC272" s="356"/>
      <c r="BD272" s="356"/>
      <c r="BE272" s="356"/>
      <c r="BF272" s="356"/>
      <c r="BG272" s="356"/>
      <c r="BH272" s="356"/>
      <c r="BI272" s="356"/>
      <c r="BJ272" s="356"/>
      <c r="BK272" s="356"/>
      <c r="BL272" s="356"/>
      <c r="BM272" s="356"/>
      <c r="BN272" s="356"/>
      <c r="BO272" s="356"/>
      <c r="BP272" s="356"/>
      <c r="BQ272" s="356"/>
      <c r="BR272" s="356"/>
      <c r="BS272" s="356"/>
      <c r="BT272" s="356"/>
      <c r="BU272" s="356"/>
      <c r="BV272" s="356"/>
      <c r="BW272" s="356"/>
      <c r="BX272" s="356"/>
      <c r="BY272" s="356"/>
      <c r="BZ272" s="356"/>
      <c r="CA272" s="356"/>
      <c r="CB272" s="356"/>
      <c r="CC272" s="356"/>
      <c r="CD272" s="356"/>
      <c r="CE272" s="356"/>
      <c r="CF272" s="356"/>
      <c r="CG272" s="356"/>
      <c r="CH272" s="356"/>
      <c r="CI272" s="356"/>
      <c r="CJ272" s="356"/>
      <c r="CK272" s="356"/>
      <c r="CL272" s="356"/>
      <c r="CM272" s="356"/>
      <c r="CN272" s="356"/>
      <c r="CO272" s="356"/>
      <c r="CP272" s="356"/>
      <c r="CQ272" s="356"/>
      <c r="CR272" s="356"/>
      <c r="CS272" s="356"/>
      <c r="CT272" s="356"/>
      <c r="CU272" s="356"/>
      <c r="CV272" s="356"/>
      <c r="CW272" s="356"/>
      <c r="CX272" s="356"/>
      <c r="CY272" s="356"/>
      <c r="CZ272" s="356"/>
      <c r="DA272" s="356"/>
      <c r="DB272" s="356"/>
      <c r="DC272" s="356"/>
      <c r="DD272" s="356"/>
      <c r="DE272" s="356"/>
      <c r="DF272" s="356"/>
      <c r="DG272" s="356"/>
      <c r="DH272" s="356"/>
      <c r="DI272" s="356"/>
      <c r="DJ272" s="356"/>
      <c r="DK272" s="356"/>
      <c r="DL272" s="356"/>
      <c r="DM272" s="356"/>
      <c r="DN272" s="356"/>
      <c r="DO272" s="356"/>
      <c r="DP272" s="356"/>
      <c r="DQ272" s="356"/>
      <c r="DR272" s="356"/>
      <c r="DS272" s="356"/>
      <c r="DT272" s="356"/>
      <c r="DU272" s="356"/>
      <c r="DV272" s="356"/>
      <c r="DW272" s="356"/>
      <c r="DX272" s="356"/>
      <c r="DY272" s="356"/>
      <c r="DZ272" s="356"/>
      <c r="EA272" s="356"/>
      <c r="EB272" s="356"/>
      <c r="EC272" s="356"/>
      <c r="ED272" s="356"/>
      <c r="EE272" s="356"/>
      <c r="EF272" s="356"/>
      <c r="EG272" s="356"/>
      <c r="EH272" s="356"/>
      <c r="EI272" s="356"/>
      <c r="EJ272" s="356"/>
      <c r="EK272" s="356"/>
      <c r="EL272" s="356"/>
      <c r="EM272" s="356"/>
      <c r="EN272" s="356"/>
      <c r="EO272" s="356"/>
      <c r="EP272" s="356"/>
      <c r="EQ272" s="356"/>
    </row>
    <row r="273" spans="1:147" ht="15" customHeight="1">
      <c r="A273" s="473"/>
      <c r="BB273" s="356"/>
      <c r="BC273" s="356"/>
      <c r="BD273" s="356"/>
      <c r="BE273" s="356"/>
      <c r="BF273" s="356"/>
      <c r="BG273" s="356"/>
      <c r="BH273" s="356"/>
      <c r="BI273" s="356"/>
      <c r="BJ273" s="356"/>
      <c r="BK273" s="356"/>
      <c r="BL273" s="356"/>
      <c r="BM273" s="356"/>
      <c r="BN273" s="356"/>
      <c r="BO273" s="356"/>
      <c r="BP273" s="356"/>
      <c r="BQ273" s="356"/>
      <c r="BR273" s="356"/>
      <c r="BS273" s="356"/>
      <c r="BT273" s="356"/>
      <c r="BU273" s="356"/>
      <c r="BV273" s="356"/>
      <c r="BW273" s="356"/>
      <c r="BX273" s="356"/>
      <c r="BY273" s="356"/>
      <c r="BZ273" s="356"/>
      <c r="CA273" s="356"/>
      <c r="CB273" s="356"/>
      <c r="CC273" s="356"/>
      <c r="CD273" s="356"/>
      <c r="CE273" s="356"/>
      <c r="CF273" s="356"/>
      <c r="CG273" s="356"/>
      <c r="CH273" s="356"/>
      <c r="CI273" s="356"/>
      <c r="CJ273" s="356"/>
      <c r="CK273" s="356"/>
      <c r="CL273" s="356"/>
      <c r="CM273" s="356"/>
      <c r="CN273" s="356"/>
      <c r="CO273" s="356"/>
      <c r="CP273" s="356"/>
      <c r="CQ273" s="356"/>
      <c r="CR273" s="356"/>
      <c r="CS273" s="356"/>
      <c r="CT273" s="356"/>
      <c r="CU273" s="356"/>
      <c r="CV273" s="356"/>
      <c r="CW273" s="356"/>
      <c r="CX273" s="356"/>
      <c r="CY273" s="356"/>
      <c r="CZ273" s="356"/>
      <c r="DA273" s="356"/>
      <c r="DB273" s="356"/>
      <c r="DC273" s="356"/>
      <c r="DD273" s="356"/>
      <c r="DE273" s="356"/>
      <c r="DF273" s="356"/>
      <c r="DG273" s="356"/>
      <c r="DH273" s="356"/>
      <c r="DI273" s="356"/>
      <c r="DJ273" s="356"/>
      <c r="DK273" s="356"/>
      <c r="DL273" s="356"/>
      <c r="DM273" s="356"/>
      <c r="DN273" s="356"/>
      <c r="DO273" s="356"/>
      <c r="DP273" s="356"/>
      <c r="DQ273" s="356"/>
      <c r="DR273" s="356"/>
      <c r="DS273" s="356"/>
      <c r="DT273" s="356"/>
      <c r="DU273" s="356"/>
      <c r="DV273" s="356"/>
      <c r="DW273" s="356"/>
      <c r="DX273" s="356"/>
      <c r="DY273" s="356"/>
      <c r="DZ273" s="356"/>
      <c r="EA273" s="356"/>
      <c r="EB273" s="356"/>
      <c r="EC273" s="356"/>
      <c r="ED273" s="356"/>
      <c r="EE273" s="356"/>
      <c r="EF273" s="356"/>
      <c r="EG273" s="356"/>
      <c r="EH273" s="356"/>
      <c r="EI273" s="356"/>
      <c r="EJ273" s="356"/>
      <c r="EK273" s="356"/>
      <c r="EL273" s="356"/>
      <c r="EM273" s="356"/>
      <c r="EN273" s="356"/>
      <c r="EO273" s="356"/>
      <c r="EP273" s="356"/>
      <c r="EQ273" s="356"/>
    </row>
    <row r="274" spans="1:147" ht="15" customHeight="1">
      <c r="A274" s="473"/>
      <c r="BB274" s="356"/>
      <c r="BC274" s="356"/>
      <c r="BD274" s="356"/>
      <c r="BE274" s="356"/>
      <c r="BF274" s="356"/>
      <c r="BG274" s="356"/>
      <c r="BH274" s="356"/>
      <c r="BI274" s="356"/>
      <c r="BJ274" s="356"/>
      <c r="BK274" s="356"/>
      <c r="BL274" s="356"/>
      <c r="BM274" s="356"/>
      <c r="BN274" s="356"/>
      <c r="BO274" s="356"/>
      <c r="BP274" s="356"/>
      <c r="BQ274" s="356"/>
      <c r="BR274" s="356"/>
      <c r="BS274" s="356"/>
      <c r="BT274" s="356"/>
      <c r="BU274" s="356"/>
      <c r="BV274" s="356"/>
      <c r="BW274" s="356"/>
      <c r="BX274" s="356"/>
      <c r="BY274" s="356"/>
      <c r="BZ274" s="356"/>
      <c r="CA274" s="356"/>
      <c r="CB274" s="356"/>
      <c r="CC274" s="356"/>
      <c r="CD274" s="356"/>
      <c r="CE274" s="356"/>
      <c r="CF274" s="356"/>
      <c r="CG274" s="356"/>
      <c r="CH274" s="356"/>
      <c r="CI274" s="356"/>
      <c r="CJ274" s="356"/>
      <c r="CK274" s="356"/>
      <c r="CL274" s="356"/>
      <c r="CM274" s="356"/>
      <c r="CN274" s="356"/>
      <c r="CO274" s="356"/>
      <c r="CP274" s="356"/>
      <c r="CQ274" s="356"/>
      <c r="CR274" s="356"/>
      <c r="CS274" s="356"/>
      <c r="CT274" s="356"/>
      <c r="CU274" s="356"/>
      <c r="CV274" s="356"/>
      <c r="CW274" s="356"/>
      <c r="CX274" s="356"/>
      <c r="CY274" s="356"/>
      <c r="CZ274" s="356"/>
      <c r="DA274" s="356"/>
      <c r="DB274" s="356"/>
      <c r="DC274" s="356"/>
      <c r="DD274" s="356"/>
      <c r="DE274" s="356"/>
      <c r="DF274" s="356"/>
      <c r="DG274" s="356"/>
      <c r="DH274" s="356"/>
      <c r="DI274" s="356"/>
      <c r="DJ274" s="356"/>
      <c r="DK274" s="356"/>
      <c r="DL274" s="356"/>
      <c r="DM274" s="356"/>
      <c r="DN274" s="356"/>
      <c r="DO274" s="356"/>
      <c r="DP274" s="356"/>
      <c r="DQ274" s="356"/>
      <c r="DR274" s="356"/>
      <c r="DS274" s="356"/>
      <c r="DT274" s="356"/>
      <c r="DU274" s="356"/>
      <c r="DV274" s="356"/>
      <c r="DW274" s="356"/>
      <c r="DX274" s="356"/>
      <c r="DY274" s="356"/>
      <c r="DZ274" s="356"/>
      <c r="EA274" s="356"/>
      <c r="EB274" s="356"/>
      <c r="EC274" s="356"/>
      <c r="ED274" s="356"/>
      <c r="EE274" s="356"/>
      <c r="EF274" s="356"/>
      <c r="EG274" s="356"/>
      <c r="EH274" s="356"/>
      <c r="EI274" s="356"/>
      <c r="EJ274" s="356"/>
      <c r="EK274" s="356"/>
      <c r="EL274" s="356"/>
      <c r="EM274" s="356"/>
      <c r="EN274" s="356"/>
      <c r="EO274" s="356"/>
      <c r="EP274" s="356"/>
      <c r="EQ274" s="356"/>
    </row>
    <row r="275" spans="1:147" ht="15" customHeight="1">
      <c r="A275" s="473"/>
      <c r="BB275" s="356"/>
      <c r="BC275" s="356"/>
      <c r="BD275" s="356"/>
      <c r="BE275" s="356"/>
      <c r="BF275" s="356"/>
      <c r="BG275" s="356"/>
      <c r="BH275" s="356"/>
      <c r="BI275" s="356"/>
      <c r="BJ275" s="356"/>
      <c r="BK275" s="356"/>
      <c r="BL275" s="356"/>
      <c r="BM275" s="356"/>
      <c r="BN275" s="356"/>
      <c r="BO275" s="356"/>
      <c r="BP275" s="356"/>
      <c r="BQ275" s="356"/>
      <c r="BR275" s="356"/>
      <c r="BS275" s="356"/>
      <c r="BT275" s="356"/>
      <c r="BU275" s="356"/>
      <c r="BV275" s="356"/>
      <c r="BW275" s="356"/>
      <c r="BX275" s="356"/>
      <c r="BY275" s="356"/>
      <c r="BZ275" s="356"/>
      <c r="CA275" s="356"/>
      <c r="CB275" s="356"/>
      <c r="CC275" s="356"/>
      <c r="CD275" s="356"/>
      <c r="CE275" s="356"/>
      <c r="CF275" s="356"/>
      <c r="CG275" s="356"/>
      <c r="CH275" s="356"/>
      <c r="CI275" s="356"/>
      <c r="CJ275" s="356"/>
      <c r="CK275" s="356"/>
      <c r="CL275" s="356"/>
      <c r="CM275" s="356"/>
      <c r="CN275" s="356"/>
      <c r="CO275" s="356"/>
      <c r="CP275" s="356"/>
      <c r="CQ275" s="356"/>
      <c r="CR275" s="356"/>
      <c r="CS275" s="356"/>
      <c r="CT275" s="356"/>
      <c r="CU275" s="356"/>
      <c r="CV275" s="356"/>
      <c r="CW275" s="356"/>
      <c r="CX275" s="356"/>
      <c r="CY275" s="356"/>
      <c r="CZ275" s="356"/>
      <c r="DA275" s="356"/>
      <c r="DB275" s="356"/>
      <c r="DC275" s="356"/>
      <c r="DD275" s="356"/>
      <c r="DE275" s="356"/>
      <c r="DF275" s="356"/>
      <c r="DG275" s="356"/>
      <c r="DH275" s="356"/>
      <c r="DI275" s="356"/>
      <c r="DJ275" s="356"/>
      <c r="DK275" s="356"/>
      <c r="DL275" s="356"/>
      <c r="DM275" s="356"/>
      <c r="DN275" s="356"/>
      <c r="DO275" s="356"/>
      <c r="DP275" s="356"/>
      <c r="DQ275" s="356"/>
      <c r="DR275" s="356"/>
      <c r="DS275" s="356"/>
      <c r="DT275" s="356"/>
      <c r="DU275" s="356"/>
      <c r="DV275" s="356"/>
      <c r="DW275" s="356"/>
      <c r="DX275" s="356"/>
      <c r="DY275" s="356"/>
      <c r="DZ275" s="356"/>
      <c r="EA275" s="356"/>
      <c r="EB275" s="356"/>
      <c r="EC275" s="356"/>
      <c r="ED275" s="356"/>
      <c r="EE275" s="356"/>
      <c r="EF275" s="356"/>
      <c r="EG275" s="356"/>
      <c r="EH275" s="356"/>
      <c r="EI275" s="356"/>
      <c r="EJ275" s="356"/>
      <c r="EK275" s="356"/>
      <c r="EL275" s="356"/>
      <c r="EM275" s="356"/>
      <c r="EN275" s="356"/>
      <c r="EO275" s="356"/>
      <c r="EP275" s="356"/>
      <c r="EQ275" s="356"/>
    </row>
    <row r="276" spans="1:147" ht="15" customHeight="1">
      <c r="A276" s="473"/>
      <c r="BB276" s="356"/>
      <c r="BC276" s="356"/>
      <c r="BD276" s="356"/>
      <c r="BE276" s="356"/>
      <c r="BF276" s="356"/>
      <c r="BG276" s="356"/>
      <c r="BH276" s="356"/>
      <c r="BI276" s="356"/>
      <c r="BJ276" s="356"/>
      <c r="BK276" s="356"/>
      <c r="BL276" s="356"/>
      <c r="BM276" s="356"/>
      <c r="BN276" s="356"/>
      <c r="BO276" s="356"/>
      <c r="BP276" s="356"/>
      <c r="BQ276" s="356"/>
      <c r="BR276" s="356"/>
      <c r="BS276" s="356"/>
      <c r="BT276" s="356"/>
      <c r="BU276" s="356"/>
      <c r="BV276" s="356"/>
      <c r="BW276" s="356"/>
      <c r="BX276" s="356"/>
      <c r="BY276" s="356"/>
      <c r="BZ276" s="356"/>
      <c r="CA276" s="356"/>
      <c r="CB276" s="356"/>
      <c r="CC276" s="356"/>
      <c r="CD276" s="356"/>
      <c r="CE276" s="356"/>
      <c r="CF276" s="356"/>
      <c r="CG276" s="356"/>
      <c r="CH276" s="356"/>
      <c r="CI276" s="356"/>
      <c r="CJ276" s="356"/>
      <c r="CK276" s="356"/>
      <c r="CL276" s="356"/>
      <c r="CM276" s="356"/>
      <c r="CN276" s="356"/>
      <c r="CO276" s="356"/>
      <c r="CP276" s="356"/>
      <c r="CQ276" s="356"/>
      <c r="CR276" s="356"/>
      <c r="CS276" s="356"/>
      <c r="CT276" s="356"/>
      <c r="CU276" s="356"/>
      <c r="CV276" s="356"/>
      <c r="CW276" s="356"/>
      <c r="CX276" s="356"/>
      <c r="CY276" s="356"/>
      <c r="CZ276" s="356"/>
      <c r="DA276" s="356"/>
      <c r="DB276" s="356"/>
      <c r="DC276" s="356"/>
      <c r="DD276" s="356"/>
      <c r="DE276" s="356"/>
      <c r="DF276" s="356"/>
      <c r="DG276" s="356"/>
      <c r="DH276" s="356"/>
      <c r="DI276" s="356"/>
      <c r="DJ276" s="356"/>
      <c r="DK276" s="356"/>
      <c r="DL276" s="356"/>
      <c r="DM276" s="356"/>
      <c r="DN276" s="356"/>
      <c r="DO276" s="356"/>
      <c r="DP276" s="356"/>
      <c r="DQ276" s="356"/>
      <c r="DR276" s="356"/>
      <c r="DS276" s="356"/>
      <c r="DT276" s="356"/>
      <c r="DU276" s="356"/>
      <c r="DV276" s="356"/>
      <c r="DW276" s="356"/>
      <c r="DX276" s="356"/>
      <c r="DY276" s="356"/>
      <c r="DZ276" s="356"/>
      <c r="EA276" s="356"/>
      <c r="EB276" s="356"/>
      <c r="EC276" s="356"/>
      <c r="ED276" s="356"/>
      <c r="EE276" s="356"/>
      <c r="EF276" s="356"/>
      <c r="EG276" s="356"/>
      <c r="EH276" s="356"/>
      <c r="EI276" s="356"/>
      <c r="EJ276" s="356"/>
      <c r="EK276" s="356"/>
      <c r="EL276" s="356"/>
      <c r="EM276" s="356"/>
      <c r="EN276" s="356"/>
      <c r="EO276" s="356"/>
      <c r="EP276" s="356"/>
      <c r="EQ276" s="356"/>
    </row>
    <row r="277" spans="1:147" ht="15" customHeight="1">
      <c r="A277" s="473"/>
      <c r="BB277" s="356"/>
      <c r="BC277" s="356"/>
      <c r="BD277" s="356"/>
      <c r="BE277" s="356"/>
      <c r="BF277" s="356"/>
      <c r="BG277" s="356"/>
      <c r="BH277" s="356"/>
      <c r="BI277" s="356"/>
      <c r="BJ277" s="356"/>
      <c r="BK277" s="356"/>
      <c r="BL277" s="356"/>
      <c r="BM277" s="356"/>
      <c r="BN277" s="356"/>
      <c r="BO277" s="356"/>
      <c r="BP277" s="356"/>
      <c r="BQ277" s="356"/>
      <c r="BR277" s="356"/>
      <c r="BS277" s="356"/>
      <c r="BT277" s="356"/>
      <c r="BU277" s="356"/>
      <c r="BV277" s="356"/>
      <c r="BW277" s="356"/>
      <c r="BX277" s="356"/>
      <c r="BY277" s="356"/>
      <c r="BZ277" s="356"/>
      <c r="CA277" s="356"/>
      <c r="CB277" s="356"/>
      <c r="CC277" s="356"/>
      <c r="CD277" s="356"/>
      <c r="CE277" s="356"/>
      <c r="CF277" s="356"/>
      <c r="CG277" s="356"/>
      <c r="CH277" s="356"/>
      <c r="CI277" s="356"/>
      <c r="CJ277" s="356"/>
      <c r="CK277" s="356"/>
      <c r="CL277" s="356"/>
      <c r="CM277" s="356"/>
      <c r="CN277" s="356"/>
      <c r="CO277" s="356"/>
      <c r="CP277" s="356"/>
      <c r="CQ277" s="356"/>
      <c r="CR277" s="356"/>
      <c r="CS277" s="356"/>
      <c r="CT277" s="356"/>
      <c r="CU277" s="356"/>
      <c r="CV277" s="356"/>
      <c r="CW277" s="356"/>
      <c r="CX277" s="356"/>
      <c r="CY277" s="356"/>
      <c r="CZ277" s="356"/>
      <c r="DA277" s="356"/>
      <c r="DB277" s="356"/>
      <c r="DC277" s="356"/>
      <c r="DD277" s="356"/>
      <c r="DE277" s="356"/>
      <c r="DF277" s="356"/>
      <c r="DG277" s="356"/>
      <c r="DH277" s="356"/>
      <c r="DI277" s="356"/>
      <c r="DJ277" s="356"/>
      <c r="DK277" s="356"/>
      <c r="DL277" s="356"/>
      <c r="DM277" s="356"/>
      <c r="DN277" s="356"/>
      <c r="DO277" s="356"/>
      <c r="DP277" s="356"/>
      <c r="DQ277" s="356"/>
      <c r="DR277" s="356"/>
      <c r="DS277" s="356"/>
      <c r="DT277" s="356"/>
      <c r="DU277" s="356"/>
      <c r="DV277" s="356"/>
      <c r="DW277" s="356"/>
      <c r="DX277" s="356"/>
      <c r="DY277" s="356"/>
      <c r="DZ277" s="356"/>
      <c r="EA277" s="356"/>
      <c r="EB277" s="356"/>
      <c r="EC277" s="356"/>
      <c r="ED277" s="356"/>
      <c r="EE277" s="356"/>
      <c r="EF277" s="356"/>
      <c r="EG277" s="356"/>
      <c r="EH277" s="356"/>
      <c r="EI277" s="356"/>
      <c r="EJ277" s="356"/>
      <c r="EK277" s="356"/>
      <c r="EL277" s="356"/>
      <c r="EM277" s="356"/>
      <c r="EN277" s="356"/>
      <c r="EO277" s="356"/>
      <c r="EP277" s="356"/>
      <c r="EQ277" s="356"/>
    </row>
    <row r="278" spans="1:147" ht="15" customHeight="1">
      <c r="A278" s="473"/>
      <c r="BB278" s="356"/>
      <c r="BC278" s="356"/>
      <c r="BD278" s="356"/>
      <c r="BE278" s="356"/>
      <c r="BF278" s="356"/>
      <c r="BG278" s="356"/>
      <c r="BH278" s="356"/>
      <c r="BI278" s="356"/>
      <c r="BJ278" s="356"/>
      <c r="BK278" s="356"/>
      <c r="BL278" s="356"/>
      <c r="BM278" s="356"/>
      <c r="BN278" s="356"/>
      <c r="BO278" s="356"/>
      <c r="BP278" s="356"/>
      <c r="BQ278" s="356"/>
      <c r="BR278" s="356"/>
      <c r="BS278" s="356"/>
      <c r="BT278" s="356"/>
      <c r="BU278" s="356"/>
      <c r="BV278" s="356"/>
      <c r="BW278" s="356"/>
      <c r="BX278" s="356"/>
      <c r="BY278" s="356"/>
      <c r="BZ278" s="356"/>
      <c r="CA278" s="356"/>
      <c r="CB278" s="356"/>
      <c r="CC278" s="356"/>
      <c r="CD278" s="356"/>
      <c r="CE278" s="356"/>
      <c r="CF278" s="356"/>
      <c r="CG278" s="356"/>
      <c r="CH278" s="356"/>
      <c r="CI278" s="356"/>
      <c r="CJ278" s="356"/>
      <c r="CK278" s="356"/>
      <c r="CL278" s="356"/>
      <c r="CM278" s="356"/>
      <c r="CN278" s="356"/>
      <c r="CO278" s="356"/>
      <c r="CP278" s="356"/>
      <c r="CQ278" s="356"/>
      <c r="CR278" s="356"/>
      <c r="CS278" s="356"/>
      <c r="CT278" s="356"/>
      <c r="CU278" s="356"/>
      <c r="CV278" s="356"/>
      <c r="CW278" s="356"/>
      <c r="CX278" s="356"/>
      <c r="CY278" s="356"/>
      <c r="CZ278" s="356"/>
      <c r="DA278" s="356"/>
      <c r="DB278" s="356"/>
      <c r="DC278" s="356"/>
      <c r="DD278" s="356"/>
      <c r="DE278" s="356"/>
      <c r="DF278" s="356"/>
      <c r="DG278" s="356"/>
      <c r="DH278" s="356"/>
      <c r="DI278" s="356"/>
      <c r="DJ278" s="356"/>
      <c r="DK278" s="356"/>
      <c r="DL278" s="356"/>
      <c r="DM278" s="356"/>
      <c r="DN278" s="356"/>
      <c r="DO278" s="356"/>
      <c r="DP278" s="356"/>
      <c r="DQ278" s="356"/>
      <c r="DR278" s="356"/>
      <c r="DS278" s="356"/>
      <c r="DT278" s="356"/>
      <c r="DU278" s="356"/>
      <c r="DV278" s="356"/>
      <c r="DW278" s="356"/>
      <c r="DX278" s="356"/>
      <c r="DY278" s="356"/>
      <c r="DZ278" s="356"/>
      <c r="EA278" s="356"/>
      <c r="EB278" s="356"/>
      <c r="EC278" s="356"/>
      <c r="ED278" s="356"/>
      <c r="EE278" s="356"/>
      <c r="EF278" s="356"/>
      <c r="EG278" s="356"/>
      <c r="EH278" s="356"/>
      <c r="EI278" s="356"/>
      <c r="EJ278" s="356"/>
      <c r="EK278" s="356"/>
      <c r="EL278" s="356"/>
      <c r="EM278" s="356"/>
      <c r="EN278" s="356"/>
      <c r="EO278" s="356"/>
      <c r="EP278" s="356"/>
      <c r="EQ278" s="356"/>
    </row>
    <row r="279" spans="1:147" ht="15" customHeight="1">
      <c r="A279" s="473"/>
      <c r="BB279" s="356"/>
      <c r="BC279" s="356"/>
      <c r="BD279" s="356"/>
      <c r="BE279" s="356"/>
      <c r="BF279" s="356"/>
      <c r="BG279" s="356"/>
      <c r="BH279" s="356"/>
      <c r="BI279" s="356"/>
      <c r="BJ279" s="356"/>
      <c r="BK279" s="356"/>
      <c r="BL279" s="356"/>
      <c r="BM279" s="356"/>
      <c r="BN279" s="356"/>
      <c r="BO279" s="356"/>
      <c r="BP279" s="356"/>
      <c r="BQ279" s="356"/>
      <c r="BR279" s="356"/>
      <c r="BS279" s="356"/>
      <c r="BT279" s="356"/>
      <c r="BU279" s="356"/>
      <c r="BV279" s="356"/>
      <c r="BW279" s="356"/>
      <c r="BX279" s="356"/>
      <c r="BY279" s="356"/>
      <c r="BZ279" s="356"/>
      <c r="CA279" s="356"/>
      <c r="CB279" s="356"/>
      <c r="CC279" s="356"/>
      <c r="CD279" s="356"/>
      <c r="CE279" s="356"/>
      <c r="CF279" s="356"/>
      <c r="CG279" s="356"/>
      <c r="CH279" s="356"/>
      <c r="CI279" s="356"/>
      <c r="CJ279" s="356"/>
      <c r="CK279" s="356"/>
      <c r="CL279" s="356"/>
      <c r="CM279" s="356"/>
      <c r="CN279" s="356"/>
      <c r="CO279" s="356"/>
      <c r="CP279" s="356"/>
      <c r="CQ279" s="356"/>
      <c r="CR279" s="356"/>
      <c r="CS279" s="356"/>
      <c r="CT279" s="356"/>
      <c r="CU279" s="356"/>
      <c r="CV279" s="356"/>
      <c r="CW279" s="356"/>
      <c r="CX279" s="356"/>
      <c r="CY279" s="356"/>
      <c r="CZ279" s="356"/>
      <c r="DA279" s="356"/>
      <c r="DB279" s="356"/>
      <c r="DC279" s="356"/>
      <c r="DD279" s="356"/>
      <c r="DE279" s="356"/>
      <c r="DF279" s="356"/>
      <c r="DG279" s="356"/>
      <c r="DH279" s="356"/>
      <c r="DI279" s="356"/>
      <c r="DJ279" s="356"/>
      <c r="DK279" s="356"/>
      <c r="DL279" s="356"/>
      <c r="DM279" s="356"/>
      <c r="DN279" s="356"/>
      <c r="DO279" s="356"/>
      <c r="DP279" s="356"/>
      <c r="DQ279" s="356"/>
      <c r="DR279" s="356"/>
      <c r="DS279" s="356"/>
      <c r="DT279" s="356"/>
      <c r="DU279" s="356"/>
      <c r="DV279" s="356"/>
      <c r="DW279" s="356"/>
      <c r="DX279" s="356"/>
      <c r="DY279" s="356"/>
      <c r="DZ279" s="356"/>
      <c r="EA279" s="356"/>
      <c r="EB279" s="356"/>
      <c r="EC279" s="356"/>
      <c r="ED279" s="356"/>
      <c r="EE279" s="356"/>
      <c r="EF279" s="356"/>
      <c r="EG279" s="356"/>
      <c r="EH279" s="356"/>
      <c r="EI279" s="356"/>
      <c r="EJ279" s="356"/>
      <c r="EK279" s="356"/>
      <c r="EL279" s="356"/>
      <c r="EM279" s="356"/>
      <c r="EN279" s="356"/>
      <c r="EO279" s="356"/>
      <c r="EP279" s="356"/>
      <c r="EQ279" s="356"/>
    </row>
    <row r="280" spans="1:147" ht="15" customHeight="1">
      <c r="A280" s="473"/>
      <c r="BB280" s="356"/>
      <c r="BC280" s="356"/>
      <c r="BD280" s="356"/>
      <c r="BE280" s="356"/>
      <c r="BF280" s="356"/>
      <c r="BG280" s="356"/>
      <c r="BH280" s="356"/>
      <c r="BI280" s="356"/>
      <c r="BJ280" s="356"/>
      <c r="BK280" s="356"/>
      <c r="BL280" s="356"/>
      <c r="BM280" s="356"/>
      <c r="BN280" s="356"/>
      <c r="BO280" s="356"/>
      <c r="BP280" s="356"/>
      <c r="BQ280" s="356"/>
      <c r="BR280" s="356"/>
      <c r="BS280" s="356"/>
      <c r="BT280" s="356"/>
      <c r="BU280" s="356"/>
      <c r="BV280" s="356"/>
      <c r="BW280" s="356"/>
      <c r="BX280" s="356"/>
      <c r="BY280" s="356"/>
      <c r="BZ280" s="356"/>
      <c r="CA280" s="356"/>
      <c r="CB280" s="356"/>
      <c r="CC280" s="356"/>
      <c r="CD280" s="356"/>
      <c r="CE280" s="356"/>
      <c r="CF280" s="356"/>
      <c r="CG280" s="356"/>
      <c r="CH280" s="356"/>
      <c r="CI280" s="356"/>
      <c r="CJ280" s="356"/>
      <c r="CK280" s="356"/>
      <c r="CL280" s="356"/>
      <c r="CM280" s="356"/>
      <c r="CN280" s="356"/>
      <c r="CO280" s="356"/>
      <c r="CP280" s="356"/>
      <c r="CQ280" s="356"/>
      <c r="CR280" s="356"/>
      <c r="CS280" s="356"/>
      <c r="CT280" s="356"/>
      <c r="CU280" s="356"/>
      <c r="CV280" s="356"/>
      <c r="CW280" s="356"/>
      <c r="CX280" s="356"/>
      <c r="CY280" s="356"/>
      <c r="CZ280" s="356"/>
      <c r="DA280" s="356"/>
      <c r="DB280" s="356"/>
      <c r="DC280" s="356"/>
      <c r="DD280" s="356"/>
      <c r="DE280" s="356"/>
      <c r="DF280" s="356"/>
      <c r="DG280" s="356"/>
      <c r="DH280" s="356"/>
      <c r="DI280" s="356"/>
      <c r="DJ280" s="356"/>
      <c r="DK280" s="356"/>
      <c r="DL280" s="356"/>
      <c r="DM280" s="356"/>
      <c r="DN280" s="356"/>
      <c r="DO280" s="356"/>
      <c r="DP280" s="356"/>
      <c r="DQ280" s="356"/>
      <c r="DR280" s="356"/>
      <c r="DS280" s="356"/>
      <c r="DT280" s="356"/>
      <c r="DU280" s="356"/>
      <c r="DV280" s="356"/>
      <c r="DW280" s="356"/>
      <c r="DX280" s="356"/>
      <c r="DY280" s="356"/>
      <c r="DZ280" s="356"/>
      <c r="EA280" s="356"/>
      <c r="EB280" s="356"/>
      <c r="EC280" s="356"/>
      <c r="ED280" s="356"/>
      <c r="EE280" s="356"/>
      <c r="EF280" s="356"/>
      <c r="EG280" s="356"/>
      <c r="EH280" s="356"/>
      <c r="EI280" s="356"/>
      <c r="EJ280" s="356"/>
      <c r="EK280" s="356"/>
      <c r="EL280" s="356"/>
      <c r="EM280" s="356"/>
      <c r="EN280" s="356"/>
      <c r="EO280" s="356"/>
      <c r="EP280" s="356"/>
      <c r="EQ280" s="356"/>
    </row>
    <row r="281" spans="1:147" ht="15" customHeight="1">
      <c r="A281" s="473"/>
      <c r="BB281" s="356"/>
      <c r="BC281" s="356"/>
      <c r="BD281" s="356"/>
      <c r="BE281" s="356"/>
      <c r="BF281" s="356"/>
      <c r="BG281" s="356"/>
      <c r="BH281" s="356"/>
      <c r="BI281" s="356"/>
      <c r="BJ281" s="356"/>
      <c r="BK281" s="356"/>
      <c r="BL281" s="356"/>
      <c r="BM281" s="356"/>
      <c r="BN281" s="356"/>
      <c r="BO281" s="356"/>
      <c r="BP281" s="356"/>
      <c r="BQ281" s="356"/>
      <c r="BR281" s="356"/>
      <c r="BS281" s="356"/>
      <c r="BT281" s="356"/>
      <c r="BU281" s="356"/>
      <c r="BV281" s="356"/>
      <c r="BW281" s="356"/>
      <c r="BX281" s="356"/>
      <c r="BY281" s="356"/>
      <c r="BZ281" s="356"/>
      <c r="CA281" s="356"/>
      <c r="CB281" s="356"/>
      <c r="CC281" s="356"/>
      <c r="CD281" s="356"/>
      <c r="CE281" s="356"/>
      <c r="CF281" s="356"/>
      <c r="CG281" s="356"/>
      <c r="CH281" s="356"/>
      <c r="CI281" s="356"/>
      <c r="CJ281" s="356"/>
      <c r="CK281" s="356"/>
      <c r="CL281" s="356"/>
      <c r="CM281" s="356"/>
      <c r="CN281" s="356"/>
      <c r="CO281" s="356"/>
      <c r="CP281" s="356"/>
      <c r="CQ281" s="356"/>
      <c r="CR281" s="356"/>
      <c r="CS281" s="356"/>
      <c r="CT281" s="356"/>
      <c r="CU281" s="356"/>
      <c r="CV281" s="356"/>
      <c r="CW281" s="356"/>
      <c r="CX281" s="356"/>
      <c r="CY281" s="356"/>
      <c r="CZ281" s="356"/>
      <c r="DA281" s="356"/>
      <c r="DB281" s="356"/>
      <c r="DC281" s="356"/>
      <c r="DD281" s="356"/>
      <c r="DE281" s="356"/>
      <c r="DF281" s="356"/>
      <c r="DG281" s="356"/>
      <c r="DH281" s="356"/>
      <c r="DI281" s="356"/>
      <c r="DJ281" s="356"/>
      <c r="DK281" s="356"/>
      <c r="DL281" s="356"/>
      <c r="DM281" s="356"/>
      <c r="DN281" s="356"/>
      <c r="DO281" s="356"/>
      <c r="DP281" s="356"/>
      <c r="DQ281" s="356"/>
      <c r="DR281" s="356"/>
      <c r="DS281" s="356"/>
      <c r="DT281" s="356"/>
      <c r="DU281" s="356"/>
      <c r="DV281" s="356"/>
      <c r="DW281" s="356"/>
      <c r="DX281" s="356"/>
      <c r="DY281" s="356"/>
      <c r="DZ281" s="356"/>
      <c r="EA281" s="356"/>
      <c r="EB281" s="356"/>
      <c r="EC281" s="356"/>
      <c r="ED281" s="356"/>
      <c r="EE281" s="356"/>
      <c r="EF281" s="356"/>
      <c r="EG281" s="356"/>
      <c r="EH281" s="356"/>
      <c r="EI281" s="356"/>
      <c r="EJ281" s="356"/>
      <c r="EK281" s="356"/>
      <c r="EL281" s="356"/>
      <c r="EM281" s="356"/>
      <c r="EN281" s="356"/>
      <c r="EO281" s="356"/>
      <c r="EP281" s="356"/>
      <c r="EQ281" s="356"/>
    </row>
    <row r="282" spans="1:147" ht="15" customHeight="1">
      <c r="A282" s="473"/>
      <c r="BB282" s="356"/>
      <c r="BC282" s="356"/>
      <c r="BD282" s="356"/>
      <c r="BE282" s="356"/>
      <c r="BF282" s="356"/>
      <c r="BG282" s="356"/>
      <c r="BH282" s="356"/>
      <c r="BI282" s="356"/>
      <c r="BJ282" s="356"/>
      <c r="BK282" s="356"/>
      <c r="BL282" s="356"/>
      <c r="BM282" s="356"/>
      <c r="BN282" s="356"/>
      <c r="BO282" s="356"/>
      <c r="BP282" s="356"/>
      <c r="BQ282" s="356"/>
      <c r="BR282" s="356"/>
      <c r="BS282" s="356"/>
      <c r="BT282" s="356"/>
      <c r="BU282" s="356"/>
      <c r="BV282" s="356"/>
      <c r="BW282" s="356"/>
      <c r="BX282" s="356"/>
      <c r="BY282" s="356"/>
      <c r="BZ282" s="356"/>
      <c r="CA282" s="356"/>
      <c r="CB282" s="356"/>
      <c r="CC282" s="356"/>
      <c r="CD282" s="356"/>
      <c r="CE282" s="356"/>
      <c r="CF282" s="356"/>
      <c r="CG282" s="356"/>
      <c r="CH282" s="356"/>
      <c r="CI282" s="356"/>
      <c r="CJ282" s="356"/>
      <c r="CK282" s="356"/>
      <c r="CL282" s="356"/>
      <c r="CM282" s="356"/>
      <c r="CN282" s="356"/>
      <c r="CO282" s="356"/>
      <c r="CP282" s="356"/>
      <c r="CQ282" s="356"/>
      <c r="CR282" s="356"/>
      <c r="CS282" s="356"/>
      <c r="CT282" s="356"/>
      <c r="CU282" s="356"/>
      <c r="CV282" s="356"/>
      <c r="CW282" s="356"/>
      <c r="CX282" s="356"/>
      <c r="CY282" s="356"/>
      <c r="CZ282" s="356"/>
      <c r="DA282" s="356"/>
      <c r="DB282" s="356"/>
      <c r="DC282" s="356"/>
      <c r="DD282" s="356"/>
      <c r="DE282" s="356"/>
      <c r="DF282" s="356"/>
      <c r="DG282" s="356"/>
      <c r="DH282" s="356"/>
      <c r="DI282" s="356"/>
      <c r="DJ282" s="356"/>
      <c r="DK282" s="356"/>
      <c r="DL282" s="356"/>
      <c r="DM282" s="356"/>
      <c r="DN282" s="356"/>
      <c r="DO282" s="356"/>
      <c r="DP282" s="356"/>
      <c r="DQ282" s="356"/>
      <c r="DR282" s="356"/>
      <c r="DS282" s="356"/>
      <c r="DT282" s="356"/>
      <c r="DU282" s="356"/>
      <c r="DV282" s="356"/>
      <c r="DW282" s="356"/>
      <c r="DX282" s="356"/>
      <c r="DY282" s="356"/>
      <c r="DZ282" s="356"/>
      <c r="EA282" s="356"/>
      <c r="EB282" s="356"/>
      <c r="EC282" s="356"/>
      <c r="ED282" s="356"/>
      <c r="EE282" s="356"/>
      <c r="EF282" s="356"/>
      <c r="EG282" s="356"/>
      <c r="EH282" s="356"/>
      <c r="EI282" s="356"/>
      <c r="EJ282" s="356"/>
      <c r="EK282" s="356"/>
      <c r="EL282" s="356"/>
      <c r="EM282" s="356"/>
      <c r="EN282" s="356"/>
      <c r="EO282" s="356"/>
      <c r="EP282" s="356"/>
      <c r="EQ282" s="356"/>
    </row>
    <row r="283" spans="1:147" ht="15" customHeight="1">
      <c r="A283" s="473"/>
      <c r="BB283" s="356"/>
      <c r="BC283" s="356"/>
      <c r="BD283" s="356"/>
      <c r="BE283" s="356"/>
      <c r="BF283" s="356"/>
      <c r="BG283" s="356"/>
      <c r="BH283" s="356"/>
      <c r="BI283" s="356"/>
      <c r="BJ283" s="356"/>
      <c r="BK283" s="356"/>
      <c r="BL283" s="356"/>
      <c r="BM283" s="356"/>
      <c r="BN283" s="356"/>
      <c r="BO283" s="356"/>
      <c r="BP283" s="356"/>
      <c r="BQ283" s="356"/>
      <c r="BR283" s="356"/>
      <c r="BS283" s="356"/>
      <c r="BT283" s="356"/>
      <c r="BU283" s="356"/>
      <c r="BV283" s="356"/>
      <c r="BW283" s="356"/>
      <c r="BX283" s="356"/>
      <c r="BY283" s="356"/>
      <c r="BZ283" s="356"/>
      <c r="CA283" s="356"/>
      <c r="CB283" s="356"/>
      <c r="CC283" s="356"/>
      <c r="CD283" s="356"/>
      <c r="CE283" s="356"/>
      <c r="CF283" s="356"/>
      <c r="CG283" s="356"/>
      <c r="CH283" s="356"/>
      <c r="CI283" s="356"/>
      <c r="CJ283" s="356"/>
      <c r="CK283" s="356"/>
      <c r="CL283" s="356"/>
      <c r="CM283" s="356"/>
      <c r="CN283" s="356"/>
      <c r="CO283" s="356"/>
      <c r="CP283" s="356"/>
      <c r="CQ283" s="356"/>
      <c r="CR283" s="356"/>
      <c r="CS283" s="356"/>
      <c r="CT283" s="356"/>
      <c r="CU283" s="356"/>
      <c r="CV283" s="356"/>
      <c r="CW283" s="356"/>
      <c r="CX283" s="356"/>
      <c r="CY283" s="356"/>
      <c r="CZ283" s="356"/>
      <c r="DA283" s="356"/>
      <c r="DB283" s="356"/>
      <c r="DC283" s="356"/>
      <c r="DD283" s="356"/>
      <c r="DE283" s="356"/>
      <c r="DF283" s="356"/>
      <c r="DG283" s="356"/>
      <c r="DH283" s="356"/>
      <c r="DI283" s="356"/>
      <c r="DJ283" s="356"/>
      <c r="DK283" s="356"/>
      <c r="DL283" s="356"/>
      <c r="DM283" s="356"/>
      <c r="DN283" s="356"/>
      <c r="DO283" s="356"/>
      <c r="DP283" s="356"/>
      <c r="DQ283" s="356"/>
      <c r="DR283" s="356"/>
      <c r="DS283" s="356"/>
      <c r="DT283" s="356"/>
      <c r="DU283" s="356"/>
      <c r="DV283" s="356"/>
      <c r="DW283" s="356"/>
      <c r="DX283" s="356"/>
      <c r="DY283" s="356"/>
      <c r="DZ283" s="356"/>
      <c r="EA283" s="356"/>
      <c r="EB283" s="356"/>
      <c r="EC283" s="356"/>
      <c r="ED283" s="356"/>
      <c r="EE283" s="356"/>
      <c r="EF283" s="356"/>
      <c r="EG283" s="356"/>
      <c r="EH283" s="356"/>
      <c r="EI283" s="356"/>
      <c r="EJ283" s="356"/>
      <c r="EK283" s="356"/>
      <c r="EL283" s="356"/>
      <c r="EM283" s="356"/>
      <c r="EN283" s="356"/>
      <c r="EO283" s="356"/>
      <c r="EP283" s="356"/>
      <c r="EQ283" s="356"/>
    </row>
    <row r="284" spans="1:147" ht="15" customHeight="1">
      <c r="A284" s="473"/>
      <c r="BB284" s="356"/>
      <c r="BC284" s="356"/>
      <c r="BD284" s="356"/>
      <c r="BE284" s="356"/>
      <c r="BF284" s="356"/>
      <c r="BG284" s="356"/>
      <c r="BH284" s="356"/>
      <c r="BI284" s="356"/>
      <c r="BJ284" s="356"/>
      <c r="BK284" s="356"/>
      <c r="BL284" s="356"/>
      <c r="BM284" s="356"/>
      <c r="BN284" s="356"/>
      <c r="BO284" s="356"/>
      <c r="BP284" s="356"/>
      <c r="BQ284" s="356"/>
      <c r="BR284" s="356"/>
      <c r="BS284" s="356"/>
      <c r="BT284" s="356"/>
      <c r="BU284" s="356"/>
      <c r="BV284" s="356"/>
      <c r="BW284" s="356"/>
      <c r="BX284" s="356"/>
      <c r="BY284" s="356"/>
      <c r="BZ284" s="356"/>
      <c r="CA284" s="356"/>
      <c r="CB284" s="356"/>
      <c r="CC284" s="356"/>
      <c r="CD284" s="356"/>
      <c r="CE284" s="356"/>
      <c r="CF284" s="356"/>
      <c r="CG284" s="356"/>
      <c r="CH284" s="356"/>
      <c r="CI284" s="356"/>
      <c r="CJ284" s="356"/>
      <c r="CK284" s="356"/>
      <c r="CL284" s="356"/>
      <c r="CM284" s="356"/>
      <c r="CN284" s="356"/>
      <c r="CO284" s="356"/>
      <c r="CP284" s="356"/>
      <c r="CQ284" s="356"/>
      <c r="CR284" s="356"/>
      <c r="CS284" s="356"/>
      <c r="CT284" s="356"/>
      <c r="CU284" s="356"/>
      <c r="CV284" s="356"/>
      <c r="CW284" s="356"/>
      <c r="CX284" s="356"/>
      <c r="CY284" s="356"/>
      <c r="CZ284" s="356"/>
      <c r="DA284" s="356"/>
      <c r="DB284" s="356"/>
      <c r="DC284" s="356"/>
      <c r="DD284" s="356"/>
      <c r="DE284" s="356"/>
      <c r="DF284" s="356"/>
      <c r="DG284" s="356"/>
      <c r="DH284" s="356"/>
      <c r="DI284" s="356"/>
      <c r="DJ284" s="356"/>
      <c r="DK284" s="356"/>
      <c r="DL284" s="356"/>
      <c r="DM284" s="356"/>
      <c r="DN284" s="356"/>
      <c r="DO284" s="356"/>
      <c r="DP284" s="356"/>
      <c r="DQ284" s="356"/>
      <c r="DR284" s="356"/>
      <c r="DS284" s="356"/>
      <c r="DT284" s="356"/>
      <c r="DU284" s="356"/>
      <c r="DV284" s="356"/>
      <c r="DW284" s="356"/>
      <c r="DX284" s="356"/>
      <c r="DY284" s="356"/>
      <c r="DZ284" s="356"/>
      <c r="EA284" s="356"/>
      <c r="EB284" s="356"/>
      <c r="EC284" s="356"/>
      <c r="ED284" s="356"/>
      <c r="EE284" s="356"/>
      <c r="EF284" s="356"/>
      <c r="EG284" s="356"/>
      <c r="EH284" s="356"/>
      <c r="EI284" s="356"/>
      <c r="EJ284" s="356"/>
      <c r="EK284" s="356"/>
      <c r="EL284" s="356"/>
      <c r="EM284" s="356"/>
      <c r="EN284" s="356"/>
      <c r="EO284" s="356"/>
      <c r="EP284" s="356"/>
      <c r="EQ284" s="356"/>
    </row>
    <row r="285" spans="1:147" ht="15" customHeight="1">
      <c r="A285" s="473"/>
      <c r="BB285" s="356"/>
      <c r="BC285" s="356"/>
      <c r="BD285" s="356"/>
      <c r="BE285" s="356"/>
      <c r="BF285" s="356"/>
      <c r="BG285" s="356"/>
      <c r="BH285" s="356"/>
      <c r="BI285" s="356"/>
      <c r="BJ285" s="356"/>
      <c r="BK285" s="356"/>
      <c r="BL285" s="356"/>
      <c r="BM285" s="356"/>
      <c r="BN285" s="356"/>
      <c r="BO285" s="356"/>
      <c r="BP285" s="356"/>
      <c r="BQ285" s="356"/>
      <c r="BR285" s="356"/>
      <c r="BS285" s="356"/>
      <c r="BT285" s="356"/>
      <c r="BU285" s="356"/>
      <c r="BV285" s="356"/>
      <c r="BW285" s="356"/>
      <c r="BX285" s="356"/>
      <c r="BY285" s="356"/>
      <c r="BZ285" s="356"/>
      <c r="CA285" s="356"/>
      <c r="CB285" s="356"/>
      <c r="CC285" s="356"/>
      <c r="CD285" s="356"/>
      <c r="CE285" s="356"/>
      <c r="CF285" s="356"/>
      <c r="CG285" s="356"/>
      <c r="CH285" s="356"/>
      <c r="CI285" s="356"/>
      <c r="CJ285" s="356"/>
      <c r="CK285" s="356"/>
      <c r="CL285" s="356"/>
      <c r="CM285" s="356"/>
      <c r="CN285" s="356"/>
      <c r="CO285" s="356"/>
      <c r="CP285" s="356"/>
      <c r="CQ285" s="356"/>
      <c r="CR285" s="356"/>
      <c r="CS285" s="356"/>
      <c r="CT285" s="356"/>
      <c r="CU285" s="356"/>
      <c r="CV285" s="356"/>
      <c r="CW285" s="356"/>
      <c r="CX285" s="356"/>
      <c r="CY285" s="356"/>
      <c r="CZ285" s="356"/>
      <c r="DA285" s="356"/>
      <c r="DB285" s="356"/>
      <c r="DC285" s="356"/>
      <c r="DD285" s="356"/>
      <c r="DE285" s="356"/>
      <c r="DF285" s="356"/>
      <c r="DG285" s="356"/>
      <c r="DH285" s="356"/>
      <c r="DI285" s="356"/>
      <c r="DJ285" s="356"/>
      <c r="DK285" s="356"/>
      <c r="DL285" s="356"/>
      <c r="DM285" s="356"/>
      <c r="DN285" s="356"/>
      <c r="DO285" s="356"/>
      <c r="DP285" s="356"/>
      <c r="DQ285" s="356"/>
      <c r="DR285" s="356"/>
      <c r="DS285" s="356"/>
      <c r="DT285" s="356"/>
      <c r="DU285" s="356"/>
      <c r="DV285" s="356"/>
      <c r="DW285" s="356"/>
      <c r="DX285" s="356"/>
      <c r="DY285" s="356"/>
      <c r="DZ285" s="356"/>
      <c r="EA285" s="356"/>
      <c r="EB285" s="356"/>
      <c r="EC285" s="356"/>
      <c r="ED285" s="356"/>
      <c r="EE285" s="356"/>
      <c r="EF285" s="356"/>
      <c r="EG285" s="356"/>
      <c r="EH285" s="356"/>
      <c r="EI285" s="356"/>
      <c r="EJ285" s="356"/>
      <c r="EK285" s="356"/>
      <c r="EL285" s="356"/>
      <c r="EM285" s="356"/>
      <c r="EN285" s="356"/>
      <c r="EO285" s="356"/>
      <c r="EP285" s="356"/>
      <c r="EQ285" s="356"/>
    </row>
    <row r="286" spans="1:147" ht="15" customHeight="1">
      <c r="A286" s="473"/>
      <c r="BB286" s="356"/>
      <c r="BC286" s="356"/>
      <c r="BD286" s="356"/>
      <c r="BE286" s="356"/>
      <c r="BF286" s="356"/>
      <c r="BG286" s="356"/>
      <c r="BH286" s="356"/>
      <c r="BI286" s="356"/>
      <c r="BJ286" s="356"/>
      <c r="BK286" s="356"/>
      <c r="BL286" s="356"/>
      <c r="BM286" s="356"/>
      <c r="BN286" s="356"/>
      <c r="BO286" s="356"/>
      <c r="BP286" s="356"/>
      <c r="BQ286" s="356"/>
      <c r="BR286" s="356"/>
      <c r="BS286" s="356"/>
      <c r="BT286" s="356"/>
      <c r="BU286" s="356"/>
      <c r="BV286" s="356"/>
      <c r="BW286" s="356"/>
      <c r="BX286" s="356"/>
      <c r="BY286" s="356"/>
      <c r="BZ286" s="356"/>
      <c r="CA286" s="356"/>
      <c r="CB286" s="356"/>
      <c r="CC286" s="356"/>
      <c r="CD286" s="356"/>
      <c r="CE286" s="356"/>
      <c r="CF286" s="356"/>
      <c r="CG286" s="356"/>
      <c r="CH286" s="356"/>
      <c r="CI286" s="356"/>
      <c r="CJ286" s="356"/>
      <c r="CK286" s="356"/>
      <c r="CL286" s="356"/>
      <c r="CM286" s="356"/>
      <c r="CN286" s="356"/>
      <c r="CO286" s="356"/>
      <c r="CP286" s="356"/>
      <c r="CQ286" s="356"/>
      <c r="CR286" s="356"/>
      <c r="CS286" s="356"/>
      <c r="CT286" s="356"/>
      <c r="CU286" s="356"/>
      <c r="CV286" s="356"/>
      <c r="CW286" s="356"/>
      <c r="CX286" s="356"/>
      <c r="CY286" s="356"/>
      <c r="CZ286" s="356"/>
      <c r="DA286" s="356"/>
      <c r="DB286" s="356"/>
      <c r="DC286" s="356"/>
      <c r="DD286" s="356"/>
      <c r="DE286" s="356"/>
      <c r="DF286" s="356"/>
      <c r="DG286" s="356"/>
      <c r="DH286" s="356"/>
      <c r="DI286" s="356"/>
      <c r="DJ286" s="356"/>
      <c r="DK286" s="356"/>
      <c r="DL286" s="356"/>
      <c r="DM286" s="356"/>
      <c r="DN286" s="356"/>
      <c r="DO286" s="356"/>
      <c r="DP286" s="356"/>
      <c r="DQ286" s="356"/>
      <c r="DR286" s="356"/>
      <c r="DS286" s="356"/>
      <c r="DT286" s="356"/>
      <c r="DU286" s="356"/>
      <c r="DV286" s="356"/>
      <c r="DW286" s="356"/>
      <c r="DX286" s="356"/>
      <c r="DY286" s="356"/>
      <c r="DZ286" s="356"/>
      <c r="EA286" s="356"/>
      <c r="EB286" s="356"/>
      <c r="EC286" s="356"/>
      <c r="ED286" s="356"/>
      <c r="EE286" s="356"/>
      <c r="EF286" s="356"/>
      <c r="EG286" s="356"/>
      <c r="EH286" s="356"/>
      <c r="EI286" s="356"/>
      <c r="EJ286" s="356"/>
      <c r="EK286" s="356"/>
      <c r="EL286" s="356"/>
      <c r="EM286" s="356"/>
      <c r="EN286" s="356"/>
      <c r="EO286" s="356"/>
      <c r="EP286" s="356"/>
      <c r="EQ286" s="356"/>
    </row>
    <row r="287" spans="1:147" ht="15" customHeight="1">
      <c r="A287" s="473"/>
      <c r="BB287" s="356"/>
      <c r="BC287" s="356"/>
      <c r="BD287" s="356"/>
      <c r="BE287" s="356"/>
      <c r="BF287" s="356"/>
      <c r="BG287" s="356"/>
      <c r="BH287" s="356"/>
      <c r="BI287" s="356"/>
      <c r="BJ287" s="356"/>
      <c r="BK287" s="356"/>
      <c r="BL287" s="356"/>
      <c r="BM287" s="356"/>
      <c r="BN287" s="356"/>
      <c r="BO287" s="356"/>
      <c r="BP287" s="356"/>
      <c r="BQ287" s="356"/>
      <c r="BR287" s="356"/>
      <c r="BS287" s="356"/>
      <c r="BT287" s="356"/>
      <c r="BU287" s="356"/>
      <c r="BV287" s="356"/>
      <c r="BW287" s="356"/>
      <c r="BX287" s="356"/>
      <c r="BY287" s="356"/>
      <c r="BZ287" s="356"/>
      <c r="CA287" s="356"/>
      <c r="CB287" s="356"/>
      <c r="CC287" s="356"/>
      <c r="CD287" s="356"/>
      <c r="CE287" s="356"/>
      <c r="CF287" s="356"/>
      <c r="CG287" s="356"/>
      <c r="CH287" s="356"/>
      <c r="CI287" s="356"/>
      <c r="CJ287" s="356"/>
      <c r="CK287" s="356"/>
      <c r="CL287" s="356"/>
      <c r="CM287" s="356"/>
      <c r="CN287" s="356"/>
      <c r="CO287" s="356"/>
      <c r="CP287" s="356"/>
      <c r="CQ287" s="356"/>
      <c r="CR287" s="356"/>
      <c r="CS287" s="356"/>
      <c r="CT287" s="356"/>
      <c r="CU287" s="356"/>
      <c r="CV287" s="356"/>
      <c r="CW287" s="356"/>
      <c r="CX287" s="356"/>
      <c r="CY287" s="356"/>
      <c r="CZ287" s="356"/>
      <c r="DA287" s="356"/>
      <c r="DB287" s="356"/>
      <c r="DC287" s="356"/>
      <c r="DD287" s="356"/>
      <c r="DE287" s="356"/>
      <c r="DF287" s="356"/>
      <c r="DG287" s="356"/>
      <c r="DH287" s="356"/>
      <c r="DI287" s="356"/>
      <c r="DJ287" s="356"/>
      <c r="DK287" s="356"/>
      <c r="DL287" s="356"/>
      <c r="DM287" s="356"/>
      <c r="DN287" s="356"/>
      <c r="DO287" s="356"/>
      <c r="DP287" s="356"/>
      <c r="DQ287" s="356"/>
      <c r="DR287" s="356"/>
      <c r="DS287" s="356"/>
      <c r="DT287" s="356"/>
      <c r="DU287" s="356"/>
      <c r="DV287" s="356"/>
      <c r="DW287" s="356"/>
      <c r="DX287" s="356"/>
      <c r="DY287" s="356"/>
      <c r="DZ287" s="356"/>
      <c r="EA287" s="356"/>
      <c r="EB287" s="356"/>
      <c r="EC287" s="356"/>
      <c r="ED287" s="356"/>
      <c r="EE287" s="356"/>
      <c r="EF287" s="356"/>
      <c r="EG287" s="356"/>
      <c r="EH287" s="356"/>
      <c r="EI287" s="356"/>
      <c r="EJ287" s="356"/>
      <c r="EK287" s="356"/>
      <c r="EL287" s="356"/>
      <c r="EM287" s="356"/>
      <c r="EN287" s="356"/>
      <c r="EO287" s="356"/>
      <c r="EP287" s="356"/>
      <c r="EQ287" s="356"/>
    </row>
    <row r="288" spans="1:147" ht="15" customHeight="1">
      <c r="A288" s="473"/>
      <c r="BB288" s="356"/>
      <c r="BC288" s="356"/>
      <c r="BD288" s="356"/>
      <c r="BE288" s="356"/>
      <c r="BF288" s="356"/>
      <c r="BG288" s="356"/>
      <c r="BH288" s="356"/>
      <c r="BI288" s="356"/>
      <c r="BJ288" s="356"/>
      <c r="BK288" s="356"/>
      <c r="BL288" s="356"/>
      <c r="BM288" s="356"/>
      <c r="BN288" s="356"/>
      <c r="BO288" s="356"/>
      <c r="BP288" s="356"/>
      <c r="BQ288" s="356"/>
      <c r="BR288" s="356"/>
      <c r="BS288" s="356"/>
      <c r="BT288" s="356"/>
      <c r="BU288" s="356"/>
      <c r="BV288" s="356"/>
      <c r="BW288" s="356"/>
      <c r="BX288" s="356"/>
      <c r="BY288" s="356"/>
      <c r="BZ288" s="356"/>
      <c r="CA288" s="356"/>
      <c r="CB288" s="356"/>
      <c r="CC288" s="356"/>
      <c r="CD288" s="356"/>
      <c r="CE288" s="356"/>
      <c r="CF288" s="356"/>
      <c r="CG288" s="356"/>
      <c r="CH288" s="356"/>
      <c r="CI288" s="356"/>
      <c r="CJ288" s="356"/>
      <c r="CK288" s="356"/>
      <c r="CL288" s="356"/>
      <c r="CM288" s="356"/>
      <c r="CN288" s="356"/>
      <c r="CO288" s="356"/>
      <c r="CP288" s="356"/>
      <c r="CQ288" s="356"/>
      <c r="CR288" s="356"/>
      <c r="CS288" s="356"/>
      <c r="CT288" s="356"/>
      <c r="CU288" s="356"/>
      <c r="CV288" s="356"/>
      <c r="CW288" s="356"/>
      <c r="CX288" s="356"/>
      <c r="CY288" s="356"/>
      <c r="CZ288" s="356"/>
      <c r="DA288" s="356"/>
      <c r="DB288" s="356"/>
      <c r="DC288" s="356"/>
      <c r="DD288" s="356"/>
      <c r="DE288" s="356"/>
      <c r="DF288" s="356"/>
      <c r="DG288" s="356"/>
      <c r="DH288" s="356"/>
      <c r="DI288" s="356"/>
      <c r="DJ288" s="356"/>
      <c r="DK288" s="356"/>
      <c r="DL288" s="356"/>
      <c r="DM288" s="356"/>
      <c r="DN288" s="356"/>
      <c r="DO288" s="356"/>
      <c r="DP288" s="356"/>
      <c r="DQ288" s="356"/>
      <c r="DR288" s="356"/>
      <c r="DS288" s="356"/>
      <c r="DT288" s="356"/>
      <c r="DU288" s="356"/>
      <c r="DV288" s="356"/>
      <c r="DW288" s="356"/>
      <c r="DX288" s="356"/>
      <c r="DY288" s="356"/>
      <c r="DZ288" s="356"/>
      <c r="EA288" s="356"/>
      <c r="EB288" s="356"/>
      <c r="EC288" s="356"/>
      <c r="ED288" s="356"/>
      <c r="EE288" s="356"/>
      <c r="EF288" s="356"/>
      <c r="EG288" s="356"/>
      <c r="EH288" s="356"/>
      <c r="EI288" s="356"/>
      <c r="EJ288" s="356"/>
      <c r="EK288" s="356"/>
      <c r="EL288" s="356"/>
      <c r="EM288" s="356"/>
      <c r="EN288" s="356"/>
      <c r="EO288" s="356"/>
      <c r="EP288" s="356"/>
      <c r="EQ288" s="356"/>
    </row>
    <row r="289" spans="1:147" ht="15" customHeight="1">
      <c r="A289" s="473"/>
      <c r="BB289" s="356"/>
      <c r="BC289" s="356"/>
      <c r="BD289" s="356"/>
      <c r="BE289" s="356"/>
      <c r="BF289" s="356"/>
      <c r="BG289" s="356"/>
      <c r="BH289" s="356"/>
      <c r="BI289" s="356"/>
      <c r="BJ289" s="356"/>
      <c r="BK289" s="356"/>
      <c r="BL289" s="356"/>
      <c r="BM289" s="356"/>
      <c r="BN289" s="356"/>
      <c r="BO289" s="356"/>
      <c r="BP289" s="356"/>
      <c r="BQ289" s="356"/>
      <c r="BR289" s="356"/>
      <c r="BS289" s="356"/>
      <c r="BT289" s="356"/>
      <c r="BU289" s="356"/>
      <c r="BV289" s="356"/>
      <c r="BW289" s="356"/>
      <c r="BX289" s="356"/>
      <c r="BY289" s="356"/>
      <c r="BZ289" s="356"/>
      <c r="CA289" s="356"/>
      <c r="CB289" s="356"/>
      <c r="CC289" s="356"/>
      <c r="CD289" s="356"/>
      <c r="CE289" s="356"/>
      <c r="CF289" s="356"/>
      <c r="CG289" s="356"/>
      <c r="CH289" s="356"/>
      <c r="CI289" s="356"/>
      <c r="CJ289" s="356"/>
      <c r="CK289" s="356"/>
      <c r="CL289" s="356"/>
      <c r="CM289" s="356"/>
      <c r="CN289" s="356"/>
      <c r="CO289" s="356"/>
      <c r="CP289" s="356"/>
      <c r="CQ289" s="356"/>
      <c r="CR289" s="356"/>
      <c r="CS289" s="356"/>
      <c r="CT289" s="356"/>
      <c r="CU289" s="356"/>
      <c r="CV289" s="356"/>
      <c r="CW289" s="356"/>
      <c r="CX289" s="356"/>
      <c r="CY289" s="356"/>
      <c r="CZ289" s="356"/>
      <c r="DA289" s="356"/>
      <c r="DB289" s="356"/>
      <c r="DC289" s="356"/>
      <c r="DD289" s="356"/>
      <c r="DE289" s="356"/>
      <c r="DF289" s="356"/>
      <c r="DG289" s="356"/>
      <c r="DH289" s="356"/>
      <c r="DI289" s="356"/>
      <c r="DJ289" s="356"/>
      <c r="DK289" s="356"/>
      <c r="DL289" s="356"/>
      <c r="DM289" s="356"/>
      <c r="DN289" s="356"/>
      <c r="DO289" s="356"/>
      <c r="DP289" s="356"/>
      <c r="DQ289" s="356"/>
      <c r="DR289" s="356"/>
      <c r="DS289" s="356"/>
      <c r="DT289" s="356"/>
      <c r="DU289" s="356"/>
      <c r="DV289" s="356"/>
      <c r="DW289" s="356"/>
      <c r="DX289" s="356"/>
      <c r="DY289" s="356"/>
      <c r="DZ289" s="356"/>
      <c r="EA289" s="356"/>
      <c r="EB289" s="356"/>
      <c r="EC289" s="356"/>
      <c r="ED289" s="356"/>
      <c r="EE289" s="356"/>
      <c r="EF289" s="356"/>
      <c r="EG289" s="356"/>
      <c r="EH289" s="356"/>
      <c r="EI289" s="356"/>
      <c r="EJ289" s="356"/>
      <c r="EK289" s="356"/>
      <c r="EL289" s="356"/>
      <c r="EM289" s="356"/>
      <c r="EN289" s="356"/>
      <c r="EO289" s="356"/>
      <c r="EP289" s="356"/>
      <c r="EQ289" s="356"/>
    </row>
    <row r="290" spans="1:147" ht="15" customHeight="1">
      <c r="A290" s="473"/>
      <c r="BB290" s="356"/>
      <c r="BC290" s="356"/>
      <c r="BD290" s="356"/>
      <c r="BE290" s="356"/>
      <c r="BF290" s="356"/>
      <c r="BG290" s="356"/>
      <c r="BH290" s="356"/>
      <c r="BI290" s="356"/>
      <c r="BJ290" s="356"/>
      <c r="BK290" s="356"/>
      <c r="BL290" s="356"/>
      <c r="BM290" s="356"/>
      <c r="BN290" s="356"/>
      <c r="BO290" s="356"/>
      <c r="BP290" s="356"/>
      <c r="BQ290" s="356"/>
      <c r="BR290" s="356"/>
      <c r="BS290" s="356"/>
      <c r="BT290" s="356"/>
      <c r="BU290" s="356"/>
      <c r="BV290" s="356"/>
      <c r="BW290" s="356"/>
      <c r="BX290" s="356"/>
      <c r="BY290" s="356"/>
      <c r="BZ290" s="356"/>
      <c r="CA290" s="356"/>
      <c r="CB290" s="356"/>
      <c r="CC290" s="356"/>
      <c r="CD290" s="356"/>
      <c r="CE290" s="356"/>
      <c r="CF290" s="356"/>
      <c r="CG290" s="356"/>
      <c r="CH290" s="356"/>
      <c r="CI290" s="356"/>
      <c r="CJ290" s="356"/>
      <c r="CK290" s="356"/>
      <c r="CL290" s="356"/>
      <c r="CM290" s="356"/>
      <c r="CN290" s="356"/>
      <c r="CO290" s="356"/>
      <c r="CP290" s="356"/>
      <c r="CQ290" s="356"/>
      <c r="CR290" s="356"/>
      <c r="CS290" s="356"/>
      <c r="CT290" s="356"/>
      <c r="CU290" s="356"/>
      <c r="CV290" s="356"/>
      <c r="CW290" s="356"/>
      <c r="CX290" s="356"/>
      <c r="CY290" s="356"/>
      <c r="CZ290" s="356"/>
      <c r="DA290" s="356"/>
      <c r="DB290" s="356"/>
      <c r="DC290" s="356"/>
      <c r="DD290" s="356"/>
      <c r="DE290" s="356"/>
      <c r="DF290" s="356"/>
      <c r="DG290" s="356"/>
      <c r="DH290" s="356"/>
      <c r="DI290" s="356"/>
      <c r="DJ290" s="356"/>
      <c r="DK290" s="356"/>
      <c r="DL290" s="356"/>
      <c r="DM290" s="356"/>
      <c r="DN290" s="356"/>
      <c r="DO290" s="356"/>
      <c r="DP290" s="356"/>
      <c r="DQ290" s="356"/>
      <c r="DR290" s="356"/>
      <c r="DS290" s="356"/>
      <c r="DT290" s="356"/>
      <c r="DU290" s="356"/>
      <c r="DV290" s="356"/>
      <c r="DW290" s="356"/>
      <c r="DX290" s="356"/>
      <c r="DY290" s="356"/>
      <c r="DZ290" s="356"/>
      <c r="EA290" s="356"/>
      <c r="EB290" s="356"/>
      <c r="EC290" s="356"/>
      <c r="ED290" s="356"/>
      <c r="EE290" s="356"/>
      <c r="EF290" s="356"/>
      <c r="EG290" s="356"/>
      <c r="EH290" s="356"/>
      <c r="EI290" s="356"/>
      <c r="EJ290" s="356"/>
      <c r="EK290" s="356"/>
      <c r="EL290" s="356"/>
      <c r="EM290" s="356"/>
      <c r="EN290" s="356"/>
      <c r="EO290" s="356"/>
      <c r="EP290" s="356"/>
      <c r="EQ290" s="356"/>
    </row>
    <row r="291" spans="1:147" ht="15" customHeight="1">
      <c r="A291" s="473"/>
      <c r="BB291" s="356"/>
      <c r="BC291" s="356"/>
      <c r="BD291" s="356"/>
      <c r="BE291" s="356"/>
      <c r="BF291" s="356"/>
      <c r="BG291" s="356"/>
      <c r="BH291" s="356"/>
      <c r="BI291" s="356"/>
      <c r="BJ291" s="356"/>
      <c r="BK291" s="356"/>
      <c r="BL291" s="356"/>
      <c r="BM291" s="356"/>
      <c r="BN291" s="356"/>
      <c r="BO291" s="356"/>
      <c r="BP291" s="356"/>
      <c r="BQ291" s="356"/>
      <c r="BR291" s="356"/>
      <c r="BS291" s="356"/>
      <c r="BT291" s="356"/>
      <c r="BU291" s="356"/>
      <c r="BV291" s="356"/>
      <c r="BW291" s="356"/>
      <c r="BX291" s="356"/>
      <c r="BY291" s="356"/>
      <c r="BZ291" s="356"/>
      <c r="CA291" s="356"/>
      <c r="CB291" s="356"/>
      <c r="CC291" s="356"/>
      <c r="CD291" s="356"/>
      <c r="CE291" s="356"/>
      <c r="CF291" s="356"/>
      <c r="CG291" s="356"/>
      <c r="CH291" s="356"/>
      <c r="CI291" s="356"/>
      <c r="CJ291" s="356"/>
      <c r="CK291" s="356"/>
      <c r="CL291" s="356"/>
      <c r="CM291" s="356"/>
      <c r="CN291" s="356"/>
      <c r="CO291" s="356"/>
      <c r="CP291" s="356"/>
      <c r="CQ291" s="356"/>
      <c r="CR291" s="356"/>
      <c r="CS291" s="356"/>
      <c r="CT291" s="356"/>
      <c r="CU291" s="356"/>
      <c r="CV291" s="356"/>
      <c r="CW291" s="356"/>
      <c r="CX291" s="356"/>
      <c r="CY291" s="356"/>
      <c r="CZ291" s="356"/>
      <c r="DA291" s="356"/>
      <c r="DB291" s="356"/>
      <c r="DC291" s="356"/>
      <c r="DD291" s="356"/>
      <c r="DE291" s="356"/>
      <c r="DF291" s="356"/>
      <c r="DG291" s="356"/>
      <c r="DH291" s="356"/>
      <c r="DI291" s="356"/>
      <c r="DJ291" s="356"/>
      <c r="DK291" s="356"/>
      <c r="DL291" s="356"/>
      <c r="DM291" s="356"/>
      <c r="DN291" s="356"/>
      <c r="DO291" s="356"/>
      <c r="DP291" s="356"/>
      <c r="DQ291" s="356"/>
      <c r="DR291" s="356"/>
      <c r="DS291" s="356"/>
      <c r="DT291" s="356"/>
      <c r="DU291" s="356"/>
      <c r="DV291" s="356"/>
      <c r="DW291" s="356"/>
      <c r="DX291" s="356"/>
      <c r="DY291" s="356"/>
      <c r="DZ291" s="356"/>
      <c r="EA291" s="356"/>
      <c r="EB291" s="356"/>
      <c r="EC291" s="356"/>
      <c r="ED291" s="356"/>
      <c r="EE291" s="356"/>
      <c r="EF291" s="356"/>
      <c r="EG291" s="356"/>
      <c r="EH291" s="356"/>
      <c r="EI291" s="356"/>
      <c r="EJ291" s="356"/>
      <c r="EK291" s="356"/>
      <c r="EL291" s="356"/>
      <c r="EM291" s="356"/>
      <c r="EN291" s="356"/>
      <c r="EO291" s="356"/>
      <c r="EP291" s="356"/>
      <c r="EQ291" s="356"/>
    </row>
    <row r="292" spans="1:147" ht="15" customHeight="1">
      <c r="A292" s="473"/>
      <c r="BB292" s="356"/>
      <c r="BC292" s="356"/>
      <c r="BD292" s="356"/>
      <c r="BE292" s="356"/>
      <c r="BF292" s="356"/>
      <c r="BG292" s="356"/>
      <c r="BH292" s="356"/>
      <c r="BI292" s="356"/>
      <c r="BJ292" s="356"/>
      <c r="BK292" s="356"/>
      <c r="BL292" s="356"/>
      <c r="BM292" s="356"/>
      <c r="BN292" s="356"/>
      <c r="BO292" s="356"/>
      <c r="BP292" s="356"/>
      <c r="BQ292" s="356"/>
      <c r="BR292" s="356"/>
      <c r="BS292" s="356"/>
      <c r="BT292" s="356"/>
      <c r="BU292" s="356"/>
      <c r="BV292" s="356"/>
      <c r="BW292" s="356"/>
      <c r="BX292" s="356"/>
      <c r="BY292" s="356"/>
      <c r="BZ292" s="356"/>
      <c r="CA292" s="356"/>
      <c r="CB292" s="356"/>
      <c r="CC292" s="356"/>
      <c r="CD292" s="356"/>
      <c r="CE292" s="356"/>
      <c r="CF292" s="356"/>
      <c r="CG292" s="356"/>
      <c r="CH292" s="356"/>
      <c r="CI292" s="356"/>
      <c r="CJ292" s="356"/>
      <c r="CK292" s="356"/>
      <c r="CL292" s="356"/>
      <c r="CM292" s="356"/>
      <c r="CN292" s="356"/>
      <c r="CO292" s="356"/>
      <c r="CP292" s="356"/>
      <c r="CQ292" s="356"/>
      <c r="CR292" s="356"/>
      <c r="CS292" s="356"/>
      <c r="CT292" s="356"/>
      <c r="CU292" s="356"/>
      <c r="CV292" s="356"/>
      <c r="CW292" s="356"/>
      <c r="CX292" s="356"/>
      <c r="CY292" s="356"/>
      <c r="CZ292" s="356"/>
      <c r="DA292" s="356"/>
      <c r="DB292" s="356"/>
      <c r="DC292" s="356"/>
      <c r="DD292" s="356"/>
      <c r="DE292" s="356"/>
      <c r="DF292" s="356"/>
      <c r="DG292" s="356"/>
      <c r="DH292" s="356"/>
      <c r="DI292" s="356"/>
      <c r="DJ292" s="356"/>
      <c r="DK292" s="356"/>
      <c r="DL292" s="356"/>
      <c r="DM292" s="356"/>
      <c r="DN292" s="356"/>
      <c r="DO292" s="356"/>
      <c r="DP292" s="356"/>
      <c r="DQ292" s="356"/>
      <c r="DR292" s="356"/>
      <c r="DS292" s="356"/>
      <c r="DT292" s="356"/>
      <c r="DU292" s="356"/>
      <c r="DV292" s="356"/>
      <c r="DW292" s="356"/>
      <c r="DX292" s="356"/>
      <c r="DY292" s="356"/>
      <c r="DZ292" s="356"/>
      <c r="EA292" s="356"/>
      <c r="EB292" s="356"/>
      <c r="EC292" s="356"/>
      <c r="ED292" s="356"/>
      <c r="EE292" s="356"/>
      <c r="EF292" s="356"/>
      <c r="EG292" s="356"/>
      <c r="EH292" s="356"/>
      <c r="EI292" s="356"/>
      <c r="EJ292" s="356"/>
      <c r="EK292" s="356"/>
      <c r="EL292" s="356"/>
      <c r="EM292" s="356"/>
      <c r="EN292" s="356"/>
      <c r="EO292" s="356"/>
      <c r="EP292" s="356"/>
      <c r="EQ292" s="356"/>
    </row>
    <row r="293" spans="1:147" ht="15" customHeight="1">
      <c r="A293" s="473"/>
      <c r="BB293" s="356"/>
      <c r="BC293" s="356"/>
      <c r="BD293" s="356"/>
      <c r="BE293" s="356"/>
      <c r="BF293" s="356"/>
      <c r="BG293" s="356"/>
      <c r="BH293" s="356"/>
      <c r="BI293" s="356"/>
      <c r="BJ293" s="356"/>
      <c r="BK293" s="356"/>
      <c r="BL293" s="356"/>
      <c r="BM293" s="356"/>
      <c r="BN293" s="356"/>
      <c r="BO293" s="356"/>
      <c r="BP293" s="356"/>
      <c r="BQ293" s="356"/>
      <c r="BR293" s="356"/>
      <c r="BS293" s="356"/>
      <c r="BT293" s="356"/>
      <c r="BU293" s="356"/>
      <c r="BV293" s="356"/>
      <c r="BW293" s="356"/>
      <c r="BX293" s="356"/>
      <c r="BY293" s="356"/>
      <c r="BZ293" s="356"/>
      <c r="CA293" s="356"/>
      <c r="CB293" s="356"/>
      <c r="CC293" s="356"/>
      <c r="CD293" s="356"/>
      <c r="CE293" s="356"/>
      <c r="CF293" s="356"/>
      <c r="CG293" s="356"/>
      <c r="CH293" s="356"/>
      <c r="CI293" s="356"/>
      <c r="CJ293" s="356"/>
      <c r="CK293" s="356"/>
      <c r="CL293" s="356"/>
      <c r="CM293" s="356"/>
      <c r="CN293" s="356"/>
      <c r="CO293" s="356"/>
      <c r="CP293" s="356"/>
      <c r="CQ293" s="356"/>
      <c r="CR293" s="356"/>
      <c r="CS293" s="356"/>
      <c r="CT293" s="356"/>
      <c r="CU293" s="356"/>
      <c r="CV293" s="356"/>
      <c r="CW293" s="356"/>
      <c r="CX293" s="356"/>
      <c r="CY293" s="356"/>
      <c r="CZ293" s="356"/>
      <c r="DA293" s="356"/>
      <c r="DB293" s="356"/>
      <c r="DC293" s="356"/>
      <c r="DD293" s="356"/>
      <c r="DE293" s="356"/>
      <c r="DF293" s="356"/>
      <c r="DG293" s="356"/>
      <c r="DH293" s="356"/>
      <c r="DI293" s="356"/>
      <c r="DJ293" s="356"/>
      <c r="DK293" s="356"/>
      <c r="DL293" s="356"/>
      <c r="DM293" s="356"/>
      <c r="DN293" s="356"/>
      <c r="DO293" s="356"/>
      <c r="DP293" s="356"/>
      <c r="DQ293" s="356"/>
      <c r="DR293" s="356"/>
      <c r="DS293" s="356"/>
      <c r="DT293" s="356"/>
      <c r="DU293" s="356"/>
      <c r="DV293" s="356"/>
      <c r="DW293" s="356"/>
      <c r="DX293" s="356"/>
      <c r="DY293" s="356"/>
      <c r="DZ293" s="356"/>
      <c r="EA293" s="356"/>
      <c r="EB293" s="356"/>
      <c r="EC293" s="356"/>
      <c r="ED293" s="356"/>
      <c r="EE293" s="356"/>
      <c r="EF293" s="356"/>
      <c r="EG293" s="356"/>
      <c r="EH293" s="356"/>
      <c r="EI293" s="356"/>
      <c r="EJ293" s="356"/>
      <c r="EK293" s="356"/>
      <c r="EL293" s="356"/>
      <c r="EM293" s="356"/>
      <c r="EN293" s="356"/>
      <c r="EO293" s="356"/>
      <c r="EP293" s="356"/>
      <c r="EQ293" s="356"/>
    </row>
    <row r="294" spans="1:147" ht="15" customHeight="1">
      <c r="A294" s="473"/>
      <c r="BB294" s="356"/>
      <c r="BC294" s="356"/>
      <c r="BD294" s="356"/>
      <c r="BE294" s="356"/>
      <c r="BF294" s="356"/>
      <c r="BG294" s="356"/>
      <c r="BH294" s="356"/>
      <c r="BI294" s="356"/>
      <c r="BJ294" s="356"/>
      <c r="BK294" s="356"/>
      <c r="BL294" s="356"/>
      <c r="BM294" s="356"/>
      <c r="BN294" s="356"/>
      <c r="BO294" s="356"/>
      <c r="BP294" s="356"/>
      <c r="BQ294" s="356"/>
      <c r="BR294" s="356"/>
      <c r="BS294" s="356"/>
      <c r="BT294" s="356"/>
      <c r="BU294" s="356"/>
      <c r="BV294" s="356"/>
      <c r="BW294" s="356"/>
      <c r="BX294" s="356"/>
      <c r="BY294" s="356"/>
      <c r="BZ294" s="356"/>
      <c r="CA294" s="356"/>
      <c r="CB294" s="356"/>
      <c r="CC294" s="356"/>
      <c r="CD294" s="356"/>
      <c r="CE294" s="356"/>
      <c r="CF294" s="356"/>
      <c r="CG294" s="356"/>
      <c r="CH294" s="356"/>
      <c r="CI294" s="356"/>
      <c r="CJ294" s="356"/>
      <c r="CK294" s="356"/>
      <c r="CL294" s="356"/>
      <c r="CM294" s="356"/>
      <c r="CN294" s="356"/>
      <c r="CO294" s="356"/>
      <c r="CP294" s="356"/>
      <c r="CQ294" s="356"/>
      <c r="CR294" s="356"/>
      <c r="CS294" s="356"/>
      <c r="CT294" s="356"/>
      <c r="CU294" s="356"/>
      <c r="CV294" s="356"/>
      <c r="CW294" s="356"/>
      <c r="CX294" s="356"/>
      <c r="CY294" s="356"/>
      <c r="CZ294" s="356"/>
      <c r="DA294" s="356"/>
      <c r="DB294" s="356"/>
      <c r="DC294" s="356"/>
      <c r="DD294" s="356"/>
      <c r="DE294" s="356"/>
      <c r="DF294" s="356"/>
      <c r="DG294" s="356"/>
      <c r="DH294" s="356"/>
      <c r="DI294" s="356"/>
      <c r="DJ294" s="356"/>
      <c r="DK294" s="356"/>
      <c r="DL294" s="356"/>
      <c r="DM294" s="356"/>
      <c r="DN294" s="356"/>
      <c r="DO294" s="356"/>
      <c r="DP294" s="356"/>
      <c r="DQ294" s="356"/>
      <c r="DR294" s="356"/>
      <c r="DS294" s="356"/>
      <c r="DT294" s="356"/>
      <c r="DU294" s="356"/>
      <c r="DV294" s="356"/>
      <c r="DW294" s="356"/>
      <c r="DX294" s="356"/>
      <c r="DY294" s="356"/>
      <c r="DZ294" s="356"/>
      <c r="EA294" s="356"/>
      <c r="EB294" s="356"/>
      <c r="EC294" s="356"/>
      <c r="ED294" s="356"/>
      <c r="EE294" s="356"/>
      <c r="EF294" s="356"/>
      <c r="EG294" s="356"/>
      <c r="EH294" s="356"/>
      <c r="EI294" s="356"/>
      <c r="EJ294" s="356"/>
      <c r="EK294" s="356"/>
      <c r="EL294" s="356"/>
      <c r="EM294" s="356"/>
      <c r="EN294" s="356"/>
      <c r="EO294" s="356"/>
      <c r="EP294" s="356"/>
      <c r="EQ294" s="356"/>
    </row>
    <row r="295" spans="1:147" ht="15" customHeight="1">
      <c r="A295" s="473"/>
      <c r="BB295" s="356"/>
      <c r="BC295" s="356"/>
      <c r="BD295" s="356"/>
      <c r="BE295" s="356"/>
      <c r="BF295" s="356"/>
      <c r="BG295" s="356"/>
      <c r="BH295" s="356"/>
      <c r="BI295" s="356"/>
      <c r="BJ295" s="356"/>
      <c r="BK295" s="356"/>
      <c r="BL295" s="356"/>
      <c r="BM295" s="356"/>
      <c r="BN295" s="356"/>
      <c r="BO295" s="356"/>
      <c r="BP295" s="356"/>
      <c r="BQ295" s="356"/>
      <c r="BR295" s="356"/>
      <c r="BS295" s="356"/>
      <c r="BT295" s="356"/>
      <c r="BU295" s="356"/>
      <c r="BV295" s="356"/>
      <c r="BW295" s="356"/>
      <c r="BX295" s="356"/>
      <c r="BY295" s="356"/>
      <c r="BZ295" s="356"/>
      <c r="CA295" s="356"/>
      <c r="CB295" s="356"/>
      <c r="CC295" s="356"/>
      <c r="CD295" s="356"/>
      <c r="CE295" s="356"/>
      <c r="CF295" s="356"/>
      <c r="CG295" s="356"/>
      <c r="CH295" s="356"/>
      <c r="CI295" s="356"/>
      <c r="CJ295" s="356"/>
      <c r="CK295" s="356"/>
      <c r="CL295" s="356"/>
      <c r="CM295" s="356"/>
      <c r="CN295" s="356"/>
      <c r="CO295" s="356"/>
      <c r="CP295" s="356"/>
      <c r="CQ295" s="356"/>
      <c r="CR295" s="356"/>
      <c r="CS295" s="356"/>
      <c r="CT295" s="356"/>
      <c r="CU295" s="356"/>
      <c r="CV295" s="356"/>
      <c r="CW295" s="356"/>
      <c r="CX295" s="356"/>
      <c r="CY295" s="356"/>
      <c r="CZ295" s="356"/>
      <c r="DA295" s="356"/>
      <c r="DB295" s="356"/>
      <c r="DC295" s="356"/>
      <c r="DD295" s="356"/>
      <c r="DE295" s="356"/>
      <c r="DF295" s="356"/>
      <c r="DG295" s="356"/>
      <c r="DH295" s="356"/>
      <c r="DI295" s="356"/>
      <c r="DJ295" s="356"/>
      <c r="DK295" s="356"/>
      <c r="DL295" s="356"/>
      <c r="DM295" s="356"/>
      <c r="DN295" s="356"/>
      <c r="DO295" s="356"/>
      <c r="DP295" s="356"/>
      <c r="DQ295" s="356"/>
      <c r="DR295" s="356"/>
      <c r="DS295" s="356"/>
      <c r="DT295" s="356"/>
      <c r="DU295" s="356"/>
      <c r="DV295" s="356"/>
      <c r="DW295" s="356"/>
      <c r="DX295" s="356"/>
      <c r="DY295" s="356"/>
      <c r="DZ295" s="356"/>
      <c r="EA295" s="356"/>
      <c r="EB295" s="356"/>
      <c r="EC295" s="356"/>
      <c r="ED295" s="356"/>
      <c r="EE295" s="356"/>
      <c r="EF295" s="356"/>
      <c r="EG295" s="356"/>
      <c r="EH295" s="356"/>
      <c r="EI295" s="356"/>
      <c r="EJ295" s="356"/>
      <c r="EK295" s="356"/>
      <c r="EL295" s="356"/>
      <c r="EM295" s="356"/>
      <c r="EN295" s="356"/>
      <c r="EO295" s="356"/>
      <c r="EP295" s="356"/>
      <c r="EQ295" s="356"/>
    </row>
    <row r="296" spans="1:147" ht="15" customHeight="1">
      <c r="A296" s="473"/>
      <c r="BB296" s="356"/>
      <c r="BC296" s="356"/>
      <c r="BD296" s="356"/>
      <c r="BE296" s="356"/>
      <c r="BF296" s="356"/>
      <c r="BG296" s="356"/>
      <c r="BH296" s="356"/>
      <c r="BI296" s="356"/>
      <c r="BJ296" s="356"/>
      <c r="BK296" s="356"/>
      <c r="BL296" s="356"/>
      <c r="BM296" s="356"/>
      <c r="BN296" s="356"/>
      <c r="BO296" s="356"/>
      <c r="BP296" s="356"/>
      <c r="BQ296" s="356"/>
      <c r="BR296" s="356"/>
      <c r="BS296" s="356"/>
      <c r="BT296" s="356"/>
      <c r="BU296" s="356"/>
      <c r="BV296" s="356"/>
      <c r="BW296" s="356"/>
      <c r="BX296" s="356"/>
      <c r="BY296" s="356"/>
      <c r="BZ296" s="356"/>
      <c r="CA296" s="356"/>
      <c r="CB296" s="356"/>
      <c r="CC296" s="356"/>
      <c r="CD296" s="356"/>
      <c r="CE296" s="356"/>
      <c r="CF296" s="356"/>
      <c r="CG296" s="356"/>
      <c r="CH296" s="356"/>
      <c r="CI296" s="356"/>
      <c r="CJ296" s="356"/>
      <c r="CK296" s="356"/>
      <c r="CL296" s="356"/>
      <c r="CM296" s="356"/>
      <c r="CN296" s="356"/>
      <c r="CO296" s="356"/>
      <c r="CP296" s="356"/>
      <c r="CQ296" s="356"/>
      <c r="CR296" s="356"/>
      <c r="CS296" s="356"/>
      <c r="CT296" s="356"/>
      <c r="CU296" s="356"/>
      <c r="CV296" s="356"/>
      <c r="CW296" s="356"/>
      <c r="CX296" s="356"/>
      <c r="CY296" s="356"/>
      <c r="CZ296" s="356"/>
      <c r="DA296" s="356"/>
      <c r="DB296" s="356"/>
      <c r="DC296" s="356"/>
      <c r="DD296" s="356"/>
      <c r="DE296" s="356"/>
      <c r="DF296" s="356"/>
      <c r="DG296" s="356"/>
      <c r="DH296" s="356"/>
      <c r="DI296" s="356"/>
      <c r="DJ296" s="356"/>
      <c r="DK296" s="356"/>
      <c r="DL296" s="356"/>
      <c r="DM296" s="356"/>
      <c r="DN296" s="356"/>
      <c r="DO296" s="356"/>
      <c r="DP296" s="356"/>
      <c r="DQ296" s="356"/>
      <c r="DR296" s="356"/>
      <c r="DS296" s="356"/>
      <c r="DT296" s="356"/>
      <c r="DU296" s="356"/>
      <c r="DV296" s="356"/>
      <c r="DW296" s="356"/>
      <c r="DX296" s="356"/>
      <c r="DY296" s="356"/>
      <c r="DZ296" s="356"/>
      <c r="EA296" s="356"/>
      <c r="EB296" s="356"/>
      <c r="EC296" s="356"/>
      <c r="ED296" s="356"/>
      <c r="EE296" s="356"/>
      <c r="EF296" s="356"/>
      <c r="EG296" s="356"/>
      <c r="EH296" s="356"/>
      <c r="EI296" s="356"/>
      <c r="EJ296" s="356"/>
      <c r="EK296" s="356"/>
      <c r="EL296" s="356"/>
      <c r="EM296" s="356"/>
      <c r="EN296" s="356"/>
      <c r="EO296" s="356"/>
      <c r="EP296" s="356"/>
      <c r="EQ296" s="356"/>
    </row>
    <row r="297" spans="1:147" ht="15" customHeight="1">
      <c r="A297" s="473"/>
      <c r="BB297" s="356"/>
      <c r="BC297" s="356"/>
      <c r="BD297" s="356"/>
      <c r="BE297" s="356"/>
      <c r="BF297" s="356"/>
      <c r="BG297" s="356"/>
      <c r="BH297" s="356"/>
      <c r="BI297" s="356"/>
      <c r="BJ297" s="356"/>
      <c r="BK297" s="356"/>
      <c r="BL297" s="356"/>
      <c r="BM297" s="356"/>
      <c r="BN297" s="356"/>
      <c r="BO297" s="356"/>
      <c r="BP297" s="356"/>
      <c r="BQ297" s="356"/>
      <c r="BR297" s="356"/>
      <c r="BS297" s="356"/>
      <c r="BT297" s="356"/>
      <c r="BU297" s="356"/>
      <c r="BV297" s="356"/>
      <c r="BW297" s="356"/>
      <c r="BX297" s="356"/>
      <c r="BY297" s="356"/>
      <c r="BZ297" s="356"/>
      <c r="CA297" s="356"/>
      <c r="CB297" s="356"/>
      <c r="CC297" s="356"/>
      <c r="CD297" s="356"/>
      <c r="CE297" s="356"/>
      <c r="CF297" s="356"/>
      <c r="CG297" s="356"/>
      <c r="CH297" s="356"/>
      <c r="CI297" s="356"/>
      <c r="CJ297" s="356"/>
      <c r="CK297" s="356"/>
      <c r="CL297" s="356"/>
      <c r="CM297" s="356"/>
      <c r="CN297" s="356"/>
      <c r="CO297" s="356"/>
      <c r="CP297" s="356"/>
      <c r="CQ297" s="356"/>
      <c r="CR297" s="356"/>
      <c r="CS297" s="356"/>
      <c r="CT297" s="356"/>
      <c r="CU297" s="356"/>
      <c r="CV297" s="356"/>
      <c r="CW297" s="356"/>
      <c r="CX297" s="356"/>
      <c r="CY297" s="356"/>
      <c r="CZ297" s="356"/>
      <c r="DA297" s="356"/>
      <c r="DB297" s="356"/>
      <c r="DC297" s="356"/>
      <c r="DD297" s="356"/>
      <c r="DE297" s="356"/>
      <c r="DF297" s="356"/>
      <c r="DG297" s="356"/>
      <c r="DH297" s="356"/>
      <c r="DI297" s="356"/>
      <c r="DJ297" s="356"/>
      <c r="DK297" s="356"/>
      <c r="DL297" s="356"/>
      <c r="DM297" s="356"/>
      <c r="DN297" s="356"/>
      <c r="DO297" s="356"/>
      <c r="DP297" s="356"/>
      <c r="DQ297" s="356"/>
      <c r="DR297" s="356"/>
      <c r="DS297" s="356"/>
      <c r="DT297" s="356"/>
      <c r="DU297" s="356"/>
      <c r="DV297" s="356"/>
      <c r="DW297" s="356"/>
      <c r="DX297" s="356"/>
      <c r="DY297" s="356"/>
      <c r="DZ297" s="356"/>
      <c r="EA297" s="356"/>
      <c r="EB297" s="356"/>
      <c r="EC297" s="356"/>
      <c r="ED297" s="356"/>
      <c r="EE297" s="356"/>
      <c r="EF297" s="356"/>
      <c r="EG297" s="356"/>
      <c r="EH297" s="356"/>
      <c r="EI297" s="356"/>
      <c r="EJ297" s="356"/>
      <c r="EK297" s="356"/>
      <c r="EL297" s="356"/>
      <c r="EM297" s="356"/>
      <c r="EN297" s="356"/>
      <c r="EO297" s="356"/>
      <c r="EP297" s="356"/>
      <c r="EQ297" s="356"/>
    </row>
    <row r="298" spans="1:147" ht="15" customHeight="1">
      <c r="A298" s="473"/>
      <c r="BB298" s="356"/>
      <c r="BC298" s="356"/>
      <c r="BD298" s="356"/>
      <c r="BE298" s="356"/>
      <c r="BF298" s="356"/>
      <c r="BG298" s="356"/>
      <c r="BH298" s="356"/>
      <c r="BI298" s="356"/>
      <c r="BJ298" s="356"/>
      <c r="BK298" s="356"/>
      <c r="BL298" s="356"/>
      <c r="BM298" s="356"/>
      <c r="BN298" s="356"/>
      <c r="BO298" s="356"/>
      <c r="BP298" s="356"/>
      <c r="BQ298" s="356"/>
      <c r="BR298" s="356"/>
      <c r="BS298" s="356"/>
      <c r="BT298" s="356"/>
      <c r="BU298" s="356"/>
      <c r="BV298" s="356"/>
      <c r="BW298" s="356"/>
      <c r="BX298" s="356"/>
      <c r="BY298" s="356"/>
      <c r="BZ298" s="356"/>
      <c r="CA298" s="356"/>
      <c r="CB298" s="356"/>
      <c r="CC298" s="356"/>
      <c r="CD298" s="356"/>
      <c r="CE298" s="356"/>
      <c r="CF298" s="356"/>
      <c r="CG298" s="356"/>
      <c r="CH298" s="356"/>
      <c r="CI298" s="356"/>
      <c r="CJ298" s="356"/>
      <c r="CK298" s="356"/>
      <c r="CL298" s="356"/>
      <c r="CM298" s="356"/>
      <c r="CN298" s="356"/>
      <c r="CO298" s="356"/>
      <c r="CP298" s="356"/>
      <c r="CQ298" s="356"/>
      <c r="CR298" s="356"/>
      <c r="CS298" s="356"/>
      <c r="CT298" s="356"/>
      <c r="CU298" s="356"/>
      <c r="CV298" s="356"/>
      <c r="CW298" s="356"/>
      <c r="CX298" s="356"/>
      <c r="CY298" s="356"/>
      <c r="CZ298" s="356"/>
      <c r="DA298" s="356"/>
      <c r="DB298" s="356"/>
      <c r="DC298" s="356"/>
      <c r="DD298" s="356"/>
      <c r="DE298" s="356"/>
      <c r="DF298" s="356"/>
      <c r="DG298" s="356"/>
      <c r="DH298" s="356"/>
      <c r="DI298" s="356"/>
      <c r="DJ298" s="356"/>
      <c r="DK298" s="356"/>
      <c r="DL298" s="356"/>
      <c r="DM298" s="356"/>
      <c r="DN298" s="356"/>
      <c r="DO298" s="356"/>
      <c r="DP298" s="356"/>
      <c r="DQ298" s="356"/>
      <c r="DR298" s="356"/>
      <c r="DS298" s="356"/>
      <c r="DT298" s="356"/>
      <c r="DU298" s="356"/>
      <c r="DV298" s="356"/>
      <c r="DW298" s="356"/>
      <c r="DX298" s="356"/>
      <c r="DY298" s="356"/>
      <c r="DZ298" s="356"/>
      <c r="EA298" s="356"/>
      <c r="EB298" s="356"/>
      <c r="EC298" s="356"/>
      <c r="ED298" s="356"/>
      <c r="EE298" s="356"/>
      <c r="EF298" s="356"/>
      <c r="EG298" s="356"/>
      <c r="EH298" s="356"/>
      <c r="EI298" s="356"/>
      <c r="EJ298" s="356"/>
      <c r="EK298" s="356"/>
      <c r="EL298" s="356"/>
      <c r="EM298" s="356"/>
      <c r="EN298" s="356"/>
      <c r="EO298" s="356"/>
      <c r="EP298" s="356"/>
      <c r="EQ298" s="356"/>
    </row>
    <row r="299" spans="1:147" ht="15" customHeight="1">
      <c r="A299" s="473"/>
      <c r="BB299" s="356"/>
      <c r="BC299" s="356"/>
      <c r="BD299" s="356"/>
      <c r="BE299" s="356"/>
      <c r="BF299" s="356"/>
      <c r="BG299" s="356"/>
      <c r="BH299" s="356"/>
      <c r="BI299" s="356"/>
      <c r="BJ299" s="356"/>
      <c r="BK299" s="356"/>
      <c r="BL299" s="356"/>
      <c r="BM299" s="356"/>
      <c r="BN299" s="356"/>
      <c r="BO299" s="356"/>
      <c r="BP299" s="356"/>
      <c r="BQ299" s="356"/>
      <c r="BR299" s="356"/>
      <c r="BS299" s="356"/>
      <c r="BT299" s="356"/>
      <c r="BU299" s="356"/>
      <c r="BV299" s="356"/>
      <c r="BW299" s="356"/>
      <c r="BX299" s="356"/>
      <c r="BY299" s="356"/>
      <c r="BZ299" s="356"/>
      <c r="CA299" s="356"/>
      <c r="CB299" s="356"/>
      <c r="CC299" s="356"/>
      <c r="CD299" s="356"/>
      <c r="CE299" s="356"/>
      <c r="CF299" s="356"/>
      <c r="CG299" s="356"/>
      <c r="CH299" s="356"/>
      <c r="CI299" s="356"/>
      <c r="CJ299" s="356"/>
      <c r="CK299" s="356"/>
      <c r="CL299" s="356"/>
      <c r="CM299" s="356"/>
      <c r="CN299" s="356"/>
      <c r="CO299" s="356"/>
      <c r="CP299" s="356"/>
      <c r="CQ299" s="356"/>
      <c r="CR299" s="356"/>
      <c r="CS299" s="356"/>
      <c r="CT299" s="356"/>
      <c r="CU299" s="356"/>
      <c r="CV299" s="356"/>
      <c r="CW299" s="356"/>
      <c r="CX299" s="356"/>
      <c r="CY299" s="356"/>
      <c r="CZ299" s="356"/>
      <c r="DA299" s="356"/>
      <c r="DB299" s="356"/>
      <c r="DC299" s="356"/>
      <c r="DD299" s="356"/>
      <c r="DE299" s="356"/>
      <c r="DF299" s="356"/>
      <c r="DG299" s="356"/>
      <c r="DH299" s="356"/>
      <c r="DI299" s="356"/>
      <c r="DJ299" s="356"/>
      <c r="DK299" s="356"/>
      <c r="DL299" s="356"/>
      <c r="DM299" s="356"/>
      <c r="DN299" s="356"/>
      <c r="DO299" s="356"/>
      <c r="DP299" s="356"/>
      <c r="DQ299" s="356"/>
      <c r="DR299" s="356"/>
      <c r="DS299" s="356"/>
      <c r="DT299" s="356"/>
      <c r="DU299" s="356"/>
      <c r="DV299" s="356"/>
      <c r="DW299" s="356"/>
      <c r="DX299" s="356"/>
      <c r="DY299" s="356"/>
      <c r="DZ299" s="356"/>
      <c r="EA299" s="356"/>
      <c r="EB299" s="356"/>
      <c r="EC299" s="356"/>
      <c r="ED299" s="356"/>
      <c r="EE299" s="356"/>
      <c r="EF299" s="356"/>
      <c r="EG299" s="356"/>
      <c r="EH299" s="356"/>
      <c r="EI299" s="356"/>
      <c r="EJ299" s="356"/>
      <c r="EK299" s="356"/>
      <c r="EL299" s="356"/>
      <c r="EM299" s="356"/>
      <c r="EN299" s="356"/>
      <c r="EO299" s="356"/>
      <c r="EP299" s="356"/>
      <c r="EQ299" s="356"/>
    </row>
    <row r="300" spans="1:147" ht="15" customHeight="1">
      <c r="A300" s="473"/>
      <c r="BB300" s="356"/>
      <c r="BC300" s="356"/>
      <c r="BD300" s="356"/>
      <c r="BE300" s="356"/>
      <c r="BF300" s="356"/>
      <c r="BG300" s="356"/>
      <c r="BH300" s="356"/>
      <c r="BI300" s="356"/>
      <c r="BJ300" s="356"/>
      <c r="BK300" s="356"/>
      <c r="BL300" s="356"/>
      <c r="BM300" s="356"/>
      <c r="BN300" s="356"/>
      <c r="BO300" s="356"/>
      <c r="BP300" s="356"/>
      <c r="BQ300" s="356"/>
      <c r="BR300" s="356"/>
      <c r="BS300" s="356"/>
      <c r="BT300" s="356"/>
      <c r="BU300" s="356"/>
      <c r="BV300" s="356"/>
      <c r="BW300" s="356"/>
      <c r="BX300" s="356"/>
      <c r="BY300" s="356"/>
      <c r="BZ300" s="356"/>
      <c r="CA300" s="356"/>
      <c r="CB300" s="356"/>
      <c r="CC300" s="356"/>
      <c r="CD300" s="356"/>
      <c r="CE300" s="356"/>
      <c r="CF300" s="356"/>
      <c r="CG300" s="356"/>
      <c r="CH300" s="356"/>
      <c r="CI300" s="356"/>
      <c r="CJ300" s="356"/>
      <c r="CK300" s="356"/>
      <c r="CL300" s="356"/>
      <c r="CM300" s="356"/>
      <c r="CN300" s="356"/>
      <c r="CO300" s="356"/>
      <c r="CP300" s="356"/>
      <c r="CQ300" s="356"/>
      <c r="CR300" s="356"/>
      <c r="CS300" s="356"/>
      <c r="CT300" s="356"/>
      <c r="CU300" s="356"/>
      <c r="CV300" s="356"/>
      <c r="CW300" s="356"/>
      <c r="CX300" s="356"/>
      <c r="CY300" s="356"/>
      <c r="CZ300" s="356"/>
      <c r="DA300" s="356"/>
      <c r="DB300" s="356"/>
      <c r="DC300" s="356"/>
      <c r="DD300" s="356"/>
      <c r="DE300" s="356"/>
      <c r="DF300" s="356"/>
      <c r="DG300" s="356"/>
      <c r="DH300" s="356"/>
      <c r="DI300" s="356"/>
      <c r="DJ300" s="356"/>
      <c r="DK300" s="356"/>
      <c r="DL300" s="356"/>
      <c r="DM300" s="356"/>
      <c r="DN300" s="356"/>
      <c r="DO300" s="356"/>
      <c r="DP300" s="356"/>
      <c r="DQ300" s="356"/>
      <c r="DR300" s="356"/>
      <c r="DS300" s="356"/>
      <c r="DT300" s="356"/>
      <c r="DU300" s="356"/>
      <c r="DV300" s="356"/>
      <c r="DW300" s="356"/>
      <c r="DX300" s="356"/>
      <c r="DY300" s="356"/>
      <c r="DZ300" s="356"/>
      <c r="EA300" s="356"/>
      <c r="EB300" s="356"/>
      <c r="EC300" s="356"/>
      <c r="ED300" s="356"/>
      <c r="EE300" s="356"/>
      <c r="EF300" s="356"/>
      <c r="EG300" s="356"/>
      <c r="EH300" s="356"/>
      <c r="EI300" s="356"/>
      <c r="EJ300" s="356"/>
      <c r="EK300" s="356"/>
      <c r="EL300" s="356"/>
      <c r="EM300" s="356"/>
      <c r="EN300" s="356"/>
      <c r="EO300" s="356"/>
      <c r="EP300" s="356"/>
      <c r="EQ300" s="356"/>
    </row>
    <row r="301" spans="1:147" ht="15" customHeight="1">
      <c r="A301" s="473"/>
      <c r="BB301" s="356"/>
      <c r="BC301" s="356"/>
      <c r="BD301" s="356"/>
      <c r="BE301" s="356"/>
      <c r="BF301" s="356"/>
      <c r="BG301" s="356"/>
      <c r="BH301" s="356"/>
      <c r="BI301" s="356"/>
      <c r="BJ301" s="356"/>
      <c r="BK301" s="356"/>
      <c r="BL301" s="356"/>
      <c r="BM301" s="356"/>
      <c r="BN301" s="356"/>
      <c r="BO301" s="356"/>
      <c r="BP301" s="356"/>
      <c r="BQ301" s="356"/>
      <c r="BR301" s="356"/>
      <c r="BS301" s="356"/>
      <c r="BT301" s="356"/>
      <c r="BU301" s="356"/>
      <c r="BV301" s="356"/>
      <c r="BW301" s="356"/>
      <c r="BX301" s="356"/>
      <c r="BY301" s="356"/>
      <c r="BZ301" s="356"/>
      <c r="CA301" s="356"/>
      <c r="CB301" s="356"/>
      <c r="CC301" s="356"/>
      <c r="CD301" s="356"/>
      <c r="CE301" s="356"/>
      <c r="CF301" s="356"/>
      <c r="CG301" s="356"/>
      <c r="CH301" s="356"/>
      <c r="CI301" s="356"/>
      <c r="CJ301" s="356"/>
      <c r="CK301" s="356"/>
      <c r="CL301" s="356"/>
      <c r="CM301" s="356"/>
      <c r="CN301" s="356"/>
      <c r="CO301" s="356"/>
      <c r="CP301" s="356"/>
      <c r="CQ301" s="356"/>
      <c r="CR301" s="356"/>
      <c r="CS301" s="356"/>
      <c r="CT301" s="356"/>
      <c r="CU301" s="356"/>
      <c r="CV301" s="356"/>
      <c r="CW301" s="356"/>
      <c r="CX301" s="356"/>
      <c r="CY301" s="356"/>
      <c r="CZ301" s="356"/>
      <c r="DA301" s="356"/>
      <c r="DB301" s="356"/>
      <c r="DC301" s="356"/>
      <c r="DD301" s="356"/>
      <c r="DE301" s="356"/>
      <c r="DF301" s="356"/>
      <c r="DG301" s="356"/>
      <c r="DH301" s="356"/>
      <c r="DI301" s="356"/>
      <c r="DJ301" s="356"/>
      <c r="DK301" s="356"/>
      <c r="DL301" s="356"/>
      <c r="DM301" s="356"/>
      <c r="DN301" s="356"/>
      <c r="DO301" s="356"/>
      <c r="DP301" s="356"/>
      <c r="DQ301" s="356"/>
      <c r="DR301" s="356"/>
      <c r="DS301" s="356"/>
      <c r="DT301" s="356"/>
      <c r="DU301" s="356"/>
      <c r="DV301" s="356"/>
      <c r="DW301" s="356"/>
      <c r="DX301" s="356"/>
      <c r="DY301" s="356"/>
      <c r="DZ301" s="356"/>
      <c r="EA301" s="356"/>
      <c r="EB301" s="356"/>
      <c r="EC301" s="356"/>
      <c r="ED301" s="356"/>
      <c r="EE301" s="356"/>
      <c r="EF301" s="356"/>
      <c r="EG301" s="356"/>
      <c r="EH301" s="356"/>
      <c r="EI301" s="356"/>
      <c r="EJ301" s="356"/>
      <c r="EK301" s="356"/>
      <c r="EL301" s="356"/>
      <c r="EM301" s="356"/>
      <c r="EN301" s="356"/>
      <c r="EO301" s="356"/>
      <c r="EP301" s="356"/>
      <c r="EQ301" s="356"/>
    </row>
    <row r="302" spans="1:147" ht="15" customHeight="1">
      <c r="A302" s="473"/>
      <c r="BB302" s="356"/>
      <c r="BC302" s="356"/>
      <c r="BD302" s="356"/>
      <c r="BE302" s="356"/>
      <c r="BF302" s="356"/>
      <c r="BG302" s="356"/>
      <c r="BH302" s="356"/>
      <c r="BI302" s="356"/>
      <c r="BJ302" s="356"/>
      <c r="BK302" s="356"/>
      <c r="BL302" s="356"/>
      <c r="BM302" s="356"/>
      <c r="BN302" s="356"/>
      <c r="BO302" s="356"/>
      <c r="BP302" s="356"/>
      <c r="BQ302" s="356"/>
      <c r="BR302" s="356"/>
      <c r="BS302" s="356"/>
      <c r="BT302" s="356"/>
      <c r="BU302" s="356"/>
      <c r="BV302" s="356"/>
      <c r="BW302" s="356"/>
      <c r="BX302" s="356"/>
      <c r="BY302" s="356"/>
      <c r="BZ302" s="356"/>
      <c r="CA302" s="356"/>
      <c r="CB302" s="356"/>
      <c r="CC302" s="356"/>
      <c r="CD302" s="356"/>
      <c r="CE302" s="356"/>
      <c r="CF302" s="356"/>
      <c r="CG302" s="356"/>
      <c r="CH302" s="356"/>
      <c r="CI302" s="356"/>
      <c r="CJ302" s="356"/>
      <c r="CK302" s="356"/>
      <c r="CL302" s="356"/>
      <c r="CM302" s="356"/>
      <c r="CN302" s="356"/>
      <c r="CO302" s="356"/>
      <c r="CP302" s="356"/>
      <c r="CQ302" s="356"/>
      <c r="CR302" s="356"/>
      <c r="CS302" s="356"/>
      <c r="CT302" s="356"/>
      <c r="CU302" s="356"/>
      <c r="CV302" s="356"/>
      <c r="CW302" s="356"/>
      <c r="CX302" s="356"/>
      <c r="CY302" s="356"/>
      <c r="CZ302" s="356"/>
      <c r="DA302" s="356"/>
      <c r="DB302" s="356"/>
      <c r="DC302" s="356"/>
      <c r="DD302" s="356"/>
      <c r="DE302" s="356"/>
      <c r="DF302" s="356"/>
      <c r="DG302" s="356"/>
      <c r="DH302" s="356"/>
      <c r="DI302" s="356"/>
      <c r="DJ302" s="356"/>
      <c r="DK302" s="356"/>
      <c r="DL302" s="356"/>
      <c r="DM302" s="356"/>
      <c r="DN302" s="356"/>
      <c r="DO302" s="356"/>
      <c r="DP302" s="356"/>
      <c r="DQ302" s="356"/>
      <c r="DR302" s="356"/>
      <c r="DS302" s="356"/>
      <c r="DT302" s="356"/>
      <c r="DU302" s="356"/>
      <c r="DV302" s="356"/>
      <c r="DW302" s="356"/>
      <c r="DX302" s="356"/>
      <c r="DY302" s="356"/>
      <c r="DZ302" s="356"/>
      <c r="EA302" s="356"/>
      <c r="EB302" s="356"/>
      <c r="EC302" s="356"/>
      <c r="ED302" s="356"/>
      <c r="EE302" s="356"/>
      <c r="EF302" s="356"/>
      <c r="EG302" s="356"/>
      <c r="EH302" s="356"/>
      <c r="EI302" s="356"/>
      <c r="EJ302" s="356"/>
      <c r="EK302" s="356"/>
      <c r="EL302" s="356"/>
      <c r="EM302" s="356"/>
      <c r="EN302" s="356"/>
      <c r="EO302" s="356"/>
      <c r="EP302" s="356"/>
      <c r="EQ302" s="356"/>
    </row>
    <row r="303" spans="1:147" ht="15" customHeight="1">
      <c r="A303" s="473"/>
    </row>
    <row r="304" spans="1:147" ht="15" customHeight="1">
      <c r="A304" s="473"/>
    </row>
    <row r="305" spans="1:1" ht="15" customHeight="1">
      <c r="A305" s="473"/>
    </row>
    <row r="306" spans="1:1" ht="15" customHeight="1">
      <c r="A306" s="473"/>
    </row>
    <row r="307" spans="1:1" ht="15" customHeight="1">
      <c r="A307" s="473"/>
    </row>
    <row r="308" spans="1:1" ht="15" customHeight="1">
      <c r="A308" s="473"/>
    </row>
    <row r="309" spans="1:1" ht="15" customHeight="1">
      <c r="A309" s="473"/>
    </row>
    <row r="310" spans="1:1" ht="15" customHeight="1">
      <c r="A310" s="473"/>
    </row>
    <row r="311" spans="1:1" ht="15" customHeight="1">
      <c r="A311" s="473"/>
    </row>
    <row r="312" spans="1:1" ht="15" customHeight="1">
      <c r="A312" s="473"/>
    </row>
    <row r="313" spans="1:1" ht="15" customHeight="1">
      <c r="A313" s="473"/>
    </row>
    <row r="314" spans="1:1" ht="15" customHeight="1">
      <c r="A314" s="473"/>
    </row>
    <row r="315" spans="1:1" ht="15" customHeight="1">
      <c r="A315" s="473"/>
    </row>
    <row r="316" spans="1:1" ht="15" customHeight="1">
      <c r="A316" s="473"/>
    </row>
    <row r="317" spans="1:1" ht="15" customHeight="1">
      <c r="A317" s="473"/>
    </row>
    <row r="318" spans="1:1" ht="15" customHeight="1">
      <c r="A318" s="473"/>
    </row>
    <row r="319" spans="1:1" ht="15" customHeight="1">
      <c r="A319" s="473"/>
    </row>
    <row r="320" spans="1:1" ht="15" customHeight="1">
      <c r="A320" s="473"/>
    </row>
    <row r="321" spans="1:1" ht="15" customHeight="1">
      <c r="A321" s="473"/>
    </row>
    <row r="322" spans="1:1" ht="15" customHeight="1">
      <c r="A322" s="473"/>
    </row>
    <row r="323" spans="1:1" ht="15" customHeight="1">
      <c r="A323" s="473"/>
    </row>
    <row r="324" spans="1:1" ht="15" customHeight="1">
      <c r="A324" s="473"/>
    </row>
    <row r="325" spans="1:1" ht="15" customHeight="1">
      <c r="A325" s="473"/>
    </row>
    <row r="326" spans="1:1" ht="15" customHeight="1">
      <c r="A326" s="473"/>
    </row>
    <row r="327" spans="1:1" ht="13.15" customHeight="1">
      <c r="A327" s="473"/>
    </row>
    <row r="328" spans="1:1" ht="13.15" customHeight="1">
      <c r="A328" s="473"/>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57C75-CE7F-4FC1-A78E-9BC34FCA2E36}">
  <sheetPr>
    <pageSetUpPr fitToPage="1"/>
  </sheetPr>
  <dimension ref="A1:AB136"/>
  <sheetViews>
    <sheetView view="pageBreakPreview" zoomScale="60" zoomScaleNormal="85" workbookViewId="0">
      <pane xSplit="1" ySplit="5" topLeftCell="B6" activePane="bottomRight" state="frozen"/>
      <selection pane="bottomRight" activeCell="L3" sqref="L3"/>
      <selection pane="bottomLeft" activeCell="A6" sqref="A6"/>
      <selection pane="topRight" activeCell="B1" sqref="B1"/>
    </sheetView>
  </sheetViews>
  <sheetFormatPr defaultColWidth="4.5" defaultRowHeight="12" outlineLevelRow="1" outlineLevelCol="1"/>
  <cols>
    <col min="1" max="1" width="28.83203125" style="134" customWidth="1"/>
    <col min="2" max="2" width="4.1640625" style="134" customWidth="1"/>
    <col min="3" max="3" width="13.33203125" style="134" hidden="1" customWidth="1" outlineLevel="1"/>
    <col min="4" max="4" width="13.83203125" style="134" customWidth="1" collapsed="1"/>
    <col min="5" max="19" width="13.83203125" style="134" customWidth="1"/>
    <col min="20" max="20" width="10.6640625" style="134" customWidth="1"/>
    <col min="21" max="21" width="19.5" style="134" bestFit="1" customWidth="1"/>
    <col min="22" max="23" width="15.5" style="134" customWidth="1"/>
    <col min="24" max="24" width="23.1640625" style="134" bestFit="1" customWidth="1"/>
    <col min="25" max="28" width="11.1640625" style="134" customWidth="1"/>
    <col min="29" max="253" width="4.5" style="134"/>
    <col min="254" max="254" width="11.83203125" style="134" customWidth="1"/>
    <col min="255" max="255" width="2.1640625" style="134" customWidth="1"/>
    <col min="256" max="271" width="10.6640625" style="134" customWidth="1"/>
    <col min="272" max="273" width="14" style="134" customWidth="1"/>
    <col min="274" max="274" width="54" style="134" customWidth="1"/>
    <col min="275" max="277" width="10.6640625" style="134" customWidth="1"/>
    <col min="278" max="284" width="11.1640625" style="134" customWidth="1"/>
    <col min="285" max="509" width="4.5" style="134"/>
    <col min="510" max="510" width="11.83203125" style="134" customWidth="1"/>
    <col min="511" max="511" width="2.1640625" style="134" customWidth="1"/>
    <col min="512" max="527" width="10.6640625" style="134" customWidth="1"/>
    <col min="528" max="529" width="14" style="134" customWidth="1"/>
    <col min="530" max="530" width="54" style="134" customWidth="1"/>
    <col min="531" max="533" width="10.6640625" style="134" customWidth="1"/>
    <col min="534" max="540" width="11.1640625" style="134" customWidth="1"/>
    <col min="541" max="765" width="4.5" style="134"/>
    <col min="766" max="766" width="11.83203125" style="134" customWidth="1"/>
    <col min="767" max="767" width="2.1640625" style="134" customWidth="1"/>
    <col min="768" max="783" width="10.6640625" style="134" customWidth="1"/>
    <col min="784" max="785" width="14" style="134" customWidth="1"/>
    <col min="786" max="786" width="54" style="134" customWidth="1"/>
    <col min="787" max="789" width="10.6640625" style="134" customWidth="1"/>
    <col min="790" max="796" width="11.1640625" style="134" customWidth="1"/>
    <col min="797" max="1021" width="4.5" style="134"/>
    <col min="1022" max="1022" width="11.83203125" style="134" customWidth="1"/>
    <col min="1023" max="1023" width="2.1640625" style="134" customWidth="1"/>
    <col min="1024" max="1039" width="10.6640625" style="134" customWidth="1"/>
    <col min="1040" max="1041" width="14" style="134" customWidth="1"/>
    <col min="1042" max="1042" width="54" style="134" customWidth="1"/>
    <col min="1043" max="1045" width="10.6640625" style="134" customWidth="1"/>
    <col min="1046" max="1052" width="11.1640625" style="134" customWidth="1"/>
    <col min="1053" max="1277" width="4.5" style="134"/>
    <col min="1278" max="1278" width="11.83203125" style="134" customWidth="1"/>
    <col min="1279" max="1279" width="2.1640625" style="134" customWidth="1"/>
    <col min="1280" max="1295" width="10.6640625" style="134" customWidth="1"/>
    <col min="1296" max="1297" width="14" style="134" customWidth="1"/>
    <col min="1298" max="1298" width="54" style="134" customWidth="1"/>
    <col min="1299" max="1301" width="10.6640625" style="134" customWidth="1"/>
    <col min="1302" max="1308" width="11.1640625" style="134" customWidth="1"/>
    <col min="1309" max="1533" width="4.5" style="134"/>
    <col min="1534" max="1534" width="11.83203125" style="134" customWidth="1"/>
    <col min="1535" max="1535" width="2.1640625" style="134" customWidth="1"/>
    <col min="1536" max="1551" width="10.6640625" style="134" customWidth="1"/>
    <col min="1552" max="1553" width="14" style="134" customWidth="1"/>
    <col min="1554" max="1554" width="54" style="134" customWidth="1"/>
    <col min="1555" max="1557" width="10.6640625" style="134" customWidth="1"/>
    <col min="1558" max="1564" width="11.1640625" style="134" customWidth="1"/>
    <col min="1565" max="1789" width="4.5" style="134"/>
    <col min="1790" max="1790" width="11.83203125" style="134" customWidth="1"/>
    <col min="1791" max="1791" width="2.1640625" style="134" customWidth="1"/>
    <col min="1792" max="1807" width="10.6640625" style="134" customWidth="1"/>
    <col min="1808" max="1809" width="14" style="134" customWidth="1"/>
    <col min="1810" max="1810" width="54" style="134" customWidth="1"/>
    <col min="1811" max="1813" width="10.6640625" style="134" customWidth="1"/>
    <col min="1814" max="1820" width="11.1640625" style="134" customWidth="1"/>
    <col min="1821" max="2045" width="4.5" style="134"/>
    <col min="2046" max="2046" width="11.83203125" style="134" customWidth="1"/>
    <col min="2047" max="2047" width="2.1640625" style="134" customWidth="1"/>
    <col min="2048" max="2063" width="10.6640625" style="134" customWidth="1"/>
    <col min="2064" max="2065" width="14" style="134" customWidth="1"/>
    <col min="2066" max="2066" width="54" style="134" customWidth="1"/>
    <col min="2067" max="2069" width="10.6640625" style="134" customWidth="1"/>
    <col min="2070" max="2076" width="11.1640625" style="134" customWidth="1"/>
    <col min="2077" max="2301" width="4.5" style="134"/>
    <col min="2302" max="2302" width="11.83203125" style="134" customWidth="1"/>
    <col min="2303" max="2303" width="2.1640625" style="134" customWidth="1"/>
    <col min="2304" max="2319" width="10.6640625" style="134" customWidth="1"/>
    <col min="2320" max="2321" width="14" style="134" customWidth="1"/>
    <col min="2322" max="2322" width="54" style="134" customWidth="1"/>
    <col min="2323" max="2325" width="10.6640625" style="134" customWidth="1"/>
    <col min="2326" max="2332" width="11.1640625" style="134" customWidth="1"/>
    <col min="2333" max="2557" width="4.5" style="134"/>
    <col min="2558" max="2558" width="11.83203125" style="134" customWidth="1"/>
    <col min="2559" max="2559" width="2.1640625" style="134" customWidth="1"/>
    <col min="2560" max="2575" width="10.6640625" style="134" customWidth="1"/>
    <col min="2576" max="2577" width="14" style="134" customWidth="1"/>
    <col min="2578" max="2578" width="54" style="134" customWidth="1"/>
    <col min="2579" max="2581" width="10.6640625" style="134" customWidth="1"/>
    <col min="2582" max="2588" width="11.1640625" style="134" customWidth="1"/>
    <col min="2589" max="2813" width="4.5" style="134"/>
    <col min="2814" max="2814" width="11.83203125" style="134" customWidth="1"/>
    <col min="2815" max="2815" width="2.1640625" style="134" customWidth="1"/>
    <col min="2816" max="2831" width="10.6640625" style="134" customWidth="1"/>
    <col min="2832" max="2833" width="14" style="134" customWidth="1"/>
    <col min="2834" max="2834" width="54" style="134" customWidth="1"/>
    <col min="2835" max="2837" width="10.6640625" style="134" customWidth="1"/>
    <col min="2838" max="2844" width="11.1640625" style="134" customWidth="1"/>
    <col min="2845" max="3069" width="4.5" style="134"/>
    <col min="3070" max="3070" width="11.83203125" style="134" customWidth="1"/>
    <col min="3071" max="3071" width="2.1640625" style="134" customWidth="1"/>
    <col min="3072" max="3087" width="10.6640625" style="134" customWidth="1"/>
    <col min="3088" max="3089" width="14" style="134" customWidth="1"/>
    <col min="3090" max="3090" width="54" style="134" customWidth="1"/>
    <col min="3091" max="3093" width="10.6640625" style="134" customWidth="1"/>
    <col min="3094" max="3100" width="11.1640625" style="134" customWidth="1"/>
    <col min="3101" max="3325" width="4.5" style="134"/>
    <col min="3326" max="3326" width="11.83203125" style="134" customWidth="1"/>
    <col min="3327" max="3327" width="2.1640625" style="134" customWidth="1"/>
    <col min="3328" max="3343" width="10.6640625" style="134" customWidth="1"/>
    <col min="3344" max="3345" width="14" style="134" customWidth="1"/>
    <col min="3346" max="3346" width="54" style="134" customWidth="1"/>
    <col min="3347" max="3349" width="10.6640625" style="134" customWidth="1"/>
    <col min="3350" max="3356" width="11.1640625" style="134" customWidth="1"/>
    <col min="3357" max="3581" width="4.5" style="134"/>
    <col min="3582" max="3582" width="11.83203125" style="134" customWidth="1"/>
    <col min="3583" max="3583" width="2.1640625" style="134" customWidth="1"/>
    <col min="3584" max="3599" width="10.6640625" style="134" customWidth="1"/>
    <col min="3600" max="3601" width="14" style="134" customWidth="1"/>
    <col min="3602" max="3602" width="54" style="134" customWidth="1"/>
    <col min="3603" max="3605" width="10.6640625" style="134" customWidth="1"/>
    <col min="3606" max="3612" width="11.1640625" style="134" customWidth="1"/>
    <col min="3613" max="3837" width="4.5" style="134"/>
    <col min="3838" max="3838" width="11.83203125" style="134" customWidth="1"/>
    <col min="3839" max="3839" width="2.1640625" style="134" customWidth="1"/>
    <col min="3840" max="3855" width="10.6640625" style="134" customWidth="1"/>
    <col min="3856" max="3857" width="14" style="134" customWidth="1"/>
    <col min="3858" max="3858" width="54" style="134" customWidth="1"/>
    <col min="3859" max="3861" width="10.6640625" style="134" customWidth="1"/>
    <col min="3862" max="3868" width="11.1640625" style="134" customWidth="1"/>
    <col min="3869" max="4093" width="4.5" style="134"/>
    <col min="4094" max="4094" width="11.83203125" style="134" customWidth="1"/>
    <col min="4095" max="4095" width="2.1640625" style="134" customWidth="1"/>
    <col min="4096" max="4111" width="10.6640625" style="134" customWidth="1"/>
    <col min="4112" max="4113" width="14" style="134" customWidth="1"/>
    <col min="4114" max="4114" width="54" style="134" customWidth="1"/>
    <col min="4115" max="4117" width="10.6640625" style="134" customWidth="1"/>
    <col min="4118" max="4124" width="11.1640625" style="134" customWidth="1"/>
    <col min="4125" max="4349" width="4.5" style="134"/>
    <col min="4350" max="4350" width="11.83203125" style="134" customWidth="1"/>
    <col min="4351" max="4351" width="2.1640625" style="134" customWidth="1"/>
    <col min="4352" max="4367" width="10.6640625" style="134" customWidth="1"/>
    <col min="4368" max="4369" width="14" style="134" customWidth="1"/>
    <col min="4370" max="4370" width="54" style="134" customWidth="1"/>
    <col min="4371" max="4373" width="10.6640625" style="134" customWidth="1"/>
    <col min="4374" max="4380" width="11.1640625" style="134" customWidth="1"/>
    <col min="4381" max="4605" width="4.5" style="134"/>
    <col min="4606" max="4606" width="11.83203125" style="134" customWidth="1"/>
    <col min="4607" max="4607" width="2.1640625" style="134" customWidth="1"/>
    <col min="4608" max="4623" width="10.6640625" style="134" customWidth="1"/>
    <col min="4624" max="4625" width="14" style="134" customWidth="1"/>
    <col min="4626" max="4626" width="54" style="134" customWidth="1"/>
    <col min="4627" max="4629" width="10.6640625" style="134" customWidth="1"/>
    <col min="4630" max="4636" width="11.1640625" style="134" customWidth="1"/>
    <col min="4637" max="4861" width="4.5" style="134"/>
    <col min="4862" max="4862" width="11.83203125" style="134" customWidth="1"/>
    <col min="4863" max="4863" width="2.1640625" style="134" customWidth="1"/>
    <col min="4864" max="4879" width="10.6640625" style="134" customWidth="1"/>
    <col min="4880" max="4881" width="14" style="134" customWidth="1"/>
    <col min="4882" max="4882" width="54" style="134" customWidth="1"/>
    <col min="4883" max="4885" width="10.6640625" style="134" customWidth="1"/>
    <col min="4886" max="4892" width="11.1640625" style="134" customWidth="1"/>
    <col min="4893" max="5117" width="4.5" style="134"/>
    <col min="5118" max="5118" width="11.83203125" style="134" customWidth="1"/>
    <col min="5119" max="5119" width="2.1640625" style="134" customWidth="1"/>
    <col min="5120" max="5135" width="10.6640625" style="134" customWidth="1"/>
    <col min="5136" max="5137" width="14" style="134" customWidth="1"/>
    <col min="5138" max="5138" width="54" style="134" customWidth="1"/>
    <col min="5139" max="5141" width="10.6640625" style="134" customWidth="1"/>
    <col min="5142" max="5148" width="11.1640625" style="134" customWidth="1"/>
    <col min="5149" max="5373" width="4.5" style="134"/>
    <col min="5374" max="5374" width="11.83203125" style="134" customWidth="1"/>
    <col min="5375" max="5375" width="2.1640625" style="134" customWidth="1"/>
    <col min="5376" max="5391" width="10.6640625" style="134" customWidth="1"/>
    <col min="5392" max="5393" width="14" style="134" customWidth="1"/>
    <col min="5394" max="5394" width="54" style="134" customWidth="1"/>
    <col min="5395" max="5397" width="10.6640625" style="134" customWidth="1"/>
    <col min="5398" max="5404" width="11.1640625" style="134" customWidth="1"/>
    <col min="5405" max="5629" width="4.5" style="134"/>
    <col min="5630" max="5630" width="11.83203125" style="134" customWidth="1"/>
    <col min="5631" max="5631" width="2.1640625" style="134" customWidth="1"/>
    <col min="5632" max="5647" width="10.6640625" style="134" customWidth="1"/>
    <col min="5648" max="5649" width="14" style="134" customWidth="1"/>
    <col min="5650" max="5650" width="54" style="134" customWidth="1"/>
    <col min="5651" max="5653" width="10.6640625" style="134" customWidth="1"/>
    <col min="5654" max="5660" width="11.1640625" style="134" customWidth="1"/>
    <col min="5661" max="5885" width="4.5" style="134"/>
    <col min="5886" max="5886" width="11.83203125" style="134" customWidth="1"/>
    <col min="5887" max="5887" width="2.1640625" style="134" customWidth="1"/>
    <col min="5888" max="5903" width="10.6640625" style="134" customWidth="1"/>
    <col min="5904" max="5905" width="14" style="134" customWidth="1"/>
    <col min="5906" max="5906" width="54" style="134" customWidth="1"/>
    <col min="5907" max="5909" width="10.6640625" style="134" customWidth="1"/>
    <col min="5910" max="5916" width="11.1640625" style="134" customWidth="1"/>
    <col min="5917" max="6141" width="4.5" style="134"/>
    <col min="6142" max="6142" width="11.83203125" style="134" customWidth="1"/>
    <col min="6143" max="6143" width="2.1640625" style="134" customWidth="1"/>
    <col min="6144" max="6159" width="10.6640625" style="134" customWidth="1"/>
    <col min="6160" max="6161" width="14" style="134" customWidth="1"/>
    <col min="6162" max="6162" width="54" style="134" customWidth="1"/>
    <col min="6163" max="6165" width="10.6640625" style="134" customWidth="1"/>
    <col min="6166" max="6172" width="11.1640625" style="134" customWidth="1"/>
    <col min="6173" max="6397" width="4.5" style="134"/>
    <col min="6398" max="6398" width="11.83203125" style="134" customWidth="1"/>
    <col min="6399" max="6399" width="2.1640625" style="134" customWidth="1"/>
    <col min="6400" max="6415" width="10.6640625" style="134" customWidth="1"/>
    <col min="6416" max="6417" width="14" style="134" customWidth="1"/>
    <col min="6418" max="6418" width="54" style="134" customWidth="1"/>
    <col min="6419" max="6421" width="10.6640625" style="134" customWidth="1"/>
    <col min="6422" max="6428" width="11.1640625" style="134" customWidth="1"/>
    <col min="6429" max="6653" width="4.5" style="134"/>
    <col min="6654" max="6654" width="11.83203125" style="134" customWidth="1"/>
    <col min="6655" max="6655" width="2.1640625" style="134" customWidth="1"/>
    <col min="6656" max="6671" width="10.6640625" style="134" customWidth="1"/>
    <col min="6672" max="6673" width="14" style="134" customWidth="1"/>
    <col min="6674" max="6674" width="54" style="134" customWidth="1"/>
    <col min="6675" max="6677" width="10.6640625" style="134" customWidth="1"/>
    <col min="6678" max="6684" width="11.1640625" style="134" customWidth="1"/>
    <col min="6685" max="6909" width="4.5" style="134"/>
    <col min="6910" max="6910" width="11.83203125" style="134" customWidth="1"/>
    <col min="6911" max="6911" width="2.1640625" style="134" customWidth="1"/>
    <col min="6912" max="6927" width="10.6640625" style="134" customWidth="1"/>
    <col min="6928" max="6929" width="14" style="134" customWidth="1"/>
    <col min="6930" max="6930" width="54" style="134" customWidth="1"/>
    <col min="6931" max="6933" width="10.6640625" style="134" customWidth="1"/>
    <col min="6934" max="6940" width="11.1640625" style="134" customWidth="1"/>
    <col min="6941" max="7165" width="4.5" style="134"/>
    <col min="7166" max="7166" width="11.83203125" style="134" customWidth="1"/>
    <col min="7167" max="7167" width="2.1640625" style="134" customWidth="1"/>
    <col min="7168" max="7183" width="10.6640625" style="134" customWidth="1"/>
    <col min="7184" max="7185" width="14" style="134" customWidth="1"/>
    <col min="7186" max="7186" width="54" style="134" customWidth="1"/>
    <col min="7187" max="7189" width="10.6640625" style="134" customWidth="1"/>
    <col min="7190" max="7196" width="11.1640625" style="134" customWidth="1"/>
    <col min="7197" max="7421" width="4.5" style="134"/>
    <col min="7422" max="7422" width="11.83203125" style="134" customWidth="1"/>
    <col min="7423" max="7423" width="2.1640625" style="134" customWidth="1"/>
    <col min="7424" max="7439" width="10.6640625" style="134" customWidth="1"/>
    <col min="7440" max="7441" width="14" style="134" customWidth="1"/>
    <col min="7442" max="7442" width="54" style="134" customWidth="1"/>
    <col min="7443" max="7445" width="10.6640625" style="134" customWidth="1"/>
    <col min="7446" max="7452" width="11.1640625" style="134" customWidth="1"/>
    <col min="7453" max="7677" width="4.5" style="134"/>
    <col min="7678" max="7678" width="11.83203125" style="134" customWidth="1"/>
    <col min="7679" max="7679" width="2.1640625" style="134" customWidth="1"/>
    <col min="7680" max="7695" width="10.6640625" style="134" customWidth="1"/>
    <col min="7696" max="7697" width="14" style="134" customWidth="1"/>
    <col min="7698" max="7698" width="54" style="134" customWidth="1"/>
    <col min="7699" max="7701" width="10.6640625" style="134" customWidth="1"/>
    <col min="7702" max="7708" width="11.1640625" style="134" customWidth="1"/>
    <col min="7709" max="7933" width="4.5" style="134"/>
    <col min="7934" max="7934" width="11.83203125" style="134" customWidth="1"/>
    <col min="7935" max="7935" width="2.1640625" style="134" customWidth="1"/>
    <col min="7936" max="7951" width="10.6640625" style="134" customWidth="1"/>
    <col min="7952" max="7953" width="14" style="134" customWidth="1"/>
    <col min="7954" max="7954" width="54" style="134" customWidth="1"/>
    <col min="7955" max="7957" width="10.6640625" style="134" customWidth="1"/>
    <col min="7958" max="7964" width="11.1640625" style="134" customWidth="1"/>
    <col min="7965" max="8189" width="4.5" style="134"/>
    <col min="8190" max="8190" width="11.83203125" style="134" customWidth="1"/>
    <col min="8191" max="8191" width="2.1640625" style="134" customWidth="1"/>
    <col min="8192" max="8207" width="10.6640625" style="134" customWidth="1"/>
    <col min="8208" max="8209" width="14" style="134" customWidth="1"/>
    <col min="8210" max="8210" width="54" style="134" customWidth="1"/>
    <col min="8211" max="8213" width="10.6640625" style="134" customWidth="1"/>
    <col min="8214" max="8220" width="11.1640625" style="134" customWidth="1"/>
    <col min="8221" max="8445" width="4.5" style="134"/>
    <col min="8446" max="8446" width="11.83203125" style="134" customWidth="1"/>
    <col min="8447" max="8447" width="2.1640625" style="134" customWidth="1"/>
    <col min="8448" max="8463" width="10.6640625" style="134" customWidth="1"/>
    <col min="8464" max="8465" width="14" style="134" customWidth="1"/>
    <col min="8466" max="8466" width="54" style="134" customWidth="1"/>
    <col min="8467" max="8469" width="10.6640625" style="134" customWidth="1"/>
    <col min="8470" max="8476" width="11.1640625" style="134" customWidth="1"/>
    <col min="8477" max="8701" width="4.5" style="134"/>
    <col min="8702" max="8702" width="11.83203125" style="134" customWidth="1"/>
    <col min="8703" max="8703" width="2.1640625" style="134" customWidth="1"/>
    <col min="8704" max="8719" width="10.6640625" style="134" customWidth="1"/>
    <col min="8720" max="8721" width="14" style="134" customWidth="1"/>
    <col min="8722" max="8722" width="54" style="134" customWidth="1"/>
    <col min="8723" max="8725" width="10.6640625" style="134" customWidth="1"/>
    <col min="8726" max="8732" width="11.1640625" style="134" customWidth="1"/>
    <col min="8733" max="8957" width="4.5" style="134"/>
    <col min="8958" max="8958" width="11.83203125" style="134" customWidth="1"/>
    <col min="8959" max="8959" width="2.1640625" style="134" customWidth="1"/>
    <col min="8960" max="8975" width="10.6640625" style="134" customWidth="1"/>
    <col min="8976" max="8977" width="14" style="134" customWidth="1"/>
    <col min="8978" max="8978" width="54" style="134" customWidth="1"/>
    <col min="8979" max="8981" width="10.6640625" style="134" customWidth="1"/>
    <col min="8982" max="8988" width="11.1640625" style="134" customWidth="1"/>
    <col min="8989" max="9213" width="4.5" style="134"/>
    <col min="9214" max="9214" width="11.83203125" style="134" customWidth="1"/>
    <col min="9215" max="9215" width="2.1640625" style="134" customWidth="1"/>
    <col min="9216" max="9231" width="10.6640625" style="134" customWidth="1"/>
    <col min="9232" max="9233" width="14" style="134" customWidth="1"/>
    <col min="9234" max="9234" width="54" style="134" customWidth="1"/>
    <col min="9235" max="9237" width="10.6640625" style="134" customWidth="1"/>
    <col min="9238" max="9244" width="11.1640625" style="134" customWidth="1"/>
    <col min="9245" max="9469" width="4.5" style="134"/>
    <col min="9470" max="9470" width="11.83203125" style="134" customWidth="1"/>
    <col min="9471" max="9471" width="2.1640625" style="134" customWidth="1"/>
    <col min="9472" max="9487" width="10.6640625" style="134" customWidth="1"/>
    <col min="9488" max="9489" width="14" style="134" customWidth="1"/>
    <col min="9490" max="9490" width="54" style="134" customWidth="1"/>
    <col min="9491" max="9493" width="10.6640625" style="134" customWidth="1"/>
    <col min="9494" max="9500" width="11.1640625" style="134" customWidth="1"/>
    <col min="9501" max="9725" width="4.5" style="134"/>
    <col min="9726" max="9726" width="11.83203125" style="134" customWidth="1"/>
    <col min="9727" max="9727" width="2.1640625" style="134" customWidth="1"/>
    <col min="9728" max="9743" width="10.6640625" style="134" customWidth="1"/>
    <col min="9744" max="9745" width="14" style="134" customWidth="1"/>
    <col min="9746" max="9746" width="54" style="134" customWidth="1"/>
    <col min="9747" max="9749" width="10.6640625" style="134" customWidth="1"/>
    <col min="9750" max="9756" width="11.1640625" style="134" customWidth="1"/>
    <col min="9757" max="9981" width="4.5" style="134"/>
    <col min="9982" max="9982" width="11.83203125" style="134" customWidth="1"/>
    <col min="9983" max="9983" width="2.1640625" style="134" customWidth="1"/>
    <col min="9984" max="9999" width="10.6640625" style="134" customWidth="1"/>
    <col min="10000" max="10001" width="14" style="134" customWidth="1"/>
    <col min="10002" max="10002" width="54" style="134" customWidth="1"/>
    <col min="10003" max="10005" width="10.6640625" style="134" customWidth="1"/>
    <col min="10006" max="10012" width="11.1640625" style="134" customWidth="1"/>
    <col min="10013" max="10237" width="4.5" style="134"/>
    <col min="10238" max="10238" width="11.83203125" style="134" customWidth="1"/>
    <col min="10239" max="10239" width="2.1640625" style="134" customWidth="1"/>
    <col min="10240" max="10255" width="10.6640625" style="134" customWidth="1"/>
    <col min="10256" max="10257" width="14" style="134" customWidth="1"/>
    <col min="10258" max="10258" width="54" style="134" customWidth="1"/>
    <col min="10259" max="10261" width="10.6640625" style="134" customWidth="1"/>
    <col min="10262" max="10268" width="11.1640625" style="134" customWidth="1"/>
    <col min="10269" max="10493" width="4.5" style="134"/>
    <col min="10494" max="10494" width="11.83203125" style="134" customWidth="1"/>
    <col min="10495" max="10495" width="2.1640625" style="134" customWidth="1"/>
    <col min="10496" max="10511" width="10.6640625" style="134" customWidth="1"/>
    <col min="10512" max="10513" width="14" style="134" customWidth="1"/>
    <col min="10514" max="10514" width="54" style="134" customWidth="1"/>
    <col min="10515" max="10517" width="10.6640625" style="134" customWidth="1"/>
    <col min="10518" max="10524" width="11.1640625" style="134" customWidth="1"/>
    <col min="10525" max="10749" width="4.5" style="134"/>
    <col min="10750" max="10750" width="11.83203125" style="134" customWidth="1"/>
    <col min="10751" max="10751" width="2.1640625" style="134" customWidth="1"/>
    <col min="10752" max="10767" width="10.6640625" style="134" customWidth="1"/>
    <col min="10768" max="10769" width="14" style="134" customWidth="1"/>
    <col min="10770" max="10770" width="54" style="134" customWidth="1"/>
    <col min="10771" max="10773" width="10.6640625" style="134" customWidth="1"/>
    <col min="10774" max="10780" width="11.1640625" style="134" customWidth="1"/>
    <col min="10781" max="11005" width="4.5" style="134"/>
    <col min="11006" max="11006" width="11.83203125" style="134" customWidth="1"/>
    <col min="11007" max="11007" width="2.1640625" style="134" customWidth="1"/>
    <col min="11008" max="11023" width="10.6640625" style="134" customWidth="1"/>
    <col min="11024" max="11025" width="14" style="134" customWidth="1"/>
    <col min="11026" max="11026" width="54" style="134" customWidth="1"/>
    <col min="11027" max="11029" width="10.6640625" style="134" customWidth="1"/>
    <col min="11030" max="11036" width="11.1640625" style="134" customWidth="1"/>
    <col min="11037" max="11261" width="4.5" style="134"/>
    <col min="11262" max="11262" width="11.83203125" style="134" customWidth="1"/>
    <col min="11263" max="11263" width="2.1640625" style="134" customWidth="1"/>
    <col min="11264" max="11279" width="10.6640625" style="134" customWidth="1"/>
    <col min="11280" max="11281" width="14" style="134" customWidth="1"/>
    <col min="11282" max="11282" width="54" style="134" customWidth="1"/>
    <col min="11283" max="11285" width="10.6640625" style="134" customWidth="1"/>
    <col min="11286" max="11292" width="11.1640625" style="134" customWidth="1"/>
    <col min="11293" max="11517" width="4.5" style="134"/>
    <col min="11518" max="11518" width="11.83203125" style="134" customWidth="1"/>
    <col min="11519" max="11519" width="2.1640625" style="134" customWidth="1"/>
    <col min="11520" max="11535" width="10.6640625" style="134" customWidth="1"/>
    <col min="11536" max="11537" width="14" style="134" customWidth="1"/>
    <col min="11538" max="11538" width="54" style="134" customWidth="1"/>
    <col min="11539" max="11541" width="10.6640625" style="134" customWidth="1"/>
    <col min="11542" max="11548" width="11.1640625" style="134" customWidth="1"/>
    <col min="11549" max="11773" width="4.5" style="134"/>
    <col min="11774" max="11774" width="11.83203125" style="134" customWidth="1"/>
    <col min="11775" max="11775" width="2.1640625" style="134" customWidth="1"/>
    <col min="11776" max="11791" width="10.6640625" style="134" customWidth="1"/>
    <col min="11792" max="11793" width="14" style="134" customWidth="1"/>
    <col min="11794" max="11794" width="54" style="134" customWidth="1"/>
    <col min="11795" max="11797" width="10.6640625" style="134" customWidth="1"/>
    <col min="11798" max="11804" width="11.1640625" style="134" customWidth="1"/>
    <col min="11805" max="12029" width="4.5" style="134"/>
    <col min="12030" max="12030" width="11.83203125" style="134" customWidth="1"/>
    <col min="12031" max="12031" width="2.1640625" style="134" customWidth="1"/>
    <col min="12032" max="12047" width="10.6640625" style="134" customWidth="1"/>
    <col min="12048" max="12049" width="14" style="134" customWidth="1"/>
    <col min="12050" max="12050" width="54" style="134" customWidth="1"/>
    <col min="12051" max="12053" width="10.6640625" style="134" customWidth="1"/>
    <col min="12054" max="12060" width="11.1640625" style="134" customWidth="1"/>
    <col min="12061" max="12285" width="4.5" style="134"/>
    <col min="12286" max="12286" width="11.83203125" style="134" customWidth="1"/>
    <col min="12287" max="12287" width="2.1640625" style="134" customWidth="1"/>
    <col min="12288" max="12303" width="10.6640625" style="134" customWidth="1"/>
    <col min="12304" max="12305" width="14" style="134" customWidth="1"/>
    <col min="12306" max="12306" width="54" style="134" customWidth="1"/>
    <col min="12307" max="12309" width="10.6640625" style="134" customWidth="1"/>
    <col min="12310" max="12316" width="11.1640625" style="134" customWidth="1"/>
    <col min="12317" max="12541" width="4.5" style="134"/>
    <col min="12542" max="12542" width="11.83203125" style="134" customWidth="1"/>
    <col min="12543" max="12543" width="2.1640625" style="134" customWidth="1"/>
    <col min="12544" max="12559" width="10.6640625" style="134" customWidth="1"/>
    <col min="12560" max="12561" width="14" style="134" customWidth="1"/>
    <col min="12562" max="12562" width="54" style="134" customWidth="1"/>
    <col min="12563" max="12565" width="10.6640625" style="134" customWidth="1"/>
    <col min="12566" max="12572" width="11.1640625" style="134" customWidth="1"/>
    <col min="12573" max="12797" width="4.5" style="134"/>
    <col min="12798" max="12798" width="11.83203125" style="134" customWidth="1"/>
    <col min="12799" max="12799" width="2.1640625" style="134" customWidth="1"/>
    <col min="12800" max="12815" width="10.6640625" style="134" customWidth="1"/>
    <col min="12816" max="12817" width="14" style="134" customWidth="1"/>
    <col min="12818" max="12818" width="54" style="134" customWidth="1"/>
    <col min="12819" max="12821" width="10.6640625" style="134" customWidth="1"/>
    <col min="12822" max="12828" width="11.1640625" style="134" customWidth="1"/>
    <col min="12829" max="13053" width="4.5" style="134"/>
    <col min="13054" max="13054" width="11.83203125" style="134" customWidth="1"/>
    <col min="13055" max="13055" width="2.1640625" style="134" customWidth="1"/>
    <col min="13056" max="13071" width="10.6640625" style="134" customWidth="1"/>
    <col min="13072" max="13073" width="14" style="134" customWidth="1"/>
    <col min="13074" max="13074" width="54" style="134" customWidth="1"/>
    <col min="13075" max="13077" width="10.6640625" style="134" customWidth="1"/>
    <col min="13078" max="13084" width="11.1640625" style="134" customWidth="1"/>
    <col min="13085" max="13309" width="4.5" style="134"/>
    <col min="13310" max="13310" width="11.83203125" style="134" customWidth="1"/>
    <col min="13311" max="13311" width="2.1640625" style="134" customWidth="1"/>
    <col min="13312" max="13327" width="10.6640625" style="134" customWidth="1"/>
    <col min="13328" max="13329" width="14" style="134" customWidth="1"/>
    <col min="13330" max="13330" width="54" style="134" customWidth="1"/>
    <col min="13331" max="13333" width="10.6640625" style="134" customWidth="1"/>
    <col min="13334" max="13340" width="11.1640625" style="134" customWidth="1"/>
    <col min="13341" max="13565" width="4.5" style="134"/>
    <col min="13566" max="13566" width="11.83203125" style="134" customWidth="1"/>
    <col min="13567" max="13567" width="2.1640625" style="134" customWidth="1"/>
    <col min="13568" max="13583" width="10.6640625" style="134" customWidth="1"/>
    <col min="13584" max="13585" width="14" style="134" customWidth="1"/>
    <col min="13586" max="13586" width="54" style="134" customWidth="1"/>
    <col min="13587" max="13589" width="10.6640625" style="134" customWidth="1"/>
    <col min="13590" max="13596" width="11.1640625" style="134" customWidth="1"/>
    <col min="13597" max="13821" width="4.5" style="134"/>
    <col min="13822" max="13822" width="11.83203125" style="134" customWidth="1"/>
    <col min="13823" max="13823" width="2.1640625" style="134" customWidth="1"/>
    <col min="13824" max="13839" width="10.6640625" style="134" customWidth="1"/>
    <col min="13840" max="13841" width="14" style="134" customWidth="1"/>
    <col min="13842" max="13842" width="54" style="134" customWidth="1"/>
    <col min="13843" max="13845" width="10.6640625" style="134" customWidth="1"/>
    <col min="13846" max="13852" width="11.1640625" style="134" customWidth="1"/>
    <col min="13853" max="14077" width="4.5" style="134"/>
    <col min="14078" max="14078" width="11.83203125" style="134" customWidth="1"/>
    <col min="14079" max="14079" width="2.1640625" style="134" customWidth="1"/>
    <col min="14080" max="14095" width="10.6640625" style="134" customWidth="1"/>
    <col min="14096" max="14097" width="14" style="134" customWidth="1"/>
    <col min="14098" max="14098" width="54" style="134" customWidth="1"/>
    <col min="14099" max="14101" width="10.6640625" style="134" customWidth="1"/>
    <col min="14102" max="14108" width="11.1640625" style="134" customWidth="1"/>
    <col min="14109" max="14333" width="4.5" style="134"/>
    <col min="14334" max="14334" width="11.83203125" style="134" customWidth="1"/>
    <col min="14335" max="14335" width="2.1640625" style="134" customWidth="1"/>
    <col min="14336" max="14351" width="10.6640625" style="134" customWidth="1"/>
    <col min="14352" max="14353" width="14" style="134" customWidth="1"/>
    <col min="14354" max="14354" width="54" style="134" customWidth="1"/>
    <col min="14355" max="14357" width="10.6640625" style="134" customWidth="1"/>
    <col min="14358" max="14364" width="11.1640625" style="134" customWidth="1"/>
    <col min="14365" max="14589" width="4.5" style="134"/>
    <col min="14590" max="14590" width="11.83203125" style="134" customWidth="1"/>
    <col min="14591" max="14591" width="2.1640625" style="134" customWidth="1"/>
    <col min="14592" max="14607" width="10.6640625" style="134" customWidth="1"/>
    <col min="14608" max="14609" width="14" style="134" customWidth="1"/>
    <col min="14610" max="14610" width="54" style="134" customWidth="1"/>
    <col min="14611" max="14613" width="10.6640625" style="134" customWidth="1"/>
    <col min="14614" max="14620" width="11.1640625" style="134" customWidth="1"/>
    <col min="14621" max="14845" width="4.5" style="134"/>
    <col min="14846" max="14846" width="11.83203125" style="134" customWidth="1"/>
    <col min="14847" max="14847" width="2.1640625" style="134" customWidth="1"/>
    <col min="14848" max="14863" width="10.6640625" style="134" customWidth="1"/>
    <col min="14864" max="14865" width="14" style="134" customWidth="1"/>
    <col min="14866" max="14866" width="54" style="134" customWidth="1"/>
    <col min="14867" max="14869" width="10.6640625" style="134" customWidth="1"/>
    <col min="14870" max="14876" width="11.1640625" style="134" customWidth="1"/>
    <col min="14877" max="15101" width="4.5" style="134"/>
    <col min="15102" max="15102" width="11.83203125" style="134" customWidth="1"/>
    <col min="15103" max="15103" width="2.1640625" style="134" customWidth="1"/>
    <col min="15104" max="15119" width="10.6640625" style="134" customWidth="1"/>
    <col min="15120" max="15121" width="14" style="134" customWidth="1"/>
    <col min="15122" max="15122" width="54" style="134" customWidth="1"/>
    <col min="15123" max="15125" width="10.6640625" style="134" customWidth="1"/>
    <col min="15126" max="15132" width="11.1640625" style="134" customWidth="1"/>
    <col min="15133" max="15357" width="4.5" style="134"/>
    <col min="15358" max="15358" width="11.83203125" style="134" customWidth="1"/>
    <col min="15359" max="15359" width="2.1640625" style="134" customWidth="1"/>
    <col min="15360" max="15375" width="10.6640625" style="134" customWidth="1"/>
    <col min="15376" max="15377" width="14" style="134" customWidth="1"/>
    <col min="15378" max="15378" width="54" style="134" customWidth="1"/>
    <col min="15379" max="15381" width="10.6640625" style="134" customWidth="1"/>
    <col min="15382" max="15388" width="11.1640625" style="134" customWidth="1"/>
    <col min="15389" max="15613" width="4.5" style="134"/>
    <col min="15614" max="15614" width="11.83203125" style="134" customWidth="1"/>
    <col min="15615" max="15615" width="2.1640625" style="134" customWidth="1"/>
    <col min="15616" max="15631" width="10.6640625" style="134" customWidth="1"/>
    <col min="15632" max="15633" width="14" style="134" customWidth="1"/>
    <col min="15634" max="15634" width="54" style="134" customWidth="1"/>
    <col min="15635" max="15637" width="10.6640625" style="134" customWidth="1"/>
    <col min="15638" max="15644" width="11.1640625" style="134" customWidth="1"/>
    <col min="15645" max="15869" width="4.5" style="134"/>
    <col min="15870" max="15870" width="11.83203125" style="134" customWidth="1"/>
    <col min="15871" max="15871" width="2.1640625" style="134" customWidth="1"/>
    <col min="15872" max="15887" width="10.6640625" style="134" customWidth="1"/>
    <col min="15888" max="15889" width="14" style="134" customWidth="1"/>
    <col min="15890" max="15890" width="54" style="134" customWidth="1"/>
    <col min="15891" max="15893" width="10.6640625" style="134" customWidth="1"/>
    <col min="15894" max="15900" width="11.1640625" style="134" customWidth="1"/>
    <col min="15901" max="16125" width="4.5" style="134"/>
    <col min="16126" max="16126" width="11.83203125" style="134" customWidth="1"/>
    <col min="16127" max="16127" width="2.1640625" style="134" customWidth="1"/>
    <col min="16128" max="16143" width="10.6640625" style="134" customWidth="1"/>
    <col min="16144" max="16145" width="14" style="134" customWidth="1"/>
    <col min="16146" max="16146" width="54" style="134" customWidth="1"/>
    <col min="16147" max="16149" width="10.6640625" style="134" customWidth="1"/>
    <col min="16150" max="16156" width="11.1640625" style="134" customWidth="1"/>
    <col min="16157" max="16384" width="4.5" style="134"/>
  </cols>
  <sheetData>
    <row r="1" spans="1:28">
      <c r="A1" s="133" t="s">
        <v>60</v>
      </c>
      <c r="O1" s="135"/>
      <c r="P1" s="202"/>
      <c r="R1" s="202"/>
      <c r="S1" s="202">
        <f ca="1">TODAY()</f>
        <v>45797</v>
      </c>
    </row>
    <row r="2" spans="1:28">
      <c r="A2" s="136" t="s">
        <v>62</v>
      </c>
      <c r="B2" s="137"/>
      <c r="C2" s="137"/>
      <c r="D2" s="137"/>
      <c r="E2" s="137"/>
      <c r="F2" s="137"/>
      <c r="G2" s="137"/>
      <c r="H2" s="137"/>
      <c r="I2" s="137"/>
      <c r="J2" s="137"/>
      <c r="K2" s="137"/>
      <c r="L2" s="137"/>
      <c r="M2" s="137"/>
      <c r="N2" s="137"/>
      <c r="O2" s="137"/>
      <c r="P2" s="137"/>
      <c r="Q2" s="137"/>
      <c r="R2" s="137"/>
      <c r="S2" s="137"/>
      <c r="T2" s="137"/>
      <c r="U2" s="137"/>
      <c r="V2" s="137"/>
      <c r="W2" s="137"/>
      <c r="X2" s="137"/>
      <c r="Y2" s="137"/>
      <c r="Z2" s="137"/>
      <c r="AA2" s="137"/>
      <c r="AB2" s="137"/>
    </row>
    <row r="3" spans="1:28">
      <c r="A3" s="138" t="s">
        <v>63</v>
      </c>
      <c r="C3" s="139"/>
      <c r="D3" s="139"/>
      <c r="E3" s="139"/>
      <c r="F3" s="139"/>
      <c r="G3" s="139"/>
      <c r="H3" s="139">
        <f ca="1">TODAY()</f>
        <v>45797</v>
      </c>
      <c r="I3" s="132">
        <v>45107</v>
      </c>
      <c r="J3" s="132">
        <v>45473</v>
      </c>
      <c r="K3" s="132">
        <v>45838</v>
      </c>
      <c r="L3" s="132">
        <v>46203</v>
      </c>
      <c r="M3" s="132">
        <v>46568</v>
      </c>
      <c r="N3" s="132">
        <v>46934</v>
      </c>
      <c r="O3" s="132">
        <v>47299</v>
      </c>
      <c r="P3" s="132">
        <v>47664</v>
      </c>
      <c r="Q3" s="132">
        <v>48029</v>
      </c>
      <c r="R3" s="132">
        <v>48395</v>
      </c>
      <c r="S3" s="132">
        <v>48760</v>
      </c>
    </row>
    <row r="4" spans="1:28" ht="14.45">
      <c r="A4" s="140"/>
      <c r="C4" s="141"/>
      <c r="D4" s="242" t="str">
        <f>+'Historical Financials'!D5</f>
        <v>FYE June 30th</v>
      </c>
      <c r="E4" s="142"/>
      <c r="F4" s="142"/>
      <c r="G4" s="142"/>
      <c r="H4" s="142"/>
      <c r="I4" s="142"/>
      <c r="J4" s="142"/>
      <c r="K4" s="142"/>
      <c r="L4" s="142"/>
      <c r="M4" s="142"/>
      <c r="N4" s="142"/>
      <c r="O4" s="142"/>
      <c r="P4" s="142"/>
      <c r="Q4" s="142"/>
      <c r="R4" s="142"/>
      <c r="S4" s="142"/>
      <c r="U4" s="196" t="s">
        <v>1753</v>
      </c>
      <c r="X4"/>
      <c r="Y4"/>
      <c r="Z4"/>
      <c r="AA4"/>
    </row>
    <row r="5" spans="1:28" ht="13.5">
      <c r="C5" s="143" t="s">
        <v>64</v>
      </c>
      <c r="D5" s="143" t="s">
        <v>65</v>
      </c>
      <c r="E5" s="143" t="s">
        <v>66</v>
      </c>
      <c r="F5" s="143" t="s">
        <v>67</v>
      </c>
      <c r="G5" s="144" t="s">
        <v>68</v>
      </c>
      <c r="H5" s="245" t="s">
        <v>1427</v>
      </c>
      <c r="I5" s="143" t="s">
        <v>88</v>
      </c>
      <c r="J5" s="143" t="s">
        <v>192</v>
      </c>
      <c r="K5" s="143" t="s">
        <v>72</v>
      </c>
      <c r="L5" s="143" t="s">
        <v>73</v>
      </c>
      <c r="M5" s="143" t="s">
        <v>74</v>
      </c>
      <c r="N5" s="143" t="s">
        <v>75</v>
      </c>
      <c r="O5" s="143" t="s">
        <v>76</v>
      </c>
      <c r="P5" s="143" t="s">
        <v>77</v>
      </c>
      <c r="Q5" s="143" t="s">
        <v>78</v>
      </c>
      <c r="R5" s="143" t="s">
        <v>79</v>
      </c>
      <c r="S5" s="143" t="s">
        <v>80</v>
      </c>
      <c r="V5" s="143" t="s">
        <v>60</v>
      </c>
      <c r="W5" s="143" t="s">
        <v>1754</v>
      </c>
      <c r="X5"/>
      <c r="Y5"/>
      <c r="Z5"/>
      <c r="AA5"/>
    </row>
    <row r="6" spans="1:28" ht="13.5">
      <c r="A6" s="179" t="s">
        <v>86</v>
      </c>
      <c r="C6" s="143"/>
      <c r="D6" s="143"/>
      <c r="E6" s="143"/>
      <c r="F6" s="143"/>
      <c r="G6" s="144"/>
      <c r="H6" s="245"/>
      <c r="I6" s="143"/>
      <c r="J6" s="143"/>
      <c r="K6" s="143"/>
      <c r="L6" s="143"/>
      <c r="M6" s="143"/>
      <c r="N6" s="143"/>
      <c r="O6" s="143"/>
      <c r="P6" s="143"/>
      <c r="Q6" s="143"/>
      <c r="R6" s="143"/>
      <c r="S6" s="143"/>
      <c r="X6"/>
      <c r="Y6"/>
      <c r="Z6"/>
      <c r="AA6"/>
    </row>
    <row r="7" spans="1:28" ht="13.5">
      <c r="A7" s="134" t="s">
        <v>448</v>
      </c>
      <c r="C7" s="146">
        <f>SUM(ATVI!BX12:CA12)</f>
        <v>6939</v>
      </c>
      <c r="D7" s="146">
        <f>SUM(ATVI!CB12:CE12)</f>
        <v>7267</v>
      </c>
      <c r="E7" s="146">
        <f>SUM(ATVI!CF12:CI12)</f>
        <v>7114</v>
      </c>
      <c r="F7" s="146">
        <f>SUM(ATVI!CJ12:CM12)</f>
        <v>6988</v>
      </c>
      <c r="G7" s="154">
        <f>SUM(ATVI!CN12:CQ12)</f>
        <v>8938</v>
      </c>
      <c r="H7" s="247">
        <f>SUM(ATVI!CR12:CU12)</f>
        <v>8091.7446766261464</v>
      </c>
      <c r="I7" s="146"/>
      <c r="J7" s="282"/>
      <c r="K7" s="146"/>
      <c r="L7" s="146"/>
      <c r="M7" s="143"/>
      <c r="N7" s="143"/>
      <c r="O7" s="143"/>
      <c r="P7" s="143"/>
      <c r="Q7" s="143"/>
      <c r="R7" s="143"/>
      <c r="S7" s="143"/>
      <c r="U7" s="134" t="s">
        <v>1755</v>
      </c>
      <c r="V7" s="789">
        <f>Base!H86</f>
        <v>0</v>
      </c>
      <c r="W7" s="789">
        <f>H106</f>
        <v>15.440674746271513</v>
      </c>
      <c r="Y7"/>
      <c r="Z7"/>
      <c r="AA7"/>
    </row>
    <row r="8" spans="1:28" s="271" customFormat="1" ht="13.5">
      <c r="A8" s="134" t="s">
        <v>60</v>
      </c>
      <c r="C8" s="193">
        <f>+'Historical Financials'!BH12</f>
        <v>96571</v>
      </c>
      <c r="D8" s="193">
        <f>+'Historical Financials'!BI12</f>
        <v>110360</v>
      </c>
      <c r="E8" s="193">
        <f>+'Historical Financials'!BJ12</f>
        <v>125843</v>
      </c>
      <c r="F8" s="193">
        <f>+'Historical Financials'!BK12</f>
        <v>143015</v>
      </c>
      <c r="G8" s="273">
        <f>+'Historical Financials'!BL12</f>
        <v>168088</v>
      </c>
      <c r="H8" s="274">
        <f>+'Historical Financials'!BM12</f>
        <v>198270</v>
      </c>
      <c r="I8" s="147"/>
      <c r="J8" s="282"/>
      <c r="K8" s="213"/>
      <c r="L8" s="213"/>
      <c r="M8" s="213"/>
      <c r="N8" s="213"/>
      <c r="O8" s="213"/>
      <c r="P8" s="213"/>
      <c r="Q8" s="213"/>
      <c r="R8" s="213"/>
      <c r="S8" s="213"/>
      <c r="U8" s="134" t="s">
        <v>1756</v>
      </c>
      <c r="V8" s="789">
        <f>Base!H87</f>
        <v>61.262103166727762</v>
      </c>
      <c r="W8" s="789">
        <f t="shared" ref="W8:W9" si="0">H107</f>
        <v>58.593288042675447</v>
      </c>
      <c r="Y8"/>
      <c r="Z8"/>
      <c r="AA8"/>
    </row>
    <row r="9" spans="1:28" s="289" customFormat="1">
      <c r="A9" s="284" t="s">
        <v>86</v>
      </c>
      <c r="B9" s="285"/>
      <c r="C9" s="285">
        <f>SUM(C7:C8)</f>
        <v>103510</v>
      </c>
      <c r="D9" s="285">
        <f t="shared" ref="D9:H9" si="1">SUM(D7:D8)</f>
        <v>117627</v>
      </c>
      <c r="E9" s="285">
        <f t="shared" si="1"/>
        <v>132957</v>
      </c>
      <c r="F9" s="286">
        <f t="shared" si="1"/>
        <v>150003</v>
      </c>
      <c r="G9" s="287">
        <f t="shared" si="1"/>
        <v>177026</v>
      </c>
      <c r="H9" s="288">
        <f t="shared" si="1"/>
        <v>206361.74467662614</v>
      </c>
      <c r="I9" s="285">
        <f>H9*(1+I14)</f>
        <v>220563.62093683978</v>
      </c>
      <c r="J9" s="285">
        <f t="shared" ref="J9:S9" si="2">I9*(1+J14)</f>
        <v>235742.87451873909</v>
      </c>
      <c r="K9" s="285">
        <f t="shared" si="2"/>
        <v>251966.76881847274</v>
      </c>
      <c r="L9" s="285">
        <f t="shared" si="2"/>
        <v>269307.19631899253</v>
      </c>
      <c r="M9" s="285">
        <f t="shared" si="2"/>
        <v>287840.99716517527</v>
      </c>
      <c r="N9" s="285">
        <f t="shared" si="2"/>
        <v>307650.2996633788</v>
      </c>
      <c r="O9" s="285">
        <f t="shared" si="2"/>
        <v>328822.88421427808</v>
      </c>
      <c r="P9" s="285">
        <f t="shared" si="2"/>
        <v>351452.57229166658</v>
      </c>
      <c r="Q9" s="285">
        <f t="shared" si="2"/>
        <v>375639.64219089382</v>
      </c>
      <c r="R9" s="285">
        <f t="shared" si="2"/>
        <v>401491.27338923316</v>
      </c>
      <c r="S9" s="285">
        <f t="shared" si="2"/>
        <v>429122.02148726152</v>
      </c>
      <c r="U9" s="134" t="s">
        <v>1757</v>
      </c>
      <c r="V9" s="789">
        <f>Base!H88</f>
        <v>47.608294105870904</v>
      </c>
      <c r="W9" s="789">
        <f t="shared" si="0"/>
        <v>45.988395816329721</v>
      </c>
      <c r="Y9"/>
      <c r="Z9"/>
      <c r="AA9"/>
    </row>
    <row r="10" spans="1:28">
      <c r="A10" s="170"/>
      <c r="B10" s="145"/>
      <c r="C10" s="146"/>
      <c r="D10" s="146"/>
      <c r="E10" s="146"/>
      <c r="F10" s="217"/>
      <c r="G10" s="154"/>
      <c r="H10" s="247"/>
      <c r="I10" s="147"/>
      <c r="J10" s="147"/>
      <c r="K10" s="147"/>
      <c r="L10" s="147"/>
      <c r="M10" s="147"/>
      <c r="N10" s="147"/>
      <c r="O10" s="147"/>
      <c r="P10" s="147"/>
      <c r="Q10" s="147"/>
      <c r="R10" s="147"/>
      <c r="S10" s="147"/>
      <c r="X10"/>
      <c r="Y10"/>
      <c r="Z10"/>
      <c r="AA10"/>
    </row>
    <row r="11" spans="1:28">
      <c r="A11" s="203" t="s">
        <v>87</v>
      </c>
      <c r="G11" s="156"/>
      <c r="H11" s="248"/>
      <c r="I11" s="262"/>
      <c r="U11" s="134" t="s">
        <v>1758</v>
      </c>
      <c r="V11" s="789">
        <f>Base!I86</f>
        <v>0</v>
      </c>
      <c r="W11" s="789">
        <f>I106</f>
        <v>14.351025049272824</v>
      </c>
      <c r="X11"/>
      <c r="Y11"/>
      <c r="Z11"/>
      <c r="AA11"/>
    </row>
    <row r="12" spans="1:28">
      <c r="A12" s="148" t="str">
        <f>+A7</f>
        <v>ATVI</v>
      </c>
      <c r="C12" s="149"/>
      <c r="D12" s="150">
        <f t="shared" ref="D12:H12" si="3">D7/C7-1</f>
        <v>4.7269058942210673E-2</v>
      </c>
      <c r="E12" s="150">
        <f t="shared" si="3"/>
        <v>-2.1054080088069305E-2</v>
      </c>
      <c r="F12" s="150">
        <f t="shared" si="3"/>
        <v>-1.7711554680910901E-2</v>
      </c>
      <c r="G12" s="156">
        <f t="shared" si="3"/>
        <v>0.27904979965655419</v>
      </c>
      <c r="H12" s="248">
        <f t="shared" si="3"/>
        <v>-9.46806134900261E-2</v>
      </c>
      <c r="I12" s="262"/>
      <c r="J12" s="151"/>
      <c r="K12" s="151"/>
      <c r="L12" s="151"/>
      <c r="M12" s="151"/>
      <c r="N12" s="151"/>
      <c r="O12" s="151"/>
      <c r="P12" s="151"/>
      <c r="Q12" s="151"/>
      <c r="R12" s="151"/>
      <c r="S12" s="151"/>
      <c r="U12" s="134" t="s">
        <v>1759</v>
      </c>
      <c r="V12" s="789">
        <f>Base!I87</f>
        <v>58.916544321689884</v>
      </c>
      <c r="W12" s="789">
        <f>I107</f>
        <v>53.534712052649105</v>
      </c>
      <c r="X12"/>
      <c r="Y12"/>
      <c r="Z12"/>
      <c r="AA12"/>
    </row>
    <row r="13" spans="1:28" s="271" customFormat="1" ht="13.5">
      <c r="A13" s="148" t="str">
        <f t="shared" ref="A13:A14" si="4">+A8</f>
        <v>MSFT</v>
      </c>
      <c r="C13" s="276"/>
      <c r="D13" s="277">
        <f t="shared" ref="D13:H13" si="5">D8/C8-1</f>
        <v>0.14278613662486661</v>
      </c>
      <c r="E13" s="277">
        <f t="shared" si="5"/>
        <v>0.14029539688292858</v>
      </c>
      <c r="F13" s="277">
        <f t="shared" si="5"/>
        <v>0.13645574247276371</v>
      </c>
      <c r="G13" s="278">
        <f t="shared" si="5"/>
        <v>0.17531727441177503</v>
      </c>
      <c r="H13" s="279">
        <f t="shared" si="5"/>
        <v>0.17956070629670173</v>
      </c>
      <c r="I13" s="280"/>
      <c r="J13" s="281"/>
      <c r="K13" s="281"/>
      <c r="L13" s="281"/>
      <c r="M13" s="281"/>
      <c r="N13" s="281"/>
      <c r="O13" s="281"/>
      <c r="P13" s="281"/>
      <c r="Q13" s="281"/>
      <c r="R13" s="281"/>
      <c r="S13" s="281"/>
      <c r="U13" s="134" t="s">
        <v>1760</v>
      </c>
      <c r="V13" s="789">
        <f>Base!I88</f>
        <v>44.048274235395866</v>
      </c>
      <c r="W13" s="789">
        <f>I108</f>
        <v>42.61478448899576</v>
      </c>
      <c r="X13"/>
      <c r="Y13"/>
      <c r="Z13"/>
      <c r="AA13"/>
    </row>
    <row r="14" spans="1:28" s="196" customFormat="1">
      <c r="A14" s="300" t="str">
        <f t="shared" si="4"/>
        <v>Revenue</v>
      </c>
      <c r="C14" s="290"/>
      <c r="D14" s="291">
        <f>D9/C9-1</f>
        <v>0.13638295816829293</v>
      </c>
      <c r="E14" s="291">
        <f>E9/D9-1</f>
        <v>0.13032722079114478</v>
      </c>
      <c r="F14" s="291">
        <f>F9/E9-1</f>
        <v>0.12820686387328228</v>
      </c>
      <c r="G14" s="292">
        <f>G9/F9-1</f>
        <v>0.1801497303387265</v>
      </c>
      <c r="H14" s="293">
        <f>H9/G9-1</f>
        <v>0.16571432827170107</v>
      </c>
      <c r="I14" s="294">
        <f>+Base!I9</f>
        <v>6.8820295556564215E-2</v>
      </c>
      <c r="J14" s="294">
        <f t="shared" ref="J14:S14" si="6">+I14</f>
        <v>6.8820295556564215E-2</v>
      </c>
      <c r="K14" s="294">
        <f t="shared" si="6"/>
        <v>6.8820295556564215E-2</v>
      </c>
      <c r="L14" s="294">
        <f t="shared" si="6"/>
        <v>6.8820295556564215E-2</v>
      </c>
      <c r="M14" s="294">
        <f t="shared" si="6"/>
        <v>6.8820295556564215E-2</v>
      </c>
      <c r="N14" s="294">
        <f t="shared" si="6"/>
        <v>6.8820295556564215E-2</v>
      </c>
      <c r="O14" s="294">
        <f t="shared" si="6"/>
        <v>6.8820295556564215E-2</v>
      </c>
      <c r="P14" s="294">
        <f t="shared" si="6"/>
        <v>6.8820295556564215E-2</v>
      </c>
      <c r="Q14" s="294">
        <f t="shared" si="6"/>
        <v>6.8820295556564215E-2</v>
      </c>
      <c r="R14" s="294">
        <f t="shared" si="6"/>
        <v>6.8820295556564215E-2</v>
      </c>
      <c r="S14" s="294">
        <f t="shared" si="6"/>
        <v>6.8820295556564215E-2</v>
      </c>
      <c r="X14"/>
      <c r="Y14"/>
      <c r="Z14"/>
      <c r="AA14"/>
    </row>
    <row r="15" spans="1:28">
      <c r="A15" s="148"/>
      <c r="C15" s="149"/>
      <c r="D15" s="150"/>
      <c r="E15" s="150"/>
      <c r="F15" s="243"/>
      <c r="G15" s="223"/>
      <c r="H15" s="246"/>
      <c r="I15" s="243"/>
      <c r="J15" s="215"/>
      <c r="K15" s="151"/>
      <c r="L15" s="151"/>
      <c r="M15" s="151"/>
      <c r="N15" s="151"/>
      <c r="O15" s="151"/>
      <c r="P15" s="151"/>
      <c r="Q15" s="151"/>
      <c r="R15" s="151"/>
      <c r="S15" s="151"/>
      <c r="U15" s="134" t="s">
        <v>1461</v>
      </c>
      <c r="V15" s="788">
        <f>Base!H96</f>
        <v>0</v>
      </c>
      <c r="W15" s="788">
        <f ca="1">H118</f>
        <v>-1.4357432723045353E-2</v>
      </c>
    </row>
    <row r="16" spans="1:28">
      <c r="A16" s="179" t="s">
        <v>95</v>
      </c>
      <c r="C16" s="149"/>
      <c r="D16" s="150"/>
      <c r="E16" s="150"/>
      <c r="F16" s="243"/>
      <c r="G16" s="223"/>
      <c r="H16" s="246"/>
      <c r="I16" s="243"/>
      <c r="J16" s="215"/>
      <c r="K16" s="151"/>
      <c r="L16" s="151"/>
      <c r="M16" s="151"/>
      <c r="N16" s="151"/>
      <c r="O16" s="151"/>
      <c r="P16" s="151"/>
      <c r="Q16" s="151"/>
      <c r="R16" s="151"/>
      <c r="S16" s="151"/>
    </row>
    <row r="17" spans="1:19">
      <c r="A17" s="134" t="s">
        <v>448</v>
      </c>
      <c r="C17" s="146">
        <f>SUM(ATVI!BX84:CA84)</f>
        <v>2401</v>
      </c>
      <c r="D17" s="146">
        <f>SUM(ATVI!CB84:CE84)</f>
        <v>2085</v>
      </c>
      <c r="E17" s="146">
        <f>SUM(ATVI!CF84:CI84)</f>
        <v>2229</v>
      </c>
      <c r="F17" s="146">
        <f>SUM(ATVI!CJ84:CM84)</f>
        <v>2267</v>
      </c>
      <c r="G17" s="154">
        <f>SUM(ATVI!CN84:CQ84)</f>
        <v>3231</v>
      </c>
      <c r="H17" s="247">
        <f>SUM(ATVI!CR84:CU84)</f>
        <v>2948.8179093882763</v>
      </c>
      <c r="I17" s="147"/>
      <c r="J17" s="282"/>
      <c r="K17" s="283"/>
      <c r="L17" s="283"/>
      <c r="M17" s="283"/>
      <c r="N17" s="283"/>
      <c r="O17" s="283"/>
      <c r="P17" s="283"/>
      <c r="Q17" s="283"/>
      <c r="R17" s="283"/>
      <c r="S17" s="283"/>
    </row>
    <row r="18" spans="1:19" ht="13.5">
      <c r="A18" s="134" t="s">
        <v>60</v>
      </c>
      <c r="C18" s="193">
        <f>+'Historical Financials'!BH49</f>
        <v>29331</v>
      </c>
      <c r="D18" s="193">
        <f>+'Historical Financials'!BI49</f>
        <v>35058</v>
      </c>
      <c r="E18" s="193">
        <f>+'Historical Financials'!BJ49</f>
        <v>42959</v>
      </c>
      <c r="F18" s="193">
        <f>+'Historical Financials'!BK49</f>
        <v>52959</v>
      </c>
      <c r="G18" s="273">
        <f>+'Historical Financials'!BL49</f>
        <v>69916</v>
      </c>
      <c r="H18" s="274">
        <f>+'Historical Financials'!BM49</f>
        <v>83383</v>
      </c>
      <c r="I18" s="147"/>
      <c r="J18" s="282"/>
      <c r="K18" s="283"/>
      <c r="L18" s="283"/>
      <c r="M18" s="283"/>
      <c r="N18" s="283"/>
      <c r="O18" s="283"/>
      <c r="P18" s="283"/>
      <c r="Q18" s="283"/>
      <c r="R18" s="283"/>
      <c r="S18" s="283"/>
    </row>
    <row r="19" spans="1:19" s="196" customFormat="1">
      <c r="A19" s="195" t="s">
        <v>95</v>
      </c>
      <c r="B19" s="295"/>
      <c r="C19" s="285">
        <f>SUM(C17:C18)</f>
        <v>31732</v>
      </c>
      <c r="D19" s="285">
        <f t="shared" ref="D19" si="7">SUM(D17:D18)</f>
        <v>37143</v>
      </c>
      <c r="E19" s="285">
        <f t="shared" ref="E19" si="8">SUM(E17:E18)</f>
        <v>45188</v>
      </c>
      <c r="F19" s="286">
        <f t="shared" ref="F19" si="9">SUM(F17:F18)</f>
        <v>55226</v>
      </c>
      <c r="G19" s="287">
        <f t="shared" ref="G19" si="10">SUM(G17:G18)</f>
        <v>73147</v>
      </c>
      <c r="H19" s="288">
        <f t="shared" ref="H19" si="11">SUM(H17:H18)</f>
        <v>86331.817909388279</v>
      </c>
      <c r="I19" s="285">
        <f>+H19+(I9-H9)*I34</f>
        <v>92900.38083193927</v>
      </c>
      <c r="J19" s="285">
        <f t="shared" ref="J19:S19" si="12">+I19+(J9-I9)*J34</f>
        <v>99920.994196202111</v>
      </c>
      <c r="K19" s="285">
        <f t="shared" si="12"/>
        <v>107424.7682471819</v>
      </c>
      <c r="L19" s="285">
        <f t="shared" si="12"/>
        <v>115444.95424613978</v>
      </c>
      <c r="M19" s="285">
        <f t="shared" si="12"/>
        <v>124017.09181596457</v>
      </c>
      <c r="N19" s="285">
        <f t="shared" si="12"/>
        <v>133179.16642689623</v>
      </c>
      <c r="O19" s="285">
        <f t="shared" si="12"/>
        <v>142971.77772046349</v>
      </c>
      <c r="P19" s="285">
        <f t="shared" si="12"/>
        <v>153438.31941752462</v>
      </c>
      <c r="Q19" s="285">
        <f t="shared" si="12"/>
        <v>164625.17160763257</v>
      </c>
      <c r="R19" s="285">
        <f t="shared" si="12"/>
        <v>176581.90627181134</v>
      </c>
      <c r="S19" s="285">
        <f t="shared" si="12"/>
        <v>189361.50694947032</v>
      </c>
    </row>
    <row r="20" spans="1:19">
      <c r="A20" s="170"/>
      <c r="B20" s="145"/>
      <c r="C20" s="146"/>
      <c r="D20" s="146"/>
      <c r="E20" s="217"/>
      <c r="F20" s="217"/>
      <c r="G20" s="206"/>
      <c r="H20" s="250"/>
      <c r="I20" s="147"/>
      <c r="J20" s="147"/>
      <c r="K20" s="147"/>
      <c r="L20" s="147"/>
      <c r="M20" s="147"/>
      <c r="N20" s="147"/>
      <c r="O20" s="147"/>
      <c r="P20" s="147"/>
      <c r="Q20" s="147"/>
      <c r="R20" s="147"/>
      <c r="S20" s="147"/>
    </row>
    <row r="21" spans="1:19">
      <c r="A21" s="203" t="s">
        <v>87</v>
      </c>
      <c r="G21" s="156"/>
      <c r="H21" s="248"/>
      <c r="I21" s="262"/>
    </row>
    <row r="22" spans="1:19">
      <c r="A22" s="148" t="str">
        <f>+A17</f>
        <v>ATVI</v>
      </c>
      <c r="C22" s="149"/>
      <c r="D22" s="150">
        <f t="shared" ref="D22:H22" si="13">D17/C17-1</f>
        <v>-0.13161182840483132</v>
      </c>
      <c r="E22" s="150">
        <f t="shared" si="13"/>
        <v>6.9064748201438819E-2</v>
      </c>
      <c r="F22" s="150">
        <f t="shared" si="13"/>
        <v>1.7048003589053451E-2</v>
      </c>
      <c r="G22" s="156">
        <f t="shared" si="13"/>
        <v>0.42523158359064839</v>
      </c>
      <c r="H22" s="248">
        <f t="shared" si="13"/>
        <v>-8.7335837391434135E-2</v>
      </c>
      <c r="I22" s="262"/>
      <c r="J22" s="151"/>
      <c r="K22" s="151"/>
      <c r="L22" s="151"/>
      <c r="M22" s="151"/>
      <c r="N22" s="151"/>
      <c r="O22" s="151"/>
      <c r="P22" s="151"/>
      <c r="Q22" s="151"/>
      <c r="R22" s="151"/>
      <c r="S22" s="151"/>
    </row>
    <row r="23" spans="1:19" s="271" customFormat="1" ht="13.5">
      <c r="A23" s="148" t="str">
        <f t="shared" ref="A23:A24" si="14">+A18</f>
        <v>MSFT</v>
      </c>
      <c r="C23" s="276"/>
      <c r="D23" s="277">
        <f t="shared" ref="D23:H23" si="15">D18/C18-1</f>
        <v>0.19525416794517736</v>
      </c>
      <c r="E23" s="277">
        <f t="shared" si="15"/>
        <v>0.22536938787152727</v>
      </c>
      <c r="F23" s="277">
        <f t="shared" si="15"/>
        <v>0.23278009264647692</v>
      </c>
      <c r="G23" s="278">
        <f t="shared" si="15"/>
        <v>0.3201910912215109</v>
      </c>
      <c r="H23" s="279">
        <f t="shared" si="15"/>
        <v>0.19261685451112753</v>
      </c>
      <c r="I23" s="280"/>
      <c r="J23" s="281"/>
      <c r="K23" s="281"/>
      <c r="L23" s="281"/>
      <c r="M23" s="281"/>
      <c r="N23" s="281"/>
      <c r="O23" s="281"/>
      <c r="P23" s="281"/>
      <c r="Q23" s="281"/>
      <c r="R23" s="281"/>
      <c r="S23" s="281"/>
    </row>
    <row r="24" spans="1:19" s="196" customFormat="1">
      <c r="A24" s="300" t="str">
        <f t="shared" si="14"/>
        <v>EBIT</v>
      </c>
      <c r="C24" s="290"/>
      <c r="D24" s="291">
        <f t="shared" ref="D24:S24" si="16">D19/C19-1</f>
        <v>0.17052187066683477</v>
      </c>
      <c r="E24" s="291">
        <f t="shared" si="16"/>
        <v>0.21659532078722776</v>
      </c>
      <c r="F24" s="291">
        <f t="shared" si="16"/>
        <v>0.22213862087279801</v>
      </c>
      <c r="G24" s="292">
        <f t="shared" si="16"/>
        <v>0.32450295150834751</v>
      </c>
      <c r="H24" s="293">
        <f>H19/G19-1</f>
        <v>0.18025097282716018</v>
      </c>
      <c r="I24" s="291">
        <f>I19/H19-1</f>
        <v>7.6085075950157677E-2</v>
      </c>
      <c r="J24" s="291">
        <f t="shared" si="16"/>
        <v>7.5571416407467895E-2</v>
      </c>
      <c r="K24" s="291">
        <f t="shared" si="16"/>
        <v>7.5097071554808492E-2</v>
      </c>
      <c r="L24" s="291">
        <f t="shared" si="16"/>
        <v>7.4658629753834971E-2</v>
      </c>
      <c r="M24" s="291">
        <f t="shared" si="16"/>
        <v>7.4253029296959649E-2</v>
      </c>
      <c r="N24" s="291">
        <f t="shared" si="16"/>
        <v>7.3877515403503846E-2</v>
      </c>
      <c r="O24" s="291">
        <f t="shared" si="16"/>
        <v>7.3529603437956226E-2</v>
      </c>
      <c r="P24" s="291">
        <f t="shared" si="16"/>
        <v>7.3207047320382079E-2</v>
      </c>
      <c r="Q24" s="291">
        <f t="shared" si="16"/>
        <v>7.2907812289491725E-2</v>
      </c>
      <c r="R24" s="291">
        <f t="shared" si="16"/>
        <v>7.263005133064615E-2</v>
      </c>
      <c r="S24" s="291">
        <f t="shared" si="16"/>
        <v>7.237208470265033E-2</v>
      </c>
    </row>
    <row r="25" spans="1:19">
      <c r="A25" s="210"/>
      <c r="C25" s="149"/>
      <c r="D25" s="150"/>
      <c r="E25" s="150"/>
      <c r="F25" s="150"/>
      <c r="G25" s="155"/>
      <c r="H25" s="251"/>
      <c r="I25" s="150"/>
      <c r="J25" s="150"/>
      <c r="K25" s="150"/>
      <c r="L25" s="150"/>
      <c r="M25" s="150"/>
      <c r="N25" s="150"/>
      <c r="O25" s="150"/>
      <c r="P25" s="150"/>
      <c r="Q25" s="150"/>
      <c r="R25" s="150"/>
      <c r="S25" s="150"/>
    </row>
    <row r="26" spans="1:19">
      <c r="A26" s="203" t="s">
        <v>99</v>
      </c>
      <c r="C26" s="149"/>
      <c r="D26" s="150"/>
      <c r="E26" s="150"/>
      <c r="F26" s="150"/>
      <c r="G26" s="155"/>
      <c r="H26" s="251"/>
    </row>
    <row r="27" spans="1:19">
      <c r="A27" s="148" t="str">
        <f>+A22</f>
        <v>ATVI</v>
      </c>
      <c r="C27" s="149"/>
      <c r="D27" s="150">
        <f t="shared" ref="D27:H27" si="17">+D17/D7</f>
        <v>0.28691344433741572</v>
      </c>
      <c r="E27" s="150">
        <f t="shared" si="17"/>
        <v>0.31332583637897105</v>
      </c>
      <c r="F27" s="150">
        <f t="shared" si="17"/>
        <v>0.3244132799084144</v>
      </c>
      <c r="G27" s="155">
        <f t="shared" si="17"/>
        <v>0.36149026627880959</v>
      </c>
      <c r="H27" s="251">
        <f t="shared" si="17"/>
        <v>0.36442300483185613</v>
      </c>
      <c r="I27" s="149"/>
      <c r="J27" s="149"/>
      <c r="K27" s="149"/>
      <c r="L27" s="149"/>
      <c r="M27" s="149"/>
      <c r="N27" s="149"/>
      <c r="O27" s="149"/>
      <c r="P27" s="149"/>
      <c r="Q27" s="149"/>
      <c r="R27" s="149"/>
      <c r="S27" s="149"/>
    </row>
    <row r="28" spans="1:19" s="271" customFormat="1" ht="13.5">
      <c r="A28" s="148" t="str">
        <f t="shared" ref="A28:A29" si="18">+A23</f>
        <v>MSFT</v>
      </c>
      <c r="C28" s="276"/>
      <c r="D28" s="277">
        <f t="shared" ref="D28:H28" si="19">+D18/D8</f>
        <v>0.31766944545125048</v>
      </c>
      <c r="E28" s="277">
        <f t="shared" si="19"/>
        <v>0.3413698020549415</v>
      </c>
      <c r="F28" s="277">
        <f t="shared" si="19"/>
        <v>0.37030381428521486</v>
      </c>
      <c r="G28" s="298">
        <f t="shared" si="19"/>
        <v>0.41594878872971303</v>
      </c>
      <c r="H28" s="299">
        <f t="shared" si="19"/>
        <v>0.4205527815604983</v>
      </c>
      <c r="I28" s="276"/>
      <c r="J28" s="276"/>
      <c r="K28" s="276"/>
      <c r="L28" s="276"/>
      <c r="M28" s="276"/>
      <c r="N28" s="276"/>
      <c r="O28" s="276"/>
      <c r="P28" s="276"/>
      <c r="Q28" s="276"/>
      <c r="R28" s="276"/>
      <c r="S28" s="276"/>
    </row>
    <row r="29" spans="1:19">
      <c r="A29" s="300" t="str">
        <f t="shared" si="18"/>
        <v>EBIT</v>
      </c>
      <c r="C29" s="149"/>
      <c r="D29" s="291">
        <f t="shared" ref="D29:S29" si="20">+D19/D9</f>
        <v>0.3157693386722436</v>
      </c>
      <c r="E29" s="291">
        <f t="shared" si="20"/>
        <v>0.33986928104575165</v>
      </c>
      <c r="F29" s="291">
        <f t="shared" si="20"/>
        <v>0.36816597001393303</v>
      </c>
      <c r="G29" s="296">
        <f t="shared" si="20"/>
        <v>0.4131991910792765</v>
      </c>
      <c r="H29" s="297">
        <f t="shared" si="20"/>
        <v>0.4183518512342117</v>
      </c>
      <c r="I29" s="290">
        <f t="shared" si="20"/>
        <v>0.42119539222899349</v>
      </c>
      <c r="J29" s="290">
        <f t="shared" si="20"/>
        <v>0.42385584039469848</v>
      </c>
      <c r="K29" s="290">
        <f t="shared" si="20"/>
        <v>0.42634498489987438</v>
      </c>
      <c r="L29" s="290">
        <f t="shared" si="20"/>
        <v>0.42867385582001316</v>
      </c>
      <c r="M29" s="290">
        <f t="shared" si="20"/>
        <v>0.43085277301481256</v>
      </c>
      <c r="N29" s="290">
        <f t="shared" si="20"/>
        <v>0.43289139185827757</v>
      </c>
      <c r="O29" s="290">
        <f t="shared" si="20"/>
        <v>0.43479874602430546</v>
      </c>
      <c r="P29" s="290">
        <f t="shared" si="20"/>
        <v>0.43658328751734915</v>
      </c>
      <c r="Q29" s="290">
        <f t="shared" si="20"/>
        <v>0.43825292412554473</v>
      </c>
      <c r="R29" s="290">
        <f t="shared" si="20"/>
        <v>0.43981505446226909</v>
      </c>
      <c r="S29" s="290">
        <f t="shared" si="20"/>
        <v>0.4412766007514054</v>
      </c>
    </row>
    <row r="30" spans="1:19">
      <c r="A30" s="210"/>
      <c r="C30" s="149"/>
      <c r="D30" s="150"/>
      <c r="E30" s="150"/>
      <c r="F30" s="150"/>
      <c r="G30" s="155"/>
      <c r="H30" s="251"/>
      <c r="I30" s="149"/>
      <c r="J30" s="149"/>
      <c r="K30" s="149"/>
      <c r="L30" s="149"/>
      <c r="M30" s="149"/>
      <c r="N30" s="149"/>
      <c r="O30" s="149"/>
      <c r="P30" s="149"/>
      <c r="Q30" s="149"/>
      <c r="R30" s="149"/>
      <c r="S30" s="149"/>
    </row>
    <row r="31" spans="1:19">
      <c r="A31" s="203" t="s">
        <v>101</v>
      </c>
      <c r="G31" s="155"/>
      <c r="H31" s="251"/>
      <c r="I31" s="262"/>
    </row>
    <row r="32" spans="1:19">
      <c r="A32" s="148" t="str">
        <f>+A27</f>
        <v>ATVI</v>
      </c>
      <c r="C32" s="150"/>
      <c r="D32" s="150">
        <f t="shared" ref="D32:H32" si="21">(D17-C17)/(D7-C7)</f>
        <v>-0.96341463414634143</v>
      </c>
      <c r="E32" s="150">
        <f t="shared" si="21"/>
        <v>-0.94117647058823528</v>
      </c>
      <c r="F32" s="150">
        <f t="shared" si="21"/>
        <v>-0.30158730158730157</v>
      </c>
      <c r="G32" s="155">
        <f t="shared" si="21"/>
        <v>0.49435897435897436</v>
      </c>
      <c r="H32" s="251">
        <f t="shared" si="21"/>
        <v>0.3334479356498688</v>
      </c>
      <c r="I32" s="262"/>
      <c r="J32" s="262"/>
      <c r="K32" s="262"/>
      <c r="L32" s="262"/>
      <c r="M32" s="262"/>
      <c r="N32" s="262"/>
      <c r="O32" s="262"/>
      <c r="P32" s="262"/>
      <c r="Q32" s="262"/>
      <c r="R32" s="262"/>
      <c r="S32" s="262"/>
    </row>
    <row r="33" spans="1:19" s="271" customFormat="1" ht="13.5">
      <c r="A33" s="148" t="str">
        <f t="shared" ref="A33:A34" si="22">+A28</f>
        <v>MSFT</v>
      </c>
      <c r="C33" s="277"/>
      <c r="D33" s="277">
        <f t="shared" ref="D33:H33" si="23">(D18-C18)/(D8-C8)</f>
        <v>0.41533106099064471</v>
      </c>
      <c r="E33" s="277">
        <f t="shared" si="23"/>
        <v>0.51030162113285538</v>
      </c>
      <c r="F33" s="277">
        <f t="shared" si="23"/>
        <v>0.58234334963894707</v>
      </c>
      <c r="G33" s="298">
        <f t="shared" si="23"/>
        <v>0.67630518884856217</v>
      </c>
      <c r="H33" s="299">
        <f t="shared" si="23"/>
        <v>0.44619309522231793</v>
      </c>
      <c r="I33" s="280"/>
      <c r="J33" s="280"/>
      <c r="K33" s="280"/>
      <c r="L33" s="280"/>
      <c r="M33" s="280"/>
      <c r="N33" s="280"/>
      <c r="O33" s="280"/>
      <c r="P33" s="280"/>
      <c r="Q33" s="280"/>
      <c r="R33" s="280"/>
      <c r="S33" s="280"/>
    </row>
    <row r="34" spans="1:19" s="196" customFormat="1">
      <c r="A34" s="300" t="str">
        <f t="shared" si="22"/>
        <v>EBIT</v>
      </c>
      <c r="C34" s="291"/>
      <c r="D34" s="291">
        <f>(D19-C19)/(D9-C9)</f>
        <v>0.38329673443366152</v>
      </c>
      <c r="E34" s="291">
        <f>(E19-D19)/(E9-D9)</f>
        <v>0.52478799739073712</v>
      </c>
      <c r="F34" s="291">
        <f>(F19-E19)/(F9-E9)</f>
        <v>0.5888771559310102</v>
      </c>
      <c r="G34" s="296">
        <f>(G19-F19)/(G9-F9)</f>
        <v>0.66317581319616625</v>
      </c>
      <c r="H34" s="297">
        <f>(H19-G19)/(H9-G9)</f>
        <v>0.44944548211498286</v>
      </c>
      <c r="I34" s="294">
        <f>+Base!I18</f>
        <v>0.46251374129717843</v>
      </c>
      <c r="J34" s="294">
        <f>+I34</f>
        <v>0.46251374129717843</v>
      </c>
      <c r="K34" s="294">
        <f t="shared" ref="K34:S34" si="24">+J34</f>
        <v>0.46251374129717843</v>
      </c>
      <c r="L34" s="294">
        <f t="shared" si="24"/>
        <v>0.46251374129717843</v>
      </c>
      <c r="M34" s="294">
        <f t="shared" si="24"/>
        <v>0.46251374129717843</v>
      </c>
      <c r="N34" s="294">
        <f t="shared" si="24"/>
        <v>0.46251374129717843</v>
      </c>
      <c r="O34" s="294">
        <f t="shared" si="24"/>
        <v>0.46251374129717843</v>
      </c>
      <c r="P34" s="294">
        <f t="shared" si="24"/>
        <v>0.46251374129717843</v>
      </c>
      <c r="Q34" s="294">
        <f t="shared" si="24"/>
        <v>0.46251374129717843</v>
      </c>
      <c r="R34" s="294">
        <f t="shared" si="24"/>
        <v>0.46251374129717843</v>
      </c>
      <c r="S34" s="294">
        <f t="shared" si="24"/>
        <v>0.46251374129717843</v>
      </c>
    </row>
    <row r="35" spans="1:19">
      <c r="A35" s="148"/>
      <c r="C35" s="149"/>
      <c r="D35" s="150"/>
      <c r="E35" s="150"/>
      <c r="F35" s="150"/>
      <c r="G35" s="244"/>
      <c r="H35" s="249"/>
      <c r="I35" s="151"/>
      <c r="J35" s="151"/>
      <c r="K35" s="151"/>
      <c r="L35" s="151"/>
      <c r="M35" s="151"/>
      <c r="N35" s="151"/>
      <c r="O35" s="151"/>
      <c r="P35" s="151"/>
      <c r="Q35" s="151"/>
      <c r="R35" s="151"/>
      <c r="S35" s="151"/>
    </row>
    <row r="36" spans="1:19">
      <c r="A36" s="203" t="s">
        <v>124</v>
      </c>
      <c r="C36" s="149"/>
      <c r="D36" s="150"/>
      <c r="E36" s="150"/>
      <c r="F36" s="150"/>
      <c r="G36" s="244"/>
      <c r="H36" s="249"/>
      <c r="I36" s="151"/>
      <c r="J36" s="151"/>
      <c r="K36" s="151"/>
      <c r="L36" s="151"/>
      <c r="M36" s="151"/>
      <c r="N36" s="151"/>
      <c r="O36" s="151"/>
      <c r="P36" s="151"/>
      <c r="Q36" s="151"/>
      <c r="R36" s="151"/>
      <c r="S36" s="151"/>
    </row>
    <row r="37" spans="1:19">
      <c r="A37" s="148"/>
      <c r="C37" s="149"/>
      <c r="D37" s="150"/>
      <c r="E37" s="150"/>
      <c r="F37" s="150"/>
      <c r="G37" s="244"/>
      <c r="H37" s="249"/>
      <c r="I37" s="151"/>
      <c r="J37" s="151"/>
      <c r="K37" s="151"/>
      <c r="L37" s="151"/>
      <c r="M37" s="151"/>
      <c r="N37" s="151"/>
      <c r="O37" s="151"/>
      <c r="P37" s="151"/>
      <c r="Q37" s="151"/>
      <c r="R37" s="151"/>
      <c r="S37" s="151"/>
    </row>
    <row r="38" spans="1:19">
      <c r="A38" s="203" t="s">
        <v>187</v>
      </c>
      <c r="C38" s="133"/>
      <c r="D38" s="133"/>
      <c r="E38" s="133"/>
      <c r="F38" s="243"/>
      <c r="G38" s="223"/>
      <c r="H38" s="246"/>
      <c r="I38" s="216"/>
      <c r="J38" s="216"/>
      <c r="K38" s="133"/>
      <c r="L38" s="133"/>
      <c r="M38" s="133"/>
      <c r="N38" s="133"/>
      <c r="O38" s="133"/>
      <c r="P38" s="133"/>
      <c r="Q38" s="133"/>
      <c r="R38" s="133"/>
      <c r="S38" s="133"/>
    </row>
    <row r="39" spans="1:19" s="140" customFormat="1">
      <c r="A39" s="148" t="s">
        <v>448</v>
      </c>
      <c r="C39" s="205">
        <f t="shared" ref="C39:H39" si="25">+C49-C17</f>
        <v>196</v>
      </c>
      <c r="D39" s="205">
        <f t="shared" si="25"/>
        <v>158</v>
      </c>
      <c r="E39" s="218">
        <f t="shared" si="25"/>
        <v>133</v>
      </c>
      <c r="F39" s="218">
        <f t="shared" si="25"/>
        <v>165</v>
      </c>
      <c r="G39" s="206">
        <f t="shared" si="25"/>
        <v>154</v>
      </c>
      <c r="H39" s="250">
        <f t="shared" si="25"/>
        <v>114.76072687137412</v>
      </c>
      <c r="I39" s="205"/>
      <c r="J39" s="205"/>
      <c r="K39" s="205"/>
      <c r="L39" s="205"/>
      <c r="M39" s="780"/>
      <c r="N39" s="780"/>
      <c r="O39" s="780"/>
      <c r="P39" s="780"/>
      <c r="Q39" s="780"/>
      <c r="R39" s="780"/>
      <c r="S39" s="780"/>
    </row>
    <row r="40" spans="1:19" s="301" customFormat="1" ht="13.5">
      <c r="A40" s="148" t="s">
        <v>60</v>
      </c>
      <c r="C40" s="302">
        <f>+'Historical Financials'!BH88</f>
        <v>8778</v>
      </c>
      <c r="D40" s="302">
        <f>+'Historical Financials'!BI88</f>
        <v>10261</v>
      </c>
      <c r="E40" s="303">
        <f>+'Historical Financials'!BJ88</f>
        <v>11682</v>
      </c>
      <c r="F40" s="303">
        <f>+'Historical Financials'!BK88</f>
        <v>12796</v>
      </c>
      <c r="G40" s="304">
        <f>+'Historical Financials'!BL88</f>
        <v>11686</v>
      </c>
      <c r="H40" s="305">
        <f>+'Historical Financials'!BM88</f>
        <v>14460</v>
      </c>
      <c r="I40" s="306"/>
      <c r="J40" s="306"/>
      <c r="K40" s="307"/>
      <c r="L40" s="307"/>
      <c r="M40" s="307"/>
      <c r="N40" s="307"/>
      <c r="O40" s="307"/>
      <c r="P40" s="307"/>
      <c r="Q40" s="307"/>
      <c r="R40" s="307"/>
      <c r="S40" s="307"/>
    </row>
    <row r="41" spans="1:19" s="138" customFormat="1">
      <c r="A41" s="308" t="s">
        <v>187</v>
      </c>
      <c r="B41" s="209"/>
      <c r="C41" s="209">
        <f t="shared" ref="C41:G41" si="26">SUM(C39:C40)</f>
        <v>8974</v>
      </c>
      <c r="D41" s="209">
        <f t="shared" si="26"/>
        <v>10419</v>
      </c>
      <c r="E41" s="219">
        <f t="shared" si="26"/>
        <v>11815</v>
      </c>
      <c r="F41" s="219">
        <f t="shared" si="26"/>
        <v>12961</v>
      </c>
      <c r="G41" s="211">
        <f t="shared" si="26"/>
        <v>11840</v>
      </c>
      <c r="H41" s="254">
        <f>SUM(H39:H40)</f>
        <v>14574.760726871375</v>
      </c>
      <c r="I41" s="209">
        <f>+I46*I9</f>
        <v>15798.363688697707</v>
      </c>
      <c r="J41" s="209">
        <f t="shared" ref="J41:S41" si="27">+J46*J9</f>
        <v>17121.354621582715</v>
      </c>
      <c r="K41" s="209">
        <f t="shared" si="27"/>
        <v>18551.618075787257</v>
      </c>
      <c r="L41" s="209">
        <f t="shared" si="27"/>
        <v>20097.653111134427</v>
      </c>
      <c r="M41" s="209">
        <f t="shared" si="27"/>
        <v>21768.62053540118</v>
      </c>
      <c r="N41" s="209">
        <f t="shared" si="27"/>
        <v>23574.39373416956</v>
      </c>
      <c r="O41" s="209">
        <f t="shared" si="27"/>
        <v>25525.613362736203</v>
      </c>
      <c r="P41" s="209">
        <f t="shared" si="27"/>
        <v>27633.74619091396</v>
      </c>
      <c r="Q41" s="209">
        <f t="shared" si="27"/>
        <v>29911.148413298633</v>
      </c>
      <c r="R41" s="209">
        <f t="shared" si="27"/>
        <v>32371.133760927336</v>
      </c>
      <c r="S41" s="209">
        <f t="shared" si="27"/>
        <v>35028.046775342693</v>
      </c>
    </row>
    <row r="42" spans="1:19" s="140" customFormat="1">
      <c r="A42" s="170"/>
      <c r="B42" s="204"/>
      <c r="C42" s="205"/>
      <c r="D42" s="205"/>
      <c r="E42" s="218"/>
      <c r="F42" s="218"/>
      <c r="G42" s="206"/>
      <c r="H42" s="250"/>
      <c r="I42" s="209"/>
      <c r="J42" s="209"/>
      <c r="K42" s="209"/>
      <c r="L42" s="209"/>
      <c r="M42" s="209"/>
      <c r="N42" s="209"/>
      <c r="O42" s="209"/>
      <c r="P42" s="209"/>
      <c r="Q42" s="209"/>
      <c r="R42" s="209"/>
      <c r="S42" s="209"/>
    </row>
    <row r="43" spans="1:19" s="140" customFormat="1">
      <c r="A43" s="268" t="s">
        <v>118</v>
      </c>
      <c r="G43" s="155"/>
      <c r="H43" s="251"/>
      <c r="I43" s="262"/>
    </row>
    <row r="44" spans="1:19" s="140" customFormat="1">
      <c r="A44" s="171" t="s">
        <v>448</v>
      </c>
      <c r="C44" s="149">
        <f t="shared" ref="C44:H46" si="28">+C39/C7</f>
        <v>2.8246144977662486E-2</v>
      </c>
      <c r="D44" s="149">
        <f t="shared" si="28"/>
        <v>2.1742121921012797E-2</v>
      </c>
      <c r="E44" s="149">
        <f t="shared" si="28"/>
        <v>1.8695529940961485E-2</v>
      </c>
      <c r="F44" s="149">
        <f t="shared" si="28"/>
        <v>2.3611906124785347E-2</v>
      </c>
      <c r="G44" s="155">
        <f t="shared" si="28"/>
        <v>1.7229805325576192E-2</v>
      </c>
      <c r="H44" s="251">
        <f t="shared" si="28"/>
        <v>1.4182445375825132E-2</v>
      </c>
      <c r="I44" s="262"/>
      <c r="J44" s="138"/>
      <c r="K44" s="138"/>
      <c r="L44" s="138"/>
      <c r="M44" s="138"/>
      <c r="N44" s="138"/>
      <c r="O44" s="138"/>
      <c r="P44" s="138"/>
      <c r="Q44" s="138"/>
      <c r="R44" s="138"/>
      <c r="S44" s="138"/>
    </row>
    <row r="45" spans="1:19" s="301" customFormat="1" ht="13.5">
      <c r="A45" s="171" t="s">
        <v>60</v>
      </c>
      <c r="C45" s="276">
        <f t="shared" si="28"/>
        <v>9.0896853092543306E-2</v>
      </c>
      <c r="D45" s="276">
        <f t="shared" si="28"/>
        <v>9.2977528089887643E-2</v>
      </c>
      <c r="E45" s="276">
        <f t="shared" si="28"/>
        <v>9.2829954784930432E-2</v>
      </c>
      <c r="F45" s="276">
        <f t="shared" si="28"/>
        <v>8.9473132188931229E-2</v>
      </c>
      <c r="G45" s="298">
        <f t="shared" si="28"/>
        <v>6.9523106943981727E-2</v>
      </c>
      <c r="H45" s="299">
        <f t="shared" si="28"/>
        <v>7.2930851868663937E-2</v>
      </c>
      <c r="I45" s="280"/>
      <c r="J45" s="307"/>
      <c r="K45" s="307"/>
      <c r="L45" s="307"/>
      <c r="M45" s="307"/>
      <c r="N45" s="307"/>
      <c r="O45" s="307"/>
      <c r="P45" s="307"/>
      <c r="Q45" s="307"/>
      <c r="R45" s="307"/>
      <c r="S45" s="307"/>
    </row>
    <row r="46" spans="1:19" s="140" customFormat="1">
      <c r="A46" s="269" t="s">
        <v>187</v>
      </c>
      <c r="C46" s="149">
        <f t="shared" si="28"/>
        <v>8.6696937493961942E-2</v>
      </c>
      <c r="D46" s="149">
        <f t="shared" si="28"/>
        <v>8.8576602310693975E-2</v>
      </c>
      <c r="E46" s="149">
        <f t="shared" si="28"/>
        <v>8.8863316711417978E-2</v>
      </c>
      <c r="F46" s="149">
        <f t="shared" si="28"/>
        <v>8.6404938567895315E-2</v>
      </c>
      <c r="G46" s="155">
        <f t="shared" si="28"/>
        <v>6.6882830770621265E-2</v>
      </c>
      <c r="H46" s="251">
        <f>+H41/H9</f>
        <v>7.0627241253994916E-2</v>
      </c>
      <c r="I46" s="262">
        <f>+H46+0.1%</f>
        <v>7.1627241253994917E-2</v>
      </c>
      <c r="J46" s="262">
        <f t="shared" ref="J46:S46" si="29">+I46+0.1%</f>
        <v>7.2627241253994917E-2</v>
      </c>
      <c r="K46" s="262">
        <f t="shared" si="29"/>
        <v>7.3627241253994918E-2</v>
      </c>
      <c r="L46" s="262">
        <f t="shared" si="29"/>
        <v>7.4627241253994919E-2</v>
      </c>
      <c r="M46" s="262">
        <f t="shared" si="29"/>
        <v>7.562724125399492E-2</v>
      </c>
      <c r="N46" s="262">
        <f t="shared" si="29"/>
        <v>7.6627241253994921E-2</v>
      </c>
      <c r="O46" s="262">
        <f t="shared" si="29"/>
        <v>7.7627241253994922E-2</v>
      </c>
      <c r="P46" s="262">
        <f t="shared" si="29"/>
        <v>7.8627241253994923E-2</v>
      </c>
      <c r="Q46" s="262">
        <f t="shared" si="29"/>
        <v>7.9627241253994924E-2</v>
      </c>
      <c r="R46" s="262">
        <f t="shared" si="29"/>
        <v>8.0627241253994925E-2</v>
      </c>
      <c r="S46" s="262">
        <f t="shared" si="29"/>
        <v>8.1627241253994925E-2</v>
      </c>
    </row>
    <row r="47" spans="1:19" s="140" customFormat="1">
      <c r="A47" s="269"/>
      <c r="C47" s="149"/>
      <c r="D47" s="149"/>
      <c r="E47" s="149"/>
      <c r="F47" s="149"/>
      <c r="G47" s="155"/>
      <c r="H47" s="251"/>
      <c r="I47" s="262"/>
      <c r="J47" s="262"/>
      <c r="K47" s="262"/>
      <c r="L47" s="262"/>
      <c r="M47" s="262"/>
      <c r="N47" s="262"/>
      <c r="O47" s="262"/>
      <c r="P47" s="262"/>
      <c r="Q47" s="262"/>
      <c r="R47" s="262"/>
      <c r="S47" s="262"/>
    </row>
    <row r="48" spans="1:19" s="140" customFormat="1">
      <c r="A48" s="203" t="s">
        <v>121</v>
      </c>
      <c r="C48" s="152"/>
      <c r="D48" s="153"/>
      <c r="E48" s="153"/>
      <c r="F48" s="243"/>
      <c r="G48" s="223"/>
      <c r="H48" s="246"/>
      <c r="I48" s="243"/>
      <c r="J48" s="151"/>
      <c r="K48" s="151"/>
      <c r="L48" s="151"/>
      <c r="M48" s="151"/>
      <c r="N48" s="151"/>
      <c r="O48" s="151"/>
      <c r="P48" s="151"/>
      <c r="Q48" s="151"/>
      <c r="R48" s="151"/>
      <c r="S48" s="151"/>
    </row>
    <row r="49" spans="1:19" s="140" customFormat="1" ht="13.5">
      <c r="A49" s="148" t="s">
        <v>448</v>
      </c>
      <c r="C49" s="782">
        <f>SUM(ATVI!BX83:CA83)</f>
        <v>2597</v>
      </c>
      <c r="D49" s="782">
        <f>SUM(ATVI!CB83:CE83)</f>
        <v>2243</v>
      </c>
      <c r="E49" s="782">
        <f>SUM(ATVI!CF83:CI83)</f>
        <v>2362</v>
      </c>
      <c r="F49" s="782">
        <f>SUM(ATVI!CJ83:CM83)</f>
        <v>2432</v>
      </c>
      <c r="G49" s="783">
        <f>SUM(ATVI!CN83:CQ83)</f>
        <v>3385</v>
      </c>
      <c r="H49" s="784">
        <f>SUM(ATVI!CR83:CU83)</f>
        <v>3063.5786362596505</v>
      </c>
      <c r="I49" s="782"/>
      <c r="J49" s="215"/>
      <c r="K49" s="782"/>
      <c r="L49" s="782"/>
      <c r="M49" s="779"/>
      <c r="N49" s="779"/>
      <c r="O49" s="779"/>
      <c r="P49" s="779"/>
      <c r="Q49" s="779"/>
      <c r="R49" s="779"/>
      <c r="S49" s="779"/>
    </row>
    <row r="50" spans="1:19" s="301" customFormat="1" ht="13.5">
      <c r="A50" s="208" t="s">
        <v>60</v>
      </c>
      <c r="C50" s="302">
        <f>+'Historical Financials'!BH89</f>
        <v>38109</v>
      </c>
      <c r="D50" s="302">
        <f>+'Historical Financials'!BI89</f>
        <v>45319</v>
      </c>
      <c r="E50" s="303">
        <f>+'Historical Financials'!BJ89</f>
        <v>54641</v>
      </c>
      <c r="F50" s="303">
        <f>+'Historical Financials'!BK89</f>
        <v>65755</v>
      </c>
      <c r="G50" s="304">
        <f>+'Historical Financials'!BL89</f>
        <v>81602</v>
      </c>
      <c r="H50" s="305">
        <f>+'Historical Financials'!BM89</f>
        <v>97843</v>
      </c>
      <c r="I50" s="309"/>
      <c r="J50" s="281"/>
      <c r="K50" s="281"/>
      <c r="L50" s="281"/>
      <c r="M50" s="281"/>
      <c r="N50" s="281"/>
      <c r="O50" s="281"/>
      <c r="P50" s="281"/>
      <c r="Q50" s="281"/>
      <c r="R50" s="281"/>
      <c r="S50" s="281"/>
    </row>
    <row r="51" spans="1:19" s="140" customFormat="1">
      <c r="A51" s="270" t="s">
        <v>121</v>
      </c>
      <c r="B51" s="204"/>
      <c r="C51" s="209">
        <f t="shared" ref="C51" si="30">SUM(C49:C50)</f>
        <v>40706</v>
      </c>
      <c r="D51" s="209">
        <f t="shared" ref="D51" si="31">SUM(D49:D50)</f>
        <v>47562</v>
      </c>
      <c r="E51" s="209">
        <f t="shared" ref="E51" si="32">SUM(E49:E50)</f>
        <v>57003</v>
      </c>
      <c r="F51" s="209">
        <f t="shared" ref="F51" si="33">SUM(F49:F50)</f>
        <v>68187</v>
      </c>
      <c r="G51" s="211">
        <f t="shared" ref="G51" si="34">SUM(G49:G50)</f>
        <v>84987</v>
      </c>
      <c r="H51" s="254">
        <f t="shared" ref="H51" si="35">SUM(H49:H50)</f>
        <v>100906.57863625966</v>
      </c>
      <c r="I51" s="209">
        <f t="shared" ref="I51:S51" si="36">+I19+I41</f>
        <v>108698.74452063697</v>
      </c>
      <c r="J51" s="209">
        <f t="shared" si="36"/>
        <v>117042.34881778483</v>
      </c>
      <c r="K51" s="209">
        <f t="shared" si="36"/>
        <v>125976.38632296916</v>
      </c>
      <c r="L51" s="209">
        <f t="shared" si="36"/>
        <v>135542.60735727422</v>
      </c>
      <c r="M51" s="209">
        <f t="shared" si="36"/>
        <v>145785.71235136574</v>
      </c>
      <c r="N51" s="209">
        <f t="shared" si="36"/>
        <v>156753.56016106581</v>
      </c>
      <c r="O51" s="209">
        <f t="shared" si="36"/>
        <v>168497.39108319971</v>
      </c>
      <c r="P51" s="209">
        <f t="shared" si="36"/>
        <v>181072.06560843857</v>
      </c>
      <c r="Q51" s="209">
        <f t="shared" si="36"/>
        <v>194536.32002093119</v>
      </c>
      <c r="R51" s="209">
        <f t="shared" si="36"/>
        <v>208953.04003273867</v>
      </c>
      <c r="S51" s="209">
        <f t="shared" si="36"/>
        <v>224389.55372481301</v>
      </c>
    </row>
    <row r="52" spans="1:19" s="140" customFormat="1">
      <c r="A52" s="269" t="s">
        <v>87</v>
      </c>
      <c r="C52" s="149"/>
      <c r="D52" s="149">
        <f>+D51/C51-1</f>
        <v>0.16842725888075472</v>
      </c>
      <c r="E52" s="149">
        <f t="shared" ref="E52:S52" si="37">+E51/D51-1</f>
        <v>0.19849880156427391</v>
      </c>
      <c r="F52" s="149">
        <f t="shared" si="37"/>
        <v>0.19620019998947424</v>
      </c>
      <c r="G52" s="155">
        <f t="shared" si="37"/>
        <v>0.24638127502309826</v>
      </c>
      <c r="H52" s="251">
        <f t="shared" si="37"/>
        <v>0.18731780903267148</v>
      </c>
      <c r="I52" s="149">
        <f t="shared" si="37"/>
        <v>7.7221584456509174E-2</v>
      </c>
      <c r="J52" s="149">
        <f t="shared" si="37"/>
        <v>7.6758975772381444E-2</v>
      </c>
      <c r="K52" s="149">
        <f t="shared" si="37"/>
        <v>7.6331666233844242E-2</v>
      </c>
      <c r="L52" s="149">
        <f t="shared" si="37"/>
        <v>7.5936620453454395E-2</v>
      </c>
      <c r="M52" s="149">
        <f t="shared" si="37"/>
        <v>7.5571107814769389E-2</v>
      </c>
      <c r="N52" s="149">
        <f t="shared" si="37"/>
        <v>7.5232666032909234E-2</v>
      </c>
      <c r="O52" s="149">
        <f t="shared" si="37"/>
        <v>7.4919069844837871E-2</v>
      </c>
      <c r="P52" s="149">
        <f t="shared" si="37"/>
        <v>7.4628304001631784E-2</v>
      </c>
      <c r="Q52" s="149">
        <f t="shared" si="37"/>
        <v>7.4358539884382679E-2</v>
      </c>
      <c r="R52" s="149">
        <f t="shared" si="37"/>
        <v>7.4108115185155699E-2</v>
      </c>
      <c r="S52" s="149">
        <f t="shared" si="37"/>
        <v>7.3875516190890389E-2</v>
      </c>
    </row>
    <row r="53" spans="1:19" s="140" customFormat="1">
      <c r="A53" s="269" t="s">
        <v>99</v>
      </c>
      <c r="C53" s="149">
        <f t="shared" ref="C53:S53" si="38">+C51/C9</f>
        <v>0.39325669017486231</v>
      </c>
      <c r="D53" s="150">
        <f t="shared" si="38"/>
        <v>0.40434594098293758</v>
      </c>
      <c r="E53" s="150">
        <f t="shared" si="38"/>
        <v>0.4287325977571696</v>
      </c>
      <c r="F53" s="150">
        <f t="shared" si="38"/>
        <v>0.45457090858182836</v>
      </c>
      <c r="G53" s="155">
        <f t="shared" si="38"/>
        <v>0.48008202184989773</v>
      </c>
      <c r="H53" s="251">
        <f t="shared" si="38"/>
        <v>0.48897909248820665</v>
      </c>
      <c r="I53" s="149">
        <f t="shared" si="38"/>
        <v>0.49282263348298838</v>
      </c>
      <c r="J53" s="149">
        <f t="shared" si="38"/>
        <v>0.49648308164869343</v>
      </c>
      <c r="K53" s="149">
        <f t="shared" si="38"/>
        <v>0.49997222615386933</v>
      </c>
      <c r="L53" s="149">
        <f t="shared" si="38"/>
        <v>0.50330109707400805</v>
      </c>
      <c r="M53" s="149">
        <f t="shared" si="38"/>
        <v>0.50648001426880751</v>
      </c>
      <c r="N53" s="149">
        <f t="shared" si="38"/>
        <v>0.50951863311227252</v>
      </c>
      <c r="O53" s="149">
        <f t="shared" si="38"/>
        <v>0.51242598727830035</v>
      </c>
      <c r="P53" s="149">
        <f t="shared" si="38"/>
        <v>0.5152105287713441</v>
      </c>
      <c r="Q53" s="149">
        <f t="shared" si="38"/>
        <v>0.51788016537953963</v>
      </c>
      <c r="R53" s="149">
        <f t="shared" si="38"/>
        <v>0.52044229571626399</v>
      </c>
      <c r="S53" s="149">
        <f t="shared" si="38"/>
        <v>0.52290384200540041</v>
      </c>
    </row>
    <row r="54" spans="1:19" s="140" customFormat="1">
      <c r="A54" s="269" t="s">
        <v>101</v>
      </c>
      <c r="C54" s="150"/>
      <c r="D54" s="150">
        <f t="shared" ref="D54:S54" si="39">(D51-C51)/(D9-C9)</f>
        <v>0.48565559254799179</v>
      </c>
      <c r="E54" s="150">
        <f t="shared" si="39"/>
        <v>0.61585127201565559</v>
      </c>
      <c r="F54" s="150">
        <f t="shared" si="39"/>
        <v>0.65610700457585358</v>
      </c>
      <c r="G54" s="156">
        <f t="shared" si="39"/>
        <v>0.62169263220219817</v>
      </c>
      <c r="H54" s="248">
        <f t="shared" si="39"/>
        <v>0.54266829806928019</v>
      </c>
      <c r="I54" s="150">
        <f t="shared" si="39"/>
        <v>0.54867157983955706</v>
      </c>
      <c r="J54" s="150">
        <f t="shared" si="39"/>
        <v>0.54967157983955794</v>
      </c>
      <c r="K54" s="150">
        <f t="shared" si="39"/>
        <v>0.55067157983955783</v>
      </c>
      <c r="L54" s="150">
        <f t="shared" si="39"/>
        <v>0.55167157983955717</v>
      </c>
      <c r="M54" s="150">
        <f t="shared" si="39"/>
        <v>0.5526715798395565</v>
      </c>
      <c r="N54" s="150">
        <f t="shared" si="39"/>
        <v>0.55367157983955861</v>
      </c>
      <c r="O54" s="150">
        <f t="shared" si="39"/>
        <v>0.55467157983955695</v>
      </c>
      <c r="P54" s="150">
        <f t="shared" si="39"/>
        <v>0.55567157983955728</v>
      </c>
      <c r="Q54" s="150">
        <f t="shared" si="39"/>
        <v>0.55667157983955695</v>
      </c>
      <c r="R54" s="150">
        <f t="shared" si="39"/>
        <v>0.55767157983955717</v>
      </c>
      <c r="S54" s="150">
        <f t="shared" si="39"/>
        <v>0.55867157983955706</v>
      </c>
    </row>
    <row r="55" spans="1:19" s="140" customFormat="1">
      <c r="A55" s="269"/>
      <c r="C55" s="150"/>
      <c r="D55" s="150"/>
      <c r="E55" s="150"/>
      <c r="F55" s="150"/>
      <c r="G55" s="156"/>
      <c r="H55" s="248"/>
      <c r="I55" s="150"/>
      <c r="J55" s="150"/>
      <c r="K55" s="150"/>
      <c r="L55" s="150"/>
      <c r="M55" s="150"/>
      <c r="N55" s="150"/>
      <c r="O55" s="150"/>
      <c r="P55" s="150"/>
      <c r="Q55" s="150"/>
      <c r="R55" s="150"/>
      <c r="S55" s="150"/>
    </row>
    <row r="56" spans="1:19">
      <c r="A56" s="203" t="s">
        <v>133</v>
      </c>
      <c r="C56" s="133"/>
      <c r="D56" s="133"/>
      <c r="E56" s="133"/>
      <c r="F56" s="133"/>
      <c r="G56" s="157"/>
      <c r="H56" s="253"/>
      <c r="I56" s="133"/>
      <c r="J56" s="133"/>
      <c r="K56" s="133"/>
      <c r="L56" s="133"/>
      <c r="M56" s="133"/>
      <c r="N56" s="133"/>
      <c r="O56" s="133"/>
      <c r="P56" s="133"/>
      <c r="Q56" s="133"/>
      <c r="R56" s="133"/>
      <c r="S56" s="133"/>
    </row>
    <row r="57" spans="1:19" s="140" customFormat="1" ht="13.5">
      <c r="A57" s="148" t="s">
        <v>448</v>
      </c>
      <c r="C57" s="205">
        <f>+SUM(ATVI!BX158:CA158)</f>
        <v>117</v>
      </c>
      <c r="D57" s="205">
        <f>+SUM(ATVI!CB158:CE158)</f>
        <v>164</v>
      </c>
      <c r="E57" s="205">
        <f>+SUM(ATVI!CF158:CI158)</f>
        <v>115</v>
      </c>
      <c r="F57" s="205">
        <f>+SUM(ATVI!CJ158:CM158)</f>
        <v>103</v>
      </c>
      <c r="G57" s="206">
        <f>+SUM(ATVI!CN158:CQ158)</f>
        <v>82</v>
      </c>
      <c r="H57" s="250">
        <f>+SUM(ATVI!CR158:CU158)</f>
        <v>103.3512119587912</v>
      </c>
      <c r="I57" s="205"/>
      <c r="J57" s="215"/>
      <c r="K57" s="205"/>
      <c r="L57" s="205"/>
      <c r="M57" s="779"/>
      <c r="N57" s="779"/>
      <c r="O57" s="779"/>
      <c r="P57" s="779"/>
      <c r="Q57" s="779"/>
      <c r="R57" s="779"/>
      <c r="S57" s="779"/>
    </row>
    <row r="58" spans="1:19" s="271" customFormat="1" ht="13.5">
      <c r="A58" s="208" t="s">
        <v>60</v>
      </c>
      <c r="C58" s="302">
        <f>+'Historical Financials'!BH114*-1</f>
        <v>10200</v>
      </c>
      <c r="D58" s="302">
        <f>+'Historical Financials'!BI114*-1</f>
        <v>13600</v>
      </c>
      <c r="E58" s="303">
        <f>+'Historical Financials'!BJ114*-1</f>
        <v>16900</v>
      </c>
      <c r="F58" s="303">
        <f>+'Historical Financials'!BK114*-1</f>
        <v>19000</v>
      </c>
      <c r="G58" s="304">
        <f>+'Historical Financials'!BL114*-1</f>
        <v>24200</v>
      </c>
      <c r="H58" s="305">
        <f>+'Historical Financials'!BM114*-1</f>
        <v>29200</v>
      </c>
      <c r="I58" s="212"/>
      <c r="J58" s="212"/>
      <c r="K58" s="212"/>
      <c r="L58" s="212"/>
      <c r="M58" s="212"/>
      <c r="N58" s="212"/>
      <c r="O58" s="212"/>
      <c r="P58" s="212"/>
      <c r="Q58" s="212"/>
      <c r="R58" s="212"/>
      <c r="S58" s="212"/>
    </row>
    <row r="59" spans="1:19" s="140" customFormat="1">
      <c r="A59" s="171" t="s">
        <v>133</v>
      </c>
      <c r="B59" s="204"/>
      <c r="C59" s="209">
        <f t="shared" ref="C59" si="40">SUM(C57:C58)</f>
        <v>10317</v>
      </c>
      <c r="D59" s="209">
        <f t="shared" ref="D59" si="41">SUM(D57:D58)</f>
        <v>13764</v>
      </c>
      <c r="E59" s="209">
        <f t="shared" ref="E59" si="42">SUM(E57:E58)</f>
        <v>17015</v>
      </c>
      <c r="F59" s="209">
        <f t="shared" ref="F59" si="43">SUM(F57:F58)</f>
        <v>19103</v>
      </c>
      <c r="G59" s="211">
        <f t="shared" ref="G59" si="44">SUM(G57:G58)</f>
        <v>24282</v>
      </c>
      <c r="H59" s="254">
        <f t="shared" ref="H59" si="45">SUM(H57:H58)</f>
        <v>29303.35121195879</v>
      </c>
      <c r="I59" s="209">
        <f t="shared" ref="I59:S59" si="46">+I64*I9</f>
        <v>30768.607450821499</v>
      </c>
      <c r="J59" s="209">
        <f t="shared" si="46"/>
        <v>32296.754923154091</v>
      </c>
      <c r="K59" s="209">
        <f t="shared" si="46"/>
        <v>33889.510220437289</v>
      </c>
      <c r="L59" s="209">
        <f t="shared" si="46"/>
        <v>35548.528339277509</v>
      </c>
      <c r="M59" s="209">
        <f t="shared" si="46"/>
        <v>37275.386073274545</v>
      </c>
      <c r="N59" s="209">
        <f t="shared" si="46"/>
        <v>39071.56341066389</v>
      </c>
      <c r="O59" s="209">
        <f t="shared" si="46"/>
        <v>40938.422741907125</v>
      </c>
      <c r="P59" s="209">
        <f t="shared" si="46"/>
        <v>42877.18566389558</v>
      </c>
      <c r="Q59" s="209">
        <f t="shared" si="46"/>
        <v>44888.907148441314</v>
      </c>
      <c r="R59" s="209">
        <f t="shared" si="46"/>
        <v>46974.446822135127</v>
      </c>
      <c r="S59" s="209">
        <f t="shared" si="46"/>
        <v>49134.437082322424</v>
      </c>
    </row>
    <row r="60" spans="1:19" s="140" customFormat="1">
      <c r="A60" s="171"/>
      <c r="B60" s="204"/>
      <c r="C60" s="205"/>
      <c r="D60" s="205"/>
      <c r="E60" s="218"/>
      <c r="F60" s="218"/>
      <c r="G60" s="206"/>
      <c r="H60" s="250"/>
      <c r="I60" s="209"/>
      <c r="J60" s="209"/>
      <c r="K60" s="209"/>
      <c r="L60" s="209"/>
      <c r="M60" s="209"/>
      <c r="N60" s="209"/>
      <c r="O60" s="209"/>
      <c r="P60" s="209"/>
      <c r="Q60" s="209"/>
      <c r="R60" s="209"/>
      <c r="S60" s="209"/>
    </row>
    <row r="61" spans="1:19" s="140" customFormat="1">
      <c r="A61" s="268" t="s">
        <v>118</v>
      </c>
      <c r="C61" s="150"/>
      <c r="D61" s="150"/>
      <c r="E61" s="150"/>
      <c r="F61" s="149"/>
      <c r="G61" s="155"/>
      <c r="H61" s="251"/>
    </row>
    <row r="62" spans="1:19" s="140" customFormat="1">
      <c r="A62" s="270" t="s">
        <v>448</v>
      </c>
      <c r="C62" s="150">
        <f t="shared" ref="C62:H64" si="47">+C57/C7</f>
        <v>1.6861219195849545E-2</v>
      </c>
      <c r="D62" s="150">
        <f t="shared" si="47"/>
        <v>2.2567772120544928E-2</v>
      </c>
      <c r="E62" s="150">
        <f t="shared" si="47"/>
        <v>1.6165307843688501E-2</v>
      </c>
      <c r="F62" s="149">
        <f t="shared" si="47"/>
        <v>1.473955352032055E-2</v>
      </c>
      <c r="G62" s="155">
        <f t="shared" si="47"/>
        <v>9.1743119266055051E-3</v>
      </c>
      <c r="H62" s="251">
        <f t="shared" si="47"/>
        <v>1.2772426230567064E-2</v>
      </c>
      <c r="I62" s="138"/>
      <c r="J62" s="138"/>
      <c r="K62" s="138"/>
      <c r="L62" s="138"/>
      <c r="M62" s="138"/>
      <c r="N62" s="138"/>
      <c r="O62" s="138"/>
      <c r="P62" s="138"/>
      <c r="Q62" s="138"/>
      <c r="R62" s="138"/>
      <c r="S62" s="138"/>
    </row>
    <row r="63" spans="1:19" s="301" customFormat="1" ht="13.5">
      <c r="A63" s="270" t="s">
        <v>60</v>
      </c>
      <c r="C63" s="277">
        <f t="shared" si="47"/>
        <v>0.10562177051081588</v>
      </c>
      <c r="D63" s="277">
        <f t="shared" si="47"/>
        <v>0.12323305545487495</v>
      </c>
      <c r="E63" s="277">
        <f t="shared" si="47"/>
        <v>0.13429431911190928</v>
      </c>
      <c r="F63" s="276">
        <f t="shared" si="47"/>
        <v>0.13285319721707514</v>
      </c>
      <c r="G63" s="298">
        <f t="shared" si="47"/>
        <v>0.14397220503545763</v>
      </c>
      <c r="H63" s="299">
        <f t="shared" si="47"/>
        <v>0.14727391940283452</v>
      </c>
      <c r="I63" s="307"/>
      <c r="J63" s="307"/>
      <c r="K63" s="307"/>
      <c r="L63" s="307"/>
      <c r="M63" s="307"/>
      <c r="N63" s="307"/>
      <c r="O63" s="307"/>
      <c r="P63" s="307"/>
      <c r="Q63" s="307"/>
      <c r="R63" s="307"/>
      <c r="S63" s="307"/>
    </row>
    <row r="64" spans="1:19" s="140" customFormat="1">
      <c r="A64" s="269" t="s">
        <v>133</v>
      </c>
      <c r="C64" s="150">
        <f t="shared" si="47"/>
        <v>9.9671529320838573E-2</v>
      </c>
      <c r="D64" s="150">
        <f t="shared" si="47"/>
        <v>0.1170139508786248</v>
      </c>
      <c r="E64" s="150">
        <f t="shared" si="47"/>
        <v>0.12797370578457698</v>
      </c>
      <c r="F64" s="149">
        <f t="shared" si="47"/>
        <v>0.12735078631760699</v>
      </c>
      <c r="G64" s="155">
        <f t="shared" si="47"/>
        <v>0.13716629195711363</v>
      </c>
      <c r="H64" s="251">
        <f t="shared" si="47"/>
        <v>0.14199991988766064</v>
      </c>
      <c r="I64" s="262">
        <f t="shared" ref="I64:S64" si="48">+H64-0.25%</f>
        <v>0.13949991988766064</v>
      </c>
      <c r="J64" s="262">
        <f t="shared" si="48"/>
        <v>0.13699991988766064</v>
      </c>
      <c r="K64" s="262">
        <f t="shared" si="48"/>
        <v>0.13449991988766063</v>
      </c>
      <c r="L64" s="262">
        <f t="shared" si="48"/>
        <v>0.13199991988766063</v>
      </c>
      <c r="M64" s="262">
        <f t="shared" si="48"/>
        <v>0.12949991988766063</v>
      </c>
      <c r="N64" s="262">
        <f t="shared" si="48"/>
        <v>0.12699991988766063</v>
      </c>
      <c r="O64" s="262">
        <f t="shared" si="48"/>
        <v>0.12449991988766063</v>
      </c>
      <c r="P64" s="262">
        <f t="shared" si="48"/>
        <v>0.12199991988766062</v>
      </c>
      <c r="Q64" s="262">
        <f t="shared" si="48"/>
        <v>0.11949991988766062</v>
      </c>
      <c r="R64" s="262">
        <f t="shared" si="48"/>
        <v>0.11699991988766062</v>
      </c>
      <c r="S64" s="262">
        <f t="shared" si="48"/>
        <v>0.11449991988766062</v>
      </c>
    </row>
    <row r="65" spans="1:28" s="140" customFormat="1">
      <c r="A65" s="269"/>
      <c r="C65" s="150"/>
      <c r="D65" s="150"/>
      <c r="E65" s="150"/>
      <c r="F65" s="149"/>
      <c r="G65" s="155"/>
      <c r="H65" s="251"/>
      <c r="I65" s="262"/>
      <c r="J65" s="262"/>
      <c r="K65" s="262"/>
      <c r="L65" s="262"/>
      <c r="M65" s="262"/>
      <c r="N65" s="262"/>
      <c r="O65" s="262"/>
      <c r="P65" s="262"/>
      <c r="Q65" s="262"/>
      <c r="R65" s="262"/>
      <c r="S65" s="262"/>
    </row>
    <row r="66" spans="1:28" s="140" customFormat="1">
      <c r="A66" s="203" t="s">
        <v>312</v>
      </c>
      <c r="C66" s="138"/>
      <c r="D66" s="138"/>
      <c r="E66" s="138"/>
      <c r="F66" s="138"/>
      <c r="G66" s="207"/>
      <c r="H66" s="252"/>
      <c r="I66" s="138"/>
      <c r="J66" s="138"/>
      <c r="K66" s="138"/>
      <c r="L66" s="138"/>
      <c r="M66" s="138"/>
      <c r="N66" s="138"/>
      <c r="O66" s="138"/>
      <c r="P66" s="138"/>
      <c r="Q66" s="138"/>
      <c r="R66" s="138"/>
      <c r="S66" s="138"/>
    </row>
    <row r="67" spans="1:28" s="140" customFormat="1">
      <c r="A67" s="208" t="s">
        <v>448</v>
      </c>
      <c r="C67" s="209">
        <f t="shared" ref="C67:S67" si="49">+C49-C57</f>
        <v>2480</v>
      </c>
      <c r="D67" s="209">
        <f t="shared" si="49"/>
        <v>2079</v>
      </c>
      <c r="E67" s="219">
        <f t="shared" si="49"/>
        <v>2247</v>
      </c>
      <c r="F67" s="219">
        <f t="shared" si="49"/>
        <v>2329</v>
      </c>
      <c r="G67" s="211">
        <f t="shared" si="49"/>
        <v>3303</v>
      </c>
      <c r="H67" s="254">
        <f t="shared" si="49"/>
        <v>2960.2274243008592</v>
      </c>
      <c r="I67" s="209">
        <f t="shared" si="49"/>
        <v>0</v>
      </c>
      <c r="J67" s="209">
        <f t="shared" si="49"/>
        <v>0</v>
      </c>
      <c r="K67" s="209">
        <f t="shared" si="49"/>
        <v>0</v>
      </c>
      <c r="L67" s="209">
        <f t="shared" si="49"/>
        <v>0</v>
      </c>
      <c r="M67" s="209">
        <f t="shared" si="49"/>
        <v>0</v>
      </c>
      <c r="N67" s="209">
        <f t="shared" si="49"/>
        <v>0</v>
      </c>
      <c r="O67" s="209">
        <f t="shared" si="49"/>
        <v>0</v>
      </c>
      <c r="P67" s="209">
        <f t="shared" si="49"/>
        <v>0</v>
      </c>
      <c r="Q67" s="209">
        <f t="shared" si="49"/>
        <v>0</v>
      </c>
      <c r="R67" s="209">
        <f t="shared" si="49"/>
        <v>0</v>
      </c>
      <c r="S67" s="209">
        <f t="shared" si="49"/>
        <v>0</v>
      </c>
    </row>
    <row r="68" spans="1:28" s="301" customFormat="1" ht="13.5">
      <c r="A68" s="208" t="s">
        <v>60</v>
      </c>
      <c r="C68" s="310">
        <f t="shared" ref="C68:S68" si="50">+C50-C58</f>
        <v>27909</v>
      </c>
      <c r="D68" s="310">
        <f t="shared" si="50"/>
        <v>31719</v>
      </c>
      <c r="E68" s="311">
        <f t="shared" si="50"/>
        <v>37741</v>
      </c>
      <c r="F68" s="311">
        <f t="shared" si="50"/>
        <v>46755</v>
      </c>
      <c r="G68" s="312">
        <f t="shared" si="50"/>
        <v>57402</v>
      </c>
      <c r="H68" s="313">
        <f t="shared" si="50"/>
        <v>68643</v>
      </c>
      <c r="I68" s="310">
        <f t="shared" si="50"/>
        <v>0</v>
      </c>
      <c r="J68" s="310">
        <f t="shared" si="50"/>
        <v>0</v>
      </c>
      <c r="K68" s="310">
        <f t="shared" si="50"/>
        <v>0</v>
      </c>
      <c r="L68" s="310">
        <f t="shared" si="50"/>
        <v>0</v>
      </c>
      <c r="M68" s="310">
        <f t="shared" si="50"/>
        <v>0</v>
      </c>
      <c r="N68" s="310">
        <f t="shared" si="50"/>
        <v>0</v>
      </c>
      <c r="O68" s="310">
        <f t="shared" si="50"/>
        <v>0</v>
      </c>
      <c r="P68" s="310">
        <f t="shared" si="50"/>
        <v>0</v>
      </c>
      <c r="Q68" s="310">
        <f t="shared" si="50"/>
        <v>0</v>
      </c>
      <c r="R68" s="310">
        <f t="shared" si="50"/>
        <v>0</v>
      </c>
      <c r="S68" s="310">
        <f t="shared" si="50"/>
        <v>0</v>
      </c>
    </row>
    <row r="69" spans="1:28" s="140" customFormat="1">
      <c r="A69" s="171" t="s">
        <v>312</v>
      </c>
      <c r="B69" s="204"/>
      <c r="C69" s="209">
        <f t="shared" ref="C69:S69" si="51">+C51-C59</f>
        <v>30389</v>
      </c>
      <c r="D69" s="209">
        <f t="shared" si="51"/>
        <v>33798</v>
      </c>
      <c r="E69" s="219">
        <f t="shared" si="51"/>
        <v>39988</v>
      </c>
      <c r="F69" s="219">
        <f t="shared" si="51"/>
        <v>49084</v>
      </c>
      <c r="G69" s="211">
        <f t="shared" si="51"/>
        <v>60705</v>
      </c>
      <c r="H69" s="254">
        <f t="shared" si="51"/>
        <v>71603.227424300858</v>
      </c>
      <c r="I69" s="209">
        <f t="shared" si="51"/>
        <v>77930.137069815479</v>
      </c>
      <c r="J69" s="209">
        <f t="shared" si="51"/>
        <v>84745.593894630743</v>
      </c>
      <c r="K69" s="209">
        <f t="shared" si="51"/>
        <v>92086.876102531882</v>
      </c>
      <c r="L69" s="209">
        <f t="shared" si="51"/>
        <v>99994.079017996701</v>
      </c>
      <c r="M69" s="209">
        <f t="shared" si="51"/>
        <v>108510.3262780912</v>
      </c>
      <c r="N69" s="209">
        <f t="shared" si="51"/>
        <v>117681.99675040192</v>
      </c>
      <c r="O69" s="209">
        <f t="shared" si="51"/>
        <v>127558.96834129258</v>
      </c>
      <c r="P69" s="209">
        <f t="shared" si="51"/>
        <v>138194.879944543</v>
      </c>
      <c r="Q69" s="209">
        <f t="shared" si="51"/>
        <v>149647.41287248989</v>
      </c>
      <c r="R69" s="209">
        <f t="shared" si="51"/>
        <v>161978.59321060355</v>
      </c>
      <c r="S69" s="209">
        <f t="shared" si="51"/>
        <v>175255.11664249058</v>
      </c>
    </row>
    <row r="70" spans="1:28" s="140" customFormat="1">
      <c r="A70" s="269" t="s">
        <v>87</v>
      </c>
      <c r="C70" s="149"/>
      <c r="D70" s="149">
        <f>+D69/C69-1</f>
        <v>0.11217874888940083</v>
      </c>
      <c r="E70" s="149">
        <f t="shared" ref="E70:N70" si="52">+E69/D69-1</f>
        <v>0.18314693177111074</v>
      </c>
      <c r="F70" s="149">
        <f t="shared" si="52"/>
        <v>0.22746824047214154</v>
      </c>
      <c r="G70" s="155">
        <f t="shared" si="52"/>
        <v>0.23675739548529062</v>
      </c>
      <c r="H70" s="251">
        <f t="shared" si="52"/>
        <v>0.17952767357385491</v>
      </c>
      <c r="I70" s="149">
        <f t="shared" si="52"/>
        <v>8.836067692903149E-2</v>
      </c>
      <c r="J70" s="149">
        <f t="shared" si="52"/>
        <v>8.74559840528637E-2</v>
      </c>
      <c r="K70" s="149">
        <f t="shared" si="52"/>
        <v>8.6627302618576207E-2</v>
      </c>
      <c r="L70" s="149">
        <f t="shared" si="52"/>
        <v>8.5866773313721056E-2</v>
      </c>
      <c r="M70" s="149">
        <f t="shared" si="52"/>
        <v>8.516751535420175E-2</v>
      </c>
      <c r="N70" s="149">
        <f t="shared" si="52"/>
        <v>8.4523480731276024E-2</v>
      </c>
      <c r="O70" s="149">
        <f>+O69/N69-1</f>
        <v>8.3929333828684616E-2</v>
      </c>
      <c r="P70" s="149">
        <f>+P69/O69-1</f>
        <v>8.3380351390059282E-2</v>
      </c>
      <c r="Q70" s="149">
        <f>+Q69/P69-1</f>
        <v>8.2872338921259114E-2</v>
      </c>
      <c r="R70" s="149">
        <f>+R69/Q69-1</f>
        <v>8.2401560450768851E-2</v>
      </c>
      <c r="S70" s="149">
        <f>+S69/R69-1</f>
        <v>8.1964679213042624E-2</v>
      </c>
      <c r="Z70" s="204"/>
    </row>
    <row r="71" spans="1:28" s="140" customFormat="1">
      <c r="A71" s="269" t="s">
        <v>99</v>
      </c>
      <c r="C71" s="149">
        <f t="shared" ref="C71:S71" si="53">+C69/C9</f>
        <v>0.29358516085402375</v>
      </c>
      <c r="D71" s="149">
        <f t="shared" si="53"/>
        <v>0.28733199010431276</v>
      </c>
      <c r="E71" s="149">
        <f t="shared" si="53"/>
        <v>0.30075889197259265</v>
      </c>
      <c r="F71" s="149">
        <f t="shared" si="53"/>
        <v>0.32722012226422137</v>
      </c>
      <c r="G71" s="155">
        <f t="shared" si="53"/>
        <v>0.34291572989278413</v>
      </c>
      <c r="H71" s="251">
        <f t="shared" si="53"/>
        <v>0.34697917260054595</v>
      </c>
      <c r="I71" s="149">
        <f t="shared" si="53"/>
        <v>0.35332271359532774</v>
      </c>
      <c r="J71" s="149">
        <f t="shared" si="53"/>
        <v>0.35948316176103279</v>
      </c>
      <c r="K71" s="149">
        <f t="shared" si="53"/>
        <v>0.36547230626620875</v>
      </c>
      <c r="L71" s="149">
        <f t="shared" si="53"/>
        <v>0.37130117718634742</v>
      </c>
      <c r="M71" s="149">
        <f t="shared" si="53"/>
        <v>0.37698009438114688</v>
      </c>
      <c r="N71" s="149">
        <f t="shared" si="53"/>
        <v>0.38251871322461189</v>
      </c>
      <c r="O71" s="149">
        <f t="shared" si="53"/>
        <v>0.38792606739063978</v>
      </c>
      <c r="P71" s="149">
        <f t="shared" si="53"/>
        <v>0.39321060888368348</v>
      </c>
      <c r="Q71" s="149">
        <f t="shared" si="53"/>
        <v>0.39838024549187906</v>
      </c>
      <c r="R71" s="149">
        <f t="shared" si="53"/>
        <v>0.40344237582860337</v>
      </c>
      <c r="S71" s="159">
        <f t="shared" si="53"/>
        <v>0.40840392211773974</v>
      </c>
    </row>
    <row r="72" spans="1:28">
      <c r="A72" s="148"/>
      <c r="C72" s="150"/>
      <c r="D72" s="150"/>
      <c r="E72" s="150"/>
      <c r="F72" s="150"/>
      <c r="G72" s="156"/>
      <c r="H72" s="248"/>
      <c r="I72" s="150"/>
      <c r="J72" s="150"/>
      <c r="K72" s="150"/>
      <c r="L72" s="150"/>
      <c r="M72" s="150"/>
      <c r="N72" s="150"/>
      <c r="O72" s="150"/>
      <c r="P72" s="150"/>
      <c r="Q72" s="150"/>
      <c r="R72" s="150"/>
      <c r="S72" s="150"/>
    </row>
    <row r="73" spans="1:28">
      <c r="A73" s="134" t="s">
        <v>1761</v>
      </c>
      <c r="B73" s="145"/>
      <c r="C73" s="146">
        <f>+'Historical Financials'!BH71*-1</f>
        <v>-876</v>
      </c>
      <c r="D73" s="146">
        <f>+'Historical Financials'!BI71*-1</f>
        <v>-1416</v>
      </c>
      <c r="E73" s="217">
        <f>+'Historical Financials'!BJ71*-1</f>
        <v>-729</v>
      </c>
      <c r="F73" s="217">
        <f>+'Historical Financials'!BK71*-1</f>
        <v>-77</v>
      </c>
      <c r="G73" s="154">
        <f>+'Historical Financials'!BL71*-1</f>
        <v>-1186</v>
      </c>
      <c r="H73" s="247">
        <f>+'Historical Financials'!BM71*-1</f>
        <v>-333</v>
      </c>
      <c r="I73" s="147">
        <v>0</v>
      </c>
      <c r="J73" s="147">
        <v>0</v>
      </c>
      <c r="K73" s="147">
        <v>0</v>
      </c>
      <c r="L73" s="147">
        <v>0</v>
      </c>
      <c r="M73" s="147">
        <v>0</v>
      </c>
      <c r="N73" s="147">
        <v>0</v>
      </c>
      <c r="O73" s="147">
        <v>0</v>
      </c>
      <c r="P73" s="147">
        <v>0</v>
      </c>
      <c r="Q73" s="147">
        <v>0</v>
      </c>
      <c r="R73" s="147">
        <v>0</v>
      </c>
      <c r="S73" s="147">
        <v>0</v>
      </c>
    </row>
    <row r="74" spans="1:28">
      <c r="A74" s="148" t="s">
        <v>140</v>
      </c>
      <c r="C74" s="201">
        <v>0.05</v>
      </c>
      <c r="D74" s="262">
        <f>C74+0.25%</f>
        <v>5.2500000000000005E-2</v>
      </c>
      <c r="E74" s="262">
        <f>D74+0.25%</f>
        <v>5.5000000000000007E-2</v>
      </c>
      <c r="F74" s="262">
        <f>E74+0.25%</f>
        <v>5.7500000000000009E-2</v>
      </c>
      <c r="G74" s="263">
        <f>F74+0.25%</f>
        <v>6.0000000000000012E-2</v>
      </c>
      <c r="H74" s="264">
        <f>G74</f>
        <v>6.0000000000000012E-2</v>
      </c>
      <c r="I74" s="262">
        <f t="shared" ref="I74:N74" si="54">H74</f>
        <v>6.0000000000000012E-2</v>
      </c>
      <c r="J74" s="262">
        <f t="shared" si="54"/>
        <v>6.0000000000000012E-2</v>
      </c>
      <c r="K74" s="262">
        <f t="shared" si="54"/>
        <v>6.0000000000000012E-2</v>
      </c>
      <c r="L74" s="262">
        <f t="shared" si="54"/>
        <v>6.0000000000000012E-2</v>
      </c>
      <c r="M74" s="262">
        <f t="shared" si="54"/>
        <v>6.0000000000000012E-2</v>
      </c>
      <c r="N74" s="262">
        <f t="shared" si="54"/>
        <v>6.0000000000000012E-2</v>
      </c>
      <c r="O74" s="262">
        <f>N74</f>
        <v>6.0000000000000012E-2</v>
      </c>
      <c r="P74" s="262">
        <f>O74</f>
        <v>6.0000000000000012E-2</v>
      </c>
      <c r="Q74" s="262">
        <f>P74</f>
        <v>6.0000000000000012E-2</v>
      </c>
      <c r="R74" s="262">
        <f>Q74</f>
        <v>6.0000000000000012E-2</v>
      </c>
      <c r="S74" s="262">
        <f>R74</f>
        <v>6.0000000000000012E-2</v>
      </c>
    </row>
    <row r="75" spans="1:28">
      <c r="C75" s="133"/>
      <c r="D75" s="133"/>
      <c r="E75" s="133"/>
      <c r="F75" s="133"/>
      <c r="G75" s="157"/>
      <c r="H75" s="253"/>
      <c r="I75" s="133"/>
      <c r="J75" s="133"/>
      <c r="K75" s="133"/>
      <c r="L75" s="133"/>
      <c r="M75" s="133"/>
      <c r="N75" s="133"/>
      <c r="O75" s="133"/>
      <c r="P75" s="133"/>
      <c r="Q75" s="133"/>
      <c r="R75" s="133"/>
      <c r="S75" s="133"/>
    </row>
    <row r="76" spans="1:28">
      <c r="A76" s="133" t="s">
        <v>141</v>
      </c>
      <c r="B76" s="147"/>
      <c r="C76" s="147">
        <f>+MAX((C51-C41-C73)*C77,0)</f>
        <v>11412.8</v>
      </c>
      <c r="D76" s="147">
        <f>+MAX((D51-D41-D73)*D77,0)</f>
        <v>10796.519999999999</v>
      </c>
      <c r="E76" s="220">
        <f>+MAX((E51-E41-E73)*E77,0)</f>
        <v>9642.57</v>
      </c>
      <c r="F76" s="217">
        <f>+'Historical Financials'!BK116*-1</f>
        <v>11137.559999999998</v>
      </c>
      <c r="G76" s="154">
        <f>+'Historical Financials'!BL116*-1</f>
        <v>14931.419999999998</v>
      </c>
      <c r="H76" s="255">
        <f t="shared" ref="H76:S76" si="55">+MAX((H51-H41-H73)*H77,0)</f>
        <v>18199.611760971537</v>
      </c>
      <c r="I76" s="147">
        <f t="shared" si="55"/>
        <v>19509.079974707245</v>
      </c>
      <c r="J76" s="147">
        <f t="shared" si="55"/>
        <v>20983.408781202441</v>
      </c>
      <c r="K76" s="147">
        <f t="shared" si="55"/>
        <v>22559.201331908196</v>
      </c>
      <c r="L76" s="147">
        <f t="shared" si="55"/>
        <v>24243.440391689357</v>
      </c>
      <c r="M76" s="147">
        <f t="shared" si="55"/>
        <v>26043.589281352557</v>
      </c>
      <c r="N76" s="147">
        <f t="shared" si="55"/>
        <v>27967.624949648209</v>
      </c>
      <c r="O76" s="147">
        <f t="shared" si="55"/>
        <v>30024.073321297332</v>
      </c>
      <c r="P76" s="147">
        <f t="shared" si="55"/>
        <v>32222.047077680167</v>
      </c>
      <c r="Q76" s="147">
        <f t="shared" si="55"/>
        <v>34571.28603760284</v>
      </c>
      <c r="R76" s="147">
        <f t="shared" si="55"/>
        <v>37082.20031708038</v>
      </c>
      <c r="S76" s="147">
        <f t="shared" si="55"/>
        <v>39765.916459388769</v>
      </c>
      <c r="T76" s="133"/>
      <c r="U76" s="133"/>
      <c r="V76" s="133"/>
      <c r="W76" s="133"/>
      <c r="X76" s="133"/>
      <c r="Y76" s="133"/>
      <c r="Z76" s="133"/>
      <c r="AA76" s="133"/>
      <c r="AB76" s="133"/>
    </row>
    <row r="77" spans="1:28">
      <c r="A77" s="148" t="s">
        <v>140</v>
      </c>
      <c r="C77" s="201">
        <v>0.35</v>
      </c>
      <c r="D77" s="262">
        <f>+(0.35+0.21)/2</f>
        <v>0.27999999999999997</v>
      </c>
      <c r="E77" s="262">
        <v>0.21</v>
      </c>
      <c r="F77" s="262">
        <f t="shared" ref="F77:S77" si="56">E77</f>
        <v>0.21</v>
      </c>
      <c r="G77" s="263">
        <f t="shared" si="56"/>
        <v>0.21</v>
      </c>
      <c r="H77" s="264">
        <f t="shared" si="56"/>
        <v>0.21</v>
      </c>
      <c r="I77" s="262">
        <f t="shared" si="56"/>
        <v>0.21</v>
      </c>
      <c r="J77" s="262">
        <f t="shared" si="56"/>
        <v>0.21</v>
      </c>
      <c r="K77" s="262">
        <f t="shared" si="56"/>
        <v>0.21</v>
      </c>
      <c r="L77" s="262">
        <f t="shared" si="56"/>
        <v>0.21</v>
      </c>
      <c r="M77" s="262">
        <f t="shared" si="56"/>
        <v>0.21</v>
      </c>
      <c r="N77" s="262">
        <f t="shared" si="56"/>
        <v>0.21</v>
      </c>
      <c r="O77" s="262">
        <f t="shared" si="56"/>
        <v>0.21</v>
      </c>
      <c r="P77" s="262">
        <f t="shared" si="56"/>
        <v>0.21</v>
      </c>
      <c r="Q77" s="262">
        <f t="shared" si="56"/>
        <v>0.21</v>
      </c>
      <c r="R77" s="262">
        <f t="shared" si="56"/>
        <v>0.21</v>
      </c>
      <c r="S77" s="262">
        <f t="shared" si="56"/>
        <v>0.21</v>
      </c>
      <c r="W77" s="161"/>
      <c r="X77" s="145"/>
    </row>
    <row r="78" spans="1:28">
      <c r="C78" s="133"/>
      <c r="D78" s="133"/>
      <c r="E78" s="221"/>
      <c r="F78" s="133"/>
      <c r="G78" s="157"/>
      <c r="H78" s="253"/>
      <c r="I78" s="133"/>
      <c r="J78" s="133"/>
      <c r="K78" s="133"/>
      <c r="L78" s="133"/>
      <c r="M78" s="133"/>
      <c r="N78" s="133"/>
      <c r="O78" s="133"/>
      <c r="P78" s="133"/>
      <c r="Q78" s="133"/>
      <c r="R78" s="133"/>
      <c r="S78" s="133"/>
    </row>
    <row r="79" spans="1:28" s="133" customFormat="1">
      <c r="A79" s="133" t="s">
        <v>142</v>
      </c>
      <c r="B79" s="147"/>
      <c r="C79" s="147">
        <f t="shared" ref="C79:S79" si="57">+C19-C73-C76</f>
        <v>21195.200000000001</v>
      </c>
      <c r="D79" s="147">
        <f t="shared" si="57"/>
        <v>27762.480000000003</v>
      </c>
      <c r="E79" s="220">
        <f t="shared" si="57"/>
        <v>36274.43</v>
      </c>
      <c r="F79" s="220">
        <f t="shared" si="57"/>
        <v>44165.440000000002</v>
      </c>
      <c r="G79" s="158">
        <f t="shared" si="57"/>
        <v>59401.58</v>
      </c>
      <c r="H79" s="255">
        <f t="shared" si="57"/>
        <v>68465.206148416735</v>
      </c>
      <c r="I79" s="147">
        <f>+I19-I73-I76</f>
        <v>73391.300857232025</v>
      </c>
      <c r="J79" s="147">
        <f t="shared" si="57"/>
        <v>78937.585414999674</v>
      </c>
      <c r="K79" s="147">
        <f t="shared" si="57"/>
        <v>84865.566915273695</v>
      </c>
      <c r="L79" s="147">
        <f t="shared" si="57"/>
        <v>91201.51385445043</v>
      </c>
      <c r="M79" s="147">
        <f t="shared" si="57"/>
        <v>97973.502534612009</v>
      </c>
      <c r="N79" s="147">
        <f t="shared" si="57"/>
        <v>105211.54147724803</v>
      </c>
      <c r="O79" s="147">
        <f t="shared" si="57"/>
        <v>112947.70439916616</v>
      </c>
      <c r="P79" s="147">
        <f t="shared" si="57"/>
        <v>121216.27233984445</v>
      </c>
      <c r="Q79" s="147">
        <f t="shared" si="57"/>
        <v>130053.88557002973</v>
      </c>
      <c r="R79" s="147">
        <f t="shared" si="57"/>
        <v>139499.70595473098</v>
      </c>
      <c r="S79" s="147">
        <f t="shared" si="57"/>
        <v>149595.59049008155</v>
      </c>
    </row>
    <row r="80" spans="1:28">
      <c r="A80" s="148" t="s">
        <v>87</v>
      </c>
      <c r="C80" s="149"/>
      <c r="D80" s="150">
        <f>D79/C79-1</f>
        <v>0.30984751264437249</v>
      </c>
      <c r="E80" s="150">
        <f t="shared" ref="E80:S80" si="58">E79/D79-1</f>
        <v>0.30659905022894196</v>
      </c>
      <c r="F80" s="149">
        <f t="shared" si="58"/>
        <v>0.21753642993149724</v>
      </c>
      <c r="G80" s="155">
        <f t="shared" si="58"/>
        <v>0.34497878884485234</v>
      </c>
      <c r="H80" s="251">
        <f t="shared" si="58"/>
        <v>0.15258224021005384</v>
      </c>
      <c r="I80" s="149">
        <f t="shared" si="58"/>
        <v>7.1950337783788454E-2</v>
      </c>
      <c r="J80" s="149">
        <f t="shared" si="58"/>
        <v>7.5571416407468117E-2</v>
      </c>
      <c r="K80" s="149">
        <f t="shared" si="58"/>
        <v>7.509707155480827E-2</v>
      </c>
      <c r="L80" s="149">
        <f t="shared" si="58"/>
        <v>7.4658629753834971E-2</v>
      </c>
      <c r="M80" s="149">
        <f t="shared" si="58"/>
        <v>7.4253029296959649E-2</v>
      </c>
      <c r="N80" s="149">
        <f t="shared" si="58"/>
        <v>7.3877515403503846E-2</v>
      </c>
      <c r="O80" s="149">
        <f t="shared" si="58"/>
        <v>7.3529603437956226E-2</v>
      </c>
      <c r="P80" s="149">
        <f t="shared" si="58"/>
        <v>7.3207047320382079E-2</v>
      </c>
      <c r="Q80" s="149">
        <f t="shared" si="58"/>
        <v>7.2907812289491725E-2</v>
      </c>
      <c r="R80" s="149">
        <f t="shared" si="58"/>
        <v>7.263005133064615E-2</v>
      </c>
      <c r="S80" s="149">
        <f t="shared" si="58"/>
        <v>7.2372084702650108E-2</v>
      </c>
    </row>
    <row r="81" spans="1:28">
      <c r="C81" s="133"/>
      <c r="D81" s="133"/>
      <c r="E81" s="221"/>
      <c r="F81" s="133"/>
      <c r="G81" s="157"/>
      <c r="H81" s="253"/>
      <c r="I81" s="133"/>
      <c r="J81" s="133"/>
      <c r="K81" s="133"/>
      <c r="L81" s="133"/>
      <c r="M81" s="133"/>
      <c r="N81" s="133"/>
      <c r="O81" s="133"/>
      <c r="P81" s="133"/>
      <c r="Q81" s="133"/>
      <c r="R81" s="133"/>
      <c r="S81" s="133"/>
    </row>
    <row r="82" spans="1:28" s="133" customFormat="1">
      <c r="A82" s="133" t="str">
        <f>+A41</f>
        <v>D&amp;A</v>
      </c>
      <c r="B82" s="147"/>
      <c r="C82" s="147">
        <f t="shared" ref="C82:S82" si="59">+C41</f>
        <v>8974</v>
      </c>
      <c r="D82" s="147">
        <f t="shared" si="59"/>
        <v>10419</v>
      </c>
      <c r="E82" s="220">
        <f t="shared" si="59"/>
        <v>11815</v>
      </c>
      <c r="F82" s="220">
        <f t="shared" si="59"/>
        <v>12961</v>
      </c>
      <c r="G82" s="158">
        <f t="shared" si="59"/>
        <v>11840</v>
      </c>
      <c r="H82" s="255">
        <f t="shared" si="59"/>
        <v>14574.760726871375</v>
      </c>
      <c r="I82" s="147">
        <f t="shared" si="59"/>
        <v>15798.363688697707</v>
      </c>
      <c r="J82" s="147">
        <f t="shared" si="59"/>
        <v>17121.354621582715</v>
      </c>
      <c r="K82" s="147">
        <f t="shared" si="59"/>
        <v>18551.618075787257</v>
      </c>
      <c r="L82" s="147">
        <f t="shared" si="59"/>
        <v>20097.653111134427</v>
      </c>
      <c r="M82" s="147">
        <f t="shared" si="59"/>
        <v>21768.62053540118</v>
      </c>
      <c r="N82" s="147">
        <f t="shared" si="59"/>
        <v>23574.39373416956</v>
      </c>
      <c r="O82" s="147">
        <f t="shared" si="59"/>
        <v>25525.613362736203</v>
      </c>
      <c r="P82" s="147">
        <f t="shared" si="59"/>
        <v>27633.74619091396</v>
      </c>
      <c r="Q82" s="147">
        <f t="shared" si="59"/>
        <v>29911.148413298633</v>
      </c>
      <c r="R82" s="147">
        <f t="shared" si="59"/>
        <v>32371.133760927336</v>
      </c>
      <c r="S82" s="147">
        <f t="shared" si="59"/>
        <v>35028.046775342693</v>
      </c>
    </row>
    <row r="83" spans="1:28" s="212" customFormat="1" ht="13.5">
      <c r="A83" s="133" t="str">
        <f>+A59</f>
        <v>Capex</v>
      </c>
      <c r="B83" s="213"/>
      <c r="C83" s="213">
        <f t="shared" ref="C83:S83" si="60">+C59*-1</f>
        <v>-10317</v>
      </c>
      <c r="D83" s="213">
        <f t="shared" si="60"/>
        <v>-13764</v>
      </c>
      <c r="E83" s="222">
        <f t="shared" si="60"/>
        <v>-17015</v>
      </c>
      <c r="F83" s="222">
        <f t="shared" si="60"/>
        <v>-19103</v>
      </c>
      <c r="G83" s="214">
        <f t="shared" si="60"/>
        <v>-24282</v>
      </c>
      <c r="H83" s="256">
        <f t="shared" si="60"/>
        <v>-29303.35121195879</v>
      </c>
      <c r="I83" s="213">
        <f t="shared" si="60"/>
        <v>-30768.607450821499</v>
      </c>
      <c r="J83" s="213">
        <f t="shared" si="60"/>
        <v>-32296.754923154091</v>
      </c>
      <c r="K83" s="213">
        <f t="shared" si="60"/>
        <v>-33889.510220437289</v>
      </c>
      <c r="L83" s="213">
        <f t="shared" si="60"/>
        <v>-35548.528339277509</v>
      </c>
      <c r="M83" s="213">
        <f t="shared" si="60"/>
        <v>-37275.386073274545</v>
      </c>
      <c r="N83" s="213">
        <f t="shared" si="60"/>
        <v>-39071.56341066389</v>
      </c>
      <c r="O83" s="213">
        <f t="shared" si="60"/>
        <v>-40938.422741907125</v>
      </c>
      <c r="P83" s="213">
        <f t="shared" si="60"/>
        <v>-42877.18566389558</v>
      </c>
      <c r="Q83" s="213">
        <f t="shared" si="60"/>
        <v>-44888.907148441314</v>
      </c>
      <c r="R83" s="213">
        <f t="shared" si="60"/>
        <v>-46974.446822135127</v>
      </c>
      <c r="S83" s="213">
        <f t="shared" si="60"/>
        <v>-49134.437082322424</v>
      </c>
    </row>
    <row r="84" spans="1:28">
      <c r="A84" s="170" t="s">
        <v>143</v>
      </c>
      <c r="B84" s="145"/>
      <c r="C84" s="147">
        <f t="shared" ref="C84" si="61">+C83+C82+C79</f>
        <v>19852.2</v>
      </c>
      <c r="D84" s="147">
        <f>+D83+D82+D79</f>
        <v>24417.480000000003</v>
      </c>
      <c r="E84" s="220">
        <f t="shared" ref="E84:S84" si="62">+E83+E82+E79</f>
        <v>31074.43</v>
      </c>
      <c r="F84" s="220">
        <f t="shared" si="62"/>
        <v>38023.440000000002</v>
      </c>
      <c r="G84" s="158">
        <f t="shared" si="62"/>
        <v>46959.58</v>
      </c>
      <c r="H84" s="255">
        <f t="shared" si="62"/>
        <v>53736.615663329321</v>
      </c>
      <c r="I84" s="147">
        <f t="shared" si="62"/>
        <v>58421.057095108234</v>
      </c>
      <c r="J84" s="147">
        <f t="shared" si="62"/>
        <v>63762.185113428299</v>
      </c>
      <c r="K84" s="147">
        <f t="shared" si="62"/>
        <v>69527.674770623664</v>
      </c>
      <c r="L84" s="147">
        <f t="shared" si="62"/>
        <v>75750.638626307351</v>
      </c>
      <c r="M84" s="147">
        <f t="shared" si="62"/>
        <v>82466.736996738648</v>
      </c>
      <c r="N84" s="147">
        <f t="shared" si="62"/>
        <v>89714.371800753695</v>
      </c>
      <c r="O84" s="147">
        <f t="shared" si="62"/>
        <v>97534.895019995238</v>
      </c>
      <c r="P84" s="147">
        <f t="shared" si="62"/>
        <v>105972.83286686282</v>
      </c>
      <c r="Q84" s="147">
        <f t="shared" si="62"/>
        <v>115076.12683488705</v>
      </c>
      <c r="R84" s="147">
        <f t="shared" si="62"/>
        <v>124896.39289352318</v>
      </c>
      <c r="S84" s="147">
        <f t="shared" si="62"/>
        <v>135489.20018310181</v>
      </c>
    </row>
    <row r="85" spans="1:28">
      <c r="A85" s="171" t="s">
        <v>87</v>
      </c>
      <c r="C85" s="149"/>
      <c r="D85" s="149">
        <f>+D84/C84-1</f>
        <v>0.22996342974582173</v>
      </c>
      <c r="E85" s="149">
        <f t="shared" ref="E85:S85" si="63">+E84/D84-1</f>
        <v>0.27263050896325081</v>
      </c>
      <c r="F85" s="149">
        <f t="shared" si="63"/>
        <v>0.2236246972189031</v>
      </c>
      <c r="G85" s="155">
        <f t="shared" si="63"/>
        <v>0.23501661080638669</v>
      </c>
      <c r="H85" s="251">
        <f t="shared" si="63"/>
        <v>0.14431636022573713</v>
      </c>
      <c r="I85" s="149">
        <f t="shared" si="63"/>
        <v>8.7174106034661358E-2</v>
      </c>
      <c r="J85" s="149">
        <f t="shared" si="63"/>
        <v>9.142470684200088E-2</v>
      </c>
      <c r="K85" s="149">
        <f t="shared" si="63"/>
        <v>9.0421770316355676E-2</v>
      </c>
      <c r="L85" s="149">
        <f t="shared" si="63"/>
        <v>8.9503408192689538E-2</v>
      </c>
      <c r="M85" s="149">
        <f t="shared" si="63"/>
        <v>8.8660617154175059E-2</v>
      </c>
      <c r="N85" s="149">
        <f t="shared" si="63"/>
        <v>8.7885553229803071E-2</v>
      </c>
      <c r="O85" s="149">
        <f t="shared" si="63"/>
        <v>8.7171353510785421E-2</v>
      </c>
      <c r="P85" s="149">
        <f t="shared" si="63"/>
        <v>8.6511989838485626E-2</v>
      </c>
      <c r="Q85" s="149">
        <f t="shared" si="63"/>
        <v>8.5902147953909935E-2</v>
      </c>
      <c r="R85" s="149">
        <f t="shared" si="63"/>
        <v>8.5337127071772212E-2</v>
      </c>
      <c r="S85" s="149">
        <f t="shared" si="63"/>
        <v>8.4812755950519847E-2</v>
      </c>
    </row>
    <row r="86" spans="1:28">
      <c r="A86" s="133"/>
      <c r="B86" s="145"/>
      <c r="C86" s="160"/>
      <c r="D86" s="147"/>
      <c r="E86" s="220"/>
      <c r="F86" s="220"/>
      <c r="G86" s="158"/>
      <c r="H86" s="255"/>
      <c r="I86" s="147"/>
      <c r="J86" s="147"/>
      <c r="K86" s="147"/>
      <c r="L86" s="147"/>
      <c r="M86" s="147"/>
      <c r="N86" s="147"/>
      <c r="O86" s="147"/>
      <c r="P86" s="147"/>
      <c r="Q86" s="147"/>
      <c r="R86" s="147"/>
      <c r="S86" s="147"/>
      <c r="T86" s="145"/>
      <c r="U86" s="145"/>
      <c r="V86" s="145"/>
      <c r="W86" s="145"/>
      <c r="X86" s="145"/>
      <c r="Y86" s="145"/>
      <c r="Z86" s="145"/>
      <c r="AA86" s="145"/>
      <c r="AB86" s="145"/>
    </row>
    <row r="87" spans="1:28" hidden="1" outlineLevel="1">
      <c r="A87" s="275" t="s">
        <v>1762</v>
      </c>
      <c r="B87" s="145"/>
      <c r="C87" s="146">
        <f>SUM(ATVI!BX74:CA74)</f>
        <v>143</v>
      </c>
      <c r="D87" s="146">
        <f>SUM(ATVI!CB74:CE74)</f>
        <v>215</v>
      </c>
      <c r="E87" s="217">
        <f>SUM(ATVI!CF74:CI74)</f>
        <v>199</v>
      </c>
      <c r="F87" s="217">
        <f>SUM(ATVI!CJ74:CM74)</f>
        <v>151</v>
      </c>
      <c r="G87" s="154">
        <f>SUM(ATVI!CN74:CQ74)</f>
        <v>327</v>
      </c>
      <c r="H87" s="247">
        <f>SUM(ATVI!CR74:CU74)</f>
        <v>352.7</v>
      </c>
      <c r="I87" s="260"/>
      <c r="J87" s="260"/>
      <c r="K87" s="260"/>
      <c r="L87" s="260"/>
      <c r="M87" s="260"/>
      <c r="N87" s="260"/>
      <c r="O87" s="260"/>
      <c r="P87" s="260"/>
      <c r="Q87" s="260"/>
      <c r="R87" s="260"/>
      <c r="S87" s="260"/>
      <c r="T87" s="145"/>
      <c r="U87" s="145"/>
      <c r="V87" s="145"/>
      <c r="W87" s="145"/>
      <c r="X87" s="145"/>
      <c r="Y87" s="145"/>
      <c r="Z87" s="145"/>
      <c r="AA87" s="145"/>
      <c r="AB87" s="145"/>
    </row>
    <row r="88" spans="1:28" s="271" customFormat="1" ht="13.5" hidden="1" outlineLevel="1">
      <c r="A88" s="275" t="s">
        <v>1763</v>
      </c>
      <c r="B88" s="314"/>
      <c r="C88" s="193">
        <f>+'Historical Financials'!BH121</f>
        <v>3266</v>
      </c>
      <c r="D88" s="193">
        <f>+'Historical Financials'!BI121</f>
        <v>3940</v>
      </c>
      <c r="E88" s="272">
        <f>+'Historical Financials'!BJ121</f>
        <v>4652</v>
      </c>
      <c r="F88" s="272">
        <f>+'Historical Financials'!BK121</f>
        <v>5289</v>
      </c>
      <c r="G88" s="273">
        <f>+'Historical Financials'!BL121</f>
        <v>6118</v>
      </c>
      <c r="H88" s="274">
        <f>+'Historical Financials'!BM121</f>
        <v>7502</v>
      </c>
      <c r="I88" s="261"/>
      <c r="J88" s="261"/>
      <c r="K88" s="261"/>
      <c r="L88" s="261"/>
      <c r="M88" s="261"/>
      <c r="N88" s="261"/>
      <c r="O88" s="261"/>
      <c r="P88" s="261"/>
      <c r="Q88" s="261"/>
      <c r="R88" s="261"/>
      <c r="S88" s="261"/>
      <c r="T88" s="314"/>
      <c r="U88" s="314"/>
      <c r="V88" s="314"/>
      <c r="W88" s="314"/>
      <c r="X88" s="314"/>
      <c r="Y88" s="314"/>
      <c r="Z88" s="314"/>
      <c r="AA88" s="314"/>
      <c r="AB88" s="314"/>
    </row>
    <row r="89" spans="1:28" collapsed="1">
      <c r="A89" s="133" t="s">
        <v>1764</v>
      </c>
      <c r="C89" s="147">
        <f>SUM(C87:C88)</f>
        <v>3409</v>
      </c>
      <c r="D89" s="147">
        <f t="shared" ref="D89:H89" si="64">SUM(D87:D88)</f>
        <v>4155</v>
      </c>
      <c r="E89" s="220">
        <f t="shared" si="64"/>
        <v>4851</v>
      </c>
      <c r="F89" s="220">
        <f t="shared" si="64"/>
        <v>5440</v>
      </c>
      <c r="G89" s="158">
        <f t="shared" si="64"/>
        <v>6445</v>
      </c>
      <c r="H89" s="255">
        <f t="shared" si="64"/>
        <v>7854.7</v>
      </c>
      <c r="I89" s="260">
        <v>0</v>
      </c>
      <c r="J89" s="260">
        <v>0</v>
      </c>
      <c r="K89" s="260">
        <v>0</v>
      </c>
      <c r="L89" s="260">
        <v>0</v>
      </c>
      <c r="M89" s="260">
        <v>0</v>
      </c>
      <c r="N89" s="260">
        <v>0</v>
      </c>
      <c r="O89" s="260">
        <v>0</v>
      </c>
      <c r="P89" s="260">
        <v>0</v>
      </c>
      <c r="Q89" s="260">
        <v>0</v>
      </c>
      <c r="R89" s="260">
        <v>0</v>
      </c>
      <c r="S89" s="260">
        <v>0</v>
      </c>
      <c r="T89" s="145"/>
      <c r="V89" s="162"/>
    </row>
    <row r="90" spans="1:28">
      <c r="A90" s="133" t="s">
        <v>1765</v>
      </c>
      <c r="C90" s="146">
        <f>SUM(ATVI!BX22:CA22)*-1</f>
        <v>-274</v>
      </c>
      <c r="D90" s="146">
        <f>SUM(ATVI!CB22:CE22)*-1</f>
        <v>-127</v>
      </c>
      <c r="E90" s="217">
        <f>SUM(ATVI!CF22:CI22)*-1</f>
        <v>-83</v>
      </c>
      <c r="F90" s="217">
        <f>SUM(ATVI!CJ22:CM22)*-1</f>
        <v>-35</v>
      </c>
      <c r="G90" s="154">
        <f>SUM(ATVI!CN22:CQ22)*-1</f>
        <v>-74</v>
      </c>
      <c r="H90" s="247">
        <f>SUM(ATVI!CR22:CU22)*-1</f>
        <v>-133.53299999999999</v>
      </c>
      <c r="I90" s="260">
        <v>0</v>
      </c>
      <c r="J90" s="260">
        <v>0</v>
      </c>
      <c r="K90" s="260">
        <v>0</v>
      </c>
      <c r="L90" s="260">
        <v>0</v>
      </c>
      <c r="M90" s="260">
        <v>0</v>
      </c>
      <c r="N90" s="260">
        <v>0</v>
      </c>
      <c r="O90" s="260">
        <v>0</v>
      </c>
      <c r="P90" s="260">
        <v>0</v>
      </c>
      <c r="Q90" s="260">
        <v>0</v>
      </c>
      <c r="R90" s="260">
        <v>0</v>
      </c>
      <c r="S90" s="260">
        <v>0</v>
      </c>
      <c r="T90" s="145"/>
      <c r="V90" s="162"/>
    </row>
    <row r="91" spans="1:28" ht="13.5">
      <c r="A91" s="133" t="s">
        <v>200</v>
      </c>
      <c r="C91" s="163">
        <f>C92-C84-SUM(C89:C90)</f>
        <v>8245.7999999999993</v>
      </c>
      <c r="D91" s="163">
        <f t="shared" ref="D91:H91" si="65">D92-D84-SUM(D89:D90)</f>
        <v>3749.5199999999968</v>
      </c>
      <c r="E91" s="163">
        <f t="shared" si="65"/>
        <v>1125.5699999999997</v>
      </c>
      <c r="F91" s="163">
        <f t="shared" si="65"/>
        <v>287.55999999999767</v>
      </c>
      <c r="G91" s="164">
        <f t="shared" si="65"/>
        <v>1695.4199999999983</v>
      </c>
      <c r="H91" s="258">
        <f t="shared" si="65"/>
        <v>803.63771175930924</v>
      </c>
      <c r="I91" s="261">
        <f t="shared" ref="I91:S91" si="66">+$H$91/($H$9-$G$9)*(I9-H9)</f>
        <v>389.05313181092077</v>
      </c>
      <c r="J91" s="261">
        <f t="shared" si="66"/>
        <v>415.82788332935547</v>
      </c>
      <c r="K91" s="261">
        <f t="shared" si="66"/>
        <v>444.44528116074235</v>
      </c>
      <c r="L91" s="261">
        <f t="shared" si="66"/>
        <v>475.03213676894495</v>
      </c>
      <c r="M91" s="261">
        <f t="shared" si="66"/>
        <v>507.72398882025027</v>
      </c>
      <c r="N91" s="261">
        <f t="shared" si="66"/>
        <v>542.66570379201733</v>
      </c>
      <c r="O91" s="261">
        <f t="shared" si="66"/>
        <v>580.01211791539481</v>
      </c>
      <c r="P91" s="261">
        <f t="shared" si="66"/>
        <v>619.92872329672093</v>
      </c>
      <c r="Q91" s="261">
        <f t="shared" si="66"/>
        <v>662.59240125800466</v>
      </c>
      <c r="R91" s="261">
        <f t="shared" si="66"/>
        <v>708.19220614611436</v>
      </c>
      <c r="S91" s="261">
        <f t="shared" si="66"/>
        <v>756.93020308394546</v>
      </c>
    </row>
    <row r="92" spans="1:28">
      <c r="A92" s="165" t="s">
        <v>1766</v>
      </c>
      <c r="B92" s="146"/>
      <c r="C92" s="147">
        <f>+SUM(C94:C95)</f>
        <v>31233</v>
      </c>
      <c r="D92" s="147">
        <f t="shared" ref="D92:H92" si="67">+SUM(D94:D95)</f>
        <v>32195</v>
      </c>
      <c r="E92" s="220">
        <f t="shared" si="67"/>
        <v>36968</v>
      </c>
      <c r="F92" s="220">
        <f t="shared" si="67"/>
        <v>43716</v>
      </c>
      <c r="G92" s="158">
        <f t="shared" si="67"/>
        <v>55026</v>
      </c>
      <c r="H92" s="255">
        <f t="shared" si="67"/>
        <v>62261.42037508863</v>
      </c>
      <c r="I92" s="147">
        <f>+I84+I91+I89+I86</f>
        <v>58810.110226919154</v>
      </c>
      <c r="J92" s="147">
        <f t="shared" ref="J92:S92" si="68">+J84+J91+J89+J86</f>
        <v>64178.012996757658</v>
      </c>
      <c r="K92" s="147">
        <f t="shared" si="68"/>
        <v>69972.120051784412</v>
      </c>
      <c r="L92" s="147">
        <f t="shared" si="68"/>
        <v>76225.670763076298</v>
      </c>
      <c r="M92" s="147">
        <f t="shared" si="68"/>
        <v>82974.460985558893</v>
      </c>
      <c r="N92" s="147">
        <f t="shared" si="68"/>
        <v>90257.037504545719</v>
      </c>
      <c r="O92" s="147">
        <f t="shared" si="68"/>
        <v>98114.907137910632</v>
      </c>
      <c r="P92" s="147">
        <f t="shared" si="68"/>
        <v>106592.76159015954</v>
      </c>
      <c r="Q92" s="147">
        <f t="shared" si="68"/>
        <v>115738.71923614506</v>
      </c>
      <c r="R92" s="147">
        <f t="shared" si="68"/>
        <v>125604.58509966929</v>
      </c>
      <c r="S92" s="147">
        <f t="shared" si="68"/>
        <v>136246.13038618575</v>
      </c>
      <c r="T92" s="166"/>
      <c r="U92" s="166"/>
      <c r="V92" s="166"/>
      <c r="W92" s="166"/>
      <c r="X92" s="166"/>
      <c r="Y92" s="166"/>
      <c r="Z92" s="166"/>
      <c r="AA92" s="166"/>
      <c r="AB92" s="166"/>
    </row>
    <row r="93" spans="1:28">
      <c r="C93" s="133"/>
      <c r="D93" s="133"/>
      <c r="E93" s="133"/>
      <c r="F93" s="133"/>
      <c r="G93" s="157"/>
      <c r="H93" s="253"/>
      <c r="I93" s="133"/>
      <c r="J93" s="133"/>
      <c r="K93" s="133"/>
      <c r="L93" s="133"/>
      <c r="M93" s="133"/>
      <c r="N93" s="133"/>
      <c r="O93" s="133"/>
      <c r="P93" s="133"/>
      <c r="Q93" s="133"/>
      <c r="R93" s="133"/>
      <c r="S93" s="133"/>
    </row>
    <row r="94" spans="1:28" hidden="1" outlineLevel="1">
      <c r="A94" s="134" t="s">
        <v>1767</v>
      </c>
      <c r="C94" s="146">
        <f>SUM(ATVI!BX206:CA206,ATVI!BX212:CA212)</f>
        <v>1926</v>
      </c>
      <c r="D94" s="146">
        <f>SUM(ATVI!CB206:CE206,ATVI!CB212:CE212)</f>
        <v>1911</v>
      </c>
      <c r="E94" s="217">
        <f>SUM(ATVI!CF206:CI206,ATVI!CF212:CI212)</f>
        <v>1683</v>
      </c>
      <c r="F94" s="217">
        <f>SUM(ATVI!CJ206:CM206,ATVI!CJ212:CM212)</f>
        <v>2041</v>
      </c>
      <c r="G94" s="154">
        <f>SUM(ATVI!CN206:CQ206,ATVI!CN212:CQ212)</f>
        <v>2486</v>
      </c>
      <c r="H94" s="247">
        <f>SUM(ATVI!CR206:CU206,ATVI!CR212:CU212)</f>
        <v>2426.4203750886313</v>
      </c>
      <c r="I94" s="147"/>
      <c r="J94" s="147"/>
      <c r="K94" s="147"/>
      <c r="L94" s="147"/>
      <c r="M94" s="147"/>
      <c r="N94" s="147"/>
      <c r="O94" s="147"/>
      <c r="P94" s="147"/>
      <c r="Q94" s="147"/>
      <c r="R94" s="147"/>
      <c r="S94" s="147"/>
    </row>
    <row r="95" spans="1:28" hidden="1" outlineLevel="1">
      <c r="A95" s="134" t="s">
        <v>1768</v>
      </c>
      <c r="C95" s="146">
        <f>+'Historical Financials'!BH125</f>
        <v>29307</v>
      </c>
      <c r="D95" s="146">
        <f>+'Historical Financials'!BI125</f>
        <v>30284</v>
      </c>
      <c r="E95" s="217">
        <f>+'Historical Financials'!BJ125</f>
        <v>35285</v>
      </c>
      <c r="F95" s="217">
        <f>+'Historical Financials'!BK125</f>
        <v>41675</v>
      </c>
      <c r="G95" s="154">
        <f>+'Historical Financials'!BL125</f>
        <v>52540</v>
      </c>
      <c r="H95" s="247">
        <f>+'Historical Financials'!BM125</f>
        <v>59835</v>
      </c>
      <c r="I95" s="147"/>
      <c r="J95" s="147"/>
      <c r="K95" s="147"/>
      <c r="L95" s="147"/>
      <c r="M95" s="147"/>
      <c r="N95" s="147"/>
      <c r="O95" s="147"/>
      <c r="P95" s="147"/>
      <c r="Q95" s="147"/>
      <c r="R95" s="147"/>
      <c r="S95" s="147"/>
    </row>
    <row r="96" spans="1:28" hidden="1" outlineLevel="1">
      <c r="C96" s="133"/>
      <c r="D96" s="133"/>
      <c r="E96" s="133"/>
      <c r="F96" s="133"/>
      <c r="G96" s="157"/>
      <c r="H96" s="253"/>
      <c r="I96" s="133"/>
      <c r="J96" s="133"/>
      <c r="K96" s="133"/>
      <c r="L96" s="133"/>
      <c r="M96" s="133"/>
      <c r="N96" s="133"/>
      <c r="O96" s="133"/>
      <c r="P96" s="133"/>
      <c r="Q96" s="133"/>
      <c r="R96" s="133"/>
      <c r="S96" s="133"/>
    </row>
    <row r="97" spans="1:23" collapsed="1">
      <c r="A97" s="134" t="s">
        <v>1769</v>
      </c>
      <c r="B97" s="145"/>
      <c r="C97" s="146"/>
      <c r="D97" s="146"/>
      <c r="E97" s="217"/>
      <c r="F97" s="217"/>
      <c r="G97" s="154"/>
      <c r="H97" s="247">
        <f>+'Historical Financials'!BM139+L125</f>
        <v>37759.579624911363</v>
      </c>
      <c r="I97" s="147">
        <f t="shared" ref="I97:S97" si="69">I98*I51</f>
        <v>0</v>
      </c>
      <c r="J97" s="147">
        <f t="shared" si="69"/>
        <v>0</v>
      </c>
      <c r="K97" s="147">
        <f t="shared" si="69"/>
        <v>0</v>
      </c>
      <c r="L97" s="147">
        <f t="shared" si="69"/>
        <v>0</v>
      </c>
      <c r="M97" s="147">
        <f t="shared" si="69"/>
        <v>0</v>
      </c>
      <c r="N97" s="147">
        <f t="shared" si="69"/>
        <v>0</v>
      </c>
      <c r="O97" s="147">
        <f t="shared" si="69"/>
        <v>0</v>
      </c>
      <c r="P97" s="147">
        <f t="shared" si="69"/>
        <v>0</v>
      </c>
      <c r="Q97" s="147">
        <f t="shared" si="69"/>
        <v>0</v>
      </c>
      <c r="R97" s="147">
        <f t="shared" si="69"/>
        <v>0</v>
      </c>
      <c r="S97" s="147">
        <f t="shared" si="69"/>
        <v>0</v>
      </c>
    </row>
    <row r="98" spans="1:23">
      <c r="A98" s="148" t="s">
        <v>149</v>
      </c>
      <c r="B98" s="140"/>
      <c r="C98" s="167"/>
      <c r="D98" s="167"/>
      <c r="E98" s="167"/>
      <c r="F98" s="167"/>
      <c r="G98" s="168"/>
      <c r="H98" s="259">
        <f>+H97/H51</f>
        <v>0.3742033486342275</v>
      </c>
      <c r="I98" s="169">
        <v>0</v>
      </c>
      <c r="J98" s="169">
        <f t="shared" ref="J98:S98" si="70">I98</f>
        <v>0</v>
      </c>
      <c r="K98" s="169">
        <f t="shared" si="70"/>
        <v>0</v>
      </c>
      <c r="L98" s="169">
        <f t="shared" si="70"/>
        <v>0</v>
      </c>
      <c r="M98" s="169">
        <f t="shared" si="70"/>
        <v>0</v>
      </c>
      <c r="N98" s="169">
        <f t="shared" si="70"/>
        <v>0</v>
      </c>
      <c r="O98" s="169">
        <f t="shared" si="70"/>
        <v>0</v>
      </c>
      <c r="P98" s="169">
        <f t="shared" si="70"/>
        <v>0</v>
      </c>
      <c r="Q98" s="169">
        <f t="shared" si="70"/>
        <v>0</v>
      </c>
      <c r="R98" s="169">
        <f t="shared" si="70"/>
        <v>0</v>
      </c>
      <c r="S98" s="169">
        <f t="shared" si="70"/>
        <v>0</v>
      </c>
    </row>
    <row r="99" spans="1:23">
      <c r="C99" s="133"/>
      <c r="D99" s="133"/>
      <c r="E99" s="133"/>
      <c r="F99" s="133"/>
      <c r="G99" s="157"/>
      <c r="H99" s="253"/>
      <c r="I99" s="133"/>
      <c r="J99" s="133"/>
      <c r="K99" s="133"/>
      <c r="L99" s="133"/>
      <c r="M99" s="133"/>
      <c r="N99" s="133"/>
      <c r="O99" s="133"/>
      <c r="P99" s="133"/>
      <c r="Q99" s="133"/>
      <c r="R99" s="133"/>
      <c r="S99" s="133"/>
    </row>
    <row r="100" spans="1:23">
      <c r="A100" s="170" t="s">
        <v>150</v>
      </c>
      <c r="B100" s="145"/>
      <c r="C100" s="147"/>
      <c r="D100" s="147"/>
      <c r="E100" s="220"/>
      <c r="F100" s="220"/>
      <c r="G100" s="158"/>
      <c r="H100" s="255"/>
      <c r="I100" s="147">
        <f t="shared" ref="I100:N100" si="71">+I92+(I97-H97)</f>
        <v>21050.530602007791</v>
      </c>
      <c r="J100" s="147">
        <f t="shared" si="71"/>
        <v>64178.012996757658</v>
      </c>
      <c r="K100" s="147">
        <f t="shared" si="71"/>
        <v>69972.120051784412</v>
      </c>
      <c r="L100" s="147">
        <f t="shared" si="71"/>
        <v>76225.670763076298</v>
      </c>
      <c r="M100" s="147">
        <f t="shared" si="71"/>
        <v>82974.460985558893</v>
      </c>
      <c r="N100" s="147">
        <f t="shared" si="71"/>
        <v>90257.037504545719</v>
      </c>
      <c r="O100" s="147">
        <f>+O92+(O97-N97)</f>
        <v>98114.907137910632</v>
      </c>
      <c r="P100" s="147">
        <f>+P92+(P97-O97)</f>
        <v>106592.76159015954</v>
      </c>
      <c r="Q100" s="147">
        <f>+Q92+(Q97-P97)</f>
        <v>115738.71923614506</v>
      </c>
      <c r="R100" s="147">
        <f>+R92+(R97-Q97)</f>
        <v>125604.58509966929</v>
      </c>
      <c r="S100" s="147">
        <f>+S92+(S97-R97)</f>
        <v>136246.13038618575</v>
      </c>
    </row>
    <row r="101" spans="1:23">
      <c r="A101" s="171" t="s">
        <v>151</v>
      </c>
      <c r="C101" s="149"/>
      <c r="D101" s="149"/>
      <c r="E101" s="149"/>
      <c r="F101" s="149"/>
      <c r="G101" s="155"/>
      <c r="H101" s="251"/>
      <c r="I101" s="149">
        <f t="shared" ref="I101:S101" si="72">+I100/$D$122</f>
        <v>6.6856689238592301E-3</v>
      </c>
      <c r="J101" s="149">
        <f t="shared" si="72"/>
        <v>2.0382999136683597E-2</v>
      </c>
      <c r="K101" s="149">
        <f t="shared" si="72"/>
        <v>2.2223213153693275E-2</v>
      </c>
      <c r="L101" s="149">
        <f t="shared" si="72"/>
        <v>2.4209346921279837E-2</v>
      </c>
      <c r="M101" s="149">
        <f t="shared" si="72"/>
        <v>2.6352769237665219E-2</v>
      </c>
      <c r="N101" s="149">
        <f t="shared" si="72"/>
        <v>2.8665722599229095E-2</v>
      </c>
      <c r="O101" s="149">
        <f t="shared" si="72"/>
        <v>3.1161389611561511E-2</v>
      </c>
      <c r="P101" s="149">
        <f t="shared" si="72"/>
        <v>3.3853964403334026E-2</v>
      </c>
      <c r="Q101" s="149">
        <f t="shared" si="72"/>
        <v>3.6758729417041849E-2</v>
      </c>
      <c r="R101" s="149">
        <f t="shared" si="72"/>
        <v>3.9892137978460078E-2</v>
      </c>
      <c r="S101" s="149">
        <f t="shared" si="72"/>
        <v>4.3271903076500785E-2</v>
      </c>
    </row>
    <row r="102" spans="1:23">
      <c r="C102" s="133"/>
      <c r="D102" s="133"/>
      <c r="E102" s="133"/>
      <c r="F102" s="133"/>
      <c r="G102" s="157"/>
      <c r="H102" s="253"/>
      <c r="I102" s="133"/>
      <c r="J102" s="133"/>
      <c r="K102" s="133"/>
      <c r="L102" s="133"/>
      <c r="M102" s="133"/>
      <c r="N102" s="133"/>
      <c r="O102" s="133"/>
      <c r="P102" s="133"/>
      <c r="Q102" s="133"/>
      <c r="R102" s="133"/>
      <c r="S102" s="133"/>
    </row>
    <row r="103" spans="1:23">
      <c r="A103" s="170" t="s">
        <v>152</v>
      </c>
      <c r="B103" s="145"/>
      <c r="C103" s="147"/>
      <c r="D103" s="147"/>
      <c r="E103" s="220"/>
      <c r="F103" s="220"/>
      <c r="G103" s="158"/>
      <c r="H103" s="255"/>
      <c r="I103" s="147">
        <f t="shared" ref="I103:N103" si="73">I100+H103</f>
        <v>21050.530602007791</v>
      </c>
      <c r="J103" s="147">
        <f t="shared" si="73"/>
        <v>85228.543598765449</v>
      </c>
      <c r="K103" s="147">
        <f t="shared" si="73"/>
        <v>155200.66365054986</v>
      </c>
      <c r="L103" s="147">
        <f t="shared" si="73"/>
        <v>231426.33441362617</v>
      </c>
      <c r="M103" s="147">
        <f t="shared" si="73"/>
        <v>314400.79539918504</v>
      </c>
      <c r="N103" s="147">
        <f t="shared" si="73"/>
        <v>404657.83290373074</v>
      </c>
      <c r="O103" s="147">
        <f>O100+N103</f>
        <v>502772.7400416414</v>
      </c>
      <c r="P103" s="147">
        <f>P100+O103</f>
        <v>609365.5016318009</v>
      </c>
      <c r="Q103" s="147">
        <f>Q100+P103</f>
        <v>725104.22086794593</v>
      </c>
      <c r="R103" s="147">
        <f>R100+Q103</f>
        <v>850708.80596761522</v>
      </c>
      <c r="S103" s="147">
        <f>S100+R103</f>
        <v>986954.93635380093</v>
      </c>
    </row>
    <row r="104" spans="1:23">
      <c r="A104" s="171" t="s">
        <v>151</v>
      </c>
      <c r="C104" s="149"/>
      <c r="D104" s="149"/>
      <c r="E104" s="149"/>
      <c r="F104" s="149"/>
      <c r="G104" s="155"/>
      <c r="H104" s="251"/>
      <c r="I104" s="149">
        <f t="shared" ref="I104:S104" si="74">I103/$D$122</f>
        <v>6.6856689238592301E-3</v>
      </c>
      <c r="J104" s="149">
        <f t="shared" si="74"/>
        <v>2.7068668060542828E-2</v>
      </c>
      <c r="K104" s="149">
        <f t="shared" si="74"/>
        <v>4.9291881214236104E-2</v>
      </c>
      <c r="L104" s="172">
        <f t="shared" si="74"/>
        <v>7.3501228135515947E-2</v>
      </c>
      <c r="M104" s="149">
        <f t="shared" si="74"/>
        <v>9.9853997373181153E-2</v>
      </c>
      <c r="N104" s="149">
        <f t="shared" si="74"/>
        <v>0.12851971997241024</v>
      </c>
      <c r="O104" s="149">
        <f t="shared" si="74"/>
        <v>0.15968110958397175</v>
      </c>
      <c r="P104" s="149">
        <f t="shared" si="74"/>
        <v>0.19353507398730577</v>
      </c>
      <c r="Q104" s="149">
        <f t="shared" si="74"/>
        <v>0.23029380340434763</v>
      </c>
      <c r="R104" s="149">
        <f t="shared" si="74"/>
        <v>0.27018594138280771</v>
      </c>
      <c r="S104" s="149">
        <f t="shared" si="74"/>
        <v>0.31345784445930847</v>
      </c>
    </row>
    <row r="105" spans="1:23">
      <c r="C105" s="133"/>
      <c r="D105" s="133"/>
      <c r="E105" s="133"/>
      <c r="F105" s="133"/>
      <c r="G105" s="157"/>
      <c r="H105" s="253"/>
      <c r="I105" s="133"/>
      <c r="J105" s="133"/>
      <c r="K105" s="133"/>
      <c r="L105" s="133"/>
      <c r="M105" s="133"/>
      <c r="N105" s="133"/>
      <c r="O105" s="133"/>
      <c r="P105" s="133"/>
      <c r="Q105" s="133"/>
      <c r="R105" s="133"/>
      <c r="S105" s="133"/>
    </row>
    <row r="106" spans="1:23">
      <c r="A106" s="133" t="s">
        <v>154</v>
      </c>
      <c r="B106" s="133"/>
      <c r="C106" s="175"/>
      <c r="D106" s="175"/>
      <c r="E106" s="175"/>
      <c r="F106" s="175"/>
      <c r="G106" s="176"/>
      <c r="H106" s="257">
        <f>+($D$124-H103)/(H9)</f>
        <v>15.440674746271513</v>
      </c>
      <c r="I106" s="175">
        <f>+($D$124-I103)/(I9)</f>
        <v>14.351025049272824</v>
      </c>
      <c r="J106" s="175">
        <f t="shared" ref="J106:S106" si="75">+($D$124-J103)/(J9)</f>
        <v>13.154739214735578</v>
      </c>
      <c r="K106" s="175">
        <f t="shared" si="75"/>
        <v>12.030014633231801</v>
      </c>
      <c r="L106" s="175">
        <f t="shared" si="75"/>
        <v>10.972370161661706</v>
      </c>
      <c r="M106" s="175">
        <f t="shared" si="75"/>
        <v>9.9776050406665071</v>
      </c>
      <c r="N106" s="175">
        <f t="shared" si="75"/>
        <v>9.0417813659367017</v>
      </c>
      <c r="O106" s="175">
        <f t="shared" si="75"/>
        <v>8.1612076543751186</v>
      </c>
      <c r="P106" s="175">
        <f t="shared" si="75"/>
        <v>7.3324234367944454</v>
      </c>
      <c r="Q106" s="175">
        <f t="shared" si="75"/>
        <v>6.5521848130879485</v>
      </c>
      <c r="R106" s="175">
        <f t="shared" si="75"/>
        <v>5.8174509098058307</v>
      </c>
      <c r="S106" s="175">
        <f t="shared" si="75"/>
        <v>5.1253711838146714</v>
      </c>
    </row>
    <row r="107" spans="1:23">
      <c r="A107" s="133" t="s">
        <v>155</v>
      </c>
      <c r="B107" s="133"/>
      <c r="C107" s="173">
        <f t="shared" ref="C107:S107" si="76">($D$122-C103)/C84</f>
        <v>158.60232115332306</v>
      </c>
      <c r="D107" s="173">
        <f t="shared" si="76"/>
        <v>128.94881044235521</v>
      </c>
      <c r="E107" s="173">
        <f t="shared" si="76"/>
        <v>101.32462606715553</v>
      </c>
      <c r="F107" s="173">
        <f t="shared" si="76"/>
        <v>82.806947503960714</v>
      </c>
      <c r="G107" s="174">
        <f t="shared" si="76"/>
        <v>67.049258106652573</v>
      </c>
      <c r="H107" s="257">
        <f>($D$122-H103)/H84</f>
        <v>58.593288042675447</v>
      </c>
      <c r="I107" s="175">
        <f>($D$122-I103)/I84</f>
        <v>53.534712052649105</v>
      </c>
      <c r="J107" s="175">
        <f t="shared" si="76"/>
        <v>48.043780980085771</v>
      </c>
      <c r="K107" s="175">
        <f t="shared" si="76"/>
        <v>43.05342219806554</v>
      </c>
      <c r="L107" s="175">
        <f t="shared" si="76"/>
        <v>38.510284777629188</v>
      </c>
      <c r="M107" s="175">
        <f t="shared" si="76"/>
        <v>34.367847059510801</v>
      </c>
      <c r="N107" s="175">
        <f t="shared" si="76"/>
        <v>30.585369010778908</v>
      </c>
      <c r="O107" s="175">
        <f t="shared" si="76"/>
        <v>27.12703242686576</v>
      </c>
      <c r="P107" s="175">
        <f t="shared" si="76"/>
        <v>23.961230719936776</v>
      </c>
      <c r="Q107" s="175">
        <f t="shared" si="76"/>
        <v>21.059978692273241</v>
      </c>
      <c r="R107" s="175">
        <f t="shared" si="76"/>
        <v>18.398419208082256</v>
      </c>
      <c r="S107" s="175">
        <f t="shared" si="76"/>
        <v>15.95440862242096</v>
      </c>
    </row>
    <row r="108" spans="1:23">
      <c r="A108" s="133" t="s">
        <v>156</v>
      </c>
      <c r="B108" s="133"/>
      <c r="C108" s="173"/>
      <c r="D108" s="173">
        <f t="shared" ref="D108:S108" si="77">($D$122-D103)/D79</f>
        <v>113.41223838792499</v>
      </c>
      <c r="E108" s="173">
        <f t="shared" si="77"/>
        <v>86.799572040139566</v>
      </c>
      <c r="F108" s="173">
        <f t="shared" si="77"/>
        <v>71.291149822123359</v>
      </c>
      <c r="G108" s="174">
        <f t="shared" si="77"/>
        <v>53.00540827365198</v>
      </c>
      <c r="H108" s="257">
        <f>($D$122-H103)/H79</f>
        <v>45.988395816329721</v>
      </c>
      <c r="I108" s="175">
        <f>($D$122-I103)/I79</f>
        <v>42.61478448899576</v>
      </c>
      <c r="J108" s="175">
        <f t="shared" si="77"/>
        <v>38.807577408101636</v>
      </c>
      <c r="K108" s="175">
        <f t="shared" si="77"/>
        <v>35.272307075235148</v>
      </c>
      <c r="L108" s="175">
        <f t="shared" si="77"/>
        <v>31.986077229397019</v>
      </c>
      <c r="M108" s="175">
        <f t="shared" si="77"/>
        <v>28.928272760275657</v>
      </c>
      <c r="N108" s="175">
        <f t="shared" si="77"/>
        <v>26.08028671160233</v>
      </c>
      <c r="O108" s="175">
        <f t="shared" si="77"/>
        <v>23.42528583500712</v>
      </c>
      <c r="P108" s="175">
        <f t="shared" si="77"/>
        <v>20.948008459203685</v>
      </c>
      <c r="Q108" s="175">
        <f t="shared" si="77"/>
        <v>18.634589566546083</v>
      </c>
      <c r="R108" s="175">
        <f t="shared" si="77"/>
        <v>16.472408872159736</v>
      </c>
      <c r="S108" s="175">
        <f t="shared" si="77"/>
        <v>14.449958428350335</v>
      </c>
    </row>
    <row r="109" spans="1:23" hidden="1" outlineLevel="1">
      <c r="A109" s="133" t="s">
        <v>1770</v>
      </c>
      <c r="C109" s="133"/>
      <c r="D109" s="175"/>
      <c r="E109" s="175"/>
      <c r="F109" s="175"/>
      <c r="G109" s="176"/>
      <c r="H109" s="257">
        <f>+$E$122/8.81</f>
        <v>47.843359818388194</v>
      </c>
      <c r="I109" s="175">
        <f>+$E$122/10.11</f>
        <v>41.691394658753708</v>
      </c>
      <c r="J109" s="175">
        <f>+$E$122/11.45</f>
        <v>36.812227074235807</v>
      </c>
      <c r="K109" s="175"/>
    </row>
    <row r="110" spans="1:23" collapsed="1">
      <c r="A110" s="134" t="s">
        <v>153</v>
      </c>
      <c r="C110" s="133"/>
      <c r="D110" s="133"/>
      <c r="E110" s="133"/>
      <c r="F110" s="133"/>
      <c r="G110" s="176">
        <f>+D122/SUM('Historical Financials'!Y125:AB125)</f>
        <v>56.381144238517322</v>
      </c>
      <c r="H110" s="267"/>
      <c r="I110" s="133"/>
      <c r="J110" s="133"/>
      <c r="K110" s="133"/>
      <c r="L110" s="133"/>
      <c r="M110" s="133"/>
      <c r="N110" s="133"/>
      <c r="O110" s="133"/>
      <c r="P110" s="133"/>
      <c r="Q110" s="133"/>
      <c r="R110" s="133"/>
      <c r="S110" s="133"/>
      <c r="W110" s="241"/>
    </row>
    <row r="111" spans="1:23">
      <c r="C111" s="133"/>
      <c r="D111" s="133"/>
      <c r="E111" s="133"/>
      <c r="F111" s="133"/>
      <c r="G111" s="133"/>
      <c r="H111" s="133"/>
      <c r="I111" s="133"/>
      <c r="J111" s="133"/>
      <c r="K111" s="133"/>
    </row>
    <row r="112" spans="1:23">
      <c r="A112" s="177" t="s">
        <v>157</v>
      </c>
      <c r="B112" s="226"/>
      <c r="C112" s="178"/>
      <c r="D112" s="133"/>
      <c r="E112" s="133"/>
      <c r="F112" s="133"/>
      <c r="G112" s="133"/>
      <c r="H112" s="133"/>
      <c r="I112" s="133"/>
      <c r="J112" s="133"/>
      <c r="K112" s="133"/>
    </row>
    <row r="113" spans="1:19">
      <c r="C113" s="133"/>
      <c r="D113" s="133"/>
      <c r="E113" s="133"/>
      <c r="F113" s="133"/>
      <c r="G113" s="133"/>
      <c r="H113" s="133"/>
      <c r="I113" s="133"/>
      <c r="J113" s="133"/>
      <c r="K113" s="133"/>
    </row>
    <row r="114" spans="1:19">
      <c r="A114" s="179" t="s">
        <v>158</v>
      </c>
      <c r="C114" s="133"/>
      <c r="D114" s="133"/>
      <c r="E114" s="133"/>
      <c r="F114" s="133"/>
      <c r="G114" s="133"/>
      <c r="H114" s="133"/>
      <c r="I114" s="133"/>
      <c r="J114" s="133"/>
      <c r="K114" s="133"/>
      <c r="L114" s="133"/>
      <c r="M114" s="133"/>
    </row>
    <row r="115" spans="1:19" ht="13.5">
      <c r="A115" s="134" t="s">
        <v>159</v>
      </c>
      <c r="C115" s="133"/>
      <c r="D115" s="133"/>
      <c r="E115" s="133"/>
      <c r="F115" s="133"/>
      <c r="G115" s="133"/>
      <c r="H115" s="133"/>
      <c r="I115" s="133"/>
      <c r="J115" s="133"/>
      <c r="K115" s="133"/>
      <c r="L115" s="133"/>
      <c r="M115" s="133"/>
      <c r="N115" s="133"/>
      <c r="O115" s="133"/>
      <c r="P115" s="133"/>
      <c r="Q115" s="133"/>
      <c r="R115" s="265">
        <v>15</v>
      </c>
      <c r="S115" s="180"/>
    </row>
    <row r="116" spans="1:19">
      <c r="A116" s="170" t="s">
        <v>160</v>
      </c>
      <c r="C116" s="147"/>
      <c r="D116" s="147"/>
      <c r="E116" s="147"/>
      <c r="F116" s="147"/>
      <c r="G116" s="147"/>
      <c r="H116" s="147"/>
      <c r="I116" s="147"/>
      <c r="J116" s="147"/>
      <c r="K116" s="147"/>
      <c r="L116" s="147"/>
      <c r="M116" s="147"/>
      <c r="N116" s="147"/>
      <c r="O116" s="147"/>
      <c r="P116" s="147"/>
      <c r="Q116" s="147"/>
      <c r="R116" s="147">
        <f>+R115*S84</f>
        <v>2032338.0027465271</v>
      </c>
      <c r="S116" s="147"/>
    </row>
    <row r="117" spans="1:19">
      <c r="A117" s="170" t="s">
        <v>161</v>
      </c>
      <c r="C117" s="147"/>
      <c r="D117" s="147"/>
      <c r="E117" s="147"/>
      <c r="F117" s="147"/>
      <c r="G117" s="147"/>
      <c r="H117" s="147">
        <f>-$D$122+H103</f>
        <v>-3148605</v>
      </c>
      <c r="I117" s="147">
        <f t="shared" ref="I117:R117" si="78">+I100+I116</f>
        <v>21050.530602007791</v>
      </c>
      <c r="J117" s="147">
        <f t="shared" si="78"/>
        <v>64178.012996757658</v>
      </c>
      <c r="K117" s="147">
        <f t="shared" si="78"/>
        <v>69972.120051784412</v>
      </c>
      <c r="L117" s="147">
        <f t="shared" si="78"/>
        <v>76225.670763076298</v>
      </c>
      <c r="M117" s="147">
        <f t="shared" si="78"/>
        <v>82974.460985558893</v>
      </c>
      <c r="N117" s="147">
        <f t="shared" si="78"/>
        <v>90257.037504545719</v>
      </c>
      <c r="O117" s="147">
        <f t="shared" si="78"/>
        <v>98114.907137910632</v>
      </c>
      <c r="P117" s="147">
        <f t="shared" si="78"/>
        <v>106592.76159015954</v>
      </c>
      <c r="Q117" s="147">
        <f t="shared" si="78"/>
        <v>115738.71923614506</v>
      </c>
      <c r="R117" s="147">
        <f t="shared" si="78"/>
        <v>2157942.5878461963</v>
      </c>
      <c r="S117" s="147"/>
    </row>
    <row r="118" spans="1:19">
      <c r="A118" s="181" t="s">
        <v>162</v>
      </c>
      <c r="B118" s="182"/>
      <c r="C118" s="183"/>
      <c r="D118" s="183"/>
      <c r="E118" s="183"/>
      <c r="F118" s="183"/>
      <c r="G118" s="183"/>
      <c r="H118" s="184">
        <f ca="1">XIRR(H117:R117,H3:R3)</f>
        <v>-1.4357432723045353E-2</v>
      </c>
      <c r="I118" s="185"/>
      <c r="J118" s="186"/>
      <c r="K118" s="186"/>
      <c r="L118" s="186"/>
      <c r="M118" s="186"/>
      <c r="N118" s="186"/>
      <c r="O118" s="186"/>
      <c r="P118" s="186"/>
      <c r="Q118" s="186"/>
      <c r="R118" s="186"/>
      <c r="S118" s="186"/>
    </row>
    <row r="120" spans="1:19">
      <c r="A120" s="187" t="s">
        <v>163</v>
      </c>
      <c r="B120" s="188"/>
      <c r="C120" s="189"/>
      <c r="D120" s="189"/>
      <c r="E120" s="190"/>
      <c r="F120" s="133"/>
      <c r="I120" s="133"/>
      <c r="J120" s="785" t="s">
        <v>1771</v>
      </c>
      <c r="K120" s="133"/>
    </row>
    <row r="121" spans="1:19">
      <c r="D121" s="191" t="s">
        <v>164</v>
      </c>
      <c r="E121" s="191" t="s">
        <v>165</v>
      </c>
      <c r="F121" s="133"/>
      <c r="I121" s="133"/>
      <c r="J121" s="133" t="s">
        <v>168</v>
      </c>
      <c r="L121" s="147">
        <v>783</v>
      </c>
    </row>
    <row r="122" spans="1:19" ht="13.5">
      <c r="A122" s="134" t="s">
        <v>166</v>
      </c>
      <c r="D122" s="192">
        <f>+E122*E125</f>
        <v>3148605</v>
      </c>
      <c r="E122" s="266">
        <f>Base!E100</f>
        <v>421.5</v>
      </c>
      <c r="F122" s="133"/>
      <c r="I122" s="133"/>
      <c r="J122" s="133" t="s">
        <v>1772</v>
      </c>
      <c r="L122" s="786">
        <v>95</v>
      </c>
    </row>
    <row r="123" spans="1:19" ht="13.5">
      <c r="A123" s="134" t="s">
        <v>148</v>
      </c>
      <c r="D123" s="193">
        <f>+'Historical Financials'!AE139+L125</f>
        <v>37759.579624911363</v>
      </c>
      <c r="E123" s="194">
        <f>+D123/E125</f>
        <v>5.0548299364004503</v>
      </c>
      <c r="F123" s="138" t="s">
        <v>1773</v>
      </c>
      <c r="I123" s="133"/>
      <c r="J123" s="170" t="s">
        <v>1774</v>
      </c>
      <c r="L123" s="147">
        <f>L122*L121</f>
        <v>74385</v>
      </c>
    </row>
    <row r="124" spans="1:19" ht="13.5">
      <c r="A124" s="195" t="s">
        <v>167</v>
      </c>
      <c r="B124" s="196"/>
      <c r="D124" s="192">
        <f>+D123+D122</f>
        <v>3186364.5796249113</v>
      </c>
      <c r="E124" s="197">
        <f>+D124/E125</f>
        <v>426.55482993640044</v>
      </c>
      <c r="F124" s="133"/>
      <c r="J124" s="133" t="s">
        <v>1775</v>
      </c>
      <c r="L124" s="213">
        <f>ATVI!CU105*-1+ATVI!CU131</f>
        <v>-8040.42037508863</v>
      </c>
      <c r="M124" s="213"/>
      <c r="N124" s="213"/>
      <c r="O124" s="213"/>
    </row>
    <row r="125" spans="1:19">
      <c r="A125" s="148" t="s">
        <v>168</v>
      </c>
      <c r="D125" s="133"/>
      <c r="E125" s="205">
        <f>+Base!E103</f>
        <v>7470</v>
      </c>
      <c r="F125" s="133"/>
      <c r="I125" s="133"/>
      <c r="J125" s="170" t="s">
        <v>1776</v>
      </c>
      <c r="K125" s="147"/>
      <c r="L125" s="787">
        <f>L123+L124</f>
        <v>66344.579624911363</v>
      </c>
    </row>
    <row r="127" spans="1:19">
      <c r="C127" s="198"/>
      <c r="D127" s="198"/>
      <c r="E127" s="198"/>
      <c r="H127" s="198">
        <f ca="1">H118</f>
        <v>-1.4357432723045353E-2</v>
      </c>
    </row>
    <row r="130" spans="1:11">
      <c r="A130" s="134" t="s">
        <v>187</v>
      </c>
      <c r="C130" s="199">
        <f>+$E$122/C107</f>
        <v>2.657590361445783</v>
      </c>
      <c r="D130" s="199">
        <f t="shared" ref="D130:K130" si="79">+$E$122/D108</f>
        <v>3.7165301204819281</v>
      </c>
      <c r="E130" s="199">
        <f t="shared" si="79"/>
        <v>4.8560147255689428</v>
      </c>
      <c r="F130" s="199">
        <f t="shared" si="79"/>
        <v>5.9123748326639891</v>
      </c>
      <c r="G130" s="199">
        <f t="shared" si="79"/>
        <v>7.9520187416331991</v>
      </c>
      <c r="H130" s="199">
        <f t="shared" si="79"/>
        <v>9.1653555754239271</v>
      </c>
      <c r="I130" s="199">
        <f t="shared" si="79"/>
        <v>9.8909335117919515</v>
      </c>
      <c r="J130" s="199">
        <f t="shared" si="79"/>
        <v>10.861280918607557</v>
      </c>
      <c r="K130" s="199">
        <f t="shared" si="79"/>
        <v>11.949884624812</v>
      </c>
    </row>
    <row r="131" spans="1:11">
      <c r="A131" s="134" t="s">
        <v>188</v>
      </c>
      <c r="C131" s="199"/>
      <c r="D131" s="199">
        <f t="shared" ref="D131:F131" si="80">AVERAGE(D130:E130)</f>
        <v>4.2862724230254354</v>
      </c>
      <c r="E131" s="199">
        <f t="shared" si="80"/>
        <v>5.3841947791164664</v>
      </c>
      <c r="F131" s="199">
        <f t="shared" si="80"/>
        <v>6.9321967871485946</v>
      </c>
      <c r="G131" s="199">
        <f>AVERAGE(G130:H130)</f>
        <v>8.5586871585285635</v>
      </c>
      <c r="H131" s="199">
        <f>AVERAGE(H130:I130)</f>
        <v>9.5281445436079402</v>
      </c>
      <c r="I131" s="199">
        <f>AVERAGE(I130:J130)</f>
        <v>10.376107215199754</v>
      </c>
      <c r="J131" s="199">
        <f t="shared" ref="J131" si="81">AVERAGE(J130:K130)</f>
        <v>11.405582771709778</v>
      </c>
      <c r="K131" s="199"/>
    </row>
    <row r="132" spans="1:11">
      <c r="C132" s="200"/>
    </row>
    <row r="133" spans="1:11">
      <c r="F133" s="241"/>
    </row>
    <row r="136" spans="1:11">
      <c r="G136" s="241"/>
    </row>
  </sheetData>
  <printOptions horizontalCentered="1"/>
  <pageMargins left="0.3" right="0.3" top="0.3" bottom="0.3" header="0.3" footer="0.3"/>
  <pageSetup scale="50" fitToHeight="0" orientation="portrait" r:id="rId1"/>
  <rowBreaks count="1" manualBreakCount="1">
    <brk id="125" max="18"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B2:L98"/>
  <sheetViews>
    <sheetView view="pageBreakPreview" zoomScaleNormal="100" zoomScaleSheetLayoutView="100" workbookViewId="0">
      <pane xSplit="3" ySplit="5" topLeftCell="D6" activePane="bottomRight" state="frozen"/>
      <selection pane="bottomRight" activeCell="D6" sqref="D6"/>
      <selection pane="bottomLeft" activeCell="H25" sqref="H25"/>
      <selection pane="topRight" activeCell="H25" sqref="H25"/>
    </sheetView>
  </sheetViews>
  <sheetFormatPr defaultRowHeight="9.9499999999999993"/>
  <cols>
    <col min="1" max="1" width="2.83203125" customWidth="1"/>
    <col min="2" max="2" width="35.83203125" customWidth="1"/>
    <col min="3" max="3" width="2.83203125" customWidth="1"/>
    <col min="12" max="12" width="170.83203125" customWidth="1"/>
  </cols>
  <sheetData>
    <row r="2" spans="2:12" s="1" customFormat="1" ht="10.5">
      <c r="B2" s="1" t="s">
        <v>60</v>
      </c>
      <c r="L2" s="53">
        <f ca="1">+TODAY()</f>
        <v>45797</v>
      </c>
    </row>
    <row r="3" spans="2:12" s="2" customFormat="1" ht="10.5">
      <c r="B3" s="2" t="s">
        <v>1777</v>
      </c>
    </row>
    <row r="4" spans="2:12">
      <c r="B4" s="3" t="s">
        <v>63</v>
      </c>
    </row>
    <row r="5" spans="2:12" ht="13.5">
      <c r="D5" s="6" t="s">
        <v>253</v>
      </c>
      <c r="E5" s="6" t="s">
        <v>254</v>
      </c>
      <c r="F5" s="6" t="s">
        <v>255</v>
      </c>
      <c r="G5" s="6" t="s">
        <v>256</v>
      </c>
      <c r="H5" s="6" t="s">
        <v>257</v>
      </c>
      <c r="I5" s="6" t="s">
        <v>258</v>
      </c>
      <c r="J5" s="6" t="s">
        <v>259</v>
      </c>
      <c r="L5" s="95" t="s">
        <v>1778</v>
      </c>
    </row>
    <row r="7" spans="2:12">
      <c r="B7" t="s">
        <v>492</v>
      </c>
      <c r="D7" s="8">
        <f>+E7/(1+E8)</f>
        <v>14216.236438458662</v>
      </c>
      <c r="E7" s="8">
        <f>+F7/(1+F8)</f>
        <v>12794.612794612796</v>
      </c>
      <c r="F7" s="8">
        <f>+G9/G8</f>
        <v>12666.666666666668</v>
      </c>
      <c r="G7" s="8">
        <f>+F7*(1+G8)</f>
        <v>10766.666666666668</v>
      </c>
      <c r="H7" s="8">
        <f>+G7*(1+H8)</f>
        <v>10659.000000000002</v>
      </c>
      <c r="I7" s="8">
        <f>+H7*(1+I8)</f>
        <v>10978.770000000002</v>
      </c>
      <c r="J7" s="8">
        <f>+I7*(1+J8)</f>
        <v>11527.708500000002</v>
      </c>
    </row>
    <row r="8" spans="2:12" s="3" customFormat="1">
      <c r="B8" s="13" t="s">
        <v>1429</v>
      </c>
      <c r="E8" s="22">
        <v>-0.1</v>
      </c>
      <c r="F8" s="22">
        <v>-0.01</v>
      </c>
      <c r="G8" s="22">
        <v>-0.15</v>
      </c>
      <c r="H8" s="22">
        <v>-0.01</v>
      </c>
      <c r="I8" s="22">
        <v>0.03</v>
      </c>
      <c r="J8" s="22">
        <v>0.05</v>
      </c>
      <c r="L8" t="s">
        <v>1779</v>
      </c>
    </row>
    <row r="9" spans="2:12">
      <c r="B9" s="13" t="s">
        <v>1780</v>
      </c>
      <c r="E9" s="92">
        <f>+E7-D7</f>
        <v>-1421.6236438458654</v>
      </c>
      <c r="F9" s="40">
        <v>-136</v>
      </c>
      <c r="G9" s="40">
        <v>-1900</v>
      </c>
      <c r="H9" s="92">
        <f>+H7-G7</f>
        <v>-107.66666666666606</v>
      </c>
      <c r="I9" s="92">
        <f>+I7-H7</f>
        <v>319.77000000000044</v>
      </c>
      <c r="J9" s="92">
        <f>+J7-I7</f>
        <v>548.9385000000002</v>
      </c>
    </row>
    <row r="10" spans="2:12">
      <c r="B10" s="13" t="s">
        <v>1781</v>
      </c>
      <c r="D10" s="23">
        <f t="shared" ref="D10:J10" si="0">+D7/D93</f>
        <v>0.19143094728813354</v>
      </c>
      <c r="E10" s="23">
        <f t="shared" si="0"/>
        <v>0.16549965456302365</v>
      </c>
      <c r="F10" s="23">
        <f t="shared" si="0"/>
        <v>0.14587388051393674</v>
      </c>
      <c r="G10" s="23">
        <f t="shared" si="0"/>
        <v>0.11505307401866496</v>
      </c>
      <c r="H10" s="23">
        <f t="shared" si="0"/>
        <v>0.11693397985826186</v>
      </c>
      <c r="I10" s="23">
        <f t="shared" si="0"/>
        <v>0.11368599268931669</v>
      </c>
      <c r="J10" s="23">
        <f t="shared" si="0"/>
        <v>0.10445549565059807</v>
      </c>
    </row>
    <row r="12" spans="2:12">
      <c r="B12" s="24" t="s">
        <v>127</v>
      </c>
    </row>
    <row r="13" spans="2:12">
      <c r="B13" s="17" t="s">
        <v>1782</v>
      </c>
      <c r="D13" s="29">
        <v>365.97740877593503</v>
      </c>
      <c r="E13" s="29">
        <v>327.77787757205283</v>
      </c>
      <c r="F13" s="29">
        <v>311.05719850000003</v>
      </c>
      <c r="G13" s="29">
        <v>293.76033121181308</v>
      </c>
      <c r="H13" s="29">
        <v>264.55775841420387</v>
      </c>
      <c r="I13" s="29">
        <v>255.27140371077772</v>
      </c>
      <c r="J13" s="29">
        <v>255.46654055257827</v>
      </c>
    </row>
    <row r="14" spans="2:12">
      <c r="B14" s="19" t="s">
        <v>1429</v>
      </c>
      <c r="E14" s="23">
        <f t="shared" ref="E14:J14" si="1">+E13/D13-1</f>
        <v>-0.10437674645450412</v>
      </c>
      <c r="F14" s="23">
        <f t="shared" si="1"/>
        <v>-5.101222570573638E-2</v>
      </c>
      <c r="G14" s="23">
        <f t="shared" si="1"/>
        <v>-5.5606709542801114E-2</v>
      </c>
      <c r="H14" s="23">
        <f t="shared" si="1"/>
        <v>-9.9409517538135428E-2</v>
      </c>
      <c r="I14" s="23">
        <f t="shared" si="1"/>
        <v>-3.5101426467663899E-2</v>
      </c>
      <c r="J14" s="23">
        <f t="shared" si="1"/>
        <v>7.644289135559923E-4</v>
      </c>
    </row>
    <row r="15" spans="2:12">
      <c r="B15" s="24"/>
    </row>
    <row r="16" spans="2:12">
      <c r="B16" t="s">
        <v>1292</v>
      </c>
      <c r="D16" s="8" t="e">
        <f>+'Historical Financials'!#REF!</f>
        <v>#REF!</v>
      </c>
      <c r="E16" s="8" t="e">
        <f>+'Historical Financials'!#REF!</f>
        <v>#REF!</v>
      </c>
      <c r="F16" s="8" t="e">
        <f>+'Historical Financials'!#REF!</f>
        <v>#REF!</v>
      </c>
      <c r="G16" s="8" t="e">
        <f>+'Historical Financials'!#REF!</f>
        <v>#REF!</v>
      </c>
      <c r="H16" s="8" t="e">
        <f>+G16+H18</f>
        <v>#REF!</v>
      </c>
      <c r="I16" s="8">
        <f>+J16-J18</f>
        <v>525</v>
      </c>
      <c r="J16" s="40">
        <v>0</v>
      </c>
    </row>
    <row r="17" spans="2:12">
      <c r="B17" s="13" t="s">
        <v>1429</v>
      </c>
      <c r="E17" s="23" t="e">
        <f>+E16/D16-1</f>
        <v>#REF!</v>
      </c>
      <c r="F17" s="23" t="e">
        <f t="shared" ref="F17:J17" si="2">+F16/E16-1</f>
        <v>#REF!</v>
      </c>
      <c r="G17" s="23" t="e">
        <f t="shared" si="2"/>
        <v>#REF!</v>
      </c>
      <c r="H17" s="23" t="e">
        <f t="shared" si="2"/>
        <v>#REF!</v>
      </c>
      <c r="I17" s="23" t="e">
        <f t="shared" si="2"/>
        <v>#REF!</v>
      </c>
      <c r="J17" s="23">
        <f t="shared" si="2"/>
        <v>-1</v>
      </c>
      <c r="L17" t="s">
        <v>1783</v>
      </c>
    </row>
    <row r="18" spans="2:12">
      <c r="B18" s="13" t="s">
        <v>1780</v>
      </c>
      <c r="E18" s="92" t="e">
        <f>+E16-D16</f>
        <v>#REF!</v>
      </c>
      <c r="F18" s="92" t="e">
        <f t="shared" ref="F18:G18" si="3">+F16-E16</f>
        <v>#REF!</v>
      </c>
      <c r="G18" s="92" t="e">
        <f t="shared" si="3"/>
        <v>#REF!</v>
      </c>
      <c r="H18" s="40">
        <v>-4200</v>
      </c>
      <c r="I18" s="92" t="e">
        <f>+I16-H16</f>
        <v>#REF!</v>
      </c>
      <c r="J18" s="40">
        <v>-525</v>
      </c>
    </row>
    <row r="19" spans="2:12">
      <c r="B19" s="13" t="s">
        <v>1781</v>
      </c>
      <c r="D19" s="23" t="e">
        <f t="shared" ref="D19:J19" si="4">+D16/D93</f>
        <v>#REF!</v>
      </c>
      <c r="E19" s="23" t="e">
        <f t="shared" si="4"/>
        <v>#REF!</v>
      </c>
      <c r="F19" s="23" t="e">
        <f t="shared" si="4"/>
        <v>#REF!</v>
      </c>
      <c r="G19" s="23" t="e">
        <f t="shared" si="4"/>
        <v>#REF!</v>
      </c>
      <c r="H19" s="23" t="e">
        <f t="shared" si="4"/>
        <v>#REF!</v>
      </c>
      <c r="I19" s="23">
        <f t="shared" si="4"/>
        <v>5.4364146586449351E-3</v>
      </c>
      <c r="J19" s="23">
        <f t="shared" si="4"/>
        <v>0</v>
      </c>
    </row>
    <row r="20" spans="2:12">
      <c r="B20" s="13"/>
    </row>
    <row r="21" spans="2:12">
      <c r="B21" t="s">
        <v>388</v>
      </c>
      <c r="D21" s="8">
        <f>+'Historical Financials'!AZ488</f>
        <v>0</v>
      </c>
      <c r="E21" s="8">
        <f>+'Historical Financials'!BA488</f>
        <v>0</v>
      </c>
      <c r="F21" s="8">
        <f>+'Historical Financials'!BB488</f>
        <v>0</v>
      </c>
      <c r="G21" s="8">
        <f>+'Historical Financials'!BC488</f>
        <v>0</v>
      </c>
      <c r="H21" s="8">
        <f>+'Historical Financials'!BD488</f>
        <v>0</v>
      </c>
      <c r="I21" s="8">
        <f>+'Historical Financials'!BH488</f>
        <v>2271</v>
      </c>
      <c r="J21" s="8">
        <f>+'Historical Financials'!BI488</f>
        <v>5259</v>
      </c>
      <c r="L21" t="s">
        <v>1784</v>
      </c>
    </row>
    <row r="22" spans="2:12">
      <c r="B22" s="13" t="s">
        <v>1429</v>
      </c>
      <c r="E22" s="23" t="e">
        <f>+E21/D21-1</f>
        <v>#DIV/0!</v>
      </c>
      <c r="F22" s="23" t="e">
        <f t="shared" ref="F22" si="5">+F21/E21-1</f>
        <v>#DIV/0!</v>
      </c>
      <c r="G22" s="23" t="e">
        <f t="shared" ref="G22" si="6">+G21/F21-1</f>
        <v>#DIV/0!</v>
      </c>
      <c r="H22" s="23" t="e">
        <f t="shared" ref="H22" si="7">+H21/G21-1</f>
        <v>#DIV/0!</v>
      </c>
      <c r="I22" s="23" t="e">
        <f t="shared" ref="I22" si="8">+I21/H21-1</f>
        <v>#DIV/0!</v>
      </c>
      <c r="J22" s="23">
        <f t="shared" ref="J22" si="9">+J21/I21-1</f>
        <v>1.3157199471598413</v>
      </c>
    </row>
    <row r="23" spans="2:12">
      <c r="B23" s="13" t="s">
        <v>1780</v>
      </c>
      <c r="E23" s="92">
        <f>+E21-D21</f>
        <v>0</v>
      </c>
      <c r="F23" s="92">
        <f t="shared" ref="F23:J23" si="10">+F21-E21</f>
        <v>0</v>
      </c>
      <c r="G23" s="92">
        <f t="shared" si="10"/>
        <v>0</v>
      </c>
      <c r="H23" s="92">
        <f t="shared" si="10"/>
        <v>0</v>
      </c>
      <c r="I23" s="92">
        <f t="shared" si="10"/>
        <v>2271</v>
      </c>
      <c r="J23" s="92">
        <f t="shared" si="10"/>
        <v>2988</v>
      </c>
    </row>
    <row r="24" spans="2:12">
      <c r="B24" s="13" t="s">
        <v>1781</v>
      </c>
      <c r="D24" s="23">
        <f t="shared" ref="D24:J24" si="11">+D21/D93</f>
        <v>0</v>
      </c>
      <c r="E24" s="23">
        <f t="shared" si="11"/>
        <v>0</v>
      </c>
      <c r="F24" s="23">
        <f t="shared" si="11"/>
        <v>0</v>
      </c>
      <c r="G24" s="23">
        <f t="shared" si="11"/>
        <v>0</v>
      </c>
      <c r="H24" s="23">
        <f t="shared" si="11"/>
        <v>0</v>
      </c>
      <c r="I24" s="23">
        <f t="shared" si="11"/>
        <v>2.3516376551966946E-2</v>
      </c>
      <c r="J24" s="23">
        <f t="shared" si="11"/>
        <v>4.7653135193910838E-2</v>
      </c>
    </row>
    <row r="25" spans="2:12">
      <c r="B25" s="13"/>
    </row>
    <row r="26" spans="2:12">
      <c r="B26" s="12" t="s">
        <v>1785</v>
      </c>
      <c r="D26" s="8">
        <f>+E26/(1+E27)</f>
        <v>4126.5894566948027</v>
      </c>
      <c r="E26" s="8">
        <f>+F26/(1+F27)</f>
        <v>3507.6010381905826</v>
      </c>
      <c r="F26" s="8">
        <f>+G28/G27</f>
        <v>3262.0689655172414</v>
      </c>
      <c r="G26" s="8">
        <f>+F26*(1+G27)</f>
        <v>2316.0689655172414</v>
      </c>
      <c r="H26" s="8">
        <f>+H34-H30</f>
        <v>1747.2689655172414</v>
      </c>
      <c r="I26" s="8">
        <f t="shared" ref="I26:J26" si="12">+I34-I30</f>
        <v>1604.2428080369266</v>
      </c>
      <c r="J26" s="8">
        <f t="shared" si="12"/>
        <v>1563.9563721314148</v>
      </c>
    </row>
    <row r="27" spans="2:12">
      <c r="B27" s="15" t="s">
        <v>1429</v>
      </c>
      <c r="E27" s="22">
        <v>-0.15</v>
      </c>
      <c r="F27" s="22">
        <v>-7.0000000000000007E-2</v>
      </c>
      <c r="G27" s="22">
        <v>-0.28999999999999998</v>
      </c>
      <c r="H27" s="23">
        <f t="shared" ref="H27" si="13">+H26/G26-1</f>
        <v>-0.24558854182175505</v>
      </c>
      <c r="I27" s="23">
        <f t="shared" ref="I27" si="14">+I26/H26-1</f>
        <v>-8.1856978120123047E-2</v>
      </c>
      <c r="J27" s="23">
        <f t="shared" ref="J27" si="15">+J26/I26-1</f>
        <v>-2.5112430427417287E-2</v>
      </c>
    </row>
    <row r="28" spans="2:12">
      <c r="B28" s="15" t="s">
        <v>1780</v>
      </c>
      <c r="E28" s="40">
        <v>-618</v>
      </c>
      <c r="F28" s="40">
        <v>-249</v>
      </c>
      <c r="G28" s="40">
        <v>-946</v>
      </c>
      <c r="H28" s="8">
        <f>+H26-G26</f>
        <v>-568.79999999999995</v>
      </c>
      <c r="I28" s="8">
        <f t="shared" ref="I28:J28" si="16">+I26-H26</f>
        <v>-143.02615748031485</v>
      </c>
      <c r="J28" s="8">
        <f t="shared" si="16"/>
        <v>-40.28643590551178</v>
      </c>
    </row>
    <row r="29" spans="2:12">
      <c r="B29" s="15" t="s">
        <v>1781</v>
      </c>
      <c r="D29" s="23">
        <f>+D26/D93</f>
        <v>5.5567233436500045E-2</v>
      </c>
      <c r="E29" s="23">
        <f>+E26/E93</f>
        <v>4.5371186255036056E-2</v>
      </c>
      <c r="F29" s="23">
        <f>+F26/F93</f>
        <v>3.7567157250322357E-2</v>
      </c>
      <c r="G29" s="23">
        <f>+G26/G93</f>
        <v>2.4749614933930769E-2</v>
      </c>
      <c r="H29" s="23">
        <f t="shared" ref="H29:J29" si="17">+H26/H93</f>
        <v>1.9168319168848778E-2</v>
      </c>
      <c r="I29" s="23">
        <f t="shared" si="17"/>
        <v>1.6612055462166972E-2</v>
      </c>
      <c r="J29" s="23">
        <f t="shared" si="17"/>
        <v>1.4171406054108507E-2</v>
      </c>
    </row>
    <row r="30" spans="2:12">
      <c r="B30" s="12" t="s">
        <v>1240</v>
      </c>
      <c r="D30" s="61">
        <v>10</v>
      </c>
      <c r="E30" s="61">
        <v>75</v>
      </c>
      <c r="F30" s="8">
        <f>+E30+F32</f>
        <v>391</v>
      </c>
      <c r="G30" s="8">
        <f>+F30+G32</f>
        <v>714</v>
      </c>
      <c r="H30" s="8">
        <f>+G30*(1+H31)</f>
        <v>1213.8</v>
      </c>
      <c r="I30" s="8">
        <f t="shared" ref="I30:J30" si="18">+H30*(1+I31)</f>
        <v>1707.8261574803148</v>
      </c>
      <c r="J30" s="8">
        <f t="shared" si="18"/>
        <v>2130.1125933858266</v>
      </c>
    </row>
    <row r="31" spans="2:12">
      <c r="B31" s="15" t="s">
        <v>1429</v>
      </c>
      <c r="E31" s="23">
        <f>+E30/D30-1</f>
        <v>6.5</v>
      </c>
      <c r="F31" s="23">
        <f t="shared" ref="F31:G31" si="19">+F30/E30-1</f>
        <v>4.2133333333333329</v>
      </c>
      <c r="G31" s="23">
        <f t="shared" si="19"/>
        <v>0.82608695652173902</v>
      </c>
      <c r="H31" s="93">
        <v>0.7</v>
      </c>
      <c r="I31" s="93">
        <f>+AVERAGE(H40:I40)/AVERAGE(G40:H40)*1.07-1</f>
        <v>0.40700787401574789</v>
      </c>
      <c r="J31" s="93">
        <f>+AVERAGE(I40:J40)/AVERAGE(H40:I40)*1.07-1</f>
        <v>0.2472654690618763</v>
      </c>
    </row>
    <row r="32" spans="2:12">
      <c r="B32" s="15" t="s">
        <v>1780</v>
      </c>
      <c r="E32" s="92">
        <f>+E30-D30</f>
        <v>65</v>
      </c>
      <c r="F32" s="40">
        <v>316</v>
      </c>
      <c r="G32" s="40">
        <v>323</v>
      </c>
      <c r="H32" s="8">
        <f>+H30-G30</f>
        <v>499.79999999999995</v>
      </c>
      <c r="I32" s="8">
        <f t="shared" ref="I32:J32" si="20">+I30-H30</f>
        <v>494.02615748031485</v>
      </c>
      <c r="J32" s="8">
        <f t="shared" si="20"/>
        <v>422.28643590551178</v>
      </c>
    </row>
    <row r="33" spans="2:10">
      <c r="B33" s="15" t="s">
        <v>1781</v>
      </c>
      <c r="D33" s="23">
        <f>+D30/D93</f>
        <v>1.3465655844767919E-4</v>
      </c>
      <c r="E33" s="23">
        <f>+E30/E93</f>
        <v>9.7013284352403986E-4</v>
      </c>
      <c r="F33" s="23">
        <f>+F30/F93</f>
        <v>4.5028963642854674E-3</v>
      </c>
      <c r="G33" s="23">
        <f>+G30/G93</f>
        <v>7.6298354349219923E-3</v>
      </c>
      <c r="H33" s="23">
        <f t="shared" ref="H33:J33" si="21">+H30/H93</f>
        <v>1.3315926892950391E-2</v>
      </c>
      <c r="I33" s="23">
        <f t="shared" si="21"/>
        <v>1.768466887036807E-2</v>
      </c>
      <c r="J33" s="23">
        <f t="shared" si="21"/>
        <v>1.9301491422488461E-2</v>
      </c>
    </row>
    <row r="34" spans="2:10">
      <c r="B34" t="s">
        <v>1786</v>
      </c>
      <c r="D34" s="8">
        <f>+D26+D30</f>
        <v>4136.5894566948027</v>
      </c>
      <c r="E34" s="8">
        <f>+E26+E30</f>
        <v>3582.6010381905826</v>
      </c>
      <c r="F34" s="8">
        <f>+F26+F30</f>
        <v>3653.0689655172414</v>
      </c>
      <c r="G34" s="8">
        <f>+G26+G30</f>
        <v>3030.0689655172414</v>
      </c>
      <c r="H34" s="8">
        <f>+G34+H36</f>
        <v>2961.0689655172414</v>
      </c>
      <c r="I34" s="8">
        <f>+H34+I36</f>
        <v>3312.0689655172414</v>
      </c>
      <c r="J34" s="8">
        <f>+I34+J36</f>
        <v>3694.0689655172414</v>
      </c>
    </row>
    <row r="35" spans="2:10">
      <c r="B35" s="15" t="s">
        <v>1429</v>
      </c>
      <c r="E35" s="23">
        <f>+E34/D34-1</f>
        <v>-0.13392395457751449</v>
      </c>
      <c r="F35" s="23">
        <f>+F34/E34-1</f>
        <v>1.966948777591182E-2</v>
      </c>
      <c r="G35" s="22">
        <v>-0.17</v>
      </c>
      <c r="H35" s="22">
        <v>-0.02</v>
      </c>
      <c r="I35" s="23">
        <f>+I34/H34-1</f>
        <v>0.11853827252506677</v>
      </c>
      <c r="J35" s="23">
        <f>+J34/I34-1</f>
        <v>0.11533576262363354</v>
      </c>
    </row>
    <row r="36" spans="2:10">
      <c r="B36" s="15" t="s">
        <v>1780</v>
      </c>
      <c r="E36" s="92">
        <f>+E34-D34</f>
        <v>-553.98841850422014</v>
      </c>
      <c r="F36" s="92">
        <f t="shared" ref="F36:G36" si="22">+F34-E34</f>
        <v>70.46792732665881</v>
      </c>
      <c r="G36" s="92">
        <f t="shared" si="22"/>
        <v>-623</v>
      </c>
      <c r="H36" s="40">
        <v>-69</v>
      </c>
      <c r="I36" s="40">
        <v>351</v>
      </c>
      <c r="J36" s="40">
        <v>382</v>
      </c>
    </row>
    <row r="37" spans="2:10">
      <c r="B37" s="15" t="s">
        <v>1781</v>
      </c>
      <c r="D37" s="23">
        <f t="shared" ref="D37:J37" si="23">+D34/D93</f>
        <v>5.5701889994947726E-2</v>
      </c>
      <c r="E37" s="23">
        <f t="shared" si="23"/>
        <v>4.6341319098560096E-2</v>
      </c>
      <c r="F37" s="23">
        <f t="shared" si="23"/>
        <v>4.2070053614607826E-2</v>
      </c>
      <c r="G37" s="23">
        <f t="shared" si="23"/>
        <v>3.2379450368852758E-2</v>
      </c>
      <c r="H37" s="23">
        <f t="shared" si="23"/>
        <v>3.2484246061799171E-2</v>
      </c>
      <c r="I37" s="23">
        <f t="shared" si="23"/>
        <v>3.4296724332535042E-2</v>
      </c>
      <c r="J37" s="23">
        <f t="shared" si="23"/>
        <v>3.3472897476596965E-2</v>
      </c>
    </row>
    <row r="38" spans="2:10">
      <c r="B38" s="15"/>
    </row>
    <row r="39" spans="2:10">
      <c r="B39" s="16" t="s">
        <v>127</v>
      </c>
    </row>
    <row r="40" spans="2:10">
      <c r="B40" s="18" t="s">
        <v>1787</v>
      </c>
      <c r="D40" s="61">
        <v>0.1</v>
      </c>
      <c r="E40" s="61">
        <v>1</v>
      </c>
      <c r="F40" s="61">
        <v>5</v>
      </c>
      <c r="G40" s="61">
        <v>15</v>
      </c>
      <c r="H40" s="29">
        <f>+'Historical Financials'!G478</f>
        <v>23.1</v>
      </c>
      <c r="I40" s="29">
        <f>+'Historical Financials'!K478</f>
        <v>27</v>
      </c>
      <c r="J40" s="29">
        <f>+'Historical Financials'!O478</f>
        <v>31.4</v>
      </c>
    </row>
    <row r="41" spans="2:10">
      <c r="B41" s="20" t="s">
        <v>1429</v>
      </c>
      <c r="E41" s="23">
        <f>+E40/D40-1</f>
        <v>9</v>
      </c>
      <c r="F41" s="23">
        <f>+F40/E40-1</f>
        <v>4</v>
      </c>
      <c r="G41" s="23">
        <f>+G40/F40-1</f>
        <v>2</v>
      </c>
      <c r="H41" s="23">
        <f t="shared" ref="H41:J41" si="24">+H40/G40-1</f>
        <v>0.54</v>
      </c>
      <c r="I41" s="23">
        <f t="shared" si="24"/>
        <v>0.16883116883116878</v>
      </c>
      <c r="J41" s="23">
        <f t="shared" si="24"/>
        <v>0.16296296296296298</v>
      </c>
    </row>
    <row r="42" spans="2:10">
      <c r="B42" s="15"/>
    </row>
    <row r="43" spans="2:10">
      <c r="B43" s="12" t="s">
        <v>1788</v>
      </c>
      <c r="D43" s="8">
        <f>+E43-E45</f>
        <v>18389.76923076923</v>
      </c>
      <c r="E43" s="8">
        <f>+F43-F45</f>
        <v>19011.76923076923</v>
      </c>
      <c r="F43" s="8">
        <f>+G45/G44</f>
        <v>19230.76923076923</v>
      </c>
      <c r="G43" s="8">
        <f>+F43+G45</f>
        <v>16730.76923076923</v>
      </c>
      <c r="H43" s="8">
        <f>+G43*(1+H44)</f>
        <v>14388.461538461537</v>
      </c>
      <c r="I43" s="8">
        <f t="shared" ref="I43:J43" si="25">+H43*(1+I44)</f>
        <v>12374.076923076922</v>
      </c>
      <c r="J43" s="8">
        <f t="shared" si="25"/>
        <v>10270.483846153844</v>
      </c>
    </row>
    <row r="44" spans="2:10">
      <c r="B44" s="15" t="s">
        <v>1429</v>
      </c>
      <c r="E44" s="22">
        <v>0.04</v>
      </c>
      <c r="F44" s="22">
        <v>0.01</v>
      </c>
      <c r="G44" s="23">
        <v>-0.13</v>
      </c>
      <c r="H44" s="93">
        <v>-0.14000000000000001</v>
      </c>
      <c r="I44" s="93">
        <v>-0.14000000000000001</v>
      </c>
      <c r="J44" s="93">
        <v>-0.17</v>
      </c>
    </row>
    <row r="45" spans="2:10">
      <c r="B45" s="15" t="s">
        <v>1780</v>
      </c>
      <c r="E45" s="40">
        <v>622</v>
      </c>
      <c r="F45" s="40">
        <v>219</v>
      </c>
      <c r="G45" s="40">
        <v>-2500</v>
      </c>
      <c r="H45" s="94">
        <f>+H43-G43</f>
        <v>-2342.3076923076933</v>
      </c>
      <c r="I45" s="94">
        <f t="shared" ref="I45:J45" si="26">+I43-H43</f>
        <v>-2014.3846153846152</v>
      </c>
      <c r="J45" s="94">
        <f t="shared" si="26"/>
        <v>-2103.5930769230781</v>
      </c>
    </row>
    <row r="46" spans="2:10">
      <c r="B46" s="15" t="s">
        <v>1781</v>
      </c>
      <c r="D46" s="23">
        <f t="shared" ref="D46:J46" si="27">+D43/D93</f>
        <v>0.24763030352624094</v>
      </c>
      <c r="E46" s="23">
        <f t="shared" si="27"/>
        <v>0.24591922325692003</v>
      </c>
      <c r="F46" s="23">
        <f t="shared" si="27"/>
        <v>0.22146844207581484</v>
      </c>
      <c r="G46" s="23">
        <f t="shared" si="27"/>
        <v>0.17878573659723479</v>
      </c>
      <c r="H46" s="23">
        <f t="shared" si="27"/>
        <v>0.15784783485597492</v>
      </c>
      <c r="I46" s="23">
        <f t="shared" si="27"/>
        <v>0.12813450127964837</v>
      </c>
      <c r="J46" s="23">
        <f t="shared" si="27"/>
        <v>9.3063463629520157E-2</v>
      </c>
    </row>
    <row r="47" spans="2:10">
      <c r="B47" s="12" t="s">
        <v>1789</v>
      </c>
      <c r="D47" s="61">
        <v>50</v>
      </c>
      <c r="E47" s="61">
        <v>300</v>
      </c>
      <c r="F47" s="8">
        <f>+F51-F43</f>
        <v>900.41258741258935</v>
      </c>
      <c r="G47" s="8">
        <f>+G51-G43</f>
        <v>3552.4125874125893</v>
      </c>
      <c r="H47" s="8">
        <f>+H51-H43</f>
        <v>6029.7202797202826</v>
      </c>
      <c r="I47" s="8">
        <f>+I51-I43</f>
        <v>9444.1048951048979</v>
      </c>
      <c r="J47" s="8">
        <f>+J51-J43</f>
        <v>13947.697972027976</v>
      </c>
    </row>
    <row r="48" spans="2:10">
      <c r="B48" s="15" t="s">
        <v>1429</v>
      </c>
      <c r="E48" s="23">
        <f>+E47/D47-1</f>
        <v>5</v>
      </c>
      <c r="F48" s="23">
        <f>+F47/E47-1</f>
        <v>2.001375291375298</v>
      </c>
      <c r="G48" s="23">
        <f>+G47/F47-1</f>
        <v>2.9453164438990611</v>
      </c>
      <c r="H48" s="23">
        <f t="shared" ref="H48:J48" si="28">+H47/G47-1</f>
        <v>0.69735922597663347</v>
      </c>
      <c r="I48" s="23">
        <f t="shared" si="28"/>
        <v>0.56625920556683074</v>
      </c>
      <c r="J48" s="23">
        <f t="shared" si="28"/>
        <v>0.47686817617383692</v>
      </c>
    </row>
    <row r="49" spans="2:12">
      <c r="B49" s="15" t="s">
        <v>1780</v>
      </c>
      <c r="E49" s="92">
        <f>+E47-D47</f>
        <v>250</v>
      </c>
      <c r="F49" s="92">
        <f t="shared" ref="F49:G49" si="29">+F47-E47</f>
        <v>600.41258741258935</v>
      </c>
      <c r="G49" s="92">
        <f t="shared" si="29"/>
        <v>2652</v>
      </c>
      <c r="H49" s="92">
        <f t="shared" ref="H49:J49" si="30">+H47-G47</f>
        <v>2477.3076923076933</v>
      </c>
      <c r="I49" s="92">
        <f t="shared" si="30"/>
        <v>3414.3846153846152</v>
      </c>
      <c r="J49" s="92">
        <f t="shared" si="30"/>
        <v>4503.5930769230781</v>
      </c>
    </row>
    <row r="50" spans="2:12">
      <c r="B50" s="15" t="s">
        <v>1781</v>
      </c>
      <c r="D50" s="23">
        <f>+D47/D93</f>
        <v>6.7328279223839596E-4</v>
      </c>
      <c r="E50" s="23">
        <f t="shared" ref="E50:J50" si="31">+E47/E93</f>
        <v>3.8805313740961594E-3</v>
      </c>
      <c r="F50" s="23">
        <f t="shared" si="31"/>
        <v>1.036947459390542E-2</v>
      </c>
      <c r="G50" s="23">
        <f t="shared" si="31"/>
        <v>3.7961237309388642E-2</v>
      </c>
      <c r="H50" s="23">
        <f t="shared" si="31"/>
        <v>6.6148718429474104E-2</v>
      </c>
      <c r="I50" s="23">
        <f t="shared" si="31"/>
        <v>9.7794419599102192E-2</v>
      </c>
      <c r="J50" s="23">
        <f t="shared" si="31"/>
        <v>0.1263836351216743</v>
      </c>
    </row>
    <row r="51" spans="2:12">
      <c r="B51" t="s">
        <v>1790</v>
      </c>
      <c r="D51" s="8">
        <f>+D43+D47</f>
        <v>18439.76923076923</v>
      </c>
      <c r="E51" s="8">
        <f>+E43+E47</f>
        <v>19311.76923076923</v>
      </c>
      <c r="F51" s="8">
        <f>+G51-G53</f>
        <v>20131.18181818182</v>
      </c>
      <c r="G51" s="8">
        <f>+H51-H53</f>
        <v>20283.18181818182</v>
      </c>
      <c r="H51" s="8">
        <f>+I51-I53</f>
        <v>20418.18181818182</v>
      </c>
      <c r="I51" s="8">
        <f>+J53/J52</f>
        <v>21818.18181818182</v>
      </c>
      <c r="J51" s="8">
        <f>+I51+J53</f>
        <v>24218.18181818182</v>
      </c>
    </row>
    <row r="52" spans="2:12">
      <c r="B52" s="15" t="s">
        <v>1429</v>
      </c>
      <c r="E52" s="23">
        <f>+E51/D51-1</f>
        <v>4.7289095057922559E-2</v>
      </c>
      <c r="F52" s="23">
        <f>+F51/E51-1</f>
        <v>4.2430736284225556E-2</v>
      </c>
      <c r="G52" s="22">
        <v>0.01</v>
      </c>
      <c r="H52" s="22">
        <v>0.01</v>
      </c>
      <c r="I52" s="22">
        <v>7.0000000000000007E-2</v>
      </c>
      <c r="J52" s="22">
        <v>0.11</v>
      </c>
    </row>
    <row r="53" spans="2:12">
      <c r="B53" s="15" t="s">
        <v>1780</v>
      </c>
      <c r="E53" s="8">
        <f>+E51-D51</f>
        <v>872</v>
      </c>
      <c r="F53" s="8">
        <f>+F51-E51</f>
        <v>819.41258741258935</v>
      </c>
      <c r="G53" s="40">
        <v>152</v>
      </c>
      <c r="H53" s="40">
        <v>135</v>
      </c>
      <c r="I53" s="40">
        <v>1400</v>
      </c>
      <c r="J53" s="40">
        <v>2400</v>
      </c>
    </row>
    <row r="54" spans="2:12">
      <c r="B54" s="15" t="s">
        <v>1781</v>
      </c>
      <c r="D54" s="23">
        <f>+D51/D93</f>
        <v>0.24830358631847932</v>
      </c>
      <c r="E54" s="23">
        <f t="shared" ref="E54:J54" si="32">+E51/E93</f>
        <v>0.2497997546310162</v>
      </c>
      <c r="F54" s="23">
        <f t="shared" si="32"/>
        <v>0.23183791666972026</v>
      </c>
      <c r="G54" s="23">
        <f t="shared" si="32"/>
        <v>0.21674697390662342</v>
      </c>
      <c r="H54" s="23">
        <f t="shared" si="32"/>
        <v>0.22399655328544901</v>
      </c>
      <c r="I54" s="23">
        <f t="shared" si="32"/>
        <v>0.22592892087875055</v>
      </c>
      <c r="J54" s="23">
        <f t="shared" si="32"/>
        <v>0.21944709875119445</v>
      </c>
    </row>
    <row r="55" spans="2:12">
      <c r="B55" s="15"/>
    </row>
    <row r="56" spans="2:12">
      <c r="B56" t="s">
        <v>1791</v>
      </c>
      <c r="D56" s="8">
        <f>+D62-D47</f>
        <v>668</v>
      </c>
      <c r="E56" s="8">
        <f t="shared" ref="E56:J56" si="33">+E62-E47</f>
        <v>1000</v>
      </c>
      <c r="F56" s="8">
        <f t="shared" si="33"/>
        <v>1899.5874125874107</v>
      </c>
      <c r="G56" s="8">
        <f t="shared" si="33"/>
        <v>2247.5874125874107</v>
      </c>
      <c r="H56" s="8">
        <f t="shared" si="33"/>
        <v>-6029.7202797202826</v>
      </c>
      <c r="I56" s="8">
        <f t="shared" si="33"/>
        <v>-9444.1048951048979</v>
      </c>
      <c r="J56" s="8">
        <f t="shared" si="33"/>
        <v>12652.302027972024</v>
      </c>
    </row>
    <row r="57" spans="2:12">
      <c r="B57" s="13" t="s">
        <v>1429</v>
      </c>
      <c r="E57" s="23">
        <f t="shared" ref="E57" si="34">+E56/D56-1</f>
        <v>0.49700598802395213</v>
      </c>
      <c r="F57" s="23">
        <f t="shared" ref="F57" si="35">+F56/E56-1</f>
        <v>0.8995874125874106</v>
      </c>
      <c r="G57" s="23">
        <f t="shared" ref="G57" si="36">+G56/F56-1</f>
        <v>0.18319767634488193</v>
      </c>
      <c r="H57" s="23">
        <f t="shared" ref="H57" si="37">+H56/G56-1</f>
        <v>-3.6827522907235455</v>
      </c>
      <c r="I57" s="23">
        <f t="shared" ref="I57" si="38">+I56/H56-1</f>
        <v>0.56625920556683074</v>
      </c>
      <c r="J57" s="23">
        <f t="shared" ref="J57" si="39">+J56/I56-1</f>
        <v>-2.3397036742497441</v>
      </c>
      <c r="L57" t="s">
        <v>1792</v>
      </c>
    </row>
    <row r="58" spans="2:12">
      <c r="B58" s="13" t="s">
        <v>1780</v>
      </c>
      <c r="E58" s="92">
        <f t="shared" ref="E58:J58" si="40">+E56-D56</f>
        <v>332</v>
      </c>
      <c r="F58" s="92">
        <f t="shared" si="40"/>
        <v>899.58741258741065</v>
      </c>
      <c r="G58" s="92">
        <f t="shared" si="40"/>
        <v>348</v>
      </c>
      <c r="H58" s="92">
        <f t="shared" si="40"/>
        <v>-8277.3076923076933</v>
      </c>
      <c r="I58" s="92">
        <f t="shared" si="40"/>
        <v>-3414.3846153846152</v>
      </c>
      <c r="J58" s="92">
        <f t="shared" si="40"/>
        <v>22096.406923076924</v>
      </c>
    </row>
    <row r="59" spans="2:12">
      <c r="B59" s="13" t="s">
        <v>1781</v>
      </c>
      <c r="D59" s="23">
        <f>+D56/D93</f>
        <v>8.9950581043049694E-3</v>
      </c>
      <c r="E59" s="23">
        <f t="shared" ref="E59:J59" si="41">+E56/E93</f>
        <v>1.2935104580320532E-2</v>
      </c>
      <c r="F59" s="23">
        <f t="shared" si="41"/>
        <v>2.1876330572333222E-2</v>
      </c>
      <c r="G59" s="23">
        <f t="shared" si="41"/>
        <v>2.4017818044319413E-2</v>
      </c>
      <c r="H59" s="23">
        <f t="shared" si="41"/>
        <v>-6.6148718429474104E-2</v>
      </c>
      <c r="I59" s="23">
        <f t="shared" si="41"/>
        <v>-9.7794419599102192E-2</v>
      </c>
      <c r="J59" s="23">
        <f t="shared" si="41"/>
        <v>0.11464572334153701</v>
      </c>
    </row>
    <row r="60" spans="2:12">
      <c r="B60" s="15"/>
    </row>
    <row r="61" spans="2:12">
      <c r="B61" s="24" t="s">
        <v>127</v>
      </c>
    </row>
    <row r="62" spans="2:12">
      <c r="B62" s="17" t="s">
        <v>1793</v>
      </c>
      <c r="D62" s="8">
        <f>+E62-E64</f>
        <v>718</v>
      </c>
      <c r="E62" s="8">
        <f>+F62-F64</f>
        <v>1300</v>
      </c>
      <c r="F62" s="8">
        <f>+'Historical Financials'!BB290</f>
        <v>2800</v>
      </c>
      <c r="G62" s="8">
        <f>+'Historical Financials'!BC290</f>
        <v>5800</v>
      </c>
      <c r="H62" s="8">
        <f>+'Historical Financials'!BG290</f>
        <v>0</v>
      </c>
      <c r="I62" s="8">
        <f>+'Historical Financials'!BH290</f>
        <v>0</v>
      </c>
      <c r="J62" s="8">
        <f>+'Historical Financials'!BI290</f>
        <v>26600</v>
      </c>
    </row>
    <row r="63" spans="2:12">
      <c r="B63" s="19" t="s">
        <v>1429</v>
      </c>
      <c r="E63" s="23">
        <f t="shared" ref="E63:G63" si="42">+E62/D62-1</f>
        <v>0.81058495821727017</v>
      </c>
      <c r="F63" s="23">
        <f t="shared" si="42"/>
        <v>1.1538461538461537</v>
      </c>
      <c r="G63" s="23">
        <f t="shared" si="42"/>
        <v>1.0714285714285716</v>
      </c>
      <c r="H63" s="23">
        <f t="shared" ref="H63" si="43">+H62/G62-1</f>
        <v>-1</v>
      </c>
      <c r="I63" s="23" t="e">
        <f t="shared" ref="I63" si="44">+I62/H62-1</f>
        <v>#DIV/0!</v>
      </c>
      <c r="J63" s="23" t="e">
        <f t="shared" ref="J63" si="45">+J62/I62-1</f>
        <v>#DIV/0!</v>
      </c>
    </row>
    <row r="64" spans="2:12">
      <c r="B64" s="19" t="s">
        <v>1780</v>
      </c>
      <c r="E64" s="40">
        <v>582</v>
      </c>
      <c r="F64" s="40">
        <v>1500</v>
      </c>
      <c r="G64" s="92">
        <f>+G62-F62</f>
        <v>3000</v>
      </c>
      <c r="H64" s="92">
        <f t="shared" ref="H64:J64" si="46">+H62-G62</f>
        <v>-5800</v>
      </c>
      <c r="I64" s="92">
        <f t="shared" si="46"/>
        <v>0</v>
      </c>
      <c r="J64" s="92">
        <f t="shared" si="46"/>
        <v>26600</v>
      </c>
    </row>
    <row r="65" spans="2:12">
      <c r="B65" s="19" t="s">
        <v>1781</v>
      </c>
      <c r="D65" s="23">
        <f>+D62/D93</f>
        <v>9.6683408965433665E-3</v>
      </c>
      <c r="E65" s="23">
        <f t="shared" ref="E65:J65" si="47">+E62/E93</f>
        <v>1.681563595441669E-2</v>
      </c>
      <c r="F65" s="23">
        <f t="shared" si="47"/>
        <v>3.2245805166238643E-2</v>
      </c>
      <c r="G65" s="23">
        <f t="shared" si="47"/>
        <v>6.1979055353708054E-2</v>
      </c>
      <c r="H65" s="23">
        <f t="shared" si="47"/>
        <v>0</v>
      </c>
      <c r="I65" s="23">
        <f t="shared" si="47"/>
        <v>0</v>
      </c>
      <c r="J65" s="23">
        <f t="shared" si="47"/>
        <v>0.2410293584632113</v>
      </c>
    </row>
    <row r="66" spans="2:12">
      <c r="B66" s="19"/>
      <c r="D66" s="23"/>
      <c r="E66" s="23"/>
      <c r="F66" s="23"/>
      <c r="G66" s="23"/>
      <c r="H66" s="23"/>
      <c r="I66" s="23"/>
      <c r="J66" s="23"/>
    </row>
    <row r="67" spans="2:12">
      <c r="B67" s="15" t="s">
        <v>1794</v>
      </c>
    </row>
    <row r="68" spans="2:12">
      <c r="B68" s="3"/>
    </row>
    <row r="69" spans="2:12">
      <c r="B69" t="s">
        <v>1795</v>
      </c>
      <c r="D69" s="8">
        <f>+'Historical Financials'!AZ997</f>
        <v>8045</v>
      </c>
      <c r="E69" s="8">
        <f>+'Historical Financials'!BA997</f>
        <v>7100</v>
      </c>
      <c r="F69" s="8">
        <f>+'Historical Financials'!BB997</f>
        <v>8643</v>
      </c>
      <c r="G69" s="8">
        <f>+'Historical Financials'!BC997</f>
        <v>9121</v>
      </c>
      <c r="H69" s="8">
        <f>+'Historical Financials'!BG997</f>
        <v>9202</v>
      </c>
      <c r="I69" s="8">
        <f>+'Historical Financials'!BH997</f>
        <v>9051</v>
      </c>
      <c r="J69" s="8">
        <f>+'Historical Financials'!BI997</f>
        <v>10353</v>
      </c>
    </row>
    <row r="70" spans="2:12">
      <c r="B70" s="13" t="s">
        <v>1429</v>
      </c>
      <c r="E70" s="23">
        <f t="shared" ref="E70" si="48">+E69/D69-1</f>
        <v>-0.11746426351771289</v>
      </c>
      <c r="F70" s="23">
        <f t="shared" ref="F70" si="49">+F69/E69-1</f>
        <v>0.21732394366197183</v>
      </c>
      <c r="G70" s="23">
        <f t="shared" ref="G70" si="50">+G69/F69-1</f>
        <v>5.5304870993867938E-2</v>
      </c>
      <c r="H70" s="23">
        <f t="shared" ref="H70" si="51">+H69/G69-1</f>
        <v>8.8806051967986743E-3</v>
      </c>
      <c r="I70" s="23">
        <f t="shared" ref="I70" si="52">+I69/H69-1</f>
        <v>-1.640947620082589E-2</v>
      </c>
      <c r="J70" s="23">
        <f t="shared" ref="J70" si="53">+J69/I69-1</f>
        <v>0.14385150812064973</v>
      </c>
      <c r="L70" t="s">
        <v>1796</v>
      </c>
    </row>
    <row r="71" spans="2:12">
      <c r="B71" s="13" t="s">
        <v>1780</v>
      </c>
      <c r="E71" s="92">
        <f t="shared" ref="E71:J71" si="54">+E69-D69</f>
        <v>-945</v>
      </c>
      <c r="F71" s="92">
        <f t="shared" si="54"/>
        <v>1543</v>
      </c>
      <c r="G71" s="92">
        <f t="shared" si="54"/>
        <v>478</v>
      </c>
      <c r="H71" s="92">
        <f t="shared" si="54"/>
        <v>81</v>
      </c>
      <c r="I71" s="92">
        <f t="shared" si="54"/>
        <v>-151</v>
      </c>
      <c r="J71" s="92">
        <f t="shared" si="54"/>
        <v>1302</v>
      </c>
    </row>
    <row r="72" spans="2:12">
      <c r="B72" s="13" t="s">
        <v>1781</v>
      </c>
      <c r="D72" s="23">
        <f>+D69/D93</f>
        <v>0.10833120127115792</v>
      </c>
      <c r="E72" s="23">
        <f t="shared" ref="E72:J72" si="55">+E69/E93</f>
        <v>9.1839242520275782E-2</v>
      </c>
      <c r="F72" s="23">
        <f t="shared" si="55"/>
        <v>9.9535890732785917E-2</v>
      </c>
      <c r="G72" s="23">
        <f t="shared" si="55"/>
        <v>9.7467407565719172E-2</v>
      </c>
      <c r="H72" s="23">
        <f t="shared" si="55"/>
        <v>0.1009500405906488</v>
      </c>
      <c r="I72" s="23">
        <f t="shared" si="55"/>
        <v>9.3723788715038669E-2</v>
      </c>
      <c r="J72" s="23">
        <f t="shared" si="55"/>
        <v>9.3811163465023564E-2</v>
      </c>
    </row>
    <row r="73" spans="2:12">
      <c r="B73" s="13"/>
    </row>
    <row r="74" spans="2:12">
      <c r="B74" t="s">
        <v>1797</v>
      </c>
      <c r="D74" s="8">
        <f>+E74/(1+E75)</f>
        <v>1581.1921891058582</v>
      </c>
      <c r="E74" s="8">
        <f>+F74/(1+F75)</f>
        <v>2213.6690647482014</v>
      </c>
      <c r="F74" s="8">
        <f>+G74-G76</f>
        <v>3077</v>
      </c>
      <c r="G74" s="8">
        <f>+H74-H76</f>
        <v>3728</v>
      </c>
      <c r="H74" s="8">
        <f>+'Historical Financials'!BG999</f>
        <v>5428</v>
      </c>
      <c r="I74" s="8">
        <f>+'Historical Financials'!BH999</f>
        <v>6219</v>
      </c>
      <c r="J74" s="8">
        <f>+'Historical Financials'!BI999</f>
        <v>7012</v>
      </c>
    </row>
    <row r="75" spans="2:12">
      <c r="B75" s="13" t="s">
        <v>1429</v>
      </c>
      <c r="E75" s="93">
        <v>0.4</v>
      </c>
      <c r="F75" s="22">
        <v>0.39</v>
      </c>
      <c r="G75" s="23">
        <f t="shared" ref="G75" si="56">+G74/F74-1</f>
        <v>0.21156971075723097</v>
      </c>
      <c r="H75" s="23">
        <f t="shared" ref="H75" si="57">+H74/G74-1</f>
        <v>0.45600858369098707</v>
      </c>
      <c r="I75" s="23">
        <f t="shared" ref="I75" si="58">+I74/H74-1</f>
        <v>0.14572586588061909</v>
      </c>
      <c r="J75" s="23">
        <f t="shared" ref="J75" si="59">+J74/I74-1</f>
        <v>0.12751246181058051</v>
      </c>
      <c r="L75" t="s">
        <v>1798</v>
      </c>
    </row>
    <row r="76" spans="2:12">
      <c r="B76" s="13" t="s">
        <v>1780</v>
      </c>
      <c r="E76" s="92">
        <f>+E74-D74</f>
        <v>632.4768756423432</v>
      </c>
      <c r="F76" s="92">
        <f>+F74-E74</f>
        <v>863.33093525179856</v>
      </c>
      <c r="G76" s="40">
        <v>651</v>
      </c>
      <c r="H76" s="40">
        <v>1700</v>
      </c>
      <c r="I76" s="92">
        <f>+I74-H74</f>
        <v>791</v>
      </c>
      <c r="J76" s="92">
        <f>+J74-I74</f>
        <v>793</v>
      </c>
    </row>
    <row r="77" spans="2:12">
      <c r="B77" s="13" t="s">
        <v>1781</v>
      </c>
      <c r="D77" s="23">
        <f>+D74/D93</f>
        <v>2.1291789842934682E-2</v>
      </c>
      <c r="E77" s="23">
        <f t="shared" ref="E77:J77" si="60">+E74/E93</f>
        <v>2.863404085873833E-2</v>
      </c>
      <c r="F77" s="23">
        <f t="shared" si="60"/>
        <v>3.5435836605898677E-2</v>
      </c>
      <c r="G77" s="23">
        <f t="shared" si="60"/>
        <v>3.983757213079718E-2</v>
      </c>
      <c r="H77" s="23">
        <f t="shared" si="60"/>
        <v>5.9547578822651777E-2</v>
      </c>
      <c r="I77" s="23">
        <f t="shared" si="60"/>
        <v>6.4398214784976857E-2</v>
      </c>
      <c r="J77" s="23">
        <f t="shared" si="60"/>
        <v>6.3537513591881117E-2</v>
      </c>
    </row>
    <row r="78" spans="2:12">
      <c r="B78" s="13"/>
    </row>
    <row r="79" spans="2:12">
      <c r="B79" t="s">
        <v>1799</v>
      </c>
      <c r="D79" s="40">
        <v>162</v>
      </c>
      <c r="E79" s="40">
        <v>853</v>
      </c>
      <c r="F79" s="8">
        <f>+G79/(1+G80)</f>
        <v>2291.666666666667</v>
      </c>
      <c r="G79" s="8">
        <f>+H79-H81</f>
        <v>3781.25</v>
      </c>
      <c r="H79" s="8">
        <f>+I79-I81</f>
        <v>3988.25</v>
      </c>
      <c r="I79" s="8">
        <f>+J81/J80</f>
        <v>3906.25</v>
      </c>
      <c r="J79" s="8">
        <f>+I79+J81</f>
        <v>4531.25</v>
      </c>
    </row>
    <row r="80" spans="2:12">
      <c r="B80" s="13" t="s">
        <v>1429</v>
      </c>
      <c r="E80" s="23">
        <f>+E79/D79-1</f>
        <v>4.2654320987654319</v>
      </c>
      <c r="F80" s="23">
        <f>+F79/E79-1</f>
        <v>1.6865963266901138</v>
      </c>
      <c r="G80" s="22">
        <v>0.65</v>
      </c>
      <c r="H80" s="23">
        <f>+H79/G79-1</f>
        <v>5.4743801652892499E-2</v>
      </c>
      <c r="I80" s="23">
        <f>+I79/H79-1</f>
        <v>-2.0560396163730954E-2</v>
      </c>
      <c r="J80" s="22">
        <v>0.16</v>
      </c>
      <c r="L80" t="s">
        <v>1800</v>
      </c>
    </row>
    <row r="81" spans="2:10">
      <c r="B81" s="13" t="s">
        <v>1780</v>
      </c>
      <c r="E81" s="92">
        <f>+E79-D79</f>
        <v>691</v>
      </c>
      <c r="F81" s="92">
        <f>+F79-E79</f>
        <v>1438.666666666667</v>
      </c>
      <c r="G81" s="92">
        <f>+G79-F79</f>
        <v>1489.583333333333</v>
      </c>
      <c r="H81" s="40">
        <v>207</v>
      </c>
      <c r="I81" s="40">
        <v>-82</v>
      </c>
      <c r="J81" s="40">
        <v>625</v>
      </c>
    </row>
    <row r="82" spans="2:10">
      <c r="B82" s="13" t="s">
        <v>1781</v>
      </c>
      <c r="D82" s="23">
        <f t="shared" ref="D82:J82" si="61">+D79/D93</f>
        <v>2.1814362468524028E-3</v>
      </c>
      <c r="E82" s="23">
        <f t="shared" si="61"/>
        <v>1.1033644207013414E-2</v>
      </c>
      <c r="F82" s="23">
        <f t="shared" si="61"/>
        <v>2.6391656014034606E-2</v>
      </c>
      <c r="G82" s="23">
        <f t="shared" si="61"/>
        <v>4.0406603975208379E-2</v>
      </c>
      <c r="H82" s="23">
        <f t="shared" si="61"/>
        <v>4.3752879741975122E-2</v>
      </c>
      <c r="I82" s="23">
        <f t="shared" si="61"/>
        <v>4.0449513829203386E-2</v>
      </c>
      <c r="J82" s="23">
        <f t="shared" si="61"/>
        <v>4.1058807538963391E-2</v>
      </c>
    </row>
    <row r="83" spans="2:10">
      <c r="B83" s="13"/>
    </row>
    <row r="84" spans="2:10">
      <c r="B84" t="s">
        <v>200</v>
      </c>
      <c r="D84" s="8" t="e">
        <f>+D93-D7-D16-D21-D34-D51-D56-D69-D74-D91-D79</f>
        <v>#REF!</v>
      </c>
      <c r="E84" s="8" t="e">
        <f t="shared" ref="E84:J84" si="62">+E93-E7-E16-E21-E34-E51-E56-E69-E74-E91-E79</f>
        <v>#REF!</v>
      </c>
      <c r="F84" s="8" t="e">
        <f t="shared" si="62"/>
        <v>#REF!</v>
      </c>
      <c r="G84" s="8" t="e">
        <f t="shared" si="62"/>
        <v>#REF!</v>
      </c>
      <c r="H84" s="8" t="e">
        <f t="shared" si="62"/>
        <v>#REF!</v>
      </c>
      <c r="I84" s="8">
        <f t="shared" si="62"/>
        <v>47933.834111405828</v>
      </c>
      <c r="J84" s="8">
        <f t="shared" si="62"/>
        <v>31112.4886883289</v>
      </c>
    </row>
    <row r="85" spans="2:10">
      <c r="B85" s="13" t="s">
        <v>1429</v>
      </c>
      <c r="E85" s="23" t="e">
        <f>+E84/D84-1</f>
        <v>#REF!</v>
      </c>
      <c r="F85" s="23" t="e">
        <f t="shared" ref="F85" si="63">+F84/E84-1</f>
        <v>#REF!</v>
      </c>
      <c r="G85" s="23" t="e">
        <f t="shared" ref="G85" si="64">+G84/F84-1</f>
        <v>#REF!</v>
      </c>
      <c r="H85" s="23" t="e">
        <f t="shared" ref="H85" si="65">+H84/G84-1</f>
        <v>#REF!</v>
      </c>
      <c r="I85" s="23" t="e">
        <f t="shared" ref="I85" si="66">+I84/H84-1</f>
        <v>#REF!</v>
      </c>
      <c r="J85" s="23">
        <f t="shared" ref="J85" si="67">+J84/I84-1</f>
        <v>-0.3509284357262441</v>
      </c>
    </row>
    <row r="86" spans="2:10">
      <c r="B86" s="13" t="s">
        <v>1780</v>
      </c>
      <c r="E86" s="92" t="e">
        <f>+E84-D84</f>
        <v>#REF!</v>
      </c>
      <c r="F86" s="92" t="e">
        <f t="shared" ref="F86:J86" si="68">+F84-E84</f>
        <v>#REF!</v>
      </c>
      <c r="G86" s="92" t="e">
        <f t="shared" si="68"/>
        <v>#REF!</v>
      </c>
      <c r="H86" s="92" t="e">
        <f t="shared" si="68"/>
        <v>#REF!</v>
      </c>
      <c r="I86" s="92" t="e">
        <f t="shared" si="68"/>
        <v>#REF!</v>
      </c>
      <c r="J86" s="92">
        <f t="shared" si="68"/>
        <v>-16821.345423076928</v>
      </c>
    </row>
    <row r="87" spans="2:10">
      <c r="B87" s="13" t="s">
        <v>1781</v>
      </c>
      <c r="D87" s="23" t="e">
        <f>+D84/D93</f>
        <v>#REF!</v>
      </c>
      <c r="E87" s="23" t="e">
        <f t="shared" ref="E87:J87" si="69">+E84/E93</f>
        <v>#REF!</v>
      </c>
      <c r="F87" s="23" t="e">
        <f t="shared" si="69"/>
        <v>#REF!</v>
      </c>
      <c r="G87" s="23" t="e">
        <f t="shared" si="69"/>
        <v>#REF!</v>
      </c>
      <c r="H87" s="23" t="e">
        <f t="shared" si="69"/>
        <v>#REF!</v>
      </c>
      <c r="I87" s="23">
        <f t="shared" si="69"/>
        <v>0.49635847315866904</v>
      </c>
      <c r="J87" s="23">
        <f t="shared" si="69"/>
        <v>0.28191816499029448</v>
      </c>
    </row>
    <row r="88" spans="2:10">
      <c r="B88" s="13"/>
    </row>
    <row r="89" spans="2:10">
      <c r="B89" s="3" t="s">
        <v>1801</v>
      </c>
    </row>
    <row r="90" spans="2:10">
      <c r="B90" s="13"/>
    </row>
    <row r="91" spans="2:10">
      <c r="B91" t="s">
        <v>1802</v>
      </c>
      <c r="D91" s="61">
        <v>0</v>
      </c>
      <c r="E91" s="61">
        <v>0</v>
      </c>
      <c r="F91" s="61">
        <v>0</v>
      </c>
      <c r="G91" s="61">
        <v>0</v>
      </c>
      <c r="H91" s="8">
        <f>+'Historical Financials'!BG12-'Historical Financials'!BD19</f>
        <v>-809</v>
      </c>
      <c r="I91" s="61">
        <v>0</v>
      </c>
      <c r="J91" s="61">
        <v>0</v>
      </c>
    </row>
    <row r="92" spans="2:10">
      <c r="B92" s="13"/>
    </row>
    <row r="93" spans="2:10" s="37" customFormat="1" ht="10.5">
      <c r="B93" s="37" t="s">
        <v>1803</v>
      </c>
      <c r="D93" s="96">
        <f>+'Historical Financials'!AZ19</f>
        <v>74263</v>
      </c>
      <c r="E93" s="96">
        <f>+'Historical Financials'!BA19</f>
        <v>77309</v>
      </c>
      <c r="F93" s="96">
        <f>+'Historical Financials'!BB19</f>
        <v>86833</v>
      </c>
      <c r="G93" s="96">
        <f>+'Historical Financials'!BC19</f>
        <v>93580</v>
      </c>
      <c r="H93" s="96">
        <f>+'Historical Financials'!BG19</f>
        <v>91154</v>
      </c>
      <c r="I93" s="96">
        <f>+'Historical Financials'!BH19</f>
        <v>96571</v>
      </c>
      <c r="J93" s="96">
        <f>+'Historical Financials'!BI19</f>
        <v>110360</v>
      </c>
    </row>
    <row r="94" spans="2:10">
      <c r="B94" s="13" t="s">
        <v>1429</v>
      </c>
      <c r="E94" s="23">
        <f>+E93/D93-1</f>
        <v>4.1016387703163071E-2</v>
      </c>
      <c r="F94" s="23">
        <f t="shared" ref="F94:J94" si="70">+F93/E93-1</f>
        <v>0.12319393602297279</v>
      </c>
      <c r="G94" s="23">
        <f t="shared" si="70"/>
        <v>7.7700874091647165E-2</v>
      </c>
      <c r="H94" s="23">
        <f t="shared" si="70"/>
        <v>-2.5924342808292367E-2</v>
      </c>
      <c r="I94" s="23">
        <f t="shared" si="70"/>
        <v>5.9426903920837271E-2</v>
      </c>
      <c r="J94" s="23">
        <f t="shared" si="70"/>
        <v>0.14278613662486661</v>
      </c>
    </row>
    <row r="95" spans="2:10">
      <c r="B95" s="13" t="s">
        <v>1780</v>
      </c>
      <c r="E95" s="92">
        <f>+E93-D93</f>
        <v>3046</v>
      </c>
      <c r="F95" s="92">
        <f t="shared" ref="F95:I95" si="71">+F93-E93</f>
        <v>9524</v>
      </c>
      <c r="G95" s="92">
        <f t="shared" si="71"/>
        <v>6747</v>
      </c>
      <c r="H95" s="92">
        <f t="shared" si="71"/>
        <v>-2426</v>
      </c>
      <c r="I95" s="92">
        <f t="shared" si="71"/>
        <v>5417</v>
      </c>
      <c r="J95" s="92">
        <f t="shared" ref="J95" si="72">+J93-I93</f>
        <v>13789</v>
      </c>
    </row>
    <row r="97" spans="2:10">
      <c r="B97" s="24" t="s">
        <v>127</v>
      </c>
    </row>
    <row r="98" spans="2:10">
      <c r="B98" s="17" t="s">
        <v>1804</v>
      </c>
      <c r="G98" s="23">
        <f>+-ROUND('Historical Financials'!BC242-'Historical Financials'!BC234,2)</f>
        <v>-0.02</v>
      </c>
      <c r="H98" s="23">
        <f>+-ROUND('Historical Financials'!BD242-'Historical Financials'!BD234,2)</f>
        <v>-0.04</v>
      </c>
      <c r="I98" s="23">
        <f>+-ROUND('Historical Financials'!BE242-'Historical Financials'!BE234,2)</f>
        <v>-0.02</v>
      </c>
      <c r="J98" s="23">
        <f>+-ROUND('Historical Financials'!BI242-'Historical Financials'!BI234,2)</f>
        <v>0.01</v>
      </c>
    </row>
  </sheetData>
  <pageMargins left="0.5" right="0.5" top="0.5" bottom="0.5" header="0.3" footer="0.3"/>
  <pageSetup scale="54"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B2:BE108"/>
  <sheetViews>
    <sheetView view="pageBreakPreview" zoomScale="85" zoomScaleNormal="100" zoomScaleSheetLayoutView="85" workbookViewId="0">
      <pane xSplit="3" ySplit="7" topLeftCell="D8" activePane="bottomRight" state="frozen"/>
      <selection pane="bottomRight" activeCell="T23" sqref="T23"/>
      <selection pane="bottomLeft" activeCell="H25" sqref="H25"/>
      <selection pane="topRight" activeCell="H25" sqref="H25"/>
    </sheetView>
  </sheetViews>
  <sheetFormatPr defaultRowHeight="9.9499999999999993" outlineLevelRow="1"/>
  <cols>
    <col min="1" max="1" width="2.83203125" customWidth="1"/>
    <col min="2" max="2" width="20.83203125" customWidth="1"/>
    <col min="3" max="3" width="2.83203125" customWidth="1"/>
    <col min="4" max="31" width="8.6640625" customWidth="1"/>
    <col min="32" max="34" width="9.1640625" customWidth="1"/>
    <col min="35" max="35" width="2.83203125" customWidth="1"/>
    <col min="37" max="38" width="9.33203125" customWidth="1"/>
    <col min="40" max="40" width="9.33203125" customWidth="1"/>
  </cols>
  <sheetData>
    <row r="2" spans="2:48" ht="10.5">
      <c r="B2" s="1" t="s">
        <v>60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N2" s="53">
        <f ca="1">+TODAY()</f>
        <v>45797</v>
      </c>
    </row>
    <row r="3" spans="2:48" s="73" customFormat="1" ht="10.5">
      <c r="B3" s="2" t="s">
        <v>202</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row>
    <row r="4" spans="2:48">
      <c r="B4" s="3" t="s">
        <v>1805</v>
      </c>
    </row>
    <row r="5" spans="2:48" ht="10.5">
      <c r="B5" s="3"/>
      <c r="D5" s="89" t="s">
        <v>1806</v>
      </c>
      <c r="E5" s="90"/>
      <c r="F5" s="90"/>
      <c r="G5" s="90"/>
      <c r="H5" s="90"/>
      <c r="I5" s="90"/>
      <c r="J5" s="90"/>
      <c r="K5" s="90"/>
      <c r="L5" s="90"/>
      <c r="M5" s="90"/>
      <c r="N5" s="89" t="s">
        <v>1807</v>
      </c>
      <c r="O5" s="90"/>
      <c r="P5" s="91"/>
      <c r="Q5" s="91"/>
      <c r="R5" s="90"/>
      <c r="S5" s="90"/>
      <c r="T5" s="90"/>
      <c r="U5" s="90"/>
      <c r="V5" s="90"/>
      <c r="W5" s="90"/>
      <c r="X5" s="90"/>
      <c r="Y5" s="90"/>
      <c r="Z5" s="90"/>
      <c r="AA5" s="90"/>
      <c r="AB5" s="90"/>
      <c r="AC5" s="89" t="s">
        <v>1808</v>
      </c>
      <c r="AD5" s="90"/>
      <c r="AE5" s="90"/>
      <c r="AF5" s="90"/>
      <c r="AG5" s="90"/>
      <c r="AH5" s="90"/>
      <c r="AJ5" s="74" t="s">
        <v>1809</v>
      </c>
      <c r="AK5" s="75"/>
      <c r="AL5" s="75"/>
      <c r="AM5" s="75"/>
      <c r="AN5" s="76"/>
    </row>
    <row r="6" spans="2:48" ht="13.5">
      <c r="B6" s="7"/>
      <c r="D6" s="77" t="s">
        <v>1810</v>
      </c>
      <c r="E6" s="77" t="s">
        <v>1811</v>
      </c>
      <c r="F6" s="77" t="s">
        <v>1812</v>
      </c>
      <c r="G6" s="77" t="s">
        <v>1813</v>
      </c>
      <c r="H6" s="77" t="s">
        <v>1814</v>
      </c>
      <c r="I6" s="77" t="s">
        <v>1815</v>
      </c>
      <c r="J6" s="77" t="s">
        <v>1816</v>
      </c>
      <c r="K6" s="77" t="s">
        <v>1817</v>
      </c>
      <c r="L6" s="77" t="s">
        <v>1818</v>
      </c>
      <c r="M6" s="77" t="s">
        <v>1819</v>
      </c>
      <c r="N6" s="77" t="s">
        <v>1820</v>
      </c>
      <c r="O6" s="77" t="s">
        <v>1821</v>
      </c>
      <c r="P6" s="77" t="s">
        <v>1822</v>
      </c>
      <c r="Q6" s="77" t="s">
        <v>1823</v>
      </c>
      <c r="R6" s="77" t="s">
        <v>1824</v>
      </c>
      <c r="S6" s="77" t="s">
        <v>246</v>
      </c>
      <c r="T6" s="77" t="s">
        <v>247</v>
      </c>
      <c r="U6" s="77" t="s">
        <v>248</v>
      </c>
      <c r="V6" s="77" t="s">
        <v>249</v>
      </c>
      <c r="W6" s="77" t="s">
        <v>250</v>
      </c>
      <c r="X6" s="77" t="s">
        <v>251</v>
      </c>
      <c r="Y6" s="77" t="s">
        <v>252</v>
      </c>
      <c r="Z6" s="77" t="s">
        <v>253</v>
      </c>
      <c r="AA6" s="77" t="s">
        <v>254</v>
      </c>
      <c r="AB6" s="77" t="s">
        <v>255</v>
      </c>
      <c r="AC6" s="77" t="s">
        <v>256</v>
      </c>
      <c r="AD6" s="77" t="s">
        <v>257</v>
      </c>
      <c r="AE6" s="77" t="s">
        <v>258</v>
      </c>
      <c r="AF6" s="77" t="s">
        <v>259</v>
      </c>
      <c r="AG6" s="77" t="s">
        <v>260</v>
      </c>
      <c r="AH6" s="77" t="s">
        <v>261</v>
      </c>
      <c r="AJ6" s="78" t="s">
        <v>1825</v>
      </c>
      <c r="AK6" s="78" t="s">
        <v>1826</v>
      </c>
      <c r="AL6" s="78" t="s">
        <v>1827</v>
      </c>
      <c r="AM6" s="78" t="s">
        <v>1828</v>
      </c>
      <c r="AN6" s="78" t="s">
        <v>1829</v>
      </c>
      <c r="AR6" s="77" t="s">
        <v>210</v>
      </c>
      <c r="AS6" s="77" t="s">
        <v>211</v>
      </c>
      <c r="AT6" s="77" t="s">
        <v>212</v>
      </c>
      <c r="AU6" s="77" t="s">
        <v>213</v>
      </c>
      <c r="AV6" s="77" t="s">
        <v>214</v>
      </c>
    </row>
    <row r="7" spans="2:48" s="1" customFormat="1" ht="10.5" outlineLevel="1">
      <c r="B7" s="1" t="s">
        <v>1830</v>
      </c>
      <c r="D7" s="225">
        <v>33054</v>
      </c>
      <c r="E7" s="225">
        <v>33419</v>
      </c>
      <c r="F7" s="225">
        <v>33785</v>
      </c>
      <c r="G7" s="225">
        <v>34150</v>
      </c>
      <c r="H7" s="225">
        <v>34515</v>
      </c>
      <c r="I7" s="225">
        <v>34880</v>
      </c>
      <c r="J7" s="225">
        <v>35246</v>
      </c>
      <c r="K7" s="225">
        <v>35611</v>
      </c>
      <c r="L7" s="225">
        <v>35976</v>
      </c>
      <c r="M7" s="225">
        <v>36341</v>
      </c>
      <c r="N7" s="225">
        <v>36707</v>
      </c>
      <c r="O7" s="225">
        <v>37072</v>
      </c>
      <c r="P7" s="225">
        <v>37437</v>
      </c>
      <c r="Q7" s="225">
        <v>37802</v>
      </c>
      <c r="R7" s="225">
        <v>38168</v>
      </c>
      <c r="S7" s="225">
        <v>38533</v>
      </c>
      <c r="T7" s="225">
        <v>38898</v>
      </c>
      <c r="U7" s="225">
        <v>39263</v>
      </c>
      <c r="V7" s="225">
        <v>39629</v>
      </c>
      <c r="W7" s="225">
        <v>39994</v>
      </c>
      <c r="X7" s="225">
        <v>40359</v>
      </c>
      <c r="Y7" s="225">
        <v>40724</v>
      </c>
      <c r="Z7" s="225">
        <v>41090</v>
      </c>
      <c r="AA7" s="225">
        <v>41455</v>
      </c>
      <c r="AB7" s="225">
        <v>41820</v>
      </c>
      <c r="AC7" s="225">
        <v>42185</v>
      </c>
      <c r="AD7" s="225">
        <v>42551</v>
      </c>
      <c r="AE7" s="225">
        <v>42916</v>
      </c>
      <c r="AF7" s="225">
        <v>43281</v>
      </c>
      <c r="AG7" s="225">
        <v>43646</v>
      </c>
      <c r="AH7" s="225">
        <v>44012</v>
      </c>
      <c r="AJ7" s="28" t="s">
        <v>1831</v>
      </c>
    </row>
    <row r="9" spans="2:48" ht="10.5">
      <c r="B9" s="5" t="s">
        <v>84</v>
      </c>
      <c r="C9" s="4"/>
      <c r="AD9" s="1617" t="s">
        <v>1832</v>
      </c>
      <c r="AE9" s="1617"/>
      <c r="AF9" s="1617"/>
      <c r="AG9" s="224"/>
      <c r="AH9" s="224"/>
      <c r="AJ9" s="42"/>
      <c r="AK9" s="42"/>
      <c r="AL9" s="42"/>
      <c r="AM9" s="42"/>
      <c r="AN9" s="42"/>
    </row>
    <row r="10" spans="2:48">
      <c r="B10" s="3"/>
      <c r="AC10" s="79"/>
      <c r="AD10" s="1618"/>
      <c r="AE10" s="1618"/>
      <c r="AF10" s="1618"/>
      <c r="AG10" s="224"/>
      <c r="AH10" s="224"/>
      <c r="AJ10" s="42"/>
      <c r="AK10" s="42"/>
      <c r="AL10" s="42"/>
      <c r="AM10" s="42"/>
      <c r="AN10" s="42"/>
    </row>
    <row r="11" spans="2:48" ht="10.5">
      <c r="B11" s="45" t="s">
        <v>1833</v>
      </c>
      <c r="AC11" s="31"/>
      <c r="AD11" s="31"/>
      <c r="AE11" s="31"/>
      <c r="AJ11" s="42"/>
      <c r="AK11" s="42"/>
      <c r="AL11" s="42"/>
      <c r="AM11" s="42"/>
      <c r="AN11" s="42"/>
    </row>
    <row r="12" spans="2:48" s="37" customFormat="1" ht="10.5">
      <c r="B12" s="37" t="s">
        <v>86</v>
      </c>
      <c r="D12" s="80">
        <v>1183.4459999999999</v>
      </c>
      <c r="E12" s="80">
        <v>1843</v>
      </c>
      <c r="F12" s="80">
        <v>2759</v>
      </c>
      <c r="G12" s="80">
        <v>3753</v>
      </c>
      <c r="H12" s="80">
        <v>4649</v>
      </c>
      <c r="I12" s="80">
        <v>5937</v>
      </c>
      <c r="J12" s="80">
        <v>8671</v>
      </c>
      <c r="K12" s="80">
        <v>11936</v>
      </c>
      <c r="L12" s="80">
        <v>15262</v>
      </c>
      <c r="M12" s="80">
        <v>19747</v>
      </c>
      <c r="N12" s="80">
        <v>22956</v>
      </c>
      <c r="O12" s="80">
        <v>25296</v>
      </c>
      <c r="P12" s="80">
        <v>28365</v>
      </c>
      <c r="Q12" s="80">
        <v>32187</v>
      </c>
      <c r="R12" s="80">
        <v>36835</v>
      </c>
      <c r="S12" s="80">
        <v>39788</v>
      </c>
      <c r="T12" s="80">
        <v>44282</v>
      </c>
      <c r="U12" s="80">
        <v>51122</v>
      </c>
      <c r="V12" s="80">
        <v>60420</v>
      </c>
      <c r="W12" s="80">
        <v>58437</v>
      </c>
      <c r="X12" s="80">
        <v>62484</v>
      </c>
      <c r="Y12" s="80">
        <v>69943</v>
      </c>
      <c r="Z12" s="80">
        <v>73723</v>
      </c>
      <c r="AA12" s="80">
        <v>77849</v>
      </c>
      <c r="AB12" s="80">
        <v>86833</v>
      </c>
      <c r="AC12" s="80">
        <v>93580</v>
      </c>
      <c r="AD12" s="80">
        <v>91154</v>
      </c>
      <c r="AE12" s="80">
        <v>96571</v>
      </c>
      <c r="AF12" s="80">
        <f>+'Historical Financials'!BI12</f>
        <v>110360</v>
      </c>
      <c r="AG12" s="80">
        <f>+'Historical Financials'!BJ12</f>
        <v>125843</v>
      </c>
      <c r="AH12" s="80">
        <f>+'Historical Financials'!BK12</f>
        <v>143015</v>
      </c>
      <c r="AJ12" s="81">
        <f>IFERROR((AH12/AC12)^(1/5)-1,"n/a ")</f>
        <v>8.8528263479142222E-2</v>
      </c>
      <c r="AK12" s="81">
        <f>IFERROR((AH12/X12)^(1/10)-1,"n/a ")</f>
        <v>8.6328758143867645E-2</v>
      </c>
      <c r="AL12" s="81">
        <f>IFERROR((AH12/S12)^(1/15)-1,"n/a ")</f>
        <v>8.9035320567971699E-2</v>
      </c>
      <c r="AM12" s="81">
        <f>IFERROR((AH12/N12)^(1/20)-1,"n/a ")</f>
        <v>9.5782268848819685E-2</v>
      </c>
      <c r="AN12" s="81">
        <f>IFERROR(IF(AH12/I12&lt;1,"n/m ",(AH12/I12)^(1/25)-1),"n/a ")</f>
        <v>0.13572342026930984</v>
      </c>
      <c r="AR12" s="80">
        <v>530.29700000000003</v>
      </c>
      <c r="AS12" s="80">
        <v>579.34299999999996</v>
      </c>
      <c r="AT12" s="80">
        <v>593.04300000000001</v>
      </c>
      <c r="AU12" s="80">
        <v>632.85900000000004</v>
      </c>
      <c r="AV12" s="80">
        <v>584.79999999999995</v>
      </c>
    </row>
    <row r="13" spans="2:48" s="3" customFormat="1">
      <c r="B13" s="13" t="s">
        <v>1429</v>
      </c>
      <c r="D13" s="14"/>
      <c r="E13" s="14">
        <f t="shared" ref="E13:AF13" si="0">+IF(E12/D12&lt;0,"n/m ",E12/D12-1)</f>
        <v>0.55731651465297127</v>
      </c>
      <c r="F13" s="14">
        <f t="shared" si="0"/>
        <v>0.49701573521432452</v>
      </c>
      <c r="G13" s="14">
        <f t="shared" si="0"/>
        <v>0.36027546212395789</v>
      </c>
      <c r="H13" s="14">
        <f t="shared" si="0"/>
        <v>0.23874233946176382</v>
      </c>
      <c r="I13" s="14">
        <f t="shared" si="0"/>
        <v>0.27704882770488282</v>
      </c>
      <c r="J13" s="14">
        <f t="shared" si="0"/>
        <v>0.46050193700522146</v>
      </c>
      <c r="K13" s="14">
        <f t="shared" si="0"/>
        <v>0.37654249798177841</v>
      </c>
      <c r="L13" s="14">
        <f t="shared" si="0"/>
        <v>0.27865281501340489</v>
      </c>
      <c r="M13" s="14">
        <f t="shared" si="0"/>
        <v>0.29386712095400336</v>
      </c>
      <c r="N13" s="14">
        <f t="shared" si="0"/>
        <v>0.16250569706790907</v>
      </c>
      <c r="O13" s="14">
        <f t="shared" si="0"/>
        <v>0.10193413486670155</v>
      </c>
      <c r="P13" s="14">
        <f t="shared" si="0"/>
        <v>0.12132352941176472</v>
      </c>
      <c r="Q13" s="14">
        <f t="shared" si="0"/>
        <v>0.13474352194606021</v>
      </c>
      <c r="R13" s="14">
        <f t="shared" si="0"/>
        <v>0.14440612669711372</v>
      </c>
      <c r="S13" s="14">
        <f t="shared" si="0"/>
        <v>8.0168318175648068E-2</v>
      </c>
      <c r="T13" s="14">
        <f t="shared" si="0"/>
        <v>0.11294862772695291</v>
      </c>
      <c r="U13" s="14">
        <f t="shared" si="0"/>
        <v>0.15446456799602548</v>
      </c>
      <c r="V13" s="14">
        <f t="shared" si="0"/>
        <v>0.18187864324556946</v>
      </c>
      <c r="W13" s="14">
        <f t="shared" si="0"/>
        <v>-3.2820258192651441E-2</v>
      </c>
      <c r="X13" s="14">
        <f t="shared" si="0"/>
        <v>6.9254068484008391E-2</v>
      </c>
      <c r="Y13" s="14">
        <f t="shared" si="0"/>
        <v>0.11937455988733126</v>
      </c>
      <c r="Z13" s="14">
        <f t="shared" si="0"/>
        <v>5.4044007263057026E-2</v>
      </c>
      <c r="AA13" s="14">
        <f t="shared" si="0"/>
        <v>5.5966252051598442E-2</v>
      </c>
      <c r="AB13" s="14">
        <f t="shared" si="0"/>
        <v>0.11540289534868786</v>
      </c>
      <c r="AC13" s="14">
        <f t="shared" si="0"/>
        <v>7.7700874091647165E-2</v>
      </c>
      <c r="AD13" s="14">
        <f t="shared" si="0"/>
        <v>-2.5924342808292367E-2</v>
      </c>
      <c r="AE13" s="14">
        <f t="shared" si="0"/>
        <v>5.9426903920837271E-2</v>
      </c>
      <c r="AF13" s="14">
        <f t="shared" si="0"/>
        <v>0.14278613662486661</v>
      </c>
      <c r="AG13" s="14">
        <f t="shared" ref="AG13" si="1">+IF(AG12/AF12&lt;0,"n/m ",AG12/AF12-1)</f>
        <v>0.14029539688292858</v>
      </c>
      <c r="AH13" s="14">
        <f t="shared" ref="AH13" si="2">+IF(AH12/AG12&lt;0,"n/m ",AH12/AG12-1)</f>
        <v>0.13645574247276371</v>
      </c>
      <c r="AJ13" s="44"/>
      <c r="AK13" s="44"/>
      <c r="AL13" s="44"/>
      <c r="AM13" s="44"/>
      <c r="AN13" s="44"/>
      <c r="AV13" s="33">
        <f>+AV12/AR12-1</f>
        <v>0.10277825444986477</v>
      </c>
    </row>
    <row r="14" spans="2:48">
      <c r="B14" t="s">
        <v>278</v>
      </c>
      <c r="D14" s="29">
        <v>930.77799999999991</v>
      </c>
      <c r="E14" s="29">
        <v>1481</v>
      </c>
      <c r="F14" s="29">
        <v>2292</v>
      </c>
      <c r="G14" s="29">
        <v>3120</v>
      </c>
      <c r="H14" s="29">
        <v>3886</v>
      </c>
      <c r="I14" s="29">
        <v>5060</v>
      </c>
      <c r="J14" s="29">
        <v>7483</v>
      </c>
      <c r="K14" s="29">
        <v>9766</v>
      </c>
      <c r="L14" s="29">
        <v>12802</v>
      </c>
      <c r="M14" s="29">
        <v>16933</v>
      </c>
      <c r="N14" s="29">
        <v>19954</v>
      </c>
      <c r="O14" s="29">
        <v>21841</v>
      </c>
      <c r="P14" s="29">
        <v>22666</v>
      </c>
      <c r="Q14" s="29">
        <v>26128</v>
      </c>
      <c r="R14" s="29">
        <v>30239</v>
      </c>
      <c r="S14" s="29">
        <v>33757</v>
      </c>
      <c r="T14" s="29">
        <v>36632</v>
      </c>
      <c r="U14" s="29">
        <v>40429</v>
      </c>
      <c r="V14" s="29">
        <v>48822</v>
      </c>
      <c r="W14" s="29">
        <v>46282</v>
      </c>
      <c r="X14" s="29">
        <v>50089</v>
      </c>
      <c r="Y14" s="29">
        <v>54366</v>
      </c>
      <c r="Z14" s="29">
        <v>56193</v>
      </c>
      <c r="AA14" s="29">
        <v>57464</v>
      </c>
      <c r="AB14" s="29">
        <v>59755</v>
      </c>
      <c r="AC14" s="29">
        <v>60542</v>
      </c>
      <c r="AD14" s="29">
        <v>58374</v>
      </c>
      <c r="AE14" s="29">
        <v>62310</v>
      </c>
      <c r="AF14" s="29">
        <f>+'Historical Financials'!BI22</f>
        <v>72007</v>
      </c>
      <c r="AG14" s="29">
        <f>+'Historical Financials'!BJ22</f>
        <v>82933</v>
      </c>
      <c r="AH14" s="29">
        <f>+'Historical Financials'!BK22</f>
        <v>96937</v>
      </c>
      <c r="AJ14" s="25">
        <f>IFERROR((AH14/AC14)^(1/5)-1,"n/a ")</f>
        <v>9.8718816558900357E-2</v>
      </c>
      <c r="AK14" s="25">
        <f>IFERROR((AH14/X14)^(1/10)-1,"n/a ")</f>
        <v>6.8254476450682278E-2</v>
      </c>
      <c r="AL14" s="25">
        <f>IFERROR((AH14/S14)^(1/15)-1,"n/a ")</f>
        <v>7.2856694326413063E-2</v>
      </c>
      <c r="AM14" s="25">
        <f>IFERROR((AH14/N14)^(1/20)-1,"n/a ")</f>
        <v>8.2238501786349616E-2</v>
      </c>
      <c r="AN14" s="25">
        <f>IFERROR(IF(AH14/I14&lt;1,"n/m ",(AH14/I14)^(1/25)-1),"n/a ")</f>
        <v>0.12536541020276171</v>
      </c>
      <c r="AR14" s="29">
        <v>209.45000000000005</v>
      </c>
      <c r="AS14" s="29">
        <v>234.60799999999995</v>
      </c>
      <c r="AT14" s="29">
        <v>228.51900000000001</v>
      </c>
      <c r="AU14" s="29">
        <v>240.16400000000004</v>
      </c>
      <c r="AV14" s="29">
        <v>211.63299999999998</v>
      </c>
    </row>
    <row r="15" spans="2:48">
      <c r="B15" s="13" t="s">
        <v>310</v>
      </c>
      <c r="D15" s="33">
        <f t="shared" ref="D15:AF15" si="3">+D14/D12</f>
        <v>0.78649807426785845</v>
      </c>
      <c r="E15" s="33">
        <f t="shared" si="3"/>
        <v>0.8035811177428106</v>
      </c>
      <c r="F15" s="33">
        <f t="shared" si="3"/>
        <v>0.8307357738310982</v>
      </c>
      <c r="G15" s="33">
        <f t="shared" si="3"/>
        <v>0.83133493205435649</v>
      </c>
      <c r="H15" s="33">
        <f t="shared" si="3"/>
        <v>0.83587868358786832</v>
      </c>
      <c r="I15" s="33">
        <f t="shared" si="3"/>
        <v>0.85228229745662798</v>
      </c>
      <c r="J15" s="33">
        <f t="shared" si="3"/>
        <v>0.86299158113251062</v>
      </c>
      <c r="K15" s="33">
        <f t="shared" si="3"/>
        <v>0.81819705093833783</v>
      </c>
      <c r="L15" s="33">
        <f t="shared" si="3"/>
        <v>0.83881535840649979</v>
      </c>
      <c r="M15" s="33">
        <f t="shared" si="3"/>
        <v>0.85749734136830913</v>
      </c>
      <c r="N15" s="33">
        <f t="shared" si="3"/>
        <v>0.86922808851716327</v>
      </c>
      <c r="O15" s="33">
        <f t="shared" si="3"/>
        <v>0.86341714104996836</v>
      </c>
      <c r="P15" s="33">
        <f t="shared" si="3"/>
        <v>0.79908337740172752</v>
      </c>
      <c r="Q15" s="33">
        <f t="shared" si="3"/>
        <v>0.81175629912697678</v>
      </c>
      <c r="R15" s="33">
        <f t="shared" si="3"/>
        <v>0.82093117958463413</v>
      </c>
      <c r="S15" s="33">
        <f t="shared" si="3"/>
        <v>0.84842163466371767</v>
      </c>
      <c r="T15" s="33">
        <f t="shared" si="3"/>
        <v>0.82724357526760306</v>
      </c>
      <c r="U15" s="33">
        <f t="shared" si="3"/>
        <v>0.79083369195258402</v>
      </c>
      <c r="V15" s="33">
        <f t="shared" si="3"/>
        <v>0.80804369414101296</v>
      </c>
      <c r="W15" s="33">
        <f t="shared" si="3"/>
        <v>0.79199822030562828</v>
      </c>
      <c r="X15" s="33">
        <f t="shared" si="3"/>
        <v>0.80162921707957235</v>
      </c>
      <c r="Y15" s="33">
        <f t="shared" si="3"/>
        <v>0.77729007906438097</v>
      </c>
      <c r="Z15" s="33">
        <f t="shared" si="3"/>
        <v>0.76221803236439101</v>
      </c>
      <c r="AA15" s="33">
        <f t="shared" si="3"/>
        <v>0.73814692545825888</v>
      </c>
      <c r="AB15" s="33">
        <f t="shared" si="3"/>
        <v>0.68816003132449644</v>
      </c>
      <c r="AC15" s="33">
        <f t="shared" si="3"/>
        <v>0.64695447745244705</v>
      </c>
      <c r="AD15" s="33">
        <f t="shared" si="3"/>
        <v>0.64038879259275516</v>
      </c>
      <c r="AE15" s="33">
        <f t="shared" si="3"/>
        <v>0.64522475691460168</v>
      </c>
      <c r="AF15" s="33">
        <f t="shared" si="3"/>
        <v>0.65247372236317502</v>
      </c>
      <c r="AG15" s="33">
        <f t="shared" ref="AG15:AH15" si="4">+AG14/AG12</f>
        <v>0.65901957200638894</v>
      </c>
      <c r="AH15" s="33">
        <f t="shared" si="4"/>
        <v>0.67781001992797962</v>
      </c>
      <c r="AJ15" s="43"/>
      <c r="AK15" s="43"/>
      <c r="AL15" s="43"/>
      <c r="AM15" s="43"/>
      <c r="AN15" s="43"/>
      <c r="AR15" s="33">
        <f>_xll.ciqfunctions.udf.CIQ("MIDD", "IQ_GROSS_MARGIN_EST", "FY2019")/100</f>
        <v>0.3714286</v>
      </c>
      <c r="AS15" s="33">
        <f>_xll.ciqfunctions.udf.CIQ("MIDD", "IQ_GROSS_MARGIN_EST", "FY2019")/100</f>
        <v>0.3714286</v>
      </c>
      <c r="AT15" s="33">
        <f>_xll.ciqfunctions.udf.CIQ("MIDD", "IQ_GROSS_MARGIN_EST", "FY2019")/100</f>
        <v>0.3714286</v>
      </c>
      <c r="AU15" s="33">
        <f>_xll.ciqfunctions.udf.CIQ("MIDD", "IQ_GROSS_MARGIN_EST", "FY2019")/100</f>
        <v>0.3714286</v>
      </c>
      <c r="AV15" s="33">
        <f>_xll.ciqfunctions.udf.CIQ("MIDD", "IQ_GROSS_MARGIN_EST", "FY2019")/100</f>
        <v>0.3714286</v>
      </c>
    </row>
    <row r="16" spans="2:48">
      <c r="B16" t="s">
        <v>1834</v>
      </c>
      <c r="D16" s="29">
        <v>537.54</v>
      </c>
      <c r="E16" s="29">
        <v>831</v>
      </c>
      <c r="F16" s="29">
        <v>1296</v>
      </c>
      <c r="G16" s="29">
        <v>1794</v>
      </c>
      <c r="H16" s="29">
        <v>2160</v>
      </c>
      <c r="I16" s="29">
        <v>3022</v>
      </c>
      <c r="J16" s="29">
        <v>4405</v>
      </c>
      <c r="K16" s="29">
        <v>4636</v>
      </c>
      <c r="L16" s="29">
        <v>5862</v>
      </c>
      <c r="M16" s="29">
        <v>6923</v>
      </c>
      <c r="N16" s="29">
        <v>8948</v>
      </c>
      <c r="O16" s="29">
        <v>10121</v>
      </c>
      <c r="P16" s="29">
        <v>14394</v>
      </c>
      <c r="Q16" s="29">
        <v>16583</v>
      </c>
      <c r="R16" s="29">
        <v>21205</v>
      </c>
      <c r="S16" s="29">
        <v>19196</v>
      </c>
      <c r="T16" s="29">
        <v>20160</v>
      </c>
      <c r="U16" s="29">
        <v>21991</v>
      </c>
      <c r="V16" s="29">
        <v>26551</v>
      </c>
      <c r="W16" s="29">
        <v>25919</v>
      </c>
      <c r="X16" s="29">
        <v>25991</v>
      </c>
      <c r="Y16" s="29">
        <v>27205</v>
      </c>
      <c r="Z16" s="29">
        <v>28237</v>
      </c>
      <c r="AA16" s="29">
        <v>30700</v>
      </c>
      <c r="AB16" s="29">
        <v>31869</v>
      </c>
      <c r="AC16" s="29">
        <v>32370</v>
      </c>
      <c r="AD16" s="29">
        <v>31186</v>
      </c>
      <c r="AE16" s="29">
        <v>32979</v>
      </c>
      <c r="AF16" s="29">
        <f>+AF14-AF18</f>
        <v>36949</v>
      </c>
      <c r="AG16" s="29">
        <f t="shared" ref="AG16:AH16" si="5">+AG14-AG18</f>
        <v>39974</v>
      </c>
      <c r="AH16" s="29">
        <f t="shared" si="5"/>
        <v>43978</v>
      </c>
      <c r="AJ16" s="25">
        <f>IFERROR((AH16/AC16)^(1/5)-1,"n/a ")</f>
        <v>6.320878182456835E-2</v>
      </c>
      <c r="AK16" s="25">
        <f>IFERROR((AH16/X16)^(1/10)-1,"n/a ")</f>
        <v>5.4001547635144753E-2</v>
      </c>
      <c r="AL16" s="25">
        <f>IFERROR((AH16/S16)^(1/15)-1,"n/a ")</f>
        <v>5.6821521703913858E-2</v>
      </c>
      <c r="AM16" s="25">
        <f>IFERROR((AH16/N16)^(1/20)-1,"n/a ")</f>
        <v>8.2867887737464008E-2</v>
      </c>
      <c r="AN16" s="25">
        <f>IFERROR(IF(AH16/I16&lt;1,"n/m ",(AH16/I16)^(1/25)-1),"n/a ")</f>
        <v>0.11305760314456559</v>
      </c>
      <c r="AR16" s="29">
        <v>114.98399999999999</v>
      </c>
      <c r="AS16" s="29">
        <v>113.02</v>
      </c>
      <c r="AT16" s="29">
        <v>106.044</v>
      </c>
      <c r="AU16" s="29">
        <v>110.78100000000001</v>
      </c>
      <c r="AV16" s="29">
        <v>122.94799999999999</v>
      </c>
    </row>
    <row r="17" spans="2:49">
      <c r="B17" s="13" t="s">
        <v>173</v>
      </c>
      <c r="D17" s="33">
        <f t="shared" ref="D17:AF17" si="6">+D16/D12</f>
        <v>0.45421590845716664</v>
      </c>
      <c r="E17" s="33">
        <f t="shared" si="6"/>
        <v>0.45089527943570268</v>
      </c>
      <c r="F17" s="33">
        <f t="shared" si="6"/>
        <v>0.46973541138093511</v>
      </c>
      <c r="G17" s="33">
        <f t="shared" si="6"/>
        <v>0.47801758593125498</v>
      </c>
      <c r="H17" s="33">
        <f t="shared" si="6"/>
        <v>0.46461604646160465</v>
      </c>
      <c r="I17" s="33">
        <f t="shared" si="6"/>
        <v>0.5090112851608557</v>
      </c>
      <c r="J17" s="33">
        <f t="shared" si="6"/>
        <v>0.50801522315765191</v>
      </c>
      <c r="K17" s="33">
        <f t="shared" si="6"/>
        <v>0.38840482573726542</v>
      </c>
      <c r="L17" s="33">
        <f t="shared" si="6"/>
        <v>0.38409120691914561</v>
      </c>
      <c r="M17" s="33">
        <f t="shared" si="6"/>
        <v>0.35058489897199574</v>
      </c>
      <c r="N17" s="33">
        <f t="shared" si="6"/>
        <v>0.3897891618748911</v>
      </c>
      <c r="O17" s="33">
        <f t="shared" si="6"/>
        <v>0.40010278304870334</v>
      </c>
      <c r="P17" s="33">
        <f t="shared" si="6"/>
        <v>0.50745637228979379</v>
      </c>
      <c r="Q17" s="33">
        <f t="shared" si="6"/>
        <v>0.51520800323111815</v>
      </c>
      <c r="R17" s="33">
        <f t="shared" si="6"/>
        <v>0.57567530880955609</v>
      </c>
      <c r="S17" s="33">
        <f t="shared" si="6"/>
        <v>0.48245702221775411</v>
      </c>
      <c r="T17" s="33">
        <f t="shared" si="6"/>
        <v>0.45526398988302247</v>
      </c>
      <c r="U17" s="33">
        <f t="shared" si="6"/>
        <v>0.43016705136731742</v>
      </c>
      <c r="V17" s="33">
        <f t="shared" si="6"/>
        <v>0.43944058258854685</v>
      </c>
      <c r="W17" s="33">
        <f t="shared" si="6"/>
        <v>0.44353748481270427</v>
      </c>
      <c r="X17" s="33">
        <f t="shared" si="6"/>
        <v>0.41596248639651751</v>
      </c>
      <c r="Y17" s="33">
        <f t="shared" si="6"/>
        <v>0.38895958137340408</v>
      </c>
      <c r="Z17" s="33">
        <f t="shared" si="6"/>
        <v>0.38301479863814547</v>
      </c>
      <c r="AA17" s="33">
        <f t="shared" si="6"/>
        <v>0.39435317088209226</v>
      </c>
      <c r="AB17" s="33">
        <f t="shared" si="6"/>
        <v>0.36701484458673544</v>
      </c>
      <c r="AC17" s="33">
        <f t="shared" si="6"/>
        <v>0.34590724513784998</v>
      </c>
      <c r="AD17" s="33">
        <f t="shared" si="6"/>
        <v>0.34212431708976021</v>
      </c>
      <c r="AE17" s="33">
        <f t="shared" si="6"/>
        <v>0.34150003624276437</v>
      </c>
      <c r="AF17" s="33">
        <f t="shared" si="6"/>
        <v>0.3348042769119246</v>
      </c>
      <c r="AG17" s="33">
        <f t="shared" ref="AG17:AH17" si="7">+AG16/AG12</f>
        <v>0.31764976995144745</v>
      </c>
      <c r="AH17" s="33">
        <f t="shared" si="7"/>
        <v>0.30750620564276476</v>
      </c>
      <c r="AJ17" s="43"/>
      <c r="AK17" s="43"/>
      <c r="AL17" s="43"/>
      <c r="AM17" s="43"/>
      <c r="AN17" s="43"/>
      <c r="AR17" s="33">
        <f>+AR16/AR12</f>
        <v>0.21682943708902744</v>
      </c>
      <c r="AS17" s="33">
        <f>+AS16/AS12</f>
        <v>0.19508305097325765</v>
      </c>
      <c r="AT17" s="33">
        <f>+AT16/AT12</f>
        <v>0.1788133406852454</v>
      </c>
      <c r="AU17" s="33">
        <f>+AU16/AU12</f>
        <v>0.175048470512389</v>
      </c>
      <c r="AV17" s="33">
        <f>+AV16/AV12</f>
        <v>0.21023939808481532</v>
      </c>
    </row>
    <row r="18" spans="2:49" s="37" customFormat="1" ht="10.5">
      <c r="B18" s="37" t="s">
        <v>95</v>
      </c>
      <c r="D18" s="82">
        <f t="shared" ref="D18:AE18" si="8">+D14-D16</f>
        <v>393.23799999999994</v>
      </c>
      <c r="E18" s="82">
        <f t="shared" si="8"/>
        <v>650</v>
      </c>
      <c r="F18" s="82">
        <f t="shared" si="8"/>
        <v>996</v>
      </c>
      <c r="G18" s="82">
        <f t="shared" si="8"/>
        <v>1326</v>
      </c>
      <c r="H18" s="82">
        <f t="shared" si="8"/>
        <v>1726</v>
      </c>
      <c r="I18" s="82">
        <f t="shared" si="8"/>
        <v>2038</v>
      </c>
      <c r="J18" s="82">
        <f t="shared" si="8"/>
        <v>3078</v>
      </c>
      <c r="K18" s="82">
        <f t="shared" si="8"/>
        <v>5130</v>
      </c>
      <c r="L18" s="82">
        <f t="shared" si="8"/>
        <v>6940</v>
      </c>
      <c r="M18" s="82">
        <f t="shared" si="8"/>
        <v>10010</v>
      </c>
      <c r="N18" s="82">
        <f t="shared" si="8"/>
        <v>11006</v>
      </c>
      <c r="O18" s="82">
        <f t="shared" si="8"/>
        <v>11720</v>
      </c>
      <c r="P18" s="82">
        <f t="shared" si="8"/>
        <v>8272</v>
      </c>
      <c r="Q18" s="82">
        <f t="shared" si="8"/>
        <v>9545</v>
      </c>
      <c r="R18" s="82">
        <f t="shared" si="8"/>
        <v>9034</v>
      </c>
      <c r="S18" s="82">
        <f t="shared" si="8"/>
        <v>14561</v>
      </c>
      <c r="T18" s="82">
        <f t="shared" si="8"/>
        <v>16472</v>
      </c>
      <c r="U18" s="82">
        <f t="shared" si="8"/>
        <v>18438</v>
      </c>
      <c r="V18" s="82">
        <f t="shared" si="8"/>
        <v>22271</v>
      </c>
      <c r="W18" s="82">
        <f t="shared" si="8"/>
        <v>20363</v>
      </c>
      <c r="X18" s="82">
        <f t="shared" si="8"/>
        <v>24098</v>
      </c>
      <c r="Y18" s="82">
        <f t="shared" si="8"/>
        <v>27161</v>
      </c>
      <c r="Z18" s="82">
        <f t="shared" si="8"/>
        <v>27956</v>
      </c>
      <c r="AA18" s="82">
        <f t="shared" si="8"/>
        <v>26764</v>
      </c>
      <c r="AB18" s="82">
        <f t="shared" si="8"/>
        <v>27886</v>
      </c>
      <c r="AC18" s="82">
        <f t="shared" si="8"/>
        <v>28172</v>
      </c>
      <c r="AD18" s="82">
        <f t="shared" si="8"/>
        <v>27188</v>
      </c>
      <c r="AE18" s="82">
        <f t="shared" si="8"/>
        <v>29331</v>
      </c>
      <c r="AF18" s="82">
        <f>+'Historical Financials'!BI49</f>
        <v>35058</v>
      </c>
      <c r="AG18" s="82">
        <f>+'Historical Financials'!BJ49</f>
        <v>42959</v>
      </c>
      <c r="AH18" s="82">
        <f>+'Historical Financials'!BK49</f>
        <v>52959</v>
      </c>
      <c r="AJ18" s="81">
        <f>IFERROR((AH18/AC18)^(1/5)-1,"n/a ")</f>
        <v>0.13455203530882454</v>
      </c>
      <c r="AK18" s="81">
        <f>IFERROR((AH18/X18)^(1/10)-1,"n/a ")</f>
        <v>8.1921814857442543E-2</v>
      </c>
      <c r="AL18" s="81">
        <f>IFERROR((AH18/S18)^(1/15)-1,"n/a ")</f>
        <v>8.9891431519590226E-2</v>
      </c>
      <c r="AM18" s="81">
        <f>IFERROR((AH18/N18)^(1/20)-1,"n/a ")</f>
        <v>8.1721628675522684E-2</v>
      </c>
      <c r="AN18" s="81">
        <f>IFERROR(IF(AH18/I18&lt;1,"n/m ",(AH18/I18)^(1/25)-1),"n/a ")</f>
        <v>0.13917232017249215</v>
      </c>
      <c r="AR18" s="82">
        <f>+AR14-AR16</f>
        <v>94.466000000000051</v>
      </c>
      <c r="AS18" s="82">
        <f t="shared" ref="AS18:AV18" si="9">+AS14-AS16</f>
        <v>121.58799999999995</v>
      </c>
      <c r="AT18" s="82">
        <f t="shared" si="9"/>
        <v>122.47500000000001</v>
      </c>
      <c r="AU18" s="82">
        <f t="shared" si="9"/>
        <v>129.38300000000004</v>
      </c>
      <c r="AV18" s="82">
        <f t="shared" si="9"/>
        <v>88.684999999999988</v>
      </c>
      <c r="AW18" s="82"/>
    </row>
    <row r="19" spans="2:49">
      <c r="B19" s="13" t="s">
        <v>1429</v>
      </c>
      <c r="C19" s="3"/>
      <c r="D19" s="14"/>
      <c r="E19" s="14">
        <f t="shared" ref="E19:AF19" si="10">+IF(E18/D18&lt;0,"n/m ",E18/D18-1)</f>
        <v>0.65294300143933204</v>
      </c>
      <c r="F19" s="14">
        <f t="shared" si="10"/>
        <v>0.53230769230769237</v>
      </c>
      <c r="G19" s="14">
        <f t="shared" si="10"/>
        <v>0.33132530120481918</v>
      </c>
      <c r="H19" s="14">
        <f t="shared" si="10"/>
        <v>0.30165912518853699</v>
      </c>
      <c r="I19" s="14">
        <f t="shared" si="10"/>
        <v>0.18076477404403235</v>
      </c>
      <c r="J19" s="14">
        <f t="shared" si="10"/>
        <v>0.51030421982335628</v>
      </c>
      <c r="K19" s="14">
        <f t="shared" si="10"/>
        <v>0.66666666666666674</v>
      </c>
      <c r="L19" s="14">
        <f t="shared" si="10"/>
        <v>0.3528265107212476</v>
      </c>
      <c r="M19" s="14">
        <f t="shared" si="10"/>
        <v>0.44236311239193093</v>
      </c>
      <c r="N19" s="14">
        <f t="shared" si="10"/>
        <v>9.9500499500499551E-2</v>
      </c>
      <c r="O19" s="14">
        <f t="shared" si="10"/>
        <v>6.4873705251680791E-2</v>
      </c>
      <c r="P19" s="14">
        <f t="shared" si="10"/>
        <v>-0.29419795221843004</v>
      </c>
      <c r="Q19" s="14">
        <f t="shared" si="10"/>
        <v>0.15389264990328821</v>
      </c>
      <c r="R19" s="14">
        <f t="shared" si="10"/>
        <v>-5.3535882661079115E-2</v>
      </c>
      <c r="S19" s="14">
        <f t="shared" si="10"/>
        <v>0.61179986716847456</v>
      </c>
      <c r="T19" s="14">
        <f t="shared" si="10"/>
        <v>0.13124098619600311</v>
      </c>
      <c r="U19" s="14">
        <f t="shared" si="10"/>
        <v>0.11935405536668275</v>
      </c>
      <c r="V19" s="14">
        <f t="shared" si="10"/>
        <v>0.2078858878403298</v>
      </c>
      <c r="W19" s="14">
        <f t="shared" si="10"/>
        <v>-8.5671950069597269E-2</v>
      </c>
      <c r="X19" s="14">
        <f t="shared" si="10"/>
        <v>0.18342091047488096</v>
      </c>
      <c r="Y19" s="14">
        <f t="shared" si="10"/>
        <v>0.12710598389907868</v>
      </c>
      <c r="Z19" s="14">
        <f t="shared" si="10"/>
        <v>2.9269909060785748E-2</v>
      </c>
      <c r="AA19" s="14">
        <f t="shared" si="10"/>
        <v>-4.2638431821433675E-2</v>
      </c>
      <c r="AB19" s="14">
        <f t="shared" si="10"/>
        <v>4.1921984755642017E-2</v>
      </c>
      <c r="AC19" s="14">
        <f t="shared" si="10"/>
        <v>1.025604245858136E-2</v>
      </c>
      <c r="AD19" s="14">
        <f t="shared" si="10"/>
        <v>-3.492829760045435E-2</v>
      </c>
      <c r="AE19" s="14">
        <f t="shared" si="10"/>
        <v>7.882153891422683E-2</v>
      </c>
      <c r="AF19" s="14">
        <f t="shared" si="10"/>
        <v>0.19525416794517736</v>
      </c>
      <c r="AG19" s="14">
        <f t="shared" ref="AG19" si="11">+IF(AG18/AF18&lt;0,"n/m ",AG18/AF18-1)</f>
        <v>0.22536938787152727</v>
      </c>
      <c r="AH19" s="14">
        <f t="shared" ref="AH19" si="12">+IF(AH18/AG18&lt;0,"n/m ",AH18/AG18-1)</f>
        <v>0.23278009264647692</v>
      </c>
      <c r="AJ19" s="43"/>
      <c r="AK19" s="43"/>
      <c r="AL19" s="43"/>
      <c r="AM19" s="43"/>
      <c r="AN19" s="43"/>
      <c r="AV19" s="33">
        <f>+AV18/AR18-1</f>
        <v>-6.1196621006500362E-2</v>
      </c>
    </row>
    <row r="20" spans="2:49">
      <c r="B20" s="13" t="s">
        <v>310</v>
      </c>
      <c r="D20" s="33">
        <f t="shared" ref="D20:AF20" si="13">+D18/D12</f>
        <v>0.33228216581069181</v>
      </c>
      <c r="E20" s="33">
        <f t="shared" si="13"/>
        <v>0.35268583830710798</v>
      </c>
      <c r="F20" s="33">
        <f t="shared" si="13"/>
        <v>0.36100036245016309</v>
      </c>
      <c r="G20" s="33">
        <f t="shared" si="13"/>
        <v>0.35331734612310151</v>
      </c>
      <c r="H20" s="33">
        <f t="shared" si="13"/>
        <v>0.37126263712626373</v>
      </c>
      <c r="I20" s="33">
        <f t="shared" si="13"/>
        <v>0.34327101229577228</v>
      </c>
      <c r="J20" s="33">
        <f t="shared" si="13"/>
        <v>0.35497635797485871</v>
      </c>
      <c r="K20" s="33">
        <f t="shared" si="13"/>
        <v>0.42979222520107241</v>
      </c>
      <c r="L20" s="33">
        <f t="shared" si="13"/>
        <v>0.45472415148735423</v>
      </c>
      <c r="M20" s="33">
        <f t="shared" si="13"/>
        <v>0.50691244239631339</v>
      </c>
      <c r="N20" s="33">
        <f t="shared" si="13"/>
        <v>0.47943892664227217</v>
      </c>
      <c r="O20" s="33">
        <f t="shared" si="13"/>
        <v>0.46331435800126503</v>
      </c>
      <c r="P20" s="33">
        <f t="shared" si="13"/>
        <v>0.29162700511193373</v>
      </c>
      <c r="Q20" s="33">
        <f t="shared" si="13"/>
        <v>0.29654829589585857</v>
      </c>
      <c r="R20" s="33">
        <f t="shared" si="13"/>
        <v>0.24525587077507804</v>
      </c>
      <c r="S20" s="33">
        <f t="shared" si="13"/>
        <v>0.36596461244596362</v>
      </c>
      <c r="T20" s="33">
        <f t="shared" si="13"/>
        <v>0.37197958538458065</v>
      </c>
      <c r="U20" s="33">
        <f t="shared" si="13"/>
        <v>0.3606666405852666</v>
      </c>
      <c r="V20" s="33">
        <f t="shared" si="13"/>
        <v>0.36860311155246606</v>
      </c>
      <c r="W20" s="33">
        <f t="shared" si="13"/>
        <v>0.348460735492924</v>
      </c>
      <c r="X20" s="33">
        <f t="shared" si="13"/>
        <v>0.38566673068305485</v>
      </c>
      <c r="Y20" s="33">
        <f t="shared" si="13"/>
        <v>0.38833049769097694</v>
      </c>
      <c r="Z20" s="33">
        <f t="shared" si="13"/>
        <v>0.37920323372624554</v>
      </c>
      <c r="AA20" s="33">
        <f t="shared" si="13"/>
        <v>0.34379375457616668</v>
      </c>
      <c r="AB20" s="33">
        <f t="shared" si="13"/>
        <v>0.32114518673776099</v>
      </c>
      <c r="AC20" s="33">
        <f t="shared" si="13"/>
        <v>0.30104723231459712</v>
      </c>
      <c r="AD20" s="33">
        <f t="shared" si="13"/>
        <v>0.29826447550299495</v>
      </c>
      <c r="AE20" s="33">
        <f t="shared" si="13"/>
        <v>0.30372472067183731</v>
      </c>
      <c r="AF20" s="33">
        <f t="shared" si="13"/>
        <v>0.31766944545125048</v>
      </c>
      <c r="AG20" s="33">
        <f t="shared" ref="AG20:AH20" si="14">+AG18/AG12</f>
        <v>0.3413698020549415</v>
      </c>
      <c r="AH20" s="33">
        <f t="shared" si="14"/>
        <v>0.37030381428521486</v>
      </c>
      <c r="AJ20" s="43"/>
      <c r="AK20" s="43"/>
      <c r="AL20" s="43"/>
      <c r="AM20" s="43"/>
      <c r="AN20" s="43"/>
      <c r="AR20" s="33">
        <f>+AR18/AR12</f>
        <v>0.17813791139682111</v>
      </c>
      <c r="AS20" s="33">
        <f>+AS18/AS12</f>
        <v>0.2098722173220354</v>
      </c>
      <c r="AT20" s="33">
        <f>+AT18/AT12</f>
        <v>0.20651959470055292</v>
      </c>
      <c r="AU20" s="33">
        <f>+AU18/AU12</f>
        <v>0.20444206371403428</v>
      </c>
      <c r="AV20" s="33">
        <f>+AV18/AV12</f>
        <v>0.1516501367989056</v>
      </c>
    </row>
    <row r="21" spans="2:49" ht="11.45">
      <c r="B21" s="12" t="s">
        <v>200</v>
      </c>
      <c r="D21" s="30">
        <v>-17.326000000000001</v>
      </c>
      <c r="E21" s="30">
        <v>-21</v>
      </c>
      <c r="F21" s="30">
        <v>-45</v>
      </c>
      <c r="G21" s="30">
        <v>-75</v>
      </c>
      <c r="H21" s="30">
        <v>-86</v>
      </c>
      <c r="I21" s="30">
        <v>-129</v>
      </c>
      <c r="J21" s="30">
        <v>-301</v>
      </c>
      <c r="K21" s="30">
        <v>-184</v>
      </c>
      <c r="L21" s="30">
        <v>-473</v>
      </c>
      <c r="M21" s="30">
        <v>-1881</v>
      </c>
      <c r="N21" s="30">
        <v>-3269</v>
      </c>
      <c r="O21" s="30">
        <v>195</v>
      </c>
      <c r="P21" s="30">
        <v>397</v>
      </c>
      <c r="Q21" s="30">
        <v>-1509</v>
      </c>
      <c r="R21" s="30">
        <v>-3162</v>
      </c>
      <c r="S21" s="30">
        <v>-2067</v>
      </c>
      <c r="T21" s="30">
        <v>-1790</v>
      </c>
      <c r="U21" s="30">
        <v>-1663</v>
      </c>
      <c r="V21" s="30">
        <v>-1543</v>
      </c>
      <c r="W21" s="30">
        <v>542</v>
      </c>
      <c r="X21" s="30">
        <v>-915</v>
      </c>
      <c r="Y21" s="30">
        <f>+'Historical Financials'!AY1084*-1</f>
        <v>-910</v>
      </c>
      <c r="Z21" s="30">
        <f>+'Historical Financials'!AZ1084*-1</f>
        <v>-504</v>
      </c>
      <c r="AA21" s="30">
        <f>+'Historical Financials'!BA1084*-1</f>
        <v>-288</v>
      </c>
      <c r="AB21" s="30">
        <f>+'Historical Financials'!BB1084*-1</f>
        <v>-61</v>
      </c>
      <c r="AC21" s="30">
        <f>+'Historical Financials'!BC1084*-1</f>
        <v>-346</v>
      </c>
      <c r="AD21" s="30">
        <f>+'Historical Financials'!BG1084*-1</f>
        <v>439</v>
      </c>
      <c r="AE21" s="30">
        <f>+'Historical Financials'!BH1084*-1</f>
        <v>-876</v>
      </c>
      <c r="AF21" s="30">
        <f>+'Historical Financials'!BI1084*-1</f>
        <v>-1416</v>
      </c>
      <c r="AG21" s="30">
        <f>+'Historical Financials'!BJ1084*-1</f>
        <v>-729</v>
      </c>
      <c r="AH21" s="30">
        <f>+'Historical Financials'!BK1084*-1</f>
        <v>-77</v>
      </c>
      <c r="AJ21" s="43"/>
      <c r="AK21" s="43"/>
      <c r="AL21" s="43"/>
      <c r="AM21" s="43"/>
      <c r="AN21" s="43"/>
    </row>
    <row r="22" spans="2:49">
      <c r="B22" t="s">
        <v>1835</v>
      </c>
      <c r="D22" s="65">
        <f t="shared" ref="D22:AF22" si="15">+D18-D21</f>
        <v>410.56399999999996</v>
      </c>
      <c r="E22" s="65">
        <f t="shared" si="15"/>
        <v>671</v>
      </c>
      <c r="F22" s="65">
        <f t="shared" si="15"/>
        <v>1041</v>
      </c>
      <c r="G22" s="65">
        <f t="shared" si="15"/>
        <v>1401</v>
      </c>
      <c r="H22" s="65">
        <f t="shared" si="15"/>
        <v>1812</v>
      </c>
      <c r="I22" s="65">
        <f t="shared" si="15"/>
        <v>2167</v>
      </c>
      <c r="J22" s="65">
        <f t="shared" si="15"/>
        <v>3379</v>
      </c>
      <c r="K22" s="65">
        <f t="shared" si="15"/>
        <v>5314</v>
      </c>
      <c r="L22" s="65">
        <f t="shared" si="15"/>
        <v>7413</v>
      </c>
      <c r="M22" s="65">
        <f t="shared" si="15"/>
        <v>11891</v>
      </c>
      <c r="N22" s="65">
        <f t="shared" si="15"/>
        <v>14275</v>
      </c>
      <c r="O22" s="65">
        <f t="shared" si="15"/>
        <v>11525</v>
      </c>
      <c r="P22" s="65">
        <f t="shared" si="15"/>
        <v>7875</v>
      </c>
      <c r="Q22" s="65">
        <f t="shared" si="15"/>
        <v>11054</v>
      </c>
      <c r="R22" s="65">
        <f t="shared" si="15"/>
        <v>12196</v>
      </c>
      <c r="S22" s="65">
        <f t="shared" si="15"/>
        <v>16628</v>
      </c>
      <c r="T22" s="65">
        <f t="shared" si="15"/>
        <v>18262</v>
      </c>
      <c r="U22" s="65">
        <f t="shared" si="15"/>
        <v>20101</v>
      </c>
      <c r="V22" s="65">
        <f t="shared" si="15"/>
        <v>23814</v>
      </c>
      <c r="W22" s="65">
        <f t="shared" si="15"/>
        <v>19821</v>
      </c>
      <c r="X22" s="65">
        <f t="shared" si="15"/>
        <v>25013</v>
      </c>
      <c r="Y22" s="65">
        <f t="shared" si="15"/>
        <v>28071</v>
      </c>
      <c r="Z22" s="65">
        <f t="shared" si="15"/>
        <v>28460</v>
      </c>
      <c r="AA22" s="65">
        <f t="shared" si="15"/>
        <v>27052</v>
      </c>
      <c r="AB22" s="65">
        <f t="shared" si="15"/>
        <v>27947</v>
      </c>
      <c r="AC22" s="65">
        <f t="shared" si="15"/>
        <v>28518</v>
      </c>
      <c r="AD22" s="65">
        <f t="shared" si="15"/>
        <v>26749</v>
      </c>
      <c r="AE22" s="65">
        <f t="shared" si="15"/>
        <v>30207</v>
      </c>
      <c r="AF22" s="65">
        <f t="shared" si="15"/>
        <v>36474</v>
      </c>
      <c r="AG22" s="65">
        <f t="shared" ref="AG22:AH22" si="16">+AG18-AG21</f>
        <v>43688</v>
      </c>
      <c r="AH22" s="65">
        <f t="shared" si="16"/>
        <v>53036</v>
      </c>
      <c r="AJ22" s="25">
        <f>IFERROR((AH22/AC22)^(1/5)-1,"n/a ")</f>
        <v>0.13211446513402048</v>
      </c>
      <c r="AK22" s="25">
        <f>IFERROR((AH22/X22)^(1/10)-1,"n/a ")</f>
        <v>7.8053956723850293E-2</v>
      </c>
      <c r="AL22" s="25">
        <f>IFERROR((AH22/S22)^(1/15)-1,"n/a ")</f>
        <v>8.0393716614787225E-2</v>
      </c>
      <c r="AM22" s="25">
        <f>IFERROR((AH22/N22)^(1/20)-1,"n/a ")</f>
        <v>6.7824134209501841E-2</v>
      </c>
      <c r="AN22" s="25">
        <f>IFERROR(IF(AH22/I22&lt;1,"n/m ",(AH22/I22)^(1/25)-1),"n/a ")</f>
        <v>0.13644513555653459</v>
      </c>
    </row>
    <row r="23" spans="2:49" ht="11.45">
      <c r="B23" s="12" t="s">
        <v>1836</v>
      </c>
      <c r="D23" s="10">
        <f t="shared" ref="D23:AE23" si="17">+MAX(0.35*D22,0)</f>
        <v>143.69739999999999</v>
      </c>
      <c r="E23" s="10">
        <f t="shared" si="17"/>
        <v>234.85</v>
      </c>
      <c r="F23" s="10">
        <f t="shared" si="17"/>
        <v>364.34999999999997</v>
      </c>
      <c r="G23" s="10">
        <f t="shared" si="17"/>
        <v>490.34999999999997</v>
      </c>
      <c r="H23" s="10">
        <f t="shared" si="17"/>
        <v>634.19999999999993</v>
      </c>
      <c r="I23" s="10">
        <f t="shared" si="17"/>
        <v>758.44999999999993</v>
      </c>
      <c r="J23" s="10">
        <f t="shared" si="17"/>
        <v>1182.6499999999999</v>
      </c>
      <c r="K23" s="10">
        <f t="shared" si="17"/>
        <v>1859.8999999999999</v>
      </c>
      <c r="L23" s="10">
        <f t="shared" si="17"/>
        <v>2594.5499999999997</v>
      </c>
      <c r="M23" s="10">
        <f t="shared" si="17"/>
        <v>4161.8499999999995</v>
      </c>
      <c r="N23" s="10">
        <f t="shared" si="17"/>
        <v>4996.25</v>
      </c>
      <c r="O23" s="10">
        <f t="shared" si="17"/>
        <v>4033.7499999999995</v>
      </c>
      <c r="P23" s="10">
        <f t="shared" si="17"/>
        <v>2756.25</v>
      </c>
      <c r="Q23" s="10">
        <f t="shared" si="17"/>
        <v>3868.8999999999996</v>
      </c>
      <c r="R23" s="10">
        <f t="shared" si="17"/>
        <v>4268.5999999999995</v>
      </c>
      <c r="S23" s="10">
        <f t="shared" si="17"/>
        <v>5819.7999999999993</v>
      </c>
      <c r="T23" s="10">
        <f t="shared" si="17"/>
        <v>6391.7</v>
      </c>
      <c r="U23" s="10">
        <f t="shared" si="17"/>
        <v>7035.3499999999995</v>
      </c>
      <c r="V23" s="10">
        <f t="shared" si="17"/>
        <v>8334.9</v>
      </c>
      <c r="W23" s="10">
        <f t="shared" si="17"/>
        <v>6937.3499999999995</v>
      </c>
      <c r="X23" s="10">
        <f t="shared" si="17"/>
        <v>8754.5499999999993</v>
      </c>
      <c r="Y23" s="10">
        <f t="shared" si="17"/>
        <v>9824.8499999999985</v>
      </c>
      <c r="Z23" s="10">
        <f t="shared" si="17"/>
        <v>9961</v>
      </c>
      <c r="AA23" s="10">
        <f t="shared" si="17"/>
        <v>9468.1999999999989</v>
      </c>
      <c r="AB23" s="10">
        <f t="shared" si="17"/>
        <v>9781.4499999999989</v>
      </c>
      <c r="AC23" s="10">
        <f t="shared" si="17"/>
        <v>9981.2999999999993</v>
      </c>
      <c r="AD23" s="10">
        <f t="shared" si="17"/>
        <v>9362.15</v>
      </c>
      <c r="AE23" s="10">
        <f t="shared" si="17"/>
        <v>10572.449999999999</v>
      </c>
      <c r="AF23" s="10">
        <f>+MAX(0.3*AF22,0)</f>
        <v>10942.199999999999</v>
      </c>
      <c r="AG23" s="10">
        <f>+MAX(0.21*AG22,0)</f>
        <v>9174.48</v>
      </c>
      <c r="AH23" s="10">
        <f t="shared" ref="AH23" si="18">+MAX(0.21*AH22,0)</f>
        <v>11137.56</v>
      </c>
      <c r="AJ23" s="43"/>
      <c r="AK23" s="43"/>
      <c r="AL23" s="43"/>
      <c r="AM23" s="43"/>
      <c r="AN23" s="43"/>
    </row>
    <row r="24" spans="2:49" s="37" customFormat="1" ht="10.5">
      <c r="B24" s="37" t="s">
        <v>1837</v>
      </c>
      <c r="D24" s="82">
        <f t="shared" ref="D24:AF24" si="19">+D22-D23</f>
        <v>266.86659999999995</v>
      </c>
      <c r="E24" s="82">
        <f t="shared" si="19"/>
        <v>436.15</v>
      </c>
      <c r="F24" s="82">
        <f t="shared" si="19"/>
        <v>676.65000000000009</v>
      </c>
      <c r="G24" s="82">
        <f t="shared" si="19"/>
        <v>910.65000000000009</v>
      </c>
      <c r="H24" s="82">
        <f t="shared" si="19"/>
        <v>1177.8000000000002</v>
      </c>
      <c r="I24" s="82">
        <f t="shared" si="19"/>
        <v>1408.5500000000002</v>
      </c>
      <c r="J24" s="82">
        <f t="shared" si="19"/>
        <v>2196.3500000000004</v>
      </c>
      <c r="K24" s="82">
        <f t="shared" si="19"/>
        <v>3454.1000000000004</v>
      </c>
      <c r="L24" s="82">
        <f t="shared" si="19"/>
        <v>4818.4500000000007</v>
      </c>
      <c r="M24" s="82">
        <f t="shared" si="19"/>
        <v>7729.1500000000005</v>
      </c>
      <c r="N24" s="82">
        <f t="shared" si="19"/>
        <v>9278.75</v>
      </c>
      <c r="O24" s="82">
        <f t="shared" si="19"/>
        <v>7491.25</v>
      </c>
      <c r="P24" s="82">
        <f t="shared" si="19"/>
        <v>5118.75</v>
      </c>
      <c r="Q24" s="82">
        <f t="shared" si="19"/>
        <v>7185.1</v>
      </c>
      <c r="R24" s="82">
        <f t="shared" si="19"/>
        <v>7927.4000000000005</v>
      </c>
      <c r="S24" s="82">
        <f t="shared" si="19"/>
        <v>10808.2</v>
      </c>
      <c r="T24" s="82">
        <f t="shared" si="19"/>
        <v>11870.3</v>
      </c>
      <c r="U24" s="82">
        <f t="shared" si="19"/>
        <v>13065.650000000001</v>
      </c>
      <c r="V24" s="82">
        <f t="shared" si="19"/>
        <v>15479.1</v>
      </c>
      <c r="W24" s="82">
        <f t="shared" si="19"/>
        <v>12883.650000000001</v>
      </c>
      <c r="X24" s="82">
        <f t="shared" si="19"/>
        <v>16258.45</v>
      </c>
      <c r="Y24" s="82">
        <f t="shared" si="19"/>
        <v>18246.150000000001</v>
      </c>
      <c r="Z24" s="82">
        <f t="shared" si="19"/>
        <v>18499</v>
      </c>
      <c r="AA24" s="82">
        <f t="shared" si="19"/>
        <v>17583.800000000003</v>
      </c>
      <c r="AB24" s="82">
        <f t="shared" si="19"/>
        <v>18165.550000000003</v>
      </c>
      <c r="AC24" s="82">
        <f t="shared" si="19"/>
        <v>18536.7</v>
      </c>
      <c r="AD24" s="82">
        <f t="shared" si="19"/>
        <v>17386.849999999999</v>
      </c>
      <c r="AE24" s="82">
        <f t="shared" si="19"/>
        <v>19634.550000000003</v>
      </c>
      <c r="AF24" s="82">
        <f t="shared" si="19"/>
        <v>25531.800000000003</v>
      </c>
      <c r="AG24" s="82">
        <f t="shared" ref="AG24:AH24" si="20">+AG22-AG23</f>
        <v>34513.520000000004</v>
      </c>
      <c r="AH24" s="82">
        <f t="shared" si="20"/>
        <v>41898.44</v>
      </c>
      <c r="AJ24" s="81">
        <f>IFERROR((AH24/AC24)^(1/5)-1,"n/a ")</f>
        <v>0.1771534678701312</v>
      </c>
      <c r="AK24" s="81">
        <f>IFERROR((AH24/X24)^(1/10)-1,"n/a ")</f>
        <v>9.9288972436375245E-2</v>
      </c>
      <c r="AL24" s="81">
        <f>IFERROR((AH24/S24)^(1/15)-1,"n/a ")</f>
        <v>9.4534945733568021E-2</v>
      </c>
      <c r="AM24" s="81">
        <f>IFERROR((AH24/N24)^(1/20)-1,"n/a ")</f>
        <v>7.8289606163490566E-2</v>
      </c>
      <c r="AN24" s="81">
        <f>IFERROR(IF(AH24/I24&lt;1,"n/m ",(AH24/I24)^(1/25)-1),"n/a ")</f>
        <v>0.14534684385307894</v>
      </c>
    </row>
    <row r="25" spans="2:49">
      <c r="B25" s="13" t="s">
        <v>1429</v>
      </c>
      <c r="D25" s="14"/>
      <c r="E25" s="14">
        <f t="shared" ref="E25:AF25" si="21">+IF(E24/D24&lt;0,"n/m ",E24/D24-1)</f>
        <v>0.63433715571750104</v>
      </c>
      <c r="F25" s="14">
        <f t="shared" si="21"/>
        <v>0.55141579731743695</v>
      </c>
      <c r="G25" s="14">
        <f t="shared" si="21"/>
        <v>0.34582132564841483</v>
      </c>
      <c r="H25" s="14">
        <f t="shared" si="21"/>
        <v>0.29336188436830835</v>
      </c>
      <c r="I25" s="14">
        <f t="shared" si="21"/>
        <v>0.19591611479028703</v>
      </c>
      <c r="J25" s="14">
        <f t="shared" si="21"/>
        <v>0.55929856945085388</v>
      </c>
      <c r="K25" s="14">
        <f t="shared" si="21"/>
        <v>0.57265463154779517</v>
      </c>
      <c r="L25" s="14">
        <f t="shared" si="21"/>
        <v>0.39499435453519016</v>
      </c>
      <c r="M25" s="14">
        <f t="shared" si="21"/>
        <v>0.6040739241872386</v>
      </c>
      <c r="N25" s="14">
        <f t="shared" si="21"/>
        <v>0.20048776385501621</v>
      </c>
      <c r="O25" s="14">
        <f t="shared" si="21"/>
        <v>-0.19264448336252193</v>
      </c>
      <c r="P25" s="14">
        <f t="shared" si="21"/>
        <v>-0.31670281995661609</v>
      </c>
      <c r="Q25" s="14">
        <f t="shared" si="21"/>
        <v>0.40368253968253964</v>
      </c>
      <c r="R25" s="14">
        <f t="shared" si="21"/>
        <v>0.10331101863578795</v>
      </c>
      <c r="S25" s="14">
        <f t="shared" si="21"/>
        <v>0.36339783535585446</v>
      </c>
      <c r="T25" s="14">
        <f t="shared" si="21"/>
        <v>9.8267981717584663E-2</v>
      </c>
      <c r="U25" s="14">
        <f t="shared" si="21"/>
        <v>0.10070090899134843</v>
      </c>
      <c r="V25" s="14">
        <f t="shared" si="21"/>
        <v>0.18471717824983824</v>
      </c>
      <c r="W25" s="14">
        <f t="shared" si="21"/>
        <v>-0.16767447719828665</v>
      </c>
      <c r="X25" s="14">
        <f t="shared" si="21"/>
        <v>0.26194440240149319</v>
      </c>
      <c r="Y25" s="14">
        <f t="shared" si="21"/>
        <v>0.12225642665813785</v>
      </c>
      <c r="Z25" s="14">
        <f t="shared" si="21"/>
        <v>1.3857717929535829E-2</v>
      </c>
      <c r="AA25" s="14">
        <f t="shared" si="21"/>
        <v>-4.9472944483485382E-2</v>
      </c>
      <c r="AB25" s="14">
        <f t="shared" si="21"/>
        <v>3.3084429986692365E-2</v>
      </c>
      <c r="AC25" s="14">
        <f t="shared" si="21"/>
        <v>2.0431531112462764E-2</v>
      </c>
      <c r="AD25" s="14">
        <f t="shared" si="21"/>
        <v>-6.2030997966196932E-2</v>
      </c>
      <c r="AE25" s="14">
        <f t="shared" si="21"/>
        <v>0.12927586077984254</v>
      </c>
      <c r="AF25" s="14">
        <f t="shared" si="21"/>
        <v>0.30035065738710576</v>
      </c>
      <c r="AG25" s="14">
        <f t="shared" ref="AG25" si="22">+IF(AG24/AF24&lt;0,"n/m ",AG24/AF24-1)</f>
        <v>0.35178561636860706</v>
      </c>
      <c r="AH25" s="14">
        <f t="shared" ref="AH25" si="23">+IF(AH24/AG24&lt;0,"n/m ",AH24/AG24-1)</f>
        <v>0.21397180003662331</v>
      </c>
      <c r="AJ25" s="43"/>
      <c r="AK25" s="43"/>
      <c r="AL25" s="43"/>
      <c r="AM25" s="43"/>
      <c r="AN25" s="43"/>
    </row>
    <row r="26" spans="2:49" ht="11.45">
      <c r="B26" t="s">
        <v>1464</v>
      </c>
      <c r="D26" s="30">
        <v>8597.6640000000007</v>
      </c>
      <c r="E26" s="30">
        <v>9024</v>
      </c>
      <c r="F26" s="30">
        <v>9408</v>
      </c>
      <c r="G26" s="30">
        <v>9696</v>
      </c>
      <c r="H26" s="30">
        <v>9760</v>
      </c>
      <c r="I26" s="30">
        <v>10032</v>
      </c>
      <c r="J26" s="30">
        <v>10244</v>
      </c>
      <c r="K26" s="30">
        <v>10488</v>
      </c>
      <c r="L26" s="30">
        <v>10724</v>
      </c>
      <c r="M26" s="30">
        <v>10964</v>
      </c>
      <c r="N26" s="30">
        <v>11072</v>
      </c>
      <c r="O26" s="30">
        <v>11148</v>
      </c>
      <c r="P26" s="30">
        <v>11106</v>
      </c>
      <c r="Q26" s="30">
        <v>10882</v>
      </c>
      <c r="R26" s="30">
        <v>10894</v>
      </c>
      <c r="S26" s="30">
        <v>10906</v>
      </c>
      <c r="T26" s="30">
        <v>10531</v>
      </c>
      <c r="U26" s="30">
        <v>9886</v>
      </c>
      <c r="V26" s="30">
        <v>9470</v>
      </c>
      <c r="W26" s="30">
        <v>8996</v>
      </c>
      <c r="X26" s="30">
        <v>8927</v>
      </c>
      <c r="Y26" s="30">
        <v>8593</v>
      </c>
      <c r="Z26" s="30">
        <v>8506</v>
      </c>
      <c r="AA26" s="30">
        <v>8470</v>
      </c>
      <c r="AB26" s="30">
        <v>8399</v>
      </c>
      <c r="AC26" s="30">
        <v>8254</v>
      </c>
      <c r="AD26" s="30">
        <v>8013</v>
      </c>
      <c r="AE26" s="30">
        <v>7832</v>
      </c>
      <c r="AF26" s="30">
        <f>+'Historical Financials'!BI1091</f>
        <v>7769.5</v>
      </c>
      <c r="AG26" s="30">
        <f>+'Historical Financials'!BJ1091</f>
        <v>7753</v>
      </c>
      <c r="AH26" s="30">
        <f>+'Historical Financials'!BK1091</f>
        <v>7683</v>
      </c>
      <c r="AI26" s="29"/>
      <c r="AJ26" s="25">
        <f>IFERROR((AH26/AC26)^(1/5)-1,"n/a ")</f>
        <v>-1.4235273637258405E-2</v>
      </c>
      <c r="AK26" s="25">
        <f>IFERROR((AH26/X26)^(1/10)-1,"n/a ")</f>
        <v>-1.4894985346196599E-2</v>
      </c>
      <c r="AL26" s="25">
        <f>IFERROR((AH26/S26)^(1/15)-1,"n/a ")</f>
        <v>-2.308295006564709E-2</v>
      </c>
      <c r="AM26" s="25">
        <f>IFERROR((AH26/N26)^(1/20)-1,"n/a ")</f>
        <v>-1.8104572052152657E-2</v>
      </c>
      <c r="AN26" s="25" t="str">
        <f>IFERROR(IF(AH26/I26&lt;1,"n/m ",(AH26/I26)^(1/25)-1),"n/a ")</f>
        <v xml:space="preserve">n/m </v>
      </c>
    </row>
    <row r="27" spans="2:49" s="37" customFormat="1" ht="10.5">
      <c r="B27" s="37" t="s">
        <v>302</v>
      </c>
      <c r="D27" s="38">
        <f t="shared" ref="D27:AF27" si="24">+D24/D26</f>
        <v>3.1039431175724001E-2</v>
      </c>
      <c r="E27" s="38">
        <f t="shared" si="24"/>
        <v>4.8332225177304962E-2</v>
      </c>
      <c r="F27" s="38">
        <f t="shared" si="24"/>
        <v>7.1922831632653075E-2</v>
      </c>
      <c r="G27" s="38">
        <f t="shared" si="24"/>
        <v>9.392017326732674E-2</v>
      </c>
      <c r="H27" s="38">
        <f t="shared" si="24"/>
        <v>0.12067622950819674</v>
      </c>
      <c r="I27" s="38">
        <f t="shared" si="24"/>
        <v>0.14040570175438599</v>
      </c>
      <c r="J27" s="38">
        <f t="shared" si="24"/>
        <v>0.21440355329949243</v>
      </c>
      <c r="K27" s="38">
        <f t="shared" si="24"/>
        <v>0.32933829138062554</v>
      </c>
      <c r="L27" s="38">
        <f t="shared" si="24"/>
        <v>0.44931462140992173</v>
      </c>
      <c r="M27" s="38">
        <f t="shared" si="24"/>
        <v>0.70495713243341851</v>
      </c>
      <c r="N27" s="38">
        <f t="shared" si="24"/>
        <v>0.83803739161849711</v>
      </c>
      <c r="O27" s="38">
        <f t="shared" si="24"/>
        <v>0.67198152134912092</v>
      </c>
      <c r="P27" s="38">
        <f t="shared" si="24"/>
        <v>0.46089951377633709</v>
      </c>
      <c r="Q27" s="38">
        <f t="shared" si="24"/>
        <v>0.66027384671935307</v>
      </c>
      <c r="R27" s="38">
        <f t="shared" si="24"/>
        <v>0.72768496420047735</v>
      </c>
      <c r="S27" s="38">
        <f t="shared" si="24"/>
        <v>0.99103245919677252</v>
      </c>
      <c r="T27" s="38">
        <f t="shared" si="24"/>
        <v>1.1271769062767067</v>
      </c>
      <c r="U27" s="38">
        <f t="shared" si="24"/>
        <v>1.3216316002427677</v>
      </c>
      <c r="V27" s="38">
        <f t="shared" si="24"/>
        <v>1.6345406546990497</v>
      </c>
      <c r="W27" s="38">
        <f t="shared" si="24"/>
        <v>1.4321531791907516</v>
      </c>
      <c r="X27" s="38">
        <f t="shared" si="24"/>
        <v>1.821266942981965</v>
      </c>
      <c r="Y27" s="38">
        <f t="shared" si="24"/>
        <v>2.123373676248109</v>
      </c>
      <c r="Z27" s="38">
        <f t="shared" si="24"/>
        <v>2.17481777568775</v>
      </c>
      <c r="AA27" s="38">
        <f t="shared" si="24"/>
        <v>2.0760094451003543</v>
      </c>
      <c r="AB27" s="38">
        <f t="shared" si="24"/>
        <v>2.1628229551137044</v>
      </c>
      <c r="AC27" s="38">
        <f t="shared" si="24"/>
        <v>2.2457838623697604</v>
      </c>
      <c r="AD27" s="38">
        <f t="shared" si="24"/>
        <v>2.169830275801822</v>
      </c>
      <c r="AE27" s="38">
        <f t="shared" si="24"/>
        <v>2.5069650153217573</v>
      </c>
      <c r="AF27" s="38">
        <f t="shared" si="24"/>
        <v>3.2861574103867692</v>
      </c>
      <c r="AG27" s="38">
        <f t="shared" ref="AG27:AH27" si="25">+AG24/AG26</f>
        <v>4.4516342061137628</v>
      </c>
      <c r="AH27" s="38">
        <f t="shared" si="25"/>
        <v>5.4533958089288044</v>
      </c>
      <c r="AJ27" s="81">
        <f>IFERROR((AH27/AC27)^(1/5)-1,"n/a ")</f>
        <v>0.19415255627331329</v>
      </c>
      <c r="AK27" s="81">
        <f>IFERROR((AH27/X27)^(1/10)-1,"n/a ")</f>
        <v>0.11591044211941171</v>
      </c>
      <c r="AL27" s="81">
        <f>IFERROR((AH27/S27)^(1/15)-1,"n/a ")</f>
        <v>0.12039701406288161</v>
      </c>
      <c r="AM27" s="81">
        <f>IFERROR((AH27/N27)^(1/20)-1,"n/a ")</f>
        <v>9.8171531786339195E-2</v>
      </c>
      <c r="AN27" s="81">
        <f>IFERROR(IF(AH27/I27&lt;1,"n/m ",(AH27/I27)^(1/25)-1),"n/a ")</f>
        <v>0.15763404634533029</v>
      </c>
    </row>
    <row r="28" spans="2:49">
      <c r="B28" s="13" t="s">
        <v>1429</v>
      </c>
      <c r="D28" s="14"/>
      <c r="E28" s="14">
        <f t="shared" ref="E28:AF28" si="26">+IF(E27/D27&lt;0,"n/m ",E27/D27-1)</f>
        <v>0.55712341839259238</v>
      </c>
      <c r="F28" s="14">
        <f t="shared" si="26"/>
        <v>0.4880927035493785</v>
      </c>
      <c r="G28" s="14">
        <f t="shared" si="26"/>
        <v>0.3058464347875709</v>
      </c>
      <c r="H28" s="14">
        <f t="shared" si="26"/>
        <v>0.28488082283146721</v>
      </c>
      <c r="I28" s="14">
        <f t="shared" si="26"/>
        <v>0.16349095697300653</v>
      </c>
      <c r="J28" s="14">
        <f t="shared" si="26"/>
        <v>0.52702882162543574</v>
      </c>
      <c r="K28" s="14">
        <f t="shared" si="26"/>
        <v>0.53606731937219809</v>
      </c>
      <c r="L28" s="14">
        <f t="shared" si="26"/>
        <v>0.36429511286507577</v>
      </c>
      <c r="M28" s="14">
        <f t="shared" si="26"/>
        <v>0.56896103274206</v>
      </c>
      <c r="N28" s="14">
        <f t="shared" si="26"/>
        <v>0.18877780373070796</v>
      </c>
      <c r="O28" s="14">
        <f t="shared" si="26"/>
        <v>-0.19814852168907804</v>
      </c>
      <c r="P28" s="14">
        <f t="shared" si="26"/>
        <v>-0.31411876795213001</v>
      </c>
      <c r="Q28" s="14">
        <f t="shared" si="26"/>
        <v>0.43257657468427557</v>
      </c>
      <c r="R28" s="14">
        <f t="shared" si="26"/>
        <v>0.10209569531803231</v>
      </c>
      <c r="S28" s="14">
        <f t="shared" si="26"/>
        <v>0.36189767269087469</v>
      </c>
      <c r="T28" s="14">
        <f t="shared" si="26"/>
        <v>0.13737637533111546</v>
      </c>
      <c r="U28" s="14">
        <f t="shared" si="26"/>
        <v>0.17251479593241847</v>
      </c>
      <c r="V28" s="14">
        <f t="shared" si="26"/>
        <v>0.23675966464391784</v>
      </c>
      <c r="W28" s="14">
        <f t="shared" si="26"/>
        <v>-0.12381917508534623</v>
      </c>
      <c r="X28" s="14">
        <f t="shared" si="26"/>
        <v>0.27169842545130884</v>
      </c>
      <c r="Y28" s="14">
        <f t="shared" si="26"/>
        <v>0.16587723970408419</v>
      </c>
      <c r="Z28" s="14">
        <f t="shared" si="26"/>
        <v>2.4227529998648301E-2</v>
      </c>
      <c r="AA28" s="14">
        <f t="shared" si="26"/>
        <v>-4.5432923940558312E-2</v>
      </c>
      <c r="AB28" s="14">
        <f t="shared" si="26"/>
        <v>4.1817492795247491E-2</v>
      </c>
      <c r="AC28" s="14">
        <f t="shared" si="26"/>
        <v>3.8357696851656797E-2</v>
      </c>
      <c r="AD28" s="14">
        <f t="shared" si="26"/>
        <v>-3.3820523800447977E-2</v>
      </c>
      <c r="AE28" s="14">
        <f t="shared" si="26"/>
        <v>0.15537378350726216</v>
      </c>
      <c r="AF28" s="14">
        <f t="shared" si="26"/>
        <v>0.31081103657324327</v>
      </c>
      <c r="AG28" s="14">
        <f t="shared" ref="AG28" si="27">+IF(AG27/AF27&lt;0,"n/m ",AG27/AF27-1)</f>
        <v>0.35466249792027482</v>
      </c>
      <c r="AH28" s="14">
        <f t="shared" ref="AH28" si="28">+IF(AH27/AG27&lt;0,"n/m ",AH27/AG27-1)</f>
        <v>0.22503232665416384</v>
      </c>
      <c r="AJ28" s="43"/>
      <c r="AK28" s="43"/>
      <c r="AL28" s="43"/>
      <c r="AM28" s="43"/>
      <c r="AN28" s="43"/>
    </row>
    <row r="29" spans="2:49">
      <c r="B29" s="13"/>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J29" s="43"/>
      <c r="AK29" s="43"/>
      <c r="AL29" s="43"/>
      <c r="AM29" s="43"/>
      <c r="AN29" s="43"/>
    </row>
    <row r="30" spans="2:49">
      <c r="B30" s="24" t="s">
        <v>127</v>
      </c>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J30" s="43"/>
      <c r="AK30" s="43"/>
      <c r="AL30" s="43"/>
      <c r="AM30" s="43"/>
      <c r="AN30" s="43"/>
    </row>
    <row r="31" spans="2:49" s="37" customFormat="1" ht="10.5">
      <c r="B31" s="39" t="s">
        <v>121</v>
      </c>
      <c r="D31" s="82">
        <f t="shared" ref="D31:AF31" si="29">+D18+D37</f>
        <v>439.55599999999993</v>
      </c>
      <c r="E31" s="82">
        <f t="shared" si="29"/>
        <v>726</v>
      </c>
      <c r="F31" s="82">
        <f t="shared" si="29"/>
        <v>1108</v>
      </c>
      <c r="G31" s="82">
        <f t="shared" si="29"/>
        <v>1477</v>
      </c>
      <c r="H31" s="82">
        <f t="shared" si="29"/>
        <v>1963</v>
      </c>
      <c r="I31" s="82">
        <f t="shared" si="29"/>
        <v>2307</v>
      </c>
      <c r="J31" s="82">
        <f t="shared" si="29"/>
        <v>3558</v>
      </c>
      <c r="K31" s="82">
        <f t="shared" si="29"/>
        <v>5687</v>
      </c>
      <c r="L31" s="82">
        <f t="shared" si="29"/>
        <v>7964</v>
      </c>
      <c r="M31" s="82">
        <f t="shared" si="29"/>
        <v>10936</v>
      </c>
      <c r="N31" s="82">
        <f t="shared" si="29"/>
        <v>12256</v>
      </c>
      <c r="O31" s="82">
        <f t="shared" si="29"/>
        <v>13256</v>
      </c>
      <c r="P31" s="82">
        <f t="shared" si="29"/>
        <v>9210</v>
      </c>
      <c r="Q31" s="82">
        <f t="shared" si="29"/>
        <v>10938</v>
      </c>
      <c r="R31" s="82">
        <f t="shared" si="29"/>
        <v>10220</v>
      </c>
      <c r="S31" s="82">
        <f t="shared" si="29"/>
        <v>15416</v>
      </c>
      <c r="T31" s="82">
        <f t="shared" si="29"/>
        <v>17375</v>
      </c>
      <c r="U31" s="82">
        <f t="shared" si="29"/>
        <v>19878</v>
      </c>
      <c r="V31" s="82">
        <f t="shared" si="29"/>
        <v>24327</v>
      </c>
      <c r="W31" s="82">
        <f t="shared" si="29"/>
        <v>22925</v>
      </c>
      <c r="X31" s="82">
        <f t="shared" si="29"/>
        <v>26771</v>
      </c>
      <c r="Y31" s="82">
        <f t="shared" si="29"/>
        <v>29927</v>
      </c>
      <c r="Z31" s="82">
        <f t="shared" si="29"/>
        <v>30923</v>
      </c>
      <c r="AA31" s="82">
        <f t="shared" si="29"/>
        <v>30519</v>
      </c>
      <c r="AB31" s="82">
        <f t="shared" si="29"/>
        <v>33098</v>
      </c>
      <c r="AC31" s="82">
        <f t="shared" si="29"/>
        <v>34129</v>
      </c>
      <c r="AD31" s="82">
        <f t="shared" si="29"/>
        <v>33810</v>
      </c>
      <c r="AE31" s="82">
        <f t="shared" si="29"/>
        <v>38109</v>
      </c>
      <c r="AF31" s="82">
        <f t="shared" si="29"/>
        <v>45319</v>
      </c>
      <c r="AG31" s="82">
        <f t="shared" ref="AG31:AH31" si="30">+AG18+AG37</f>
        <v>54641</v>
      </c>
      <c r="AH31" s="82">
        <f t="shared" si="30"/>
        <v>65755</v>
      </c>
      <c r="AJ31" s="81">
        <f>IFERROR((AH31/AC31)^(1/5)-1,"n/a ")</f>
        <v>0.14014751163691308</v>
      </c>
      <c r="AK31" s="81">
        <f>IFERROR((AH31/X31)^(1/10)-1,"n/a ")</f>
        <v>9.4022915351401171E-2</v>
      </c>
      <c r="AL31" s="81">
        <f>IFERROR((AH31/S31)^(1/15)-1,"n/a ")</f>
        <v>0.10153205219075678</v>
      </c>
      <c r="AM31" s="81">
        <f>IFERROR((AH31/N31)^(1/20)-1,"n/a ")</f>
        <v>8.7624548783345357E-2</v>
      </c>
      <c r="AN31" s="81">
        <f>IFERROR((AH31/I31)^(1/25)-1,"n/a ")</f>
        <v>0.1433922586780787</v>
      </c>
    </row>
    <row r="32" spans="2:49">
      <c r="B32" s="19" t="s">
        <v>1429</v>
      </c>
      <c r="D32" s="14"/>
      <c r="E32" s="14">
        <f t="shared" ref="E32:AF32" si="31">+IF(E31/D31&lt;0,"n/m ",E31/D31-1)</f>
        <v>0.65166668183348686</v>
      </c>
      <c r="F32" s="14">
        <f t="shared" si="31"/>
        <v>0.52617079889807172</v>
      </c>
      <c r="G32" s="14">
        <f t="shared" si="31"/>
        <v>0.33303249097472931</v>
      </c>
      <c r="H32" s="14">
        <f t="shared" si="31"/>
        <v>0.32904536222071767</v>
      </c>
      <c r="I32" s="14">
        <f t="shared" si="31"/>
        <v>0.17524197656647988</v>
      </c>
      <c r="J32" s="14">
        <f t="shared" si="31"/>
        <v>0.5422626788036411</v>
      </c>
      <c r="K32" s="14">
        <f t="shared" si="31"/>
        <v>0.59836987071388426</v>
      </c>
      <c r="L32" s="14">
        <f t="shared" si="31"/>
        <v>0.40038684719535778</v>
      </c>
      <c r="M32" s="14">
        <f t="shared" si="31"/>
        <v>0.37317930688096435</v>
      </c>
      <c r="N32" s="14">
        <f t="shared" si="31"/>
        <v>0.12070226773957571</v>
      </c>
      <c r="O32" s="14">
        <f t="shared" si="31"/>
        <v>8.1592689295039156E-2</v>
      </c>
      <c r="P32" s="14">
        <f t="shared" si="31"/>
        <v>-0.30522027761013881</v>
      </c>
      <c r="Q32" s="14">
        <f t="shared" si="31"/>
        <v>0.18762214983713354</v>
      </c>
      <c r="R32" s="14">
        <f t="shared" si="31"/>
        <v>-6.5642713475955405E-2</v>
      </c>
      <c r="S32" s="14">
        <f t="shared" si="31"/>
        <v>0.50841487279843434</v>
      </c>
      <c r="T32" s="14">
        <f t="shared" si="31"/>
        <v>0.12707576543850552</v>
      </c>
      <c r="U32" s="14">
        <f t="shared" si="31"/>
        <v>0.14405755395683451</v>
      </c>
      <c r="V32" s="14">
        <f t="shared" si="31"/>
        <v>0.22381527316631455</v>
      </c>
      <c r="W32" s="14">
        <f t="shared" si="31"/>
        <v>-5.7631438319562633E-2</v>
      </c>
      <c r="X32" s="14">
        <f t="shared" si="31"/>
        <v>0.16776444929116674</v>
      </c>
      <c r="Y32" s="14">
        <f t="shared" si="31"/>
        <v>0.11788876022561734</v>
      </c>
      <c r="Z32" s="14">
        <f t="shared" si="31"/>
        <v>3.3280983727069113E-2</v>
      </c>
      <c r="AA32" s="14">
        <f t="shared" si="31"/>
        <v>-1.3064709116191842E-2</v>
      </c>
      <c r="AB32" s="14">
        <f t="shared" si="31"/>
        <v>8.4504734755398214E-2</v>
      </c>
      <c r="AC32" s="14">
        <f t="shared" si="31"/>
        <v>3.1149918424073997E-2</v>
      </c>
      <c r="AD32" s="14">
        <f t="shared" si="31"/>
        <v>-9.3468897418617081E-3</v>
      </c>
      <c r="AE32" s="14">
        <f t="shared" si="31"/>
        <v>0.12715173025732041</v>
      </c>
      <c r="AF32" s="14">
        <f t="shared" si="31"/>
        <v>0.18919415361200764</v>
      </c>
      <c r="AG32" s="14">
        <f t="shared" ref="AG32" si="32">+IF(AG31/AF31&lt;0,"n/m ",AG31/AF31-1)</f>
        <v>0.2056973896158345</v>
      </c>
      <c r="AH32" s="14">
        <f t="shared" ref="AH32" si="33">+IF(AH31/AG31&lt;0,"n/m ",AH31/AG31-1)</f>
        <v>0.20340037700627733</v>
      </c>
      <c r="AJ32" s="43"/>
      <c r="AK32" s="43"/>
      <c r="AL32" s="43"/>
      <c r="AM32" s="43"/>
      <c r="AN32" s="43"/>
    </row>
    <row r="33" spans="2:40">
      <c r="B33" s="19" t="s">
        <v>310</v>
      </c>
      <c r="D33" s="14">
        <f t="shared" ref="D33:AF33" si="34">+D31/D12</f>
        <v>0.37142041123971853</v>
      </c>
      <c r="E33" s="14">
        <f t="shared" si="34"/>
        <v>0.39392295170916986</v>
      </c>
      <c r="F33" s="14">
        <f t="shared" si="34"/>
        <v>0.40159478071765131</v>
      </c>
      <c r="G33" s="14">
        <f t="shared" si="34"/>
        <v>0.39355182520650145</v>
      </c>
      <c r="H33" s="14">
        <f t="shared" si="34"/>
        <v>0.42224134222413423</v>
      </c>
      <c r="I33" s="14">
        <f t="shared" si="34"/>
        <v>0.38858009095502777</v>
      </c>
      <c r="J33" s="14">
        <f t="shared" si="34"/>
        <v>0.41033329489101605</v>
      </c>
      <c r="K33" s="14">
        <f t="shared" si="34"/>
        <v>0.47645777479892759</v>
      </c>
      <c r="L33" s="14">
        <f t="shared" si="34"/>
        <v>0.52181889660594938</v>
      </c>
      <c r="M33" s="14">
        <f t="shared" si="34"/>
        <v>0.55380564136324506</v>
      </c>
      <c r="N33" s="14">
        <f t="shared" si="34"/>
        <v>0.53389092176337338</v>
      </c>
      <c r="O33" s="14">
        <f t="shared" si="34"/>
        <v>0.52403542061986086</v>
      </c>
      <c r="P33" s="14">
        <f t="shared" si="34"/>
        <v>0.32469592808038072</v>
      </c>
      <c r="Q33" s="14">
        <f t="shared" si="34"/>
        <v>0.3398266380836984</v>
      </c>
      <c r="R33" s="14">
        <f t="shared" si="34"/>
        <v>0.2774535088910004</v>
      </c>
      <c r="S33" s="14">
        <f t="shared" si="34"/>
        <v>0.38745350356891523</v>
      </c>
      <c r="T33" s="14">
        <f t="shared" si="34"/>
        <v>0.39237161826475769</v>
      </c>
      <c r="U33" s="14">
        <f t="shared" si="34"/>
        <v>0.38883455263878564</v>
      </c>
      <c r="V33" s="14">
        <f t="shared" si="34"/>
        <v>0.4026315789473684</v>
      </c>
      <c r="W33" s="14">
        <f t="shared" si="34"/>
        <v>0.3923028218423259</v>
      </c>
      <c r="X33" s="14">
        <f t="shared" si="34"/>
        <v>0.4284456820946162</v>
      </c>
      <c r="Y33" s="14">
        <f t="shared" si="34"/>
        <v>0.42787698554537268</v>
      </c>
      <c r="Z33" s="14">
        <f t="shared" si="34"/>
        <v>0.41944847605224966</v>
      </c>
      <c r="AA33" s="14">
        <f t="shared" si="34"/>
        <v>0.39202815707330857</v>
      </c>
      <c r="AB33" s="14">
        <f t="shared" si="34"/>
        <v>0.38116844978291664</v>
      </c>
      <c r="AC33" s="14">
        <f t="shared" si="34"/>
        <v>0.36470399658046593</v>
      </c>
      <c r="AD33" s="14">
        <f t="shared" si="34"/>
        <v>0.37091076639533099</v>
      </c>
      <c r="AE33" s="14">
        <f t="shared" si="34"/>
        <v>0.39462157376438062</v>
      </c>
      <c r="AF33" s="14">
        <f t="shared" si="34"/>
        <v>0.41064697354113811</v>
      </c>
      <c r="AG33" s="14">
        <f t="shared" ref="AG33:AH33" si="35">+AG31/AG12</f>
        <v>0.43419975683987189</v>
      </c>
      <c r="AH33" s="14">
        <f t="shared" si="35"/>
        <v>0.45977694647414608</v>
      </c>
      <c r="AJ33" s="43"/>
      <c r="AK33" s="43"/>
      <c r="AL33" s="43"/>
      <c r="AM33" s="43"/>
      <c r="AN33" s="43"/>
    </row>
    <row r="34" spans="2:40">
      <c r="B34" s="19"/>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J34" s="43"/>
      <c r="AK34" s="43"/>
      <c r="AL34" s="43"/>
      <c r="AM34" s="43"/>
      <c r="AN34" s="43"/>
    </row>
    <row r="35" spans="2:40" ht="10.5">
      <c r="B35" s="45" t="s">
        <v>1838</v>
      </c>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J35" s="43"/>
      <c r="AK35" s="43"/>
      <c r="AL35" s="43"/>
      <c r="AM35" s="43"/>
      <c r="AN35" s="43"/>
    </row>
    <row r="36" spans="2:40">
      <c r="B36" t="s">
        <v>1837</v>
      </c>
      <c r="D36" s="65">
        <f t="shared" ref="D36:AG36" si="36">+D24</f>
        <v>266.86659999999995</v>
      </c>
      <c r="E36" s="65">
        <f t="shared" si="36"/>
        <v>436.15</v>
      </c>
      <c r="F36" s="65">
        <f t="shared" si="36"/>
        <v>676.65000000000009</v>
      </c>
      <c r="G36" s="65">
        <f t="shared" si="36"/>
        <v>910.65000000000009</v>
      </c>
      <c r="H36" s="65">
        <f t="shared" si="36"/>
        <v>1177.8000000000002</v>
      </c>
      <c r="I36" s="65">
        <f t="shared" si="36"/>
        <v>1408.5500000000002</v>
      </c>
      <c r="J36" s="65">
        <f t="shared" si="36"/>
        <v>2196.3500000000004</v>
      </c>
      <c r="K36" s="65">
        <f t="shared" si="36"/>
        <v>3454.1000000000004</v>
      </c>
      <c r="L36" s="65">
        <f t="shared" si="36"/>
        <v>4818.4500000000007</v>
      </c>
      <c r="M36" s="65">
        <f t="shared" si="36"/>
        <v>7729.1500000000005</v>
      </c>
      <c r="N36" s="65">
        <f t="shared" si="36"/>
        <v>9278.75</v>
      </c>
      <c r="O36" s="65">
        <f t="shared" si="36"/>
        <v>7491.25</v>
      </c>
      <c r="P36" s="65">
        <f t="shared" si="36"/>
        <v>5118.75</v>
      </c>
      <c r="Q36" s="65">
        <f t="shared" si="36"/>
        <v>7185.1</v>
      </c>
      <c r="R36" s="65">
        <f t="shared" si="36"/>
        <v>7927.4000000000005</v>
      </c>
      <c r="S36" s="65">
        <f t="shared" si="36"/>
        <v>10808.2</v>
      </c>
      <c r="T36" s="65">
        <f t="shared" si="36"/>
        <v>11870.3</v>
      </c>
      <c r="U36" s="65">
        <f t="shared" si="36"/>
        <v>13065.650000000001</v>
      </c>
      <c r="V36" s="65">
        <f t="shared" si="36"/>
        <v>15479.1</v>
      </c>
      <c r="W36" s="65">
        <f t="shared" si="36"/>
        <v>12883.650000000001</v>
      </c>
      <c r="X36" s="65">
        <f t="shared" si="36"/>
        <v>16258.45</v>
      </c>
      <c r="Y36" s="65">
        <f t="shared" si="36"/>
        <v>18246.150000000001</v>
      </c>
      <c r="Z36" s="65">
        <f t="shared" si="36"/>
        <v>18499</v>
      </c>
      <c r="AA36" s="65">
        <f t="shared" si="36"/>
        <v>17583.800000000003</v>
      </c>
      <c r="AB36" s="65">
        <f t="shared" si="36"/>
        <v>18165.550000000003</v>
      </c>
      <c r="AC36" s="65">
        <f t="shared" si="36"/>
        <v>18536.7</v>
      </c>
      <c r="AD36" s="65">
        <f t="shared" si="36"/>
        <v>17386.849999999999</v>
      </c>
      <c r="AE36" s="65">
        <f t="shared" si="36"/>
        <v>19634.550000000003</v>
      </c>
      <c r="AF36" s="65">
        <f t="shared" si="36"/>
        <v>25531.800000000003</v>
      </c>
      <c r="AG36" s="65">
        <f t="shared" si="36"/>
        <v>34513.520000000004</v>
      </c>
      <c r="AH36" s="65">
        <f t="shared" ref="AH36" si="37">+AH24</f>
        <v>41898.44</v>
      </c>
      <c r="AJ36" s="25">
        <f>IFERROR((AH36/AC36)^(1/5)-1,"n/a ")</f>
        <v>0.1771534678701312</v>
      </c>
      <c r="AK36" s="25">
        <f>IFERROR((AH36/X36)^(1/10)-1,"n/a ")</f>
        <v>9.9288972436375245E-2</v>
      </c>
      <c r="AL36" s="25">
        <f>IFERROR((AH36/S36)^(1/15)-1,"n/a ")</f>
        <v>9.4534945733568021E-2</v>
      </c>
      <c r="AM36" s="25">
        <f>IFERROR((AH36/N36)^(1/20)-1,"n/a ")</f>
        <v>7.8289606163490566E-2</v>
      </c>
      <c r="AN36" s="25">
        <f>IFERROR(IF(AH36/I36&lt;1,"n/m ",(AH36/I36)^(1/25)-1),"n/a ")</f>
        <v>0.14534684385307894</v>
      </c>
    </row>
    <row r="37" spans="2:40">
      <c r="B37" t="s">
        <v>187</v>
      </c>
      <c r="D37" s="29">
        <v>46.317999999999998</v>
      </c>
      <c r="E37" s="29">
        <v>76</v>
      </c>
      <c r="F37" s="29">
        <v>112</v>
      </c>
      <c r="G37" s="29">
        <v>151</v>
      </c>
      <c r="H37" s="29">
        <v>237</v>
      </c>
      <c r="I37" s="29">
        <v>269</v>
      </c>
      <c r="J37" s="29">
        <v>480</v>
      </c>
      <c r="K37" s="29">
        <v>557</v>
      </c>
      <c r="L37" s="29">
        <v>1024</v>
      </c>
      <c r="M37" s="29">
        <v>926</v>
      </c>
      <c r="N37" s="29">
        <v>1250</v>
      </c>
      <c r="O37" s="29">
        <v>1536</v>
      </c>
      <c r="P37" s="29">
        <v>938</v>
      </c>
      <c r="Q37" s="29">
        <v>1393</v>
      </c>
      <c r="R37" s="29">
        <v>1186</v>
      </c>
      <c r="S37" s="29">
        <v>855</v>
      </c>
      <c r="T37" s="29">
        <v>903</v>
      </c>
      <c r="U37" s="29">
        <v>1440</v>
      </c>
      <c r="V37" s="29">
        <v>2056</v>
      </c>
      <c r="W37" s="29">
        <v>2562</v>
      </c>
      <c r="X37" s="29">
        <v>2673</v>
      </c>
      <c r="Y37" s="29">
        <v>2766</v>
      </c>
      <c r="Z37" s="29">
        <v>2967</v>
      </c>
      <c r="AA37" s="29">
        <v>3755</v>
      </c>
      <c r="AB37" s="29">
        <v>5212</v>
      </c>
      <c r="AC37" s="29">
        <v>5957</v>
      </c>
      <c r="AD37" s="29">
        <v>6622</v>
      </c>
      <c r="AE37" s="29">
        <f>+'Historical Financials'!BH88</f>
        <v>8778</v>
      </c>
      <c r="AF37" s="29">
        <f>+'Historical Financials'!BI88</f>
        <v>10261</v>
      </c>
      <c r="AG37" s="29">
        <f>+'Historical Financials'!BJ88</f>
        <v>11682</v>
      </c>
      <c r="AH37" s="29">
        <f>+'Historical Financials'!BK88</f>
        <v>12796</v>
      </c>
      <c r="AJ37" s="25">
        <f>IFERROR((AH37/AC37)^(1/5)-1,"n/a ")</f>
        <v>0.16522374536919182</v>
      </c>
      <c r="AK37" s="25">
        <f>IFERROR((AH37/X37)^(1/10)-1,"n/a ")</f>
        <v>0.16951966115715456</v>
      </c>
      <c r="AL37" s="25">
        <f>IFERROR((AH37/S37)^(1/15)-1,"n/a ")</f>
        <v>0.19767929334832757</v>
      </c>
      <c r="AM37" s="25">
        <f>IFERROR((AH37/N37)^(1/20)-1,"n/a ")</f>
        <v>0.12333220757696384</v>
      </c>
      <c r="AN37" s="25">
        <f>IFERROR(IF(AH37/I37&lt;1,"n/m ",(AH37/I37)^(1/25)-1),"n/a ")</f>
        <v>0.16705917721620245</v>
      </c>
    </row>
    <row r="38" spans="2:40">
      <c r="B38" s="13" t="s">
        <v>173</v>
      </c>
      <c r="D38" s="33">
        <f t="shared" ref="D38:AF38" si="38">+D37/D12</f>
        <v>3.9138245429026761E-2</v>
      </c>
      <c r="E38" s="33">
        <f t="shared" si="38"/>
        <v>4.1237113402061855E-2</v>
      </c>
      <c r="F38" s="33">
        <f t="shared" si="38"/>
        <v>4.0594418267488219E-2</v>
      </c>
      <c r="G38" s="33">
        <f t="shared" si="38"/>
        <v>4.0234479083399943E-2</v>
      </c>
      <c r="H38" s="33">
        <f t="shared" si="38"/>
        <v>5.0978705097870509E-2</v>
      </c>
      <c r="I38" s="33">
        <f t="shared" si="38"/>
        <v>4.5309078659255514E-2</v>
      </c>
      <c r="J38" s="33">
        <f t="shared" si="38"/>
        <v>5.5356936916157305E-2</v>
      </c>
      <c r="K38" s="33">
        <f t="shared" si="38"/>
        <v>4.6665549597855231E-2</v>
      </c>
      <c r="L38" s="33">
        <f t="shared" si="38"/>
        <v>6.70947451185952E-2</v>
      </c>
      <c r="M38" s="33">
        <f t="shared" si="38"/>
        <v>4.6893198966931685E-2</v>
      </c>
      <c r="N38" s="33">
        <f t="shared" si="38"/>
        <v>5.4451995121101236E-2</v>
      </c>
      <c r="O38" s="33">
        <f t="shared" si="38"/>
        <v>6.0721062618595827E-2</v>
      </c>
      <c r="P38" s="33">
        <f t="shared" si="38"/>
        <v>3.3068922968447031E-2</v>
      </c>
      <c r="Q38" s="33">
        <f t="shared" si="38"/>
        <v>4.3278342187839811E-2</v>
      </c>
      <c r="R38" s="33">
        <f t="shared" si="38"/>
        <v>3.2197638115922356E-2</v>
      </c>
      <c r="S38" s="33">
        <f t="shared" si="38"/>
        <v>2.1488891122951645E-2</v>
      </c>
      <c r="T38" s="33">
        <f t="shared" si="38"/>
        <v>2.0392032880177047E-2</v>
      </c>
      <c r="U38" s="33">
        <f t="shared" si="38"/>
        <v>2.8167912053519033E-2</v>
      </c>
      <c r="V38" s="33">
        <f t="shared" si="38"/>
        <v>3.4028467394902354E-2</v>
      </c>
      <c r="W38" s="33">
        <f t="shared" si="38"/>
        <v>4.3842086349401919E-2</v>
      </c>
      <c r="X38" s="33">
        <f t="shared" si="38"/>
        <v>4.2778951411561357E-2</v>
      </c>
      <c r="Y38" s="33">
        <f t="shared" si="38"/>
        <v>3.9546487854395719E-2</v>
      </c>
      <c r="Z38" s="33">
        <f t="shared" si="38"/>
        <v>4.0245242326004099E-2</v>
      </c>
      <c r="AA38" s="33">
        <f t="shared" si="38"/>
        <v>4.82344024971419E-2</v>
      </c>
      <c r="AB38" s="33">
        <f t="shared" si="38"/>
        <v>6.0023263045155643E-2</v>
      </c>
      <c r="AC38" s="33">
        <f t="shared" si="38"/>
        <v>6.3656764265868776E-2</v>
      </c>
      <c r="AD38" s="33">
        <f t="shared" si="38"/>
        <v>7.2646290892336041E-2</v>
      </c>
      <c r="AE38" s="33">
        <f t="shared" si="38"/>
        <v>9.0896853092543306E-2</v>
      </c>
      <c r="AF38" s="33">
        <f t="shared" si="38"/>
        <v>9.2977528089887643E-2</v>
      </c>
      <c r="AG38" s="33">
        <f t="shared" ref="AG38:AH38" si="39">+AG37/AG12</f>
        <v>9.2829954784930432E-2</v>
      </c>
      <c r="AH38" s="33">
        <f t="shared" si="39"/>
        <v>8.9473132188931229E-2</v>
      </c>
      <c r="AJ38" s="43"/>
      <c r="AK38" s="43"/>
      <c r="AL38" s="43"/>
      <c r="AM38" s="43"/>
      <c r="AN38" s="43"/>
    </row>
    <row r="39" spans="2:40">
      <c r="B39" t="s">
        <v>133</v>
      </c>
      <c r="D39" s="29">
        <v>158.09</v>
      </c>
      <c r="E39" s="29">
        <v>264</v>
      </c>
      <c r="F39" s="29">
        <v>317</v>
      </c>
      <c r="G39" s="29">
        <v>236</v>
      </c>
      <c r="H39" s="29">
        <v>278</v>
      </c>
      <c r="I39" s="29">
        <v>495</v>
      </c>
      <c r="J39" s="29">
        <v>494</v>
      </c>
      <c r="K39" s="29">
        <v>499</v>
      </c>
      <c r="L39" s="29">
        <v>656</v>
      </c>
      <c r="M39" s="29">
        <v>583</v>
      </c>
      <c r="N39" s="29">
        <v>879</v>
      </c>
      <c r="O39" s="29">
        <v>1103</v>
      </c>
      <c r="P39" s="29">
        <v>770</v>
      </c>
      <c r="Q39" s="29">
        <v>891</v>
      </c>
      <c r="R39" s="29">
        <v>1109</v>
      </c>
      <c r="S39" s="29">
        <v>812</v>
      </c>
      <c r="T39" s="29">
        <v>1578</v>
      </c>
      <c r="U39" s="29">
        <v>2264</v>
      </c>
      <c r="V39" s="29">
        <v>3182</v>
      </c>
      <c r="W39" s="29">
        <v>3119</v>
      </c>
      <c r="X39" s="29">
        <v>1977</v>
      </c>
      <c r="Y39" s="29">
        <v>2355</v>
      </c>
      <c r="Z39" s="29">
        <v>2305</v>
      </c>
      <c r="AA39" s="29">
        <v>4257</v>
      </c>
      <c r="AB39" s="29">
        <v>5485</v>
      </c>
      <c r="AC39" s="29">
        <v>5944</v>
      </c>
      <c r="AD39" s="29">
        <v>8900</v>
      </c>
      <c r="AE39" s="29">
        <v>10200</v>
      </c>
      <c r="AF39" s="29">
        <f>+'Historical Financials'!BI114*-1</f>
        <v>13600</v>
      </c>
      <c r="AG39" s="29">
        <f>+'Historical Financials'!BJ114*-1</f>
        <v>16900</v>
      </c>
      <c r="AH39" s="29">
        <f>+'Historical Financials'!BK114*-1</f>
        <v>19000</v>
      </c>
      <c r="AI39" s="29"/>
      <c r="AJ39" s="25">
        <f>IFERROR((AH39/AC39)^(1/5)-1,"n/a ")</f>
        <v>0.26163857739531049</v>
      </c>
      <c r="AK39" s="25">
        <f>IFERROR((AH39/X39)^(1/10)-1,"n/a ")</f>
        <v>0.25393404294862543</v>
      </c>
      <c r="AL39" s="25">
        <f>IFERROR((AH39/S39)^(1/15)-1,"n/a ")</f>
        <v>0.23389964168796551</v>
      </c>
      <c r="AM39" s="25">
        <f>IFERROR((AH39/N39)^(1/20)-1,"n/a ")</f>
        <v>0.16610655405900365</v>
      </c>
      <c r="AN39" s="25">
        <f>IFERROR(IF(AH39/I39&lt;1,"n/m ",(AH39/I39)^(1/25)-1),"n/a ")</f>
        <v>0.15708679168983752</v>
      </c>
    </row>
    <row r="40" spans="2:40">
      <c r="B40" s="13" t="s">
        <v>173</v>
      </c>
      <c r="D40" s="33">
        <f t="shared" ref="D40:AF40" si="40">+D39/D12</f>
        <v>0.13358446435240814</v>
      </c>
      <c r="E40" s="33">
        <f t="shared" si="40"/>
        <v>0.14324470971242539</v>
      </c>
      <c r="F40" s="33">
        <f t="shared" si="40"/>
        <v>0.11489670170351576</v>
      </c>
      <c r="G40" s="33">
        <f t="shared" si="40"/>
        <v>6.2883026911803891E-2</v>
      </c>
      <c r="H40" s="33">
        <f t="shared" si="40"/>
        <v>5.9797805979780599E-2</v>
      </c>
      <c r="I40" s="33">
        <f t="shared" si="40"/>
        <v>8.3375442142496203E-2</v>
      </c>
      <c r="J40" s="33">
        <f t="shared" si="40"/>
        <v>5.6971514242878558E-2</v>
      </c>
      <c r="K40" s="33">
        <f t="shared" si="40"/>
        <v>4.1806300268096515E-2</v>
      </c>
      <c r="L40" s="33">
        <f t="shared" si="40"/>
        <v>4.2982571091600051E-2</v>
      </c>
      <c r="M40" s="33">
        <f t="shared" si="40"/>
        <v>2.9523471919785285E-2</v>
      </c>
      <c r="N40" s="33">
        <f t="shared" si="40"/>
        <v>3.8290642969158392E-2</v>
      </c>
      <c r="O40" s="33">
        <f t="shared" si="40"/>
        <v>4.3603731815306766E-2</v>
      </c>
      <c r="P40" s="33">
        <f t="shared" si="40"/>
        <v>2.7146130794993832E-2</v>
      </c>
      <c r="Q40" s="33">
        <f t="shared" si="40"/>
        <v>2.7681983409451022E-2</v>
      </c>
      <c r="R40" s="33">
        <f t="shared" si="40"/>
        <v>3.0107234966743585E-2</v>
      </c>
      <c r="S40" s="33">
        <f t="shared" si="40"/>
        <v>2.0408163265306121E-2</v>
      </c>
      <c r="T40" s="33">
        <f t="shared" si="40"/>
        <v>3.5635246827153244E-2</v>
      </c>
      <c r="U40" s="33">
        <f t="shared" si="40"/>
        <v>4.4286217284143815E-2</v>
      </c>
      <c r="V40" s="33">
        <f t="shared" si="40"/>
        <v>5.2664680569347901E-2</v>
      </c>
      <c r="W40" s="33">
        <f t="shared" si="40"/>
        <v>5.3373718705614595E-2</v>
      </c>
      <c r="X40" s="33">
        <f t="shared" si="40"/>
        <v>3.1640099865565582E-2</v>
      </c>
      <c r="Y40" s="33">
        <f t="shared" si="40"/>
        <v>3.3670274366269674E-2</v>
      </c>
      <c r="Z40" s="33">
        <f t="shared" si="40"/>
        <v>3.1265683707933749E-2</v>
      </c>
      <c r="AA40" s="33">
        <f t="shared" si="40"/>
        <v>5.4682783336972858E-2</v>
      </c>
      <c r="AB40" s="33">
        <f t="shared" si="40"/>
        <v>6.3167229048863904E-2</v>
      </c>
      <c r="AC40" s="33">
        <f t="shared" si="40"/>
        <v>6.3517845693524255E-2</v>
      </c>
      <c r="AD40" s="33">
        <f t="shared" si="40"/>
        <v>9.7636966013559465E-2</v>
      </c>
      <c r="AE40" s="33">
        <f t="shared" si="40"/>
        <v>0.10562177051081588</v>
      </c>
      <c r="AF40" s="33">
        <f t="shared" si="40"/>
        <v>0.12323305545487495</v>
      </c>
      <c r="AG40" s="33">
        <f t="shared" ref="AG40:AH40" si="41">+AG39/AG12</f>
        <v>0.13429431911190928</v>
      </c>
      <c r="AH40" s="33">
        <f t="shared" si="41"/>
        <v>0.13285319721707514</v>
      </c>
      <c r="AJ40" s="43"/>
      <c r="AK40" s="43"/>
      <c r="AL40" s="43"/>
      <c r="AM40" s="43"/>
      <c r="AN40" s="43"/>
    </row>
    <row r="41" spans="2:40" s="37" customFormat="1" ht="10.5">
      <c r="B41" s="37" t="s">
        <v>143</v>
      </c>
      <c r="D41" s="82">
        <f t="shared" ref="D41:AF41" si="42">+D36+D37-D39</f>
        <v>155.09459999999993</v>
      </c>
      <c r="E41" s="82">
        <f t="shared" si="42"/>
        <v>248.14999999999998</v>
      </c>
      <c r="F41" s="82">
        <f t="shared" si="42"/>
        <v>471.65000000000009</v>
      </c>
      <c r="G41" s="82">
        <f t="shared" si="42"/>
        <v>825.65000000000009</v>
      </c>
      <c r="H41" s="82">
        <f t="shared" si="42"/>
        <v>1136.8000000000002</v>
      </c>
      <c r="I41" s="82">
        <f t="shared" si="42"/>
        <v>1182.5500000000002</v>
      </c>
      <c r="J41" s="82">
        <f t="shared" si="42"/>
        <v>2182.3500000000004</v>
      </c>
      <c r="K41" s="82">
        <f t="shared" si="42"/>
        <v>3512.1000000000004</v>
      </c>
      <c r="L41" s="82">
        <f t="shared" si="42"/>
        <v>5186.4500000000007</v>
      </c>
      <c r="M41" s="82">
        <f t="shared" si="42"/>
        <v>8072.1500000000015</v>
      </c>
      <c r="N41" s="82">
        <f t="shared" si="42"/>
        <v>9649.75</v>
      </c>
      <c r="O41" s="82">
        <f t="shared" si="42"/>
        <v>7924.25</v>
      </c>
      <c r="P41" s="82">
        <f t="shared" si="42"/>
        <v>5286.75</v>
      </c>
      <c r="Q41" s="82">
        <f t="shared" si="42"/>
        <v>7687.1</v>
      </c>
      <c r="R41" s="82">
        <f t="shared" si="42"/>
        <v>8004.4000000000015</v>
      </c>
      <c r="S41" s="82">
        <f t="shared" si="42"/>
        <v>10851.2</v>
      </c>
      <c r="T41" s="82">
        <f t="shared" si="42"/>
        <v>11195.3</v>
      </c>
      <c r="U41" s="82">
        <f t="shared" si="42"/>
        <v>12241.650000000001</v>
      </c>
      <c r="V41" s="82">
        <f t="shared" si="42"/>
        <v>14353.099999999999</v>
      </c>
      <c r="W41" s="82">
        <f t="shared" si="42"/>
        <v>12326.650000000001</v>
      </c>
      <c r="X41" s="82">
        <f t="shared" si="42"/>
        <v>16954.45</v>
      </c>
      <c r="Y41" s="82">
        <f t="shared" si="42"/>
        <v>18657.150000000001</v>
      </c>
      <c r="Z41" s="82">
        <f t="shared" si="42"/>
        <v>19161</v>
      </c>
      <c r="AA41" s="82">
        <f t="shared" si="42"/>
        <v>17081.800000000003</v>
      </c>
      <c r="AB41" s="82">
        <f t="shared" si="42"/>
        <v>17892.550000000003</v>
      </c>
      <c r="AC41" s="82">
        <f t="shared" si="42"/>
        <v>18549.7</v>
      </c>
      <c r="AD41" s="82">
        <f t="shared" si="42"/>
        <v>15108.849999999999</v>
      </c>
      <c r="AE41" s="82">
        <f t="shared" si="42"/>
        <v>18212.550000000003</v>
      </c>
      <c r="AF41" s="82">
        <f t="shared" si="42"/>
        <v>22192.800000000003</v>
      </c>
      <c r="AG41" s="82">
        <f t="shared" ref="AG41:AH41" si="43">+AG36+AG37-AG39</f>
        <v>29295.520000000004</v>
      </c>
      <c r="AH41" s="82">
        <f t="shared" si="43"/>
        <v>35694.44</v>
      </c>
      <c r="AJ41" s="81">
        <f>IFERROR((AH41/AC41)^(1/5)-1,"n/a ")</f>
        <v>0.13986320955536247</v>
      </c>
      <c r="AK41" s="81">
        <f>IFERROR((AH41/X41)^(1/10)-1,"n/a ")</f>
        <v>7.7287663793776495E-2</v>
      </c>
      <c r="AL41" s="81">
        <f>IFERROR((AH41/S41)^(1/15)-1,"n/a ")</f>
        <v>8.2617028038918017E-2</v>
      </c>
      <c r="AM41" s="81">
        <f>IFERROR((AH41/N41)^(1/20)-1,"n/a ")</f>
        <v>6.7589332333356289E-2</v>
      </c>
      <c r="AN41" s="81">
        <f>IFERROR(IF(AH41/I41&lt;1,"n/m ",(AH41/I41)^(1/25)-1),"n/a ")</f>
        <v>0.14601748136666659</v>
      </c>
    </row>
    <row r="42" spans="2:40">
      <c r="B42" s="13" t="s">
        <v>1429</v>
      </c>
      <c r="D42" s="14"/>
      <c r="E42" s="14">
        <f t="shared" ref="E42:AF42" si="44">+IF(E41/D41&lt;0,"n/m ",E41/D41-1)</f>
        <v>0.59999123115827424</v>
      </c>
      <c r="F42" s="14">
        <f t="shared" si="44"/>
        <v>0.90066492041104218</v>
      </c>
      <c r="G42" s="14">
        <f t="shared" si="44"/>
        <v>0.75055655676879018</v>
      </c>
      <c r="H42" s="14">
        <f t="shared" si="44"/>
        <v>0.37685459940652821</v>
      </c>
      <c r="I42" s="14">
        <f t="shared" si="44"/>
        <v>4.0244546094299727E-2</v>
      </c>
      <c r="J42" s="14">
        <f t="shared" si="44"/>
        <v>0.84546107986977304</v>
      </c>
      <c r="K42" s="14">
        <f t="shared" si="44"/>
        <v>0.60932022819437748</v>
      </c>
      <c r="L42" s="14">
        <f t="shared" si="44"/>
        <v>0.47673756442014747</v>
      </c>
      <c r="M42" s="14">
        <f t="shared" si="44"/>
        <v>0.55639213720367509</v>
      </c>
      <c r="N42" s="14">
        <f t="shared" si="44"/>
        <v>0.19543739895814594</v>
      </c>
      <c r="O42" s="14">
        <f t="shared" si="44"/>
        <v>-0.17881292261457549</v>
      </c>
      <c r="P42" s="14">
        <f t="shared" si="44"/>
        <v>-0.33283906994352774</v>
      </c>
      <c r="Q42" s="14">
        <f t="shared" si="44"/>
        <v>0.45403130467678632</v>
      </c>
      <c r="R42" s="14">
        <f t="shared" si="44"/>
        <v>4.1276944491420942E-2</v>
      </c>
      <c r="S42" s="14">
        <f t="shared" si="44"/>
        <v>0.35565439008545274</v>
      </c>
      <c r="T42" s="14">
        <f t="shared" si="44"/>
        <v>3.171077853140658E-2</v>
      </c>
      <c r="U42" s="14">
        <f t="shared" si="44"/>
        <v>9.3463328361008902E-2</v>
      </c>
      <c r="V42" s="14">
        <f t="shared" si="44"/>
        <v>0.17248083387451829</v>
      </c>
      <c r="W42" s="14">
        <f t="shared" si="44"/>
        <v>-0.14118552786506033</v>
      </c>
      <c r="X42" s="14">
        <f t="shared" si="44"/>
        <v>0.37543046975455607</v>
      </c>
      <c r="Y42" s="14">
        <f t="shared" si="44"/>
        <v>0.10042791125633688</v>
      </c>
      <c r="Z42" s="14">
        <f t="shared" si="44"/>
        <v>2.7005732386779169E-2</v>
      </c>
      <c r="AA42" s="14">
        <f t="shared" si="44"/>
        <v>-0.10851208183288952</v>
      </c>
      <c r="AB42" s="14">
        <f t="shared" si="44"/>
        <v>4.7462796660773465E-2</v>
      </c>
      <c r="AC42" s="14">
        <f t="shared" si="44"/>
        <v>3.6727576561194297E-2</v>
      </c>
      <c r="AD42" s="14">
        <f t="shared" si="44"/>
        <v>-0.18549356593368094</v>
      </c>
      <c r="AE42" s="14">
        <f t="shared" si="44"/>
        <v>0.20542264963911916</v>
      </c>
      <c r="AF42" s="14">
        <f t="shared" si="44"/>
        <v>0.21854435540327954</v>
      </c>
      <c r="AG42" s="14">
        <f t="shared" ref="AG42" si="45">+IF(AG41/AF41&lt;0,"n/m ",AG41/AF41-1)</f>
        <v>0.3200461410908042</v>
      </c>
      <c r="AH42" s="14">
        <f t="shared" ref="AH42" si="46">+IF(AH41/AG41&lt;0,"n/m ",AH41/AG41-1)</f>
        <v>0.21842657170789237</v>
      </c>
      <c r="AJ42" s="43"/>
      <c r="AK42" s="43"/>
      <c r="AL42" s="43"/>
      <c r="AM42" s="43"/>
      <c r="AN42" s="43"/>
    </row>
    <row r="43" spans="2:40" s="37" customFormat="1" ht="10.5">
      <c r="B43" s="37" t="s">
        <v>316</v>
      </c>
      <c r="D43" s="38">
        <f t="shared" ref="D43:AF43" si="47">+D41/D26</f>
        <v>1.8039155752074043E-2</v>
      </c>
      <c r="E43" s="38">
        <f t="shared" si="47"/>
        <v>2.749889184397163E-2</v>
      </c>
      <c r="F43" s="38">
        <f t="shared" si="47"/>
        <v>5.0132865646258511E-2</v>
      </c>
      <c r="G43" s="38">
        <f t="shared" si="47"/>
        <v>8.5153671617161725E-2</v>
      </c>
      <c r="H43" s="38">
        <f t="shared" si="47"/>
        <v>0.11647540983606559</v>
      </c>
      <c r="I43" s="38">
        <f t="shared" si="47"/>
        <v>0.11787779106858055</v>
      </c>
      <c r="J43" s="38">
        <f t="shared" si="47"/>
        <v>0.21303689964857481</v>
      </c>
      <c r="K43" s="38">
        <f t="shared" si="47"/>
        <v>0.33486842105263159</v>
      </c>
      <c r="L43" s="38">
        <f t="shared" si="47"/>
        <v>0.48363017530772107</v>
      </c>
      <c r="M43" s="38">
        <f t="shared" si="47"/>
        <v>0.7362413352790953</v>
      </c>
      <c r="N43" s="38">
        <f t="shared" si="47"/>
        <v>0.87154533959537572</v>
      </c>
      <c r="O43" s="38">
        <f t="shared" si="47"/>
        <v>0.71082256907068531</v>
      </c>
      <c r="P43" s="38">
        <f t="shared" si="47"/>
        <v>0.47602647217720151</v>
      </c>
      <c r="Q43" s="38">
        <f t="shared" si="47"/>
        <v>0.70640507259694907</v>
      </c>
      <c r="R43" s="38">
        <f t="shared" si="47"/>
        <v>0.73475307508720411</v>
      </c>
      <c r="S43" s="38">
        <f t="shared" si="47"/>
        <v>0.99497524298551265</v>
      </c>
      <c r="T43" s="38">
        <f t="shared" si="47"/>
        <v>1.0630804292090019</v>
      </c>
      <c r="U43" s="38">
        <f t="shared" si="47"/>
        <v>1.2382814080517905</v>
      </c>
      <c r="V43" s="38">
        <f t="shared" si="47"/>
        <v>1.515638859556494</v>
      </c>
      <c r="W43" s="38">
        <f t="shared" si="47"/>
        <v>1.3702367718986217</v>
      </c>
      <c r="X43" s="38">
        <f t="shared" si="47"/>
        <v>1.8992326649490312</v>
      </c>
      <c r="Y43" s="38">
        <f t="shared" si="47"/>
        <v>2.1712033050157107</v>
      </c>
      <c r="Z43" s="38">
        <f t="shared" si="47"/>
        <v>2.2526451916294379</v>
      </c>
      <c r="AA43" s="38">
        <f t="shared" si="47"/>
        <v>2.0167414403778046</v>
      </c>
      <c r="AB43" s="38">
        <f t="shared" si="47"/>
        <v>2.1303190856054295</v>
      </c>
      <c r="AC43" s="38">
        <f t="shared" si="47"/>
        <v>2.2473588563120912</v>
      </c>
      <c r="AD43" s="38">
        <f t="shared" si="47"/>
        <v>1.8855422438537375</v>
      </c>
      <c r="AE43" s="38">
        <f t="shared" si="47"/>
        <v>2.3254021961184885</v>
      </c>
      <c r="AF43" s="38">
        <f t="shared" si="47"/>
        <v>2.8564000257416824</v>
      </c>
      <c r="AG43" s="38">
        <f t="shared" ref="AG43:AH43" si="48">+AG41/AG26</f>
        <v>3.7786044111956669</v>
      </c>
      <c r="AH43" s="38">
        <f t="shared" si="48"/>
        <v>4.6458987374723417</v>
      </c>
      <c r="AJ43" s="81">
        <f>IFERROR((AH43/AC43)^(1/5)-1,"n/a ")</f>
        <v>0.15632379519321105</v>
      </c>
      <c r="AK43" s="81">
        <f>IFERROR((AH43/X43)^(1/10)-1,"n/a ")</f>
        <v>9.357646927862695E-2</v>
      </c>
      <c r="AL43" s="81">
        <f>IFERROR((AH43/S43)^(1/15)-1,"n/a ")</f>
        <v>0.1081974954901932</v>
      </c>
      <c r="AM43" s="81">
        <f>IFERROR((AH43/N43)^(1/20)-1,"n/a ")</f>
        <v>8.7273962121005688E-2</v>
      </c>
      <c r="AN43" s="81">
        <f>IFERROR(IF(AH43/I43&lt;1,"n/m ",(AH43/I43)^(1/25)-1),"n/a ")</f>
        <v>0.15831187841222949</v>
      </c>
    </row>
    <row r="44" spans="2:40">
      <c r="B44" s="13" t="s">
        <v>1429</v>
      </c>
      <c r="D44" s="14"/>
      <c r="E44" s="14">
        <f t="shared" ref="E44:AF44" si="49">+IF(E43/D43&lt;0,"n/m ",E43/D43-1)</f>
        <v>0.52440015607770096</v>
      </c>
      <c r="F44" s="14">
        <f t="shared" si="49"/>
        <v>0.82308676039426487</v>
      </c>
      <c r="G44" s="14">
        <f t="shared" si="49"/>
        <v>0.69855982735981637</v>
      </c>
      <c r="H44" s="14">
        <f t="shared" si="49"/>
        <v>0.36782604465632152</v>
      </c>
      <c r="I44" s="14">
        <f t="shared" si="49"/>
        <v>1.2040148512795668E-2</v>
      </c>
      <c r="J44" s="14">
        <f t="shared" si="49"/>
        <v>0.80726918715868434</v>
      </c>
      <c r="K44" s="14">
        <f t="shared" si="49"/>
        <v>0.57187990251937482</v>
      </c>
      <c r="L44" s="14">
        <f t="shared" si="49"/>
        <v>0.44423942331578781</v>
      </c>
      <c r="M44" s="14">
        <f t="shared" si="49"/>
        <v>0.52232299155164252</v>
      </c>
      <c r="N44" s="14">
        <f t="shared" si="49"/>
        <v>0.18377670178622774</v>
      </c>
      <c r="O44" s="14">
        <f t="shared" si="49"/>
        <v>-0.18441125575785611</v>
      </c>
      <c r="P44" s="14">
        <f t="shared" si="49"/>
        <v>-0.3303160410346162</v>
      </c>
      <c r="Q44" s="14">
        <f t="shared" si="49"/>
        <v>0.48396174138397252</v>
      </c>
      <c r="R44" s="14">
        <f t="shared" si="49"/>
        <v>4.0129953181167854E-2</v>
      </c>
      <c r="S44" s="14">
        <f t="shared" si="49"/>
        <v>0.35416274762432831</v>
      </c>
      <c r="T44" s="14">
        <f t="shared" si="49"/>
        <v>6.8449126451763265E-2</v>
      </c>
      <c r="U44" s="14">
        <f t="shared" si="49"/>
        <v>0.16480500819034827</v>
      </c>
      <c r="V44" s="14">
        <f t="shared" si="49"/>
        <v>0.22398579975538424</v>
      </c>
      <c r="W44" s="14">
        <f t="shared" si="49"/>
        <v>-9.5934520773913068E-2</v>
      </c>
      <c r="X44" s="14">
        <f t="shared" si="49"/>
        <v>0.38606166751562543</v>
      </c>
      <c r="Y44" s="14">
        <f t="shared" si="49"/>
        <v>0.14320027508266242</v>
      </c>
      <c r="Z44" s="14">
        <f t="shared" si="49"/>
        <v>3.7510023324664132E-2</v>
      </c>
      <c r="AA44" s="14">
        <f t="shared" si="49"/>
        <v>-0.10472299504965255</v>
      </c>
      <c r="AB44" s="14">
        <f t="shared" si="49"/>
        <v>5.6317405371681062E-2</v>
      </c>
      <c r="AC44" s="14">
        <f t="shared" si="49"/>
        <v>5.4940018843890437E-2</v>
      </c>
      <c r="AD44" s="14">
        <f t="shared" si="49"/>
        <v>-0.16099636755479885</v>
      </c>
      <c r="AE44" s="14">
        <f t="shared" si="49"/>
        <v>0.23328034876893011</v>
      </c>
      <c r="AF44" s="14">
        <f t="shared" si="49"/>
        <v>0.22834666214280008</v>
      </c>
      <c r="AG44" s="14">
        <f t="shared" ref="AG44" si="50">+IF(AG43/AF43&lt;0,"n/m ",AG43/AF43-1)</f>
        <v>0.32285547442344953</v>
      </c>
      <c r="AH44" s="14">
        <f t="shared" ref="AH44" si="51">+IF(AH43/AG43&lt;0,"n/m ",AH43/AG43-1)</f>
        <v>0.22952768585855643</v>
      </c>
      <c r="AJ44" s="43"/>
      <c r="AK44" s="43"/>
      <c r="AL44" s="43"/>
      <c r="AM44" s="43"/>
      <c r="AN44" s="43"/>
    </row>
    <row r="45" spans="2:40">
      <c r="AJ45" s="43"/>
      <c r="AK45" s="43"/>
      <c r="AL45" s="43"/>
      <c r="AM45" s="43"/>
      <c r="AN45" s="43"/>
    </row>
    <row r="46" spans="2:40" ht="11.45">
      <c r="B46" s="12" t="s">
        <v>200</v>
      </c>
      <c r="D46" s="83">
        <f t="shared" ref="D46:AF46" si="52">+D47-D41</f>
        <v>-34.910599999999931</v>
      </c>
      <c r="E46" s="83">
        <f t="shared" si="52"/>
        <v>58.850000000000023</v>
      </c>
      <c r="F46" s="83">
        <f t="shared" si="52"/>
        <v>107.34999999999991</v>
      </c>
      <c r="G46" s="83">
        <f t="shared" si="52"/>
        <v>12.349999999999909</v>
      </c>
      <c r="H46" s="83">
        <f t="shared" si="52"/>
        <v>178.19999999999982</v>
      </c>
      <c r="I46" s="83">
        <f t="shared" si="52"/>
        <v>312.44999999999982</v>
      </c>
      <c r="J46" s="83">
        <f t="shared" si="52"/>
        <v>1042.6499999999996</v>
      </c>
      <c r="K46" s="83">
        <f t="shared" si="52"/>
        <v>677.89999999999964</v>
      </c>
      <c r="L46" s="83">
        <f t="shared" si="52"/>
        <v>2590.5499999999993</v>
      </c>
      <c r="M46" s="83">
        <f t="shared" si="52"/>
        <v>3490.8499999999985</v>
      </c>
      <c r="N46" s="83">
        <f t="shared" si="52"/>
        <v>897.25</v>
      </c>
      <c r="O46" s="83">
        <f t="shared" si="52"/>
        <v>4394.75</v>
      </c>
      <c r="P46" s="83">
        <f t="shared" si="52"/>
        <v>8452.25</v>
      </c>
      <c r="Q46" s="83">
        <f t="shared" si="52"/>
        <v>7218.9</v>
      </c>
      <c r="R46" s="83">
        <f t="shared" si="52"/>
        <v>5512.5999999999985</v>
      </c>
      <c r="S46" s="83">
        <f t="shared" si="52"/>
        <v>4941.7999999999993</v>
      </c>
      <c r="T46" s="83">
        <f t="shared" si="52"/>
        <v>1630.7000000000007</v>
      </c>
      <c r="U46" s="83">
        <f t="shared" si="52"/>
        <v>3290.3499999999985</v>
      </c>
      <c r="V46" s="83">
        <f t="shared" si="52"/>
        <v>4076.9000000000015</v>
      </c>
      <c r="W46" s="83">
        <f t="shared" si="52"/>
        <v>3591.3499999999985</v>
      </c>
      <c r="X46" s="83">
        <f t="shared" si="52"/>
        <v>5141.5499999999993</v>
      </c>
      <c r="Y46" s="83">
        <f t="shared" si="52"/>
        <v>5981.8499999999985</v>
      </c>
      <c r="Z46" s="83">
        <f t="shared" si="52"/>
        <v>10160</v>
      </c>
      <c r="AA46" s="83">
        <f t="shared" si="52"/>
        <v>7494.1999999999971</v>
      </c>
      <c r="AB46" s="83">
        <f t="shared" si="52"/>
        <v>9124.4499999999971</v>
      </c>
      <c r="AC46" s="83">
        <f t="shared" si="52"/>
        <v>5174.2999999999993</v>
      </c>
      <c r="AD46" s="83">
        <f t="shared" si="52"/>
        <v>9316.1500000000015</v>
      </c>
      <c r="AE46" s="83">
        <f t="shared" si="52"/>
        <v>11094.449999999997</v>
      </c>
      <c r="AF46" s="83">
        <f t="shared" si="52"/>
        <v>8091.1999999999971</v>
      </c>
      <c r="AG46" s="83">
        <f t="shared" ref="AG46:AH46" si="53">+AG47-AG41</f>
        <v>5989.4799999999959</v>
      </c>
      <c r="AH46" s="83">
        <f t="shared" si="53"/>
        <v>5980.5599999999977</v>
      </c>
      <c r="AJ46" s="43"/>
      <c r="AK46" s="43"/>
      <c r="AL46" s="43"/>
      <c r="AM46" s="43"/>
      <c r="AN46" s="43"/>
    </row>
    <row r="47" spans="2:40">
      <c r="B47" t="s">
        <v>147</v>
      </c>
      <c r="D47" s="29">
        <v>120.184</v>
      </c>
      <c r="E47" s="29">
        <v>307</v>
      </c>
      <c r="F47" s="29">
        <v>579</v>
      </c>
      <c r="G47" s="29">
        <v>838</v>
      </c>
      <c r="H47" s="29">
        <v>1315</v>
      </c>
      <c r="I47" s="29">
        <v>1495</v>
      </c>
      <c r="J47" s="29">
        <v>3225</v>
      </c>
      <c r="K47" s="29">
        <v>4190</v>
      </c>
      <c r="L47" s="29">
        <v>7777</v>
      </c>
      <c r="M47" s="29">
        <v>11563</v>
      </c>
      <c r="N47" s="29">
        <v>10547</v>
      </c>
      <c r="O47" s="29">
        <v>12319</v>
      </c>
      <c r="P47" s="29">
        <v>13739</v>
      </c>
      <c r="Q47" s="29">
        <v>14906</v>
      </c>
      <c r="R47" s="29">
        <v>13517</v>
      </c>
      <c r="S47" s="29">
        <v>15793</v>
      </c>
      <c r="T47" s="29">
        <v>12826</v>
      </c>
      <c r="U47" s="29">
        <v>15532</v>
      </c>
      <c r="V47" s="29">
        <v>18430</v>
      </c>
      <c r="W47" s="29">
        <v>15918</v>
      </c>
      <c r="X47" s="29">
        <v>22096</v>
      </c>
      <c r="Y47" s="29">
        <v>24639</v>
      </c>
      <c r="Z47" s="29">
        <v>29321</v>
      </c>
      <c r="AA47" s="29">
        <v>24576</v>
      </c>
      <c r="AB47" s="29">
        <v>27017</v>
      </c>
      <c r="AC47" s="29">
        <v>23724</v>
      </c>
      <c r="AD47" s="29">
        <v>24425</v>
      </c>
      <c r="AE47" s="29">
        <v>29307</v>
      </c>
      <c r="AF47" s="29">
        <f>+'Historical Financials'!BI125</f>
        <v>30284</v>
      </c>
      <c r="AG47" s="29">
        <f>+'Historical Financials'!BJ125</f>
        <v>35285</v>
      </c>
      <c r="AH47" s="29">
        <f>+'Historical Financials'!BK125</f>
        <v>41675</v>
      </c>
      <c r="AJ47" s="43"/>
      <c r="AK47" s="43"/>
      <c r="AL47" s="43"/>
      <c r="AM47" s="43"/>
      <c r="AN47" s="43"/>
    </row>
    <row r="48" spans="2:40">
      <c r="AJ48" s="43"/>
      <c r="AK48" s="43"/>
      <c r="AL48" s="43"/>
      <c r="AM48" s="43"/>
      <c r="AN48" s="43"/>
    </row>
    <row r="49" spans="2:40">
      <c r="B49" s="24" t="s">
        <v>127</v>
      </c>
      <c r="V49" s="28" t="s">
        <v>1839</v>
      </c>
      <c r="Z49" s="28" t="s">
        <v>1840</v>
      </c>
      <c r="AB49" s="28" t="s">
        <v>1841</v>
      </c>
      <c r="AE49" s="28" t="s">
        <v>388</v>
      </c>
      <c r="AJ49" s="43"/>
      <c r="AK49" s="43"/>
      <c r="AL49" s="43"/>
      <c r="AM49" s="43"/>
      <c r="AN49" s="43"/>
    </row>
    <row r="50" spans="2:40">
      <c r="B50" s="17" t="s">
        <v>321</v>
      </c>
      <c r="D50" s="29">
        <v>0</v>
      </c>
      <c r="E50" s="29">
        <v>0</v>
      </c>
      <c r="F50" s="29">
        <v>0</v>
      </c>
      <c r="G50" s="29">
        <v>0</v>
      </c>
      <c r="H50" s="29">
        <v>0</v>
      </c>
      <c r="I50" s="29">
        <v>0</v>
      </c>
      <c r="J50" s="29">
        <v>0</v>
      </c>
      <c r="K50" s="29">
        <v>0</v>
      </c>
      <c r="L50" s="29">
        <v>-190</v>
      </c>
      <c r="M50" s="29">
        <v>0</v>
      </c>
      <c r="N50" s="29">
        <v>0</v>
      </c>
      <c r="O50" s="29">
        <v>0</v>
      </c>
      <c r="P50" s="29">
        <v>0</v>
      </c>
      <c r="Q50" s="29">
        <v>-1063</v>
      </c>
      <c r="R50" s="29">
        <v>-4</v>
      </c>
      <c r="S50" s="29">
        <v>-207</v>
      </c>
      <c r="T50" s="29">
        <v>-649</v>
      </c>
      <c r="U50" s="29">
        <v>-1150</v>
      </c>
      <c r="V50" s="29">
        <v>-8053</v>
      </c>
      <c r="W50" s="29">
        <v>-868</v>
      </c>
      <c r="X50" s="29">
        <v>-245</v>
      </c>
      <c r="Y50" s="29">
        <v>-71</v>
      </c>
      <c r="Z50" s="29">
        <v>-10112</v>
      </c>
      <c r="AA50" s="29">
        <v>-1584</v>
      </c>
      <c r="AB50" s="29">
        <v>-5937</v>
      </c>
      <c r="AC50" s="29">
        <v>-3723</v>
      </c>
      <c r="AD50" s="29">
        <v>-1393</v>
      </c>
      <c r="AE50" s="29">
        <v>-25944</v>
      </c>
      <c r="AF50" s="29">
        <f>+'Historical Financials'!BI129</f>
        <v>-888</v>
      </c>
      <c r="AG50" s="29">
        <f>+'Historical Financials'!BJ129</f>
        <v>-2388</v>
      </c>
      <c r="AH50" s="29">
        <f>+'Historical Financials'!BK129</f>
        <v>-2521</v>
      </c>
      <c r="AJ50" s="43"/>
      <c r="AK50" s="43"/>
      <c r="AL50" s="43"/>
      <c r="AM50" s="43"/>
      <c r="AN50" s="43"/>
    </row>
    <row r="51" spans="2:40">
      <c r="B51" s="17" t="s">
        <v>326</v>
      </c>
      <c r="D51" s="29">
        <v>0</v>
      </c>
      <c r="E51" s="29">
        <v>0</v>
      </c>
      <c r="F51" s="29">
        <v>0</v>
      </c>
      <c r="G51" s="29">
        <v>0</v>
      </c>
      <c r="H51" s="29">
        <v>0</v>
      </c>
      <c r="I51" s="29">
        <v>0</v>
      </c>
      <c r="J51" s="29">
        <v>0</v>
      </c>
      <c r="K51" s="29">
        <v>0</v>
      </c>
      <c r="L51" s="29">
        <v>0</v>
      </c>
      <c r="M51" s="29">
        <v>0</v>
      </c>
      <c r="N51" s="29">
        <v>0</v>
      </c>
      <c r="O51" s="29">
        <v>0</v>
      </c>
      <c r="P51" s="29">
        <v>0</v>
      </c>
      <c r="Q51" s="29">
        <v>-857</v>
      </c>
      <c r="R51" s="29">
        <v>-1729</v>
      </c>
      <c r="S51" s="29">
        <v>-36112</v>
      </c>
      <c r="T51" s="29">
        <v>-3545</v>
      </c>
      <c r="U51" s="29">
        <v>-3805</v>
      </c>
      <c r="V51" s="29">
        <v>-4015</v>
      </c>
      <c r="W51" s="29">
        <v>-4468</v>
      </c>
      <c r="X51" s="29">
        <v>-4578</v>
      </c>
      <c r="Y51" s="29">
        <v>-5180</v>
      </c>
      <c r="Z51" s="29">
        <v>-6385</v>
      </c>
      <c r="AA51" s="29">
        <v>-7455</v>
      </c>
      <c r="AB51" s="29">
        <v>-8879</v>
      </c>
      <c r="AC51" s="29">
        <v>-9882</v>
      </c>
      <c r="AD51" s="29">
        <v>-11006</v>
      </c>
      <c r="AE51" s="29">
        <v>-11845</v>
      </c>
      <c r="AF51" s="29">
        <f>+'Historical Financials'!BI134</f>
        <v>-12699</v>
      </c>
      <c r="AG51" s="29">
        <f>+'Historical Financials'!BJ134</f>
        <v>-13811</v>
      </c>
      <c r="AH51" s="29">
        <f>+'Historical Financials'!BK134</f>
        <v>-15137</v>
      </c>
      <c r="AJ51" s="43"/>
      <c r="AK51" s="43"/>
      <c r="AL51" s="43"/>
      <c r="AM51" s="43"/>
      <c r="AN51" s="43"/>
    </row>
    <row r="52" spans="2:40">
      <c r="B52" s="17" t="s">
        <v>1842</v>
      </c>
      <c r="D52" s="29">
        <v>72.738</v>
      </c>
      <c r="E52" s="29">
        <v>95</v>
      </c>
      <c r="F52" s="29">
        <v>135</v>
      </c>
      <c r="G52" s="29">
        <v>229</v>
      </c>
      <c r="H52" s="29">
        <v>280</v>
      </c>
      <c r="I52" s="29">
        <v>332</v>
      </c>
      <c r="J52" s="29">
        <v>504</v>
      </c>
      <c r="K52" s="29">
        <v>744</v>
      </c>
      <c r="L52" s="29">
        <v>959</v>
      </c>
      <c r="M52" s="29">
        <v>1350</v>
      </c>
      <c r="N52" s="29">
        <v>2245</v>
      </c>
      <c r="O52" s="29">
        <v>1620</v>
      </c>
      <c r="P52" s="29">
        <v>1497</v>
      </c>
      <c r="Q52" s="29">
        <v>2120</v>
      </c>
      <c r="R52" s="29">
        <v>2748</v>
      </c>
      <c r="S52" s="29">
        <v>3109</v>
      </c>
      <c r="T52" s="29">
        <v>2101</v>
      </c>
      <c r="U52" s="29">
        <v>6782</v>
      </c>
      <c r="V52" s="29">
        <v>3494</v>
      </c>
      <c r="W52" s="29">
        <v>579</v>
      </c>
      <c r="X52" s="29">
        <v>2311</v>
      </c>
      <c r="Y52" s="29">
        <v>2422</v>
      </c>
      <c r="Z52" s="29">
        <v>1913</v>
      </c>
      <c r="AA52" s="29">
        <v>931</v>
      </c>
      <c r="AB52" s="29">
        <v>607</v>
      </c>
      <c r="AC52" s="29">
        <v>634</v>
      </c>
      <c r="AD52" s="29">
        <v>668</v>
      </c>
      <c r="AE52" s="29">
        <v>772</v>
      </c>
      <c r="AF52" s="29">
        <f>+'Historical Financials'!BI132</f>
        <v>1002</v>
      </c>
      <c r="AG52" s="29">
        <f>+'Historical Financials'!BJ132</f>
        <v>1142</v>
      </c>
      <c r="AH52" s="29">
        <f>+'Historical Financials'!BK132</f>
        <v>1343</v>
      </c>
      <c r="AJ52" s="43"/>
      <c r="AK52" s="43"/>
      <c r="AL52" s="43"/>
      <c r="AM52" s="43"/>
      <c r="AN52" s="43"/>
    </row>
    <row r="53" spans="2:40">
      <c r="B53" s="17" t="s">
        <v>1843</v>
      </c>
      <c r="D53" s="29">
        <v>-46.664999999999999</v>
      </c>
      <c r="E53" s="29">
        <v>-197</v>
      </c>
      <c r="F53" s="29">
        <v>-135</v>
      </c>
      <c r="G53" s="29">
        <v>-250</v>
      </c>
      <c r="H53" s="29">
        <v>-348</v>
      </c>
      <c r="I53" s="29">
        <v>-698</v>
      </c>
      <c r="J53" s="29">
        <v>-1385</v>
      </c>
      <c r="K53" s="29">
        <v>-3101</v>
      </c>
      <c r="L53" s="29">
        <v>-2468</v>
      </c>
      <c r="M53" s="29">
        <v>-2950</v>
      </c>
      <c r="N53" s="29">
        <v>-4896</v>
      </c>
      <c r="O53" s="29">
        <v>-6074</v>
      </c>
      <c r="P53" s="29">
        <v>-6069</v>
      </c>
      <c r="Q53" s="29">
        <v>-6486</v>
      </c>
      <c r="R53" s="29">
        <v>-3383</v>
      </c>
      <c r="S53" s="29">
        <v>-8057</v>
      </c>
      <c r="T53" s="29">
        <v>-19207</v>
      </c>
      <c r="U53" s="29">
        <v>-27575</v>
      </c>
      <c r="V53" s="29">
        <v>-12533</v>
      </c>
      <c r="W53" s="29">
        <v>-9353</v>
      </c>
      <c r="X53" s="29">
        <v>-11269</v>
      </c>
      <c r="Y53" s="29">
        <v>-11555</v>
      </c>
      <c r="Z53" s="29">
        <v>-5029</v>
      </c>
      <c r="AA53" s="29">
        <v>-5360</v>
      </c>
      <c r="AB53" s="29">
        <v>-7316</v>
      </c>
      <c r="AC53" s="29">
        <v>-14443</v>
      </c>
      <c r="AD53" s="29">
        <v>-15969</v>
      </c>
      <c r="AE53" s="29">
        <v>-11788</v>
      </c>
      <c r="AF53" s="29">
        <f>+'Historical Financials'!BI133</f>
        <v>-10721</v>
      </c>
      <c r="AG53" s="29">
        <f>+'Historical Financials'!BJ133</f>
        <v>-19543</v>
      </c>
      <c r="AH53" s="29">
        <f>+'Historical Financials'!BK133</f>
        <v>-22968</v>
      </c>
      <c r="AJ53" s="43"/>
      <c r="AK53" s="43"/>
      <c r="AL53" s="43"/>
      <c r="AM53" s="43"/>
      <c r="AN53" s="43"/>
    </row>
    <row r="54" spans="2:40">
      <c r="B54" s="17"/>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J54" s="43"/>
      <c r="AK54" s="43"/>
      <c r="AL54" s="43"/>
      <c r="AM54" s="43"/>
      <c r="AN54" s="43"/>
    </row>
    <row r="55" spans="2:40" ht="10.5">
      <c r="B55" s="45" t="s">
        <v>1844</v>
      </c>
      <c r="AJ55" s="43"/>
      <c r="AK55" s="43"/>
      <c r="AL55" s="43"/>
      <c r="AM55" s="43"/>
      <c r="AN55" s="43"/>
    </row>
    <row r="56" spans="2:40">
      <c r="B56" s="12" t="s">
        <v>1281</v>
      </c>
      <c r="D56" s="29"/>
      <c r="E56" s="29">
        <v>19.456</v>
      </c>
      <c r="F56" s="29">
        <v>0</v>
      </c>
      <c r="G56" s="29">
        <v>0</v>
      </c>
      <c r="H56" s="29">
        <v>0</v>
      </c>
      <c r="I56" s="29">
        <v>0</v>
      </c>
      <c r="J56" s="29">
        <v>0</v>
      </c>
      <c r="K56" s="29">
        <v>0</v>
      </c>
      <c r="L56" s="29">
        <v>0</v>
      </c>
      <c r="M56" s="29">
        <v>0</v>
      </c>
      <c r="N56" s="29">
        <v>0</v>
      </c>
      <c r="O56" s="29">
        <v>0</v>
      </c>
      <c r="P56" s="29">
        <v>0</v>
      </c>
      <c r="Q56" s="29">
        <v>0</v>
      </c>
      <c r="R56" s="29">
        <v>0</v>
      </c>
      <c r="S56" s="29">
        <v>0</v>
      </c>
      <c r="T56" s="29">
        <v>0</v>
      </c>
      <c r="U56" s="29">
        <v>0</v>
      </c>
      <c r="V56" s="29">
        <v>0</v>
      </c>
      <c r="W56" s="29">
        <v>5746</v>
      </c>
      <c r="X56" s="29">
        <v>5939</v>
      </c>
      <c r="Y56" s="29">
        <v>11921</v>
      </c>
      <c r="Z56" s="29">
        <v>11944</v>
      </c>
      <c r="AA56" s="29">
        <v>15600</v>
      </c>
      <c r="AB56" s="29">
        <v>22645</v>
      </c>
      <c r="AC56" s="29">
        <v>35292</v>
      </c>
      <c r="AD56" s="29">
        <v>53461</v>
      </c>
      <c r="AE56" s="29">
        <v>91566</v>
      </c>
      <c r="AF56" s="29">
        <f>+'Historical Financials'!BI137</f>
        <v>86109</v>
      </c>
      <c r="AG56" s="29">
        <f>+'Historical Financials'!BJ137</f>
        <v>84940</v>
      </c>
      <c r="AH56" s="29">
        <f>+'Historical Financials'!BK137</f>
        <v>80494</v>
      </c>
      <c r="AJ56" s="43"/>
      <c r="AK56" s="43"/>
      <c r="AL56" s="43"/>
      <c r="AM56" s="43"/>
      <c r="AN56" s="43"/>
    </row>
    <row r="57" spans="2:40" ht="11.45">
      <c r="B57" s="12" t="s">
        <v>328</v>
      </c>
      <c r="D57" s="30"/>
      <c r="E57" s="30">
        <v>686.31399999999996</v>
      </c>
      <c r="F57" s="30">
        <v>1345</v>
      </c>
      <c r="G57" s="30">
        <v>2290</v>
      </c>
      <c r="H57" s="30">
        <v>3614</v>
      </c>
      <c r="I57" s="30">
        <v>4750</v>
      </c>
      <c r="J57" s="30">
        <v>6940</v>
      </c>
      <c r="K57" s="30">
        <v>8966</v>
      </c>
      <c r="L57" s="30">
        <v>13927</v>
      </c>
      <c r="M57" s="30">
        <v>17236</v>
      </c>
      <c r="N57" s="30">
        <v>23798</v>
      </c>
      <c r="O57" s="30">
        <v>31600</v>
      </c>
      <c r="P57" s="30">
        <v>38652</v>
      </c>
      <c r="Q57" s="30">
        <v>49048</v>
      </c>
      <c r="R57" s="30">
        <v>60592</v>
      </c>
      <c r="S57" s="30">
        <v>37751</v>
      </c>
      <c r="T57" s="30">
        <v>34161</v>
      </c>
      <c r="U57" s="30">
        <v>23411</v>
      </c>
      <c r="V57" s="30">
        <v>23662</v>
      </c>
      <c r="W57" s="30">
        <v>31447</v>
      </c>
      <c r="X57" s="30">
        <v>36788</v>
      </c>
      <c r="Y57" s="30">
        <v>52772</v>
      </c>
      <c r="Z57" s="30">
        <v>63040</v>
      </c>
      <c r="AA57" s="30">
        <v>77022</v>
      </c>
      <c r="AB57" s="30">
        <v>85709</v>
      </c>
      <c r="AC57" s="30">
        <v>96526</v>
      </c>
      <c r="AD57" s="30">
        <v>113240</v>
      </c>
      <c r="AE57" s="30">
        <v>132981</v>
      </c>
      <c r="AF57" s="30">
        <f>+'Historical Financials'!BI138</f>
        <v>133768</v>
      </c>
      <c r="AG57" s="30">
        <f>+'Historical Financials'!BJ138</f>
        <v>133819</v>
      </c>
      <c r="AH57" s="30">
        <f>+'Historical Financials'!BK138</f>
        <v>136527</v>
      </c>
      <c r="AJ57" s="43"/>
      <c r="AK57" s="43"/>
      <c r="AL57" s="43"/>
      <c r="AM57" s="43"/>
      <c r="AN57" s="43"/>
    </row>
    <row r="58" spans="2:40">
      <c r="B58" t="s">
        <v>148</v>
      </c>
      <c r="D58" s="65"/>
      <c r="E58" s="65">
        <f t="shared" ref="E58:AF58" si="54">+E56-E57</f>
        <v>-666.85799999999995</v>
      </c>
      <c r="F58" s="65">
        <f t="shared" si="54"/>
        <v>-1345</v>
      </c>
      <c r="G58" s="65">
        <f t="shared" si="54"/>
        <v>-2290</v>
      </c>
      <c r="H58" s="65">
        <f t="shared" si="54"/>
        <v>-3614</v>
      </c>
      <c r="I58" s="65">
        <f t="shared" si="54"/>
        <v>-4750</v>
      </c>
      <c r="J58" s="65">
        <f t="shared" si="54"/>
        <v>-6940</v>
      </c>
      <c r="K58" s="65">
        <f t="shared" si="54"/>
        <v>-8966</v>
      </c>
      <c r="L58" s="65">
        <f t="shared" si="54"/>
        <v>-13927</v>
      </c>
      <c r="M58" s="65">
        <f t="shared" si="54"/>
        <v>-17236</v>
      </c>
      <c r="N58" s="65">
        <f t="shared" si="54"/>
        <v>-23798</v>
      </c>
      <c r="O58" s="65">
        <f t="shared" si="54"/>
        <v>-31600</v>
      </c>
      <c r="P58" s="65">
        <f t="shared" si="54"/>
        <v>-38652</v>
      </c>
      <c r="Q58" s="65">
        <f t="shared" si="54"/>
        <v>-49048</v>
      </c>
      <c r="R58" s="65">
        <f t="shared" si="54"/>
        <v>-60592</v>
      </c>
      <c r="S58" s="65">
        <f t="shared" si="54"/>
        <v>-37751</v>
      </c>
      <c r="T58" s="65">
        <f t="shared" si="54"/>
        <v>-34161</v>
      </c>
      <c r="U58" s="65">
        <f t="shared" si="54"/>
        <v>-23411</v>
      </c>
      <c r="V58" s="65">
        <f t="shared" si="54"/>
        <v>-23662</v>
      </c>
      <c r="W58" s="65">
        <f t="shared" si="54"/>
        <v>-25701</v>
      </c>
      <c r="X58" s="65">
        <f t="shared" si="54"/>
        <v>-30849</v>
      </c>
      <c r="Y58" s="65">
        <f t="shared" si="54"/>
        <v>-40851</v>
      </c>
      <c r="Z58" s="65">
        <f t="shared" si="54"/>
        <v>-51096</v>
      </c>
      <c r="AA58" s="65">
        <f t="shared" si="54"/>
        <v>-61422</v>
      </c>
      <c r="AB58" s="65">
        <f t="shared" si="54"/>
        <v>-63064</v>
      </c>
      <c r="AC58" s="65">
        <f t="shared" si="54"/>
        <v>-61234</v>
      </c>
      <c r="AD58" s="65">
        <f t="shared" si="54"/>
        <v>-59779</v>
      </c>
      <c r="AE58" s="65">
        <f t="shared" si="54"/>
        <v>-41415</v>
      </c>
      <c r="AF58" s="65">
        <f t="shared" si="54"/>
        <v>-47659</v>
      </c>
      <c r="AG58" s="65">
        <f t="shared" ref="AG58:AH58" si="55">+AG56-AG57</f>
        <v>-48879</v>
      </c>
      <c r="AH58" s="65">
        <f t="shared" si="55"/>
        <v>-56033</v>
      </c>
      <c r="AJ58" s="25">
        <f>IFERROR((AH58/AC58)^(1/5)-1,"n/a ")</f>
        <v>-1.7595712792112805E-2</v>
      </c>
      <c r="AK58" s="25">
        <f>IFERROR((AH58/X58)^(1/10)-1,"n/a ")</f>
        <v>6.1500684281535101E-2</v>
      </c>
      <c r="AL58" s="25">
        <f>IFERROR((AH58/S58)^(1/15)-1,"n/a ")</f>
        <v>2.6678248402454141E-2</v>
      </c>
      <c r="AM58" s="25">
        <f>IFERROR((AH58/N58)^(1/20)-1,"n/a ")</f>
        <v>4.3746833042755506E-2</v>
      </c>
      <c r="AN58" s="25">
        <f>IFERROR(IF(AH58/I58&lt;1,"n/m ",(AH58/I58)^(1/25)-1),"n/a ")</f>
        <v>0.10374820580909705</v>
      </c>
    </row>
    <row r="59" spans="2:40" s="3" customFormat="1">
      <c r="B59" s="36" t="s">
        <v>1445</v>
      </c>
      <c r="D59" s="59"/>
      <c r="E59" s="59">
        <f t="shared" ref="E59:AF59" si="56">+E58/E31</f>
        <v>-0.91853719008264456</v>
      </c>
      <c r="F59" s="59">
        <f t="shared" si="56"/>
        <v>-1.213898916967509</v>
      </c>
      <c r="G59" s="59">
        <f t="shared" si="56"/>
        <v>-1.5504400812457684</v>
      </c>
      <c r="H59" s="59">
        <f t="shared" si="56"/>
        <v>-1.8410596026490067</v>
      </c>
      <c r="I59" s="59">
        <f t="shared" si="56"/>
        <v>-2.058951018638925</v>
      </c>
      <c r="J59" s="59">
        <f t="shared" si="56"/>
        <v>-1.9505340078695896</v>
      </c>
      <c r="K59" s="59">
        <f t="shared" si="56"/>
        <v>-1.5765781607174256</v>
      </c>
      <c r="L59" s="59">
        <f t="shared" si="56"/>
        <v>-1.7487443495730788</v>
      </c>
      <c r="M59" s="59">
        <f t="shared" si="56"/>
        <v>-1.5760790051207023</v>
      </c>
      <c r="N59" s="59">
        <f t="shared" si="56"/>
        <v>-1.941742819843342</v>
      </c>
      <c r="O59" s="59">
        <f t="shared" si="56"/>
        <v>-2.3838261919130961</v>
      </c>
      <c r="P59" s="59">
        <f t="shared" si="56"/>
        <v>-4.1967426710097717</v>
      </c>
      <c r="Q59" s="59">
        <f t="shared" si="56"/>
        <v>-4.4841835801791916</v>
      </c>
      <c r="R59" s="59">
        <f t="shared" si="56"/>
        <v>-5.9287671232876713</v>
      </c>
      <c r="S59" s="59">
        <f t="shared" si="56"/>
        <v>-2.44881940840685</v>
      </c>
      <c r="T59" s="59">
        <f t="shared" si="56"/>
        <v>-1.9661007194244604</v>
      </c>
      <c r="U59" s="59">
        <f t="shared" si="56"/>
        <v>-1.1777341784887816</v>
      </c>
      <c r="V59" s="59">
        <f t="shared" si="56"/>
        <v>-0.97266411805812469</v>
      </c>
      <c r="W59" s="59">
        <f t="shared" si="56"/>
        <v>-1.1210905125408943</v>
      </c>
      <c r="X59" s="59">
        <f t="shared" si="56"/>
        <v>-1.152329012737664</v>
      </c>
      <c r="Y59" s="59">
        <f t="shared" si="56"/>
        <v>-1.365021552444281</v>
      </c>
      <c r="Z59" s="59">
        <f t="shared" si="56"/>
        <v>-1.652362319309252</v>
      </c>
      <c r="AA59" s="59">
        <f t="shared" si="56"/>
        <v>-2.0125823257642779</v>
      </c>
      <c r="AB59" s="59">
        <f t="shared" si="56"/>
        <v>-1.9053719257961206</v>
      </c>
      <c r="AC59" s="59">
        <f t="shared" si="56"/>
        <v>-1.7941926221102289</v>
      </c>
      <c r="AD59" s="59">
        <f t="shared" si="56"/>
        <v>-1.768086364980775</v>
      </c>
      <c r="AE59" s="59">
        <f t="shared" si="56"/>
        <v>-1.0867511611430372</v>
      </c>
      <c r="AF59" s="59">
        <f t="shared" si="56"/>
        <v>-1.0516339725060129</v>
      </c>
      <c r="AG59" s="59">
        <f t="shared" ref="AG59:AH59" si="57">+AG58/AG31</f>
        <v>-0.89454804999908488</v>
      </c>
      <c r="AH59" s="59">
        <f t="shared" si="57"/>
        <v>-0.85214812561782372</v>
      </c>
      <c r="AJ59" s="44"/>
      <c r="AK59" s="44"/>
      <c r="AL59" s="44"/>
      <c r="AM59" s="44"/>
      <c r="AN59" s="44"/>
    </row>
    <row r="60" spans="2:40">
      <c r="AE60" s="84"/>
      <c r="AF60" s="85"/>
      <c r="AG60" s="85"/>
      <c r="AH60" s="85"/>
      <c r="AJ60" s="43"/>
      <c r="AK60" s="43"/>
      <c r="AL60" s="43"/>
      <c r="AM60" s="43"/>
      <c r="AN60" s="43"/>
    </row>
    <row r="61" spans="2:40">
      <c r="B61" s="24" t="s">
        <v>127</v>
      </c>
      <c r="AJ61" s="43"/>
      <c r="AK61" s="43"/>
      <c r="AL61" s="43"/>
      <c r="AM61" s="43"/>
      <c r="AN61" s="43"/>
    </row>
    <row r="62" spans="2:40">
      <c r="B62" s="17" t="s">
        <v>166</v>
      </c>
      <c r="D62" s="29"/>
      <c r="E62" s="29">
        <v>1350.8309999999999</v>
      </c>
      <c r="F62" s="29">
        <v>2193</v>
      </c>
      <c r="G62" s="29">
        <v>3242</v>
      </c>
      <c r="H62" s="29">
        <v>4450</v>
      </c>
      <c r="I62" s="29">
        <v>5333</v>
      </c>
      <c r="J62" s="29">
        <v>6908</v>
      </c>
      <c r="K62" s="29">
        <v>10777</v>
      </c>
      <c r="L62" s="29">
        <v>16627</v>
      </c>
      <c r="M62" s="29">
        <v>28438</v>
      </c>
      <c r="N62" s="29">
        <v>41368</v>
      </c>
      <c r="O62" s="29">
        <v>47289</v>
      </c>
      <c r="P62" s="29">
        <v>52180</v>
      </c>
      <c r="Q62" s="29">
        <v>64912</v>
      </c>
      <c r="R62" s="29">
        <v>74825</v>
      </c>
      <c r="S62" s="29">
        <v>48115</v>
      </c>
      <c r="T62" s="29">
        <v>40104</v>
      </c>
      <c r="U62" s="29">
        <v>31097</v>
      </c>
      <c r="V62" s="29">
        <v>36286</v>
      </c>
      <c r="W62" s="29">
        <v>39558</v>
      </c>
      <c r="X62" s="29">
        <v>46175</v>
      </c>
      <c r="Y62" s="29">
        <v>57083</v>
      </c>
      <c r="Z62" s="29">
        <v>66363</v>
      </c>
      <c r="AA62" s="29">
        <v>78944</v>
      </c>
      <c r="AB62" s="29">
        <v>89784</v>
      </c>
      <c r="AC62" s="29">
        <v>80083</v>
      </c>
      <c r="AD62" s="29">
        <v>71997</v>
      </c>
      <c r="AE62" s="29">
        <v>87711</v>
      </c>
      <c r="AF62" s="29">
        <f>+'Historical Financials'!BI1247</f>
        <v>82718</v>
      </c>
      <c r="AG62" s="29">
        <f>+'Historical Financials'!BJ1247</f>
        <v>102330</v>
      </c>
      <c r="AH62" s="29">
        <f>+'Historical Financials'!BK1247</f>
        <v>118304</v>
      </c>
      <c r="AJ62" s="25">
        <f>IFERROR((AH62/AC62)^(1/5)-1,"n/a ")</f>
        <v>8.1164603996634499E-2</v>
      </c>
      <c r="AK62" s="25">
        <f>IFERROR((AH62/X62)^(1/10)-1,"n/a ")</f>
        <v>9.8649727870749215E-2</v>
      </c>
      <c r="AL62" s="25">
        <f>IFERROR((AH62/S62)^(1/15)-1,"n/a ")</f>
        <v>6.1812733637419459E-2</v>
      </c>
      <c r="AM62" s="25">
        <f>IFERROR((AH62/N62)^(1/20)-1,"n/a ")</f>
        <v>5.3942081407499121E-2</v>
      </c>
      <c r="AN62" s="25">
        <f>IFERROR(IF(AH62/I62&lt;1,"n/m ",(AH62/I62)^(1/25)-1),"n/a ")</f>
        <v>0.13198615149605475</v>
      </c>
    </row>
    <row r="63" spans="2:40" s="3" customFormat="1">
      <c r="B63" s="19" t="s">
        <v>1845</v>
      </c>
      <c r="D63" s="23"/>
      <c r="E63" s="23"/>
      <c r="F63" s="23">
        <f t="shared" ref="F63:AF63" si="58">+IFERROR(IF(AVERAGE(E62:F62)/F24&lt;0,"n/a ",F24/AVERAGE(E62:F62)),"n/a ")</f>
        <v>0.38187486931515641</v>
      </c>
      <c r="G63" s="23">
        <f t="shared" si="58"/>
        <v>0.33510579576816929</v>
      </c>
      <c r="H63" s="23">
        <f t="shared" si="58"/>
        <v>0.30624024960998447</v>
      </c>
      <c r="I63" s="23">
        <f t="shared" si="58"/>
        <v>0.2879587038740673</v>
      </c>
      <c r="J63" s="23">
        <f t="shared" si="58"/>
        <v>0.35885140102932772</v>
      </c>
      <c r="K63" s="23">
        <f t="shared" si="58"/>
        <v>0.39062482329657905</v>
      </c>
      <c r="L63" s="23">
        <f t="shared" si="58"/>
        <v>0.35166034155597731</v>
      </c>
      <c r="M63" s="23">
        <f t="shared" si="58"/>
        <v>0.34302230112060361</v>
      </c>
      <c r="N63" s="23">
        <f t="shared" si="58"/>
        <v>0.26584391026559323</v>
      </c>
      <c r="O63" s="23">
        <f t="shared" si="58"/>
        <v>0.16899398806636814</v>
      </c>
      <c r="P63" s="23">
        <f t="shared" si="58"/>
        <v>0.10292151323527933</v>
      </c>
      <c r="Q63" s="23">
        <f t="shared" si="58"/>
        <v>0.12272571994670858</v>
      </c>
      <c r="R63" s="23">
        <f t="shared" si="58"/>
        <v>0.11346171736905759</v>
      </c>
      <c r="S63" s="23">
        <f t="shared" si="58"/>
        <v>0.17582885960631203</v>
      </c>
      <c r="T63" s="23">
        <f t="shared" si="58"/>
        <v>0.26910982894841246</v>
      </c>
      <c r="U63" s="23">
        <f t="shared" si="58"/>
        <v>0.36700748584991788</v>
      </c>
      <c r="V63" s="23">
        <f t="shared" si="58"/>
        <v>0.45943635635100843</v>
      </c>
      <c r="W63" s="23">
        <f t="shared" si="58"/>
        <v>0.33974078371393918</v>
      </c>
      <c r="X63" s="23">
        <f t="shared" si="58"/>
        <v>0.37928102364317123</v>
      </c>
      <c r="Y63" s="23">
        <f t="shared" si="58"/>
        <v>0.35340893683782371</v>
      </c>
      <c r="Z63" s="23">
        <f t="shared" si="58"/>
        <v>0.29970999465353271</v>
      </c>
      <c r="AA63" s="23">
        <f t="shared" si="58"/>
        <v>0.24202275182888647</v>
      </c>
      <c r="AB63" s="23">
        <f t="shared" si="58"/>
        <v>0.21532347920914138</v>
      </c>
      <c r="AC63" s="23">
        <f t="shared" si="58"/>
        <v>0.21824957172376036</v>
      </c>
      <c r="AD63" s="23">
        <f t="shared" si="58"/>
        <v>0.22865399789584429</v>
      </c>
      <c r="AE63" s="23">
        <f t="shared" si="58"/>
        <v>0.24588060710797208</v>
      </c>
      <c r="AF63" s="23">
        <f t="shared" si="58"/>
        <v>0.29961802275434346</v>
      </c>
      <c r="AG63" s="23">
        <f t="shared" ref="AG63" si="59">+IFERROR(IF(AVERAGE(AF62:AG62)/AG24&lt;0,"n/a ",AG24/AVERAGE(AF62:AG62)),"n/a ")</f>
        <v>0.3730223509575894</v>
      </c>
      <c r="AH63" s="23">
        <f t="shared" ref="AH63" si="60">+IFERROR(IF(AVERAGE(AG62:AH62)/AH24&lt;0,"n/a ",AH24/AVERAGE(AG62:AH62)),"n/a ")</f>
        <v>0.37980039341171351</v>
      </c>
      <c r="AJ63" s="44"/>
      <c r="AK63" s="44"/>
      <c r="AL63" s="44"/>
      <c r="AM63" s="44"/>
      <c r="AN63" s="44"/>
    </row>
    <row r="64" spans="2:40">
      <c r="B64" s="17" t="s">
        <v>1846</v>
      </c>
      <c r="D64" s="8"/>
      <c r="E64" s="8">
        <f t="shared" ref="E64:AF64" si="61">+(E62+E58)</f>
        <v>683.97299999999996</v>
      </c>
      <c r="F64" s="8">
        <f t="shared" si="61"/>
        <v>848</v>
      </c>
      <c r="G64" s="8">
        <f t="shared" si="61"/>
        <v>952</v>
      </c>
      <c r="H64" s="8">
        <f t="shared" si="61"/>
        <v>836</v>
      </c>
      <c r="I64" s="8">
        <f t="shared" si="61"/>
        <v>583</v>
      </c>
      <c r="J64" s="8">
        <f t="shared" si="61"/>
        <v>-32</v>
      </c>
      <c r="K64" s="8">
        <f t="shared" si="61"/>
        <v>1811</v>
      </c>
      <c r="L64" s="8">
        <f t="shared" si="61"/>
        <v>2700</v>
      </c>
      <c r="M64" s="8">
        <f t="shared" si="61"/>
        <v>11202</v>
      </c>
      <c r="N64" s="8">
        <f t="shared" si="61"/>
        <v>17570</v>
      </c>
      <c r="O64" s="8">
        <f t="shared" si="61"/>
        <v>15689</v>
      </c>
      <c r="P64" s="8">
        <f t="shared" si="61"/>
        <v>13528</v>
      </c>
      <c r="Q64" s="8">
        <f t="shared" si="61"/>
        <v>15864</v>
      </c>
      <c r="R64" s="8">
        <f t="shared" si="61"/>
        <v>14233</v>
      </c>
      <c r="S64" s="8">
        <f t="shared" si="61"/>
        <v>10364</v>
      </c>
      <c r="T64" s="8">
        <f t="shared" si="61"/>
        <v>5943</v>
      </c>
      <c r="U64" s="8">
        <f t="shared" si="61"/>
        <v>7686</v>
      </c>
      <c r="V64" s="8">
        <f t="shared" si="61"/>
        <v>12624</v>
      </c>
      <c r="W64" s="8">
        <f t="shared" si="61"/>
        <v>13857</v>
      </c>
      <c r="X64" s="8">
        <f t="shared" si="61"/>
        <v>15326</v>
      </c>
      <c r="Y64" s="8">
        <f t="shared" si="61"/>
        <v>16232</v>
      </c>
      <c r="Z64" s="8">
        <f t="shared" si="61"/>
        <v>15267</v>
      </c>
      <c r="AA64" s="8">
        <f t="shared" si="61"/>
        <v>17522</v>
      </c>
      <c r="AB64" s="8">
        <f t="shared" si="61"/>
        <v>26720</v>
      </c>
      <c r="AC64" s="8">
        <f t="shared" si="61"/>
        <v>18849</v>
      </c>
      <c r="AD64" s="8">
        <f t="shared" si="61"/>
        <v>12218</v>
      </c>
      <c r="AE64" s="8">
        <f t="shared" si="61"/>
        <v>46296</v>
      </c>
      <c r="AF64" s="8">
        <f t="shared" si="61"/>
        <v>35059</v>
      </c>
      <c r="AG64" s="8">
        <f t="shared" ref="AG64:AH64" si="62">+(AG62+AG58)</f>
        <v>53451</v>
      </c>
      <c r="AH64" s="8">
        <f t="shared" si="62"/>
        <v>62271</v>
      </c>
      <c r="AJ64" s="25">
        <f>IFERROR((AH64/AC64)^(1/5)-1,"n/a ")</f>
        <v>0.26998767176635163</v>
      </c>
      <c r="AK64" s="25">
        <f>IFERROR((AH64/X64)^(1/10)-1,"n/a ")</f>
        <v>0.15049755983486857</v>
      </c>
      <c r="AL64" s="25">
        <f>IFERROR((AH64/S64)^(1/15)-1,"n/a ")</f>
        <v>0.12698264728546516</v>
      </c>
      <c r="AM64" s="25">
        <f>IFERROR((AH64/N64)^(1/20)-1,"n/a ")</f>
        <v>6.5309264579058279E-2</v>
      </c>
      <c r="AN64" s="25">
        <f>IFERROR(IF(AH64/I64&lt;1,"n/m ",(AH64/I64)^(1/25)-1),"n/a ")</f>
        <v>0.20543748219750047</v>
      </c>
    </row>
    <row r="65" spans="2:40">
      <c r="B65" s="19" t="s">
        <v>1847</v>
      </c>
      <c r="D65" s="23"/>
      <c r="E65" s="23"/>
      <c r="F65" s="23">
        <f t="shared" ref="F65:AF65" si="63">+IFERROR(IF(AVERAGE(E64:F64)*0.65/F18&lt;0,"n/a ",F18*0.65/AVERAGE(E64:F64)),"n/a ")</f>
        <v>0.84518460834492515</v>
      </c>
      <c r="G65" s="23">
        <f t="shared" si="63"/>
        <v>0.95766666666666667</v>
      </c>
      <c r="H65" s="23">
        <f t="shared" si="63"/>
        <v>1.2549217002237139</v>
      </c>
      <c r="I65" s="23">
        <f t="shared" si="63"/>
        <v>1.8670894996476393</v>
      </c>
      <c r="J65" s="23">
        <f t="shared" si="63"/>
        <v>7.2620689655172415</v>
      </c>
      <c r="K65" s="23">
        <f t="shared" si="63"/>
        <v>3.7487352445193931</v>
      </c>
      <c r="L65" s="23">
        <f t="shared" si="63"/>
        <v>2</v>
      </c>
      <c r="M65" s="23">
        <f t="shared" si="63"/>
        <v>0.93605236656596169</v>
      </c>
      <c r="N65" s="23">
        <f t="shared" si="63"/>
        <v>0.49728207979980538</v>
      </c>
      <c r="O65" s="23">
        <f t="shared" si="63"/>
        <v>0.45810156649327999</v>
      </c>
      <c r="P65" s="23">
        <f t="shared" si="63"/>
        <v>0.36805969127562721</v>
      </c>
      <c r="Q65" s="23">
        <f t="shared" si="63"/>
        <v>0.42217270005443658</v>
      </c>
      <c r="R65" s="23">
        <f t="shared" si="63"/>
        <v>0.39021164900156163</v>
      </c>
      <c r="S65" s="23">
        <f t="shared" si="63"/>
        <v>0.76957759076310117</v>
      </c>
      <c r="T65" s="23">
        <f t="shared" si="63"/>
        <v>1.3131538603053905</v>
      </c>
      <c r="U65" s="23">
        <f t="shared" si="63"/>
        <v>1.7587057010785825</v>
      </c>
      <c r="V65" s="23">
        <f t="shared" si="63"/>
        <v>1.4255194485475136</v>
      </c>
      <c r="W65" s="23">
        <f t="shared" si="63"/>
        <v>0.99965635738831615</v>
      </c>
      <c r="X65" s="23">
        <f t="shared" si="63"/>
        <v>1.0734811362779701</v>
      </c>
      <c r="Y65" s="23">
        <f t="shared" si="63"/>
        <v>1.1188700171113506</v>
      </c>
      <c r="Z65" s="23">
        <f t="shared" si="63"/>
        <v>1.153776310359059</v>
      </c>
      <c r="AA65" s="23">
        <f t="shared" si="63"/>
        <v>1.061124157491842</v>
      </c>
      <c r="AB65" s="23">
        <f t="shared" si="63"/>
        <v>0.81939785723972702</v>
      </c>
      <c r="AC65" s="23">
        <f t="shared" si="63"/>
        <v>0.80369549474423396</v>
      </c>
      <c r="AD65" s="23">
        <f t="shared" si="63"/>
        <v>1.1376830720700422</v>
      </c>
      <c r="AE65" s="23">
        <f t="shared" si="63"/>
        <v>0.65164405099634282</v>
      </c>
      <c r="AF65" s="23">
        <f t="shared" si="63"/>
        <v>0.56020404400467094</v>
      </c>
      <c r="AG65" s="23">
        <f t="shared" ref="AG65" si="64">+IFERROR(IF(AVERAGE(AF64:AG64)*0.65/AG18&lt;0,"n/a ",AG18*0.65/AVERAGE(AF64:AG64)),"n/a ")</f>
        <v>0.63096486272737551</v>
      </c>
      <c r="AH65" s="23">
        <f t="shared" ref="AH65" si="65">+IFERROR(IF(AVERAGE(AG64:AH64)*0.65/AH18&lt;0,"n/a ",AH18*0.65/AVERAGE(AG64:AH64)),"n/a ")</f>
        <v>0.59493181936019079</v>
      </c>
      <c r="AJ65" s="43"/>
      <c r="AK65" s="43"/>
      <c r="AL65" s="43"/>
      <c r="AM65" s="43"/>
      <c r="AN65" s="43"/>
    </row>
    <row r="66" spans="2:40">
      <c r="B66" s="19" t="s">
        <v>1848</v>
      </c>
      <c r="D66" s="23"/>
      <c r="E66" s="23"/>
      <c r="F66" s="23"/>
      <c r="G66" s="23"/>
      <c r="H66" s="23"/>
      <c r="I66" s="23">
        <f>+(I18-D18)*0.65/AVERAGE(D64:I64)</f>
        <v>1.3695909502832841</v>
      </c>
      <c r="J66" s="23">
        <f>+(J18-E18)*0.65/AVERAGE(E64:J64)</f>
        <v>2.4462066772359305</v>
      </c>
      <c r="K66" s="23">
        <f t="shared" ref="K66:N66" si="66">+(K18-F18)*0.65/AVERAGE(F64:K64)</f>
        <v>3.2258103241296516</v>
      </c>
      <c r="L66" s="23">
        <f t="shared" si="66"/>
        <v>3.1962919708029194</v>
      </c>
      <c r="M66" s="23">
        <f t="shared" si="66"/>
        <v>1.8893333333333335</v>
      </c>
      <c r="N66" s="23">
        <f t="shared" si="66"/>
        <v>1.0337293846426672</v>
      </c>
      <c r="O66" s="23">
        <f t="shared" ref="O66" si="67">+(O18-J18)*0.65/AVERAGE(J64:O64)</f>
        <v>0.68867592970984881</v>
      </c>
      <c r="P66" s="23">
        <f t="shared" ref="P66" si="68">+(P18-K18)*0.65/AVERAGE(K64:P64)</f>
        <v>0.19606080000000004</v>
      </c>
      <c r="Q66" s="23">
        <f t="shared" ref="Q66" si="69">+(Q18-L18)*0.65/AVERAGE(L64:Q64)</f>
        <v>0.13271197732290047</v>
      </c>
      <c r="R66" s="23">
        <f t="shared" ref="R66" si="70">+(R18-M18)*0.65/AVERAGE(M64:R64)</f>
        <v>-4.321231523738165E-2</v>
      </c>
      <c r="S66" s="23">
        <f t="shared" ref="S66" si="71">+(S18-N18)*0.65/AVERAGE(N64:S64)</f>
        <v>0.15890908674124335</v>
      </c>
      <c r="T66" s="23">
        <f t="shared" ref="T66" si="72">+(T18-O18)*0.65/AVERAGE(O64:T64)</f>
        <v>0.24507478081485304</v>
      </c>
      <c r="U66" s="23">
        <f t="shared" ref="U66" si="73">+(U18-P18)*0.65/AVERAGE(P64:U64)</f>
        <v>0.58634387293324275</v>
      </c>
      <c r="V66" s="23">
        <f t="shared" ref="V66" si="74">+(V18-Q18)*0.65/AVERAGE(Q64:V64)</f>
        <v>0.7439428006115657</v>
      </c>
      <c r="W66" s="23">
        <f t="shared" ref="W66" si="75">+(W18-R18)*0.65/AVERAGE(R64:W64)</f>
        <v>0.68281793314479122</v>
      </c>
      <c r="X66" s="23">
        <f t="shared" ref="X66" si="76">+(X18-S18)*0.65/AVERAGE(S64:X64)</f>
        <v>0.56526291793313077</v>
      </c>
      <c r="Y66" s="23">
        <f t="shared" ref="Y66" si="77">+(Y18-T18)*0.65/AVERAGE(T64:Y64)</f>
        <v>0.58166964335547255</v>
      </c>
      <c r="Z66" s="23">
        <f t="shared" ref="Z66" si="78">+(Z18-U18)*0.65/AVERAGE(U64:Z64)</f>
        <v>0.45831934018174636</v>
      </c>
      <c r="AA66" s="23">
        <f t="shared" ref="AA66" si="79">+(AA18-V18)*0.65/AVERAGE(V64:AA64)</f>
        <v>0.19292178623332015</v>
      </c>
      <c r="AB66" s="23">
        <f t="shared" ref="AB66" si="80">+(AB18-W18)*0.65/AVERAGE(W64:AB64)</f>
        <v>0.27962811177614272</v>
      </c>
      <c r="AC66" s="23">
        <f t="shared" ref="AC66" si="81">+(AC18-X18)*0.65/AVERAGE(X64:AC64)</f>
        <v>0.14455220350085521</v>
      </c>
      <c r="AD66" s="23">
        <f t="shared" ref="AD66" si="82">+(AD18-Y18)*0.65/AVERAGE(Y64:AD64)</f>
        <v>9.8588120740019476E-4</v>
      </c>
      <c r="AE66" s="23">
        <f t="shared" ref="AE66" si="83">+(AE18-Z18)*0.65/AVERAGE(Z64:AE64)</f>
        <v>3.917894090829388E-2</v>
      </c>
      <c r="AF66" s="23">
        <f t="shared" ref="AF66" si="84">+(AF18-AA18)*0.65/AVERAGE(AA64:AF64)</f>
        <v>0.2064711739774294</v>
      </c>
      <c r="AG66" s="23">
        <f t="shared" ref="AG66" si="85">+(AG18-AB18)*0.65/AVERAGE(AB64:AG64)</f>
        <v>0.30522760432622165</v>
      </c>
      <c r="AH66" s="23">
        <f t="shared" ref="AH66" si="86">+(AH18-AC18)*0.65/AVERAGE(AC64:AH64)</f>
        <v>0.42372054491899858</v>
      </c>
      <c r="AJ66" s="43"/>
      <c r="AK66" s="43"/>
      <c r="AL66" s="43"/>
      <c r="AM66" s="43"/>
      <c r="AN66" s="43"/>
    </row>
    <row r="67" spans="2:40">
      <c r="AJ67" s="43"/>
      <c r="AK67" s="43"/>
      <c r="AL67" s="43"/>
      <c r="AM67" s="43"/>
      <c r="AN67" s="43"/>
    </row>
    <row r="68" spans="2:40" ht="10.5">
      <c r="B68" s="5" t="s">
        <v>1849</v>
      </c>
      <c r="C68" s="4"/>
      <c r="AJ68" s="43"/>
      <c r="AK68" s="43"/>
      <c r="AL68" s="43"/>
      <c r="AM68" s="43"/>
      <c r="AN68" s="43"/>
    </row>
    <row r="69" spans="2:40">
      <c r="B69" s="3" t="s">
        <v>1850</v>
      </c>
      <c r="AJ69" s="43"/>
      <c r="AK69" s="43"/>
      <c r="AL69" s="43"/>
      <c r="AM69" s="43"/>
      <c r="AN69" s="43"/>
    </row>
    <row r="70" spans="2:40">
      <c r="B70" s="3"/>
      <c r="AJ70" s="43"/>
      <c r="AK70" s="43"/>
      <c r="AL70" s="43"/>
      <c r="AM70" s="43"/>
      <c r="AN70" s="43"/>
    </row>
    <row r="71" spans="2:40">
      <c r="B71" t="s">
        <v>1851</v>
      </c>
      <c r="D71" s="86">
        <f>_xll.ciqfunctions.udf.CIQ("MSFT", "IQ_LASTSALEPRICE", D7)</f>
        <v>1.0555559999999999</v>
      </c>
      <c r="E71" s="86">
        <f>_xll.ciqfunctions.udf.CIQ("MSFT", "IQ_LASTSALEPRICE", E7)</f>
        <v>1.4192709999999999</v>
      </c>
      <c r="F71" s="86">
        <f>_xll.ciqfunctions.udf.CIQ("MSFT", "IQ_LASTSALEPRICE", F7)</f>
        <v>2.1875</v>
      </c>
      <c r="G71" s="86">
        <f>_xll.ciqfunctions.udf.CIQ("MSFT", "IQ_LASTSALEPRICE", G7)</f>
        <v>2.75</v>
      </c>
      <c r="H71" s="86">
        <f>_xll.ciqfunctions.udf.CIQ("MSFT", "IQ_LASTSALEPRICE", H7)</f>
        <v>3.2265600000000001</v>
      </c>
      <c r="I71" s="86">
        <f>_xll.ciqfunctions.udf.CIQ("MSFT", "IQ_LASTSALEPRICE", I7)</f>
        <v>5.6484399999999999</v>
      </c>
      <c r="J71" s="86">
        <f>_xll.ciqfunctions.udf.CIQ("MSFT", "IQ_LASTSALEPRICE", J7)</f>
        <v>7.5078100000000001</v>
      </c>
      <c r="K71" s="86">
        <f>_xll.ciqfunctions.udf.CIQ("MSFT", "IQ_LASTSALEPRICE", K7)</f>
        <v>15.79688</v>
      </c>
      <c r="L71" s="86">
        <f>_xll.ciqfunctions.udf.CIQ("MSFT", "IQ_LASTSALEPRICE", L7)</f>
        <v>27.09375</v>
      </c>
      <c r="M71" s="86">
        <f>_xll.ciqfunctions.udf.CIQ("MSFT", "IQ_LASTSALEPRICE", M7)</f>
        <v>45.09375</v>
      </c>
      <c r="N71" s="86">
        <f>_xll.ciqfunctions.udf.CIQ("MSFT", "IQ_LASTSALEPRICE", N7)</f>
        <v>40</v>
      </c>
      <c r="O71" s="86">
        <f>_xll.ciqfunctions.udf.CIQ("MSFT", "IQ_LASTSALEPRICE", O7)</f>
        <v>36.5</v>
      </c>
      <c r="P71" s="86">
        <f>_xll.ciqfunctions.udf.CIQ("MSFT", "IQ_LASTSALEPRICE", P7)</f>
        <v>27.35</v>
      </c>
      <c r="Q71" s="86">
        <f>_xll.ciqfunctions.udf.CIQ("MSFT", "IQ_LASTSALEPRICE", Q7)</f>
        <v>25.64</v>
      </c>
      <c r="R71" s="86">
        <f>_xll.ciqfunctions.udf.CIQ("MSFT", "IQ_LASTSALEPRICE", R7)</f>
        <v>28.56</v>
      </c>
      <c r="S71" s="86">
        <f>_xll.ciqfunctions.udf.CIQ("MSFT", "IQ_LASTSALEPRICE", S7)</f>
        <v>24.84</v>
      </c>
      <c r="T71" s="86">
        <f>_xll.ciqfunctions.udf.CIQ("MSFT", "IQ_LASTSALEPRICE", T7)</f>
        <v>23.3</v>
      </c>
      <c r="U71" s="86">
        <f>_xll.ciqfunctions.udf.CIQ("MSFT", "IQ_LASTSALEPRICE", U7)</f>
        <v>29.47</v>
      </c>
      <c r="V71" s="86">
        <f>_xll.ciqfunctions.udf.CIQ("MSFT", "IQ_LASTSALEPRICE", V7)</f>
        <v>27.51</v>
      </c>
      <c r="W71" s="86">
        <f>_xll.ciqfunctions.udf.CIQ("MSFT", "IQ_LASTSALEPRICE", W7)</f>
        <v>23.77</v>
      </c>
      <c r="X71" s="86">
        <f>_xll.ciqfunctions.udf.CIQ("MSFT", "IQ_LASTSALEPRICE", X7)</f>
        <v>23.01</v>
      </c>
      <c r="Y71" s="86">
        <f>_xll.ciqfunctions.udf.CIQ("MSFT", "IQ_LASTSALEPRICE", Y7)</f>
        <v>26</v>
      </c>
      <c r="Z71" s="86">
        <f>_xll.ciqfunctions.udf.CIQ("MSFT", "IQ_LASTSALEPRICE", Z7)</f>
        <v>30.59</v>
      </c>
      <c r="AA71" s="86">
        <f>_xll.ciqfunctions.udf.CIQ("MSFT", "IQ_LASTSALEPRICE", AA7)</f>
        <v>34.545000000000002</v>
      </c>
      <c r="AB71" s="86">
        <f>_xll.ciqfunctions.udf.CIQ("MSFT", "IQ_LASTSALEPRICE", AB7)</f>
        <v>41.7</v>
      </c>
      <c r="AC71" s="86">
        <f>_xll.ciqfunctions.udf.CIQ("MSFT", "IQ_LASTSALEPRICE", AC7)</f>
        <v>44.15</v>
      </c>
      <c r="AD71" s="86">
        <f>_xll.ciqfunctions.udf.CIQ("MSFT", "IQ_LASTSALEPRICE", AD7)</f>
        <v>51.17</v>
      </c>
      <c r="AE71" s="86">
        <f>_xll.ciqfunctions.udf.CIQ("MSFT", "IQ_LASTSALEPRICE", AE7)</f>
        <v>68.930000000000007</v>
      </c>
      <c r="AF71" s="86">
        <f>_xll.ciqfunctions.udf.CIQ("MSFT", "IQ_LASTSALEPRICE", AF7)</f>
        <v>98.61</v>
      </c>
      <c r="AG71" s="86">
        <f>_xll.ciqfunctions.udf.CIQ("MSFT", "IQ_LASTSALEPRICE", AG7)</f>
        <v>133.96</v>
      </c>
      <c r="AH71" s="86">
        <f>_xll.ciqfunctions.udf.CIQ("MSFT", "IQ_LASTSALEPRICE", AH7)</f>
        <v>203.51</v>
      </c>
      <c r="AJ71" s="25">
        <f>IFERROR((AH71/AC71)^(1/5)-1,"n/a ")</f>
        <v>0.35747240299640914</v>
      </c>
      <c r="AK71" s="25">
        <f>IFERROR((AH71/X71)^(1/10)-1,"n/a ")</f>
        <v>0.24356048494587657</v>
      </c>
      <c r="AL71" s="25">
        <f>IFERROR((AH71/S71)^(1/15)-1,"n/a ")</f>
        <v>0.15052381017061456</v>
      </c>
      <c r="AM71" s="25">
        <f>IFERROR((AH71/N71)^(1/20)-1,"n/a ")</f>
        <v>8.474158105383478E-2</v>
      </c>
      <c r="AN71" s="25">
        <f>IFERROR(IF(AH71/I71&lt;1,"n/m ",(AH71/I71)^(1/25)-1),"n/a ")</f>
        <v>0.1541607191111829</v>
      </c>
    </row>
    <row r="72" spans="2:40" ht="11.45">
      <c r="B72" s="12" t="s">
        <v>1852</v>
      </c>
      <c r="D72" s="30">
        <f t="shared" ref="D72:AE72" si="87">+D26</f>
        <v>8597.6640000000007</v>
      </c>
      <c r="E72" s="30">
        <f t="shared" si="87"/>
        <v>9024</v>
      </c>
      <c r="F72" s="30">
        <f t="shared" si="87"/>
        <v>9408</v>
      </c>
      <c r="G72" s="30">
        <f t="shared" si="87"/>
        <v>9696</v>
      </c>
      <c r="H72" s="30">
        <f t="shared" si="87"/>
        <v>9760</v>
      </c>
      <c r="I72" s="30">
        <f t="shared" si="87"/>
        <v>10032</v>
      </c>
      <c r="J72" s="30">
        <f t="shared" si="87"/>
        <v>10244</v>
      </c>
      <c r="K72" s="30">
        <f t="shared" si="87"/>
        <v>10488</v>
      </c>
      <c r="L72" s="30">
        <f t="shared" si="87"/>
        <v>10724</v>
      </c>
      <c r="M72" s="30">
        <f t="shared" si="87"/>
        <v>10964</v>
      </c>
      <c r="N72" s="30">
        <f t="shared" si="87"/>
        <v>11072</v>
      </c>
      <c r="O72" s="30">
        <f t="shared" si="87"/>
        <v>11148</v>
      </c>
      <c r="P72" s="30">
        <f t="shared" si="87"/>
        <v>11106</v>
      </c>
      <c r="Q72" s="30">
        <f t="shared" si="87"/>
        <v>10882</v>
      </c>
      <c r="R72" s="30">
        <f t="shared" si="87"/>
        <v>10894</v>
      </c>
      <c r="S72" s="30">
        <f t="shared" si="87"/>
        <v>10906</v>
      </c>
      <c r="T72" s="30">
        <f t="shared" si="87"/>
        <v>10531</v>
      </c>
      <c r="U72" s="30">
        <f t="shared" si="87"/>
        <v>9886</v>
      </c>
      <c r="V72" s="30">
        <f t="shared" si="87"/>
        <v>9470</v>
      </c>
      <c r="W72" s="30">
        <f t="shared" si="87"/>
        <v>8996</v>
      </c>
      <c r="X72" s="30">
        <f t="shared" si="87"/>
        <v>8927</v>
      </c>
      <c r="Y72" s="30">
        <f t="shared" si="87"/>
        <v>8593</v>
      </c>
      <c r="Z72" s="30">
        <f t="shared" si="87"/>
        <v>8506</v>
      </c>
      <c r="AA72" s="30">
        <f t="shared" si="87"/>
        <v>8470</v>
      </c>
      <c r="AB72" s="30">
        <f t="shared" si="87"/>
        <v>8399</v>
      </c>
      <c r="AC72" s="30">
        <f t="shared" si="87"/>
        <v>8254</v>
      </c>
      <c r="AD72" s="30">
        <f t="shared" si="87"/>
        <v>8013</v>
      </c>
      <c r="AE72" s="30">
        <f t="shared" si="87"/>
        <v>7832</v>
      </c>
      <c r="AF72" s="30">
        <f>+AF26</f>
        <v>7769.5</v>
      </c>
      <c r="AG72" s="30">
        <f t="shared" ref="AG72:AH72" si="88">+AG26</f>
        <v>7753</v>
      </c>
      <c r="AH72" s="30">
        <f t="shared" si="88"/>
        <v>7683</v>
      </c>
      <c r="AJ72" s="25">
        <f>IFERROR((AH72/AC72)^(1/5)-1,"n/a ")</f>
        <v>-1.4235273637258405E-2</v>
      </c>
      <c r="AK72" s="25">
        <f>IFERROR((AH72/X72)^(1/10)-1,"n/a ")</f>
        <v>-1.4894985346196599E-2</v>
      </c>
      <c r="AL72" s="25">
        <f>IFERROR((AH72/S72)^(1/15)-1,"n/a ")</f>
        <v>-2.308295006564709E-2</v>
      </c>
      <c r="AM72" s="25">
        <f>IFERROR((AH72/N72)^(1/20)-1,"n/a ")</f>
        <v>-1.8104572052152657E-2</v>
      </c>
      <c r="AN72" s="25" t="str">
        <f>IFERROR(IF(AH72/I72&lt;1,"n/m ",(AH72/I72)^(1/25)-1),"n/a ")</f>
        <v xml:space="preserve">n/m </v>
      </c>
    </row>
    <row r="73" spans="2:40">
      <c r="B73" t="s">
        <v>1853</v>
      </c>
      <c r="D73" s="87">
        <f t="shared" ref="D73:AF73" si="89">IFERROR(D71*D72,"n/a")</f>
        <v>9075.315821184</v>
      </c>
      <c r="E73" s="87">
        <f t="shared" si="89"/>
        <v>12807.501504</v>
      </c>
      <c r="F73" s="87">
        <f t="shared" si="89"/>
        <v>20580</v>
      </c>
      <c r="G73" s="87">
        <f t="shared" si="89"/>
        <v>26664</v>
      </c>
      <c r="H73" s="87">
        <f t="shared" si="89"/>
        <v>31491.225600000002</v>
      </c>
      <c r="I73" s="87">
        <f t="shared" si="89"/>
        <v>56665.150079999999</v>
      </c>
      <c r="J73" s="87">
        <f t="shared" si="89"/>
        <v>76910.005640000003</v>
      </c>
      <c r="K73" s="87">
        <f t="shared" si="89"/>
        <v>165677.67744</v>
      </c>
      <c r="L73" s="87">
        <f t="shared" si="89"/>
        <v>290553.375</v>
      </c>
      <c r="M73" s="87">
        <f t="shared" si="89"/>
        <v>494407.875</v>
      </c>
      <c r="N73" s="87">
        <f t="shared" si="89"/>
        <v>442880</v>
      </c>
      <c r="O73" s="87">
        <f t="shared" si="89"/>
        <v>406902</v>
      </c>
      <c r="P73" s="87">
        <f t="shared" si="89"/>
        <v>303749.10000000003</v>
      </c>
      <c r="Q73" s="87">
        <f t="shared" si="89"/>
        <v>279014.48</v>
      </c>
      <c r="R73" s="87">
        <f t="shared" si="89"/>
        <v>311132.64</v>
      </c>
      <c r="S73" s="87">
        <f t="shared" si="89"/>
        <v>270905.03999999998</v>
      </c>
      <c r="T73" s="87">
        <f t="shared" si="89"/>
        <v>245372.30000000002</v>
      </c>
      <c r="U73" s="87">
        <f t="shared" si="89"/>
        <v>291340.42</v>
      </c>
      <c r="V73" s="87">
        <f t="shared" si="89"/>
        <v>260519.7</v>
      </c>
      <c r="W73" s="87">
        <f t="shared" si="89"/>
        <v>213834.91999999998</v>
      </c>
      <c r="X73" s="87">
        <f t="shared" si="89"/>
        <v>205410.27000000002</v>
      </c>
      <c r="Y73" s="87">
        <f t="shared" si="89"/>
        <v>223418</v>
      </c>
      <c r="Z73" s="87">
        <f t="shared" si="89"/>
        <v>260198.54</v>
      </c>
      <c r="AA73" s="87">
        <f t="shared" si="89"/>
        <v>292596.15000000002</v>
      </c>
      <c r="AB73" s="87">
        <f t="shared" si="89"/>
        <v>350238.30000000005</v>
      </c>
      <c r="AC73" s="87">
        <f t="shared" si="89"/>
        <v>364414.1</v>
      </c>
      <c r="AD73" s="87">
        <f t="shared" si="89"/>
        <v>410025.21</v>
      </c>
      <c r="AE73" s="87">
        <f t="shared" si="89"/>
        <v>539859.76</v>
      </c>
      <c r="AF73" s="87">
        <f t="shared" si="89"/>
        <v>766150.39500000002</v>
      </c>
      <c r="AG73" s="87">
        <f t="shared" ref="AG73:AH73" si="90">IFERROR(AG71*AG72,"n/a")</f>
        <v>1038591.88</v>
      </c>
      <c r="AH73" s="87">
        <f t="shared" si="90"/>
        <v>1563567.3299999998</v>
      </c>
      <c r="AJ73" s="25">
        <f>IFERROR((AH73/AC73)^(1/5)-1,"n/a ")</f>
        <v>0.33814841188472844</v>
      </c>
      <c r="AK73" s="25">
        <f>IFERROR((AH73/X73)^(1/10)-1,"n/a ")</f>
        <v>0.22503766974549833</v>
      </c>
      <c r="AL73" s="25">
        <f>IFERROR((AH73/S73)^(1/15)-1,"n/a ")</f>
        <v>0.12396632651110817</v>
      </c>
      <c r="AM73" s="25">
        <f>IFERROR((AH73/N73)^(1/20)-1,"n/a ")</f>
        <v>6.5102798941679696E-2</v>
      </c>
      <c r="AN73" s="25">
        <f>IFERROR(IF(AH73/I73&lt;1,"n/m ",(AH73/I73)^(1/25)-1),"n/a ")</f>
        <v>0.14191038273839518</v>
      </c>
    </row>
    <row r="74" spans="2:40" ht="11.45">
      <c r="B74" s="12" t="s">
        <v>148</v>
      </c>
      <c r="D74" s="26">
        <f t="shared" ref="D74:AF74" si="91">+D58</f>
        <v>0</v>
      </c>
      <c r="E74" s="26">
        <f t="shared" si="91"/>
        <v>-666.85799999999995</v>
      </c>
      <c r="F74" s="26">
        <f t="shared" si="91"/>
        <v>-1345</v>
      </c>
      <c r="G74" s="26">
        <f t="shared" si="91"/>
        <v>-2290</v>
      </c>
      <c r="H74" s="26">
        <f t="shared" si="91"/>
        <v>-3614</v>
      </c>
      <c r="I74" s="26">
        <f t="shared" si="91"/>
        <v>-4750</v>
      </c>
      <c r="J74" s="26">
        <f t="shared" si="91"/>
        <v>-6940</v>
      </c>
      <c r="K74" s="26">
        <f t="shared" si="91"/>
        <v>-8966</v>
      </c>
      <c r="L74" s="26">
        <f t="shared" si="91"/>
        <v>-13927</v>
      </c>
      <c r="M74" s="26">
        <f t="shared" si="91"/>
        <v>-17236</v>
      </c>
      <c r="N74" s="26">
        <f t="shared" si="91"/>
        <v>-23798</v>
      </c>
      <c r="O74" s="26">
        <f t="shared" si="91"/>
        <v>-31600</v>
      </c>
      <c r="P74" s="26">
        <f t="shared" si="91"/>
        <v>-38652</v>
      </c>
      <c r="Q74" s="26">
        <f t="shared" si="91"/>
        <v>-49048</v>
      </c>
      <c r="R74" s="26">
        <f t="shared" si="91"/>
        <v>-60592</v>
      </c>
      <c r="S74" s="26">
        <f t="shared" si="91"/>
        <v>-37751</v>
      </c>
      <c r="T74" s="26">
        <f t="shared" si="91"/>
        <v>-34161</v>
      </c>
      <c r="U74" s="26">
        <f t="shared" si="91"/>
        <v>-23411</v>
      </c>
      <c r="V74" s="26">
        <f t="shared" si="91"/>
        <v>-23662</v>
      </c>
      <c r="W74" s="26">
        <f t="shared" si="91"/>
        <v>-25701</v>
      </c>
      <c r="X74" s="26">
        <f t="shared" si="91"/>
        <v>-30849</v>
      </c>
      <c r="Y74" s="26">
        <f t="shared" si="91"/>
        <v>-40851</v>
      </c>
      <c r="Z74" s="26">
        <f t="shared" si="91"/>
        <v>-51096</v>
      </c>
      <c r="AA74" s="26">
        <f t="shared" si="91"/>
        <v>-61422</v>
      </c>
      <c r="AB74" s="26">
        <f t="shared" si="91"/>
        <v>-63064</v>
      </c>
      <c r="AC74" s="26">
        <f t="shared" si="91"/>
        <v>-61234</v>
      </c>
      <c r="AD74" s="26">
        <f t="shared" si="91"/>
        <v>-59779</v>
      </c>
      <c r="AE74" s="26">
        <f t="shared" si="91"/>
        <v>-41415</v>
      </c>
      <c r="AF74" s="26">
        <f t="shared" si="91"/>
        <v>-47659</v>
      </c>
      <c r="AG74" s="26">
        <f t="shared" ref="AG74:AH74" si="92">+AG58</f>
        <v>-48879</v>
      </c>
      <c r="AH74" s="26">
        <f t="shared" si="92"/>
        <v>-56033</v>
      </c>
      <c r="AJ74" s="43"/>
      <c r="AK74" s="43"/>
      <c r="AL74" s="43"/>
      <c r="AM74" s="43"/>
      <c r="AN74" s="43"/>
    </row>
    <row r="75" spans="2:40">
      <c r="B75" t="s">
        <v>167</v>
      </c>
      <c r="D75" s="87">
        <f t="shared" ref="D75:AF75" si="93">+IFERROR(D73+D74,"n/a")</f>
        <v>9075.315821184</v>
      </c>
      <c r="E75" s="87">
        <f t="shared" si="93"/>
        <v>12140.643504</v>
      </c>
      <c r="F75" s="87">
        <f t="shared" si="93"/>
        <v>19235</v>
      </c>
      <c r="G75" s="87">
        <f t="shared" si="93"/>
        <v>24374</v>
      </c>
      <c r="H75" s="87">
        <f t="shared" si="93"/>
        <v>27877.225600000002</v>
      </c>
      <c r="I75" s="87">
        <f t="shared" si="93"/>
        <v>51915.150079999999</v>
      </c>
      <c r="J75" s="87">
        <f t="shared" si="93"/>
        <v>69970.005640000003</v>
      </c>
      <c r="K75" s="87">
        <f t="shared" si="93"/>
        <v>156711.67744</v>
      </c>
      <c r="L75" s="87">
        <f t="shared" si="93"/>
        <v>276626.375</v>
      </c>
      <c r="M75" s="87">
        <f t="shared" si="93"/>
        <v>477171.875</v>
      </c>
      <c r="N75" s="87">
        <f t="shared" si="93"/>
        <v>419082</v>
      </c>
      <c r="O75" s="87">
        <f t="shared" si="93"/>
        <v>375302</v>
      </c>
      <c r="P75" s="87">
        <f t="shared" si="93"/>
        <v>265097.10000000003</v>
      </c>
      <c r="Q75" s="87">
        <f t="shared" si="93"/>
        <v>229966.47999999998</v>
      </c>
      <c r="R75" s="87">
        <f t="shared" si="93"/>
        <v>250540.64</v>
      </c>
      <c r="S75" s="87">
        <f t="shared" si="93"/>
        <v>233154.03999999998</v>
      </c>
      <c r="T75" s="87">
        <f t="shared" si="93"/>
        <v>211211.30000000002</v>
      </c>
      <c r="U75" s="87">
        <f t="shared" si="93"/>
        <v>267929.42</v>
      </c>
      <c r="V75" s="87">
        <f t="shared" si="93"/>
        <v>236857.7</v>
      </c>
      <c r="W75" s="87">
        <f t="shared" si="93"/>
        <v>188133.91999999998</v>
      </c>
      <c r="X75" s="87">
        <f t="shared" si="93"/>
        <v>174561.27000000002</v>
      </c>
      <c r="Y75" s="87">
        <f t="shared" si="93"/>
        <v>182567</v>
      </c>
      <c r="Z75" s="87">
        <f t="shared" si="93"/>
        <v>209102.54</v>
      </c>
      <c r="AA75" s="87">
        <f t="shared" si="93"/>
        <v>231174.15000000002</v>
      </c>
      <c r="AB75" s="87">
        <f t="shared" si="93"/>
        <v>287174.30000000005</v>
      </c>
      <c r="AC75" s="87">
        <f t="shared" si="93"/>
        <v>303180.09999999998</v>
      </c>
      <c r="AD75" s="87">
        <f t="shared" si="93"/>
        <v>350246.21</v>
      </c>
      <c r="AE75" s="87">
        <f t="shared" si="93"/>
        <v>498444.76</v>
      </c>
      <c r="AF75" s="87">
        <f t="shared" si="93"/>
        <v>718491.39500000002</v>
      </c>
      <c r="AG75" s="87">
        <f t="shared" ref="AG75:AH75" si="94">+IFERROR(AG73+AG74,"n/a")</f>
        <v>989712.88</v>
      </c>
      <c r="AH75" s="87">
        <f t="shared" si="94"/>
        <v>1507534.3299999998</v>
      </c>
      <c r="AJ75" s="25">
        <f>IFERROR((AH75/AC75)^(1/5)-1,"n/a ")</f>
        <v>0.37820335814577244</v>
      </c>
      <c r="AK75" s="25">
        <f>IFERROR((AH75/X75)^(1/10)-1,"n/a ")</f>
        <v>0.24060044265635927</v>
      </c>
      <c r="AL75" s="25">
        <f>IFERROR((AH75/S75)^(1/15)-1,"n/a ")</f>
        <v>0.13250888446067277</v>
      </c>
      <c r="AM75" s="25">
        <f>IFERROR((AH75/N75)^(1/20)-1,"n/a ")</f>
        <v>6.6101145888977753E-2</v>
      </c>
      <c r="AN75" s="25">
        <f>IFERROR(IF(AH75/I75&lt;1,"n/m ",(AH75/I75)^(1/25)-1),"n/a ")</f>
        <v>0.14424473786832692</v>
      </c>
    </row>
    <row r="76" spans="2:40">
      <c r="AJ76" s="43"/>
      <c r="AK76" s="43"/>
      <c r="AL76" s="43"/>
      <c r="AM76" s="43"/>
      <c r="AN76" s="43"/>
    </row>
    <row r="77" spans="2:40">
      <c r="B77" t="s">
        <v>1854</v>
      </c>
      <c r="AJ77" s="43"/>
      <c r="AK77" s="43"/>
      <c r="AL77" s="43"/>
      <c r="AM77" s="43"/>
      <c r="AN77" s="43"/>
    </row>
    <row r="78" spans="2:40">
      <c r="B78" s="12" t="s">
        <v>1452</v>
      </c>
      <c r="D78" s="88">
        <f t="shared" ref="D78:AE78" si="95">+IFERROR(D75/D31,"n/a ")</f>
        <v>20.64655202336904</v>
      </c>
      <c r="E78" s="88">
        <f t="shared" si="95"/>
        <v>16.722649454545454</v>
      </c>
      <c r="F78" s="88">
        <f t="shared" si="95"/>
        <v>17.360108303249099</v>
      </c>
      <c r="G78" s="88">
        <f t="shared" si="95"/>
        <v>16.502369668246445</v>
      </c>
      <c r="H78" s="88">
        <f t="shared" si="95"/>
        <v>14.201337544574631</v>
      </c>
      <c r="I78" s="88">
        <f t="shared" si="95"/>
        <v>22.50331602947551</v>
      </c>
      <c r="J78" s="88">
        <f t="shared" si="95"/>
        <v>19.665544024732998</v>
      </c>
      <c r="K78" s="88">
        <f t="shared" si="95"/>
        <v>27.556124044311588</v>
      </c>
      <c r="L78" s="88">
        <f t="shared" si="95"/>
        <v>34.73460258663988</v>
      </c>
      <c r="M78" s="88">
        <f t="shared" si="95"/>
        <v>43.633126828822242</v>
      </c>
      <c r="N78" s="88">
        <f t="shared" si="95"/>
        <v>34.194027415143601</v>
      </c>
      <c r="O78" s="88">
        <f t="shared" si="95"/>
        <v>28.311858780929391</v>
      </c>
      <c r="P78" s="88">
        <f t="shared" si="95"/>
        <v>28.783615635179157</v>
      </c>
      <c r="Q78" s="88">
        <f t="shared" si="95"/>
        <v>21.024545620771619</v>
      </c>
      <c r="R78" s="88">
        <f t="shared" si="95"/>
        <v>24.514739726027397</v>
      </c>
      <c r="S78" s="88">
        <f t="shared" si="95"/>
        <v>15.124159314997405</v>
      </c>
      <c r="T78" s="88">
        <f t="shared" si="95"/>
        <v>12.156046043165469</v>
      </c>
      <c r="U78" s="88">
        <f t="shared" si="95"/>
        <v>13.478691015192675</v>
      </c>
      <c r="V78" s="88">
        <f t="shared" si="95"/>
        <v>9.7364122168783656</v>
      </c>
      <c r="W78" s="88">
        <f t="shared" si="95"/>
        <v>8.2064959651035974</v>
      </c>
      <c r="X78" s="88">
        <f t="shared" si="95"/>
        <v>6.520536027791267</v>
      </c>
      <c r="Y78" s="88">
        <f t="shared" si="95"/>
        <v>6.1004110001002436</v>
      </c>
      <c r="Z78" s="88">
        <f t="shared" si="95"/>
        <v>6.7620392588041263</v>
      </c>
      <c r="AA78" s="88">
        <f t="shared" si="95"/>
        <v>7.5747616239064195</v>
      </c>
      <c r="AB78" s="88">
        <f t="shared" si="95"/>
        <v>8.6764849839869491</v>
      </c>
      <c r="AC78" s="88">
        <f t="shared" si="95"/>
        <v>8.8833572621524208</v>
      </c>
      <c r="AD78" s="88">
        <f t="shared" si="95"/>
        <v>10.359249038745935</v>
      </c>
      <c r="AE78" s="88">
        <f t="shared" si="95"/>
        <v>13.079449998687974</v>
      </c>
      <c r="AF78" s="88">
        <f t="shared" ref="AF78:AH78" si="96">+IFERROR(AF75/AF31,"n/a ")</f>
        <v>15.854087579161058</v>
      </c>
      <c r="AG78" s="88">
        <f t="shared" si="96"/>
        <v>18.113008180670192</v>
      </c>
      <c r="AH78" s="88">
        <f t="shared" si="96"/>
        <v>22.926535320507945</v>
      </c>
      <c r="AJ78" s="25">
        <f>IFERROR((AH78/AC78)^(1/5)-1,"n/a ")</f>
        <v>0.20879390085856708</v>
      </c>
      <c r="AK78" s="25">
        <f>IFERROR((AH78/X78)^(1/10)-1,"n/a ")</f>
        <v>0.1339803081344757</v>
      </c>
      <c r="AL78" s="25">
        <f>IFERROR((AH78/S78)^(1/15)-1,"n/a ")</f>
        <v>2.8121589570007099E-2</v>
      </c>
      <c r="AM78" s="25">
        <f>IFERROR((AH78/N78)^(1/20)-1,"n/a ")</f>
        <v>-1.9789368416191611E-2</v>
      </c>
      <c r="AN78" s="25">
        <f t="shared" ref="AN78" si="97">IFERROR(IF(AH78/I78&lt;0,"n/m ",(AH78/I78)^(1/25)-1),"n/a ")</f>
        <v>7.4557019586074524E-4</v>
      </c>
    </row>
    <row r="79" spans="2:40">
      <c r="B79" s="12" t="s">
        <v>1454</v>
      </c>
      <c r="D79" s="88">
        <f t="shared" ref="D79:AE79" si="98">+IFERROR(IF(D73/D24&lt;0,"n/a ",D73/D24),"n/a ")</f>
        <v>34.006937627953448</v>
      </c>
      <c r="E79" s="88">
        <f t="shared" si="98"/>
        <v>29.364900846039209</v>
      </c>
      <c r="F79" s="88">
        <f t="shared" si="98"/>
        <v>30.414542230104185</v>
      </c>
      <c r="G79" s="88">
        <f t="shared" si="98"/>
        <v>29.280184483610604</v>
      </c>
      <c r="H79" s="88">
        <f t="shared" si="98"/>
        <v>26.737328578706059</v>
      </c>
      <c r="I79" s="88">
        <f t="shared" si="98"/>
        <v>40.229420382663015</v>
      </c>
      <c r="J79" s="88">
        <f t="shared" si="98"/>
        <v>35.017190174607869</v>
      </c>
      <c r="K79" s="88">
        <f t="shared" si="98"/>
        <v>47.965512706638485</v>
      </c>
      <c r="L79" s="88">
        <f t="shared" si="98"/>
        <v>60.300174329919365</v>
      </c>
      <c r="M79" s="88">
        <f t="shared" si="98"/>
        <v>63.966655453704476</v>
      </c>
      <c r="N79" s="88">
        <f t="shared" si="98"/>
        <v>47.730567156136331</v>
      </c>
      <c r="O79" s="88">
        <f t="shared" si="98"/>
        <v>54.31696979809778</v>
      </c>
      <c r="P79" s="88">
        <f t="shared" si="98"/>
        <v>59.340483516483523</v>
      </c>
      <c r="Q79" s="88">
        <f t="shared" si="98"/>
        <v>38.832372548746704</v>
      </c>
      <c r="R79" s="88">
        <f t="shared" si="98"/>
        <v>39.247753361757951</v>
      </c>
      <c r="S79" s="88">
        <f t="shared" si="98"/>
        <v>25.06476934179604</v>
      </c>
      <c r="T79" s="88">
        <f t="shared" si="98"/>
        <v>20.671111934828946</v>
      </c>
      <c r="U79" s="88">
        <f t="shared" si="98"/>
        <v>22.29819565042688</v>
      </c>
      <c r="V79" s="88">
        <f t="shared" si="98"/>
        <v>16.830416497083164</v>
      </c>
      <c r="W79" s="88">
        <f t="shared" si="98"/>
        <v>16.597386610160939</v>
      </c>
      <c r="X79" s="88">
        <f t="shared" si="98"/>
        <v>12.634062287610444</v>
      </c>
      <c r="Y79" s="88">
        <f t="shared" si="98"/>
        <v>12.244665312956432</v>
      </c>
      <c r="Z79" s="88">
        <f t="shared" si="98"/>
        <v>14.065546245743013</v>
      </c>
      <c r="AA79" s="88">
        <f t="shared" si="98"/>
        <v>16.640097703568056</v>
      </c>
      <c r="AB79" s="88">
        <f t="shared" si="98"/>
        <v>19.280357599962567</v>
      </c>
      <c r="AC79" s="88">
        <f t="shared" si="98"/>
        <v>19.659060134759692</v>
      </c>
      <c r="AD79" s="88">
        <f t="shared" si="98"/>
        <v>23.582489640159089</v>
      </c>
      <c r="AE79" s="88">
        <f t="shared" si="98"/>
        <v>27.495397653625876</v>
      </c>
      <c r="AF79" s="88">
        <f t="shared" ref="AF79:AH79" si="99">+IFERROR(IF(AF73/AF24&lt;0,"n/a ",AF73/AF24),"n/a ")</f>
        <v>30.007692172114773</v>
      </c>
      <c r="AG79" s="88">
        <f t="shared" si="99"/>
        <v>30.092319763385476</v>
      </c>
      <c r="AH79" s="88">
        <f t="shared" si="99"/>
        <v>37.318032127210458</v>
      </c>
      <c r="AJ79" s="25">
        <f>IFERROR((AH79/AC79)^(1/5)-1,"n/a ")</f>
        <v>0.13676631671985118</v>
      </c>
      <c r="AK79" s="25">
        <f>IFERROR((AH79/X79)^(1/10)-1,"n/a ")</f>
        <v>0.11439093856315496</v>
      </c>
      <c r="AL79" s="25">
        <f>IFERROR((AH79/S79)^(1/15)-1,"n/a ")</f>
        <v>2.6889393428928043E-2</v>
      </c>
      <c r="AM79" s="25">
        <f>IFERROR((AH79/N79)^(1/20)-1,"n/a ")</f>
        <v>-1.2229374322478059E-2</v>
      </c>
      <c r="AN79" s="25">
        <f>IFERROR(IF(AH79/I79&lt;0,"n/m ",(AH79/I79)^(1/25)-1),"n/a ")</f>
        <v>-3.000367210270638E-3</v>
      </c>
    </row>
    <row r="80" spans="2:40">
      <c r="B80" s="12" t="s">
        <v>1855</v>
      </c>
      <c r="D80" s="88">
        <f t="shared" ref="D80:AE80" si="100">+IFERROR(IF(D73/D41&lt;0,"n/a ",D73/D41),"n/a ")</f>
        <v>58.514711802886779</v>
      </c>
      <c r="E80" s="88">
        <f t="shared" si="100"/>
        <v>51.611934330042317</v>
      </c>
      <c r="F80" s="88">
        <f t="shared" si="100"/>
        <v>43.634050673168652</v>
      </c>
      <c r="G80" s="88">
        <f t="shared" si="100"/>
        <v>32.29455580451765</v>
      </c>
      <c r="H80" s="88">
        <f t="shared" si="100"/>
        <v>27.701641097818435</v>
      </c>
      <c r="I80" s="88">
        <f t="shared" si="100"/>
        <v>47.917762530125572</v>
      </c>
      <c r="J80" s="88">
        <f t="shared" si="100"/>
        <v>35.241829055834302</v>
      </c>
      <c r="K80" s="88">
        <f t="shared" si="100"/>
        <v>47.17339410609037</v>
      </c>
      <c r="L80" s="88">
        <f t="shared" si="100"/>
        <v>56.021628474197179</v>
      </c>
      <c r="M80" s="88">
        <f t="shared" si="100"/>
        <v>61.248598576587391</v>
      </c>
      <c r="N80" s="88">
        <f t="shared" si="100"/>
        <v>45.8954895204539</v>
      </c>
      <c r="O80" s="88">
        <f t="shared" si="100"/>
        <v>51.348960469445061</v>
      </c>
      <c r="P80" s="88">
        <f t="shared" si="100"/>
        <v>57.454787913179182</v>
      </c>
      <c r="Q80" s="88">
        <f t="shared" si="100"/>
        <v>36.296455100102769</v>
      </c>
      <c r="R80" s="88">
        <f t="shared" si="100"/>
        <v>38.870201389235916</v>
      </c>
      <c r="S80" s="88">
        <f t="shared" si="100"/>
        <v>24.965445296372749</v>
      </c>
      <c r="T80" s="88">
        <f t="shared" si="100"/>
        <v>21.917438567970489</v>
      </c>
      <c r="U80" s="88">
        <f t="shared" si="100"/>
        <v>23.799113681570699</v>
      </c>
      <c r="V80" s="88">
        <f t="shared" si="100"/>
        <v>18.150761856323722</v>
      </c>
      <c r="W80" s="88">
        <f t="shared" si="100"/>
        <v>17.347366883946567</v>
      </c>
      <c r="X80" s="88">
        <f t="shared" si="100"/>
        <v>12.115419255711627</v>
      </c>
      <c r="Y80" s="88">
        <f t="shared" si="100"/>
        <v>11.974926502708076</v>
      </c>
      <c r="Z80" s="88">
        <f t="shared" si="100"/>
        <v>13.579590835551381</v>
      </c>
      <c r="AA80" s="88">
        <f t="shared" si="100"/>
        <v>17.129116954887657</v>
      </c>
      <c r="AB80" s="88">
        <f t="shared" si="100"/>
        <v>19.574532417123326</v>
      </c>
      <c r="AC80" s="88">
        <f t="shared" si="100"/>
        <v>19.64528267303514</v>
      </c>
      <c r="AD80" s="88">
        <f t="shared" si="100"/>
        <v>27.138081985061739</v>
      </c>
      <c r="AE80" s="88">
        <f t="shared" si="100"/>
        <v>29.642184098327796</v>
      </c>
      <c r="AF80" s="88">
        <f t="shared" ref="AF80:AH80" si="101">+IFERROR(IF(AF73/AF41&lt;0,"n/a ",AF73/AF41),"n/a ")</f>
        <v>34.522475532605164</v>
      </c>
      <c r="AG80" s="88">
        <f t="shared" si="101"/>
        <v>35.452242527185042</v>
      </c>
      <c r="AH80" s="88">
        <f t="shared" si="101"/>
        <v>43.804226372510669</v>
      </c>
      <c r="AJ80" s="25">
        <f>IFERROR((AH80/AC80)^(1/5)-1,"n/a ")</f>
        <v>0.17395526118148252</v>
      </c>
      <c r="AK80" s="25">
        <f>IFERROR((AH80/X80)^(1/10)-1,"n/a ")</f>
        <v>0.13715000265704846</v>
      </c>
      <c r="AL80" s="25">
        <f>IFERROR((AH80/S80)^(1/15)-1,"n/a ")</f>
        <v>3.8193837156885957E-2</v>
      </c>
      <c r="AM80" s="25">
        <f>IFERROR((AH80/N80)^(1/20)-1,"n/a ")</f>
        <v>-2.3291103764047083E-3</v>
      </c>
      <c r="AN80" s="25">
        <f t="shared" ref="AN80:AN81" si="102">IFERROR(IF(AH80/I80&lt;0,"n/m ",(AH80/I80)^(1/25)-1),"n/a ")</f>
        <v>-3.583801028386957E-3</v>
      </c>
    </row>
    <row r="81" spans="2:57">
      <c r="B81" s="12" t="s">
        <v>1856</v>
      </c>
      <c r="D81" s="88">
        <f t="shared" ref="D81:AE81" si="103">+IFERROR(IF(D73/D47&lt;0,"n/a ",D73/D47),"n/a ")</f>
        <v>75.511847011116288</v>
      </c>
      <c r="E81" s="88">
        <f t="shared" si="103"/>
        <v>41.718245941368075</v>
      </c>
      <c r="F81" s="88">
        <f t="shared" si="103"/>
        <v>35.5440414507772</v>
      </c>
      <c r="G81" s="88">
        <f t="shared" si="103"/>
        <v>31.818615751789977</v>
      </c>
      <c r="H81" s="88">
        <f t="shared" si="103"/>
        <v>23.947700076045628</v>
      </c>
      <c r="I81" s="88">
        <f t="shared" si="103"/>
        <v>37.903110421404683</v>
      </c>
      <c r="J81" s="88">
        <f t="shared" si="103"/>
        <v>23.848063764341088</v>
      </c>
      <c r="K81" s="88">
        <f t="shared" si="103"/>
        <v>39.541211799522671</v>
      </c>
      <c r="L81" s="88">
        <f t="shared" si="103"/>
        <v>37.360598559855987</v>
      </c>
      <c r="M81" s="88">
        <f t="shared" si="103"/>
        <v>42.757751016172271</v>
      </c>
      <c r="N81" s="88">
        <f t="shared" si="103"/>
        <v>41.991087513036881</v>
      </c>
      <c r="O81" s="88">
        <f t="shared" si="103"/>
        <v>33.030440782531052</v>
      </c>
      <c r="P81" s="88">
        <f t="shared" si="103"/>
        <v>22.108530460732226</v>
      </c>
      <c r="Q81" s="88">
        <f t="shared" si="103"/>
        <v>18.7182664698779</v>
      </c>
      <c r="R81" s="88">
        <f t="shared" si="103"/>
        <v>23.017876747799068</v>
      </c>
      <c r="S81" s="88">
        <f t="shared" si="103"/>
        <v>17.153488254289876</v>
      </c>
      <c r="T81" s="88">
        <f t="shared" si="103"/>
        <v>19.130851395602683</v>
      </c>
      <c r="U81" s="88">
        <f t="shared" si="103"/>
        <v>18.757431109966518</v>
      </c>
      <c r="V81" s="88">
        <f t="shared" si="103"/>
        <v>14.135632121540967</v>
      </c>
      <c r="W81" s="88">
        <f t="shared" si="103"/>
        <v>13.433529337856514</v>
      </c>
      <c r="X81" s="88">
        <f t="shared" si="103"/>
        <v>9.2962649348298338</v>
      </c>
      <c r="Y81" s="88">
        <f t="shared" si="103"/>
        <v>9.0676569665976707</v>
      </c>
      <c r="Z81" s="88">
        <f t="shared" si="103"/>
        <v>8.8741359435217078</v>
      </c>
      <c r="AA81" s="88">
        <f t="shared" si="103"/>
        <v>11.905767822265625</v>
      </c>
      <c r="AB81" s="88">
        <f t="shared" si="103"/>
        <v>12.963626605470632</v>
      </c>
      <c r="AC81" s="88">
        <f t="shared" si="103"/>
        <v>15.360567357949755</v>
      </c>
      <c r="AD81" s="88">
        <f t="shared" si="103"/>
        <v>16.787111975435007</v>
      </c>
      <c r="AE81" s="88">
        <f t="shared" si="103"/>
        <v>18.420846896645852</v>
      </c>
      <c r="AF81" s="88">
        <f t="shared" ref="AF81:AH81" si="104">+IFERROR(IF(AF73/AF47&lt;0,"n/a ",AF73/AF47),"n/a ")</f>
        <v>25.298850713247919</v>
      </c>
      <c r="AG81" s="88">
        <f t="shared" si="104"/>
        <v>29.434373813235087</v>
      </c>
      <c r="AH81" s="88">
        <f t="shared" si="104"/>
        <v>37.51811229754049</v>
      </c>
      <c r="AJ81" s="25">
        <f>IFERROR((AH81/AC81)^(1/5)-1,"n/a ")</f>
        <v>0.19554724876449492</v>
      </c>
      <c r="AK81" s="25">
        <f>IFERROR((AH81/X81)^(1/10)-1,"n/a ")</f>
        <v>0.14972307742619506</v>
      </c>
      <c r="AL81" s="25">
        <f>IFERROR((AH81/S81)^(1/15)-1,"n/a ")</f>
        <v>5.3559907039504973E-2</v>
      </c>
      <c r="AM81" s="25">
        <f>IFERROR((AH81/N81)^(1/20)-1,"n/a ")</f>
        <v>-5.6158509581503147E-3</v>
      </c>
      <c r="AN81" s="25">
        <f t="shared" si="102"/>
        <v>-4.0829130297714844E-4</v>
      </c>
    </row>
    <row r="82" spans="2:57">
      <c r="B82" t="s">
        <v>1857</v>
      </c>
      <c r="AJ82" s="43"/>
      <c r="AK82" s="43"/>
      <c r="AL82" s="43"/>
      <c r="AM82" s="43"/>
      <c r="AN82" s="43"/>
    </row>
    <row r="83" spans="2:57">
      <c r="B83" s="12" t="s">
        <v>1452</v>
      </c>
      <c r="D83" s="88">
        <f t="shared" ref="D83:AE83" si="105">+IFERROR(D75/E31,"n/a ")</f>
        <v>12.500435015404959</v>
      </c>
      <c r="E83" s="88">
        <f t="shared" si="105"/>
        <v>10.957259480144405</v>
      </c>
      <c r="F83" s="88">
        <f t="shared" si="105"/>
        <v>13.023019634394043</v>
      </c>
      <c r="G83" s="88">
        <f t="shared" si="105"/>
        <v>12.416709118695874</v>
      </c>
      <c r="H83" s="88">
        <f t="shared" si="105"/>
        <v>12.083756220199394</v>
      </c>
      <c r="I83" s="88">
        <f t="shared" si="105"/>
        <v>14.591104575604271</v>
      </c>
      <c r="J83" s="88">
        <f t="shared" si="105"/>
        <v>12.303500200457183</v>
      </c>
      <c r="K83" s="88">
        <f t="shared" si="105"/>
        <v>19.677508468106478</v>
      </c>
      <c r="L83" s="88">
        <f t="shared" si="105"/>
        <v>25.29502331748354</v>
      </c>
      <c r="M83" s="88">
        <f t="shared" si="105"/>
        <v>38.933736537206265</v>
      </c>
      <c r="N83" s="88">
        <f t="shared" si="105"/>
        <v>31.614514182257093</v>
      </c>
      <c r="O83" s="88">
        <f t="shared" si="105"/>
        <v>40.749402823018457</v>
      </c>
      <c r="P83" s="88">
        <f t="shared" si="105"/>
        <v>24.236341195831052</v>
      </c>
      <c r="Q83" s="88">
        <f t="shared" si="105"/>
        <v>22.501612524461837</v>
      </c>
      <c r="R83" s="88">
        <f t="shared" si="105"/>
        <v>16.251987545407371</v>
      </c>
      <c r="S83" s="88">
        <f t="shared" si="105"/>
        <v>13.418937553956834</v>
      </c>
      <c r="T83" s="88">
        <f t="shared" si="105"/>
        <v>10.625379816882987</v>
      </c>
      <c r="U83" s="88">
        <f t="shared" si="105"/>
        <v>11.013664652443786</v>
      </c>
      <c r="V83" s="88">
        <f t="shared" si="105"/>
        <v>10.331851690294439</v>
      </c>
      <c r="W83" s="88">
        <f t="shared" si="105"/>
        <v>7.0275268013895626</v>
      </c>
      <c r="X83" s="88">
        <f t="shared" si="105"/>
        <v>5.8329023958298531</v>
      </c>
      <c r="Y83" s="88">
        <f t="shared" si="105"/>
        <v>5.903922646573748</v>
      </c>
      <c r="Z83" s="88">
        <f t="shared" si="105"/>
        <v>6.8515528031717947</v>
      </c>
      <c r="AA83" s="88">
        <f t="shared" si="105"/>
        <v>6.9845353193546442</v>
      </c>
      <c r="AB83" s="88">
        <f t="shared" si="105"/>
        <v>8.4143778018693798</v>
      </c>
      <c r="AC83" s="88">
        <f t="shared" si="105"/>
        <v>8.9671724341910668</v>
      </c>
      <c r="AD83" s="88">
        <f t="shared" si="105"/>
        <v>9.1906428927549921</v>
      </c>
      <c r="AE83" s="88">
        <f t="shared" si="105"/>
        <v>10.998582492994109</v>
      </c>
      <c r="AF83" s="88">
        <f t="shared" ref="AF83" si="106">+IFERROR(AF75/AG31,"n/a ")</f>
        <v>13.149309035339764</v>
      </c>
      <c r="AG83" s="88">
        <f t="shared" ref="AG83" si="107">+IFERROR(AG75/AH31,"n/a ")</f>
        <v>15.051522773933542</v>
      </c>
      <c r="AH83" s="88" t="str">
        <f t="shared" ref="AH83" si="108">+IFERROR(AH75/AI31,"n/a ")</f>
        <v xml:space="preserve">n/a </v>
      </c>
      <c r="AJ83" s="25" t="str">
        <f>IFERROR((AH83/AC83)^(1/5)-1,"n/a ")</f>
        <v xml:space="preserve">n/a </v>
      </c>
      <c r="AK83" s="25" t="str">
        <f>IFERROR((AH83/X83)^(1/10)-1,"n/a ")</f>
        <v xml:space="preserve">n/a </v>
      </c>
      <c r="AL83" s="25" t="str">
        <f>IFERROR((AH83/S83)^(1/15)-1,"n/a ")</f>
        <v xml:space="preserve">n/a </v>
      </c>
      <c r="AM83" s="25" t="str">
        <f>IFERROR((AH83/N83)^(1/20)-1,"n/a ")</f>
        <v xml:space="preserve">n/a </v>
      </c>
      <c r="AN83" s="25" t="str">
        <f>IFERROR(IF(AH83/I83&lt;1,"n/m ",(AH83/I83)^(1/25)-1),"n/a ")</f>
        <v xml:space="preserve">n/a </v>
      </c>
    </row>
    <row r="84" spans="2:57">
      <c r="B84" s="12" t="s">
        <v>1454</v>
      </c>
      <c r="D84" s="88">
        <f t="shared" ref="D84:AE84" si="109">+IFERROR(IF(D73/E24&lt;0,"n/a ",D73/E24),"n/a ")</f>
        <v>20.807785902061219</v>
      </c>
      <c r="E84" s="88">
        <f t="shared" si="109"/>
        <v>18.927808326313453</v>
      </c>
      <c r="F84" s="88">
        <f t="shared" si="109"/>
        <v>22.599242299456431</v>
      </c>
      <c r="G84" s="88">
        <f t="shared" si="109"/>
        <v>22.638818135506874</v>
      </c>
      <c r="H84" s="88">
        <f t="shared" si="109"/>
        <v>22.357193993823433</v>
      </c>
      <c r="I84" s="88">
        <f t="shared" si="109"/>
        <v>25.799690431852841</v>
      </c>
      <c r="J84" s="88">
        <f t="shared" si="109"/>
        <v>22.26629386526157</v>
      </c>
      <c r="K84" s="88">
        <f t="shared" si="109"/>
        <v>34.384019226099674</v>
      </c>
      <c r="L84" s="88">
        <f t="shared" si="109"/>
        <v>37.591892381439095</v>
      </c>
      <c r="M84" s="88">
        <f t="shared" si="109"/>
        <v>53.283887915936951</v>
      </c>
      <c r="N84" s="88">
        <f t="shared" si="109"/>
        <v>59.119639579509425</v>
      </c>
      <c r="O84" s="88">
        <f t="shared" si="109"/>
        <v>79.492454212454206</v>
      </c>
      <c r="P84" s="88">
        <f t="shared" si="109"/>
        <v>42.274860475149964</v>
      </c>
      <c r="Q84" s="88">
        <f t="shared" si="109"/>
        <v>35.196215657088068</v>
      </c>
      <c r="R84" s="88">
        <f t="shared" si="109"/>
        <v>28.786721193168148</v>
      </c>
      <c r="S84" s="88">
        <f t="shared" si="109"/>
        <v>22.822088742491765</v>
      </c>
      <c r="T84" s="88">
        <f t="shared" si="109"/>
        <v>18.779953542303673</v>
      </c>
      <c r="U84" s="88">
        <f t="shared" si="109"/>
        <v>18.821534843757064</v>
      </c>
      <c r="V84" s="88">
        <f t="shared" si="109"/>
        <v>20.220954465543535</v>
      </c>
      <c r="W84" s="88">
        <f t="shared" si="109"/>
        <v>13.152232838923759</v>
      </c>
      <c r="X84" s="88">
        <f t="shared" si="109"/>
        <v>11.257732179117239</v>
      </c>
      <c r="Y84" s="88">
        <f t="shared" si="109"/>
        <v>12.077301475755446</v>
      </c>
      <c r="Z84" s="88">
        <f t="shared" si="109"/>
        <v>14.797628498959268</v>
      </c>
      <c r="AA84" s="88">
        <f t="shared" si="109"/>
        <v>16.107200167349735</v>
      </c>
      <c r="AB84" s="88">
        <f t="shared" si="109"/>
        <v>18.894317758824389</v>
      </c>
      <c r="AC84" s="88">
        <f t="shared" si="109"/>
        <v>20.959178919700808</v>
      </c>
      <c r="AD84" s="88">
        <f t="shared" si="109"/>
        <v>20.882842234734177</v>
      </c>
      <c r="AE84" s="88">
        <f t="shared" si="109"/>
        <v>21.144602417377541</v>
      </c>
      <c r="AF84" s="88">
        <f t="shared" ref="AF84" si="110">+IFERROR(IF(AF73/AG24&lt;0,"n/a ",AF73/AG24),"n/a ")</f>
        <v>22.198558564875444</v>
      </c>
      <c r="AG84" s="88">
        <f t="shared" ref="AG84" si="111">+IFERROR(IF(AG73/AH24&lt;0,"n/a ",AG73/AH24),"n/a ")</f>
        <v>24.788318610430363</v>
      </c>
      <c r="AH84" s="88" t="str">
        <f t="shared" ref="AH84" si="112">+IFERROR(IF(AH73/AI24&lt;0,"n/a ",AH73/AI24),"n/a ")</f>
        <v xml:space="preserve">n/a </v>
      </c>
      <c r="AJ84" s="25" t="str">
        <f>IFERROR((AH84/AC84)^(1/5)-1,"n/a ")</f>
        <v xml:space="preserve">n/a </v>
      </c>
      <c r="AK84" s="25" t="str">
        <f>IFERROR((AH84/X84)^(1/10)-1,"n/a ")</f>
        <v xml:space="preserve">n/a </v>
      </c>
      <c r="AL84" s="25" t="str">
        <f>IFERROR((AH84/S84)^(1/15)-1,"n/a ")</f>
        <v xml:space="preserve">n/a </v>
      </c>
      <c r="AM84" s="25" t="str">
        <f>IFERROR((AH84/N84)^(1/20)-1,"n/a ")</f>
        <v xml:space="preserve">n/a </v>
      </c>
      <c r="AN84" s="25" t="str">
        <f>IFERROR(IF(AH84/I84&lt;1,"n/m ",(AH84/I84)^(1/25)-1),"n/a ")</f>
        <v xml:space="preserve">n/a </v>
      </c>
    </row>
    <row r="85" spans="2:57">
      <c r="B85" s="12" t="s">
        <v>1855</v>
      </c>
      <c r="D85" s="88">
        <f t="shared" ref="D85:AE85" si="113">+IFERROR(IF(D73/E41&lt;0,"n/a ",D73/E41),"n/a ")</f>
        <v>36.571895310030229</v>
      </c>
      <c r="E85" s="88">
        <f t="shared" si="113"/>
        <v>27.154672965122437</v>
      </c>
      <c r="F85" s="88">
        <f t="shared" si="113"/>
        <v>24.925816023738868</v>
      </c>
      <c r="G85" s="88">
        <f t="shared" si="113"/>
        <v>23.455313159746652</v>
      </c>
      <c r="H85" s="88">
        <f t="shared" si="113"/>
        <v>26.629931588516339</v>
      </c>
      <c r="I85" s="88">
        <f t="shared" si="113"/>
        <v>25.965198102962397</v>
      </c>
      <c r="J85" s="88">
        <f t="shared" si="113"/>
        <v>21.898580803507873</v>
      </c>
      <c r="K85" s="88">
        <f t="shared" si="113"/>
        <v>31.944331371169099</v>
      </c>
      <c r="L85" s="88">
        <f t="shared" si="113"/>
        <v>35.994546062697047</v>
      </c>
      <c r="M85" s="88">
        <f t="shared" si="113"/>
        <v>51.235304023420298</v>
      </c>
      <c r="N85" s="88">
        <f t="shared" si="113"/>
        <v>55.889200870744865</v>
      </c>
      <c r="O85" s="88">
        <f t="shared" si="113"/>
        <v>76.966378209675128</v>
      </c>
      <c r="P85" s="88">
        <f t="shared" si="113"/>
        <v>39.514134068764555</v>
      </c>
      <c r="Q85" s="88">
        <f t="shared" si="113"/>
        <v>34.857638298935576</v>
      </c>
      <c r="R85" s="88">
        <f t="shared" si="113"/>
        <v>28.672648186375699</v>
      </c>
      <c r="S85" s="88">
        <f t="shared" si="113"/>
        <v>24.198104561735729</v>
      </c>
      <c r="T85" s="88">
        <f t="shared" si="113"/>
        <v>20.044054518794443</v>
      </c>
      <c r="U85" s="88">
        <f t="shared" si="113"/>
        <v>20.298083340881064</v>
      </c>
      <c r="V85" s="88">
        <f t="shared" si="113"/>
        <v>21.134671626110904</v>
      </c>
      <c r="W85" s="88">
        <f t="shared" si="113"/>
        <v>12.61231829991536</v>
      </c>
      <c r="X85" s="88">
        <f t="shared" si="113"/>
        <v>11.009734605767763</v>
      </c>
      <c r="Y85" s="88">
        <f t="shared" si="113"/>
        <v>11.660038620113772</v>
      </c>
      <c r="Z85" s="88">
        <f t="shared" si="113"/>
        <v>15.232501258649554</v>
      </c>
      <c r="AA85" s="88">
        <f t="shared" si="113"/>
        <v>16.352959751404914</v>
      </c>
      <c r="AB85" s="88">
        <f t="shared" si="113"/>
        <v>18.881076243820658</v>
      </c>
      <c r="AC85" s="88">
        <f t="shared" si="113"/>
        <v>24.119247990416213</v>
      </c>
      <c r="AD85" s="88">
        <f t="shared" si="113"/>
        <v>22.513333388240525</v>
      </c>
      <c r="AE85" s="88">
        <f t="shared" si="113"/>
        <v>24.32589668721387</v>
      </c>
      <c r="AF85" s="88">
        <f t="shared" ref="AF85" si="114">+IFERROR(IF(AF73/AG41&lt;0,"n/a ",AF73/AG41),"n/a ")</f>
        <v>26.152476385467811</v>
      </c>
      <c r="AG85" s="88">
        <f t="shared" ref="AG85" si="115">+IFERROR(IF(AG73/AH41&lt;0,"n/a ",AG73/AH41),"n/a ")</f>
        <v>29.096741117103949</v>
      </c>
      <c r="AH85" s="88" t="str">
        <f t="shared" ref="AH85" si="116">+IFERROR(IF(AH73/AI41&lt;0,"n/a ",AH73/AI41),"n/a ")</f>
        <v xml:space="preserve">n/a </v>
      </c>
      <c r="AJ85" s="25" t="str">
        <f>IFERROR((AH85/AC85)^(1/5)-1,"n/a ")</f>
        <v xml:space="preserve">n/a </v>
      </c>
      <c r="AK85" s="25" t="str">
        <f>IFERROR((AH85/X85)^(1/10)-1,"n/a ")</f>
        <v xml:space="preserve">n/a </v>
      </c>
      <c r="AL85" s="25" t="str">
        <f>IFERROR((AH85/S85)^(1/15)-1,"n/a ")</f>
        <v xml:space="preserve">n/a </v>
      </c>
      <c r="AM85" s="25" t="str">
        <f>IFERROR((AH85/N85)^(1/20)-1,"n/a ")</f>
        <v xml:space="preserve">n/a </v>
      </c>
      <c r="AN85" s="25" t="str">
        <f>IFERROR(IF(AH85/I85&lt;1,"n/m ",(AH85/I85)^(1/25)-1),"n/a ")</f>
        <v xml:space="preserve">n/a </v>
      </c>
    </row>
    <row r="86" spans="2:57">
      <c r="B86" s="12" t="s">
        <v>1856</v>
      </c>
      <c r="D86" s="88">
        <f t="shared" ref="D86:AE86" si="117">+IFERROR(IF(D73/E47&lt;0,"n/a ",D73/E47),"n/a ")</f>
        <v>29.56128931981759</v>
      </c>
      <c r="E86" s="88">
        <f t="shared" si="117"/>
        <v>22.120037139896372</v>
      </c>
      <c r="F86" s="88">
        <f t="shared" si="117"/>
        <v>24.558472553699286</v>
      </c>
      <c r="G86" s="88">
        <f t="shared" si="117"/>
        <v>20.27680608365019</v>
      </c>
      <c r="H86" s="88">
        <f t="shared" si="117"/>
        <v>21.064364949832775</v>
      </c>
      <c r="I86" s="88">
        <f t="shared" si="117"/>
        <v>17.570589172093023</v>
      </c>
      <c r="J86" s="88">
        <f t="shared" si="117"/>
        <v>18.355609937947495</v>
      </c>
      <c r="K86" s="88">
        <f t="shared" si="117"/>
        <v>21.303546025459688</v>
      </c>
      <c r="L86" s="88">
        <f t="shared" si="117"/>
        <v>25.127853930640836</v>
      </c>
      <c r="M86" s="88">
        <f t="shared" si="117"/>
        <v>46.87663553617142</v>
      </c>
      <c r="N86" s="88">
        <f t="shared" si="117"/>
        <v>35.950970046269987</v>
      </c>
      <c r="O86" s="88">
        <f t="shared" si="117"/>
        <v>29.616565980056773</v>
      </c>
      <c r="P86" s="88">
        <f t="shared" si="117"/>
        <v>20.377639876559776</v>
      </c>
      <c r="Q86" s="88">
        <f t="shared" si="117"/>
        <v>20.641745949545015</v>
      </c>
      <c r="R86" s="88">
        <f t="shared" si="117"/>
        <v>19.700667384284177</v>
      </c>
      <c r="S86" s="88">
        <f t="shared" si="117"/>
        <v>21.121553095275221</v>
      </c>
      <c r="T86" s="88">
        <f t="shared" si="117"/>
        <v>15.797856039144992</v>
      </c>
      <c r="U86" s="88">
        <f t="shared" si="117"/>
        <v>15.807944655453065</v>
      </c>
      <c r="V86" s="88">
        <f t="shared" si="117"/>
        <v>16.366358839050132</v>
      </c>
      <c r="W86" s="88">
        <f t="shared" si="117"/>
        <v>9.6775398262128878</v>
      </c>
      <c r="X86" s="88">
        <f t="shared" si="117"/>
        <v>8.3367941069036906</v>
      </c>
      <c r="Y86" s="88">
        <f t="shared" si="117"/>
        <v>7.6197264759046419</v>
      </c>
      <c r="Z86" s="88">
        <f t="shared" si="117"/>
        <v>10.587505696614583</v>
      </c>
      <c r="AA86" s="88">
        <f t="shared" si="117"/>
        <v>10.830075508013474</v>
      </c>
      <c r="AB86" s="88">
        <f t="shared" si="117"/>
        <v>14.763037430450179</v>
      </c>
      <c r="AC86" s="88">
        <f t="shared" si="117"/>
        <v>14.919717502558854</v>
      </c>
      <c r="AD86" s="88">
        <f t="shared" si="117"/>
        <v>13.990691984850036</v>
      </c>
      <c r="AE86" s="88">
        <f t="shared" si="117"/>
        <v>17.826567164179103</v>
      </c>
      <c r="AF86" s="88">
        <f t="shared" ref="AF86" si="118">+IFERROR(IF(AF73/AG47&lt;0,"n/a ",AF73/AG47),"n/a ")</f>
        <v>21.713203769307071</v>
      </c>
      <c r="AG86" s="88">
        <f t="shared" ref="AG86" si="119">+IFERROR(IF(AG73/AH47&lt;0,"n/a ",AG73/AH47),"n/a ")</f>
        <v>24.921220875824837</v>
      </c>
      <c r="AH86" s="88" t="str">
        <f t="shared" ref="AH86" si="120">+IFERROR(IF(AH73/AI47&lt;0,"n/a ",AH73/AI47),"n/a ")</f>
        <v xml:space="preserve">n/a </v>
      </c>
      <c r="AJ86" s="25" t="str">
        <f>IFERROR((AH86/AC86)^(1/5)-1,"n/a ")</f>
        <v xml:space="preserve">n/a </v>
      </c>
      <c r="AK86" s="25" t="str">
        <f>IFERROR((AH86/X86)^(1/10)-1,"n/a ")</f>
        <v xml:space="preserve">n/a </v>
      </c>
      <c r="AL86" s="25" t="str">
        <f>IFERROR((AH86/S86)^(1/15)-1,"n/a ")</f>
        <v xml:space="preserve">n/a </v>
      </c>
      <c r="AM86" s="25" t="str">
        <f>IFERROR((AH86/N86)^(1/20)-1,"n/a ")</f>
        <v xml:space="preserve">n/a </v>
      </c>
      <c r="AN86" s="25" t="str">
        <f>IFERROR(IF(AH86/I86&lt;1,"n/m ",(AH86/I86)^(1/25)-1),"n/a ")</f>
        <v xml:space="preserve">n/a </v>
      </c>
    </row>
    <row r="87" spans="2:57">
      <c r="AJ87" s="43"/>
      <c r="AK87" s="43"/>
      <c r="AL87" s="43"/>
      <c r="AM87" s="43"/>
      <c r="AN87" s="43"/>
    </row>
    <row r="88" spans="2:57">
      <c r="B88" s="24" t="s">
        <v>127</v>
      </c>
      <c r="AJ88" s="43"/>
      <c r="AK88" s="43"/>
      <c r="AL88" s="43"/>
      <c r="AM88" s="43"/>
      <c r="AN88" s="43"/>
      <c r="BC88">
        <v>9</v>
      </c>
      <c r="BD88">
        <v>8</v>
      </c>
      <c r="BE88">
        <v>7</v>
      </c>
    </row>
    <row r="89" spans="2:57">
      <c r="B89" s="17" t="s">
        <v>1858</v>
      </c>
      <c r="N89" s="88"/>
      <c r="O89" s="88" t="str">
        <f>_xll.ciqfunctions.udf.CIQ("^SPX", "IQ_PE_EXCL_FWD", IQ_NTM, O7)</f>
        <v>(Capability Needed)</v>
      </c>
      <c r="P89" s="88" t="str">
        <f>_xll.ciqfunctions.udf.CIQ("^SPX", "IQ_PE_EXCL_FWD", IQ_NTM, P7)</f>
        <v>(Capability Needed)</v>
      </c>
      <c r="Q89" s="88" t="str">
        <f>_xll.ciqfunctions.udf.CIQ("^SPX", "IQ_PE_EXCL_FWD", IQ_NTM, Q7)</f>
        <v>(Capability Needed)</v>
      </c>
      <c r="R89" s="88" t="str">
        <f>_xll.ciqfunctions.udf.CIQ("^SPX", "IQ_PE_EXCL_FWD", IQ_NTM, R7)</f>
        <v>(Capability Needed)</v>
      </c>
      <c r="S89" s="88">
        <f>_xll.ciqfunctions.udf.CIQ("^SPX", "IQ_PE_EXCL_FWD", IQ_NTM, S7)</f>
        <v>15.482108</v>
      </c>
      <c r="T89" s="88">
        <f>_xll.ciqfunctions.udf.CIQ("^SPX", "IQ_PE_EXCL_FWD", IQ_NTM, T7)</f>
        <v>14.315324</v>
      </c>
      <c r="U89" s="88">
        <f>_xll.ciqfunctions.udf.CIQ("^SPX", "IQ_PE_EXCL_FWD", IQ_NTM, U7)</f>
        <v>15.326283</v>
      </c>
      <c r="V89" s="88">
        <f>_xll.ciqfunctions.udf.CIQ("^SPX", "IQ_PE_EXCL_FWD", IQ_NTM, V7)</f>
        <v>12.732426999999999</v>
      </c>
      <c r="W89" s="88">
        <f>_xll.ciqfunctions.udf.CIQ("^SPX", "IQ_PE_EXCL_FWD", IQ_NTM, W7)</f>
        <v>14.753977000000001</v>
      </c>
      <c r="X89" s="88">
        <f>_xll.ciqfunctions.udf.CIQ("^SPX", "IQ_PE_EXCL_FWD", IQ_NTM, X7)</f>
        <v>12.182325000000001</v>
      </c>
      <c r="Y89" s="88">
        <f>_xll.ciqfunctions.udf.CIQ("^SPX", "IQ_PE_EXCL_FWD", IQ_NTM, Y7)</f>
        <v>12.868239000000001</v>
      </c>
      <c r="Z89" s="88">
        <f>_xll.ciqfunctions.udf.CIQ("^SPX", "IQ_PE_EXCL_FWD", IQ_NTM, Z7)</f>
        <v>12.732051999999999</v>
      </c>
      <c r="AA89" s="88">
        <f>_xll.ciqfunctions.udf.CIQ("^SPX", "IQ_PE_EXCL_FWD", IQ_NTM, AA7)</f>
        <v>14.251597</v>
      </c>
      <c r="AB89" s="88">
        <f>_xll.ciqfunctions.udf.CIQ("^SPX", "IQ_PE_EXCL_FWD", IQ_NTM, AB7)</f>
        <v>16.144013000000001</v>
      </c>
      <c r="AC89" s="88">
        <f>_xll.ciqfunctions.udf.CIQ("^SPX", "IQ_PE_EXCL_FWD", IQ_NTM, AC7)</f>
        <v>17.141635999999998</v>
      </c>
      <c r="AD89" s="88">
        <f>_xll.ciqfunctions.udf.CIQ("^SPX", "IQ_PE_EXCL_FWD", IQ_NTM, AD7)</f>
        <v>17.330649000000001</v>
      </c>
      <c r="AE89" s="88">
        <f>_xll.ciqfunctions.udf.CIQ("^SPX", "IQ_PE_EXCL_FWD", IQ_NTM, AE7)</f>
        <v>18.187384000000002</v>
      </c>
      <c r="AF89" s="88">
        <f>_xll.ciqfunctions.udf.CIQ("^SPX", "IQ_PE_EXCL_FWD", IQ_NTM, AF7)</f>
        <v>16.766096999999998</v>
      </c>
      <c r="AG89" s="88">
        <f>_xll.ciqfunctions.udf.CIQ("^SPX", "IQ_PE_EXCL_FWD", IQ_NTM, AG7)</f>
        <v>17.464153</v>
      </c>
      <c r="AH89" s="88">
        <f>_xll.ciqfunctions.udf.CIQ("^SPX", "IQ_PE_EXCL_FWD", IQ_NTM, AH7)</f>
        <v>24.080055000000002</v>
      </c>
      <c r="AJ89" s="25">
        <f>IFERROR((AH89/AC89)^(1/5)-1,"n/a ")</f>
        <v>7.0338238562073219E-2</v>
      </c>
      <c r="AK89" s="25">
        <f>IFERROR((AH89/X89)^(1/10)-1,"n/a ")</f>
        <v>7.0514931786097579E-2</v>
      </c>
      <c r="AL89" s="25">
        <f>IFERROR((AH89/S89)^(1/15)-1,"n/a ")</f>
        <v>2.988442924126522E-2</v>
      </c>
      <c r="AM89" s="25" t="str">
        <f>IFERROR((AH89/N89)^(1/20)-1,"n/a ")</f>
        <v xml:space="preserve">n/a </v>
      </c>
      <c r="AN89" s="25" t="str">
        <f>IFERROR((AH89/I89)^(1/25)-1,"n/a ")</f>
        <v xml:space="preserve">n/a </v>
      </c>
      <c r="BC89" t="s">
        <v>1859</v>
      </c>
      <c r="BD89" t="s">
        <v>1860</v>
      </c>
      <c r="BE89" t="s">
        <v>1861</v>
      </c>
    </row>
    <row r="90" spans="2:57">
      <c r="B90" s="19" t="s">
        <v>1862</v>
      </c>
      <c r="N90" s="23"/>
      <c r="O90" s="23" t="e">
        <f t="shared" ref="O90:AE90" si="121">+O84/O89-1</f>
        <v>#VALUE!</v>
      </c>
      <c r="P90" s="23" t="e">
        <f t="shared" si="121"/>
        <v>#VALUE!</v>
      </c>
      <c r="Q90" s="23" t="e">
        <f t="shared" si="121"/>
        <v>#VALUE!</v>
      </c>
      <c r="R90" s="23" t="e">
        <f t="shared" si="121"/>
        <v>#VALUE!</v>
      </c>
      <c r="S90" s="23">
        <f t="shared" si="121"/>
        <v>0.47409440255111024</v>
      </c>
      <c r="T90" s="23">
        <f t="shared" si="121"/>
        <v>0.31187764540318286</v>
      </c>
      <c r="U90" s="23">
        <f t="shared" si="121"/>
        <v>0.22805606837333392</v>
      </c>
      <c r="V90" s="23">
        <f t="shared" si="121"/>
        <v>0.58814611429097807</v>
      </c>
      <c r="W90" s="23">
        <f t="shared" si="121"/>
        <v>-0.10856355280181351</v>
      </c>
      <c r="X90" s="23">
        <f t="shared" si="121"/>
        <v>-7.5896253045519724E-2</v>
      </c>
      <c r="Y90" s="23">
        <f t="shared" si="121"/>
        <v>-6.1464317242208133E-2</v>
      </c>
      <c r="Z90" s="23">
        <f t="shared" si="121"/>
        <v>0.1622343750213453</v>
      </c>
      <c r="AA90" s="23">
        <f t="shared" si="121"/>
        <v>0.13020317423722649</v>
      </c>
      <c r="AB90" s="23">
        <f t="shared" si="121"/>
        <v>0.17036066304111541</v>
      </c>
      <c r="AC90" s="23">
        <f t="shared" si="121"/>
        <v>0.22270586773052514</v>
      </c>
      <c r="AD90" s="23">
        <f t="shared" si="121"/>
        <v>0.20496596721416349</v>
      </c>
      <c r="AE90" s="23">
        <f t="shared" si="121"/>
        <v>0.16259723868905729</v>
      </c>
      <c r="AF90" s="23">
        <f t="shared" ref="AF90:AG90" si="122">+AF84/AF89-1</f>
        <v>0.32401468063052752</v>
      </c>
      <c r="AG90" s="23">
        <f t="shared" si="122"/>
        <v>0.41938281292143764</v>
      </c>
      <c r="AH90" s="23" t="s">
        <v>1305</v>
      </c>
      <c r="AJ90" s="25"/>
      <c r="AK90" s="25"/>
      <c r="AL90" s="25"/>
      <c r="AM90" s="25"/>
      <c r="AN90" s="25"/>
    </row>
    <row r="91" spans="2:57">
      <c r="AJ91" s="43"/>
      <c r="AK91" s="43"/>
      <c r="AL91" s="43"/>
      <c r="AM91" s="43"/>
      <c r="AN91" s="43"/>
    </row>
    <row r="92" spans="2:57" ht="10.5">
      <c r="B92" s="5" t="s">
        <v>1863</v>
      </c>
      <c r="C92" s="4"/>
      <c r="AJ92" s="43"/>
      <c r="AK92" s="43"/>
      <c r="AL92" s="43"/>
      <c r="AM92" s="43"/>
      <c r="AN92" s="43"/>
    </row>
    <row r="93" spans="2:57">
      <c r="B93" s="3" t="s">
        <v>1850</v>
      </c>
      <c r="AJ93" s="43"/>
      <c r="AK93" s="43"/>
      <c r="AL93" s="43"/>
      <c r="AM93" s="43"/>
      <c r="AN93" s="43"/>
    </row>
    <row r="94" spans="2:57">
      <c r="AJ94" s="43"/>
      <c r="AK94" s="43"/>
      <c r="AL94" s="43"/>
      <c r="AM94" s="43"/>
      <c r="AN94" s="43"/>
    </row>
    <row r="95" spans="2:57">
      <c r="B95" t="s">
        <v>1851</v>
      </c>
      <c r="D95" s="86">
        <f t="shared" ref="D95:AF95" si="123">+D71</f>
        <v>1.0555559999999999</v>
      </c>
      <c r="E95" s="86">
        <f t="shared" si="123"/>
        <v>1.4192709999999999</v>
      </c>
      <c r="F95" s="86">
        <f t="shared" si="123"/>
        <v>2.1875</v>
      </c>
      <c r="G95" s="86">
        <f t="shared" si="123"/>
        <v>2.75</v>
      </c>
      <c r="H95" s="86">
        <f t="shared" si="123"/>
        <v>3.2265600000000001</v>
      </c>
      <c r="I95" s="86">
        <f t="shared" si="123"/>
        <v>5.6484399999999999</v>
      </c>
      <c r="J95" s="86">
        <f t="shared" si="123"/>
        <v>7.5078100000000001</v>
      </c>
      <c r="K95" s="86">
        <f t="shared" si="123"/>
        <v>15.79688</v>
      </c>
      <c r="L95" s="86">
        <f t="shared" si="123"/>
        <v>27.09375</v>
      </c>
      <c r="M95" s="86">
        <f t="shared" si="123"/>
        <v>45.09375</v>
      </c>
      <c r="N95" s="86">
        <f t="shared" si="123"/>
        <v>40</v>
      </c>
      <c r="O95" s="86">
        <f t="shared" si="123"/>
        <v>36.5</v>
      </c>
      <c r="P95" s="86">
        <f t="shared" si="123"/>
        <v>27.35</v>
      </c>
      <c r="Q95" s="86">
        <f t="shared" si="123"/>
        <v>25.64</v>
      </c>
      <c r="R95" s="86">
        <f t="shared" si="123"/>
        <v>28.56</v>
      </c>
      <c r="S95" s="86">
        <f t="shared" si="123"/>
        <v>24.84</v>
      </c>
      <c r="T95" s="86">
        <f t="shared" si="123"/>
        <v>23.3</v>
      </c>
      <c r="U95" s="86">
        <f t="shared" si="123"/>
        <v>29.47</v>
      </c>
      <c r="V95" s="86">
        <f t="shared" si="123"/>
        <v>27.51</v>
      </c>
      <c r="W95" s="86">
        <f t="shared" si="123"/>
        <v>23.77</v>
      </c>
      <c r="X95" s="86">
        <f t="shared" si="123"/>
        <v>23.01</v>
      </c>
      <c r="Y95" s="86">
        <f t="shared" si="123"/>
        <v>26</v>
      </c>
      <c r="Z95" s="86">
        <f t="shared" si="123"/>
        <v>30.59</v>
      </c>
      <c r="AA95" s="86">
        <f t="shared" si="123"/>
        <v>34.545000000000002</v>
      </c>
      <c r="AB95" s="86">
        <f t="shared" si="123"/>
        <v>41.7</v>
      </c>
      <c r="AC95" s="86">
        <f t="shared" si="123"/>
        <v>44.15</v>
      </c>
      <c r="AD95" s="86">
        <f t="shared" si="123"/>
        <v>51.17</v>
      </c>
      <c r="AE95" s="86">
        <f t="shared" si="123"/>
        <v>68.930000000000007</v>
      </c>
      <c r="AF95" s="86">
        <f t="shared" si="123"/>
        <v>98.61</v>
      </c>
      <c r="AG95" s="86">
        <f t="shared" ref="AG95:AH95" si="124">+AG71</f>
        <v>133.96</v>
      </c>
      <c r="AH95" s="86">
        <f t="shared" si="124"/>
        <v>203.51</v>
      </c>
      <c r="AJ95" s="25">
        <f>IFERROR((AH95/AC95)^(1/5)-1,"n/a ")</f>
        <v>0.35747240299640914</v>
      </c>
      <c r="AK95" s="25">
        <f>IFERROR((AH95/X95)^(1/10)-1,"n/a ")</f>
        <v>0.24356048494587657</v>
      </c>
      <c r="AL95" s="25">
        <f>IFERROR((AH95/S95)^(1/15)-1,"n/a ")</f>
        <v>0.15052381017061456</v>
      </c>
      <c r="AM95" s="25">
        <f>IFERROR((AH95/N95)^(1/20)-1,"n/a ")</f>
        <v>8.474158105383478E-2</v>
      </c>
      <c r="AN95" s="25">
        <f>IFERROR((AH95/I95)^(1/25)-1,"n/a ")</f>
        <v>0.1541607191111829</v>
      </c>
    </row>
    <row r="96" spans="2:57">
      <c r="B96" s="13" t="s">
        <v>1429</v>
      </c>
      <c r="D96" s="14"/>
      <c r="E96" s="14">
        <f t="shared" ref="E96:AF96" si="125">+IFERROR(IF(E95/D95&lt;0,"n/m ",E95/D95-1),"n/a ")</f>
        <v>0.34457196018022729</v>
      </c>
      <c r="F96" s="14">
        <f t="shared" si="125"/>
        <v>0.54128422267488041</v>
      </c>
      <c r="G96" s="14">
        <f t="shared" si="125"/>
        <v>0.25714285714285712</v>
      </c>
      <c r="H96" s="14">
        <f t="shared" si="125"/>
        <v>0.17329454545454559</v>
      </c>
      <c r="I96" s="14">
        <f t="shared" si="125"/>
        <v>0.75060745809778817</v>
      </c>
      <c r="J96" s="14">
        <f t="shared" si="125"/>
        <v>0.32918292484296563</v>
      </c>
      <c r="K96" s="14">
        <f t="shared" si="125"/>
        <v>1.1040596392290163</v>
      </c>
      <c r="L96" s="14">
        <f t="shared" si="125"/>
        <v>0.71513298828629446</v>
      </c>
      <c r="M96" s="14">
        <f t="shared" si="125"/>
        <v>0.66435986159169547</v>
      </c>
      <c r="N96" s="14">
        <f t="shared" si="125"/>
        <v>-0.11295911295911298</v>
      </c>
      <c r="O96" s="14">
        <f t="shared" si="125"/>
        <v>-8.7500000000000022E-2</v>
      </c>
      <c r="P96" s="14">
        <f t="shared" si="125"/>
        <v>-0.25068493150684923</v>
      </c>
      <c r="Q96" s="14">
        <f t="shared" si="125"/>
        <v>-6.2522851919561306E-2</v>
      </c>
      <c r="R96" s="14">
        <f t="shared" si="125"/>
        <v>0.1138845553822152</v>
      </c>
      <c r="S96" s="14">
        <f t="shared" si="125"/>
        <v>-0.13025210084033612</v>
      </c>
      <c r="T96" s="14">
        <f t="shared" si="125"/>
        <v>-6.1996779388083678E-2</v>
      </c>
      <c r="U96" s="14">
        <f t="shared" si="125"/>
        <v>0.26480686695278965</v>
      </c>
      <c r="V96" s="14">
        <f t="shared" si="125"/>
        <v>-6.6508313539192288E-2</v>
      </c>
      <c r="W96" s="14">
        <f t="shared" si="125"/>
        <v>-0.13595056343147949</v>
      </c>
      <c r="X96" s="14">
        <f t="shared" si="125"/>
        <v>-3.197307530500626E-2</v>
      </c>
      <c r="Y96" s="14">
        <f t="shared" si="125"/>
        <v>0.12994350282485878</v>
      </c>
      <c r="Z96" s="14">
        <f t="shared" si="125"/>
        <v>0.17653846153846153</v>
      </c>
      <c r="AA96" s="14">
        <f t="shared" si="125"/>
        <v>0.12929061784897034</v>
      </c>
      <c r="AB96" s="14">
        <f t="shared" si="125"/>
        <v>0.20712114633087286</v>
      </c>
      <c r="AC96" s="14">
        <f t="shared" si="125"/>
        <v>5.8752997601918322E-2</v>
      </c>
      <c r="AD96" s="14">
        <f t="shared" si="125"/>
        <v>0.1590033975084939</v>
      </c>
      <c r="AE96" s="14">
        <f t="shared" si="125"/>
        <v>0.34707836623021304</v>
      </c>
      <c r="AF96" s="14">
        <f t="shared" si="125"/>
        <v>0.43058174960104445</v>
      </c>
      <c r="AG96" s="14">
        <f t="shared" ref="AG96" si="126">+IFERROR(IF(AG95/AF95&lt;0,"n/m ",AG95/AF95-1),"n/a ")</f>
        <v>0.35848291248352093</v>
      </c>
      <c r="AH96" s="14">
        <f t="shared" ref="AH96" si="127">+IFERROR(IF(AH95/AG95&lt;0,"n/m ",AH95/AG95-1),"n/a ")</f>
        <v>0.51918483129292303</v>
      </c>
      <c r="AJ96" s="43"/>
      <c r="AK96" s="43"/>
      <c r="AL96" s="43"/>
      <c r="AM96" s="43"/>
      <c r="AN96" s="43"/>
    </row>
    <row r="97" spans="2:40">
      <c r="B97" t="s">
        <v>1864</v>
      </c>
      <c r="D97" s="86">
        <f>_xll.ciqfunctions.udf.CIQ("MSFT", "IQ_CLOSEPRICE_ADJ", D7)</f>
        <v>0.64705999999999997</v>
      </c>
      <c r="E97" s="86">
        <f>_xll.ciqfunctions.udf.CIQ("MSFT", "IQ_CLOSEPRICE_ADJ", E7)</f>
        <v>0.87001799999999996</v>
      </c>
      <c r="F97" s="86">
        <f>_xll.ciqfunctions.udf.CIQ("MSFT", "IQ_CLOSEPRICE_ADJ", F7)</f>
        <v>1.3409450000000001</v>
      </c>
      <c r="G97" s="86">
        <f>_xll.ciqfunctions.udf.CIQ("MSFT", "IQ_CLOSEPRICE_ADJ", G7)</f>
        <v>1.6857599999999999</v>
      </c>
      <c r="H97" s="86">
        <f>_xll.ciqfunctions.udf.CIQ("MSFT", "IQ_CLOSEPRICE_ADJ", H7)</f>
        <v>1.9778929999999999</v>
      </c>
      <c r="I97" s="86">
        <f>_xll.ciqfunctions.udf.CIQ("MSFT", "IQ_CLOSEPRICE_ADJ", I7)</f>
        <v>3.4625140000000001</v>
      </c>
      <c r="J97" s="86">
        <f>_xll.ciqfunctions.udf.CIQ("MSFT", "IQ_CLOSEPRICE_ADJ", J7)</f>
        <v>4.6023149999999999</v>
      </c>
      <c r="K97" s="86">
        <f>_xll.ciqfunctions.udf.CIQ("MSFT", "IQ_CLOSEPRICE_ADJ", K7)</f>
        <v>9.6835450000000005</v>
      </c>
      <c r="L97" s="86">
        <f>_xll.ciqfunctions.udf.CIQ("MSFT", "IQ_CLOSEPRICE_ADJ", L7)</f>
        <v>16.608567000000001</v>
      </c>
      <c r="M97" s="86">
        <f>_xll.ciqfunctions.udf.CIQ("MSFT", "IQ_CLOSEPRICE_ADJ", M7)</f>
        <v>27.642631999999999</v>
      </c>
      <c r="N97" s="86">
        <f>_xll.ciqfunctions.udf.CIQ("MSFT", "IQ_CLOSEPRICE_ADJ", N7)</f>
        <v>24.520144999999999</v>
      </c>
      <c r="O97" s="86">
        <f>_xll.ciqfunctions.udf.CIQ("MSFT", "IQ_CLOSEPRICE_ADJ", O7)</f>
        <v>22.374631999999998</v>
      </c>
      <c r="P97" s="86">
        <f>_xll.ciqfunctions.udf.CIQ("MSFT", "IQ_CLOSEPRICE_ADJ", P7)</f>
        <v>16.765649</v>
      </c>
      <c r="Q97" s="86">
        <f>_xll.ciqfunctions.udf.CIQ("MSFT", "IQ_CLOSEPRICE_ADJ", Q7)</f>
        <v>15.767951</v>
      </c>
      <c r="R97" s="86">
        <f>_xll.ciqfunctions.udf.CIQ("MSFT", "IQ_CLOSEPRICE_ADJ", R7)</f>
        <v>17.662210999999999</v>
      </c>
      <c r="S97" s="86">
        <f>_xll.ciqfunctions.udf.CIQ("MSFT", "IQ_CLOSEPRICE_ADJ", S7)</f>
        <v>17.279330000000002</v>
      </c>
      <c r="T97" s="86">
        <f>_xll.ciqfunctions.udf.CIQ("MSFT", "IQ_CLOSEPRICE_ADJ", T7)</f>
        <v>16.422872000000002</v>
      </c>
      <c r="U97" s="86">
        <f>_xll.ciqfunctions.udf.CIQ("MSFT", "IQ_CLOSEPRICE_ADJ", U7)</f>
        <v>21.060067</v>
      </c>
      <c r="V97" s="86">
        <f>_xll.ciqfunctions.udf.CIQ("MSFT", "IQ_CLOSEPRICE_ADJ", V7)</f>
        <v>19.943593</v>
      </c>
      <c r="W97" s="86">
        <f>_xll.ciqfunctions.udf.CIQ("MSFT", "IQ_CLOSEPRICE_ADJ", W7)</f>
        <v>17.648987999999999</v>
      </c>
      <c r="X97" s="86">
        <f>_xll.ciqfunctions.udf.CIQ("MSFT", "IQ_CLOSEPRICE_ADJ", X7)</f>
        <v>17.415631999999999</v>
      </c>
      <c r="Y97" s="86">
        <f>_xll.ciqfunctions.udf.CIQ("MSFT", "IQ_CLOSEPRICE_ADJ", Y7)</f>
        <v>20.154108999999998</v>
      </c>
      <c r="Z97" s="86">
        <f>_xll.ciqfunctions.udf.CIQ("MSFT", "IQ_CLOSEPRICE_ADJ", Z7)</f>
        <v>24.35849</v>
      </c>
      <c r="AA97" s="86">
        <f>_xll.ciqfunctions.udf.CIQ("MSFT", "IQ_CLOSEPRICE_ADJ", AA7)</f>
        <v>28.346104</v>
      </c>
      <c r="AB97" s="86">
        <f>_xll.ciqfunctions.udf.CIQ("MSFT", "IQ_CLOSEPRICE_ADJ", AB7)</f>
        <v>35.226748999999998</v>
      </c>
      <c r="AC97" s="86">
        <f>_xll.ciqfunctions.udf.CIQ("MSFT", "IQ_CLOSEPRICE_ADJ", AC7)</f>
        <v>38.282032000000001</v>
      </c>
      <c r="AD97" s="86">
        <f>_xll.ciqfunctions.udf.CIQ("MSFT", "IQ_CLOSEPRICE_ADJ", AD7)</f>
        <v>45.602221</v>
      </c>
      <c r="AE97" s="86">
        <f>_xll.ciqfunctions.udf.CIQ("MSFT", "IQ_CLOSEPRICE_ADJ", AE7)</f>
        <v>62.966349999999998</v>
      </c>
      <c r="AF97" s="86">
        <f>_xll.ciqfunctions.udf.CIQ("MSFT", "IQ_CLOSEPRICE_ADJ", AF7)</f>
        <v>91.837102999999999</v>
      </c>
      <c r="AG97" s="86">
        <f>_xll.ciqfunctions.udf.CIQ("MSFT", "IQ_CLOSEPRICE_ADJ", AG7)</f>
        <v>126.785034</v>
      </c>
      <c r="AH97" s="86">
        <f>_xll.ciqfunctions.udf.CIQ("MSFT", "IQ_CLOSEPRICE_ADJ", AH7)</f>
        <v>194.98002199999999</v>
      </c>
      <c r="AJ97" s="25">
        <f>IFERROR((AH97/AC97)^(1/5)-1,"n/a ")</f>
        <v>0.38483817389755992</v>
      </c>
      <c r="AK97" s="25">
        <f>IFERROR((AH97/X97)^(1/10)-1,"n/a ")</f>
        <v>0.27322479505535657</v>
      </c>
      <c r="AL97" s="25">
        <f>IFERROR((AH97/S97)^(1/15)-1,"n/a ")</f>
        <v>0.17534188845467269</v>
      </c>
      <c r="AM97" s="25">
        <f>IFERROR((AH97/N97)^(1/20)-1,"n/a ")</f>
        <v>0.10923446239510626</v>
      </c>
      <c r="AN97" s="25">
        <f>IFERROR((AH97/I97)^(1/25)-1,"n/a ")</f>
        <v>0.17496232997712324</v>
      </c>
    </row>
    <row r="98" spans="2:40">
      <c r="B98" s="13" t="s">
        <v>1429</v>
      </c>
      <c r="D98" s="14"/>
      <c r="E98" s="14">
        <f t="shared" ref="E98:AF98" si="128">+IFERROR(IF(E97/D97&lt;0,"n/m ",E97/D97-1),"n/a ")</f>
        <v>0.34457082805303996</v>
      </c>
      <c r="F98" s="14">
        <f t="shared" si="128"/>
        <v>0.54128420331533378</v>
      </c>
      <c r="G98" s="14">
        <f t="shared" si="128"/>
        <v>0.25714328328156633</v>
      </c>
      <c r="H98" s="14">
        <f t="shared" si="128"/>
        <v>0.17329453777524684</v>
      </c>
      <c r="I98" s="14">
        <f t="shared" si="128"/>
        <v>0.75060733821293679</v>
      </c>
      <c r="J98" s="14">
        <f t="shared" si="128"/>
        <v>0.32918307333919805</v>
      </c>
      <c r="K98" s="14">
        <f t="shared" si="128"/>
        <v>1.1040595874032961</v>
      </c>
      <c r="L98" s="14">
        <f t="shared" si="128"/>
        <v>0.71513293943488665</v>
      </c>
      <c r="M98" s="14">
        <f t="shared" si="128"/>
        <v>0.66435984513293644</v>
      </c>
      <c r="N98" s="14">
        <f t="shared" si="128"/>
        <v>-0.11295910606486381</v>
      </c>
      <c r="O98" s="14">
        <f t="shared" si="128"/>
        <v>-8.7500012744622935E-2</v>
      </c>
      <c r="P98" s="14">
        <f t="shared" si="128"/>
        <v>-0.25068492746606952</v>
      </c>
      <c r="Q98" s="14">
        <f t="shared" si="128"/>
        <v>-5.950846280987987E-2</v>
      </c>
      <c r="R98" s="14">
        <f t="shared" si="128"/>
        <v>0.12013355444851381</v>
      </c>
      <c r="S98" s="14">
        <f t="shared" si="128"/>
        <v>-2.167797678331429E-2</v>
      </c>
      <c r="T98" s="14">
        <f t="shared" si="128"/>
        <v>-4.9565463475724991E-2</v>
      </c>
      <c r="U98" s="14">
        <f t="shared" si="128"/>
        <v>0.28236200099471009</v>
      </c>
      <c r="V98" s="14">
        <f t="shared" si="128"/>
        <v>-5.3013791456598902E-2</v>
      </c>
      <c r="W98" s="14">
        <f t="shared" si="128"/>
        <v>-0.11505474464907106</v>
      </c>
      <c r="X98" s="14">
        <f t="shared" si="128"/>
        <v>-1.3222061230932947E-2</v>
      </c>
      <c r="Y98" s="14">
        <f t="shared" si="128"/>
        <v>0.15724247044264605</v>
      </c>
      <c r="Z98" s="14">
        <f t="shared" si="128"/>
        <v>0.20861160371813026</v>
      </c>
      <c r="AA98" s="14">
        <f t="shared" si="128"/>
        <v>0.16370530357177326</v>
      </c>
      <c r="AB98" s="14">
        <f t="shared" si="128"/>
        <v>0.24273688546404815</v>
      </c>
      <c r="AC98" s="14">
        <f t="shared" si="128"/>
        <v>8.6731903645153485E-2</v>
      </c>
      <c r="AD98" s="14">
        <f t="shared" si="128"/>
        <v>0.19121735753211833</v>
      </c>
      <c r="AE98" s="14">
        <f t="shared" si="128"/>
        <v>0.38077375661154744</v>
      </c>
      <c r="AF98" s="14">
        <f t="shared" si="128"/>
        <v>0.45851082363834017</v>
      </c>
      <c r="AG98" s="14">
        <f t="shared" ref="AG98" si="129">+IFERROR(IF(AG97/AF97&lt;0,"n/m ",AG97/AF97-1),"n/a ")</f>
        <v>0.38054261141055368</v>
      </c>
      <c r="AH98" s="14">
        <f t="shared" ref="AH98" si="130">+IFERROR(IF(AH97/AG97&lt;0,"n/m ",AH97/AG97-1),"n/a ")</f>
        <v>0.53787884775106809</v>
      </c>
      <c r="AJ98" s="43"/>
      <c r="AK98" s="43"/>
      <c r="AL98" s="43"/>
      <c r="AM98" s="43"/>
      <c r="AN98" s="43"/>
    </row>
    <row r="99" spans="2:40">
      <c r="AJ99" s="43"/>
      <c r="AK99" s="43"/>
      <c r="AL99" s="43"/>
      <c r="AM99" s="43"/>
      <c r="AN99" s="43"/>
    </row>
    <row r="100" spans="2:40">
      <c r="B100" s="24" t="s">
        <v>127</v>
      </c>
      <c r="AJ100" s="43"/>
      <c r="AK100" s="43"/>
      <c r="AL100" s="43"/>
      <c r="AM100" s="43"/>
      <c r="AN100" s="43"/>
    </row>
    <row r="101" spans="2:40">
      <c r="B101" s="17" t="s">
        <v>1865</v>
      </c>
      <c r="D101" s="8">
        <f>_xll.ciqfunctions.udf.CIQ("IQT46156517", "IQ_LASTSALEPRICE", D7)</f>
        <v>391.14432014020599</v>
      </c>
      <c r="E101" s="8">
        <f>_xll.ciqfunctions.udf.CIQ("IQT46156517", "IQ_LASTSALEPRICE", E7)</f>
        <v>420.06658847747599</v>
      </c>
      <c r="F101" s="8">
        <f>_xll.ciqfunctions.udf.CIQ("IQT46156517", "IQ_LASTSALEPRICE", F7)</f>
        <v>476.40939969461698</v>
      </c>
      <c r="G101" s="8">
        <f>_xll.ciqfunctions.udf.CIQ("IQT46156517", "IQ_LASTSALEPRICE", G7)</f>
        <v>541.34130902814104</v>
      </c>
      <c r="H101" s="8">
        <f>_xll.ciqfunctions.udf.CIQ("IQT46156517", "IQ_LASTSALEPRICE", H7)</f>
        <v>548.95612905434996</v>
      </c>
      <c r="I101" s="8">
        <f>_xll.ciqfunctions.udf.CIQ("IQT46156517", "IQ_LASTSALEPRICE", I7)</f>
        <v>692.06681721820905</v>
      </c>
      <c r="J101" s="8">
        <f>_xll.ciqfunctions.udf.CIQ("IQT46156517", "IQ_LASTSALEPRICE", J7)</f>
        <v>872.007824487005</v>
      </c>
      <c r="K101" s="8">
        <f>_xll.ciqfunctions.udf.CIQ("IQT46156517", "IQ_LASTSALEPRICE", K7)</f>
        <v>1174.5862771171901</v>
      </c>
      <c r="L101" s="8">
        <f>_xll.ciqfunctions.udf.CIQ("IQT46156517", "IQ_LASTSALEPRICE", L7)</f>
        <v>1528.8703993541001</v>
      </c>
      <c r="M101" s="8">
        <f>_xll.ciqfunctions.udf.CIQ("IQT46156517", "IQ_LASTSALEPRICE", M7)</f>
        <v>1876.78349798759</v>
      </c>
      <c r="N101" s="8">
        <f>_xll.ciqfunctions.udf.CIQ("IQT46156517", "IQ_LASTSALEPRICE", N7)</f>
        <v>2012.8297692600599</v>
      </c>
      <c r="O101" s="8">
        <f>_xll.ciqfunctions.udf.CIQ("IQT46156517", "IQ_LASTSALEPRICE", O7)</f>
        <v>1714.3207962174499</v>
      </c>
      <c r="P101" s="8">
        <f>_xll.ciqfunctions.udf.CIQ("IQT46156517", "IQ_LASTSALEPRICE", P7)</f>
        <v>1405.9435348581401</v>
      </c>
      <c r="Q101" s="8">
        <f>_xll.ciqfunctions.udf.CIQ("IQT46156517", "IQ_LASTSALEPRICE", Q7)</f>
        <v>1409.4777722854501</v>
      </c>
      <c r="R101" s="8">
        <f>_xll.ciqfunctions.udf.CIQ("IQT46156517", "IQ_LASTSALEPRICE", R7)</f>
        <v>1678.8255786427301</v>
      </c>
      <c r="S101" s="8">
        <f>_xll.ciqfunctions.udf.CIQ("IQT46156517", "IQ_LASTSALEPRICE", S7)</f>
        <v>1784.9872510919899</v>
      </c>
      <c r="T101" s="8">
        <f>_xll.ciqfunctions.udf.CIQ("IQT46156517", "IQ_LASTSALEPRICE", T7)</f>
        <v>1939.03405334177</v>
      </c>
      <c r="U101" s="8">
        <f>_xll.ciqfunctions.udf.CIQ("IQT46156517", "IQ_LASTSALEPRICE", U7)</f>
        <v>2338.24671469641</v>
      </c>
      <c r="V101" s="8">
        <f>_xll.ciqfunctions.udf.CIQ("IQT46156517", "IQ_LASTSALEPRICE", V7)</f>
        <v>2031.47126520334</v>
      </c>
      <c r="W101" s="8">
        <f>_xll.ciqfunctions.udf.CIQ("IQT46156517", "IQ_LASTSALEPRICE", W7)</f>
        <v>1498.93647750693</v>
      </c>
      <c r="X101" s="8">
        <f>_xll.ciqfunctions.udf.CIQ("IQT46156517", "IQ_LASTSALEPRICE", X7)</f>
        <v>1715.2295386216399</v>
      </c>
      <c r="Y101" s="8">
        <f>_xll.ciqfunctions.udf.CIQ("IQT46156517", "IQ_LASTSALEPRICE", Y7)</f>
        <v>2241.66286481517</v>
      </c>
      <c r="Z101" s="8">
        <f>_xll.ciqfunctions.udf.CIQ("IQT46156517", "IQ_LASTSALEPRICE", Z7)</f>
        <v>2363.7888348018701</v>
      </c>
      <c r="AA101" s="8">
        <f>_xll.ciqfunctions.udf.CIQ("IQT46156517", "IQ_LASTSALEPRICE", AA7)</f>
        <v>2850.6622995815501</v>
      </c>
      <c r="AB101" s="8">
        <f>_xll.ciqfunctions.udf.CIQ("IQT46156517", "IQ_LASTSALEPRICE", AB7)</f>
        <v>3552.1817485756001</v>
      </c>
      <c r="AC101" s="8">
        <f>_xll.ciqfunctions.udf.CIQ("IQT46156517", "IQ_LASTSALEPRICE", AC7)</f>
        <v>3815.8528883666299</v>
      </c>
      <c r="AD101" s="8">
        <f>_xll.ciqfunctions.udf.CIQ("IQT46156517", "IQ_LASTSALEPRICE", AD7)</f>
        <v>3968.2057004609001</v>
      </c>
      <c r="AE101" s="8">
        <f>_xll.ciqfunctions.udf.CIQ("IQT46156517", "IQ_LASTSALEPRICE", AE7)</f>
        <v>4678.3601107934801</v>
      </c>
      <c r="AF101" s="8">
        <f>_xll.ciqfunctions.udf.CIQ("IQT46156517", "IQ_LASTSALEPRICE", AF7)</f>
        <v>5350.8319891308702</v>
      </c>
      <c r="AG101" s="8">
        <f>_xll.ciqfunctions.udf.CIQ("IQT46156517", "IQ_LASTSALEPRICE", AG7)</f>
        <v>5908.2514828205503</v>
      </c>
      <c r="AH101" s="8">
        <f>_xll.ciqfunctions.udf.CIQ("IQT46156517", "IQ_LASTSALEPRICE", AH7)</f>
        <v>6351.6668724943602</v>
      </c>
      <c r="AJ101" s="25">
        <f>IFERROR((AH101/AC101)^(1/5)-1,"n/a ")</f>
        <v>0.1072844930092407</v>
      </c>
      <c r="AK101" s="25">
        <f>IFERROR((AH101/X101)^(1/10)-1,"n/a ")</f>
        <v>0.13987320947690063</v>
      </c>
      <c r="AL101" s="25">
        <f>IFERROR((AH101/S101)^(1/15)-1,"n/a ")</f>
        <v>8.8303868500120508E-2</v>
      </c>
      <c r="AM101" s="25">
        <f>IFERROR((AH101/N101)^(1/20)-1,"n/a ")</f>
        <v>5.9141617269100388E-2</v>
      </c>
      <c r="AN101" s="25">
        <f>IFERROR((AH101/I101)^(1/25)-1,"n/a ")</f>
        <v>9.2721749734711922E-2</v>
      </c>
    </row>
    <row r="102" spans="2:40">
      <c r="B102" s="19" t="s">
        <v>1429</v>
      </c>
      <c r="D102" s="14" t="str">
        <f>+IFERROR(IF(D101/#REF!&lt;0,"n/m ",D101/#REF!-1),"n/a ")</f>
        <v xml:space="preserve">n/a </v>
      </c>
      <c r="E102" s="14">
        <f t="shared" ref="E102:AE102" si="131">+IFERROR(IF(E101/D101&lt;0,"n/m ",E101/D101-1),"n/a ")</f>
        <v>7.394270310994866E-2</v>
      </c>
      <c r="F102" s="14">
        <f t="shared" si="131"/>
        <v>0.1341282852829464</v>
      </c>
      <c r="G102" s="14">
        <f t="shared" si="131"/>
        <v>0.13629434972346477</v>
      </c>
      <c r="H102" s="14">
        <f t="shared" si="131"/>
        <v>1.406657851380233E-2</v>
      </c>
      <c r="I102" s="14">
        <f t="shared" si="131"/>
        <v>0.26069603851656842</v>
      </c>
      <c r="J102" s="14">
        <f t="shared" si="131"/>
        <v>0.26000525208256065</v>
      </c>
      <c r="K102" s="14">
        <f t="shared" si="131"/>
        <v>0.34699052477905168</v>
      </c>
      <c r="L102" s="14">
        <f t="shared" si="131"/>
        <v>0.30162460530905943</v>
      </c>
      <c r="M102" s="14">
        <f t="shared" si="131"/>
        <v>0.22756219152419477</v>
      </c>
      <c r="N102" s="14">
        <f t="shared" si="131"/>
        <v>7.2489059829409008E-2</v>
      </c>
      <c r="O102" s="14">
        <f t="shared" si="131"/>
        <v>-0.14830313899438474</v>
      </c>
      <c r="P102" s="14">
        <f t="shared" si="131"/>
        <v>-0.17988305458332332</v>
      </c>
      <c r="Q102" s="14">
        <f t="shared" si="131"/>
        <v>2.5137833345965088E-3</v>
      </c>
      <c r="R102" s="14">
        <f t="shared" si="131"/>
        <v>0.19109759064914944</v>
      </c>
      <c r="S102" s="14">
        <f t="shared" si="131"/>
        <v>6.3235677249501743E-2</v>
      </c>
      <c r="T102" s="14">
        <f t="shared" si="131"/>
        <v>8.6301345937087159E-2</v>
      </c>
      <c r="U102" s="14">
        <f t="shared" si="131"/>
        <v>0.20588223330406641</v>
      </c>
      <c r="V102" s="14">
        <f t="shared" si="131"/>
        <v>-0.13119892249389975</v>
      </c>
      <c r="W102" s="14">
        <f t="shared" si="131"/>
        <v>-0.2621424170836627</v>
      </c>
      <c r="X102" s="14">
        <f t="shared" si="131"/>
        <v>0.14429768329772985</v>
      </c>
      <c r="Y102" s="14">
        <f t="shared" si="131"/>
        <v>0.30691712936367255</v>
      </c>
      <c r="Z102" s="14">
        <f t="shared" si="131"/>
        <v>5.4480079009012528E-2</v>
      </c>
      <c r="AA102" s="14">
        <f t="shared" si="131"/>
        <v>0.20597164078765484</v>
      </c>
      <c r="AB102" s="14">
        <f t="shared" si="131"/>
        <v>0.24608998726261833</v>
      </c>
      <c r="AC102" s="14">
        <f t="shared" si="131"/>
        <v>7.4227941714063439E-2</v>
      </c>
      <c r="AD102" s="14">
        <f t="shared" si="131"/>
        <v>3.9926280323528074E-2</v>
      </c>
      <c r="AE102" s="14">
        <f t="shared" si="131"/>
        <v>0.17896108819411682</v>
      </c>
      <c r="AF102" s="14">
        <f t="shared" ref="AF102" si="132">+IFERROR(IF(AF101/AE101&lt;0,"n/m ",AF101/AE101-1),"n/a ")</f>
        <v>0.1437409396480458</v>
      </c>
      <c r="AG102" s="14">
        <f t="shared" ref="AG102" si="133">+IFERROR(IF(AG101/AF101&lt;0,"n/m ",AG101/AF101-1),"n/a ")</f>
        <v>0.1041743592065616</v>
      </c>
      <c r="AH102" s="14">
        <f t="shared" ref="AH102" si="134">+IFERROR(IF(AH101/AG101&lt;0,"n/m ",AH101/AG101-1),"n/a ")</f>
        <v>7.5050188869436374E-2</v>
      </c>
      <c r="AJ102" s="42"/>
      <c r="AK102" s="42"/>
      <c r="AL102" s="42"/>
      <c r="AM102" s="42"/>
      <c r="AN102" s="42"/>
    </row>
    <row r="103" spans="2:40">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J103" s="42"/>
      <c r="AK103" s="42"/>
      <c r="AL103" s="42"/>
      <c r="AM103" s="42"/>
      <c r="AN103" s="42"/>
    </row>
    <row r="104" spans="2:40">
      <c r="B104" t="s">
        <v>1866</v>
      </c>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J104" s="42"/>
      <c r="AK104" s="42"/>
      <c r="AL104" s="42"/>
      <c r="AM104" s="42"/>
      <c r="AN104" s="42"/>
    </row>
    <row r="105" spans="2:40">
      <c r="B105" s="12" t="s">
        <v>1867</v>
      </c>
      <c r="D105" s="35">
        <f t="shared" ref="D105:AE105" si="135">+IFERROR((E97/D97)^(1/1)-1,"n/a ")</f>
        <v>0.34457082805303996</v>
      </c>
      <c r="E105" s="35">
        <f t="shared" si="135"/>
        <v>0.54128420331533378</v>
      </c>
      <c r="F105" s="35">
        <f t="shared" si="135"/>
        <v>0.25714328328156633</v>
      </c>
      <c r="G105" s="35">
        <f t="shared" si="135"/>
        <v>0.17329453777524684</v>
      </c>
      <c r="H105" s="35">
        <f t="shared" si="135"/>
        <v>0.75060733821293679</v>
      </c>
      <c r="I105" s="35">
        <f t="shared" si="135"/>
        <v>0.32918307333919805</v>
      </c>
      <c r="J105" s="35">
        <f t="shared" si="135"/>
        <v>1.1040595874032961</v>
      </c>
      <c r="K105" s="35">
        <f t="shared" si="135"/>
        <v>0.71513293943488665</v>
      </c>
      <c r="L105" s="35">
        <f t="shared" si="135"/>
        <v>0.66435984513293644</v>
      </c>
      <c r="M105" s="35">
        <f t="shared" si="135"/>
        <v>-0.11295910606486381</v>
      </c>
      <c r="N105" s="35">
        <f t="shared" si="135"/>
        <v>-8.7500012744622935E-2</v>
      </c>
      <c r="O105" s="35">
        <f t="shared" si="135"/>
        <v>-0.25068492746606952</v>
      </c>
      <c r="P105" s="35">
        <f t="shared" si="135"/>
        <v>-5.950846280987987E-2</v>
      </c>
      <c r="Q105" s="35">
        <f t="shared" si="135"/>
        <v>0.12013355444851381</v>
      </c>
      <c r="R105" s="35">
        <f t="shared" si="135"/>
        <v>-2.167797678331429E-2</v>
      </c>
      <c r="S105" s="35">
        <f t="shared" si="135"/>
        <v>-4.9565463475724991E-2</v>
      </c>
      <c r="T105" s="35">
        <f t="shared" si="135"/>
        <v>0.28236200099471009</v>
      </c>
      <c r="U105" s="35">
        <f t="shared" si="135"/>
        <v>-5.3013791456598902E-2</v>
      </c>
      <c r="V105" s="35">
        <f t="shared" si="135"/>
        <v>-0.11505474464907106</v>
      </c>
      <c r="W105" s="35">
        <f t="shared" si="135"/>
        <v>-1.3222061230932947E-2</v>
      </c>
      <c r="X105" s="35">
        <f t="shared" si="135"/>
        <v>0.15724247044264605</v>
      </c>
      <c r="Y105" s="35">
        <f t="shared" si="135"/>
        <v>0.20861160371813026</v>
      </c>
      <c r="Z105" s="35">
        <f t="shared" si="135"/>
        <v>0.16370530357177326</v>
      </c>
      <c r="AA105" s="35">
        <f t="shared" si="135"/>
        <v>0.24273688546404815</v>
      </c>
      <c r="AB105" s="35">
        <f t="shared" si="135"/>
        <v>8.6731903645153485E-2</v>
      </c>
      <c r="AC105" s="35">
        <f t="shared" si="135"/>
        <v>0.19121735753211833</v>
      </c>
      <c r="AD105" s="35">
        <f t="shared" si="135"/>
        <v>0.38077375661154744</v>
      </c>
      <c r="AE105" s="35">
        <f t="shared" si="135"/>
        <v>0.45851082363834017</v>
      </c>
      <c r="AF105" s="35">
        <f t="shared" ref="AF105" si="136">+IFERROR((AG97/AF97)^(1/1)-1,"n/a ")</f>
        <v>0.38054261141055368</v>
      </c>
      <c r="AG105" s="35">
        <f t="shared" ref="AG105" si="137">+IFERROR((AH97/AG97)^(1/1)-1,"n/a ")</f>
        <v>0.53787884775106809</v>
      </c>
      <c r="AH105" s="35" t="s">
        <v>1305</v>
      </c>
      <c r="AJ105" s="42"/>
      <c r="AK105" s="42"/>
      <c r="AL105" s="42"/>
      <c r="AM105" s="42"/>
      <c r="AN105" s="42"/>
    </row>
    <row r="106" spans="2:40">
      <c r="B106" s="12" t="s">
        <v>1868</v>
      </c>
      <c r="D106" s="35">
        <f t="shared" ref="D106:AC106" si="138">+IFERROR((G97/D97)^(1/3)-1,"n/a ")</f>
        <v>0.37599565883550357</v>
      </c>
      <c r="E106" s="35">
        <f t="shared" si="138"/>
        <v>0.31489634600842198</v>
      </c>
      <c r="F106" s="35">
        <f t="shared" si="138"/>
        <v>0.37191390404223879</v>
      </c>
      <c r="G106" s="35">
        <f t="shared" si="138"/>
        <v>0.39763424048529439</v>
      </c>
      <c r="H106" s="35">
        <f t="shared" si="138"/>
        <v>0.69802414171055061</v>
      </c>
      <c r="I106" s="35">
        <f t="shared" si="138"/>
        <v>0.68647616721872429</v>
      </c>
      <c r="J106" s="35">
        <f t="shared" si="138"/>
        <v>0.81775082602401539</v>
      </c>
      <c r="K106" s="35">
        <f t="shared" si="138"/>
        <v>0.36300114182754495</v>
      </c>
      <c r="L106" s="35">
        <f t="shared" si="138"/>
        <v>0.10443775908846065</v>
      </c>
      <c r="M106" s="35">
        <f t="shared" si="138"/>
        <v>-0.15352592950090937</v>
      </c>
      <c r="N106" s="35">
        <f t="shared" si="138"/>
        <v>-0.13685437044704518</v>
      </c>
      <c r="O106" s="35">
        <f t="shared" si="138"/>
        <v>-7.5806189018034376E-2</v>
      </c>
      <c r="P106" s="35">
        <f t="shared" si="138"/>
        <v>1.0110401102607636E-2</v>
      </c>
      <c r="Q106" s="35">
        <f t="shared" si="138"/>
        <v>1.3657602841194327E-2</v>
      </c>
      <c r="R106" s="35">
        <f t="shared" si="138"/>
        <v>6.0404494784237039E-2</v>
      </c>
      <c r="S106" s="35">
        <f t="shared" si="138"/>
        <v>4.89597755215887E-2</v>
      </c>
      <c r="T106" s="35">
        <f t="shared" si="138"/>
        <v>2.4291494885360088E-2</v>
      </c>
      <c r="U106" s="35">
        <f t="shared" si="138"/>
        <v>-6.1372738751852118E-2</v>
      </c>
      <c r="V106" s="35">
        <f t="shared" si="138"/>
        <v>3.5062155522209704E-3</v>
      </c>
      <c r="W106" s="35">
        <f t="shared" si="138"/>
        <v>0.11338026298135673</v>
      </c>
      <c r="X106" s="35">
        <f t="shared" si="138"/>
        <v>0.17629986081219684</v>
      </c>
      <c r="Y106" s="35">
        <f t="shared" si="138"/>
        <v>0.20458186516700771</v>
      </c>
      <c r="Z106" s="35">
        <f t="shared" si="138"/>
        <v>0.16264788647023187</v>
      </c>
      <c r="AA106" s="35">
        <f t="shared" si="138"/>
        <v>0.17173896698149482</v>
      </c>
      <c r="AB106" s="35">
        <f t="shared" si="138"/>
        <v>0.21360861690065658</v>
      </c>
      <c r="AC106" s="35">
        <f t="shared" si="138"/>
        <v>0.33867267247189514</v>
      </c>
      <c r="AD106" s="35" t="str">
        <f>+IFERROR(($AF$97/AD$97)^(1/((#REF!-#REF!)/365))-1,"n/a ")</f>
        <v xml:space="preserve">n/a </v>
      </c>
      <c r="AE106" s="35" t="str">
        <f>+IFERROR(($AF$97/AE$97)^(1/((#REF!-#REF!)/365))-1,"n/a ")</f>
        <v xml:space="preserve">n/a </v>
      </c>
      <c r="AF106" s="35" t="str">
        <f>+IFERROR(($AF$97/AF$97)^(1/((#REF!-#REF!)/365))-1,"n/a ")</f>
        <v xml:space="preserve">n/a </v>
      </c>
      <c r="AG106" s="35" t="str">
        <f>+IFERROR(($AF$97/AG$97)^(1/((#REF!-#REF!)/365))-1,"n/a ")</f>
        <v xml:space="preserve">n/a </v>
      </c>
      <c r="AH106" s="35" t="str">
        <f>+IFERROR(($AF$97/AH$97)^(1/((#REF!-#REF!)/365))-1,"n/a ")</f>
        <v xml:space="preserve">n/a </v>
      </c>
      <c r="AJ106" s="42"/>
      <c r="AK106" s="42"/>
      <c r="AL106" s="42"/>
      <c r="AM106" s="42"/>
      <c r="AN106" s="42"/>
    </row>
    <row r="107" spans="2:40">
      <c r="B107" s="12" t="s">
        <v>1869</v>
      </c>
      <c r="D107" s="35">
        <f t="shared" ref="D107:AA107" si="139">+IFERROR((I97/D97)^(1/5)-1,"n/a ")</f>
        <v>0.39858670957744957</v>
      </c>
      <c r="E107" s="35">
        <f t="shared" si="139"/>
        <v>0.39537076752703415</v>
      </c>
      <c r="F107" s="35">
        <f t="shared" si="139"/>
        <v>0.48499394201179613</v>
      </c>
      <c r="G107" s="35">
        <f t="shared" si="139"/>
        <v>0.58018263033131579</v>
      </c>
      <c r="H107" s="35">
        <f t="shared" si="139"/>
        <v>0.69463167510699364</v>
      </c>
      <c r="I107" s="35">
        <f t="shared" si="139"/>
        <v>0.47919795998048342</v>
      </c>
      <c r="J107" s="35">
        <f t="shared" si="139"/>
        <v>0.37200568909444498</v>
      </c>
      <c r="K107" s="35">
        <f t="shared" si="139"/>
        <v>0.1160334174954063</v>
      </c>
      <c r="L107" s="35">
        <f t="shared" si="139"/>
        <v>-1.0334069616500741E-2</v>
      </c>
      <c r="M107" s="35">
        <f t="shared" si="139"/>
        <v>-8.5690704098709269E-2</v>
      </c>
      <c r="N107" s="35">
        <f t="shared" si="139"/>
        <v>-6.7603202977170596E-2</v>
      </c>
      <c r="O107" s="35">
        <f t="shared" si="139"/>
        <v>-5.9976650322500435E-2</v>
      </c>
      <c r="P107" s="35">
        <f t="shared" si="139"/>
        <v>4.6665419261915364E-2</v>
      </c>
      <c r="Q107" s="35">
        <f t="shared" si="139"/>
        <v>4.8107016134237179E-2</v>
      </c>
      <c r="R107" s="35">
        <f t="shared" si="139"/>
        <v>-1.4977696274687258E-4</v>
      </c>
      <c r="S107" s="35">
        <f t="shared" si="139"/>
        <v>1.5726762076893053E-3</v>
      </c>
      <c r="T107" s="35">
        <f t="shared" si="139"/>
        <v>4.1796511887946197E-2</v>
      </c>
      <c r="U107" s="35">
        <f t="shared" si="139"/>
        <v>2.9527905704771706E-2</v>
      </c>
      <c r="V107" s="35">
        <f t="shared" si="139"/>
        <v>7.2847502894789695E-2</v>
      </c>
      <c r="W107" s="35">
        <f t="shared" si="139"/>
        <v>0.14823439379109216</v>
      </c>
      <c r="X107" s="35">
        <f t="shared" si="139"/>
        <v>0.17060708557826887</v>
      </c>
      <c r="Y107" s="35">
        <f t="shared" si="139"/>
        <v>0.17740121159590316</v>
      </c>
      <c r="Z107" s="35">
        <f t="shared" si="139"/>
        <v>0.2091818822176974</v>
      </c>
      <c r="AA107" s="35">
        <f t="shared" si="139"/>
        <v>0.26504204461839898</v>
      </c>
      <c r="AB107" s="35" t="str">
        <f>+IFERROR(($AF$97/AB$97)^(1/((#REF!-#REF!)/365))-1,"n/a ")</f>
        <v xml:space="preserve">n/a </v>
      </c>
      <c r="AC107" s="35" t="str">
        <f>+IFERROR(($AF$97/AC$97)^(1/((#REF!-#REF!)/365))-1,"n/a ")</f>
        <v xml:space="preserve">n/a </v>
      </c>
      <c r="AD107" s="35" t="str">
        <f>+IFERROR(($AF$97/AD$97)^(1/((#REF!-#REF!)/365))-1,"n/a ")</f>
        <v xml:space="preserve">n/a </v>
      </c>
      <c r="AE107" s="35" t="str">
        <f>+IFERROR(($AF$97/AE$97)^(1/((#REF!-#REF!)/365))-1,"n/a ")</f>
        <v xml:space="preserve">n/a </v>
      </c>
      <c r="AF107" s="35" t="str">
        <f>+IFERROR(($AF$97/AF$97)^(1/((#REF!-#REF!)/365))-1,"n/a ")</f>
        <v xml:space="preserve">n/a </v>
      </c>
      <c r="AG107" s="35" t="str">
        <f>+IFERROR(($AF$97/AG$97)^(1/((#REF!-#REF!)/365))-1,"n/a ")</f>
        <v xml:space="preserve">n/a </v>
      </c>
      <c r="AH107" s="35" t="str">
        <f>+IFERROR(($AF$97/AH$97)^(1/((#REF!-#REF!)/365))-1,"n/a ")</f>
        <v xml:space="preserve">n/a </v>
      </c>
      <c r="AJ107" s="42"/>
      <c r="AK107" s="42"/>
      <c r="AL107" s="42"/>
      <c r="AM107" s="42"/>
      <c r="AN107" s="42"/>
    </row>
    <row r="108" spans="2:40">
      <c r="B108" s="12" t="s">
        <v>1870</v>
      </c>
      <c r="D108" s="35">
        <f t="shared" ref="D108:V108" si="140">+IFERROR((N97/D97)^(1/10)-1,"n/a ")</f>
        <v>0.4383277121931497</v>
      </c>
      <c r="E108" s="35">
        <f t="shared" si="140"/>
        <v>0.38363890934129663</v>
      </c>
      <c r="F108" s="35">
        <f t="shared" si="140"/>
        <v>0.28736275542808842</v>
      </c>
      <c r="G108" s="35">
        <f t="shared" si="140"/>
        <v>0.25054104811584921</v>
      </c>
      <c r="H108" s="35">
        <f t="shared" si="140"/>
        <v>0.24475599764737033</v>
      </c>
      <c r="I108" s="35">
        <f t="shared" si="140"/>
        <v>0.17439322207193708</v>
      </c>
      <c r="J108" s="35">
        <f t="shared" si="140"/>
        <v>0.13565724742949903</v>
      </c>
      <c r="K108" s="35">
        <f t="shared" si="140"/>
        <v>8.0793035152030068E-2</v>
      </c>
      <c r="L108" s="35">
        <f t="shared" si="140"/>
        <v>1.8467380559614721E-2</v>
      </c>
      <c r="M108" s="35">
        <f t="shared" si="140"/>
        <v>-4.3876392179369228E-2</v>
      </c>
      <c r="N108" s="35">
        <f t="shared" si="140"/>
        <v>-3.3634046915128057E-2</v>
      </c>
      <c r="O108" s="35">
        <f t="shared" si="140"/>
        <v>-1.0397530931110621E-2</v>
      </c>
      <c r="P108" s="35">
        <f t="shared" si="140"/>
        <v>3.8061297354990753E-2</v>
      </c>
      <c r="Q108" s="35">
        <f t="shared" si="140"/>
        <v>6.0405108921173234E-2</v>
      </c>
      <c r="R108" s="35">
        <f t="shared" si="140"/>
        <v>7.1476744839134909E-2</v>
      </c>
      <c r="S108" s="35">
        <f t="shared" si="140"/>
        <v>8.2796412762025318E-2</v>
      </c>
      <c r="T108" s="35">
        <f t="shared" si="140"/>
        <v>0.10752538360673869</v>
      </c>
      <c r="U108" s="35">
        <f t="shared" si="140"/>
        <v>0.11574481437994599</v>
      </c>
      <c r="V108" s="35">
        <f t="shared" si="140"/>
        <v>0.16498806801862509</v>
      </c>
      <c r="W108" s="35" t="str">
        <f>+IFERROR(($AF$97/W$97)^(1/((#REF!-AF$7)/365))-1,"n/a ")</f>
        <v xml:space="preserve">n/a </v>
      </c>
      <c r="X108" s="35" t="str">
        <f>+IFERROR(($AF$97/X$97)^(1/((#REF!-#REF!)/365))-1,"n/a ")</f>
        <v xml:space="preserve">n/a </v>
      </c>
      <c r="Y108" s="35" t="str">
        <f>+IFERROR(($AF$97/Y$97)^(1/((#REF!-#REF!)/365))-1,"n/a ")</f>
        <v xml:space="preserve">n/a </v>
      </c>
      <c r="Z108" s="35" t="str">
        <f>+IFERROR(($AF$97/Z$97)^(1/((#REF!-#REF!)/365))-1,"n/a ")</f>
        <v xml:space="preserve">n/a </v>
      </c>
      <c r="AA108" s="35" t="str">
        <f>+IFERROR(($AF$97/AA$97)^(1/((#REF!-#REF!)/365))-1,"n/a ")</f>
        <v xml:space="preserve">n/a </v>
      </c>
      <c r="AB108" s="35" t="str">
        <f>+IFERROR(($AF$97/AB$97)^(1/((#REF!-#REF!)/365))-1,"n/a ")</f>
        <v xml:space="preserve">n/a </v>
      </c>
      <c r="AC108" s="35" t="str">
        <f>+IFERROR(($AF$97/AC$97)^(1/((#REF!-#REF!)/365))-1,"n/a ")</f>
        <v xml:space="preserve">n/a </v>
      </c>
      <c r="AD108" s="35" t="str">
        <f>+IFERROR(($AF$97/AD$97)^(1/((#REF!-#REF!)/365))-1,"n/a ")</f>
        <v xml:space="preserve">n/a </v>
      </c>
      <c r="AE108" s="35" t="str">
        <f>+IFERROR(($AF$97/AE$97)^(1/((#REF!-#REF!)/365))-1,"n/a ")</f>
        <v xml:space="preserve">n/a </v>
      </c>
      <c r="AF108" s="35" t="str">
        <f>+IFERROR(($AF$97/AF$97)^(1/((#REF!-#REF!)/365))-1,"n/a ")</f>
        <v xml:space="preserve">n/a </v>
      </c>
      <c r="AG108" s="35" t="str">
        <f>+IFERROR(($AF$97/AG$97)^(1/((#REF!-#REF!)/365))-1,"n/a ")</f>
        <v xml:space="preserve">n/a </v>
      </c>
      <c r="AH108" s="35" t="str">
        <f>+IFERROR(($AF$97/AH$97)^(1/((#REF!-#REF!)/365))-1,"n/a ")</f>
        <v xml:space="preserve">n/a </v>
      </c>
      <c r="AJ108" s="42"/>
      <c r="AK108" s="42"/>
      <c r="AL108" s="42"/>
      <c r="AM108" s="42"/>
      <c r="AN108" s="42"/>
    </row>
  </sheetData>
  <mergeCells count="1">
    <mergeCell ref="AD9:AF10"/>
  </mergeCells>
  <pageMargins left="0.2" right="0.2" top="0.2" bottom="0.2" header="0.2" footer="0.2"/>
  <pageSetup scale="50" orientation="landscape" r:id="rId1"/>
  <headerFooter>
    <oddFooter>&amp;CPage &amp;P of &amp;N</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2:D174"/>
  <sheetViews>
    <sheetView view="pageBreakPreview" zoomScale="85" zoomScaleNormal="85" zoomScaleSheetLayoutView="85" workbookViewId="0"/>
  </sheetViews>
  <sheetFormatPr defaultRowHeight="9.9499999999999993"/>
  <cols>
    <col min="1" max="1" width="3.83203125" customWidth="1"/>
    <col min="2" max="2" width="40.1640625" bestFit="1" customWidth="1"/>
    <col min="3" max="3" width="2.83203125" customWidth="1"/>
    <col min="4" max="4" width="200.83203125" customWidth="1"/>
  </cols>
  <sheetData>
    <row r="2" spans="2:4" s="1" customFormat="1" ht="10.5">
      <c r="B2" s="1" t="s">
        <v>60</v>
      </c>
    </row>
    <row r="3" spans="2:4" s="2" customFormat="1" ht="10.5">
      <c r="B3" s="2" t="s">
        <v>1871</v>
      </c>
    </row>
    <row r="5" spans="2:4" ht="10.5">
      <c r="B5" s="46" t="s">
        <v>1872</v>
      </c>
      <c r="C5" s="47"/>
      <c r="D5" s="48"/>
    </row>
    <row r="6" spans="2:4" ht="20.100000000000001">
      <c r="B6" s="49" t="s">
        <v>91</v>
      </c>
      <c r="C6" s="50"/>
      <c r="D6" s="51" t="s">
        <v>1873</v>
      </c>
    </row>
    <row r="7" spans="2:4" ht="20.100000000000001">
      <c r="B7" s="49" t="s">
        <v>1874</v>
      </c>
      <c r="C7" s="50"/>
      <c r="D7" s="51" t="s">
        <v>1875</v>
      </c>
    </row>
    <row r="8" spans="2:4" ht="20.100000000000001">
      <c r="B8" s="49" t="s">
        <v>1876</v>
      </c>
      <c r="C8" s="50"/>
      <c r="D8" s="51" t="s">
        <v>1877</v>
      </c>
    </row>
    <row r="9" spans="2:4" ht="10.5">
      <c r="B9" s="49" t="s">
        <v>1878</v>
      </c>
      <c r="C9" s="50"/>
      <c r="D9" s="51" t="s">
        <v>1879</v>
      </c>
    </row>
    <row r="10" spans="2:4" ht="10.5">
      <c r="B10" s="49" t="s">
        <v>282</v>
      </c>
      <c r="C10" s="50"/>
      <c r="D10" s="51" t="s">
        <v>1880</v>
      </c>
    </row>
    <row r="11" spans="2:4" ht="10.5">
      <c r="B11" s="49" t="s">
        <v>281</v>
      </c>
      <c r="C11" s="50"/>
      <c r="D11" s="51" t="s">
        <v>1881</v>
      </c>
    </row>
    <row r="12" spans="2:4" ht="10.5">
      <c r="B12" s="49" t="s">
        <v>283</v>
      </c>
      <c r="C12" s="50"/>
      <c r="D12" s="51" t="s">
        <v>1882</v>
      </c>
    </row>
    <row r="13" spans="2:4" ht="129.94999999999999">
      <c r="B13" s="49" t="s">
        <v>340</v>
      </c>
      <c r="C13" s="50"/>
      <c r="D13" s="51" t="s">
        <v>1883</v>
      </c>
    </row>
    <row r="14" spans="2:4" ht="90">
      <c r="B14" s="49" t="s">
        <v>342</v>
      </c>
      <c r="C14" s="50"/>
      <c r="D14" s="52" t="s">
        <v>1884</v>
      </c>
    </row>
    <row r="15" spans="2:4" ht="120">
      <c r="B15" s="49" t="s">
        <v>344</v>
      </c>
      <c r="C15" s="50"/>
      <c r="D15" s="52" t="s">
        <v>1885</v>
      </c>
    </row>
    <row r="17" spans="2:4" ht="10.5">
      <c r="B17" s="46" t="s">
        <v>1886</v>
      </c>
      <c r="C17" s="47"/>
      <c r="D17" s="48"/>
    </row>
    <row r="18" spans="2:4" ht="20.100000000000001">
      <c r="B18" s="49" t="s">
        <v>91</v>
      </c>
      <c r="C18" s="50"/>
      <c r="D18" s="51" t="s">
        <v>1887</v>
      </c>
    </row>
    <row r="19" spans="2:4" ht="30">
      <c r="B19" s="49" t="s">
        <v>1874</v>
      </c>
      <c r="C19" s="50"/>
      <c r="D19" s="51" t="s">
        <v>1888</v>
      </c>
    </row>
    <row r="20" spans="2:4" ht="10.5">
      <c r="B20" s="49" t="s">
        <v>1876</v>
      </c>
      <c r="C20" s="50"/>
      <c r="D20" s="51" t="s">
        <v>1889</v>
      </c>
    </row>
    <row r="21" spans="2:4" ht="10.5">
      <c r="B21" s="49" t="s">
        <v>1878</v>
      </c>
      <c r="C21" s="50"/>
      <c r="D21" s="51" t="s">
        <v>1890</v>
      </c>
    </row>
    <row r="22" spans="2:4" ht="10.5">
      <c r="B22" s="49" t="s">
        <v>282</v>
      </c>
      <c r="C22" s="50"/>
      <c r="D22" s="51" t="s">
        <v>1891</v>
      </c>
    </row>
    <row r="23" spans="2:4" ht="10.5">
      <c r="B23" s="49" t="s">
        <v>281</v>
      </c>
      <c r="C23" s="50"/>
      <c r="D23" s="51" t="s">
        <v>1892</v>
      </c>
    </row>
    <row r="24" spans="2:4" ht="10.5">
      <c r="B24" s="49" t="s">
        <v>283</v>
      </c>
      <c r="C24" s="50"/>
      <c r="D24" s="51" t="s">
        <v>1893</v>
      </c>
    </row>
    <row r="25" spans="2:4" ht="110.1">
      <c r="B25" s="49" t="s">
        <v>340</v>
      </c>
      <c r="C25" s="50"/>
      <c r="D25" s="51" t="s">
        <v>1894</v>
      </c>
    </row>
    <row r="26" spans="2:4" ht="80.099999999999994">
      <c r="B26" s="49" t="s">
        <v>342</v>
      </c>
      <c r="C26" s="50"/>
      <c r="D26" s="52" t="s">
        <v>1895</v>
      </c>
    </row>
    <row r="27" spans="2:4" ht="110.1">
      <c r="B27" s="49" t="s">
        <v>344</v>
      </c>
      <c r="C27" s="50"/>
      <c r="D27" s="52" t="s">
        <v>1896</v>
      </c>
    </row>
    <row r="29" spans="2:4" ht="10.5">
      <c r="B29" s="46" t="s">
        <v>1897</v>
      </c>
      <c r="C29" s="47"/>
      <c r="D29" s="48"/>
    </row>
    <row r="30" spans="2:4" ht="20.100000000000001">
      <c r="B30" s="49" t="s">
        <v>91</v>
      </c>
      <c r="C30" s="50"/>
      <c r="D30" s="51" t="s">
        <v>1898</v>
      </c>
    </row>
    <row r="31" spans="2:4" ht="20.100000000000001">
      <c r="B31" s="49" t="s">
        <v>1874</v>
      </c>
      <c r="C31" s="50"/>
      <c r="D31" s="51" t="s">
        <v>1899</v>
      </c>
    </row>
    <row r="32" spans="2:4" ht="10.5">
      <c r="B32" s="49" t="s">
        <v>1876</v>
      </c>
      <c r="C32" s="50"/>
      <c r="D32" s="51" t="s">
        <v>1900</v>
      </c>
    </row>
    <row r="33" spans="2:4" ht="10.5">
      <c r="B33" s="49" t="s">
        <v>1878</v>
      </c>
      <c r="C33" s="50"/>
      <c r="D33" s="51" t="s">
        <v>1901</v>
      </c>
    </row>
    <row r="34" spans="2:4" ht="10.5">
      <c r="B34" s="49" t="s">
        <v>282</v>
      </c>
      <c r="C34" s="50"/>
      <c r="D34" s="51" t="s">
        <v>1902</v>
      </c>
    </row>
    <row r="35" spans="2:4" ht="10.5">
      <c r="B35" s="49" t="s">
        <v>281</v>
      </c>
      <c r="C35" s="50"/>
      <c r="D35" s="51" t="s">
        <v>1903</v>
      </c>
    </row>
    <row r="36" spans="2:4" ht="10.5">
      <c r="B36" s="49" t="s">
        <v>283</v>
      </c>
      <c r="C36" s="50"/>
      <c r="D36" s="51" t="s">
        <v>1904</v>
      </c>
    </row>
    <row r="37" spans="2:4" ht="120">
      <c r="B37" s="49" t="s">
        <v>340</v>
      </c>
      <c r="C37" s="50"/>
      <c r="D37" s="51" t="s">
        <v>1905</v>
      </c>
    </row>
    <row r="38" spans="2:4" ht="80.099999999999994">
      <c r="B38" s="49" t="s">
        <v>342</v>
      </c>
      <c r="C38" s="50"/>
      <c r="D38" s="52" t="s">
        <v>1906</v>
      </c>
    </row>
    <row r="39" spans="2:4" ht="129.94999999999999">
      <c r="B39" s="49" t="s">
        <v>344</v>
      </c>
      <c r="C39" s="50"/>
      <c r="D39" s="52" t="s">
        <v>1907</v>
      </c>
    </row>
    <row r="41" spans="2:4" ht="10.5">
      <c r="B41" s="46" t="s">
        <v>1908</v>
      </c>
      <c r="C41" s="47"/>
      <c r="D41" s="48"/>
    </row>
    <row r="42" spans="2:4" ht="20.100000000000001">
      <c r="B42" s="49" t="s">
        <v>91</v>
      </c>
      <c r="C42" s="50"/>
      <c r="D42" s="51" t="s">
        <v>1887</v>
      </c>
    </row>
    <row r="43" spans="2:4" ht="30">
      <c r="B43" s="49" t="s">
        <v>1874</v>
      </c>
      <c r="C43" s="50"/>
      <c r="D43" s="51" t="s">
        <v>1888</v>
      </c>
    </row>
    <row r="44" spans="2:4" ht="10.5">
      <c r="B44" s="49" t="s">
        <v>1876</v>
      </c>
      <c r="C44" s="50"/>
      <c r="D44" s="51" t="s">
        <v>1889</v>
      </c>
    </row>
    <row r="45" spans="2:4" ht="10.5">
      <c r="B45" s="49" t="s">
        <v>1878</v>
      </c>
      <c r="C45" s="50"/>
      <c r="D45" s="51" t="s">
        <v>1909</v>
      </c>
    </row>
    <row r="46" spans="2:4" ht="20.100000000000001">
      <c r="B46" s="49" t="s">
        <v>282</v>
      </c>
      <c r="C46" s="50"/>
      <c r="D46" s="51" t="s">
        <v>1910</v>
      </c>
    </row>
    <row r="47" spans="2:4" ht="10.5">
      <c r="B47" s="49" t="s">
        <v>281</v>
      </c>
      <c r="C47" s="50"/>
      <c r="D47" s="51" t="s">
        <v>1911</v>
      </c>
    </row>
    <row r="48" spans="2:4" ht="10.5">
      <c r="B48" s="49" t="s">
        <v>283</v>
      </c>
      <c r="C48" s="50"/>
      <c r="D48" s="51" t="s">
        <v>1912</v>
      </c>
    </row>
    <row r="49" spans="2:4" ht="110.1">
      <c r="B49" s="49" t="s">
        <v>340</v>
      </c>
      <c r="C49" s="50"/>
      <c r="D49" s="51" t="s">
        <v>1894</v>
      </c>
    </row>
    <row r="50" spans="2:4" ht="80.099999999999994">
      <c r="B50" s="49" t="s">
        <v>342</v>
      </c>
      <c r="C50" s="50"/>
      <c r="D50" s="52" t="s">
        <v>1895</v>
      </c>
    </row>
    <row r="51" spans="2:4" ht="110.1">
      <c r="B51" s="49" t="s">
        <v>344</v>
      </c>
      <c r="C51" s="50"/>
      <c r="D51" s="52" t="s">
        <v>1896</v>
      </c>
    </row>
    <row r="53" spans="2:4" ht="10.5">
      <c r="B53" s="46" t="s">
        <v>1913</v>
      </c>
      <c r="C53" s="47"/>
      <c r="D53" s="48"/>
    </row>
    <row r="54" spans="2:4" ht="30">
      <c r="B54" s="49" t="s">
        <v>91</v>
      </c>
      <c r="C54" s="50"/>
      <c r="D54" s="51" t="s">
        <v>1914</v>
      </c>
    </row>
    <row r="55" spans="2:4" ht="30">
      <c r="B55" s="49" t="s">
        <v>1874</v>
      </c>
      <c r="C55" s="50"/>
      <c r="D55" s="51" t="s">
        <v>1915</v>
      </c>
    </row>
    <row r="56" spans="2:4" ht="20.100000000000001">
      <c r="B56" s="49" t="s">
        <v>1876</v>
      </c>
      <c r="C56" s="50"/>
      <c r="D56" s="51" t="s">
        <v>1916</v>
      </c>
    </row>
    <row r="57" spans="2:4" ht="10.5">
      <c r="B57" s="49" t="s">
        <v>1878</v>
      </c>
      <c r="C57" s="50"/>
      <c r="D57" s="51" t="s">
        <v>1917</v>
      </c>
    </row>
    <row r="58" spans="2:4" ht="10.5">
      <c r="B58" s="49" t="s">
        <v>282</v>
      </c>
      <c r="C58" s="50"/>
      <c r="D58" s="51" t="s">
        <v>1918</v>
      </c>
    </row>
    <row r="59" spans="2:4" ht="10.5">
      <c r="B59" s="49" t="s">
        <v>281</v>
      </c>
      <c r="C59" s="50"/>
      <c r="D59" s="51" t="s">
        <v>1919</v>
      </c>
    </row>
    <row r="60" spans="2:4" ht="10.5">
      <c r="B60" s="49" t="s">
        <v>283</v>
      </c>
      <c r="C60" s="50"/>
      <c r="D60" s="51" t="s">
        <v>1893</v>
      </c>
    </row>
    <row r="61" spans="2:4" ht="120">
      <c r="B61" s="49" t="s">
        <v>340</v>
      </c>
      <c r="C61" s="50"/>
      <c r="D61" s="51" t="s">
        <v>1920</v>
      </c>
    </row>
    <row r="62" spans="2:4" ht="90">
      <c r="B62" s="49" t="s">
        <v>342</v>
      </c>
      <c r="C62" s="50"/>
      <c r="D62" s="52" t="s">
        <v>1921</v>
      </c>
    </row>
    <row r="63" spans="2:4" ht="150">
      <c r="B63" s="49" t="s">
        <v>344</v>
      </c>
      <c r="C63" s="50"/>
      <c r="D63" s="52" t="s">
        <v>1922</v>
      </c>
    </row>
    <row r="65" spans="2:4" ht="10.5">
      <c r="B65" s="46" t="s">
        <v>1923</v>
      </c>
      <c r="C65" s="47"/>
      <c r="D65" s="48"/>
    </row>
    <row r="66" spans="2:4" ht="30">
      <c r="B66" s="49" t="s">
        <v>91</v>
      </c>
      <c r="C66" s="50"/>
      <c r="D66" s="51" t="s">
        <v>1924</v>
      </c>
    </row>
    <row r="67" spans="2:4" ht="30">
      <c r="B67" s="49" t="s">
        <v>1874</v>
      </c>
      <c r="C67" s="50"/>
      <c r="D67" s="51" t="s">
        <v>1925</v>
      </c>
    </row>
    <row r="68" spans="2:4" ht="20.100000000000001">
      <c r="B68" s="49" t="s">
        <v>1876</v>
      </c>
      <c r="C68" s="50"/>
      <c r="D68" s="51" t="s">
        <v>1926</v>
      </c>
    </row>
    <row r="69" spans="2:4" ht="10.5">
      <c r="B69" s="49" t="s">
        <v>1878</v>
      </c>
      <c r="C69" s="50"/>
      <c r="D69" s="51" t="s">
        <v>1927</v>
      </c>
    </row>
    <row r="70" spans="2:4" ht="10.5">
      <c r="B70" s="49" t="s">
        <v>282</v>
      </c>
      <c r="C70" s="50"/>
      <c r="D70" s="51" t="s">
        <v>1928</v>
      </c>
    </row>
    <row r="71" spans="2:4" ht="10.5">
      <c r="B71" s="49" t="s">
        <v>281</v>
      </c>
      <c r="C71" s="50"/>
      <c r="D71" s="51" t="s">
        <v>1929</v>
      </c>
    </row>
    <row r="72" spans="2:4" ht="10.5">
      <c r="B72" s="49" t="s">
        <v>283</v>
      </c>
      <c r="C72" s="50"/>
      <c r="D72" s="51" t="s">
        <v>1912</v>
      </c>
    </row>
    <row r="73" spans="2:4" ht="120">
      <c r="B73" s="49" t="s">
        <v>340</v>
      </c>
      <c r="C73" s="50"/>
      <c r="D73" s="51" t="s">
        <v>1930</v>
      </c>
    </row>
    <row r="74" spans="2:4" ht="90">
      <c r="B74" s="49" t="s">
        <v>342</v>
      </c>
      <c r="C74" s="50"/>
      <c r="D74" s="52" t="s">
        <v>1931</v>
      </c>
    </row>
    <row r="75" spans="2:4" ht="150">
      <c r="B75" s="49" t="s">
        <v>344</v>
      </c>
      <c r="C75" s="50"/>
      <c r="D75" s="52" t="s">
        <v>1932</v>
      </c>
    </row>
    <row r="76" spans="2:4" ht="69.95">
      <c r="B76" s="49" t="s">
        <v>345</v>
      </c>
      <c r="C76" s="50"/>
      <c r="D76" s="52" t="s">
        <v>1933</v>
      </c>
    </row>
    <row r="78" spans="2:4" ht="10.5">
      <c r="B78" s="46" t="s">
        <v>1934</v>
      </c>
      <c r="C78" s="47"/>
      <c r="D78" s="48"/>
    </row>
    <row r="79" spans="2:4" ht="30">
      <c r="B79" s="49" t="s">
        <v>91</v>
      </c>
      <c r="C79" s="50"/>
      <c r="D79" s="51" t="s">
        <v>1935</v>
      </c>
    </row>
    <row r="80" spans="2:4" ht="10.5">
      <c r="B80" s="49" t="s">
        <v>1874</v>
      </c>
      <c r="C80" s="50"/>
      <c r="D80" s="51" t="s">
        <v>1936</v>
      </c>
    </row>
    <row r="81" spans="2:4" ht="10.5">
      <c r="B81" s="49" t="s">
        <v>1876</v>
      </c>
      <c r="C81" s="50"/>
      <c r="D81" s="51" t="s">
        <v>1937</v>
      </c>
    </row>
    <row r="82" spans="2:4" ht="10.5">
      <c r="B82" s="49" t="s">
        <v>1878</v>
      </c>
      <c r="C82" s="50"/>
      <c r="D82" s="51" t="s">
        <v>1938</v>
      </c>
    </row>
    <row r="83" spans="2:4" ht="10.5">
      <c r="B83" s="49" t="s">
        <v>282</v>
      </c>
      <c r="C83" s="50"/>
      <c r="D83" s="51" t="s">
        <v>1939</v>
      </c>
    </row>
    <row r="84" spans="2:4" ht="10.5">
      <c r="B84" s="49" t="s">
        <v>281</v>
      </c>
      <c r="C84" s="50"/>
      <c r="D84" s="51" t="s">
        <v>1940</v>
      </c>
    </row>
    <row r="85" spans="2:4" ht="10.5">
      <c r="B85" s="49" t="s">
        <v>283</v>
      </c>
      <c r="C85" s="50"/>
      <c r="D85" s="51" t="s">
        <v>1941</v>
      </c>
    </row>
    <row r="86" spans="2:4" ht="120">
      <c r="B86" s="49" t="s">
        <v>340</v>
      </c>
      <c r="C86" s="50"/>
      <c r="D86" s="51" t="s">
        <v>1942</v>
      </c>
    </row>
    <row r="87" spans="2:4" ht="90">
      <c r="B87" s="49" t="s">
        <v>342</v>
      </c>
      <c r="C87" s="50"/>
      <c r="D87" s="52" t="s">
        <v>1943</v>
      </c>
    </row>
    <row r="88" spans="2:4" ht="140.1">
      <c r="B88" s="49" t="s">
        <v>344</v>
      </c>
      <c r="C88" s="50"/>
      <c r="D88" s="52" t="s">
        <v>1944</v>
      </c>
    </row>
    <row r="90" spans="2:4" ht="10.5">
      <c r="B90" s="46" t="s">
        <v>1945</v>
      </c>
      <c r="C90" s="47"/>
      <c r="D90" s="48"/>
    </row>
    <row r="91" spans="2:4" ht="39.950000000000003">
      <c r="B91" s="49" t="s">
        <v>91</v>
      </c>
      <c r="C91" s="50"/>
      <c r="D91" s="51" t="s">
        <v>1946</v>
      </c>
    </row>
    <row r="92" spans="2:4" ht="10.5">
      <c r="B92" s="49" t="s">
        <v>1874</v>
      </c>
      <c r="C92" s="50"/>
      <c r="D92" s="51" t="s">
        <v>1947</v>
      </c>
    </row>
    <row r="93" spans="2:4" ht="10.5">
      <c r="B93" s="49" t="s">
        <v>1876</v>
      </c>
      <c r="C93" s="50"/>
      <c r="D93" s="51" t="s">
        <v>1948</v>
      </c>
    </row>
    <row r="94" spans="2:4" ht="10.5">
      <c r="B94" s="49" t="s">
        <v>1878</v>
      </c>
      <c r="C94" s="50"/>
      <c r="D94" s="51" t="s">
        <v>1949</v>
      </c>
    </row>
    <row r="95" spans="2:4" ht="10.5">
      <c r="B95" s="49" t="s">
        <v>282</v>
      </c>
      <c r="C95" s="50"/>
      <c r="D95" s="51" t="s">
        <v>1950</v>
      </c>
    </row>
    <row r="96" spans="2:4" ht="10.5">
      <c r="B96" s="49" t="s">
        <v>281</v>
      </c>
      <c r="C96" s="50"/>
      <c r="D96" s="51" t="s">
        <v>1951</v>
      </c>
    </row>
    <row r="97" spans="2:4" ht="10.5">
      <c r="B97" s="49" t="s">
        <v>283</v>
      </c>
      <c r="C97" s="50"/>
      <c r="D97" s="51" t="s">
        <v>1952</v>
      </c>
    </row>
    <row r="98" spans="2:4" ht="110.1">
      <c r="B98" s="49" t="s">
        <v>340</v>
      </c>
      <c r="C98" s="50"/>
      <c r="D98" s="51" t="s">
        <v>1953</v>
      </c>
    </row>
    <row r="99" spans="2:4" ht="80.099999999999994">
      <c r="B99" s="49" t="s">
        <v>342</v>
      </c>
      <c r="C99" s="50"/>
      <c r="D99" s="52" t="s">
        <v>1954</v>
      </c>
    </row>
    <row r="100" spans="2:4" ht="140.1">
      <c r="B100" s="49" t="s">
        <v>344</v>
      </c>
      <c r="C100" s="50"/>
      <c r="D100" s="52" t="s">
        <v>1955</v>
      </c>
    </row>
    <row r="102" spans="2:4" ht="10.5">
      <c r="B102" s="46" t="s">
        <v>1956</v>
      </c>
      <c r="C102" s="47"/>
      <c r="D102" s="48"/>
    </row>
    <row r="103" spans="2:4" ht="39.950000000000003">
      <c r="B103" s="49" t="s">
        <v>91</v>
      </c>
      <c r="C103" s="50"/>
      <c r="D103" s="51" t="s">
        <v>1957</v>
      </c>
    </row>
    <row r="104" spans="2:4" ht="10.5">
      <c r="B104" s="49" t="s">
        <v>1874</v>
      </c>
      <c r="C104" s="50"/>
      <c r="D104" s="51" t="s">
        <v>1958</v>
      </c>
    </row>
    <row r="105" spans="2:4" ht="20.100000000000001">
      <c r="B105" s="49" t="s">
        <v>1876</v>
      </c>
      <c r="C105" s="50"/>
      <c r="D105" s="51" t="s">
        <v>1959</v>
      </c>
    </row>
    <row r="106" spans="2:4" ht="10.5">
      <c r="B106" s="49" t="s">
        <v>1878</v>
      </c>
      <c r="C106" s="50"/>
      <c r="D106" s="51" t="s">
        <v>1960</v>
      </c>
    </row>
    <row r="107" spans="2:4" ht="10.5">
      <c r="B107" s="49" t="s">
        <v>282</v>
      </c>
      <c r="C107" s="50"/>
      <c r="D107" s="51" t="s">
        <v>1961</v>
      </c>
    </row>
    <row r="108" spans="2:4" ht="10.5">
      <c r="B108" s="49" t="s">
        <v>281</v>
      </c>
      <c r="C108" s="50"/>
      <c r="D108" s="51" t="s">
        <v>1962</v>
      </c>
    </row>
    <row r="109" spans="2:4" ht="10.5">
      <c r="B109" s="49" t="s">
        <v>283</v>
      </c>
      <c r="C109" s="50"/>
      <c r="D109" s="51" t="s">
        <v>1952</v>
      </c>
    </row>
    <row r="110" spans="2:4" ht="90">
      <c r="B110" s="49" t="s">
        <v>340</v>
      </c>
      <c r="C110" s="50"/>
      <c r="D110" s="51" t="s">
        <v>1963</v>
      </c>
    </row>
    <row r="111" spans="2:4" ht="80.099999999999994">
      <c r="B111" s="49" t="s">
        <v>342</v>
      </c>
      <c r="C111" s="50"/>
      <c r="D111" s="52" t="s">
        <v>1964</v>
      </c>
    </row>
    <row r="112" spans="2:4" ht="140.1">
      <c r="B112" s="49" t="s">
        <v>344</v>
      </c>
      <c r="C112" s="50"/>
      <c r="D112" s="52" t="s">
        <v>1965</v>
      </c>
    </row>
    <row r="114" spans="2:4" ht="10.5">
      <c r="B114" s="46" t="s">
        <v>1966</v>
      </c>
      <c r="C114" s="47"/>
      <c r="D114" s="48"/>
    </row>
    <row r="115" spans="2:4" ht="39.950000000000003">
      <c r="B115" s="49" t="s">
        <v>91</v>
      </c>
      <c r="C115" s="50"/>
      <c r="D115" s="51" t="s">
        <v>1967</v>
      </c>
    </row>
    <row r="116" spans="2:4" ht="20.100000000000001">
      <c r="B116" s="49" t="s">
        <v>1874</v>
      </c>
      <c r="C116" s="50"/>
      <c r="D116" s="51" t="s">
        <v>1968</v>
      </c>
    </row>
    <row r="117" spans="2:4" ht="10.5">
      <c r="B117" s="49" t="s">
        <v>1876</v>
      </c>
      <c r="C117" s="50"/>
      <c r="D117" s="51" t="s">
        <v>1969</v>
      </c>
    </row>
    <row r="118" spans="2:4" ht="10.5">
      <c r="B118" s="49" t="s">
        <v>1878</v>
      </c>
      <c r="C118" s="50"/>
      <c r="D118" s="51" t="s">
        <v>1970</v>
      </c>
    </row>
    <row r="119" spans="2:4" ht="10.5">
      <c r="B119" s="49" t="s">
        <v>282</v>
      </c>
      <c r="C119" s="50"/>
      <c r="D119" s="51" t="s">
        <v>1971</v>
      </c>
    </row>
    <row r="120" spans="2:4" ht="10.5">
      <c r="B120" s="49" t="s">
        <v>281</v>
      </c>
      <c r="C120" s="50"/>
      <c r="D120" s="51" t="s">
        <v>1893</v>
      </c>
    </row>
    <row r="121" spans="2:4" ht="10.5">
      <c r="B121" s="49" t="s">
        <v>283</v>
      </c>
      <c r="C121" s="50"/>
      <c r="D121" s="51" t="s">
        <v>1893</v>
      </c>
    </row>
    <row r="122" spans="2:4" ht="99.95">
      <c r="B122" s="49" t="s">
        <v>340</v>
      </c>
      <c r="C122" s="50"/>
      <c r="D122" s="51" t="s">
        <v>1972</v>
      </c>
    </row>
    <row r="123" spans="2:4" ht="90">
      <c r="B123" s="49" t="s">
        <v>342</v>
      </c>
      <c r="C123" s="50"/>
      <c r="D123" s="52" t="s">
        <v>1973</v>
      </c>
    </row>
    <row r="124" spans="2:4" ht="189.95">
      <c r="B124" s="49" t="s">
        <v>344</v>
      </c>
      <c r="C124" s="50"/>
      <c r="D124" s="52" t="s">
        <v>1974</v>
      </c>
    </row>
    <row r="125" spans="2:4" ht="69.95">
      <c r="B125" s="49" t="s">
        <v>345</v>
      </c>
      <c r="C125" s="50"/>
      <c r="D125" s="52" t="s">
        <v>1975</v>
      </c>
    </row>
    <row r="127" spans="2:4" ht="10.5">
      <c r="B127" s="46" t="s">
        <v>1976</v>
      </c>
      <c r="C127" s="47"/>
      <c r="D127" s="48"/>
    </row>
    <row r="128" spans="2:4" ht="20.100000000000001">
      <c r="B128" s="49" t="s">
        <v>91</v>
      </c>
      <c r="C128" s="50"/>
      <c r="D128" s="51" t="s">
        <v>1977</v>
      </c>
    </row>
    <row r="129" spans="2:4" ht="10.5">
      <c r="B129" s="49" t="s">
        <v>1874</v>
      </c>
      <c r="C129" s="50"/>
      <c r="D129" s="51" t="s">
        <v>1978</v>
      </c>
    </row>
    <row r="130" spans="2:4" ht="10.5">
      <c r="B130" s="49" t="s">
        <v>1876</v>
      </c>
      <c r="C130" s="50"/>
      <c r="D130" s="51" t="s">
        <v>1979</v>
      </c>
    </row>
    <row r="131" spans="2:4" ht="10.5">
      <c r="B131" s="49" t="s">
        <v>1878</v>
      </c>
      <c r="C131" s="50"/>
      <c r="D131" s="51" t="s">
        <v>1980</v>
      </c>
    </row>
    <row r="132" spans="2:4" ht="10.5">
      <c r="B132" s="49" t="s">
        <v>282</v>
      </c>
      <c r="C132" s="50"/>
      <c r="D132" s="51" t="s">
        <v>1893</v>
      </c>
    </row>
    <row r="133" spans="2:4" ht="10.5">
      <c r="B133" s="49" t="s">
        <v>281</v>
      </c>
      <c r="C133" s="50"/>
      <c r="D133" s="51" t="s">
        <v>1981</v>
      </c>
    </row>
    <row r="134" spans="2:4" ht="10.5">
      <c r="B134" s="49" t="s">
        <v>283</v>
      </c>
      <c r="C134" s="50"/>
      <c r="D134" s="51" t="s">
        <v>1893</v>
      </c>
    </row>
    <row r="135" spans="2:4" ht="110.1">
      <c r="B135" s="49" t="s">
        <v>340</v>
      </c>
      <c r="C135" s="50"/>
      <c r="D135" s="51" t="s">
        <v>1982</v>
      </c>
    </row>
    <row r="136" spans="2:4" ht="69.95">
      <c r="B136" s="49" t="s">
        <v>342</v>
      </c>
      <c r="C136" s="50"/>
      <c r="D136" s="52" t="s">
        <v>1983</v>
      </c>
    </row>
    <row r="137" spans="2:4" ht="189.95">
      <c r="B137" s="49" t="s">
        <v>344</v>
      </c>
      <c r="C137" s="50"/>
      <c r="D137" s="52" t="s">
        <v>1984</v>
      </c>
    </row>
    <row r="138" spans="2:4" ht="69.95">
      <c r="B138" s="49" t="s">
        <v>345</v>
      </c>
      <c r="C138" s="50"/>
      <c r="D138" s="52" t="s">
        <v>1985</v>
      </c>
    </row>
    <row r="140" spans="2:4" ht="10.5">
      <c r="B140" s="46" t="s">
        <v>1986</v>
      </c>
      <c r="C140" s="47"/>
      <c r="D140" s="48"/>
    </row>
    <row r="141" spans="2:4" ht="20.100000000000001">
      <c r="B141" s="49" t="s">
        <v>91</v>
      </c>
      <c r="C141" s="50"/>
      <c r="D141" s="51" t="s">
        <v>1987</v>
      </c>
    </row>
    <row r="142" spans="2:4" ht="20.100000000000001">
      <c r="B142" s="49" t="s">
        <v>1874</v>
      </c>
      <c r="C142" s="50"/>
      <c r="D142" s="51" t="s">
        <v>1988</v>
      </c>
    </row>
    <row r="143" spans="2:4" ht="10.5">
      <c r="B143" s="49" t="s">
        <v>1876</v>
      </c>
      <c r="C143" s="50"/>
      <c r="D143" s="51" t="s">
        <v>1989</v>
      </c>
    </row>
    <row r="144" spans="2:4" ht="10.5">
      <c r="B144" s="49" t="s">
        <v>1878</v>
      </c>
      <c r="C144" s="50"/>
      <c r="D144" s="51" t="s">
        <v>1990</v>
      </c>
    </row>
    <row r="145" spans="2:4" ht="10.5">
      <c r="B145" s="49" t="s">
        <v>282</v>
      </c>
      <c r="C145" s="50"/>
      <c r="D145" s="51" t="s">
        <v>1893</v>
      </c>
    </row>
    <row r="146" spans="2:4" ht="10.5">
      <c r="B146" s="49" t="s">
        <v>281</v>
      </c>
      <c r="C146" s="50"/>
      <c r="D146" s="51" t="s">
        <v>1991</v>
      </c>
    </row>
    <row r="147" spans="2:4" ht="10.5">
      <c r="B147" s="49" t="s">
        <v>283</v>
      </c>
      <c r="C147" s="50"/>
      <c r="D147" s="51" t="s">
        <v>1893</v>
      </c>
    </row>
    <row r="148" spans="2:4" ht="369.95">
      <c r="B148" s="49" t="s">
        <v>1992</v>
      </c>
      <c r="C148" s="50"/>
      <c r="D148" s="51" t="s">
        <v>1993</v>
      </c>
    </row>
    <row r="149" spans="2:4" ht="159.94999999999999">
      <c r="B149" s="49" t="s">
        <v>1298</v>
      </c>
      <c r="C149" s="50"/>
      <c r="D149" s="52" t="s">
        <v>1994</v>
      </c>
    </row>
    <row r="150" spans="2:4" ht="39.950000000000003">
      <c r="B150" s="49" t="s">
        <v>345</v>
      </c>
      <c r="C150" s="50"/>
      <c r="D150" s="52" t="s">
        <v>1995</v>
      </c>
    </row>
    <row r="152" spans="2:4" ht="10.5">
      <c r="B152" s="46" t="s">
        <v>1996</v>
      </c>
      <c r="C152" s="47"/>
      <c r="D152" s="48"/>
    </row>
    <row r="153" spans="2:4" ht="20.100000000000001">
      <c r="B153" s="49" t="s">
        <v>91</v>
      </c>
      <c r="C153" s="50"/>
      <c r="D153" s="51" t="s">
        <v>1997</v>
      </c>
    </row>
    <row r="154" spans="2:4" ht="10.5">
      <c r="B154" s="49" t="s">
        <v>1874</v>
      </c>
      <c r="C154" s="50"/>
      <c r="D154" s="51" t="s">
        <v>1998</v>
      </c>
    </row>
    <row r="155" spans="2:4" ht="10.5">
      <c r="B155" s="49" t="s">
        <v>1876</v>
      </c>
      <c r="C155" s="50"/>
      <c r="D155" s="51" t="s">
        <v>1999</v>
      </c>
    </row>
    <row r="156" spans="2:4" ht="20.100000000000001">
      <c r="B156" s="49" t="s">
        <v>1878</v>
      </c>
      <c r="C156" s="50"/>
      <c r="D156" s="51" t="s">
        <v>2000</v>
      </c>
    </row>
    <row r="157" spans="2:4" ht="10.5">
      <c r="B157" s="49" t="s">
        <v>282</v>
      </c>
      <c r="C157" s="50"/>
      <c r="D157" s="51" t="s">
        <v>2001</v>
      </c>
    </row>
    <row r="158" spans="2:4" ht="20.100000000000001">
      <c r="B158" s="49" t="s">
        <v>281</v>
      </c>
      <c r="C158" s="50"/>
      <c r="D158" s="51" t="s">
        <v>2002</v>
      </c>
    </row>
    <row r="159" spans="2:4" ht="10.5">
      <c r="B159" s="49" t="s">
        <v>283</v>
      </c>
      <c r="C159" s="50"/>
      <c r="D159" s="51" t="s">
        <v>1893</v>
      </c>
    </row>
    <row r="160" spans="2:4" ht="360">
      <c r="B160" s="49" t="s">
        <v>1992</v>
      </c>
      <c r="C160" s="50"/>
      <c r="D160" s="51" t="s">
        <v>2003</v>
      </c>
    </row>
    <row r="161" spans="2:4" ht="159.94999999999999">
      <c r="B161" s="49" t="s">
        <v>1298</v>
      </c>
      <c r="C161" s="50"/>
      <c r="D161" s="52" t="s">
        <v>2004</v>
      </c>
    </row>
    <row r="162" spans="2:4" ht="39.950000000000003">
      <c r="B162" s="49" t="s">
        <v>345</v>
      </c>
      <c r="C162" s="50"/>
      <c r="D162" s="52" t="s">
        <v>2005</v>
      </c>
    </row>
    <row r="164" spans="2:4" ht="10.5">
      <c r="B164" s="46" t="s">
        <v>2006</v>
      </c>
      <c r="C164" s="47"/>
      <c r="D164" s="48"/>
    </row>
    <row r="165" spans="2:4" ht="10.5">
      <c r="B165" s="49" t="s">
        <v>91</v>
      </c>
      <c r="C165" s="50"/>
      <c r="D165" s="51" t="s">
        <v>2007</v>
      </c>
    </row>
    <row r="166" spans="2:4" ht="10.5">
      <c r="B166" s="49" t="s">
        <v>1874</v>
      </c>
      <c r="C166" s="50"/>
      <c r="D166" s="51" t="s">
        <v>1893</v>
      </c>
    </row>
    <row r="167" spans="2:4" ht="10.5">
      <c r="B167" s="49" t="s">
        <v>1876</v>
      </c>
      <c r="C167" s="50"/>
      <c r="D167" s="51" t="s">
        <v>2008</v>
      </c>
    </row>
    <row r="168" spans="2:4" ht="20.100000000000001">
      <c r="B168" s="49" t="s">
        <v>1878</v>
      </c>
      <c r="C168" s="50"/>
      <c r="D168" s="51" t="s">
        <v>2009</v>
      </c>
    </row>
    <row r="169" spans="2:4" ht="10.5">
      <c r="B169" s="49" t="s">
        <v>282</v>
      </c>
      <c r="C169" s="50"/>
      <c r="D169" s="51" t="s">
        <v>2010</v>
      </c>
    </row>
    <row r="170" spans="2:4" ht="10.5">
      <c r="B170" s="49" t="s">
        <v>281</v>
      </c>
      <c r="C170" s="50"/>
      <c r="D170" s="51" t="s">
        <v>2011</v>
      </c>
    </row>
    <row r="171" spans="2:4" ht="20.100000000000001">
      <c r="B171" s="49" t="s">
        <v>283</v>
      </c>
      <c r="C171" s="50"/>
      <c r="D171" s="51" t="s">
        <v>2012</v>
      </c>
    </row>
    <row r="172" spans="2:4" ht="270">
      <c r="B172" s="49" t="s">
        <v>1992</v>
      </c>
      <c r="C172" s="50"/>
      <c r="D172" s="51" t="s">
        <v>2013</v>
      </c>
    </row>
    <row r="173" spans="2:4" ht="180">
      <c r="B173" s="49" t="s">
        <v>1298</v>
      </c>
      <c r="C173" s="50"/>
      <c r="D173" s="52" t="s">
        <v>2014</v>
      </c>
    </row>
    <row r="174" spans="2:4" ht="39.950000000000003">
      <c r="B174" s="49" t="s">
        <v>345</v>
      </c>
      <c r="C174" s="50"/>
      <c r="D174" s="52" t="s">
        <v>2015</v>
      </c>
    </row>
  </sheetData>
  <pageMargins left="0.5" right="0.5" top="0.5" bottom="0.5" header="0.3" footer="0.3"/>
  <pageSetup scale="79" fitToHeight="0" orientation="landscape" r:id="rId1"/>
  <headerFooter>
    <oddFooter>Page &amp;P of &amp;N</oddFooter>
  </headerFooter>
  <rowBreaks count="13" manualBreakCount="13">
    <brk id="16" min="1" max="3" man="1"/>
    <brk id="28" min="1" max="3" man="1"/>
    <brk id="40" min="1" max="3" man="1"/>
    <brk id="52" min="1" max="3" man="1"/>
    <brk id="64" min="1" max="3" man="1"/>
    <brk id="77" min="1" max="3" man="1"/>
    <brk id="89" min="1" max="3" man="1"/>
    <brk id="101" min="1" max="3" man="1"/>
    <brk id="113" min="1" max="3" man="1"/>
    <brk id="126" min="1" max="3" man="1"/>
    <brk id="139" min="1" max="3" man="1"/>
    <brk id="151" min="1" max="3" man="1"/>
    <brk id="163" min="1" max="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E46EE-66CE-49C4-A426-68A3C430AD63}">
  <dimension ref="A5:IV376"/>
  <sheetViews>
    <sheetView workbookViewId="0">
      <pane xSplit="1" ySplit="16" topLeftCell="ED234" activePane="bottomRight" state="frozen"/>
      <selection pane="bottomRight" activeCell="EO238" sqref="EO238"/>
      <selection pane="bottomLeft" activeCell="A17" sqref="A17"/>
      <selection pane="topRight" activeCell="B1" sqref="B1"/>
    </sheetView>
  </sheetViews>
  <sheetFormatPr defaultRowHeight="9.9499999999999993"/>
  <cols>
    <col min="1" max="1" width="56" style="100" customWidth="1"/>
    <col min="2" max="31" width="18.1640625" style="100" customWidth="1"/>
    <col min="32" max="32" width="8.83203125" style="100"/>
    <col min="33" max="33" width="56" style="100" customWidth="1"/>
    <col min="34" max="144" width="18.1640625" style="100" customWidth="1"/>
    <col min="145" max="256" width="8.83203125" style="100"/>
    <col min="257" max="257" width="56" style="100" customWidth="1"/>
    <col min="258" max="287" width="18.1640625" style="100" customWidth="1"/>
    <col min="288" max="512" width="8.83203125" style="100"/>
    <col min="513" max="513" width="56" style="100" customWidth="1"/>
    <col min="514" max="543" width="18.1640625" style="100" customWidth="1"/>
    <col min="544" max="768" width="8.83203125" style="100"/>
    <col min="769" max="769" width="56" style="100" customWidth="1"/>
    <col min="770" max="799" width="18.1640625" style="100" customWidth="1"/>
    <col min="800" max="1024" width="8.83203125" style="100"/>
    <col min="1025" max="1025" width="56" style="100" customWidth="1"/>
    <col min="1026" max="1055" width="18.1640625" style="100" customWidth="1"/>
    <col min="1056" max="1280" width="8.83203125" style="100"/>
    <col min="1281" max="1281" width="56" style="100" customWidth="1"/>
    <col min="1282" max="1311" width="18.1640625" style="100" customWidth="1"/>
    <col min="1312" max="1536" width="8.83203125" style="100"/>
    <col min="1537" max="1537" width="56" style="100" customWidth="1"/>
    <col min="1538" max="1567" width="18.1640625" style="100" customWidth="1"/>
    <col min="1568" max="1792" width="8.83203125" style="100"/>
    <col min="1793" max="1793" width="56" style="100" customWidth="1"/>
    <col min="1794" max="1823" width="18.1640625" style="100" customWidth="1"/>
    <col min="1824" max="2048" width="8.83203125" style="100"/>
    <col min="2049" max="2049" width="56" style="100" customWidth="1"/>
    <col min="2050" max="2079" width="18.1640625" style="100" customWidth="1"/>
    <col min="2080" max="2304" width="8.83203125" style="100"/>
    <col min="2305" max="2305" width="56" style="100" customWidth="1"/>
    <col min="2306" max="2335" width="18.1640625" style="100" customWidth="1"/>
    <col min="2336" max="2560" width="8.83203125" style="100"/>
    <col min="2561" max="2561" width="56" style="100" customWidth="1"/>
    <col min="2562" max="2591" width="18.1640625" style="100" customWidth="1"/>
    <col min="2592" max="2816" width="8.83203125" style="100"/>
    <col min="2817" max="2817" width="56" style="100" customWidth="1"/>
    <col min="2818" max="2847" width="18.1640625" style="100" customWidth="1"/>
    <col min="2848" max="3072" width="8.83203125" style="100"/>
    <col min="3073" max="3073" width="56" style="100" customWidth="1"/>
    <col min="3074" max="3103" width="18.1640625" style="100" customWidth="1"/>
    <col min="3104" max="3328" width="8.83203125" style="100"/>
    <col min="3329" max="3329" width="56" style="100" customWidth="1"/>
    <col min="3330" max="3359" width="18.1640625" style="100" customWidth="1"/>
    <col min="3360" max="3584" width="8.83203125" style="100"/>
    <col min="3585" max="3585" width="56" style="100" customWidth="1"/>
    <col min="3586" max="3615" width="18.1640625" style="100" customWidth="1"/>
    <col min="3616" max="3840" width="8.83203125" style="100"/>
    <col min="3841" max="3841" width="56" style="100" customWidth="1"/>
    <col min="3842" max="3871" width="18.1640625" style="100" customWidth="1"/>
    <col min="3872" max="4096" width="8.83203125" style="100"/>
    <col min="4097" max="4097" width="56" style="100" customWidth="1"/>
    <col min="4098" max="4127" width="18.1640625" style="100" customWidth="1"/>
    <col min="4128" max="4352" width="8.83203125" style="100"/>
    <col min="4353" max="4353" width="56" style="100" customWidth="1"/>
    <col min="4354" max="4383" width="18.1640625" style="100" customWidth="1"/>
    <col min="4384" max="4608" width="8.83203125" style="100"/>
    <col min="4609" max="4609" width="56" style="100" customWidth="1"/>
    <col min="4610" max="4639" width="18.1640625" style="100" customWidth="1"/>
    <col min="4640" max="4864" width="8.83203125" style="100"/>
    <col min="4865" max="4865" width="56" style="100" customWidth="1"/>
    <col min="4866" max="4895" width="18.1640625" style="100" customWidth="1"/>
    <col min="4896" max="5120" width="8.83203125" style="100"/>
    <col min="5121" max="5121" width="56" style="100" customWidth="1"/>
    <col min="5122" max="5151" width="18.1640625" style="100" customWidth="1"/>
    <col min="5152" max="5376" width="8.83203125" style="100"/>
    <col min="5377" max="5377" width="56" style="100" customWidth="1"/>
    <col min="5378" max="5407" width="18.1640625" style="100" customWidth="1"/>
    <col min="5408" max="5632" width="8.83203125" style="100"/>
    <col min="5633" max="5633" width="56" style="100" customWidth="1"/>
    <col min="5634" max="5663" width="18.1640625" style="100" customWidth="1"/>
    <col min="5664" max="5888" width="8.83203125" style="100"/>
    <col min="5889" max="5889" width="56" style="100" customWidth="1"/>
    <col min="5890" max="5919" width="18.1640625" style="100" customWidth="1"/>
    <col min="5920" max="6144" width="8.83203125" style="100"/>
    <col min="6145" max="6145" width="56" style="100" customWidth="1"/>
    <col min="6146" max="6175" width="18.1640625" style="100" customWidth="1"/>
    <col min="6176" max="6400" width="8.83203125" style="100"/>
    <col min="6401" max="6401" width="56" style="100" customWidth="1"/>
    <col min="6402" max="6431" width="18.1640625" style="100" customWidth="1"/>
    <col min="6432" max="6656" width="8.83203125" style="100"/>
    <col min="6657" max="6657" width="56" style="100" customWidth="1"/>
    <col min="6658" max="6687" width="18.1640625" style="100" customWidth="1"/>
    <col min="6688" max="6912" width="8.83203125" style="100"/>
    <col min="6913" max="6913" width="56" style="100" customWidth="1"/>
    <col min="6914" max="6943" width="18.1640625" style="100" customWidth="1"/>
    <col min="6944" max="7168" width="8.83203125" style="100"/>
    <col min="7169" max="7169" width="56" style="100" customWidth="1"/>
    <col min="7170" max="7199" width="18.1640625" style="100" customWidth="1"/>
    <col min="7200" max="7424" width="8.83203125" style="100"/>
    <col min="7425" max="7425" width="56" style="100" customWidth="1"/>
    <col min="7426" max="7455" width="18.1640625" style="100" customWidth="1"/>
    <col min="7456" max="7680" width="8.83203125" style="100"/>
    <col min="7681" max="7681" width="56" style="100" customWidth="1"/>
    <col min="7682" max="7711" width="18.1640625" style="100" customWidth="1"/>
    <col min="7712" max="7936" width="8.83203125" style="100"/>
    <col min="7937" max="7937" width="56" style="100" customWidth="1"/>
    <col min="7938" max="7967" width="18.1640625" style="100" customWidth="1"/>
    <col min="7968" max="8192" width="8.83203125" style="100"/>
    <col min="8193" max="8193" width="56" style="100" customWidth="1"/>
    <col min="8194" max="8223" width="18.1640625" style="100" customWidth="1"/>
    <col min="8224" max="8448" width="8.83203125" style="100"/>
    <col min="8449" max="8449" width="56" style="100" customWidth="1"/>
    <col min="8450" max="8479" width="18.1640625" style="100" customWidth="1"/>
    <col min="8480" max="8704" width="8.83203125" style="100"/>
    <col min="8705" max="8705" width="56" style="100" customWidth="1"/>
    <col min="8706" max="8735" width="18.1640625" style="100" customWidth="1"/>
    <col min="8736" max="8960" width="8.83203125" style="100"/>
    <col min="8961" max="8961" width="56" style="100" customWidth="1"/>
    <col min="8962" max="8991" width="18.1640625" style="100" customWidth="1"/>
    <col min="8992" max="9216" width="8.83203125" style="100"/>
    <col min="9217" max="9217" width="56" style="100" customWidth="1"/>
    <col min="9218" max="9247" width="18.1640625" style="100" customWidth="1"/>
    <col min="9248" max="9472" width="8.83203125" style="100"/>
    <col min="9473" max="9473" width="56" style="100" customWidth="1"/>
    <col min="9474" max="9503" width="18.1640625" style="100" customWidth="1"/>
    <col min="9504" max="9728" width="8.83203125" style="100"/>
    <col min="9729" max="9729" width="56" style="100" customWidth="1"/>
    <col min="9730" max="9759" width="18.1640625" style="100" customWidth="1"/>
    <col min="9760" max="9984" width="8.83203125" style="100"/>
    <col min="9985" max="9985" width="56" style="100" customWidth="1"/>
    <col min="9986" max="10015" width="18.1640625" style="100" customWidth="1"/>
    <col min="10016" max="10240" width="8.83203125" style="100"/>
    <col min="10241" max="10241" width="56" style="100" customWidth="1"/>
    <col min="10242" max="10271" width="18.1640625" style="100" customWidth="1"/>
    <col min="10272" max="10496" width="8.83203125" style="100"/>
    <col min="10497" max="10497" width="56" style="100" customWidth="1"/>
    <col min="10498" max="10527" width="18.1640625" style="100" customWidth="1"/>
    <col min="10528" max="10752" width="8.83203125" style="100"/>
    <col min="10753" max="10753" width="56" style="100" customWidth="1"/>
    <col min="10754" max="10783" width="18.1640625" style="100" customWidth="1"/>
    <col min="10784" max="11008" width="8.83203125" style="100"/>
    <col min="11009" max="11009" width="56" style="100" customWidth="1"/>
    <col min="11010" max="11039" width="18.1640625" style="100" customWidth="1"/>
    <col min="11040" max="11264" width="8.83203125" style="100"/>
    <col min="11265" max="11265" width="56" style="100" customWidth="1"/>
    <col min="11266" max="11295" width="18.1640625" style="100" customWidth="1"/>
    <col min="11296" max="11520" width="8.83203125" style="100"/>
    <col min="11521" max="11521" width="56" style="100" customWidth="1"/>
    <col min="11522" max="11551" width="18.1640625" style="100" customWidth="1"/>
    <col min="11552" max="11776" width="8.83203125" style="100"/>
    <col min="11777" max="11777" width="56" style="100" customWidth="1"/>
    <col min="11778" max="11807" width="18.1640625" style="100" customWidth="1"/>
    <col min="11808" max="12032" width="8.83203125" style="100"/>
    <col min="12033" max="12033" width="56" style="100" customWidth="1"/>
    <col min="12034" max="12063" width="18.1640625" style="100" customWidth="1"/>
    <col min="12064" max="12288" width="8.83203125" style="100"/>
    <col min="12289" max="12289" width="56" style="100" customWidth="1"/>
    <col min="12290" max="12319" width="18.1640625" style="100" customWidth="1"/>
    <col min="12320" max="12544" width="8.83203125" style="100"/>
    <col min="12545" max="12545" width="56" style="100" customWidth="1"/>
    <col min="12546" max="12575" width="18.1640625" style="100" customWidth="1"/>
    <col min="12576" max="12800" width="8.83203125" style="100"/>
    <col min="12801" max="12801" width="56" style="100" customWidth="1"/>
    <col min="12802" max="12831" width="18.1640625" style="100" customWidth="1"/>
    <col min="12832" max="13056" width="8.83203125" style="100"/>
    <col min="13057" max="13057" width="56" style="100" customWidth="1"/>
    <col min="13058" max="13087" width="18.1640625" style="100" customWidth="1"/>
    <col min="13088" max="13312" width="8.83203125" style="100"/>
    <col min="13313" max="13313" width="56" style="100" customWidth="1"/>
    <col min="13314" max="13343" width="18.1640625" style="100" customWidth="1"/>
    <col min="13344" max="13568" width="8.83203125" style="100"/>
    <col min="13569" max="13569" width="56" style="100" customWidth="1"/>
    <col min="13570" max="13599" width="18.1640625" style="100" customWidth="1"/>
    <col min="13600" max="13824" width="8.83203125" style="100"/>
    <col min="13825" max="13825" width="56" style="100" customWidth="1"/>
    <col min="13826" max="13855" width="18.1640625" style="100" customWidth="1"/>
    <col min="13856" max="14080" width="8.83203125" style="100"/>
    <col min="14081" max="14081" width="56" style="100" customWidth="1"/>
    <col min="14082" max="14111" width="18.1640625" style="100" customWidth="1"/>
    <col min="14112" max="14336" width="8.83203125" style="100"/>
    <col min="14337" max="14337" width="56" style="100" customWidth="1"/>
    <col min="14338" max="14367" width="18.1640625" style="100" customWidth="1"/>
    <col min="14368" max="14592" width="8.83203125" style="100"/>
    <col min="14593" max="14593" width="56" style="100" customWidth="1"/>
    <col min="14594" max="14623" width="18.1640625" style="100" customWidth="1"/>
    <col min="14624" max="14848" width="8.83203125" style="100"/>
    <col min="14849" max="14849" width="56" style="100" customWidth="1"/>
    <col min="14850" max="14879" width="18.1640625" style="100" customWidth="1"/>
    <col min="14880" max="15104" width="8.83203125" style="100"/>
    <col min="15105" max="15105" width="56" style="100" customWidth="1"/>
    <col min="15106" max="15135" width="18.1640625" style="100" customWidth="1"/>
    <col min="15136" max="15360" width="8.83203125" style="100"/>
    <col min="15361" max="15361" width="56" style="100" customWidth="1"/>
    <col min="15362" max="15391" width="18.1640625" style="100" customWidth="1"/>
    <col min="15392" max="15616" width="8.83203125" style="100"/>
    <col min="15617" max="15617" width="56" style="100" customWidth="1"/>
    <col min="15618" max="15647" width="18.1640625" style="100" customWidth="1"/>
    <col min="15648" max="15872" width="8.83203125" style="100"/>
    <col min="15873" max="15873" width="56" style="100" customWidth="1"/>
    <col min="15874" max="15903" width="18.1640625" style="100" customWidth="1"/>
    <col min="15904" max="16128" width="8.83203125" style="100"/>
    <col min="16129" max="16129" width="56" style="100" customWidth="1"/>
    <col min="16130" max="16159" width="18.1640625" style="100" customWidth="1"/>
    <col min="16160" max="16384" width="8.83203125" style="100"/>
  </cols>
  <sheetData>
    <row r="5" spans="1:255" ht="17.100000000000001">
      <c r="A5" s="99"/>
      <c r="AG5" s="99"/>
    </row>
    <row r="7" spans="1:255" ht="10.5">
      <c r="A7" s="101"/>
      <c r="B7" s="102"/>
      <c r="D7" s="103"/>
      <c r="E7" s="102"/>
      <c r="AG7" s="101"/>
      <c r="AH7" s="102"/>
      <c r="AJ7" s="103"/>
      <c r="AK7" s="102"/>
    </row>
    <row r="8" spans="1:255" ht="10.5">
      <c r="A8" s="103"/>
      <c r="B8" s="102"/>
      <c r="D8" s="103"/>
      <c r="E8" s="102"/>
      <c r="AG8" s="103"/>
      <c r="AH8" s="102"/>
      <c r="AJ8" s="103"/>
      <c r="AK8" s="102"/>
    </row>
    <row r="9" spans="1:255" ht="10.5">
      <c r="A9" s="103"/>
      <c r="B9" s="102"/>
      <c r="D9" s="103"/>
      <c r="E9" s="102"/>
      <c r="AG9" s="103"/>
      <c r="AH9" s="102"/>
      <c r="AJ9" s="103"/>
      <c r="AK9" s="102"/>
    </row>
    <row r="10" spans="1:255" ht="10.5">
      <c r="A10" s="103"/>
      <c r="B10" s="102"/>
      <c r="D10" s="103"/>
      <c r="E10" s="102"/>
      <c r="F10" s="104"/>
      <c r="AG10" s="103"/>
      <c r="AH10" s="102"/>
      <c r="AJ10" s="103"/>
      <c r="AK10" s="102"/>
      <c r="AL10" s="104"/>
    </row>
    <row r="11" spans="1:255" ht="10.5">
      <c r="A11" s="103"/>
      <c r="B11" s="102"/>
      <c r="D11" s="103"/>
      <c r="E11" s="105"/>
      <c r="F11" s="105"/>
      <c r="AG11" s="103"/>
      <c r="AH11" s="102"/>
      <c r="AJ11" s="103"/>
      <c r="AK11" s="105"/>
      <c r="AL11" s="105"/>
    </row>
    <row r="14" spans="1:255">
      <c r="A14" s="106" t="s">
        <v>544</v>
      </c>
      <c r="B14" s="106"/>
      <c r="C14" s="106"/>
      <c r="D14" s="106"/>
      <c r="E14" s="106"/>
      <c r="F14" s="106"/>
      <c r="G14" s="106"/>
      <c r="H14" s="106"/>
      <c r="I14" s="106"/>
      <c r="J14" s="106"/>
      <c r="K14" s="106"/>
      <c r="L14" s="106"/>
      <c r="M14" s="106"/>
      <c r="N14" s="106"/>
      <c r="O14" s="106"/>
      <c r="P14" s="106"/>
      <c r="Q14" s="106"/>
      <c r="R14" s="106"/>
      <c r="S14" s="106"/>
      <c r="T14" s="106"/>
      <c r="U14" s="106"/>
      <c r="V14" s="106"/>
      <c r="W14" s="106"/>
      <c r="X14" s="106"/>
      <c r="Y14" s="106"/>
      <c r="Z14" s="106"/>
      <c r="AA14" s="106"/>
      <c r="AB14" s="106"/>
      <c r="AC14" s="106"/>
      <c r="AD14" s="106"/>
      <c r="AE14" s="106"/>
      <c r="AF14" s="107"/>
      <c r="AG14" s="106" t="s">
        <v>544</v>
      </c>
      <c r="AH14" s="106"/>
      <c r="AI14" s="106"/>
      <c r="AJ14" s="106"/>
      <c r="AK14" s="106"/>
      <c r="AL14" s="106"/>
      <c r="AM14" s="106"/>
      <c r="AN14" s="106"/>
      <c r="AO14" s="106"/>
      <c r="AP14" s="106"/>
      <c r="AQ14" s="106"/>
      <c r="AR14" s="106"/>
      <c r="AS14" s="106"/>
      <c r="AT14" s="106"/>
      <c r="AU14" s="106"/>
      <c r="AV14" s="106"/>
      <c r="AW14" s="106"/>
      <c r="AX14" s="106"/>
      <c r="AY14" s="106"/>
      <c r="AZ14" s="106"/>
      <c r="BA14" s="106"/>
      <c r="BB14" s="106"/>
      <c r="BC14" s="106"/>
      <c r="BD14" s="106"/>
      <c r="BE14" s="106"/>
      <c r="BF14" s="106"/>
      <c r="BG14" s="106"/>
      <c r="BH14" s="106"/>
      <c r="BI14" s="106"/>
      <c r="BJ14" s="106"/>
      <c r="BK14" s="106"/>
      <c r="BL14" s="106"/>
      <c r="BM14" s="106"/>
      <c r="BN14" s="106"/>
      <c r="BO14" s="106"/>
      <c r="BP14" s="106"/>
      <c r="BQ14" s="106"/>
      <c r="BR14" s="106"/>
      <c r="BS14" s="106"/>
      <c r="BT14" s="106"/>
      <c r="BU14" s="106"/>
      <c r="BV14" s="106"/>
      <c r="BW14" s="106"/>
      <c r="BX14" s="106"/>
      <c r="BY14" s="106"/>
      <c r="BZ14" s="106"/>
      <c r="CA14" s="106"/>
      <c r="CB14" s="106"/>
      <c r="CC14" s="106"/>
      <c r="CD14" s="106"/>
      <c r="CE14" s="106"/>
      <c r="CF14" s="106"/>
      <c r="CG14" s="106"/>
      <c r="CH14" s="106"/>
      <c r="CI14" s="106"/>
      <c r="CJ14" s="106"/>
      <c r="CK14" s="106"/>
      <c r="CL14" s="106"/>
      <c r="CM14" s="106"/>
      <c r="CN14" s="106"/>
      <c r="CO14" s="106"/>
      <c r="CP14" s="106"/>
      <c r="CQ14" s="106"/>
      <c r="CR14" s="106"/>
      <c r="CS14" s="106"/>
      <c r="CT14" s="106"/>
      <c r="CU14" s="106"/>
      <c r="CV14" s="106"/>
      <c r="CW14" s="106"/>
      <c r="CX14" s="106"/>
      <c r="CY14" s="106"/>
      <c r="CZ14" s="106"/>
      <c r="DA14" s="106"/>
      <c r="DB14" s="106"/>
      <c r="DC14" s="106"/>
      <c r="DD14" s="106"/>
      <c r="DE14" s="106"/>
      <c r="DF14" s="106"/>
      <c r="DG14" s="106"/>
      <c r="DH14" s="106"/>
      <c r="DI14" s="106"/>
      <c r="DJ14" s="106"/>
      <c r="DK14" s="106"/>
      <c r="DL14" s="106"/>
      <c r="DM14" s="106"/>
      <c r="DN14" s="106"/>
      <c r="DO14" s="106"/>
      <c r="DP14" s="106"/>
      <c r="DQ14" s="106"/>
      <c r="DR14" s="106"/>
      <c r="DS14" s="106"/>
      <c r="DT14" s="106"/>
      <c r="DU14" s="106"/>
      <c r="DV14" s="106"/>
      <c r="DW14" s="106"/>
      <c r="DX14" s="106"/>
      <c r="DY14" s="106"/>
      <c r="DZ14" s="106"/>
      <c r="EA14" s="106"/>
      <c r="EB14" s="106"/>
      <c r="EC14" s="106"/>
      <c r="ED14" s="106"/>
      <c r="EE14" s="106"/>
      <c r="EF14" s="106"/>
      <c r="EG14" s="106"/>
      <c r="EH14" s="106"/>
      <c r="EI14" s="106"/>
      <c r="EJ14" s="106"/>
      <c r="EK14" s="106"/>
      <c r="EL14" s="106"/>
      <c r="EM14" s="106"/>
      <c r="EN14" s="106"/>
      <c r="EO14" s="107"/>
      <c r="EP14" s="107"/>
      <c r="EQ14" s="107"/>
      <c r="ER14" s="107"/>
      <c r="ES14" s="107"/>
      <c r="ET14" s="107"/>
      <c r="EU14" s="107"/>
      <c r="EV14" s="107"/>
      <c r="EW14" s="107"/>
      <c r="EX14" s="107"/>
      <c r="EY14" s="107"/>
      <c r="EZ14" s="107"/>
      <c r="FA14" s="107"/>
      <c r="FB14" s="107"/>
      <c r="FC14" s="107"/>
      <c r="FD14" s="107"/>
      <c r="FE14" s="107"/>
      <c r="FF14" s="107"/>
      <c r="FG14" s="107"/>
      <c r="FH14" s="107"/>
      <c r="FI14" s="107"/>
      <c r="FJ14" s="107"/>
      <c r="FK14" s="107"/>
      <c r="FL14" s="107"/>
      <c r="FM14" s="107"/>
      <c r="FN14" s="107"/>
      <c r="FO14" s="107"/>
      <c r="FP14" s="107"/>
      <c r="FQ14" s="107"/>
      <c r="FR14" s="107"/>
      <c r="FS14" s="107"/>
      <c r="FT14" s="107"/>
      <c r="FU14" s="107"/>
      <c r="FV14" s="107"/>
      <c r="FW14" s="107"/>
      <c r="FX14" s="107"/>
      <c r="FY14" s="107"/>
      <c r="FZ14" s="107"/>
      <c r="GA14" s="107"/>
      <c r="GB14" s="107"/>
      <c r="GC14" s="107"/>
      <c r="GD14" s="107"/>
      <c r="GE14" s="107"/>
      <c r="GF14" s="107"/>
      <c r="GG14" s="107"/>
      <c r="GH14" s="107"/>
      <c r="GI14" s="107"/>
      <c r="GJ14" s="107"/>
      <c r="GK14" s="107"/>
      <c r="GL14" s="107"/>
      <c r="GM14" s="107"/>
      <c r="GN14" s="107"/>
      <c r="GO14" s="107"/>
      <c r="GP14" s="107"/>
      <c r="GQ14" s="107"/>
      <c r="GR14" s="107"/>
      <c r="GS14" s="107"/>
      <c r="GT14" s="107"/>
      <c r="GU14" s="107"/>
      <c r="GV14" s="107"/>
      <c r="GW14" s="107"/>
      <c r="GX14" s="107"/>
      <c r="GY14" s="107"/>
      <c r="GZ14" s="107"/>
      <c r="HA14" s="107"/>
      <c r="HB14" s="107"/>
      <c r="HC14" s="107"/>
      <c r="HD14" s="107"/>
      <c r="HE14" s="107"/>
      <c r="HF14" s="107"/>
      <c r="HG14" s="107"/>
      <c r="HH14" s="107"/>
      <c r="HI14" s="107"/>
      <c r="HJ14" s="107"/>
      <c r="HK14" s="107"/>
      <c r="HL14" s="107"/>
      <c r="HM14" s="107"/>
      <c r="HN14" s="107"/>
      <c r="HO14" s="107"/>
      <c r="HP14" s="107"/>
      <c r="HQ14" s="107"/>
      <c r="HR14" s="107"/>
      <c r="HS14" s="107"/>
      <c r="HT14" s="107"/>
      <c r="HU14" s="107"/>
      <c r="HV14" s="107"/>
      <c r="HW14" s="107"/>
      <c r="HX14" s="107"/>
      <c r="HY14" s="107"/>
      <c r="HZ14" s="107"/>
      <c r="IA14" s="107"/>
      <c r="IB14" s="107"/>
      <c r="IC14" s="107"/>
      <c r="ID14" s="107"/>
      <c r="IE14" s="107"/>
      <c r="IF14" s="107"/>
      <c r="IG14" s="107"/>
      <c r="IH14" s="107"/>
      <c r="II14" s="107"/>
      <c r="IJ14" s="107"/>
      <c r="IK14" s="107"/>
      <c r="IL14" s="107"/>
      <c r="IM14" s="107"/>
      <c r="IN14" s="107"/>
      <c r="IO14" s="107"/>
      <c r="IP14" s="107"/>
      <c r="IQ14" s="107"/>
      <c r="IR14" s="107"/>
      <c r="IS14" s="107"/>
      <c r="IT14" s="107"/>
      <c r="IU14" s="107"/>
    </row>
    <row r="15" spans="1:255" ht="42">
      <c r="A15" s="108" t="s">
        <v>2016</v>
      </c>
      <c r="B15" s="109" t="s">
        <v>2017</v>
      </c>
      <c r="C15" s="109" t="s">
        <v>2018</v>
      </c>
      <c r="D15" s="109" t="s">
        <v>2019</v>
      </c>
      <c r="E15" s="109" t="s">
        <v>2020</v>
      </c>
      <c r="F15" s="109" t="s">
        <v>2021</v>
      </c>
      <c r="G15" s="109" t="s">
        <v>2022</v>
      </c>
      <c r="H15" s="109" t="s">
        <v>2023</v>
      </c>
      <c r="I15" s="109" t="s">
        <v>2024</v>
      </c>
      <c r="J15" s="109" t="s">
        <v>2025</v>
      </c>
      <c r="K15" s="109" t="s">
        <v>2026</v>
      </c>
      <c r="L15" s="109" t="s">
        <v>2027</v>
      </c>
      <c r="M15" s="109" t="s">
        <v>2028</v>
      </c>
      <c r="N15" s="109" t="s">
        <v>2029</v>
      </c>
      <c r="O15" s="109" t="s">
        <v>2030</v>
      </c>
      <c r="P15" s="109" t="s">
        <v>2031</v>
      </c>
      <c r="Q15" s="109" t="s">
        <v>2032</v>
      </c>
      <c r="R15" s="109" t="s">
        <v>2033</v>
      </c>
      <c r="S15" s="109" t="s">
        <v>2034</v>
      </c>
      <c r="T15" s="109" t="s">
        <v>2035</v>
      </c>
      <c r="U15" s="109" t="s">
        <v>2036</v>
      </c>
      <c r="V15" s="109" t="s">
        <v>2037</v>
      </c>
      <c r="W15" s="109" t="s">
        <v>2038</v>
      </c>
      <c r="X15" s="109" t="s">
        <v>2039</v>
      </c>
      <c r="Y15" s="109" t="s">
        <v>2040</v>
      </c>
      <c r="Z15" s="109" t="s">
        <v>2041</v>
      </c>
      <c r="AA15" s="109" t="s">
        <v>2042</v>
      </c>
      <c r="AB15" s="109" t="s">
        <v>2043</v>
      </c>
      <c r="AC15" s="109" t="s">
        <v>2044</v>
      </c>
      <c r="AD15" s="109" t="s">
        <v>2045</v>
      </c>
      <c r="AE15" s="109" t="s">
        <v>2046</v>
      </c>
      <c r="AG15" s="108" t="s">
        <v>2016</v>
      </c>
      <c r="AH15" s="109" t="s">
        <v>2047</v>
      </c>
      <c r="AI15" s="109" t="s">
        <v>2048</v>
      </c>
      <c r="AJ15" s="109" t="s">
        <v>2049</v>
      </c>
      <c r="AK15" s="109" t="s">
        <v>2050</v>
      </c>
      <c r="AL15" s="109" t="s">
        <v>2051</v>
      </c>
      <c r="AM15" s="109" t="s">
        <v>2052</v>
      </c>
      <c r="AN15" s="109" t="s">
        <v>2053</v>
      </c>
      <c r="AO15" s="109" t="s">
        <v>2054</v>
      </c>
      <c r="AP15" s="109" t="s">
        <v>2055</v>
      </c>
      <c r="AQ15" s="109" t="s">
        <v>2056</v>
      </c>
      <c r="AR15" s="109" t="s">
        <v>2057</v>
      </c>
      <c r="AS15" s="109" t="s">
        <v>2058</v>
      </c>
      <c r="AT15" s="109" t="s">
        <v>2059</v>
      </c>
      <c r="AU15" s="109" t="s">
        <v>2060</v>
      </c>
      <c r="AV15" s="109" t="s">
        <v>2061</v>
      </c>
      <c r="AW15" s="109" t="s">
        <v>2062</v>
      </c>
      <c r="AX15" s="109" t="s">
        <v>2063</v>
      </c>
      <c r="AY15" s="109" t="s">
        <v>2064</v>
      </c>
      <c r="AZ15" s="109" t="s">
        <v>2065</v>
      </c>
      <c r="BA15" s="109" t="s">
        <v>2066</v>
      </c>
      <c r="BB15" s="109" t="s">
        <v>2067</v>
      </c>
      <c r="BC15" s="109" t="s">
        <v>2068</v>
      </c>
      <c r="BD15" s="109" t="s">
        <v>2069</v>
      </c>
      <c r="BE15" s="109" t="s">
        <v>2070</v>
      </c>
      <c r="BF15" s="109" t="s">
        <v>2071</v>
      </c>
      <c r="BG15" s="109" t="s">
        <v>2072</v>
      </c>
      <c r="BH15" s="109" t="s">
        <v>2073</v>
      </c>
      <c r="BI15" s="109" t="s">
        <v>2074</v>
      </c>
      <c r="BJ15" s="109" t="s">
        <v>2075</v>
      </c>
      <c r="BK15" s="109" t="s">
        <v>2076</v>
      </c>
      <c r="BL15" s="109" t="s">
        <v>2077</v>
      </c>
      <c r="BM15" s="109" t="s">
        <v>2078</v>
      </c>
      <c r="BN15" s="109" t="s">
        <v>2079</v>
      </c>
      <c r="BO15" s="109" t="s">
        <v>2080</v>
      </c>
      <c r="BP15" s="109" t="s">
        <v>2081</v>
      </c>
      <c r="BQ15" s="109" t="s">
        <v>2082</v>
      </c>
      <c r="BR15" s="109" t="s">
        <v>2083</v>
      </c>
      <c r="BS15" s="109" t="s">
        <v>2084</v>
      </c>
      <c r="BT15" s="109" t="s">
        <v>2085</v>
      </c>
      <c r="BU15" s="109" t="s">
        <v>2086</v>
      </c>
      <c r="BV15" s="109" t="s">
        <v>2087</v>
      </c>
      <c r="BW15" s="109" t="s">
        <v>2088</v>
      </c>
      <c r="BX15" s="109" t="s">
        <v>2089</v>
      </c>
      <c r="BY15" s="109" t="s">
        <v>2090</v>
      </c>
      <c r="BZ15" s="109" t="s">
        <v>2091</v>
      </c>
      <c r="CA15" s="109" t="s">
        <v>2092</v>
      </c>
      <c r="CB15" s="109" t="s">
        <v>2093</v>
      </c>
      <c r="CC15" s="109" t="s">
        <v>2094</v>
      </c>
      <c r="CD15" s="109" t="s">
        <v>2095</v>
      </c>
      <c r="CE15" s="109" t="s">
        <v>2096</v>
      </c>
      <c r="CF15" s="109" t="s">
        <v>2097</v>
      </c>
      <c r="CG15" s="109" t="s">
        <v>2098</v>
      </c>
      <c r="CH15" s="109" t="s">
        <v>2099</v>
      </c>
      <c r="CI15" s="109" t="s">
        <v>2100</v>
      </c>
      <c r="CJ15" s="109" t="s">
        <v>2101</v>
      </c>
      <c r="CK15" s="109" t="s">
        <v>2102</v>
      </c>
      <c r="CL15" s="109" t="s">
        <v>2103</v>
      </c>
      <c r="CM15" s="109" t="s">
        <v>2104</v>
      </c>
      <c r="CN15" s="109" t="s">
        <v>2105</v>
      </c>
      <c r="CO15" s="109" t="s">
        <v>2106</v>
      </c>
      <c r="CP15" s="109" t="s">
        <v>2107</v>
      </c>
      <c r="CQ15" s="109" t="s">
        <v>2108</v>
      </c>
      <c r="CR15" s="109" t="s">
        <v>2109</v>
      </c>
      <c r="CS15" s="109" t="s">
        <v>2110</v>
      </c>
      <c r="CT15" s="109" t="s">
        <v>2111</v>
      </c>
      <c r="CU15" s="109" t="s">
        <v>2112</v>
      </c>
      <c r="CV15" s="109" t="s">
        <v>2113</v>
      </c>
      <c r="CW15" s="109" t="s">
        <v>2114</v>
      </c>
      <c r="CX15" s="109" t="s">
        <v>2115</v>
      </c>
      <c r="CY15" s="109" t="s">
        <v>2116</v>
      </c>
      <c r="CZ15" s="109" t="s">
        <v>2117</v>
      </c>
      <c r="DA15" s="109" t="s">
        <v>2118</v>
      </c>
      <c r="DB15" s="109" t="s">
        <v>2119</v>
      </c>
      <c r="DC15" s="109" t="s">
        <v>2120</v>
      </c>
      <c r="DD15" s="109" t="s">
        <v>2121</v>
      </c>
      <c r="DE15" s="109" t="s">
        <v>2122</v>
      </c>
      <c r="DF15" s="109" t="s">
        <v>2123</v>
      </c>
      <c r="DG15" s="109" t="s">
        <v>2124</v>
      </c>
      <c r="DH15" s="109" t="s">
        <v>2125</v>
      </c>
      <c r="DI15" s="109" t="s">
        <v>2126</v>
      </c>
      <c r="DJ15" s="109" t="s">
        <v>2127</v>
      </c>
      <c r="DK15" s="109" t="s">
        <v>2128</v>
      </c>
      <c r="DL15" s="109" t="s">
        <v>2129</v>
      </c>
      <c r="DM15" s="109" t="s">
        <v>2130</v>
      </c>
      <c r="DN15" s="109" t="s">
        <v>2131</v>
      </c>
      <c r="DO15" s="109" t="s">
        <v>2132</v>
      </c>
      <c r="DP15" s="109" t="s">
        <v>2133</v>
      </c>
      <c r="DQ15" s="109" t="s">
        <v>2134</v>
      </c>
      <c r="DR15" s="109" t="s">
        <v>2135</v>
      </c>
      <c r="DS15" s="109" t="s">
        <v>2136</v>
      </c>
      <c r="DT15" s="109" t="s">
        <v>2137</v>
      </c>
      <c r="DU15" s="109" t="s">
        <v>2138</v>
      </c>
      <c r="DV15" s="109" t="s">
        <v>2139</v>
      </c>
      <c r="DW15" s="109" t="s">
        <v>2140</v>
      </c>
      <c r="DX15" s="109" t="s">
        <v>2141</v>
      </c>
      <c r="DY15" s="109" t="s">
        <v>2142</v>
      </c>
      <c r="DZ15" s="109" t="s">
        <v>2143</v>
      </c>
      <c r="EA15" s="109" t="s">
        <v>2144</v>
      </c>
      <c r="EB15" s="109" t="s">
        <v>2145</v>
      </c>
      <c r="EC15" s="109" t="s">
        <v>2146</v>
      </c>
      <c r="ED15" s="109" t="s">
        <v>2147</v>
      </c>
      <c r="EE15" s="109" t="s">
        <v>2148</v>
      </c>
      <c r="EF15" s="109" t="s">
        <v>2149</v>
      </c>
      <c r="EG15" s="109" t="s">
        <v>2150</v>
      </c>
      <c r="EH15" s="109" t="s">
        <v>2151</v>
      </c>
      <c r="EI15" s="109" t="s">
        <v>2152</v>
      </c>
      <c r="EJ15" s="109" t="s">
        <v>2153</v>
      </c>
      <c r="EK15" s="109" t="s">
        <v>2154</v>
      </c>
      <c r="EL15" s="109" t="s">
        <v>2155</v>
      </c>
      <c r="EM15" s="109" t="s">
        <v>2156</v>
      </c>
      <c r="EN15" s="109" t="s">
        <v>2157</v>
      </c>
    </row>
    <row r="16" spans="1:255">
      <c r="A16" s="110" t="s">
        <v>2158</v>
      </c>
      <c r="B16" s="111" t="s">
        <v>673</v>
      </c>
      <c r="C16" s="111" t="s">
        <v>673</v>
      </c>
      <c r="D16" s="111" t="s">
        <v>673</v>
      </c>
      <c r="E16" s="111" t="s">
        <v>673</v>
      </c>
      <c r="F16" s="111" t="s">
        <v>673</v>
      </c>
      <c r="G16" s="111" t="s">
        <v>673</v>
      </c>
      <c r="H16" s="111" t="s">
        <v>673</v>
      </c>
      <c r="I16" s="111" t="s">
        <v>673</v>
      </c>
      <c r="J16" s="111" t="s">
        <v>673</v>
      </c>
      <c r="K16" s="111" t="s">
        <v>673</v>
      </c>
      <c r="L16" s="111" t="s">
        <v>673</v>
      </c>
      <c r="M16" s="111" t="s">
        <v>673</v>
      </c>
      <c r="N16" s="111" t="s">
        <v>673</v>
      </c>
      <c r="O16" s="111" t="s">
        <v>673</v>
      </c>
      <c r="P16" s="111" t="s">
        <v>673</v>
      </c>
      <c r="Q16" s="111" t="s">
        <v>673</v>
      </c>
      <c r="R16" s="111" t="s">
        <v>673</v>
      </c>
      <c r="S16" s="111" t="s">
        <v>673</v>
      </c>
      <c r="T16" s="111" t="s">
        <v>673</v>
      </c>
      <c r="U16" s="111" t="s">
        <v>673</v>
      </c>
      <c r="V16" s="111" t="s">
        <v>673</v>
      </c>
      <c r="W16" s="111" t="s">
        <v>673</v>
      </c>
      <c r="X16" s="111" t="s">
        <v>673</v>
      </c>
      <c r="Y16" s="111" t="s">
        <v>673</v>
      </c>
      <c r="Z16" s="111" t="s">
        <v>673</v>
      </c>
      <c r="AA16" s="111" t="s">
        <v>673</v>
      </c>
      <c r="AB16" s="111" t="s">
        <v>673</v>
      </c>
      <c r="AC16" s="111" t="s">
        <v>673</v>
      </c>
      <c r="AD16" s="111" t="s">
        <v>673</v>
      </c>
      <c r="AE16" s="111" t="s">
        <v>673</v>
      </c>
      <c r="AG16" s="110" t="s">
        <v>2158</v>
      </c>
      <c r="AH16" s="111" t="s">
        <v>673</v>
      </c>
      <c r="AI16" s="111" t="s">
        <v>673</v>
      </c>
      <c r="AJ16" s="111" t="s">
        <v>673</v>
      </c>
      <c r="AK16" s="111" t="s">
        <v>673</v>
      </c>
      <c r="AL16" s="111" t="s">
        <v>673</v>
      </c>
      <c r="AM16" s="111" t="s">
        <v>673</v>
      </c>
      <c r="AN16" s="111" t="s">
        <v>673</v>
      </c>
      <c r="AO16" s="111" t="s">
        <v>673</v>
      </c>
      <c r="AP16" s="111" t="s">
        <v>673</v>
      </c>
      <c r="AQ16" s="111" t="s">
        <v>673</v>
      </c>
      <c r="AR16" s="111" t="s">
        <v>673</v>
      </c>
      <c r="AS16" s="111" t="s">
        <v>673</v>
      </c>
      <c r="AT16" s="111" t="s">
        <v>673</v>
      </c>
      <c r="AU16" s="111" t="s">
        <v>673</v>
      </c>
      <c r="AV16" s="111" t="s">
        <v>673</v>
      </c>
      <c r="AW16" s="111" t="s">
        <v>673</v>
      </c>
      <c r="AX16" s="111" t="s">
        <v>673</v>
      </c>
      <c r="AY16" s="111" t="s">
        <v>673</v>
      </c>
      <c r="AZ16" s="111" t="s">
        <v>673</v>
      </c>
      <c r="BA16" s="111" t="s">
        <v>673</v>
      </c>
      <c r="BB16" s="111" t="s">
        <v>673</v>
      </c>
      <c r="BC16" s="111" t="s">
        <v>673</v>
      </c>
      <c r="BD16" s="111" t="s">
        <v>673</v>
      </c>
      <c r="BE16" s="111" t="s">
        <v>673</v>
      </c>
      <c r="BF16" s="111" t="s">
        <v>673</v>
      </c>
      <c r="BG16" s="111" t="s">
        <v>673</v>
      </c>
      <c r="BH16" s="111" t="s">
        <v>673</v>
      </c>
      <c r="BI16" s="111" t="s">
        <v>673</v>
      </c>
      <c r="BJ16" s="111" t="s">
        <v>673</v>
      </c>
      <c r="BK16" s="111" t="s">
        <v>673</v>
      </c>
      <c r="BL16" s="111" t="s">
        <v>673</v>
      </c>
      <c r="BM16" s="111" t="s">
        <v>673</v>
      </c>
      <c r="BN16" s="111" t="s">
        <v>673</v>
      </c>
      <c r="BO16" s="111" t="s">
        <v>673</v>
      </c>
      <c r="BP16" s="111" t="s">
        <v>673</v>
      </c>
      <c r="BQ16" s="111" t="s">
        <v>673</v>
      </c>
      <c r="BR16" s="111" t="s">
        <v>673</v>
      </c>
      <c r="BS16" s="111" t="s">
        <v>673</v>
      </c>
      <c r="BT16" s="111" t="s">
        <v>673</v>
      </c>
      <c r="BU16" s="111" t="s">
        <v>673</v>
      </c>
      <c r="BV16" s="111" t="s">
        <v>673</v>
      </c>
      <c r="BW16" s="111" t="s">
        <v>673</v>
      </c>
      <c r="BX16" s="111" t="s">
        <v>673</v>
      </c>
      <c r="BY16" s="111" t="s">
        <v>673</v>
      </c>
      <c r="BZ16" s="111" t="s">
        <v>673</v>
      </c>
      <c r="CA16" s="111" t="s">
        <v>673</v>
      </c>
      <c r="CB16" s="111" t="s">
        <v>673</v>
      </c>
      <c r="CC16" s="111" t="s">
        <v>673</v>
      </c>
      <c r="CD16" s="111" t="s">
        <v>673</v>
      </c>
      <c r="CE16" s="111" t="s">
        <v>673</v>
      </c>
      <c r="CF16" s="111" t="s">
        <v>673</v>
      </c>
      <c r="CG16" s="111" t="s">
        <v>673</v>
      </c>
      <c r="CH16" s="111" t="s">
        <v>673</v>
      </c>
      <c r="CI16" s="111" t="s">
        <v>673</v>
      </c>
      <c r="CJ16" s="111" t="s">
        <v>673</v>
      </c>
      <c r="CK16" s="111" t="s">
        <v>673</v>
      </c>
      <c r="CL16" s="111" t="s">
        <v>673</v>
      </c>
      <c r="CM16" s="111" t="s">
        <v>673</v>
      </c>
      <c r="CN16" s="111" t="s">
        <v>673</v>
      </c>
      <c r="CO16" s="111" t="s">
        <v>673</v>
      </c>
      <c r="CP16" s="111" t="s">
        <v>673</v>
      </c>
      <c r="CQ16" s="111" t="s">
        <v>673</v>
      </c>
      <c r="CR16" s="111" t="s">
        <v>673</v>
      </c>
      <c r="CS16" s="111" t="s">
        <v>673</v>
      </c>
      <c r="CT16" s="111" t="s">
        <v>673</v>
      </c>
      <c r="CU16" s="111" t="s">
        <v>673</v>
      </c>
      <c r="CV16" s="111" t="s">
        <v>673</v>
      </c>
      <c r="CW16" s="111" t="s">
        <v>673</v>
      </c>
      <c r="CX16" s="111" t="s">
        <v>673</v>
      </c>
      <c r="CY16" s="111" t="s">
        <v>673</v>
      </c>
      <c r="CZ16" s="111" t="s">
        <v>673</v>
      </c>
      <c r="DA16" s="111" t="s">
        <v>673</v>
      </c>
      <c r="DB16" s="111" t="s">
        <v>673</v>
      </c>
      <c r="DC16" s="111" t="s">
        <v>673</v>
      </c>
      <c r="DD16" s="111" t="s">
        <v>673</v>
      </c>
      <c r="DE16" s="111" t="s">
        <v>673</v>
      </c>
      <c r="DF16" s="111" t="s">
        <v>673</v>
      </c>
      <c r="DG16" s="111" t="s">
        <v>673</v>
      </c>
      <c r="DH16" s="111" t="s">
        <v>673</v>
      </c>
      <c r="DI16" s="111" t="s">
        <v>673</v>
      </c>
      <c r="DJ16" s="111" t="s">
        <v>673</v>
      </c>
      <c r="DK16" s="111" t="s">
        <v>673</v>
      </c>
      <c r="DL16" s="111" t="s">
        <v>673</v>
      </c>
      <c r="DM16" s="111" t="s">
        <v>673</v>
      </c>
      <c r="DN16" s="111" t="s">
        <v>673</v>
      </c>
      <c r="DO16" s="111" t="s">
        <v>673</v>
      </c>
      <c r="DP16" s="111" t="s">
        <v>673</v>
      </c>
      <c r="DQ16" s="111" t="s">
        <v>673</v>
      </c>
      <c r="DR16" s="111" t="s">
        <v>673</v>
      </c>
      <c r="DS16" s="111" t="s">
        <v>673</v>
      </c>
      <c r="DT16" s="111" t="s">
        <v>673</v>
      </c>
      <c r="DU16" s="111" t="s">
        <v>673</v>
      </c>
      <c r="DV16" s="111" t="s">
        <v>673</v>
      </c>
      <c r="DW16" s="111" t="s">
        <v>673</v>
      </c>
      <c r="DX16" s="111" t="s">
        <v>673</v>
      </c>
      <c r="DY16" s="111" t="s">
        <v>673</v>
      </c>
      <c r="DZ16" s="111" t="s">
        <v>673</v>
      </c>
      <c r="EA16" s="111" t="s">
        <v>673</v>
      </c>
      <c r="EB16" s="111" t="s">
        <v>673</v>
      </c>
      <c r="EC16" s="111" t="s">
        <v>673</v>
      </c>
      <c r="ED16" s="111" t="s">
        <v>673</v>
      </c>
      <c r="EE16" s="111" t="s">
        <v>673</v>
      </c>
      <c r="EF16" s="111" t="s">
        <v>673</v>
      </c>
      <c r="EG16" s="111" t="s">
        <v>673</v>
      </c>
      <c r="EH16" s="111" t="s">
        <v>673</v>
      </c>
      <c r="EI16" s="111" t="s">
        <v>673</v>
      </c>
      <c r="EJ16" s="111" t="s">
        <v>673</v>
      </c>
      <c r="EK16" s="111" t="s">
        <v>673</v>
      </c>
      <c r="EL16" s="111" t="s">
        <v>673</v>
      </c>
      <c r="EM16" s="111" t="s">
        <v>673</v>
      </c>
      <c r="EN16" s="111" t="s">
        <v>673</v>
      </c>
    </row>
    <row r="17" spans="1:144" ht="10.5">
      <c r="A17" s="112" t="s">
        <v>401</v>
      </c>
      <c r="B17" s="103"/>
      <c r="C17" s="103"/>
      <c r="D17" s="103"/>
      <c r="E17" s="103"/>
      <c r="F17" s="103"/>
      <c r="G17" s="103"/>
      <c r="H17" s="103"/>
      <c r="I17" s="103"/>
      <c r="J17" s="103"/>
      <c r="K17" s="103"/>
      <c r="L17" s="103"/>
      <c r="M17" s="103"/>
      <c r="N17" s="103"/>
      <c r="O17" s="103"/>
      <c r="P17" s="103"/>
      <c r="Q17" s="103"/>
      <c r="R17" s="103"/>
      <c r="S17" s="103"/>
      <c r="T17" s="103"/>
      <c r="U17" s="103"/>
      <c r="V17" s="103"/>
      <c r="W17" s="103"/>
      <c r="X17" s="103"/>
      <c r="Y17" s="103"/>
      <c r="Z17" s="103"/>
      <c r="AA17" s="103"/>
      <c r="AB17" s="103"/>
      <c r="AC17" s="103"/>
      <c r="AD17" s="103"/>
      <c r="AE17" s="103"/>
      <c r="AG17" s="112" t="s">
        <v>401</v>
      </c>
      <c r="AH17" s="103"/>
      <c r="AI17" s="103"/>
      <c r="AJ17" s="103"/>
      <c r="AK17" s="103"/>
      <c r="AL17" s="103"/>
      <c r="AM17" s="103"/>
      <c r="AN17" s="103"/>
      <c r="AO17" s="103"/>
      <c r="AP17" s="103"/>
      <c r="AQ17" s="103"/>
      <c r="AR17" s="103"/>
      <c r="AS17" s="103"/>
      <c r="AT17" s="103"/>
      <c r="AU17" s="103"/>
      <c r="AV17" s="103"/>
      <c r="AW17" s="103"/>
      <c r="AX17" s="103"/>
      <c r="AY17" s="103"/>
      <c r="AZ17" s="103"/>
      <c r="BA17" s="103"/>
      <c r="BB17" s="103"/>
      <c r="BC17" s="103"/>
      <c r="BD17" s="103"/>
      <c r="BE17" s="103"/>
      <c r="BF17" s="103"/>
      <c r="BG17" s="103"/>
      <c r="BH17" s="103"/>
      <c r="BI17" s="103"/>
      <c r="BJ17" s="103"/>
      <c r="BK17" s="103"/>
      <c r="BL17" s="103"/>
      <c r="BM17" s="103"/>
      <c r="BN17" s="103"/>
      <c r="BO17" s="103"/>
      <c r="BP17" s="103"/>
      <c r="BQ17" s="103"/>
      <c r="BR17" s="103"/>
      <c r="BS17" s="103"/>
      <c r="BT17" s="103"/>
      <c r="BU17" s="103"/>
      <c r="BV17" s="103"/>
      <c r="BW17" s="103"/>
      <c r="BX17" s="103"/>
      <c r="BY17" s="103"/>
      <c r="BZ17" s="103"/>
      <c r="CA17" s="103"/>
      <c r="CB17" s="103"/>
      <c r="CC17" s="103"/>
      <c r="CD17" s="103"/>
      <c r="CE17" s="103"/>
      <c r="CF17" s="103"/>
      <c r="CG17" s="103"/>
      <c r="CH17" s="103"/>
      <c r="CI17" s="103"/>
      <c r="CJ17" s="103"/>
      <c r="CK17" s="103"/>
      <c r="CL17" s="103"/>
      <c r="CM17" s="103"/>
      <c r="CN17" s="103"/>
      <c r="CO17" s="103"/>
      <c r="CP17" s="103"/>
      <c r="CQ17" s="103"/>
      <c r="CR17" s="103"/>
      <c r="CS17" s="103"/>
      <c r="CT17" s="103"/>
      <c r="CU17" s="103"/>
      <c r="CV17" s="103"/>
      <c r="CW17" s="103"/>
      <c r="CX17" s="103"/>
      <c r="CY17" s="103"/>
      <c r="CZ17" s="103"/>
      <c r="DA17" s="103"/>
      <c r="DB17" s="103"/>
      <c r="DC17" s="103"/>
      <c r="DD17" s="103"/>
      <c r="DE17" s="103"/>
      <c r="DF17" s="103"/>
      <c r="DG17" s="103"/>
      <c r="DH17" s="103"/>
      <c r="DI17" s="103"/>
      <c r="DJ17" s="103"/>
      <c r="DK17" s="103"/>
      <c r="DL17" s="103"/>
      <c r="DM17" s="103"/>
      <c r="DN17" s="103"/>
      <c r="DO17" s="103"/>
      <c r="DP17" s="103"/>
      <c r="DQ17" s="103"/>
      <c r="DR17" s="103"/>
      <c r="DS17" s="103"/>
      <c r="DT17" s="103"/>
      <c r="DU17" s="103"/>
      <c r="DV17" s="103"/>
      <c r="DW17" s="103"/>
      <c r="DX17" s="103"/>
      <c r="DY17" s="103"/>
      <c r="DZ17" s="103"/>
      <c r="EA17" s="103"/>
      <c r="EB17" s="103"/>
      <c r="EC17" s="103"/>
      <c r="ED17" s="103"/>
      <c r="EE17" s="103"/>
      <c r="EF17" s="103"/>
      <c r="EG17" s="103"/>
      <c r="EH17" s="103"/>
      <c r="EI17" s="103"/>
      <c r="EJ17" s="103"/>
      <c r="EK17" s="103"/>
      <c r="EL17" s="103"/>
      <c r="EM17" s="103"/>
      <c r="EN17" s="103"/>
    </row>
    <row r="18" spans="1:144">
      <c r="A18" s="103" t="s">
        <v>86</v>
      </c>
      <c r="B18" s="113">
        <v>1843</v>
      </c>
      <c r="C18" s="113">
        <v>2759</v>
      </c>
      <c r="D18" s="113">
        <v>3753</v>
      </c>
      <c r="E18" s="113">
        <v>4649</v>
      </c>
      <c r="F18" s="113">
        <v>5937</v>
      </c>
      <c r="G18" s="113">
        <v>8671</v>
      </c>
      <c r="H18" s="113">
        <v>11936</v>
      </c>
      <c r="I18" s="113">
        <v>15262</v>
      </c>
      <c r="J18" s="113">
        <v>19747</v>
      </c>
      <c r="K18" s="113">
        <v>22956</v>
      </c>
      <c r="L18" s="113">
        <v>25296</v>
      </c>
      <c r="M18" s="113">
        <v>28365</v>
      </c>
      <c r="N18" s="113">
        <v>32187</v>
      </c>
      <c r="O18" s="113">
        <v>36835</v>
      </c>
      <c r="P18" s="113">
        <v>39788</v>
      </c>
      <c r="Q18" s="113">
        <v>44282</v>
      </c>
      <c r="R18" s="113">
        <v>51122</v>
      </c>
      <c r="S18" s="113">
        <v>60420</v>
      </c>
      <c r="T18" s="113">
        <v>58437</v>
      </c>
      <c r="U18" s="113">
        <v>62484</v>
      </c>
      <c r="V18" s="113">
        <v>69943</v>
      </c>
      <c r="W18" s="113">
        <v>73723</v>
      </c>
      <c r="X18" s="113">
        <v>77849</v>
      </c>
      <c r="Y18" s="113">
        <v>86833</v>
      </c>
      <c r="Z18" s="113">
        <v>93580</v>
      </c>
      <c r="AA18" s="113">
        <v>91154</v>
      </c>
      <c r="AB18" s="113">
        <v>96571</v>
      </c>
      <c r="AC18" s="113">
        <v>110360</v>
      </c>
      <c r="AD18" s="113">
        <v>125843</v>
      </c>
      <c r="AE18" s="113">
        <v>138699</v>
      </c>
      <c r="AG18" s="103" t="s">
        <v>86</v>
      </c>
      <c r="AH18" s="113">
        <v>878</v>
      </c>
      <c r="AI18" s="113">
        <v>938</v>
      </c>
      <c r="AJ18" s="113">
        <v>958</v>
      </c>
      <c r="AK18" s="113">
        <v>1039</v>
      </c>
      <c r="AL18" s="113">
        <v>983</v>
      </c>
      <c r="AM18" s="113">
        <v>1129</v>
      </c>
      <c r="AN18" s="113">
        <v>1244</v>
      </c>
      <c r="AO18" s="113">
        <v>1293</v>
      </c>
      <c r="AP18" s="113">
        <v>1247</v>
      </c>
      <c r="AQ18" s="113">
        <v>1482</v>
      </c>
      <c r="AR18" s="113">
        <v>1587</v>
      </c>
      <c r="AS18" s="113">
        <v>1621</v>
      </c>
      <c r="AT18" s="113">
        <v>2016</v>
      </c>
      <c r="AU18" s="113">
        <v>2195</v>
      </c>
      <c r="AV18" s="113">
        <v>2205</v>
      </c>
      <c r="AW18" s="113">
        <v>2255</v>
      </c>
      <c r="AX18" s="113">
        <v>2295</v>
      </c>
      <c r="AY18" s="113">
        <v>2680</v>
      </c>
      <c r="AZ18" s="113">
        <v>3208</v>
      </c>
      <c r="BA18" s="113">
        <v>3175</v>
      </c>
      <c r="BB18" s="113">
        <v>3130</v>
      </c>
      <c r="BC18" s="113">
        <v>3585</v>
      </c>
      <c r="BD18" s="113">
        <v>3774</v>
      </c>
      <c r="BE18" s="113">
        <v>4773</v>
      </c>
      <c r="BF18" s="113">
        <v>4193</v>
      </c>
      <c r="BG18" s="113">
        <v>5195</v>
      </c>
      <c r="BH18" s="113">
        <v>4595</v>
      </c>
      <c r="BI18" s="113">
        <v>5764</v>
      </c>
      <c r="BJ18" s="113">
        <v>5384</v>
      </c>
      <c r="BK18" s="113">
        <v>6112</v>
      </c>
      <c r="BL18" s="113">
        <v>5656</v>
      </c>
      <c r="BM18" s="113">
        <v>5804</v>
      </c>
      <c r="BN18" s="113">
        <v>5766</v>
      </c>
      <c r="BO18" s="113">
        <v>6550</v>
      </c>
      <c r="BP18" s="113">
        <v>6403</v>
      </c>
      <c r="BQ18" s="113">
        <v>6577</v>
      </c>
      <c r="BR18" s="113">
        <v>6126</v>
      </c>
      <c r="BS18" s="113">
        <v>7741</v>
      </c>
      <c r="BT18" s="113">
        <v>7245</v>
      </c>
      <c r="BU18" s="113">
        <v>7253</v>
      </c>
      <c r="BV18" s="113">
        <v>7746</v>
      </c>
      <c r="BW18" s="113">
        <v>8541</v>
      </c>
      <c r="BX18" s="113">
        <v>7835</v>
      </c>
      <c r="BY18" s="113">
        <v>8065</v>
      </c>
      <c r="BZ18" s="113">
        <v>8215</v>
      </c>
      <c r="CA18" s="113">
        <v>10153</v>
      </c>
      <c r="CB18" s="113">
        <v>9175</v>
      </c>
      <c r="CC18" s="113">
        <v>9292</v>
      </c>
      <c r="CD18" s="113">
        <v>9189</v>
      </c>
      <c r="CE18" s="113">
        <v>10818</v>
      </c>
      <c r="CF18" s="113">
        <v>9620</v>
      </c>
      <c r="CG18" s="113">
        <v>10161</v>
      </c>
      <c r="CH18" s="113">
        <v>9741</v>
      </c>
      <c r="CI18" s="113">
        <v>11837</v>
      </c>
      <c r="CJ18" s="113">
        <v>10900</v>
      </c>
      <c r="CK18" s="113">
        <v>11804</v>
      </c>
      <c r="CL18" s="113">
        <v>10811</v>
      </c>
      <c r="CM18" s="113">
        <v>12542</v>
      </c>
      <c r="CN18" s="113">
        <v>14398</v>
      </c>
      <c r="CO18" s="113">
        <v>13371</v>
      </c>
      <c r="CP18" s="113">
        <v>13762</v>
      </c>
      <c r="CQ18" s="113">
        <v>16367</v>
      </c>
      <c r="CR18" s="113">
        <v>14454</v>
      </c>
      <c r="CS18" s="113">
        <v>15837</v>
      </c>
      <c r="CT18" s="113">
        <v>15061</v>
      </c>
      <c r="CU18" s="113">
        <v>16629</v>
      </c>
      <c r="CV18" s="113">
        <v>13648</v>
      </c>
      <c r="CW18" s="113">
        <v>13099</v>
      </c>
      <c r="CX18" s="113">
        <v>12920</v>
      </c>
      <c r="CY18" s="113">
        <v>19022</v>
      </c>
      <c r="CZ18" s="113">
        <v>14503</v>
      </c>
      <c r="DA18" s="113">
        <v>16039</v>
      </c>
      <c r="DB18" s="113">
        <v>16195</v>
      </c>
      <c r="DC18" s="113">
        <v>19953</v>
      </c>
      <c r="DD18" s="113">
        <v>16428</v>
      </c>
      <c r="DE18" s="113">
        <v>17367</v>
      </c>
      <c r="DF18" s="113">
        <v>17372</v>
      </c>
      <c r="DG18" s="113">
        <v>20885</v>
      </c>
      <c r="DH18" s="113">
        <v>17407</v>
      </c>
      <c r="DI18" s="113">
        <v>18059</v>
      </c>
      <c r="DJ18" s="113">
        <v>16008</v>
      </c>
      <c r="DK18" s="113">
        <v>21456</v>
      </c>
      <c r="DL18" s="113">
        <v>20489</v>
      </c>
      <c r="DM18" s="113">
        <v>19896</v>
      </c>
      <c r="DN18" s="113">
        <v>18529</v>
      </c>
      <c r="DO18" s="113">
        <v>24519</v>
      </c>
      <c r="DP18" s="113">
        <v>20403</v>
      </c>
      <c r="DQ18" s="113">
        <v>23382</v>
      </c>
      <c r="DR18" s="113">
        <v>23201</v>
      </c>
      <c r="DS18" s="113">
        <v>26470</v>
      </c>
      <c r="DT18" s="113">
        <v>21729</v>
      </c>
      <c r="DU18" s="113">
        <v>22180</v>
      </c>
      <c r="DV18" s="113">
        <v>20379</v>
      </c>
      <c r="DW18" s="113">
        <v>23796</v>
      </c>
      <c r="DX18" s="113">
        <v>20531</v>
      </c>
      <c r="DY18" s="113">
        <v>20614</v>
      </c>
      <c r="DZ18" s="113">
        <v>21928</v>
      </c>
      <c r="EA18" s="113">
        <v>25826</v>
      </c>
      <c r="EB18" s="113">
        <v>23212</v>
      </c>
      <c r="EC18" s="113">
        <v>25605</v>
      </c>
      <c r="ED18" s="113">
        <v>24538</v>
      </c>
      <c r="EE18" s="113">
        <v>28918</v>
      </c>
      <c r="EF18" s="113">
        <v>26819</v>
      </c>
      <c r="EG18" s="113">
        <v>30085</v>
      </c>
      <c r="EH18" s="113">
        <v>29084</v>
      </c>
      <c r="EI18" s="113">
        <v>32471</v>
      </c>
      <c r="EJ18" s="113">
        <v>30571</v>
      </c>
      <c r="EK18" s="113">
        <v>33717</v>
      </c>
      <c r="EL18" s="113">
        <v>33055</v>
      </c>
      <c r="EM18" s="113">
        <v>36906</v>
      </c>
      <c r="EN18" s="113">
        <v>35021</v>
      </c>
    </row>
    <row r="19" spans="1:144">
      <c r="A19" s="103" t="s">
        <v>2159</v>
      </c>
      <c r="B19" s="113">
        <v>0</v>
      </c>
      <c r="C19" s="113">
        <v>0</v>
      </c>
      <c r="D19" s="113">
        <v>0</v>
      </c>
      <c r="E19" s="113">
        <v>0</v>
      </c>
      <c r="F19" s="113">
        <v>0</v>
      </c>
      <c r="G19" s="113">
        <v>0</v>
      </c>
      <c r="H19" s="113">
        <v>0</v>
      </c>
      <c r="I19" s="113">
        <v>0</v>
      </c>
      <c r="J19" s="113">
        <v>0</v>
      </c>
      <c r="K19" s="113">
        <v>0</v>
      </c>
      <c r="L19" s="113">
        <v>0</v>
      </c>
      <c r="M19" s="113">
        <v>0</v>
      </c>
      <c r="N19" s="113">
        <v>0</v>
      </c>
      <c r="O19" s="113">
        <v>0</v>
      </c>
      <c r="P19" s="113">
        <v>0</v>
      </c>
      <c r="Q19" s="113">
        <v>0</v>
      </c>
      <c r="R19" s="113">
        <v>0</v>
      </c>
      <c r="S19" s="113">
        <v>0</v>
      </c>
      <c r="T19" s="113">
        <v>0</v>
      </c>
      <c r="U19" s="113">
        <v>0</v>
      </c>
      <c r="V19" s="113">
        <v>0</v>
      </c>
      <c r="W19" s="113">
        <v>0</v>
      </c>
      <c r="X19" s="113">
        <v>0</v>
      </c>
      <c r="Y19" s="113">
        <v>0</v>
      </c>
      <c r="Z19" s="113">
        <v>0</v>
      </c>
      <c r="AA19" s="113">
        <v>0</v>
      </c>
      <c r="AB19" s="113">
        <v>0</v>
      </c>
      <c r="AC19" s="113">
        <v>0</v>
      </c>
      <c r="AD19" s="113">
        <v>0</v>
      </c>
      <c r="AE19" s="113">
        <v>0</v>
      </c>
      <c r="AG19" s="103" t="s">
        <v>2159</v>
      </c>
      <c r="AH19" s="113">
        <v>0</v>
      </c>
      <c r="AI19" s="113">
        <v>0</v>
      </c>
      <c r="AJ19" s="113">
        <v>0</v>
      </c>
      <c r="AK19" s="113">
        <v>0</v>
      </c>
      <c r="AL19" s="113">
        <v>0</v>
      </c>
      <c r="AM19" s="113">
        <v>0</v>
      </c>
      <c r="AN19" s="113">
        <v>0</v>
      </c>
      <c r="AO19" s="113">
        <v>0</v>
      </c>
      <c r="AP19" s="113">
        <v>0</v>
      </c>
      <c r="AQ19" s="113">
        <v>0</v>
      </c>
      <c r="AR19" s="113">
        <v>0</v>
      </c>
      <c r="AS19" s="113">
        <v>0</v>
      </c>
      <c r="AT19" s="113">
        <v>0</v>
      </c>
      <c r="AU19" s="113">
        <v>0</v>
      </c>
      <c r="AV19" s="113">
        <v>0</v>
      </c>
      <c r="AW19" s="113">
        <v>0</v>
      </c>
      <c r="AX19" s="113">
        <v>0</v>
      </c>
      <c r="AY19" s="113">
        <v>0</v>
      </c>
      <c r="AZ19" s="113">
        <v>0</v>
      </c>
      <c r="BA19" s="113">
        <v>0</v>
      </c>
      <c r="BB19" s="113">
        <v>0</v>
      </c>
      <c r="BC19" s="113">
        <v>0</v>
      </c>
      <c r="BD19" s="113">
        <v>0</v>
      </c>
      <c r="BE19" s="113">
        <v>0</v>
      </c>
      <c r="BF19" s="113">
        <v>0</v>
      </c>
      <c r="BG19" s="113">
        <v>0</v>
      </c>
      <c r="BH19" s="113">
        <v>0</v>
      </c>
      <c r="BI19" s="113">
        <v>0</v>
      </c>
      <c r="BJ19" s="113">
        <v>0</v>
      </c>
      <c r="BK19" s="113">
        <v>0</v>
      </c>
      <c r="BL19" s="113">
        <v>0</v>
      </c>
      <c r="BM19" s="113">
        <v>0</v>
      </c>
      <c r="BN19" s="113">
        <v>0</v>
      </c>
      <c r="BO19" s="113">
        <v>0</v>
      </c>
      <c r="BP19" s="113">
        <v>0</v>
      </c>
      <c r="BQ19" s="113">
        <v>0</v>
      </c>
      <c r="BR19" s="113">
        <v>0</v>
      </c>
      <c r="BS19" s="113">
        <v>0</v>
      </c>
      <c r="BT19" s="113">
        <v>0</v>
      </c>
      <c r="BU19" s="113">
        <v>0</v>
      </c>
      <c r="BV19" s="113">
        <v>0</v>
      </c>
      <c r="BW19" s="113">
        <v>0</v>
      </c>
      <c r="BX19" s="113">
        <v>0</v>
      </c>
      <c r="BY19" s="113">
        <v>0</v>
      </c>
      <c r="BZ19" s="113">
        <v>0</v>
      </c>
      <c r="CA19" s="113">
        <v>0</v>
      </c>
      <c r="CB19" s="113">
        <v>0</v>
      </c>
      <c r="CC19" s="113">
        <v>0</v>
      </c>
      <c r="CD19" s="113">
        <v>0</v>
      </c>
      <c r="CE19" s="113">
        <v>0</v>
      </c>
      <c r="CF19" s="113">
        <v>0</v>
      </c>
      <c r="CG19" s="113">
        <v>0</v>
      </c>
      <c r="CH19" s="113">
        <v>0</v>
      </c>
      <c r="CI19" s="113">
        <v>0</v>
      </c>
      <c r="CJ19" s="113">
        <v>0</v>
      </c>
      <c r="CK19" s="113">
        <v>0</v>
      </c>
      <c r="CL19" s="113">
        <v>0</v>
      </c>
      <c r="CM19" s="113">
        <v>0</v>
      </c>
      <c r="CN19" s="113">
        <v>0</v>
      </c>
      <c r="CO19" s="113">
        <v>0</v>
      </c>
      <c r="CP19" s="113">
        <v>0</v>
      </c>
      <c r="CQ19" s="113">
        <v>0</v>
      </c>
      <c r="CR19" s="113">
        <v>0</v>
      </c>
      <c r="CS19" s="113">
        <v>0</v>
      </c>
      <c r="CT19" s="113">
        <v>0</v>
      </c>
      <c r="CU19" s="113">
        <v>0</v>
      </c>
      <c r="CV19" s="113">
        <v>0</v>
      </c>
      <c r="CW19" s="113">
        <v>0</v>
      </c>
      <c r="CX19" s="113">
        <v>0</v>
      </c>
      <c r="CY19" s="113">
        <v>0</v>
      </c>
      <c r="CZ19" s="113">
        <v>0</v>
      </c>
      <c r="DA19" s="113">
        <v>0</v>
      </c>
      <c r="DB19" s="113">
        <v>0</v>
      </c>
      <c r="DC19" s="113">
        <v>0</v>
      </c>
      <c r="DD19" s="113">
        <v>0</v>
      </c>
      <c r="DE19" s="113">
        <v>0</v>
      </c>
      <c r="DF19" s="113">
        <v>0</v>
      </c>
      <c r="DG19" s="113">
        <v>0</v>
      </c>
      <c r="DH19" s="113">
        <v>0</v>
      </c>
      <c r="DI19" s="113">
        <v>0</v>
      </c>
      <c r="DJ19" s="113">
        <v>0</v>
      </c>
      <c r="DK19" s="113">
        <v>0</v>
      </c>
      <c r="DL19" s="113">
        <v>0</v>
      </c>
      <c r="DM19" s="113">
        <v>0</v>
      </c>
      <c r="DN19" s="113">
        <v>0</v>
      </c>
      <c r="DO19" s="113">
        <v>0</v>
      </c>
      <c r="DP19" s="113">
        <v>0</v>
      </c>
      <c r="DQ19" s="113">
        <v>0</v>
      </c>
      <c r="DR19" s="113">
        <v>0</v>
      </c>
      <c r="DS19" s="113">
        <v>0</v>
      </c>
      <c r="DT19" s="113">
        <v>0</v>
      </c>
      <c r="DU19" s="113">
        <v>0</v>
      </c>
      <c r="DV19" s="113">
        <v>0</v>
      </c>
      <c r="DW19" s="113">
        <v>0</v>
      </c>
      <c r="DX19" s="113">
        <v>0</v>
      </c>
      <c r="DY19" s="113">
        <v>0</v>
      </c>
      <c r="DZ19" s="113">
        <v>0</v>
      </c>
      <c r="EA19" s="113">
        <v>0</v>
      </c>
      <c r="EB19" s="113">
        <v>0</v>
      </c>
      <c r="EC19" s="113">
        <v>0</v>
      </c>
      <c r="ED19" s="113">
        <v>0</v>
      </c>
      <c r="EE19" s="113">
        <v>0</v>
      </c>
      <c r="EF19" s="113">
        <v>0</v>
      </c>
      <c r="EG19" s="113">
        <v>0</v>
      </c>
      <c r="EH19" s="113">
        <v>0</v>
      </c>
      <c r="EI19" s="113">
        <v>0</v>
      </c>
      <c r="EJ19" s="113">
        <v>0</v>
      </c>
      <c r="EK19" s="113">
        <v>0</v>
      </c>
      <c r="EL19" s="113">
        <v>0</v>
      </c>
      <c r="EM19" s="113">
        <v>0</v>
      </c>
      <c r="EN19" s="113">
        <v>0</v>
      </c>
    </row>
    <row r="20" spans="1:144" ht="10.5">
      <c r="A20" s="112" t="s">
        <v>2160</v>
      </c>
      <c r="B20" s="114">
        <v>1843</v>
      </c>
      <c r="C20" s="114">
        <v>2759</v>
      </c>
      <c r="D20" s="114">
        <v>3753</v>
      </c>
      <c r="E20" s="114">
        <v>4649</v>
      </c>
      <c r="F20" s="114">
        <v>5937</v>
      </c>
      <c r="G20" s="114">
        <v>8671</v>
      </c>
      <c r="H20" s="114">
        <v>11936</v>
      </c>
      <c r="I20" s="114">
        <v>15262</v>
      </c>
      <c r="J20" s="114">
        <v>19747</v>
      </c>
      <c r="K20" s="114">
        <v>22956</v>
      </c>
      <c r="L20" s="114">
        <v>25296</v>
      </c>
      <c r="M20" s="114">
        <v>28365</v>
      </c>
      <c r="N20" s="114">
        <v>32187</v>
      </c>
      <c r="O20" s="114">
        <v>36835</v>
      </c>
      <c r="P20" s="114">
        <v>39788</v>
      </c>
      <c r="Q20" s="114">
        <v>44282</v>
      </c>
      <c r="R20" s="114">
        <v>51122</v>
      </c>
      <c r="S20" s="114">
        <v>60420</v>
      </c>
      <c r="T20" s="114">
        <v>58437</v>
      </c>
      <c r="U20" s="114">
        <v>62484</v>
      </c>
      <c r="V20" s="114">
        <v>69943</v>
      </c>
      <c r="W20" s="114">
        <v>73723</v>
      </c>
      <c r="X20" s="114">
        <v>77849</v>
      </c>
      <c r="Y20" s="114">
        <v>86833</v>
      </c>
      <c r="Z20" s="114">
        <v>93580</v>
      </c>
      <c r="AA20" s="114">
        <v>91154</v>
      </c>
      <c r="AB20" s="114">
        <v>96571</v>
      </c>
      <c r="AC20" s="114">
        <v>110360</v>
      </c>
      <c r="AD20" s="114">
        <v>125843</v>
      </c>
      <c r="AE20" s="114">
        <v>138699</v>
      </c>
      <c r="AG20" s="112" t="s">
        <v>2160</v>
      </c>
      <c r="AH20" s="114">
        <v>878</v>
      </c>
      <c r="AI20" s="114">
        <v>938</v>
      </c>
      <c r="AJ20" s="114">
        <v>958</v>
      </c>
      <c r="AK20" s="114">
        <v>1039</v>
      </c>
      <c r="AL20" s="114">
        <v>983</v>
      </c>
      <c r="AM20" s="114">
        <v>1129</v>
      </c>
      <c r="AN20" s="114">
        <v>1244</v>
      </c>
      <c r="AO20" s="114">
        <v>1293</v>
      </c>
      <c r="AP20" s="114">
        <v>1247</v>
      </c>
      <c r="AQ20" s="114">
        <v>1482</v>
      </c>
      <c r="AR20" s="114">
        <v>1587</v>
      </c>
      <c r="AS20" s="114">
        <v>1621</v>
      </c>
      <c r="AT20" s="114">
        <v>2016</v>
      </c>
      <c r="AU20" s="114">
        <v>2195</v>
      </c>
      <c r="AV20" s="114">
        <v>2205</v>
      </c>
      <c r="AW20" s="114">
        <v>2255</v>
      </c>
      <c r="AX20" s="114">
        <v>2295</v>
      </c>
      <c r="AY20" s="114">
        <v>2680</v>
      </c>
      <c r="AZ20" s="114">
        <v>3208</v>
      </c>
      <c r="BA20" s="114">
        <v>3175</v>
      </c>
      <c r="BB20" s="114">
        <v>3130</v>
      </c>
      <c r="BC20" s="114">
        <v>3585</v>
      </c>
      <c r="BD20" s="114">
        <v>3774</v>
      </c>
      <c r="BE20" s="114">
        <v>4773</v>
      </c>
      <c r="BF20" s="114">
        <v>4193</v>
      </c>
      <c r="BG20" s="114">
        <v>5195</v>
      </c>
      <c r="BH20" s="114">
        <v>4595</v>
      </c>
      <c r="BI20" s="114">
        <v>5764</v>
      </c>
      <c r="BJ20" s="114">
        <v>5384</v>
      </c>
      <c r="BK20" s="114">
        <v>6112</v>
      </c>
      <c r="BL20" s="114">
        <v>5656</v>
      </c>
      <c r="BM20" s="114">
        <v>5804</v>
      </c>
      <c r="BN20" s="114">
        <v>5766</v>
      </c>
      <c r="BO20" s="114">
        <v>6550</v>
      </c>
      <c r="BP20" s="114">
        <v>6403</v>
      </c>
      <c r="BQ20" s="114">
        <v>6577</v>
      </c>
      <c r="BR20" s="114">
        <v>6126</v>
      </c>
      <c r="BS20" s="114">
        <v>7741</v>
      </c>
      <c r="BT20" s="114">
        <v>7245</v>
      </c>
      <c r="BU20" s="114">
        <v>7253</v>
      </c>
      <c r="BV20" s="114">
        <v>7746</v>
      </c>
      <c r="BW20" s="114">
        <v>8541</v>
      </c>
      <c r="BX20" s="114">
        <v>7835</v>
      </c>
      <c r="BY20" s="114">
        <v>8065</v>
      </c>
      <c r="BZ20" s="114">
        <v>8215</v>
      </c>
      <c r="CA20" s="114">
        <v>10153</v>
      </c>
      <c r="CB20" s="114">
        <v>9175</v>
      </c>
      <c r="CC20" s="114">
        <v>9292</v>
      </c>
      <c r="CD20" s="114">
        <v>9189</v>
      </c>
      <c r="CE20" s="114">
        <v>10818</v>
      </c>
      <c r="CF20" s="114">
        <v>9620</v>
      </c>
      <c r="CG20" s="114">
        <v>10161</v>
      </c>
      <c r="CH20" s="114">
        <v>9741</v>
      </c>
      <c r="CI20" s="114">
        <v>11837</v>
      </c>
      <c r="CJ20" s="114">
        <v>10900</v>
      </c>
      <c r="CK20" s="114">
        <v>11804</v>
      </c>
      <c r="CL20" s="114">
        <v>10811</v>
      </c>
      <c r="CM20" s="114">
        <v>12542</v>
      </c>
      <c r="CN20" s="114">
        <v>14398</v>
      </c>
      <c r="CO20" s="114">
        <v>13371</v>
      </c>
      <c r="CP20" s="114">
        <v>13762</v>
      </c>
      <c r="CQ20" s="114">
        <v>16367</v>
      </c>
      <c r="CR20" s="114">
        <v>14454</v>
      </c>
      <c r="CS20" s="114">
        <v>15837</v>
      </c>
      <c r="CT20" s="114">
        <v>15061</v>
      </c>
      <c r="CU20" s="114">
        <v>16629</v>
      </c>
      <c r="CV20" s="114">
        <v>13648</v>
      </c>
      <c r="CW20" s="114">
        <v>13099</v>
      </c>
      <c r="CX20" s="114">
        <v>12920</v>
      </c>
      <c r="CY20" s="114">
        <v>19022</v>
      </c>
      <c r="CZ20" s="114">
        <v>14503</v>
      </c>
      <c r="DA20" s="114">
        <v>16039</v>
      </c>
      <c r="DB20" s="114">
        <v>16195</v>
      </c>
      <c r="DC20" s="114">
        <v>19953</v>
      </c>
      <c r="DD20" s="114">
        <v>16428</v>
      </c>
      <c r="DE20" s="114">
        <v>17367</v>
      </c>
      <c r="DF20" s="114">
        <v>17372</v>
      </c>
      <c r="DG20" s="114">
        <v>20885</v>
      </c>
      <c r="DH20" s="114">
        <v>17407</v>
      </c>
      <c r="DI20" s="114">
        <v>18059</v>
      </c>
      <c r="DJ20" s="114">
        <v>16008</v>
      </c>
      <c r="DK20" s="114">
        <v>21456</v>
      </c>
      <c r="DL20" s="114">
        <v>20489</v>
      </c>
      <c r="DM20" s="114">
        <v>19896</v>
      </c>
      <c r="DN20" s="114">
        <v>18529</v>
      </c>
      <c r="DO20" s="114">
        <v>24519</v>
      </c>
      <c r="DP20" s="114">
        <v>20403</v>
      </c>
      <c r="DQ20" s="114">
        <v>23382</v>
      </c>
      <c r="DR20" s="114">
        <v>23201</v>
      </c>
      <c r="DS20" s="114">
        <v>26470</v>
      </c>
      <c r="DT20" s="114">
        <v>21729</v>
      </c>
      <c r="DU20" s="114">
        <v>22180</v>
      </c>
      <c r="DV20" s="114">
        <v>20379</v>
      </c>
      <c r="DW20" s="114">
        <v>23796</v>
      </c>
      <c r="DX20" s="114">
        <v>20531</v>
      </c>
      <c r="DY20" s="114">
        <v>20614</v>
      </c>
      <c r="DZ20" s="114">
        <v>21928</v>
      </c>
      <c r="EA20" s="114">
        <v>25826</v>
      </c>
      <c r="EB20" s="114">
        <v>23212</v>
      </c>
      <c r="EC20" s="114">
        <v>25605</v>
      </c>
      <c r="ED20" s="114">
        <v>24538</v>
      </c>
      <c r="EE20" s="114">
        <v>28918</v>
      </c>
      <c r="EF20" s="114">
        <v>26819</v>
      </c>
      <c r="EG20" s="114">
        <v>30085</v>
      </c>
      <c r="EH20" s="114">
        <v>29084</v>
      </c>
      <c r="EI20" s="114">
        <v>32471</v>
      </c>
      <c r="EJ20" s="114">
        <v>30571</v>
      </c>
      <c r="EK20" s="114">
        <v>33717</v>
      </c>
      <c r="EL20" s="114">
        <v>33055</v>
      </c>
      <c r="EM20" s="114">
        <v>36906</v>
      </c>
      <c r="EN20" s="114">
        <v>35021</v>
      </c>
    </row>
    <row r="21" spans="1:144">
      <c r="A21" s="103"/>
      <c r="B21" s="103"/>
      <c r="C21" s="103"/>
      <c r="D21" s="103"/>
      <c r="E21" s="103"/>
      <c r="F21" s="103"/>
      <c r="G21" s="103"/>
      <c r="H21" s="103"/>
      <c r="I21" s="103"/>
      <c r="J21" s="103"/>
      <c r="K21" s="103"/>
      <c r="L21" s="103"/>
      <c r="M21" s="103"/>
      <c r="N21" s="103"/>
      <c r="O21" s="103"/>
      <c r="P21" s="103"/>
      <c r="Q21" s="103"/>
      <c r="R21" s="103"/>
      <c r="S21" s="103"/>
      <c r="T21" s="103"/>
      <c r="U21" s="103"/>
      <c r="V21" s="103"/>
      <c r="W21" s="103"/>
      <c r="X21" s="103"/>
      <c r="Y21" s="103"/>
      <c r="Z21" s="103"/>
      <c r="AA21" s="103"/>
      <c r="AB21" s="103"/>
      <c r="AC21" s="103"/>
      <c r="AD21" s="103"/>
      <c r="AE21" s="103"/>
      <c r="AG21" s="103"/>
      <c r="AH21" s="103"/>
      <c r="AI21" s="103"/>
      <c r="AJ21" s="103"/>
      <c r="AK21" s="103"/>
      <c r="AL21" s="103"/>
      <c r="AM21" s="103"/>
      <c r="AN21" s="103"/>
      <c r="AO21" s="103"/>
      <c r="AP21" s="103"/>
      <c r="AQ21" s="103"/>
      <c r="AR21" s="103"/>
      <c r="AS21" s="103"/>
      <c r="AT21" s="103"/>
      <c r="AU21" s="103"/>
      <c r="AV21" s="103"/>
      <c r="AW21" s="103"/>
      <c r="AX21" s="103"/>
      <c r="AY21" s="103"/>
      <c r="AZ21" s="103"/>
      <c r="BA21" s="103"/>
      <c r="BB21" s="103"/>
      <c r="BC21" s="103"/>
      <c r="BD21" s="103"/>
      <c r="BE21" s="103"/>
      <c r="BF21" s="103"/>
      <c r="BG21" s="103"/>
      <c r="BH21" s="103"/>
      <c r="BI21" s="103"/>
      <c r="BJ21" s="103"/>
      <c r="BK21" s="103"/>
      <c r="BL21" s="103"/>
      <c r="BM21" s="103"/>
      <c r="BN21" s="103"/>
      <c r="BO21" s="103"/>
      <c r="BP21" s="103"/>
      <c r="BQ21" s="103"/>
      <c r="BR21" s="103"/>
      <c r="BS21" s="103"/>
      <c r="BT21" s="103"/>
      <c r="BU21" s="103"/>
      <c r="BV21" s="103"/>
      <c r="BW21" s="103"/>
      <c r="BX21" s="103"/>
      <c r="BY21" s="103"/>
      <c r="BZ21" s="103"/>
      <c r="CA21" s="103"/>
      <c r="CB21" s="103"/>
      <c r="CC21" s="103"/>
      <c r="CD21" s="103"/>
      <c r="CE21" s="103"/>
      <c r="CF21" s="103"/>
      <c r="CG21" s="103"/>
      <c r="CH21" s="103"/>
      <c r="CI21" s="103"/>
      <c r="CJ21" s="103"/>
      <c r="CK21" s="103"/>
      <c r="CL21" s="103"/>
      <c r="CM21" s="103"/>
      <c r="CN21" s="103"/>
      <c r="CO21" s="103"/>
      <c r="CP21" s="103"/>
      <c r="CQ21" s="103"/>
      <c r="CR21" s="103"/>
      <c r="CS21" s="103"/>
      <c r="CT21" s="103"/>
      <c r="CU21" s="103"/>
      <c r="CV21" s="103"/>
      <c r="CW21" s="103"/>
      <c r="CX21" s="103"/>
      <c r="CY21" s="103"/>
      <c r="CZ21" s="103"/>
      <c r="DA21" s="103"/>
      <c r="DB21" s="103"/>
      <c r="DC21" s="103"/>
      <c r="DD21" s="103"/>
      <c r="DE21" s="103"/>
      <c r="DF21" s="103"/>
      <c r="DG21" s="103"/>
      <c r="DH21" s="103"/>
      <c r="DI21" s="103"/>
      <c r="DJ21" s="103"/>
      <c r="DK21" s="103"/>
      <c r="DL21" s="103"/>
      <c r="DM21" s="103"/>
      <c r="DN21" s="103"/>
      <c r="DO21" s="103"/>
      <c r="DP21" s="103"/>
      <c r="DQ21" s="103"/>
      <c r="DR21" s="103"/>
      <c r="DS21" s="103"/>
      <c r="DT21" s="103"/>
      <c r="DU21" s="103"/>
      <c r="DV21" s="103"/>
      <c r="DW21" s="103"/>
      <c r="DX21" s="103"/>
      <c r="DY21" s="103"/>
      <c r="DZ21" s="103"/>
      <c r="EA21" s="103"/>
      <c r="EB21" s="103"/>
      <c r="EC21" s="103"/>
      <c r="ED21" s="103"/>
      <c r="EE21" s="103"/>
      <c r="EF21" s="103"/>
      <c r="EG21" s="103"/>
      <c r="EH21" s="103"/>
      <c r="EI21" s="103"/>
      <c r="EJ21" s="103"/>
      <c r="EK21" s="103"/>
      <c r="EL21" s="103"/>
      <c r="EM21" s="103"/>
      <c r="EN21" s="103"/>
    </row>
    <row r="22" spans="1:144">
      <c r="A22" s="103" t="s">
        <v>2161</v>
      </c>
      <c r="B22" s="113">
        <v>362</v>
      </c>
      <c r="C22" s="113">
        <v>467</v>
      </c>
      <c r="D22" s="113">
        <v>633</v>
      </c>
      <c r="E22" s="113">
        <v>763</v>
      </c>
      <c r="F22" s="113">
        <v>877</v>
      </c>
      <c r="G22" s="113">
        <v>1188</v>
      </c>
      <c r="H22" s="113">
        <v>2170</v>
      </c>
      <c r="I22" s="113">
        <v>2460</v>
      </c>
      <c r="J22" s="113">
        <v>2814</v>
      </c>
      <c r="K22" s="113">
        <v>3002</v>
      </c>
      <c r="L22" s="113">
        <v>3455</v>
      </c>
      <c r="M22" s="113">
        <v>5699</v>
      </c>
      <c r="N22" s="113">
        <v>6059</v>
      </c>
      <c r="O22" s="113">
        <v>6596</v>
      </c>
      <c r="P22" s="113">
        <v>6031</v>
      </c>
      <c r="Q22" s="113">
        <v>7650</v>
      </c>
      <c r="R22" s="113">
        <v>10693</v>
      </c>
      <c r="S22" s="113">
        <v>11598</v>
      </c>
      <c r="T22" s="113">
        <v>12155</v>
      </c>
      <c r="U22" s="113">
        <v>12395</v>
      </c>
      <c r="V22" s="113">
        <v>15577</v>
      </c>
      <c r="W22" s="113">
        <v>17530</v>
      </c>
      <c r="X22" s="113">
        <v>20385</v>
      </c>
      <c r="Y22" s="113">
        <v>27078</v>
      </c>
      <c r="Z22" s="113">
        <v>33038</v>
      </c>
      <c r="AA22" s="113">
        <v>32780</v>
      </c>
      <c r="AB22" s="113">
        <v>34261</v>
      </c>
      <c r="AC22" s="113">
        <v>38353</v>
      </c>
      <c r="AD22" s="113">
        <v>42910</v>
      </c>
      <c r="AE22" s="113">
        <v>44151</v>
      </c>
      <c r="AG22" s="103" t="s">
        <v>2161</v>
      </c>
      <c r="AH22" s="113">
        <v>146</v>
      </c>
      <c r="AI22" s="113">
        <v>157</v>
      </c>
      <c r="AJ22" s="113">
        <v>161</v>
      </c>
      <c r="AK22" s="113">
        <v>180</v>
      </c>
      <c r="AL22" s="113">
        <v>159</v>
      </c>
      <c r="AM22" s="113">
        <v>185</v>
      </c>
      <c r="AN22" s="113">
        <v>208</v>
      </c>
      <c r="AO22" s="113">
        <v>211</v>
      </c>
      <c r="AP22" s="113">
        <v>186</v>
      </c>
      <c r="AQ22" s="113">
        <v>222</v>
      </c>
      <c r="AR22" s="113">
        <v>235</v>
      </c>
      <c r="AS22" s="113">
        <v>234</v>
      </c>
      <c r="AT22" s="113">
        <v>322</v>
      </c>
      <c r="AU22" s="113">
        <v>330</v>
      </c>
      <c r="AV22" s="113">
        <v>295</v>
      </c>
      <c r="AW22" s="113">
        <v>241</v>
      </c>
      <c r="AX22" s="113">
        <v>250</v>
      </c>
      <c r="AY22" s="113">
        <v>296</v>
      </c>
      <c r="AZ22" s="113">
        <v>297</v>
      </c>
      <c r="BA22" s="113">
        <v>242</v>
      </c>
      <c r="BB22" s="113">
        <v>253</v>
      </c>
      <c r="BC22" s="113">
        <v>313</v>
      </c>
      <c r="BD22" s="113">
        <v>317</v>
      </c>
      <c r="BE22" s="113">
        <v>1577</v>
      </c>
      <c r="BF22" s="113">
        <v>649</v>
      </c>
      <c r="BG22" s="113">
        <v>788</v>
      </c>
      <c r="BH22" s="113">
        <v>708</v>
      </c>
      <c r="BI22" s="113">
        <v>669</v>
      </c>
      <c r="BJ22" s="113">
        <v>712</v>
      </c>
      <c r="BK22" s="113">
        <v>756</v>
      </c>
      <c r="BL22" s="113">
        <v>752</v>
      </c>
      <c r="BM22" s="113">
        <v>782</v>
      </c>
      <c r="BN22" s="113">
        <v>825</v>
      </c>
      <c r="BO22" s="113">
        <v>864</v>
      </c>
      <c r="BP22" s="113">
        <v>899</v>
      </c>
      <c r="BQ22" s="113">
        <v>867</v>
      </c>
      <c r="BR22" s="113">
        <v>884</v>
      </c>
      <c r="BS22" s="113">
        <v>1544</v>
      </c>
      <c r="BT22" s="113">
        <v>1395</v>
      </c>
      <c r="BU22" s="113">
        <v>1368</v>
      </c>
      <c r="BV22" s="113">
        <v>1344</v>
      </c>
      <c r="BW22" s="113">
        <v>2137</v>
      </c>
      <c r="BX22" s="113">
        <v>1274</v>
      </c>
      <c r="BY22" s="113">
        <v>1304</v>
      </c>
      <c r="BZ22" s="113">
        <v>1480</v>
      </c>
      <c r="CA22" s="113">
        <v>2344</v>
      </c>
      <c r="CB22" s="113">
        <v>1411</v>
      </c>
      <c r="CC22" s="113">
        <v>1481</v>
      </c>
      <c r="CD22" s="113">
        <v>1405</v>
      </c>
      <c r="CE22" s="113">
        <v>1875</v>
      </c>
      <c r="CF22" s="113">
        <v>1363</v>
      </c>
      <c r="CG22" s="113">
        <v>1388</v>
      </c>
      <c r="CH22" s="113">
        <v>1253</v>
      </c>
      <c r="CI22" s="113">
        <v>2239</v>
      </c>
      <c r="CJ22" s="113">
        <v>2028</v>
      </c>
      <c r="CK22" s="113">
        <v>2130</v>
      </c>
      <c r="CL22" s="113">
        <v>1696</v>
      </c>
      <c r="CM22" s="113">
        <v>3620</v>
      </c>
      <c r="CN22" s="113">
        <v>2140</v>
      </c>
      <c r="CO22" s="113">
        <v>3237</v>
      </c>
      <c r="CP22" s="113">
        <v>2675</v>
      </c>
      <c r="CQ22" s="113">
        <v>3543</v>
      </c>
      <c r="CR22" s="113">
        <v>2514</v>
      </c>
      <c r="CS22" s="113">
        <v>2866</v>
      </c>
      <c r="CT22" s="113">
        <v>2848</v>
      </c>
      <c r="CU22" s="113">
        <v>3907</v>
      </c>
      <c r="CV22" s="113">
        <v>2814</v>
      </c>
      <c r="CW22" s="113">
        <v>2586</v>
      </c>
      <c r="CX22" s="113">
        <v>2842</v>
      </c>
      <c r="CY22" s="113">
        <v>3628</v>
      </c>
      <c r="CZ22" s="113">
        <v>2755</v>
      </c>
      <c r="DA22" s="113">
        <v>3170</v>
      </c>
      <c r="DB22" s="113">
        <v>3139</v>
      </c>
      <c r="DC22" s="113">
        <v>4833</v>
      </c>
      <c r="DD22" s="113">
        <v>3897</v>
      </c>
      <c r="DE22" s="113">
        <v>3708</v>
      </c>
      <c r="DF22" s="113">
        <v>3777</v>
      </c>
      <c r="DG22" s="113">
        <v>5638</v>
      </c>
      <c r="DH22" s="113">
        <v>3952</v>
      </c>
      <c r="DI22" s="113">
        <v>4163</v>
      </c>
      <c r="DJ22" s="113">
        <v>4168</v>
      </c>
      <c r="DK22" s="113">
        <v>5692</v>
      </c>
      <c r="DL22" s="113">
        <v>4787</v>
      </c>
      <c r="DM22" s="113">
        <v>5602</v>
      </c>
      <c r="DN22" s="113">
        <v>5145</v>
      </c>
      <c r="DO22" s="113">
        <v>8322</v>
      </c>
      <c r="DP22" s="113">
        <v>5978</v>
      </c>
      <c r="DQ22" s="113">
        <v>7633</v>
      </c>
      <c r="DR22" s="113">
        <v>8273</v>
      </c>
      <c r="DS22" s="113">
        <v>10136</v>
      </c>
      <c r="DT22" s="113">
        <v>7161</v>
      </c>
      <c r="DU22" s="113">
        <v>7468</v>
      </c>
      <c r="DV22" s="113">
        <v>7207</v>
      </c>
      <c r="DW22" s="113">
        <v>9872</v>
      </c>
      <c r="DX22" s="113">
        <v>7722</v>
      </c>
      <c r="DY22" s="113">
        <v>7979</v>
      </c>
      <c r="DZ22" s="113">
        <v>7844</v>
      </c>
      <c r="EA22" s="113">
        <v>9901</v>
      </c>
      <c r="EB22" s="113">
        <v>8060</v>
      </c>
      <c r="EC22" s="113">
        <v>8045</v>
      </c>
      <c r="ED22" s="113">
        <v>8278</v>
      </c>
      <c r="EE22" s="113">
        <v>11064</v>
      </c>
      <c r="EF22" s="113">
        <v>9269</v>
      </c>
      <c r="EG22" s="113">
        <v>9742</v>
      </c>
      <c r="EH22" s="113">
        <v>9905</v>
      </c>
      <c r="EI22" s="113">
        <v>12423</v>
      </c>
      <c r="EJ22" s="113">
        <v>10170</v>
      </c>
      <c r="EK22" s="113">
        <v>10412</v>
      </c>
      <c r="EL22" s="113">
        <v>10406</v>
      </c>
      <c r="EM22" s="113">
        <v>12358</v>
      </c>
      <c r="EN22" s="113">
        <v>10975</v>
      </c>
    </row>
    <row r="23" spans="1:144" ht="10.5">
      <c r="A23" s="112" t="s">
        <v>2162</v>
      </c>
      <c r="B23" s="114">
        <v>1481</v>
      </c>
      <c r="C23" s="114">
        <v>2292</v>
      </c>
      <c r="D23" s="114">
        <v>3120</v>
      </c>
      <c r="E23" s="114">
        <v>3886</v>
      </c>
      <c r="F23" s="114">
        <v>5060</v>
      </c>
      <c r="G23" s="114">
        <v>7483</v>
      </c>
      <c r="H23" s="114">
        <v>9766</v>
      </c>
      <c r="I23" s="114">
        <v>12802</v>
      </c>
      <c r="J23" s="114">
        <v>16933</v>
      </c>
      <c r="K23" s="114">
        <v>19954</v>
      </c>
      <c r="L23" s="114">
        <v>21841</v>
      </c>
      <c r="M23" s="114">
        <v>22666</v>
      </c>
      <c r="N23" s="114">
        <v>26128</v>
      </c>
      <c r="O23" s="114">
        <v>30239</v>
      </c>
      <c r="P23" s="114">
        <v>33757</v>
      </c>
      <c r="Q23" s="114">
        <v>36632</v>
      </c>
      <c r="R23" s="114">
        <v>40429</v>
      </c>
      <c r="S23" s="114">
        <v>48822</v>
      </c>
      <c r="T23" s="114">
        <v>46282</v>
      </c>
      <c r="U23" s="114">
        <v>50089</v>
      </c>
      <c r="V23" s="114">
        <v>54366</v>
      </c>
      <c r="W23" s="114">
        <v>56193</v>
      </c>
      <c r="X23" s="114">
        <v>57464</v>
      </c>
      <c r="Y23" s="114">
        <v>59755</v>
      </c>
      <c r="Z23" s="114">
        <v>60542</v>
      </c>
      <c r="AA23" s="114">
        <v>58374</v>
      </c>
      <c r="AB23" s="114">
        <v>62310</v>
      </c>
      <c r="AC23" s="114">
        <v>72007</v>
      </c>
      <c r="AD23" s="114">
        <v>82933</v>
      </c>
      <c r="AE23" s="114">
        <v>94548</v>
      </c>
      <c r="AG23" s="112" t="s">
        <v>2162</v>
      </c>
      <c r="AH23" s="114">
        <v>732</v>
      </c>
      <c r="AI23" s="114">
        <v>781</v>
      </c>
      <c r="AJ23" s="114">
        <v>797</v>
      </c>
      <c r="AK23" s="114">
        <v>859</v>
      </c>
      <c r="AL23" s="114">
        <v>824</v>
      </c>
      <c r="AM23" s="114">
        <v>944</v>
      </c>
      <c r="AN23" s="114">
        <v>1036</v>
      </c>
      <c r="AO23" s="114">
        <v>1082</v>
      </c>
      <c r="AP23" s="114">
        <v>1061</v>
      </c>
      <c r="AQ23" s="114">
        <v>1260</v>
      </c>
      <c r="AR23" s="114">
        <v>1352</v>
      </c>
      <c r="AS23" s="114">
        <v>1387</v>
      </c>
      <c r="AT23" s="114">
        <v>1694</v>
      </c>
      <c r="AU23" s="114">
        <v>1865</v>
      </c>
      <c r="AV23" s="114">
        <v>1910</v>
      </c>
      <c r="AW23" s="114">
        <v>2014</v>
      </c>
      <c r="AX23" s="114">
        <v>2045</v>
      </c>
      <c r="AY23" s="114">
        <v>2384</v>
      </c>
      <c r="AZ23" s="114">
        <v>2911</v>
      </c>
      <c r="BA23" s="114">
        <v>2933</v>
      </c>
      <c r="BB23" s="114">
        <v>2877</v>
      </c>
      <c r="BC23" s="114">
        <v>3272</v>
      </c>
      <c r="BD23" s="114">
        <v>3457</v>
      </c>
      <c r="BE23" s="114">
        <v>3196</v>
      </c>
      <c r="BF23" s="114">
        <v>3544</v>
      </c>
      <c r="BG23" s="114">
        <v>4407</v>
      </c>
      <c r="BH23" s="114">
        <v>3887</v>
      </c>
      <c r="BI23" s="114">
        <v>5095</v>
      </c>
      <c r="BJ23" s="114">
        <v>4672</v>
      </c>
      <c r="BK23" s="114">
        <v>5356</v>
      </c>
      <c r="BL23" s="114">
        <v>4904</v>
      </c>
      <c r="BM23" s="114">
        <v>5022</v>
      </c>
      <c r="BN23" s="114">
        <v>4941</v>
      </c>
      <c r="BO23" s="114">
        <v>5686</v>
      </c>
      <c r="BP23" s="114">
        <v>5504</v>
      </c>
      <c r="BQ23" s="114">
        <v>5710</v>
      </c>
      <c r="BR23" s="114">
        <v>5242</v>
      </c>
      <c r="BS23" s="114">
        <v>6197</v>
      </c>
      <c r="BT23" s="114">
        <v>5850</v>
      </c>
      <c r="BU23" s="114">
        <v>5885</v>
      </c>
      <c r="BV23" s="114">
        <v>6402</v>
      </c>
      <c r="BW23" s="114">
        <v>6404</v>
      </c>
      <c r="BX23" s="114">
        <v>6561</v>
      </c>
      <c r="BY23" s="114">
        <v>6761</v>
      </c>
      <c r="BZ23" s="114">
        <v>6735</v>
      </c>
      <c r="CA23" s="114">
        <v>7809</v>
      </c>
      <c r="CB23" s="114">
        <v>7764</v>
      </c>
      <c r="CC23" s="114">
        <v>7811</v>
      </c>
      <c r="CD23" s="114">
        <v>7784</v>
      </c>
      <c r="CE23" s="114">
        <v>8943</v>
      </c>
      <c r="CF23" s="114">
        <v>8257</v>
      </c>
      <c r="CG23" s="114">
        <v>8773</v>
      </c>
      <c r="CH23" s="114">
        <v>8488</v>
      </c>
      <c r="CI23" s="114">
        <v>9598</v>
      </c>
      <c r="CJ23" s="114">
        <v>8872</v>
      </c>
      <c r="CK23" s="114">
        <v>9674</v>
      </c>
      <c r="CL23" s="114">
        <v>9115</v>
      </c>
      <c r="CM23" s="114">
        <v>8922</v>
      </c>
      <c r="CN23" s="114">
        <v>12258</v>
      </c>
      <c r="CO23" s="114">
        <v>10134</v>
      </c>
      <c r="CP23" s="114">
        <v>11087</v>
      </c>
      <c r="CQ23" s="114">
        <v>12824</v>
      </c>
      <c r="CR23" s="114">
        <v>11940</v>
      </c>
      <c r="CS23" s="114">
        <v>12971</v>
      </c>
      <c r="CT23" s="114">
        <v>12213</v>
      </c>
      <c r="CU23" s="114">
        <v>12722</v>
      </c>
      <c r="CV23" s="114">
        <v>10834</v>
      </c>
      <c r="CW23" s="114">
        <v>10513</v>
      </c>
      <c r="CX23" s="114">
        <v>10078</v>
      </c>
      <c r="CY23" s="114">
        <v>15394</v>
      </c>
      <c r="CZ23" s="114">
        <v>11748</v>
      </c>
      <c r="DA23" s="114">
        <v>12869</v>
      </c>
      <c r="DB23" s="114">
        <v>13056</v>
      </c>
      <c r="DC23" s="114">
        <v>15120</v>
      </c>
      <c r="DD23" s="114">
        <v>12531</v>
      </c>
      <c r="DE23" s="114">
        <v>13659</v>
      </c>
      <c r="DF23" s="114">
        <v>13595</v>
      </c>
      <c r="DG23" s="114">
        <v>15247</v>
      </c>
      <c r="DH23" s="114">
        <v>13455</v>
      </c>
      <c r="DI23" s="114">
        <v>13896</v>
      </c>
      <c r="DJ23" s="114">
        <v>11840</v>
      </c>
      <c r="DK23" s="114">
        <v>15764</v>
      </c>
      <c r="DL23" s="114">
        <v>15702</v>
      </c>
      <c r="DM23" s="114">
        <v>14294</v>
      </c>
      <c r="DN23" s="114">
        <v>13384</v>
      </c>
      <c r="DO23" s="114">
        <v>16197</v>
      </c>
      <c r="DP23" s="114">
        <v>14425</v>
      </c>
      <c r="DQ23" s="114">
        <v>15749</v>
      </c>
      <c r="DR23" s="114">
        <v>14928</v>
      </c>
      <c r="DS23" s="114">
        <v>16334</v>
      </c>
      <c r="DT23" s="114">
        <v>14568</v>
      </c>
      <c r="DU23" s="114">
        <v>14712</v>
      </c>
      <c r="DV23" s="114">
        <v>13172</v>
      </c>
      <c r="DW23" s="114">
        <v>13924</v>
      </c>
      <c r="DX23" s="114">
        <v>12809</v>
      </c>
      <c r="DY23" s="114">
        <v>12635</v>
      </c>
      <c r="DZ23" s="114">
        <v>14084</v>
      </c>
      <c r="EA23" s="114">
        <v>15925</v>
      </c>
      <c r="EB23" s="114">
        <v>15152</v>
      </c>
      <c r="EC23" s="114">
        <v>17560</v>
      </c>
      <c r="ED23" s="114">
        <v>16260</v>
      </c>
      <c r="EE23" s="114">
        <v>17854</v>
      </c>
      <c r="EF23" s="114">
        <v>17550</v>
      </c>
      <c r="EG23" s="114">
        <v>20343</v>
      </c>
      <c r="EH23" s="114">
        <v>19179</v>
      </c>
      <c r="EI23" s="114">
        <v>20048</v>
      </c>
      <c r="EJ23" s="114">
        <v>20401</v>
      </c>
      <c r="EK23" s="114">
        <v>23305</v>
      </c>
      <c r="EL23" s="114">
        <v>22649</v>
      </c>
      <c r="EM23" s="114">
        <v>24548</v>
      </c>
      <c r="EN23" s="114">
        <v>24046</v>
      </c>
    </row>
    <row r="24" spans="1:144">
      <c r="A24" s="103"/>
      <c r="B24" s="103"/>
      <c r="C24" s="103"/>
      <c r="D24" s="103"/>
      <c r="E24" s="103"/>
      <c r="F24" s="103"/>
      <c r="G24" s="103"/>
      <c r="H24" s="103"/>
      <c r="I24" s="103"/>
      <c r="J24" s="103"/>
      <c r="K24" s="103"/>
      <c r="L24" s="103"/>
      <c r="M24" s="103"/>
      <c r="N24" s="103"/>
      <c r="O24" s="103"/>
      <c r="P24" s="103"/>
      <c r="Q24" s="103"/>
      <c r="R24" s="103"/>
      <c r="S24" s="103"/>
      <c r="T24" s="103"/>
      <c r="U24" s="103"/>
      <c r="V24" s="103"/>
      <c r="W24" s="103"/>
      <c r="X24" s="103"/>
      <c r="Y24" s="103"/>
      <c r="Z24" s="103"/>
      <c r="AA24" s="103"/>
      <c r="AB24" s="103"/>
      <c r="AC24" s="103"/>
      <c r="AD24" s="103"/>
      <c r="AE24" s="103"/>
      <c r="AG24" s="103"/>
      <c r="AH24" s="103"/>
      <c r="AI24" s="103"/>
      <c r="AJ24" s="103"/>
      <c r="AK24" s="103"/>
      <c r="AL24" s="103"/>
      <c r="AM24" s="103"/>
      <c r="AN24" s="103"/>
      <c r="AO24" s="103"/>
      <c r="AP24" s="103"/>
      <c r="AQ24" s="103"/>
      <c r="AR24" s="103"/>
      <c r="AS24" s="103"/>
      <c r="AT24" s="103"/>
      <c r="AU24" s="103"/>
      <c r="AV24" s="103"/>
      <c r="AW24" s="103"/>
      <c r="AX24" s="103"/>
      <c r="AY24" s="103"/>
      <c r="AZ24" s="103"/>
      <c r="BA24" s="103"/>
      <c r="BB24" s="103"/>
      <c r="BC24" s="103"/>
      <c r="BD24" s="103"/>
      <c r="BE24" s="103"/>
      <c r="BF24" s="103"/>
      <c r="BG24" s="103"/>
      <c r="BH24" s="103"/>
      <c r="BI24" s="103"/>
      <c r="BJ24" s="103"/>
      <c r="BK24" s="103"/>
      <c r="BL24" s="103"/>
      <c r="BM24" s="103"/>
      <c r="BN24" s="103"/>
      <c r="BO24" s="103"/>
      <c r="BP24" s="103"/>
      <c r="BQ24" s="103"/>
      <c r="BR24" s="103"/>
      <c r="BS24" s="103"/>
      <c r="BT24" s="103"/>
      <c r="BU24" s="103"/>
      <c r="BV24" s="103"/>
      <c r="BW24" s="103"/>
      <c r="BX24" s="103"/>
      <c r="BY24" s="103"/>
      <c r="BZ24" s="103"/>
      <c r="CA24" s="103"/>
      <c r="CB24" s="103"/>
      <c r="CC24" s="103"/>
      <c r="CD24" s="103"/>
      <c r="CE24" s="103"/>
      <c r="CF24" s="103"/>
      <c r="CG24" s="103"/>
      <c r="CH24" s="103"/>
      <c r="CI24" s="103"/>
      <c r="CJ24" s="103"/>
      <c r="CK24" s="103"/>
      <c r="CL24" s="103"/>
      <c r="CM24" s="103"/>
      <c r="CN24" s="103"/>
      <c r="CO24" s="103"/>
      <c r="CP24" s="103"/>
      <c r="CQ24" s="103"/>
      <c r="CR24" s="103"/>
      <c r="CS24" s="103"/>
      <c r="CT24" s="103"/>
      <c r="CU24" s="103"/>
      <c r="CV24" s="103"/>
      <c r="CW24" s="103"/>
      <c r="CX24" s="103"/>
      <c r="CY24" s="103"/>
      <c r="CZ24" s="103"/>
      <c r="DA24" s="103"/>
      <c r="DB24" s="103"/>
      <c r="DC24" s="103"/>
      <c r="DD24" s="103"/>
      <c r="DE24" s="103"/>
      <c r="DF24" s="103"/>
      <c r="DG24" s="103"/>
      <c r="DH24" s="103"/>
      <c r="DI24" s="103"/>
      <c r="DJ24" s="103"/>
      <c r="DK24" s="103"/>
      <c r="DL24" s="103"/>
      <c r="DM24" s="103"/>
      <c r="DN24" s="103"/>
      <c r="DO24" s="103"/>
      <c r="DP24" s="103"/>
      <c r="DQ24" s="103"/>
      <c r="DR24" s="103"/>
      <c r="DS24" s="103"/>
      <c r="DT24" s="103"/>
      <c r="DU24" s="103"/>
      <c r="DV24" s="103"/>
      <c r="DW24" s="103"/>
      <c r="DX24" s="103"/>
      <c r="DY24" s="103"/>
      <c r="DZ24" s="103"/>
      <c r="EA24" s="103"/>
      <c r="EB24" s="103"/>
      <c r="EC24" s="103"/>
      <c r="ED24" s="103"/>
      <c r="EE24" s="103"/>
      <c r="EF24" s="103"/>
      <c r="EG24" s="103"/>
      <c r="EH24" s="103"/>
      <c r="EI24" s="103"/>
      <c r="EJ24" s="103"/>
      <c r="EK24" s="103"/>
      <c r="EL24" s="103"/>
      <c r="EM24" s="103"/>
      <c r="EN24" s="103"/>
    </row>
    <row r="25" spans="1:144">
      <c r="A25" s="103" t="s">
        <v>2163</v>
      </c>
      <c r="B25" s="113">
        <v>596</v>
      </c>
      <c r="C25" s="113">
        <v>944</v>
      </c>
      <c r="D25" s="113">
        <v>1324</v>
      </c>
      <c r="E25" s="113">
        <v>1550</v>
      </c>
      <c r="F25" s="113">
        <v>2162</v>
      </c>
      <c r="G25" s="113">
        <v>2973</v>
      </c>
      <c r="H25" s="113">
        <v>2773</v>
      </c>
      <c r="I25" s="113">
        <v>3261</v>
      </c>
      <c r="J25" s="113">
        <v>3953</v>
      </c>
      <c r="K25" s="113">
        <v>5176</v>
      </c>
      <c r="L25" s="113">
        <v>5742</v>
      </c>
      <c r="M25" s="113">
        <v>8095</v>
      </c>
      <c r="N25" s="113">
        <v>9238</v>
      </c>
      <c r="O25" s="113">
        <v>10640</v>
      </c>
      <c r="P25" s="113">
        <v>10789</v>
      </c>
      <c r="Q25" s="113">
        <v>12276</v>
      </c>
      <c r="R25" s="113">
        <v>14359</v>
      </c>
      <c r="S25" s="113">
        <v>16587</v>
      </c>
      <c r="T25" s="113">
        <v>16579</v>
      </c>
      <c r="U25" s="113">
        <v>17277</v>
      </c>
      <c r="V25" s="113">
        <v>18162</v>
      </c>
      <c r="W25" s="113">
        <v>18426</v>
      </c>
      <c r="X25" s="113">
        <v>19556</v>
      </c>
      <c r="Y25" s="113">
        <v>20488</v>
      </c>
      <c r="Z25" s="113">
        <v>20324</v>
      </c>
      <c r="AA25" s="113">
        <v>19198</v>
      </c>
      <c r="AB25" s="113">
        <v>19942</v>
      </c>
      <c r="AC25" s="113">
        <v>22223</v>
      </c>
      <c r="AD25" s="113">
        <v>23098</v>
      </c>
      <c r="AE25" s="113">
        <v>24023</v>
      </c>
      <c r="AG25" s="103" t="s">
        <v>2163</v>
      </c>
      <c r="AH25" s="113">
        <v>316.5</v>
      </c>
      <c r="AI25" s="113">
        <v>344</v>
      </c>
      <c r="AJ25" s="113">
        <v>343</v>
      </c>
      <c r="AK25" s="113">
        <v>348</v>
      </c>
      <c r="AL25" s="113">
        <v>347</v>
      </c>
      <c r="AM25" s="113">
        <v>379</v>
      </c>
      <c r="AN25" s="113">
        <v>400</v>
      </c>
      <c r="AO25" s="113">
        <v>424</v>
      </c>
      <c r="AP25" s="113">
        <v>446</v>
      </c>
      <c r="AQ25" s="113">
        <v>541</v>
      </c>
      <c r="AR25" s="113">
        <v>584</v>
      </c>
      <c r="AS25" s="113">
        <v>591</v>
      </c>
      <c r="AT25" s="113">
        <v>684</v>
      </c>
      <c r="AU25" s="113">
        <v>766</v>
      </c>
      <c r="AV25" s="113">
        <v>772</v>
      </c>
      <c r="AW25" s="113">
        <v>751</v>
      </c>
      <c r="AX25" s="113">
        <v>711</v>
      </c>
      <c r="AY25" s="113">
        <v>818</v>
      </c>
      <c r="AZ25" s="113">
        <v>851</v>
      </c>
      <c r="BA25" s="113">
        <v>838</v>
      </c>
      <c r="BB25" s="113">
        <v>883</v>
      </c>
      <c r="BC25" s="113">
        <v>982</v>
      </c>
      <c r="BD25" s="113">
        <v>933</v>
      </c>
      <c r="BE25" s="113">
        <v>463</v>
      </c>
      <c r="BF25" s="113">
        <v>787</v>
      </c>
      <c r="BG25" s="113">
        <v>943</v>
      </c>
      <c r="BH25" s="113">
        <v>993</v>
      </c>
      <c r="BI25" s="113">
        <v>1197</v>
      </c>
      <c r="BJ25" s="113">
        <v>1070</v>
      </c>
      <c r="BK25" s="113">
        <v>1527</v>
      </c>
      <c r="BL25" s="113">
        <v>1195</v>
      </c>
      <c r="BM25" s="113">
        <v>1384</v>
      </c>
      <c r="BN25" s="113">
        <v>1208</v>
      </c>
      <c r="BO25" s="113">
        <v>1502</v>
      </c>
      <c r="BP25" s="113">
        <v>1437</v>
      </c>
      <c r="BQ25" s="113">
        <v>1595</v>
      </c>
      <c r="BR25" s="113">
        <v>1332</v>
      </c>
      <c r="BS25" s="113">
        <v>1652</v>
      </c>
      <c r="BT25" s="113">
        <v>1486</v>
      </c>
      <c r="BU25" s="113">
        <v>1827</v>
      </c>
      <c r="BV25" s="113">
        <v>1667</v>
      </c>
      <c r="BW25" s="113">
        <v>2446</v>
      </c>
      <c r="BX25" s="113">
        <v>2125</v>
      </c>
      <c r="BY25" s="113">
        <v>2534</v>
      </c>
      <c r="BZ25" s="113">
        <v>1976</v>
      </c>
      <c r="CA25" s="113">
        <v>3363</v>
      </c>
      <c r="CB25" s="113">
        <v>2423</v>
      </c>
      <c r="CC25" s="113">
        <v>3019</v>
      </c>
      <c r="CD25" s="113">
        <v>2224</v>
      </c>
      <c r="CE25" s="113">
        <v>2773</v>
      </c>
      <c r="CF25" s="113">
        <v>2061</v>
      </c>
      <c r="CG25" s="113">
        <v>3885</v>
      </c>
      <c r="CH25" s="113">
        <v>2478</v>
      </c>
      <c r="CI25" s="113">
        <v>3284</v>
      </c>
      <c r="CJ25" s="113">
        <v>2970</v>
      </c>
      <c r="CK25" s="113">
        <v>3525</v>
      </c>
      <c r="CL25" s="113">
        <v>2768</v>
      </c>
      <c r="CM25" s="113">
        <v>3702</v>
      </c>
      <c r="CN25" s="113">
        <v>3623</v>
      </c>
      <c r="CO25" s="113">
        <v>4180</v>
      </c>
      <c r="CP25" s="113">
        <v>3401</v>
      </c>
      <c r="CQ25" s="113">
        <v>4486</v>
      </c>
      <c r="CR25" s="113">
        <v>4115</v>
      </c>
      <c r="CS25" s="113">
        <v>4885</v>
      </c>
      <c r="CT25" s="113">
        <v>3931</v>
      </c>
      <c r="CU25" s="113">
        <v>4493</v>
      </c>
      <c r="CV25" s="113">
        <v>3837</v>
      </c>
      <c r="CW25" s="113">
        <v>4068</v>
      </c>
      <c r="CX25" s="113">
        <v>3531</v>
      </c>
      <c r="CY25" s="113">
        <v>4802</v>
      </c>
      <c r="CZ25" s="113">
        <v>4355</v>
      </c>
      <c r="DA25" s="113">
        <v>4530</v>
      </c>
      <c r="DB25" s="113">
        <v>3744</v>
      </c>
      <c r="DC25" s="113">
        <v>4770</v>
      </c>
      <c r="DD25" s="113">
        <v>4553</v>
      </c>
      <c r="DE25" s="113">
        <v>5095</v>
      </c>
      <c r="DF25" s="113">
        <v>4063</v>
      </c>
      <c r="DG25" s="113">
        <v>4882</v>
      </c>
      <c r="DH25" s="113">
        <v>4564</v>
      </c>
      <c r="DI25" s="113">
        <v>4917</v>
      </c>
      <c r="DJ25" s="113">
        <v>4072</v>
      </c>
      <c r="DK25" s="113">
        <v>5465</v>
      </c>
      <c r="DL25" s="113">
        <v>4717</v>
      </c>
      <c r="DM25" s="113">
        <v>5438</v>
      </c>
      <c r="DN25" s="113">
        <v>4283</v>
      </c>
      <c r="DO25" s="113">
        <v>5480</v>
      </c>
      <c r="DP25" s="113">
        <v>4708</v>
      </c>
      <c r="DQ25" s="113">
        <v>6017</v>
      </c>
      <c r="DR25" s="113">
        <v>4879</v>
      </c>
      <c r="DS25" s="113">
        <v>5412</v>
      </c>
      <c r="DT25" s="113">
        <v>4800</v>
      </c>
      <c r="DU25" s="113">
        <v>5233</v>
      </c>
      <c r="DV25" s="113">
        <v>4417</v>
      </c>
      <c r="DW25" s="113">
        <v>4998</v>
      </c>
      <c r="DX25" s="113">
        <v>4546</v>
      </c>
      <c r="DY25" s="113">
        <v>5299</v>
      </c>
      <c r="DZ25" s="113">
        <v>4263</v>
      </c>
      <c r="EA25" s="113">
        <v>4958</v>
      </c>
      <c r="EB25" s="113">
        <v>5074</v>
      </c>
      <c r="EC25" s="113">
        <v>4512</v>
      </c>
      <c r="ED25" s="113">
        <v>4978</v>
      </c>
      <c r="EE25" s="113">
        <v>5671</v>
      </c>
      <c r="EF25" s="113">
        <v>5543</v>
      </c>
      <c r="EG25" s="113">
        <v>6031</v>
      </c>
      <c r="EH25" s="113">
        <v>5247</v>
      </c>
      <c r="EI25" s="113">
        <v>5720</v>
      </c>
      <c r="EJ25" s="113">
        <v>5744</v>
      </c>
      <c r="EK25" s="113">
        <v>6387</v>
      </c>
      <c r="EL25" s="113">
        <v>5398</v>
      </c>
      <c r="EM25" s="113">
        <v>6054</v>
      </c>
      <c r="EN25" s="113">
        <v>6184</v>
      </c>
    </row>
    <row r="26" spans="1:144">
      <c r="A26" s="103" t="s">
        <v>2164</v>
      </c>
      <c r="B26" s="113">
        <v>235</v>
      </c>
      <c r="C26" s="113">
        <v>352</v>
      </c>
      <c r="D26" s="113">
        <v>470</v>
      </c>
      <c r="E26" s="113">
        <v>610</v>
      </c>
      <c r="F26" s="113">
        <v>860</v>
      </c>
      <c r="G26" s="113">
        <v>1432</v>
      </c>
      <c r="H26" s="113">
        <v>1863</v>
      </c>
      <c r="I26" s="113">
        <v>2601</v>
      </c>
      <c r="J26" s="113">
        <v>2970</v>
      </c>
      <c r="K26" s="113">
        <v>3772</v>
      </c>
      <c r="L26" s="113">
        <v>4379</v>
      </c>
      <c r="M26" s="113">
        <v>6299</v>
      </c>
      <c r="N26" s="113">
        <v>6595</v>
      </c>
      <c r="O26" s="113">
        <v>7735</v>
      </c>
      <c r="P26" s="113">
        <v>6097</v>
      </c>
      <c r="Q26" s="113">
        <v>6584</v>
      </c>
      <c r="R26" s="113">
        <v>7121</v>
      </c>
      <c r="S26" s="113">
        <v>8164</v>
      </c>
      <c r="T26" s="113">
        <v>9010</v>
      </c>
      <c r="U26" s="113">
        <v>8714</v>
      </c>
      <c r="V26" s="113">
        <v>9043</v>
      </c>
      <c r="W26" s="113">
        <v>9811</v>
      </c>
      <c r="X26" s="113">
        <v>10411</v>
      </c>
      <c r="Y26" s="113">
        <v>11381</v>
      </c>
      <c r="Z26" s="113">
        <v>12046</v>
      </c>
      <c r="AA26" s="113">
        <v>11988</v>
      </c>
      <c r="AB26" s="113">
        <v>13037</v>
      </c>
      <c r="AC26" s="113">
        <v>14726</v>
      </c>
      <c r="AD26" s="113">
        <v>16876</v>
      </c>
      <c r="AE26" s="113">
        <v>18568</v>
      </c>
      <c r="AG26" s="103" t="s">
        <v>2164</v>
      </c>
      <c r="AH26" s="113">
        <v>108</v>
      </c>
      <c r="AI26" s="113">
        <v>111</v>
      </c>
      <c r="AJ26" s="113">
        <v>116</v>
      </c>
      <c r="AK26" s="113">
        <v>138</v>
      </c>
      <c r="AL26" s="113">
        <v>134</v>
      </c>
      <c r="AM26" s="113">
        <v>150</v>
      </c>
      <c r="AN26" s="113">
        <v>156</v>
      </c>
      <c r="AO26" s="113">
        <v>170</v>
      </c>
      <c r="AP26" s="113">
        <v>178</v>
      </c>
      <c r="AQ26" s="113">
        <v>199</v>
      </c>
      <c r="AR26" s="113">
        <v>219</v>
      </c>
      <c r="AS26" s="113">
        <v>264</v>
      </c>
      <c r="AT26" s="113">
        <v>302</v>
      </c>
      <c r="AU26" s="113">
        <v>313</v>
      </c>
      <c r="AV26" s="113">
        <v>364</v>
      </c>
      <c r="AW26" s="113">
        <v>453</v>
      </c>
      <c r="AX26" s="113">
        <v>432</v>
      </c>
      <c r="AY26" s="113">
        <v>485</v>
      </c>
      <c r="AZ26" s="113">
        <v>492</v>
      </c>
      <c r="BA26" s="113">
        <v>516</v>
      </c>
      <c r="BB26" s="113">
        <v>567</v>
      </c>
      <c r="BC26" s="113">
        <v>627</v>
      </c>
      <c r="BD26" s="113">
        <v>597</v>
      </c>
      <c r="BE26" s="113">
        <v>810</v>
      </c>
      <c r="BF26" s="113">
        <v>651</v>
      </c>
      <c r="BG26" s="113">
        <v>715</v>
      </c>
      <c r="BH26" s="113">
        <v>664</v>
      </c>
      <c r="BI26" s="113">
        <v>940</v>
      </c>
      <c r="BJ26" s="113">
        <v>813</v>
      </c>
      <c r="BK26" s="113">
        <v>898</v>
      </c>
      <c r="BL26" s="113">
        <v>974</v>
      </c>
      <c r="BM26" s="113">
        <v>1087</v>
      </c>
      <c r="BN26" s="113">
        <v>956</v>
      </c>
      <c r="BO26" s="113">
        <v>990</v>
      </c>
      <c r="BP26" s="113">
        <v>1069</v>
      </c>
      <c r="BQ26" s="113">
        <v>1364</v>
      </c>
      <c r="BR26" s="113">
        <v>1013</v>
      </c>
      <c r="BS26" s="113">
        <v>1044</v>
      </c>
      <c r="BT26" s="113">
        <v>1066</v>
      </c>
      <c r="BU26" s="113">
        <v>1184</v>
      </c>
      <c r="BV26" s="113">
        <v>1707</v>
      </c>
      <c r="BW26" s="113">
        <v>1515</v>
      </c>
      <c r="BX26" s="113">
        <v>1692</v>
      </c>
      <c r="BY26" s="113">
        <v>1664</v>
      </c>
      <c r="BZ26" s="113">
        <v>1611</v>
      </c>
      <c r="CA26" s="113">
        <v>2971</v>
      </c>
      <c r="CB26" s="113">
        <v>1538</v>
      </c>
      <c r="CC26" s="113">
        <v>1659</v>
      </c>
      <c r="CD26" s="113">
        <v>1530</v>
      </c>
      <c r="CE26" s="113">
        <v>1421</v>
      </c>
      <c r="CF26" s="113">
        <v>1482</v>
      </c>
      <c r="CG26" s="113">
        <v>1664</v>
      </c>
      <c r="CH26" s="113">
        <v>1515</v>
      </c>
      <c r="CI26" s="113">
        <v>1591</v>
      </c>
      <c r="CJ26" s="113">
        <v>1617</v>
      </c>
      <c r="CK26" s="113">
        <v>1861</v>
      </c>
      <c r="CL26" s="113">
        <v>1786</v>
      </c>
      <c r="CM26" s="113">
        <v>1637</v>
      </c>
      <c r="CN26" s="113">
        <v>1750</v>
      </c>
      <c r="CO26" s="113">
        <v>1948</v>
      </c>
      <c r="CP26" s="113">
        <v>1837</v>
      </c>
      <c r="CQ26" s="113">
        <v>1885</v>
      </c>
      <c r="CR26" s="113">
        <v>2035</v>
      </c>
      <c r="CS26" s="113">
        <v>2348</v>
      </c>
      <c r="CT26" s="113">
        <v>2283</v>
      </c>
      <c r="CU26" s="113">
        <v>2290</v>
      </c>
      <c r="CV26" s="113">
        <v>2212</v>
      </c>
      <c r="CW26" s="113">
        <v>2225</v>
      </c>
      <c r="CX26" s="113">
        <v>2065</v>
      </c>
      <c r="CY26" s="113">
        <v>2079</v>
      </c>
      <c r="CZ26" s="113">
        <v>2220</v>
      </c>
      <c r="DA26" s="113">
        <v>2350</v>
      </c>
      <c r="DB26" s="113">
        <v>2196</v>
      </c>
      <c r="DC26" s="113">
        <v>2185</v>
      </c>
      <c r="DD26" s="113">
        <v>2269</v>
      </c>
      <c r="DE26" s="113">
        <v>2393</v>
      </c>
      <c r="DF26" s="113">
        <v>2329</v>
      </c>
      <c r="DG26" s="113">
        <v>2371</v>
      </c>
      <c r="DH26" s="113">
        <v>2517</v>
      </c>
      <c r="DI26" s="113">
        <v>2594</v>
      </c>
      <c r="DJ26" s="113">
        <v>2460</v>
      </c>
      <c r="DK26" s="113">
        <v>2528</v>
      </c>
      <c r="DL26" s="113">
        <v>2640</v>
      </c>
      <c r="DM26" s="113">
        <v>2783</v>
      </c>
      <c r="DN26" s="113">
        <v>2767</v>
      </c>
      <c r="DO26" s="113">
        <v>2748</v>
      </c>
      <c r="DP26" s="113">
        <v>2743</v>
      </c>
      <c r="DQ26" s="113">
        <v>3123</v>
      </c>
      <c r="DR26" s="113">
        <v>3065</v>
      </c>
      <c r="DS26" s="113">
        <v>2903</v>
      </c>
      <c r="DT26" s="113">
        <v>2984</v>
      </c>
      <c r="DU26" s="113">
        <v>3094</v>
      </c>
      <c r="DV26" s="113">
        <v>2962</v>
      </c>
      <c r="DW26" s="113">
        <v>2900</v>
      </c>
      <c r="DX26" s="113">
        <v>2980</v>
      </c>
      <c r="DY26" s="113">
        <v>3146</v>
      </c>
      <c r="DZ26" s="113">
        <v>3106</v>
      </c>
      <c r="EA26" s="113">
        <v>3062</v>
      </c>
      <c r="EB26" s="113">
        <v>3355</v>
      </c>
      <c r="EC26" s="113">
        <v>2769</v>
      </c>
      <c r="ED26" s="113">
        <v>3574</v>
      </c>
      <c r="EE26" s="113">
        <v>3504</v>
      </c>
      <c r="EF26" s="113">
        <v>3715</v>
      </c>
      <c r="EG26" s="113">
        <v>3933</v>
      </c>
      <c r="EH26" s="113">
        <v>3977</v>
      </c>
      <c r="EI26" s="113">
        <v>4070</v>
      </c>
      <c r="EJ26" s="113">
        <v>4316</v>
      </c>
      <c r="EK26" s="113">
        <v>4513</v>
      </c>
      <c r="EL26" s="113">
        <v>4565</v>
      </c>
      <c r="EM26" s="113">
        <v>4603</v>
      </c>
      <c r="EN26" s="113">
        <v>4887</v>
      </c>
    </row>
    <row r="27" spans="1:144">
      <c r="A27" s="103" t="s">
        <v>2165</v>
      </c>
      <c r="B27" s="113">
        <v>0</v>
      </c>
      <c r="C27" s="113">
        <v>0</v>
      </c>
      <c r="D27" s="113">
        <v>0</v>
      </c>
      <c r="E27" s="113">
        <v>0</v>
      </c>
      <c r="F27" s="113">
        <v>0</v>
      </c>
      <c r="G27" s="113">
        <v>0</v>
      </c>
      <c r="H27" s="113">
        <v>0</v>
      </c>
      <c r="I27" s="113">
        <v>0</v>
      </c>
      <c r="J27" s="113">
        <v>0</v>
      </c>
      <c r="K27" s="113">
        <v>0</v>
      </c>
      <c r="L27" s="113">
        <v>0</v>
      </c>
      <c r="M27" s="113">
        <v>0</v>
      </c>
      <c r="N27" s="113">
        <v>0</v>
      </c>
      <c r="O27" s="113">
        <v>0</v>
      </c>
      <c r="P27" s="113">
        <v>0</v>
      </c>
      <c r="Q27" s="113">
        <v>0</v>
      </c>
      <c r="R27" s="113">
        <v>0</v>
      </c>
      <c r="S27" s="113">
        <v>0</v>
      </c>
      <c r="T27" s="113">
        <v>0</v>
      </c>
      <c r="U27" s="113">
        <v>0</v>
      </c>
      <c r="V27" s="113">
        <v>0</v>
      </c>
      <c r="W27" s="113">
        <v>0</v>
      </c>
      <c r="X27" s="113">
        <v>0</v>
      </c>
      <c r="Y27" s="113">
        <v>0</v>
      </c>
      <c r="Z27" s="113">
        <v>0</v>
      </c>
      <c r="AA27" s="113">
        <v>0</v>
      </c>
      <c r="AB27" s="113">
        <v>0</v>
      </c>
      <c r="AC27" s="113">
        <v>0</v>
      </c>
      <c r="AD27" s="113">
        <v>0</v>
      </c>
      <c r="AE27" s="113">
        <v>0</v>
      </c>
      <c r="AG27" s="103" t="s">
        <v>2165</v>
      </c>
      <c r="AH27" s="113">
        <v>0</v>
      </c>
      <c r="AI27" s="113">
        <v>0</v>
      </c>
      <c r="AJ27" s="113">
        <v>0</v>
      </c>
      <c r="AK27" s="113">
        <v>0</v>
      </c>
      <c r="AL27" s="113">
        <v>0</v>
      </c>
      <c r="AM27" s="113">
        <v>0</v>
      </c>
      <c r="AN27" s="113">
        <v>0</v>
      </c>
      <c r="AO27" s="113">
        <v>0</v>
      </c>
      <c r="AP27" s="113">
        <v>0</v>
      </c>
      <c r="AQ27" s="113">
        <v>0</v>
      </c>
      <c r="AR27" s="113">
        <v>0</v>
      </c>
      <c r="AS27" s="113">
        <v>0</v>
      </c>
      <c r="AT27" s="113">
        <v>0</v>
      </c>
      <c r="AU27" s="113">
        <v>0</v>
      </c>
      <c r="AV27" s="113">
        <v>0</v>
      </c>
      <c r="AW27" s="113">
        <v>0</v>
      </c>
      <c r="AX27" s="113">
        <v>0</v>
      </c>
      <c r="AY27" s="113">
        <v>0</v>
      </c>
      <c r="AZ27" s="113">
        <v>0</v>
      </c>
      <c r="BA27" s="113">
        <v>0</v>
      </c>
      <c r="BB27" s="113">
        <v>0</v>
      </c>
      <c r="BC27" s="113">
        <v>0</v>
      </c>
      <c r="BD27" s="113">
        <v>0</v>
      </c>
      <c r="BE27" s="113">
        <v>0</v>
      </c>
      <c r="BF27" s="113">
        <v>0</v>
      </c>
      <c r="BG27" s="113">
        <v>0</v>
      </c>
      <c r="BH27" s="113">
        <v>0</v>
      </c>
      <c r="BI27" s="113">
        <v>0</v>
      </c>
      <c r="BJ27" s="113">
        <v>0</v>
      </c>
      <c r="BK27" s="113">
        <v>0</v>
      </c>
      <c r="BL27" s="113">
        <v>0</v>
      </c>
      <c r="BM27" s="113">
        <v>0</v>
      </c>
      <c r="BN27" s="113">
        <v>0</v>
      </c>
      <c r="BO27" s="113">
        <v>0</v>
      </c>
      <c r="BP27" s="113">
        <v>0</v>
      </c>
      <c r="BQ27" s="113">
        <v>0</v>
      </c>
      <c r="BR27" s="113">
        <v>0</v>
      </c>
      <c r="BS27" s="113">
        <v>0</v>
      </c>
      <c r="BT27" s="113">
        <v>0</v>
      </c>
      <c r="BU27" s="113">
        <v>0</v>
      </c>
      <c r="BV27" s="113">
        <v>0</v>
      </c>
      <c r="BW27" s="113">
        <v>0</v>
      </c>
      <c r="BX27" s="113">
        <v>0</v>
      </c>
      <c r="BY27" s="113">
        <v>0</v>
      </c>
      <c r="BZ27" s="113">
        <v>0</v>
      </c>
      <c r="CA27" s="113">
        <v>0</v>
      </c>
      <c r="CB27" s="113">
        <v>0</v>
      </c>
      <c r="CC27" s="113">
        <v>0</v>
      </c>
      <c r="CD27" s="113">
        <v>0</v>
      </c>
      <c r="CE27" s="113">
        <v>0</v>
      </c>
      <c r="CF27" s="113">
        <v>0</v>
      </c>
      <c r="CG27" s="113">
        <v>0</v>
      </c>
      <c r="CH27" s="113">
        <v>0</v>
      </c>
      <c r="CI27" s="113">
        <v>0</v>
      </c>
      <c r="CJ27" s="113">
        <v>0</v>
      </c>
      <c r="CK27" s="113">
        <v>0</v>
      </c>
      <c r="CL27" s="113">
        <v>0</v>
      </c>
      <c r="CM27" s="113">
        <v>0</v>
      </c>
      <c r="CN27" s="113">
        <v>0</v>
      </c>
      <c r="CO27" s="113">
        <v>0</v>
      </c>
      <c r="CP27" s="113">
        <v>0</v>
      </c>
      <c r="CQ27" s="113">
        <v>0</v>
      </c>
      <c r="CR27" s="113">
        <v>0</v>
      </c>
      <c r="CS27" s="113">
        <v>0</v>
      </c>
      <c r="CT27" s="113">
        <v>0</v>
      </c>
      <c r="CU27" s="113">
        <v>0</v>
      </c>
      <c r="CV27" s="113">
        <v>0</v>
      </c>
      <c r="CW27" s="113">
        <v>0</v>
      </c>
      <c r="CX27" s="113">
        <v>0</v>
      </c>
      <c r="CY27" s="113">
        <v>0</v>
      </c>
      <c r="CZ27" s="113">
        <v>0</v>
      </c>
      <c r="DA27" s="113">
        <v>0</v>
      </c>
      <c r="DB27" s="113">
        <v>0</v>
      </c>
      <c r="DC27" s="113">
        <v>0</v>
      </c>
      <c r="DD27" s="113">
        <v>0</v>
      </c>
      <c r="DE27" s="113">
        <v>0</v>
      </c>
      <c r="DF27" s="113">
        <v>0</v>
      </c>
      <c r="DG27" s="113">
        <v>0</v>
      </c>
      <c r="DH27" s="113">
        <v>0</v>
      </c>
      <c r="DI27" s="113">
        <v>0</v>
      </c>
      <c r="DJ27" s="113">
        <v>0</v>
      </c>
      <c r="DK27" s="113">
        <v>0</v>
      </c>
      <c r="DL27" s="113">
        <v>0</v>
      </c>
      <c r="DM27" s="113">
        <v>0</v>
      </c>
      <c r="DN27" s="113">
        <v>0</v>
      </c>
      <c r="DO27" s="113">
        <v>0</v>
      </c>
      <c r="DP27" s="113">
        <v>0</v>
      </c>
      <c r="DQ27" s="113">
        <v>0</v>
      </c>
      <c r="DR27" s="113">
        <v>0</v>
      </c>
      <c r="DS27" s="113">
        <v>0</v>
      </c>
      <c r="DT27" s="113">
        <v>0</v>
      </c>
      <c r="DU27" s="113">
        <v>0</v>
      </c>
      <c r="DV27" s="113">
        <v>0</v>
      </c>
      <c r="DW27" s="113">
        <v>0</v>
      </c>
      <c r="DX27" s="113">
        <v>0</v>
      </c>
      <c r="DY27" s="113">
        <v>0</v>
      </c>
      <c r="DZ27" s="113">
        <v>0</v>
      </c>
      <c r="EA27" s="113">
        <v>0</v>
      </c>
      <c r="EB27" s="113">
        <v>0</v>
      </c>
      <c r="EC27" s="113">
        <v>0</v>
      </c>
      <c r="ED27" s="113">
        <v>0</v>
      </c>
      <c r="EE27" s="113">
        <v>0</v>
      </c>
      <c r="EF27" s="113">
        <v>0</v>
      </c>
      <c r="EG27" s="113">
        <v>0</v>
      </c>
      <c r="EH27" s="113">
        <v>0</v>
      </c>
      <c r="EI27" s="113">
        <v>0</v>
      </c>
      <c r="EJ27" s="113">
        <v>0</v>
      </c>
      <c r="EK27" s="113">
        <v>0</v>
      </c>
      <c r="EL27" s="113">
        <v>0</v>
      </c>
      <c r="EM27" s="113">
        <v>0</v>
      </c>
      <c r="EN27" s="113">
        <v>0</v>
      </c>
    </row>
    <row r="28" spans="1:144">
      <c r="A28" s="103" t="s">
        <v>2166</v>
      </c>
      <c r="B28" s="113">
        <v>0</v>
      </c>
      <c r="C28" s="113">
        <v>0</v>
      </c>
      <c r="D28" s="113">
        <v>0</v>
      </c>
      <c r="E28" s="113">
        <v>0</v>
      </c>
      <c r="F28" s="113">
        <v>0</v>
      </c>
      <c r="G28" s="113">
        <v>19</v>
      </c>
      <c r="H28" s="113">
        <v>259</v>
      </c>
      <c r="I28" s="113">
        <v>230</v>
      </c>
      <c r="J28" s="113">
        <v>0</v>
      </c>
      <c r="K28" s="113">
        <v>0</v>
      </c>
      <c r="L28" s="113">
        <v>0</v>
      </c>
      <c r="M28" s="113">
        <v>0</v>
      </c>
      <c r="N28" s="113">
        <v>0</v>
      </c>
      <c r="O28" s="113">
        <v>0</v>
      </c>
      <c r="P28" s="113">
        <v>0</v>
      </c>
      <c r="Q28" s="113">
        <v>0</v>
      </c>
      <c r="R28" s="113">
        <v>0</v>
      </c>
      <c r="S28" s="113">
        <v>0</v>
      </c>
      <c r="T28" s="113">
        <v>0</v>
      </c>
      <c r="U28" s="113">
        <v>0</v>
      </c>
      <c r="V28" s="113">
        <v>0</v>
      </c>
      <c r="W28" s="113">
        <v>0</v>
      </c>
      <c r="X28" s="113">
        <v>0</v>
      </c>
      <c r="Y28" s="113">
        <v>0</v>
      </c>
      <c r="Z28" s="113">
        <v>0</v>
      </c>
      <c r="AA28" s="113">
        <v>0</v>
      </c>
      <c r="AB28" s="113">
        <v>0</v>
      </c>
      <c r="AC28" s="113">
        <v>0</v>
      </c>
      <c r="AD28" s="113">
        <v>0</v>
      </c>
      <c r="AE28" s="113">
        <v>0</v>
      </c>
      <c r="AG28" s="103" t="s">
        <v>2166</v>
      </c>
      <c r="AH28" s="113">
        <v>0</v>
      </c>
      <c r="AI28" s="113">
        <v>0</v>
      </c>
      <c r="AJ28" s="113">
        <v>0</v>
      </c>
      <c r="AK28" s="113">
        <v>0</v>
      </c>
      <c r="AL28" s="113">
        <v>0</v>
      </c>
      <c r="AM28" s="113">
        <v>0</v>
      </c>
      <c r="AN28" s="113">
        <v>0</v>
      </c>
      <c r="AO28" s="113">
        <v>0</v>
      </c>
      <c r="AP28" s="113">
        <v>0</v>
      </c>
      <c r="AQ28" s="113">
        <v>0</v>
      </c>
      <c r="AR28" s="113">
        <v>0</v>
      </c>
      <c r="AS28" s="113">
        <v>0</v>
      </c>
      <c r="AT28" s="113">
        <v>0</v>
      </c>
      <c r="AU28" s="113">
        <v>0</v>
      </c>
      <c r="AV28" s="113">
        <v>0</v>
      </c>
      <c r="AW28" s="113">
        <v>0</v>
      </c>
      <c r="AX28" s="113">
        <v>0</v>
      </c>
      <c r="AY28" s="113">
        <v>0</v>
      </c>
      <c r="AZ28" s="113">
        <v>0</v>
      </c>
      <c r="BA28" s="113">
        <v>259</v>
      </c>
      <c r="BB28" s="113">
        <v>71</v>
      </c>
      <c r="BC28" s="113">
        <v>50</v>
      </c>
      <c r="BD28" s="113">
        <v>60</v>
      </c>
      <c r="BE28" s="113">
        <v>49</v>
      </c>
      <c r="BF28" s="113">
        <v>24</v>
      </c>
      <c r="BG28" s="113">
        <v>35</v>
      </c>
      <c r="BH28" s="113">
        <v>1</v>
      </c>
      <c r="BI28" s="113">
        <v>55</v>
      </c>
      <c r="BJ28" s="113">
        <v>0</v>
      </c>
      <c r="BK28" s="113">
        <v>0</v>
      </c>
      <c r="BL28" s="113">
        <v>0</v>
      </c>
      <c r="BM28" s="113">
        <v>0</v>
      </c>
      <c r="BN28" s="113">
        <v>0</v>
      </c>
      <c r="BO28" s="113">
        <v>0</v>
      </c>
      <c r="BP28" s="113">
        <v>0</v>
      </c>
      <c r="BQ28" s="113">
        <v>0</v>
      </c>
      <c r="BR28" s="113">
        <v>0</v>
      </c>
      <c r="BS28" s="113">
        <v>0</v>
      </c>
      <c r="BT28" s="113">
        <v>0</v>
      </c>
      <c r="BU28" s="113">
        <v>0</v>
      </c>
      <c r="BV28" s="113">
        <v>0</v>
      </c>
      <c r="BW28" s="113">
        <v>0</v>
      </c>
      <c r="BX28" s="113">
        <v>0</v>
      </c>
      <c r="BY28" s="113">
        <v>0</v>
      </c>
      <c r="BZ28" s="113">
        <v>0</v>
      </c>
      <c r="CA28" s="113">
        <v>0</v>
      </c>
      <c r="CB28" s="113">
        <v>0</v>
      </c>
      <c r="CC28" s="113">
        <v>0</v>
      </c>
      <c r="CD28" s="113">
        <v>0</v>
      </c>
      <c r="CE28" s="113">
        <v>0</v>
      </c>
      <c r="CF28" s="113">
        <v>0</v>
      </c>
      <c r="CG28" s="113">
        <v>0</v>
      </c>
      <c r="CH28" s="113">
        <v>0</v>
      </c>
      <c r="CI28" s="113">
        <v>0</v>
      </c>
      <c r="CJ28" s="113">
        <v>0</v>
      </c>
      <c r="CK28" s="113">
        <v>0</v>
      </c>
      <c r="CL28" s="113">
        <v>0</v>
      </c>
      <c r="CM28" s="113">
        <v>0</v>
      </c>
      <c r="CN28" s="113">
        <v>0</v>
      </c>
      <c r="CO28" s="113">
        <v>0</v>
      </c>
      <c r="CP28" s="113">
        <v>0</v>
      </c>
      <c r="CQ28" s="113">
        <v>0</v>
      </c>
      <c r="CR28" s="113">
        <v>0</v>
      </c>
      <c r="CS28" s="113">
        <v>0</v>
      </c>
      <c r="CT28" s="113">
        <v>0</v>
      </c>
      <c r="CU28" s="113">
        <v>0</v>
      </c>
      <c r="CV28" s="113">
        <v>0</v>
      </c>
      <c r="CW28" s="113">
        <v>0</v>
      </c>
      <c r="CX28" s="113">
        <v>0</v>
      </c>
      <c r="CY28" s="113">
        <v>0</v>
      </c>
      <c r="CZ28" s="113">
        <v>0</v>
      </c>
      <c r="DA28" s="113">
        <v>0</v>
      </c>
      <c r="DB28" s="113">
        <v>0</v>
      </c>
      <c r="DC28" s="113">
        <v>0</v>
      </c>
      <c r="DD28" s="113">
        <v>0</v>
      </c>
      <c r="DE28" s="113">
        <v>0</v>
      </c>
      <c r="DF28" s="113">
        <v>0</v>
      </c>
      <c r="DG28" s="113">
        <v>0</v>
      </c>
      <c r="DH28" s="113">
        <v>0</v>
      </c>
      <c r="DI28" s="113">
        <v>0</v>
      </c>
      <c r="DJ28" s="113">
        <v>0</v>
      </c>
      <c r="DK28" s="113">
        <v>0</v>
      </c>
      <c r="DL28" s="113">
        <v>0</v>
      </c>
      <c r="DM28" s="113">
        <v>0</v>
      </c>
      <c r="DN28" s="113">
        <v>0</v>
      </c>
      <c r="DO28" s="113">
        <v>0</v>
      </c>
      <c r="DP28" s="113">
        <v>0</v>
      </c>
      <c r="DQ28" s="113">
        <v>0</v>
      </c>
      <c r="DR28" s="113">
        <v>0</v>
      </c>
      <c r="DS28" s="113">
        <v>0</v>
      </c>
      <c r="DT28" s="113">
        <v>0</v>
      </c>
      <c r="DU28" s="113">
        <v>0</v>
      </c>
      <c r="DV28" s="113">
        <v>0</v>
      </c>
      <c r="DW28" s="113">
        <v>0</v>
      </c>
      <c r="DX28" s="113">
        <v>0</v>
      </c>
      <c r="DY28" s="113">
        <v>0</v>
      </c>
      <c r="DZ28" s="113">
        <v>0</v>
      </c>
      <c r="EA28" s="113">
        <v>0</v>
      </c>
      <c r="EB28" s="113">
        <v>0</v>
      </c>
      <c r="EC28" s="113">
        <v>0</v>
      </c>
      <c r="ED28" s="113">
        <v>0</v>
      </c>
      <c r="EE28" s="113">
        <v>0</v>
      </c>
      <c r="EF28" s="113">
        <v>0</v>
      </c>
      <c r="EG28" s="113">
        <v>0</v>
      </c>
      <c r="EH28" s="113">
        <v>0</v>
      </c>
      <c r="EI28" s="113">
        <v>0</v>
      </c>
      <c r="EJ28" s="113">
        <v>0</v>
      </c>
      <c r="EK28" s="113">
        <v>0</v>
      </c>
      <c r="EL28" s="113">
        <v>0</v>
      </c>
      <c r="EM28" s="113">
        <v>0</v>
      </c>
      <c r="EN28" s="113">
        <v>0</v>
      </c>
    </row>
    <row r="29" spans="1:144">
      <c r="A29" s="103"/>
      <c r="B29" s="103"/>
      <c r="C29" s="103"/>
      <c r="D29" s="103"/>
      <c r="E29" s="103"/>
      <c r="F29" s="103"/>
      <c r="G29" s="103"/>
      <c r="H29" s="103"/>
      <c r="I29" s="103"/>
      <c r="J29" s="103"/>
      <c r="K29" s="103"/>
      <c r="L29" s="103"/>
      <c r="M29" s="103"/>
      <c r="N29" s="103"/>
      <c r="O29" s="103"/>
      <c r="P29" s="103"/>
      <c r="Q29" s="103"/>
      <c r="R29" s="103"/>
      <c r="S29" s="103"/>
      <c r="T29" s="103"/>
      <c r="U29" s="103"/>
      <c r="V29" s="103"/>
      <c r="W29" s="103"/>
      <c r="X29" s="103"/>
      <c r="Y29" s="103"/>
      <c r="Z29" s="103"/>
      <c r="AA29" s="103"/>
      <c r="AB29" s="103"/>
      <c r="AC29" s="103"/>
      <c r="AD29" s="103"/>
      <c r="AE29" s="103"/>
      <c r="AG29" s="103"/>
      <c r="AH29" s="103"/>
      <c r="AI29" s="103"/>
      <c r="AJ29" s="103"/>
      <c r="AK29" s="103"/>
      <c r="AL29" s="103"/>
      <c r="AM29" s="103"/>
      <c r="AN29" s="103"/>
      <c r="AO29" s="103"/>
      <c r="AP29" s="103"/>
      <c r="AQ29" s="103"/>
      <c r="AR29" s="103"/>
      <c r="AS29" s="103"/>
      <c r="AT29" s="103"/>
      <c r="AU29" s="103"/>
      <c r="AV29" s="103"/>
      <c r="AW29" s="103"/>
      <c r="AX29" s="103"/>
      <c r="AY29" s="103"/>
      <c r="AZ29" s="103"/>
      <c r="BA29" s="103"/>
      <c r="BB29" s="103"/>
      <c r="BC29" s="103"/>
      <c r="BD29" s="103"/>
      <c r="BE29" s="103"/>
      <c r="BF29" s="103"/>
      <c r="BG29" s="103"/>
      <c r="BH29" s="103"/>
      <c r="BI29" s="103"/>
      <c r="BJ29" s="103"/>
      <c r="BK29" s="103"/>
      <c r="BL29" s="103"/>
      <c r="BM29" s="103"/>
      <c r="BN29" s="103"/>
      <c r="BO29" s="103"/>
      <c r="BP29" s="103"/>
      <c r="BQ29" s="103"/>
      <c r="BR29" s="103"/>
      <c r="BS29" s="103"/>
      <c r="BT29" s="103"/>
      <c r="BU29" s="103"/>
      <c r="BV29" s="103"/>
      <c r="BW29" s="103"/>
      <c r="BX29" s="103"/>
      <c r="BY29" s="103"/>
      <c r="BZ29" s="103"/>
      <c r="CA29" s="103"/>
      <c r="CB29" s="103"/>
      <c r="CC29" s="103"/>
      <c r="CD29" s="103"/>
      <c r="CE29" s="103"/>
      <c r="CF29" s="103"/>
      <c r="CG29" s="103"/>
      <c r="CH29" s="103"/>
      <c r="CI29" s="103"/>
      <c r="CJ29" s="103"/>
      <c r="CK29" s="103"/>
      <c r="CL29" s="103"/>
      <c r="CM29" s="103"/>
      <c r="CN29" s="103"/>
      <c r="CO29" s="103"/>
      <c r="CP29" s="103"/>
      <c r="CQ29" s="103"/>
      <c r="CR29" s="103"/>
      <c r="CS29" s="103"/>
      <c r="CT29" s="103"/>
      <c r="CU29" s="103"/>
      <c r="CV29" s="103"/>
      <c r="CW29" s="103"/>
      <c r="CX29" s="103"/>
      <c r="CY29" s="103"/>
      <c r="CZ29" s="103"/>
      <c r="DA29" s="103"/>
      <c r="DB29" s="103"/>
      <c r="DC29" s="103"/>
      <c r="DD29" s="103"/>
      <c r="DE29" s="103"/>
      <c r="DF29" s="103"/>
      <c r="DG29" s="103"/>
      <c r="DH29" s="103"/>
      <c r="DI29" s="103"/>
      <c r="DJ29" s="103"/>
      <c r="DK29" s="103"/>
      <c r="DL29" s="103"/>
      <c r="DM29" s="103"/>
      <c r="DN29" s="103"/>
      <c r="DO29" s="103"/>
      <c r="DP29" s="103"/>
      <c r="DQ29" s="103"/>
      <c r="DR29" s="103"/>
      <c r="DS29" s="103"/>
      <c r="DT29" s="103"/>
      <c r="DU29" s="103"/>
      <c r="DV29" s="103"/>
      <c r="DW29" s="103"/>
      <c r="DX29" s="103"/>
      <c r="DY29" s="103"/>
      <c r="DZ29" s="103"/>
      <c r="EA29" s="103"/>
      <c r="EB29" s="103"/>
      <c r="EC29" s="103"/>
      <c r="ED29" s="103"/>
      <c r="EE29" s="103"/>
      <c r="EF29" s="103"/>
      <c r="EG29" s="103"/>
      <c r="EH29" s="103"/>
      <c r="EI29" s="103"/>
      <c r="EJ29" s="103"/>
      <c r="EK29" s="103"/>
      <c r="EL29" s="103"/>
      <c r="EM29" s="103"/>
      <c r="EN29" s="103"/>
    </row>
    <row r="30" spans="1:144" ht="10.5">
      <c r="A30" s="112" t="s">
        <v>2167</v>
      </c>
      <c r="B30" s="114">
        <v>831</v>
      </c>
      <c r="C30" s="114">
        <v>1296</v>
      </c>
      <c r="D30" s="114">
        <v>1794</v>
      </c>
      <c r="E30" s="114">
        <v>2160</v>
      </c>
      <c r="F30" s="114">
        <v>3022</v>
      </c>
      <c r="G30" s="114">
        <v>4424</v>
      </c>
      <c r="H30" s="114">
        <v>4895</v>
      </c>
      <c r="I30" s="114">
        <v>6092</v>
      </c>
      <c r="J30" s="114">
        <v>6923</v>
      </c>
      <c r="K30" s="114">
        <v>8948</v>
      </c>
      <c r="L30" s="114">
        <v>10121</v>
      </c>
      <c r="M30" s="114">
        <v>14394</v>
      </c>
      <c r="N30" s="114">
        <v>15833</v>
      </c>
      <c r="O30" s="114">
        <v>18375</v>
      </c>
      <c r="P30" s="114">
        <v>16886</v>
      </c>
      <c r="Q30" s="114">
        <v>18860</v>
      </c>
      <c r="R30" s="114">
        <v>21480</v>
      </c>
      <c r="S30" s="114">
        <v>24751</v>
      </c>
      <c r="T30" s="114">
        <v>25589</v>
      </c>
      <c r="U30" s="114">
        <v>25991</v>
      </c>
      <c r="V30" s="114">
        <v>27205</v>
      </c>
      <c r="W30" s="114">
        <v>28237</v>
      </c>
      <c r="X30" s="114">
        <v>29967</v>
      </c>
      <c r="Y30" s="114">
        <v>31869</v>
      </c>
      <c r="Z30" s="114">
        <v>32370</v>
      </c>
      <c r="AA30" s="114">
        <v>31186</v>
      </c>
      <c r="AB30" s="114">
        <v>32979</v>
      </c>
      <c r="AC30" s="114">
        <v>36949</v>
      </c>
      <c r="AD30" s="114">
        <v>39974</v>
      </c>
      <c r="AE30" s="114">
        <v>42591</v>
      </c>
      <c r="AG30" s="112" t="s">
        <v>2167</v>
      </c>
      <c r="AH30" s="114">
        <v>424.5</v>
      </c>
      <c r="AI30" s="114">
        <v>455</v>
      </c>
      <c r="AJ30" s="114">
        <v>459</v>
      </c>
      <c r="AK30" s="114">
        <v>486</v>
      </c>
      <c r="AL30" s="114">
        <v>481</v>
      </c>
      <c r="AM30" s="114">
        <v>529</v>
      </c>
      <c r="AN30" s="114">
        <v>556</v>
      </c>
      <c r="AO30" s="114">
        <v>594</v>
      </c>
      <c r="AP30" s="114">
        <v>624</v>
      </c>
      <c r="AQ30" s="114">
        <v>740</v>
      </c>
      <c r="AR30" s="114">
        <v>803</v>
      </c>
      <c r="AS30" s="114">
        <v>855</v>
      </c>
      <c r="AT30" s="114">
        <v>986</v>
      </c>
      <c r="AU30" s="114">
        <v>1079</v>
      </c>
      <c r="AV30" s="114">
        <v>1136</v>
      </c>
      <c r="AW30" s="114">
        <v>1204</v>
      </c>
      <c r="AX30" s="114">
        <v>1143</v>
      </c>
      <c r="AY30" s="114">
        <v>1303</v>
      </c>
      <c r="AZ30" s="114">
        <v>1343</v>
      </c>
      <c r="BA30" s="114">
        <v>1613</v>
      </c>
      <c r="BB30" s="114">
        <v>1521</v>
      </c>
      <c r="BC30" s="114">
        <v>1659</v>
      </c>
      <c r="BD30" s="114">
        <v>1590</v>
      </c>
      <c r="BE30" s="114">
        <v>1322</v>
      </c>
      <c r="BF30" s="114">
        <v>1462</v>
      </c>
      <c r="BG30" s="114">
        <v>1693</v>
      </c>
      <c r="BH30" s="114">
        <v>1658</v>
      </c>
      <c r="BI30" s="114">
        <v>2192</v>
      </c>
      <c r="BJ30" s="114">
        <v>1883</v>
      </c>
      <c r="BK30" s="114">
        <v>2425</v>
      </c>
      <c r="BL30" s="114">
        <v>2169</v>
      </c>
      <c r="BM30" s="114">
        <v>2471</v>
      </c>
      <c r="BN30" s="114">
        <v>2164</v>
      </c>
      <c r="BO30" s="114">
        <v>2492</v>
      </c>
      <c r="BP30" s="114">
        <v>2506</v>
      </c>
      <c r="BQ30" s="114">
        <v>2959</v>
      </c>
      <c r="BR30" s="114">
        <v>2345</v>
      </c>
      <c r="BS30" s="114">
        <v>2696</v>
      </c>
      <c r="BT30" s="114">
        <v>2552</v>
      </c>
      <c r="BU30" s="114">
        <v>3011</v>
      </c>
      <c r="BV30" s="114">
        <v>3374</v>
      </c>
      <c r="BW30" s="114">
        <v>3961</v>
      </c>
      <c r="BX30" s="114">
        <v>3817</v>
      </c>
      <c r="BY30" s="114">
        <v>4198</v>
      </c>
      <c r="BZ30" s="114">
        <v>3587</v>
      </c>
      <c r="CA30" s="114">
        <v>6334</v>
      </c>
      <c r="CB30" s="114">
        <v>3961</v>
      </c>
      <c r="CC30" s="114">
        <v>4678</v>
      </c>
      <c r="CD30" s="114">
        <v>3754</v>
      </c>
      <c r="CE30" s="114">
        <v>4194</v>
      </c>
      <c r="CF30" s="114">
        <v>3543</v>
      </c>
      <c r="CG30" s="114">
        <v>5549</v>
      </c>
      <c r="CH30" s="114">
        <v>3993</v>
      </c>
      <c r="CI30" s="114">
        <v>4875</v>
      </c>
      <c r="CJ30" s="114">
        <v>4587</v>
      </c>
      <c r="CK30" s="114">
        <v>5386</v>
      </c>
      <c r="CL30" s="114">
        <v>4554</v>
      </c>
      <c r="CM30" s="114">
        <v>5339</v>
      </c>
      <c r="CN30" s="114">
        <v>5373</v>
      </c>
      <c r="CO30" s="114">
        <v>6128</v>
      </c>
      <c r="CP30" s="114">
        <v>5238</v>
      </c>
      <c r="CQ30" s="114">
        <v>6371</v>
      </c>
      <c r="CR30" s="114">
        <v>6150</v>
      </c>
      <c r="CS30" s="114">
        <v>7233</v>
      </c>
      <c r="CT30" s="114">
        <v>6214</v>
      </c>
      <c r="CU30" s="114">
        <v>6783</v>
      </c>
      <c r="CV30" s="114">
        <v>6049</v>
      </c>
      <c r="CW30" s="114">
        <v>6293</v>
      </c>
      <c r="CX30" s="114">
        <v>5596</v>
      </c>
      <c r="CY30" s="114">
        <v>6881</v>
      </c>
      <c r="CZ30" s="114">
        <v>6575</v>
      </c>
      <c r="DA30" s="114">
        <v>6880</v>
      </c>
      <c r="DB30" s="114">
        <v>5940</v>
      </c>
      <c r="DC30" s="114">
        <v>6955</v>
      </c>
      <c r="DD30" s="114">
        <v>6822</v>
      </c>
      <c r="DE30" s="114">
        <v>7488</v>
      </c>
      <c r="DF30" s="114">
        <v>6392</v>
      </c>
      <c r="DG30" s="114">
        <v>7253</v>
      </c>
      <c r="DH30" s="114">
        <v>7081</v>
      </c>
      <c r="DI30" s="114">
        <v>7511</v>
      </c>
      <c r="DJ30" s="114">
        <v>6532</v>
      </c>
      <c r="DK30" s="114">
        <v>7993</v>
      </c>
      <c r="DL30" s="114">
        <v>7357</v>
      </c>
      <c r="DM30" s="114">
        <v>8221</v>
      </c>
      <c r="DN30" s="114">
        <v>7050</v>
      </c>
      <c r="DO30" s="114">
        <v>8228</v>
      </c>
      <c r="DP30" s="114">
        <v>7451</v>
      </c>
      <c r="DQ30" s="114">
        <v>9140</v>
      </c>
      <c r="DR30" s="114">
        <v>7944</v>
      </c>
      <c r="DS30" s="114">
        <v>8315</v>
      </c>
      <c r="DT30" s="114">
        <v>7784</v>
      </c>
      <c r="DU30" s="114">
        <v>8327</v>
      </c>
      <c r="DV30" s="114">
        <v>7379</v>
      </c>
      <c r="DW30" s="114">
        <v>7898</v>
      </c>
      <c r="DX30" s="114">
        <v>7526</v>
      </c>
      <c r="DY30" s="114">
        <v>8445</v>
      </c>
      <c r="DZ30" s="114">
        <v>7369</v>
      </c>
      <c r="EA30" s="114">
        <v>8020</v>
      </c>
      <c r="EB30" s="114">
        <v>8429</v>
      </c>
      <c r="EC30" s="114">
        <v>7281</v>
      </c>
      <c r="ED30" s="114">
        <v>8552</v>
      </c>
      <c r="EE30" s="114">
        <v>9175</v>
      </c>
      <c r="EF30" s="114">
        <v>9258</v>
      </c>
      <c r="EG30" s="114">
        <v>9964</v>
      </c>
      <c r="EH30" s="114">
        <v>9224</v>
      </c>
      <c r="EI30" s="114">
        <v>9790</v>
      </c>
      <c r="EJ30" s="114">
        <v>10060</v>
      </c>
      <c r="EK30" s="114">
        <v>10900</v>
      </c>
      <c r="EL30" s="114">
        <v>9963</v>
      </c>
      <c r="EM30" s="114">
        <v>10657</v>
      </c>
      <c r="EN30" s="114">
        <v>11071</v>
      </c>
    </row>
    <row r="31" spans="1:144">
      <c r="A31" s="103"/>
      <c r="B31" s="103"/>
      <c r="C31" s="103"/>
      <c r="D31" s="103"/>
      <c r="E31" s="103"/>
      <c r="F31" s="103"/>
      <c r="G31" s="103"/>
      <c r="H31" s="103"/>
      <c r="I31" s="103"/>
      <c r="J31" s="103"/>
      <c r="K31" s="103"/>
      <c r="L31" s="103"/>
      <c r="M31" s="103"/>
      <c r="N31" s="103"/>
      <c r="O31" s="103"/>
      <c r="P31" s="103"/>
      <c r="Q31" s="103"/>
      <c r="R31" s="103"/>
      <c r="S31" s="103"/>
      <c r="T31" s="103"/>
      <c r="U31" s="103"/>
      <c r="V31" s="103"/>
      <c r="W31" s="103"/>
      <c r="X31" s="103"/>
      <c r="Y31" s="103"/>
      <c r="Z31" s="103"/>
      <c r="AA31" s="103"/>
      <c r="AB31" s="103"/>
      <c r="AC31" s="103"/>
      <c r="AD31" s="103"/>
      <c r="AE31" s="103"/>
      <c r="AG31" s="103"/>
      <c r="AH31" s="103"/>
      <c r="AI31" s="103"/>
      <c r="AJ31" s="103"/>
      <c r="AK31" s="103"/>
      <c r="AL31" s="103"/>
      <c r="AM31" s="103"/>
      <c r="AN31" s="103"/>
      <c r="AO31" s="103"/>
      <c r="AP31" s="103"/>
      <c r="AQ31" s="103"/>
      <c r="AR31" s="103"/>
      <c r="AS31" s="103"/>
      <c r="AT31" s="103"/>
      <c r="AU31" s="103"/>
      <c r="AV31" s="103"/>
      <c r="AW31" s="103"/>
      <c r="AX31" s="103"/>
      <c r="AY31" s="103"/>
      <c r="AZ31" s="103"/>
      <c r="BA31" s="103"/>
      <c r="BB31" s="103"/>
      <c r="BC31" s="103"/>
      <c r="BD31" s="103"/>
      <c r="BE31" s="103"/>
      <c r="BF31" s="103"/>
      <c r="BG31" s="103"/>
      <c r="BH31" s="103"/>
      <c r="BI31" s="103"/>
      <c r="BJ31" s="103"/>
      <c r="BK31" s="103"/>
      <c r="BL31" s="103"/>
      <c r="BM31" s="103"/>
      <c r="BN31" s="103"/>
      <c r="BO31" s="103"/>
      <c r="BP31" s="103"/>
      <c r="BQ31" s="103"/>
      <c r="BR31" s="103"/>
      <c r="BS31" s="103"/>
      <c r="BT31" s="103"/>
      <c r="BU31" s="103"/>
      <c r="BV31" s="103"/>
      <c r="BW31" s="103"/>
      <c r="BX31" s="103"/>
      <c r="BY31" s="103"/>
      <c r="BZ31" s="103"/>
      <c r="CA31" s="103"/>
      <c r="CB31" s="103"/>
      <c r="CC31" s="103"/>
      <c r="CD31" s="103"/>
      <c r="CE31" s="103"/>
      <c r="CF31" s="103"/>
      <c r="CG31" s="103"/>
      <c r="CH31" s="103"/>
      <c r="CI31" s="103"/>
      <c r="CJ31" s="103"/>
      <c r="CK31" s="103"/>
      <c r="CL31" s="103"/>
      <c r="CM31" s="103"/>
      <c r="CN31" s="103"/>
      <c r="CO31" s="103"/>
      <c r="CP31" s="103"/>
      <c r="CQ31" s="103"/>
      <c r="CR31" s="103"/>
      <c r="CS31" s="103"/>
      <c r="CT31" s="103"/>
      <c r="CU31" s="103"/>
      <c r="CV31" s="103"/>
      <c r="CW31" s="103"/>
      <c r="CX31" s="103"/>
      <c r="CY31" s="103"/>
      <c r="CZ31" s="103"/>
      <c r="DA31" s="103"/>
      <c r="DB31" s="103"/>
      <c r="DC31" s="103"/>
      <c r="DD31" s="103"/>
      <c r="DE31" s="103"/>
      <c r="DF31" s="103"/>
      <c r="DG31" s="103"/>
      <c r="DH31" s="103"/>
      <c r="DI31" s="103"/>
      <c r="DJ31" s="103"/>
      <c r="DK31" s="103"/>
      <c r="DL31" s="103"/>
      <c r="DM31" s="103"/>
      <c r="DN31" s="103"/>
      <c r="DO31" s="103"/>
      <c r="DP31" s="103"/>
      <c r="DQ31" s="103"/>
      <c r="DR31" s="103"/>
      <c r="DS31" s="103"/>
      <c r="DT31" s="103"/>
      <c r="DU31" s="103"/>
      <c r="DV31" s="103"/>
      <c r="DW31" s="103"/>
      <c r="DX31" s="103"/>
      <c r="DY31" s="103"/>
      <c r="DZ31" s="103"/>
      <c r="EA31" s="103"/>
      <c r="EB31" s="103"/>
      <c r="EC31" s="103"/>
      <c r="ED31" s="103"/>
      <c r="EE31" s="103"/>
      <c r="EF31" s="103"/>
      <c r="EG31" s="103"/>
      <c r="EH31" s="103"/>
      <c r="EI31" s="103"/>
      <c r="EJ31" s="103"/>
      <c r="EK31" s="103"/>
      <c r="EL31" s="103"/>
      <c r="EM31" s="103"/>
      <c r="EN31" s="103"/>
    </row>
    <row r="32" spans="1:144" ht="10.5">
      <c r="A32" s="112" t="s">
        <v>2168</v>
      </c>
      <c r="B32" s="115">
        <v>650</v>
      </c>
      <c r="C32" s="115">
        <v>996</v>
      </c>
      <c r="D32" s="115">
        <v>1326</v>
      </c>
      <c r="E32" s="115">
        <v>1726</v>
      </c>
      <c r="F32" s="115">
        <v>2038</v>
      </c>
      <c r="G32" s="115">
        <v>3059</v>
      </c>
      <c r="H32" s="115">
        <v>4871</v>
      </c>
      <c r="I32" s="115">
        <v>6710</v>
      </c>
      <c r="J32" s="115">
        <v>10010</v>
      </c>
      <c r="K32" s="115">
        <v>11006</v>
      </c>
      <c r="L32" s="115">
        <v>11720</v>
      </c>
      <c r="M32" s="115">
        <v>8272</v>
      </c>
      <c r="N32" s="115">
        <v>10295</v>
      </c>
      <c r="O32" s="115">
        <v>11864</v>
      </c>
      <c r="P32" s="115">
        <v>16871</v>
      </c>
      <c r="Q32" s="115">
        <v>17772</v>
      </c>
      <c r="R32" s="115">
        <v>18949</v>
      </c>
      <c r="S32" s="115">
        <v>24071</v>
      </c>
      <c r="T32" s="115">
        <v>20693</v>
      </c>
      <c r="U32" s="115">
        <v>24098</v>
      </c>
      <c r="V32" s="115">
        <v>27161</v>
      </c>
      <c r="W32" s="115">
        <v>27956</v>
      </c>
      <c r="X32" s="115">
        <v>27497</v>
      </c>
      <c r="Y32" s="115">
        <v>27886</v>
      </c>
      <c r="Z32" s="115">
        <v>28172</v>
      </c>
      <c r="AA32" s="115">
        <v>27188</v>
      </c>
      <c r="AB32" s="115">
        <v>29331</v>
      </c>
      <c r="AC32" s="115">
        <v>35058</v>
      </c>
      <c r="AD32" s="115">
        <v>42959</v>
      </c>
      <c r="AE32" s="115">
        <v>51957</v>
      </c>
      <c r="AG32" s="112" t="s">
        <v>2168</v>
      </c>
      <c r="AH32" s="115">
        <v>307.5</v>
      </c>
      <c r="AI32" s="115">
        <v>326</v>
      </c>
      <c r="AJ32" s="115">
        <v>338</v>
      </c>
      <c r="AK32" s="115">
        <v>373</v>
      </c>
      <c r="AL32" s="115">
        <v>343</v>
      </c>
      <c r="AM32" s="115">
        <v>415</v>
      </c>
      <c r="AN32" s="115">
        <v>480</v>
      </c>
      <c r="AO32" s="115">
        <v>488</v>
      </c>
      <c r="AP32" s="115">
        <v>437</v>
      </c>
      <c r="AQ32" s="115">
        <v>520</v>
      </c>
      <c r="AR32" s="115">
        <v>549</v>
      </c>
      <c r="AS32" s="115">
        <v>532</v>
      </c>
      <c r="AT32" s="115">
        <v>708</v>
      </c>
      <c r="AU32" s="115">
        <v>786</v>
      </c>
      <c r="AV32" s="115">
        <v>774</v>
      </c>
      <c r="AW32" s="115">
        <v>810</v>
      </c>
      <c r="AX32" s="115">
        <v>902</v>
      </c>
      <c r="AY32" s="115">
        <v>1081</v>
      </c>
      <c r="AZ32" s="115">
        <v>1568</v>
      </c>
      <c r="BA32" s="115">
        <v>1320</v>
      </c>
      <c r="BB32" s="115">
        <v>1356</v>
      </c>
      <c r="BC32" s="115">
        <v>1613</v>
      </c>
      <c r="BD32" s="115">
        <v>1867</v>
      </c>
      <c r="BE32" s="115">
        <v>1874</v>
      </c>
      <c r="BF32" s="115">
        <v>2082</v>
      </c>
      <c r="BG32" s="115">
        <v>2714</v>
      </c>
      <c r="BH32" s="115">
        <v>2229</v>
      </c>
      <c r="BI32" s="115">
        <v>2903</v>
      </c>
      <c r="BJ32" s="115">
        <v>2789</v>
      </c>
      <c r="BK32" s="115">
        <v>2931</v>
      </c>
      <c r="BL32" s="115">
        <v>2735</v>
      </c>
      <c r="BM32" s="115">
        <v>2551</v>
      </c>
      <c r="BN32" s="115">
        <v>2777</v>
      </c>
      <c r="BO32" s="115">
        <v>3194</v>
      </c>
      <c r="BP32" s="115">
        <v>2998</v>
      </c>
      <c r="BQ32" s="115">
        <v>2751</v>
      </c>
      <c r="BR32" s="115">
        <v>2897</v>
      </c>
      <c r="BS32" s="115">
        <v>3501</v>
      </c>
      <c r="BT32" s="115">
        <v>3298</v>
      </c>
      <c r="BU32" s="115">
        <v>2874</v>
      </c>
      <c r="BV32" s="115">
        <v>3028</v>
      </c>
      <c r="BW32" s="115">
        <v>2443</v>
      </c>
      <c r="BX32" s="115">
        <v>2744</v>
      </c>
      <c r="BY32" s="115">
        <v>2563</v>
      </c>
      <c r="BZ32" s="115">
        <v>3148</v>
      </c>
      <c r="CA32" s="115">
        <v>1475</v>
      </c>
      <c r="CB32" s="115">
        <v>3803</v>
      </c>
      <c r="CC32" s="115">
        <v>3133</v>
      </c>
      <c r="CD32" s="115">
        <v>4030</v>
      </c>
      <c r="CE32" s="115">
        <v>4749</v>
      </c>
      <c r="CF32" s="115">
        <v>4714</v>
      </c>
      <c r="CG32" s="115">
        <v>3224</v>
      </c>
      <c r="CH32" s="115">
        <v>4495</v>
      </c>
      <c r="CI32" s="115">
        <v>4723</v>
      </c>
      <c r="CJ32" s="115">
        <v>4285</v>
      </c>
      <c r="CK32" s="115">
        <v>4288</v>
      </c>
      <c r="CL32" s="115">
        <v>4561</v>
      </c>
      <c r="CM32" s="115">
        <v>3583</v>
      </c>
      <c r="CN32" s="115">
        <v>6885</v>
      </c>
      <c r="CO32" s="115">
        <v>4006</v>
      </c>
      <c r="CP32" s="115">
        <v>5849</v>
      </c>
      <c r="CQ32" s="115">
        <v>6453</v>
      </c>
      <c r="CR32" s="115">
        <v>5790</v>
      </c>
      <c r="CS32" s="115">
        <v>5738</v>
      </c>
      <c r="CT32" s="115">
        <v>5999</v>
      </c>
      <c r="CU32" s="115">
        <v>5939</v>
      </c>
      <c r="CV32" s="115">
        <v>4785</v>
      </c>
      <c r="CW32" s="115">
        <v>4220</v>
      </c>
      <c r="CX32" s="115">
        <v>4482</v>
      </c>
      <c r="CY32" s="115">
        <v>8513</v>
      </c>
      <c r="CZ32" s="115">
        <v>5173</v>
      </c>
      <c r="DA32" s="115">
        <v>5989</v>
      </c>
      <c r="DB32" s="115">
        <v>7116</v>
      </c>
      <c r="DC32" s="115">
        <v>8165</v>
      </c>
      <c r="DD32" s="115">
        <v>5709</v>
      </c>
      <c r="DE32" s="115">
        <v>6171</v>
      </c>
      <c r="DF32" s="115">
        <v>7203</v>
      </c>
      <c r="DG32" s="115">
        <v>7994</v>
      </c>
      <c r="DH32" s="115">
        <v>6374</v>
      </c>
      <c r="DI32" s="115">
        <v>6385</v>
      </c>
      <c r="DJ32" s="115">
        <v>5308</v>
      </c>
      <c r="DK32" s="115">
        <v>7771</v>
      </c>
      <c r="DL32" s="115">
        <v>8345</v>
      </c>
      <c r="DM32" s="115">
        <v>6073</v>
      </c>
      <c r="DN32" s="115">
        <v>6334</v>
      </c>
      <c r="DO32" s="115">
        <v>7969</v>
      </c>
      <c r="DP32" s="115">
        <v>6974</v>
      </c>
      <c r="DQ32" s="115">
        <v>6609</v>
      </c>
      <c r="DR32" s="115">
        <v>6984</v>
      </c>
      <c r="DS32" s="115">
        <v>8019</v>
      </c>
      <c r="DT32" s="115">
        <v>6784</v>
      </c>
      <c r="DU32" s="115">
        <v>6385</v>
      </c>
      <c r="DV32" s="115">
        <v>5793</v>
      </c>
      <c r="DW32" s="115">
        <v>6026</v>
      </c>
      <c r="DX32" s="115">
        <v>5283</v>
      </c>
      <c r="DY32" s="115">
        <v>4190</v>
      </c>
      <c r="DZ32" s="115">
        <v>6715</v>
      </c>
      <c r="EA32" s="115">
        <v>7905</v>
      </c>
      <c r="EB32" s="115">
        <v>6723</v>
      </c>
      <c r="EC32" s="115">
        <v>10279</v>
      </c>
      <c r="ED32" s="115">
        <v>7708</v>
      </c>
      <c r="EE32" s="115">
        <v>8679</v>
      </c>
      <c r="EF32" s="115">
        <v>8292</v>
      </c>
      <c r="EG32" s="115">
        <v>10379</v>
      </c>
      <c r="EH32" s="115">
        <v>9955</v>
      </c>
      <c r="EI32" s="115">
        <v>10258</v>
      </c>
      <c r="EJ32" s="115">
        <v>10341</v>
      </c>
      <c r="EK32" s="115">
        <v>12405</v>
      </c>
      <c r="EL32" s="115">
        <v>12686</v>
      </c>
      <c r="EM32" s="115">
        <v>13891</v>
      </c>
      <c r="EN32" s="115">
        <v>12975</v>
      </c>
    </row>
    <row r="33" spans="1:144">
      <c r="A33" s="103"/>
      <c r="B33" s="103"/>
      <c r="C33" s="103"/>
      <c r="D33" s="103"/>
      <c r="E33" s="103"/>
      <c r="F33" s="103"/>
      <c r="G33" s="103"/>
      <c r="H33" s="103"/>
      <c r="I33" s="103"/>
      <c r="J33" s="103"/>
      <c r="K33" s="103"/>
      <c r="L33" s="103"/>
      <c r="M33" s="103"/>
      <c r="N33" s="103"/>
      <c r="O33" s="103"/>
      <c r="P33" s="103"/>
      <c r="Q33" s="103"/>
      <c r="R33" s="103"/>
      <c r="S33" s="103"/>
      <c r="T33" s="103"/>
      <c r="U33" s="103"/>
      <c r="V33" s="103"/>
      <c r="W33" s="103"/>
      <c r="X33" s="103"/>
      <c r="Y33" s="103"/>
      <c r="Z33" s="103"/>
      <c r="AA33" s="103"/>
      <c r="AB33" s="103"/>
      <c r="AC33" s="103"/>
      <c r="AD33" s="103"/>
      <c r="AE33" s="103"/>
      <c r="AG33" s="103"/>
      <c r="AH33" s="103"/>
      <c r="AI33" s="103"/>
      <c r="AJ33" s="103"/>
      <c r="AK33" s="103"/>
      <c r="AL33" s="103"/>
      <c r="AM33" s="103"/>
      <c r="AN33" s="103"/>
      <c r="AO33" s="103"/>
      <c r="AP33" s="103"/>
      <c r="AQ33" s="103"/>
      <c r="AR33" s="103"/>
      <c r="AS33" s="103"/>
      <c r="AT33" s="103"/>
      <c r="AU33" s="103"/>
      <c r="AV33" s="103"/>
      <c r="AW33" s="103"/>
      <c r="AX33" s="103"/>
      <c r="AY33" s="103"/>
      <c r="AZ33" s="103"/>
      <c r="BA33" s="103"/>
      <c r="BB33" s="103"/>
      <c r="BC33" s="103"/>
      <c r="BD33" s="103"/>
      <c r="BE33" s="103"/>
      <c r="BF33" s="103"/>
      <c r="BG33" s="103"/>
      <c r="BH33" s="103"/>
      <c r="BI33" s="103"/>
      <c r="BJ33" s="103"/>
      <c r="BK33" s="103"/>
      <c r="BL33" s="103"/>
      <c r="BM33" s="103"/>
      <c r="BN33" s="103"/>
      <c r="BO33" s="103"/>
      <c r="BP33" s="103"/>
      <c r="BQ33" s="103"/>
      <c r="BR33" s="103"/>
      <c r="BS33" s="103"/>
      <c r="BT33" s="103"/>
      <c r="BU33" s="103"/>
      <c r="BV33" s="103"/>
      <c r="BW33" s="103"/>
      <c r="BX33" s="103"/>
      <c r="BY33" s="103"/>
      <c r="BZ33" s="103"/>
      <c r="CA33" s="103"/>
      <c r="CB33" s="103"/>
      <c r="CC33" s="103"/>
      <c r="CD33" s="103"/>
      <c r="CE33" s="103"/>
      <c r="CF33" s="103"/>
      <c r="CG33" s="103"/>
      <c r="CH33" s="103"/>
      <c r="CI33" s="103"/>
      <c r="CJ33" s="103"/>
      <c r="CK33" s="103"/>
      <c r="CL33" s="103"/>
      <c r="CM33" s="103"/>
      <c r="CN33" s="103"/>
      <c r="CO33" s="103"/>
      <c r="CP33" s="103"/>
      <c r="CQ33" s="103"/>
      <c r="CR33" s="103"/>
      <c r="CS33" s="103"/>
      <c r="CT33" s="103"/>
      <c r="CU33" s="103"/>
      <c r="CV33" s="103"/>
      <c r="CW33" s="103"/>
      <c r="CX33" s="103"/>
      <c r="CY33" s="103"/>
      <c r="CZ33" s="103"/>
      <c r="DA33" s="103"/>
      <c r="DB33" s="103"/>
      <c r="DC33" s="103"/>
      <c r="DD33" s="103"/>
      <c r="DE33" s="103"/>
      <c r="DF33" s="103"/>
      <c r="DG33" s="103"/>
      <c r="DH33" s="103"/>
      <c r="DI33" s="103"/>
      <c r="DJ33" s="103"/>
      <c r="DK33" s="103"/>
      <c r="DL33" s="103"/>
      <c r="DM33" s="103"/>
      <c r="DN33" s="103"/>
      <c r="DO33" s="103"/>
      <c r="DP33" s="103"/>
      <c r="DQ33" s="103"/>
      <c r="DR33" s="103"/>
      <c r="DS33" s="103"/>
      <c r="DT33" s="103"/>
      <c r="DU33" s="103"/>
      <c r="DV33" s="103"/>
      <c r="DW33" s="103"/>
      <c r="DX33" s="103"/>
      <c r="DY33" s="103"/>
      <c r="DZ33" s="103"/>
      <c r="EA33" s="103"/>
      <c r="EB33" s="103"/>
      <c r="EC33" s="103"/>
      <c r="ED33" s="103"/>
      <c r="EE33" s="103"/>
      <c r="EF33" s="103"/>
      <c r="EG33" s="103"/>
      <c r="EH33" s="103"/>
      <c r="EI33" s="103"/>
      <c r="EJ33" s="103"/>
      <c r="EK33" s="103"/>
      <c r="EL33" s="103"/>
      <c r="EM33" s="103"/>
      <c r="EN33" s="103"/>
    </row>
    <row r="34" spans="1:144">
      <c r="A34" s="103" t="s">
        <v>2169</v>
      </c>
      <c r="B34" s="113">
        <v>-5</v>
      </c>
      <c r="C34" s="113">
        <v>-2</v>
      </c>
      <c r="D34" s="113">
        <v>-1</v>
      </c>
      <c r="E34" s="113">
        <v>0</v>
      </c>
      <c r="F34" s="113">
        <v>0</v>
      </c>
      <c r="G34" s="113">
        <v>0</v>
      </c>
      <c r="H34" s="113">
        <v>0</v>
      </c>
      <c r="I34" s="113">
        <v>0</v>
      </c>
      <c r="J34" s="113">
        <v>0</v>
      </c>
      <c r="K34" s="113">
        <v>0</v>
      </c>
      <c r="L34" s="113">
        <v>0</v>
      </c>
      <c r="M34" s="113">
        <v>0</v>
      </c>
      <c r="N34" s="113">
        <v>0</v>
      </c>
      <c r="O34" s="113">
        <v>0</v>
      </c>
      <c r="P34" s="113">
        <v>0</v>
      </c>
      <c r="Q34" s="113">
        <v>0</v>
      </c>
      <c r="R34" s="113">
        <v>-230</v>
      </c>
      <c r="S34" s="113">
        <v>-106</v>
      </c>
      <c r="T34" s="113">
        <v>-38</v>
      </c>
      <c r="U34" s="113">
        <v>-151</v>
      </c>
      <c r="V34" s="113">
        <v>-295</v>
      </c>
      <c r="W34" s="113">
        <v>-380</v>
      </c>
      <c r="X34" s="113">
        <v>-429</v>
      </c>
      <c r="Y34" s="113">
        <v>-597</v>
      </c>
      <c r="Z34" s="113">
        <v>-781</v>
      </c>
      <c r="AA34" s="113">
        <v>-1243</v>
      </c>
      <c r="AB34" s="113">
        <v>-2222</v>
      </c>
      <c r="AC34" s="113">
        <v>-2733</v>
      </c>
      <c r="AD34" s="113">
        <v>-2686</v>
      </c>
      <c r="AE34" s="113">
        <v>-2576</v>
      </c>
      <c r="AG34" s="103" t="s">
        <v>2169</v>
      </c>
      <c r="AH34" s="113">
        <v>0</v>
      </c>
      <c r="AI34" s="113">
        <v>0</v>
      </c>
      <c r="AJ34" s="113">
        <v>0</v>
      </c>
      <c r="AK34" s="113">
        <v>-1</v>
      </c>
      <c r="AL34" s="113">
        <v>0</v>
      </c>
      <c r="AM34" s="113">
        <v>0</v>
      </c>
      <c r="AN34" s="113">
        <v>0</v>
      </c>
      <c r="AO34" s="113">
        <v>-2</v>
      </c>
      <c r="AP34" s="113">
        <v>0</v>
      </c>
      <c r="AQ34" s="113">
        <v>0</v>
      </c>
      <c r="AR34" s="113">
        <v>0</v>
      </c>
      <c r="AS34" s="113">
        <v>0</v>
      </c>
      <c r="AT34" s="113">
        <v>0</v>
      </c>
      <c r="AU34" s="113">
        <v>0</v>
      </c>
      <c r="AV34" s="113">
        <v>0</v>
      </c>
      <c r="AW34" s="113">
        <v>0</v>
      </c>
      <c r="AX34" s="113">
        <v>0</v>
      </c>
      <c r="AY34" s="113">
        <v>0</v>
      </c>
      <c r="AZ34" s="113">
        <v>0</v>
      </c>
      <c r="BA34" s="113">
        <v>0</v>
      </c>
      <c r="BB34" s="113">
        <v>0</v>
      </c>
      <c r="BC34" s="113">
        <v>0</v>
      </c>
      <c r="BD34" s="113">
        <v>0</v>
      </c>
      <c r="BE34" s="113">
        <v>0</v>
      </c>
      <c r="BF34" s="113">
        <v>0</v>
      </c>
      <c r="BG34" s="113">
        <v>0</v>
      </c>
      <c r="BH34" s="113">
        <v>0</v>
      </c>
      <c r="BI34" s="113">
        <v>0</v>
      </c>
      <c r="BJ34" s="113">
        <v>0</v>
      </c>
      <c r="BK34" s="113">
        <v>0</v>
      </c>
      <c r="BL34" s="113">
        <v>0</v>
      </c>
      <c r="BM34" s="113">
        <v>0</v>
      </c>
      <c r="BN34" s="113">
        <v>0</v>
      </c>
      <c r="BO34" s="113">
        <v>0</v>
      </c>
      <c r="BP34" s="113">
        <v>0</v>
      </c>
      <c r="BQ34" s="113">
        <v>-399</v>
      </c>
      <c r="BR34" s="113">
        <v>0</v>
      </c>
      <c r="BS34" s="113">
        <v>0</v>
      </c>
      <c r="BT34" s="113">
        <v>0</v>
      </c>
      <c r="BU34" s="113">
        <v>0</v>
      </c>
      <c r="BV34" s="113">
        <v>0</v>
      </c>
      <c r="BW34" s="113">
        <v>0</v>
      </c>
      <c r="BX34" s="113">
        <v>0</v>
      </c>
      <c r="BY34" s="113">
        <v>0</v>
      </c>
      <c r="BZ34" s="113">
        <v>0</v>
      </c>
      <c r="CA34" s="113">
        <v>0</v>
      </c>
      <c r="CB34" s="113">
        <v>0</v>
      </c>
      <c r="CC34" s="113">
        <v>0</v>
      </c>
      <c r="CD34" s="113">
        <v>0</v>
      </c>
      <c r="CE34" s="113">
        <v>0</v>
      </c>
      <c r="CF34" s="113">
        <v>0</v>
      </c>
      <c r="CG34" s="113">
        <v>0</v>
      </c>
      <c r="CH34" s="113">
        <v>0</v>
      </c>
      <c r="CI34" s="113">
        <v>0</v>
      </c>
      <c r="CJ34" s="113">
        <v>0</v>
      </c>
      <c r="CK34" s="113">
        <v>0</v>
      </c>
      <c r="CL34" s="113">
        <v>0</v>
      </c>
      <c r="CM34" s="113">
        <v>0</v>
      </c>
      <c r="CN34" s="113">
        <v>0</v>
      </c>
      <c r="CO34" s="113">
        <v>0</v>
      </c>
      <c r="CP34" s="113">
        <v>0</v>
      </c>
      <c r="CQ34" s="113">
        <v>0</v>
      </c>
      <c r="CR34" s="113">
        <v>0</v>
      </c>
      <c r="CS34" s="113">
        <v>-106</v>
      </c>
      <c r="CT34" s="113">
        <v>0</v>
      </c>
      <c r="CU34" s="113">
        <v>0</v>
      </c>
      <c r="CV34" s="113">
        <v>0</v>
      </c>
      <c r="CW34" s="113">
        <v>-38</v>
      </c>
      <c r="CX34" s="113">
        <v>-38</v>
      </c>
      <c r="CY34" s="113">
        <v>-38</v>
      </c>
      <c r="CZ34" s="113">
        <v>-38</v>
      </c>
      <c r="DA34" s="113">
        <v>-37</v>
      </c>
      <c r="DB34" s="113">
        <v>-45</v>
      </c>
      <c r="DC34" s="113">
        <v>-72</v>
      </c>
      <c r="DD34" s="113">
        <v>0</v>
      </c>
      <c r="DE34" s="113">
        <v>-295</v>
      </c>
      <c r="DF34" s="113">
        <v>-94</v>
      </c>
      <c r="DG34" s="113">
        <v>-95</v>
      </c>
      <c r="DH34" s="113">
        <v>-95</v>
      </c>
      <c r="DI34" s="113">
        <v>-96</v>
      </c>
      <c r="DJ34" s="113">
        <v>-95</v>
      </c>
      <c r="DK34" s="113">
        <v>-105</v>
      </c>
      <c r="DL34" s="113">
        <v>-109</v>
      </c>
      <c r="DM34" s="113">
        <v>-120</v>
      </c>
      <c r="DN34" s="113">
        <v>-118</v>
      </c>
      <c r="DO34" s="113">
        <v>-135</v>
      </c>
      <c r="DP34" s="113">
        <v>-175</v>
      </c>
      <c r="DQ34" s="113">
        <v>-169</v>
      </c>
      <c r="DR34" s="113">
        <v>-161</v>
      </c>
      <c r="DS34" s="113">
        <v>-162</v>
      </c>
      <c r="DT34" s="113">
        <v>-211</v>
      </c>
      <c r="DU34" s="113">
        <v>-247</v>
      </c>
      <c r="DV34" s="113">
        <v>-249</v>
      </c>
      <c r="DW34" s="113">
        <v>-309</v>
      </c>
      <c r="DX34" s="113">
        <v>-340</v>
      </c>
      <c r="DY34" s="113">
        <v>-345</v>
      </c>
      <c r="DZ34" s="113">
        <v>-437</v>
      </c>
      <c r="EA34" s="113">
        <v>-521</v>
      </c>
      <c r="EB34" s="113">
        <v>-609</v>
      </c>
      <c r="EC34" s="113">
        <v>-655</v>
      </c>
      <c r="ED34" s="113">
        <v>-672</v>
      </c>
      <c r="EE34" s="113">
        <v>-698</v>
      </c>
      <c r="EF34" s="113">
        <v>-691</v>
      </c>
      <c r="EG34" s="113">
        <v>-672</v>
      </c>
      <c r="EH34" s="113">
        <v>-674</v>
      </c>
      <c r="EI34" s="113">
        <v>-672</v>
      </c>
      <c r="EJ34" s="113">
        <v>-671</v>
      </c>
      <c r="EK34" s="113">
        <v>-669</v>
      </c>
      <c r="EL34" s="113">
        <v>-637</v>
      </c>
      <c r="EM34" s="113">
        <v>-655</v>
      </c>
      <c r="EN34" s="113">
        <v>-615</v>
      </c>
    </row>
    <row r="35" spans="1:144">
      <c r="A35" s="103" t="s">
        <v>2170</v>
      </c>
      <c r="B35" s="113">
        <v>42</v>
      </c>
      <c r="C35" s="113">
        <v>58</v>
      </c>
      <c r="D35" s="113">
        <v>83</v>
      </c>
      <c r="E35" s="113">
        <v>102</v>
      </c>
      <c r="F35" s="113">
        <v>191</v>
      </c>
      <c r="G35" s="113">
        <v>320</v>
      </c>
      <c r="H35" s="113">
        <v>443</v>
      </c>
      <c r="I35" s="113">
        <v>703</v>
      </c>
      <c r="J35" s="113">
        <v>1148</v>
      </c>
      <c r="K35" s="113">
        <v>1594</v>
      </c>
      <c r="L35" s="113">
        <v>2185</v>
      </c>
      <c r="M35" s="113">
        <v>2119</v>
      </c>
      <c r="N35" s="113">
        <v>1957</v>
      </c>
      <c r="O35" s="113">
        <v>1892</v>
      </c>
      <c r="P35" s="113">
        <v>1460</v>
      </c>
      <c r="Q35" s="113">
        <v>1510</v>
      </c>
      <c r="R35" s="113">
        <v>1319</v>
      </c>
      <c r="S35" s="113">
        <v>994</v>
      </c>
      <c r="T35" s="113">
        <v>744</v>
      </c>
      <c r="U35" s="113">
        <v>843</v>
      </c>
      <c r="V35" s="113">
        <v>900</v>
      </c>
      <c r="W35" s="113">
        <v>800</v>
      </c>
      <c r="X35" s="113">
        <v>677</v>
      </c>
      <c r="Y35" s="113">
        <v>883</v>
      </c>
      <c r="Z35" s="113">
        <v>766</v>
      </c>
      <c r="AA35" s="113">
        <v>903</v>
      </c>
      <c r="AB35" s="113">
        <v>1387</v>
      </c>
      <c r="AC35" s="113">
        <v>2214</v>
      </c>
      <c r="AD35" s="113">
        <v>2762</v>
      </c>
      <c r="AE35" s="113">
        <v>2794</v>
      </c>
      <c r="AG35" s="103" t="s">
        <v>2170</v>
      </c>
      <c r="AH35" s="113">
        <v>19</v>
      </c>
      <c r="AI35" s="113">
        <v>19</v>
      </c>
      <c r="AJ35" s="113">
        <v>21</v>
      </c>
      <c r="AK35" s="113">
        <v>24</v>
      </c>
      <c r="AL35" s="113">
        <v>23</v>
      </c>
      <c r="AM35" s="113">
        <v>25</v>
      </c>
      <c r="AN35" s="113">
        <v>26</v>
      </c>
      <c r="AO35" s="113">
        <v>30</v>
      </c>
      <c r="AP35" s="113">
        <v>36</v>
      </c>
      <c r="AQ35" s="113">
        <v>42</v>
      </c>
      <c r="AR35" s="113">
        <v>48</v>
      </c>
      <c r="AS35" s="113">
        <v>65</v>
      </c>
      <c r="AT35" s="113">
        <v>66</v>
      </c>
      <c r="AU35" s="113">
        <v>76</v>
      </c>
      <c r="AV35" s="113">
        <v>86</v>
      </c>
      <c r="AW35" s="113">
        <v>92</v>
      </c>
      <c r="AX35" s="113">
        <v>92</v>
      </c>
      <c r="AY35" s="113">
        <v>105</v>
      </c>
      <c r="AZ35" s="113">
        <v>119</v>
      </c>
      <c r="BA35" s="113">
        <v>127</v>
      </c>
      <c r="BB35" s="113">
        <v>142</v>
      </c>
      <c r="BC35" s="113">
        <v>157</v>
      </c>
      <c r="BD35" s="113">
        <v>190</v>
      </c>
      <c r="BE35" s="113">
        <v>214</v>
      </c>
      <c r="BF35" s="113">
        <v>261</v>
      </c>
      <c r="BG35" s="113">
        <v>267</v>
      </c>
      <c r="BH35" s="113">
        <v>370</v>
      </c>
      <c r="BI35" s="113">
        <v>282</v>
      </c>
      <c r="BJ35" s="113">
        <v>350</v>
      </c>
      <c r="BK35" s="113">
        <v>371</v>
      </c>
      <c r="BL35" s="113">
        <v>428</v>
      </c>
      <c r="BM35" s="113">
        <v>470</v>
      </c>
      <c r="BN35" s="113">
        <v>1127</v>
      </c>
      <c r="BO35" s="113">
        <v>751</v>
      </c>
      <c r="BP35" s="113">
        <v>706</v>
      </c>
      <c r="BQ35" s="113">
        <v>0</v>
      </c>
      <c r="BR35" s="113">
        <v>0</v>
      </c>
      <c r="BS35" s="113">
        <v>553</v>
      </c>
      <c r="BT35" s="113">
        <v>739</v>
      </c>
      <c r="BU35" s="113">
        <v>1807</v>
      </c>
      <c r="BV35" s="113">
        <v>516</v>
      </c>
      <c r="BW35" s="113">
        <v>515</v>
      </c>
      <c r="BX35" s="113">
        <v>455</v>
      </c>
      <c r="BY35" s="113">
        <v>471</v>
      </c>
      <c r="BZ35" s="113">
        <v>484</v>
      </c>
      <c r="CA35" s="113">
        <v>521</v>
      </c>
      <c r="CB35" s="113">
        <v>500</v>
      </c>
      <c r="CC35" s="113">
        <v>387</v>
      </c>
      <c r="CD35" s="113">
        <v>411</v>
      </c>
      <c r="CE35" s="113">
        <v>378</v>
      </c>
      <c r="CF35" s="113">
        <v>317</v>
      </c>
      <c r="CG35" s="113">
        <v>354</v>
      </c>
      <c r="CH35" s="113">
        <v>376</v>
      </c>
      <c r="CI35" s="113">
        <v>382</v>
      </c>
      <c r="CJ35" s="113">
        <v>369</v>
      </c>
      <c r="CK35" s="113">
        <v>383</v>
      </c>
      <c r="CL35" s="113">
        <v>369</v>
      </c>
      <c r="CM35" s="113">
        <v>316</v>
      </c>
      <c r="CN35" s="113">
        <v>333</v>
      </c>
      <c r="CO35" s="113">
        <v>301</v>
      </c>
      <c r="CP35" s="113">
        <v>239</v>
      </c>
      <c r="CQ35" s="113">
        <v>206</v>
      </c>
      <c r="CR35" s="113">
        <v>226</v>
      </c>
      <c r="CS35" s="113">
        <v>217</v>
      </c>
      <c r="CT35" s="113">
        <v>207</v>
      </c>
      <c r="CU35" s="113">
        <v>175</v>
      </c>
      <c r="CV35" s="113">
        <v>164</v>
      </c>
      <c r="CW35" s="113">
        <v>198</v>
      </c>
      <c r="CX35" s="113">
        <v>203</v>
      </c>
      <c r="CY35" s="113">
        <v>197</v>
      </c>
      <c r="CZ35" s="113">
        <v>204</v>
      </c>
      <c r="DA35" s="113">
        <v>239</v>
      </c>
      <c r="DB35" s="113">
        <v>210</v>
      </c>
      <c r="DC35" s="113">
        <v>205</v>
      </c>
      <c r="DD35" s="113">
        <v>0</v>
      </c>
      <c r="DE35" s="113">
        <v>900</v>
      </c>
      <c r="DF35" s="113">
        <v>211</v>
      </c>
      <c r="DG35" s="113">
        <v>182</v>
      </c>
      <c r="DH35" s="113">
        <v>180</v>
      </c>
      <c r="DI35" s="113">
        <v>227</v>
      </c>
      <c r="DJ35" s="113">
        <v>159</v>
      </c>
      <c r="DK35" s="113">
        <v>166</v>
      </c>
      <c r="DL35" s="113">
        <v>150</v>
      </c>
      <c r="DM35" s="113">
        <v>202</v>
      </c>
      <c r="DN35" s="113">
        <v>179</v>
      </c>
      <c r="DO35" s="113">
        <v>219</v>
      </c>
      <c r="DP35" s="113">
        <v>220</v>
      </c>
      <c r="DQ35" s="113">
        <v>265</v>
      </c>
      <c r="DR35" s="113">
        <v>225</v>
      </c>
      <c r="DS35" s="113">
        <v>183</v>
      </c>
      <c r="DT35" s="113">
        <v>160</v>
      </c>
      <c r="DU35" s="113">
        <v>198</v>
      </c>
      <c r="DV35" s="113">
        <v>199</v>
      </c>
      <c r="DW35" s="113">
        <v>200</v>
      </c>
      <c r="DX35" s="113">
        <v>230</v>
      </c>
      <c r="DY35" s="113">
        <v>274</v>
      </c>
      <c r="DZ35" s="113">
        <v>293</v>
      </c>
      <c r="EA35" s="113">
        <v>311</v>
      </c>
      <c r="EB35" s="113">
        <v>380</v>
      </c>
      <c r="EC35" s="113">
        <v>403</v>
      </c>
      <c r="ED35" s="113">
        <v>473</v>
      </c>
      <c r="EE35" s="113">
        <v>530</v>
      </c>
      <c r="EF35" s="113">
        <v>575</v>
      </c>
      <c r="EG35" s="113">
        <v>636</v>
      </c>
      <c r="EH35" s="113">
        <v>681</v>
      </c>
      <c r="EI35" s="113">
        <v>704</v>
      </c>
      <c r="EJ35" s="113">
        <v>668</v>
      </c>
      <c r="EK35" s="113">
        <v>709</v>
      </c>
      <c r="EL35" s="113">
        <v>724</v>
      </c>
      <c r="EM35" s="113">
        <v>688</v>
      </c>
      <c r="EN35" s="113">
        <v>673</v>
      </c>
    </row>
    <row r="36" spans="1:144" ht="10.5">
      <c r="A36" s="112" t="s">
        <v>2171</v>
      </c>
      <c r="B36" s="114">
        <v>37</v>
      </c>
      <c r="C36" s="114">
        <v>56</v>
      </c>
      <c r="D36" s="114">
        <v>82</v>
      </c>
      <c r="E36" s="114">
        <v>102</v>
      </c>
      <c r="F36" s="114">
        <v>191</v>
      </c>
      <c r="G36" s="114">
        <v>320</v>
      </c>
      <c r="H36" s="114">
        <v>443</v>
      </c>
      <c r="I36" s="114">
        <v>703</v>
      </c>
      <c r="J36" s="114">
        <v>1148</v>
      </c>
      <c r="K36" s="114">
        <v>1594</v>
      </c>
      <c r="L36" s="114">
        <v>2185</v>
      </c>
      <c r="M36" s="114">
        <v>2119</v>
      </c>
      <c r="N36" s="114">
        <v>1957</v>
      </c>
      <c r="O36" s="114">
        <v>1892</v>
      </c>
      <c r="P36" s="114">
        <v>1460</v>
      </c>
      <c r="Q36" s="114">
        <v>1510</v>
      </c>
      <c r="R36" s="114">
        <v>1089</v>
      </c>
      <c r="S36" s="114">
        <v>888</v>
      </c>
      <c r="T36" s="114">
        <v>706</v>
      </c>
      <c r="U36" s="114">
        <v>692</v>
      </c>
      <c r="V36" s="114">
        <v>605</v>
      </c>
      <c r="W36" s="114">
        <v>420</v>
      </c>
      <c r="X36" s="114">
        <v>248</v>
      </c>
      <c r="Y36" s="114">
        <v>286</v>
      </c>
      <c r="Z36" s="114">
        <v>-15</v>
      </c>
      <c r="AA36" s="114">
        <v>-340</v>
      </c>
      <c r="AB36" s="114">
        <v>-835</v>
      </c>
      <c r="AC36" s="114">
        <v>-519</v>
      </c>
      <c r="AD36" s="114">
        <v>76</v>
      </c>
      <c r="AE36" s="114">
        <v>218</v>
      </c>
      <c r="AG36" s="112" t="s">
        <v>2171</v>
      </c>
      <c r="AH36" s="114">
        <v>19</v>
      </c>
      <c r="AI36" s="114">
        <v>19</v>
      </c>
      <c r="AJ36" s="114">
        <v>21</v>
      </c>
      <c r="AK36" s="114">
        <v>23</v>
      </c>
      <c r="AL36" s="114">
        <v>23</v>
      </c>
      <c r="AM36" s="114">
        <v>25</v>
      </c>
      <c r="AN36" s="114">
        <v>26</v>
      </c>
      <c r="AO36" s="114">
        <v>28</v>
      </c>
      <c r="AP36" s="114">
        <v>36</v>
      </c>
      <c r="AQ36" s="114">
        <v>42</v>
      </c>
      <c r="AR36" s="114">
        <v>48</v>
      </c>
      <c r="AS36" s="114">
        <v>65</v>
      </c>
      <c r="AT36" s="114">
        <v>66</v>
      </c>
      <c r="AU36" s="114">
        <v>76</v>
      </c>
      <c r="AV36" s="114">
        <v>86</v>
      </c>
      <c r="AW36" s="114">
        <v>92</v>
      </c>
      <c r="AX36" s="114">
        <v>92</v>
      </c>
      <c r="AY36" s="114">
        <v>105</v>
      </c>
      <c r="AZ36" s="114">
        <v>119</v>
      </c>
      <c r="BA36" s="114">
        <v>127</v>
      </c>
      <c r="BB36" s="114">
        <v>142</v>
      </c>
      <c r="BC36" s="114">
        <v>157</v>
      </c>
      <c r="BD36" s="114">
        <v>190</v>
      </c>
      <c r="BE36" s="114">
        <v>214</v>
      </c>
      <c r="BF36" s="114">
        <v>261</v>
      </c>
      <c r="BG36" s="114">
        <v>267</v>
      </c>
      <c r="BH36" s="114">
        <v>370</v>
      </c>
      <c r="BI36" s="114">
        <v>282</v>
      </c>
      <c r="BJ36" s="114">
        <v>350</v>
      </c>
      <c r="BK36" s="114">
        <v>371</v>
      </c>
      <c r="BL36" s="114">
        <v>428</v>
      </c>
      <c r="BM36" s="114">
        <v>470</v>
      </c>
      <c r="BN36" s="114">
        <v>1127</v>
      </c>
      <c r="BO36" s="114">
        <v>751</v>
      </c>
      <c r="BP36" s="114">
        <v>706</v>
      </c>
      <c r="BQ36" s="114">
        <v>-399</v>
      </c>
      <c r="BR36" s="114">
        <v>0</v>
      </c>
      <c r="BS36" s="114">
        <v>553</v>
      </c>
      <c r="BT36" s="114">
        <v>739</v>
      </c>
      <c r="BU36" s="114">
        <v>1807</v>
      </c>
      <c r="BV36" s="114">
        <v>516</v>
      </c>
      <c r="BW36" s="114">
        <v>515</v>
      </c>
      <c r="BX36" s="114">
        <v>455</v>
      </c>
      <c r="BY36" s="114">
        <v>471</v>
      </c>
      <c r="BZ36" s="114">
        <v>484</v>
      </c>
      <c r="CA36" s="114">
        <v>521</v>
      </c>
      <c r="CB36" s="114">
        <v>500</v>
      </c>
      <c r="CC36" s="114">
        <v>387</v>
      </c>
      <c r="CD36" s="114">
        <v>411</v>
      </c>
      <c r="CE36" s="114">
        <v>378</v>
      </c>
      <c r="CF36" s="114">
        <v>317</v>
      </c>
      <c r="CG36" s="114">
        <v>354</v>
      </c>
      <c r="CH36" s="114">
        <v>376</v>
      </c>
      <c r="CI36" s="114">
        <v>382</v>
      </c>
      <c r="CJ36" s="114">
        <v>369</v>
      </c>
      <c r="CK36" s="114">
        <v>383</v>
      </c>
      <c r="CL36" s="114">
        <v>369</v>
      </c>
      <c r="CM36" s="114">
        <v>316</v>
      </c>
      <c r="CN36" s="114">
        <v>333</v>
      </c>
      <c r="CO36" s="114">
        <v>301</v>
      </c>
      <c r="CP36" s="114">
        <v>239</v>
      </c>
      <c r="CQ36" s="114">
        <v>206</v>
      </c>
      <c r="CR36" s="114">
        <v>226</v>
      </c>
      <c r="CS36" s="114">
        <v>111</v>
      </c>
      <c r="CT36" s="114">
        <v>207</v>
      </c>
      <c r="CU36" s="114">
        <v>175</v>
      </c>
      <c r="CV36" s="114">
        <v>164</v>
      </c>
      <c r="CW36" s="114">
        <v>160</v>
      </c>
      <c r="CX36" s="114">
        <v>165</v>
      </c>
      <c r="CY36" s="114">
        <v>159</v>
      </c>
      <c r="CZ36" s="114">
        <v>166</v>
      </c>
      <c r="DA36" s="114">
        <v>202</v>
      </c>
      <c r="DB36" s="114">
        <v>165</v>
      </c>
      <c r="DC36" s="114">
        <v>133</v>
      </c>
      <c r="DD36" s="114">
        <v>0</v>
      </c>
      <c r="DE36" s="114">
        <v>605</v>
      </c>
      <c r="DF36" s="114">
        <v>117</v>
      </c>
      <c r="DG36" s="114">
        <v>87</v>
      </c>
      <c r="DH36" s="114">
        <v>85</v>
      </c>
      <c r="DI36" s="114">
        <v>131</v>
      </c>
      <c r="DJ36" s="114">
        <v>64</v>
      </c>
      <c r="DK36" s="114">
        <v>61</v>
      </c>
      <c r="DL36" s="114">
        <v>41</v>
      </c>
      <c r="DM36" s="114">
        <v>82</v>
      </c>
      <c r="DN36" s="114">
        <v>61</v>
      </c>
      <c r="DO36" s="114">
        <v>84</v>
      </c>
      <c r="DP36" s="114">
        <v>45</v>
      </c>
      <c r="DQ36" s="114">
        <v>96</v>
      </c>
      <c r="DR36" s="114">
        <v>64</v>
      </c>
      <c r="DS36" s="114">
        <v>21</v>
      </c>
      <c r="DT36" s="114">
        <v>-51</v>
      </c>
      <c r="DU36" s="114">
        <v>-49</v>
      </c>
      <c r="DV36" s="114">
        <v>-50</v>
      </c>
      <c r="DW36" s="114">
        <v>-109</v>
      </c>
      <c r="DX36" s="114">
        <v>-110</v>
      </c>
      <c r="DY36" s="114">
        <v>-71</v>
      </c>
      <c r="DZ36" s="114">
        <v>-144</v>
      </c>
      <c r="EA36" s="114">
        <v>-210</v>
      </c>
      <c r="EB36" s="114">
        <v>-229</v>
      </c>
      <c r="EC36" s="114">
        <v>-252</v>
      </c>
      <c r="ED36" s="114">
        <v>-199</v>
      </c>
      <c r="EE36" s="114">
        <v>-168</v>
      </c>
      <c r="EF36" s="114">
        <v>-116</v>
      </c>
      <c r="EG36" s="114">
        <v>-36</v>
      </c>
      <c r="EH36" s="114">
        <v>7</v>
      </c>
      <c r="EI36" s="114">
        <v>32</v>
      </c>
      <c r="EJ36" s="114">
        <v>-3</v>
      </c>
      <c r="EK36" s="114">
        <v>40</v>
      </c>
      <c r="EL36" s="114">
        <v>87</v>
      </c>
      <c r="EM36" s="114">
        <v>33</v>
      </c>
      <c r="EN36" s="114">
        <v>58</v>
      </c>
    </row>
    <row r="37" spans="1:144">
      <c r="A37" s="103"/>
      <c r="B37" s="103"/>
      <c r="C37" s="103"/>
      <c r="D37" s="103"/>
      <c r="E37" s="103"/>
      <c r="F37" s="103"/>
      <c r="G37" s="103"/>
      <c r="H37" s="103"/>
      <c r="I37" s="103"/>
      <c r="J37" s="103"/>
      <c r="K37" s="103"/>
      <c r="L37" s="103"/>
      <c r="M37" s="103"/>
      <c r="N37" s="103"/>
      <c r="O37" s="103"/>
      <c r="P37" s="103"/>
      <c r="Q37" s="103"/>
      <c r="R37" s="103"/>
      <c r="S37" s="103"/>
      <c r="T37" s="103"/>
      <c r="U37" s="103"/>
      <c r="V37" s="103"/>
      <c r="W37" s="103"/>
      <c r="X37" s="103"/>
      <c r="Y37" s="103"/>
      <c r="Z37" s="103"/>
      <c r="AA37" s="103"/>
      <c r="AB37" s="103"/>
      <c r="AC37" s="103"/>
      <c r="AD37" s="103"/>
      <c r="AE37" s="103"/>
      <c r="AG37" s="103"/>
      <c r="AH37" s="103"/>
      <c r="AI37" s="103"/>
      <c r="AJ37" s="103"/>
      <c r="AK37" s="103"/>
      <c r="AL37" s="103"/>
      <c r="AM37" s="103"/>
      <c r="AN37" s="103"/>
      <c r="AO37" s="103"/>
      <c r="AP37" s="103"/>
      <c r="AQ37" s="103"/>
      <c r="AR37" s="103"/>
      <c r="AS37" s="103"/>
      <c r="AT37" s="103"/>
      <c r="AU37" s="103"/>
      <c r="AV37" s="103"/>
      <c r="AW37" s="103"/>
      <c r="AX37" s="103"/>
      <c r="AY37" s="103"/>
      <c r="AZ37" s="103"/>
      <c r="BA37" s="103"/>
      <c r="BB37" s="103"/>
      <c r="BC37" s="103"/>
      <c r="BD37" s="103"/>
      <c r="BE37" s="103"/>
      <c r="BF37" s="103"/>
      <c r="BG37" s="103"/>
      <c r="BH37" s="103"/>
      <c r="BI37" s="103"/>
      <c r="BJ37" s="103"/>
      <c r="BK37" s="103"/>
      <c r="BL37" s="103"/>
      <c r="BM37" s="103"/>
      <c r="BN37" s="103"/>
      <c r="BO37" s="103"/>
      <c r="BP37" s="103"/>
      <c r="BQ37" s="103"/>
      <c r="BR37" s="103"/>
      <c r="BS37" s="103"/>
      <c r="BT37" s="103"/>
      <c r="BU37" s="103"/>
      <c r="BV37" s="103"/>
      <c r="BW37" s="103"/>
      <c r="BX37" s="103"/>
      <c r="BY37" s="103"/>
      <c r="BZ37" s="103"/>
      <c r="CA37" s="103"/>
      <c r="CB37" s="103"/>
      <c r="CC37" s="103"/>
      <c r="CD37" s="103"/>
      <c r="CE37" s="103"/>
      <c r="CF37" s="103"/>
      <c r="CG37" s="103"/>
      <c r="CH37" s="103"/>
      <c r="CI37" s="103"/>
      <c r="CJ37" s="103"/>
      <c r="CK37" s="103"/>
      <c r="CL37" s="103"/>
      <c r="CM37" s="103"/>
      <c r="CN37" s="103"/>
      <c r="CO37" s="103"/>
      <c r="CP37" s="103"/>
      <c r="CQ37" s="103"/>
      <c r="CR37" s="103"/>
      <c r="CS37" s="103"/>
      <c r="CT37" s="103"/>
      <c r="CU37" s="103"/>
      <c r="CV37" s="103"/>
      <c r="CW37" s="103"/>
      <c r="CX37" s="103"/>
      <c r="CY37" s="103"/>
      <c r="CZ37" s="103"/>
      <c r="DA37" s="103"/>
      <c r="DB37" s="103"/>
      <c r="DC37" s="103"/>
      <c r="DD37" s="103"/>
      <c r="DE37" s="103"/>
      <c r="DF37" s="103"/>
      <c r="DG37" s="103"/>
      <c r="DH37" s="103"/>
      <c r="DI37" s="103"/>
      <c r="DJ37" s="103"/>
      <c r="DK37" s="103"/>
      <c r="DL37" s="103"/>
      <c r="DM37" s="103"/>
      <c r="DN37" s="103"/>
      <c r="DO37" s="103"/>
      <c r="DP37" s="103"/>
      <c r="DQ37" s="103"/>
      <c r="DR37" s="103"/>
      <c r="DS37" s="103"/>
      <c r="DT37" s="103"/>
      <c r="DU37" s="103"/>
      <c r="DV37" s="103"/>
      <c r="DW37" s="103"/>
      <c r="DX37" s="103"/>
      <c r="DY37" s="103"/>
      <c r="DZ37" s="103"/>
      <c r="EA37" s="103"/>
      <c r="EB37" s="103"/>
      <c r="EC37" s="103"/>
      <c r="ED37" s="103"/>
      <c r="EE37" s="103"/>
      <c r="EF37" s="103"/>
      <c r="EG37" s="103"/>
      <c r="EH37" s="103"/>
      <c r="EI37" s="103"/>
      <c r="EJ37" s="103"/>
      <c r="EK37" s="103"/>
      <c r="EL37" s="103"/>
      <c r="EM37" s="103"/>
      <c r="EN37" s="103"/>
    </row>
    <row r="38" spans="1:144">
      <c r="A38" s="103" t="s">
        <v>2172</v>
      </c>
      <c r="B38" s="113">
        <v>0</v>
      </c>
      <c r="C38" s="113">
        <v>0</v>
      </c>
      <c r="D38" s="113">
        <v>0</v>
      </c>
      <c r="E38" s="113">
        <v>0</v>
      </c>
      <c r="F38" s="113">
        <v>0</v>
      </c>
      <c r="G38" s="113">
        <v>0</v>
      </c>
      <c r="H38" s="113">
        <v>0</v>
      </c>
      <c r="I38" s="113">
        <v>0</v>
      </c>
      <c r="J38" s="113">
        <v>-70</v>
      </c>
      <c r="K38" s="113">
        <v>-57</v>
      </c>
      <c r="L38" s="113">
        <v>-159</v>
      </c>
      <c r="M38" s="113">
        <v>-92</v>
      </c>
      <c r="N38" s="113">
        <v>-68</v>
      </c>
      <c r="O38" s="113">
        <v>-25</v>
      </c>
      <c r="P38" s="113">
        <v>13</v>
      </c>
      <c r="Q38" s="113">
        <v>0</v>
      </c>
      <c r="R38" s="113">
        <v>0</v>
      </c>
      <c r="S38" s="113">
        <v>0</v>
      </c>
      <c r="T38" s="113">
        <v>0</v>
      </c>
      <c r="U38" s="113">
        <v>0</v>
      </c>
      <c r="V38" s="113">
        <v>0</v>
      </c>
      <c r="W38" s="113">
        <v>0</v>
      </c>
      <c r="X38" s="113">
        <v>0</v>
      </c>
      <c r="Y38" s="113">
        <v>0</v>
      </c>
      <c r="Z38" s="113">
        <v>0</v>
      </c>
      <c r="AA38" s="113">
        <v>0</v>
      </c>
      <c r="AB38" s="113">
        <v>0</v>
      </c>
      <c r="AC38" s="113">
        <v>0</v>
      </c>
      <c r="AD38" s="113">
        <v>0</v>
      </c>
      <c r="AE38" s="113">
        <v>0</v>
      </c>
      <c r="AG38" s="103" t="s">
        <v>2172</v>
      </c>
      <c r="AH38" s="113">
        <v>0</v>
      </c>
      <c r="AI38" s="113">
        <v>0</v>
      </c>
      <c r="AJ38" s="113">
        <v>0</v>
      </c>
      <c r="AK38" s="113">
        <v>0</v>
      </c>
      <c r="AL38" s="113">
        <v>0</v>
      </c>
      <c r="AM38" s="113">
        <v>0</v>
      </c>
      <c r="AN38" s="113">
        <v>0</v>
      </c>
      <c r="AO38" s="113">
        <v>0</v>
      </c>
      <c r="AP38" s="113">
        <v>0</v>
      </c>
      <c r="AQ38" s="113">
        <v>0</v>
      </c>
      <c r="AR38" s="113">
        <v>0</v>
      </c>
      <c r="AS38" s="113">
        <v>0</v>
      </c>
      <c r="AT38" s="113">
        <v>0</v>
      </c>
      <c r="AU38" s="113">
        <v>0</v>
      </c>
      <c r="AV38" s="113">
        <v>0</v>
      </c>
      <c r="AW38" s="113">
        <v>0</v>
      </c>
      <c r="AX38" s="113">
        <v>0</v>
      </c>
      <c r="AY38" s="113">
        <v>0</v>
      </c>
      <c r="AZ38" s="113">
        <v>0</v>
      </c>
      <c r="BA38" s="113">
        <v>0</v>
      </c>
      <c r="BB38" s="113">
        <v>0</v>
      </c>
      <c r="BC38" s="113">
        <v>0</v>
      </c>
      <c r="BD38" s="113">
        <v>0</v>
      </c>
      <c r="BE38" s="113">
        <v>0</v>
      </c>
      <c r="BF38" s="113">
        <v>0</v>
      </c>
      <c r="BG38" s="113">
        <v>0</v>
      </c>
      <c r="BH38" s="113">
        <v>0</v>
      </c>
      <c r="BI38" s="113">
        <v>0</v>
      </c>
      <c r="BJ38" s="113">
        <v>-19</v>
      </c>
      <c r="BK38" s="113">
        <v>-10</v>
      </c>
      <c r="BL38" s="113">
        <v>-4</v>
      </c>
      <c r="BM38" s="113">
        <v>-24</v>
      </c>
      <c r="BN38" s="113">
        <v>-52</v>
      </c>
      <c r="BO38" s="113">
        <v>-28</v>
      </c>
      <c r="BP38" s="113">
        <v>-46</v>
      </c>
      <c r="BQ38" s="113">
        <v>-33</v>
      </c>
      <c r="BR38" s="113">
        <v>-30</v>
      </c>
      <c r="BS38" s="113">
        <v>-37</v>
      </c>
      <c r="BT38" s="113">
        <v>-11</v>
      </c>
      <c r="BU38" s="113">
        <v>-14</v>
      </c>
      <c r="BV38" s="113">
        <v>-22</v>
      </c>
      <c r="BW38" s="113">
        <v>-12</v>
      </c>
      <c r="BX38" s="113">
        <v>-19</v>
      </c>
      <c r="BY38" s="113">
        <v>-15</v>
      </c>
      <c r="BZ38" s="113">
        <v>-10</v>
      </c>
      <c r="CA38" s="113">
        <v>-5</v>
      </c>
      <c r="CB38" s="113">
        <v>-11</v>
      </c>
      <c r="CC38" s="113">
        <v>1</v>
      </c>
      <c r="CD38" s="113">
        <v>10</v>
      </c>
      <c r="CE38" s="113">
        <v>3</v>
      </c>
      <c r="CF38" s="113">
        <v>-1</v>
      </c>
      <c r="CG38" s="113">
        <v>1</v>
      </c>
      <c r="CH38" s="113">
        <v>0</v>
      </c>
      <c r="CI38" s="113">
        <v>0</v>
      </c>
      <c r="CJ38" s="113">
        <v>0</v>
      </c>
      <c r="CK38" s="113">
        <v>218</v>
      </c>
      <c r="CL38" s="113">
        <v>0</v>
      </c>
      <c r="CM38" s="113">
        <v>0</v>
      </c>
      <c r="CN38" s="113">
        <v>0</v>
      </c>
      <c r="CO38" s="113">
        <v>0</v>
      </c>
      <c r="CP38" s="113">
        <v>0</v>
      </c>
      <c r="CQ38" s="113">
        <v>0</v>
      </c>
      <c r="CR38" s="113">
        <v>0</v>
      </c>
      <c r="CS38" s="113">
        <v>0</v>
      </c>
      <c r="CT38" s="113">
        <v>0</v>
      </c>
      <c r="CU38" s="113">
        <v>0</v>
      </c>
      <c r="CV38" s="113">
        <v>0</v>
      </c>
      <c r="CW38" s="113">
        <v>0</v>
      </c>
      <c r="CX38" s="113">
        <v>0</v>
      </c>
      <c r="CY38" s="113">
        <v>0</v>
      </c>
      <c r="CZ38" s="113">
        <v>0</v>
      </c>
      <c r="DA38" s="113">
        <v>0</v>
      </c>
      <c r="DB38" s="113">
        <v>0</v>
      </c>
      <c r="DC38" s="113">
        <v>0</v>
      </c>
      <c r="DD38" s="113">
        <v>0</v>
      </c>
      <c r="DE38" s="113">
        <v>0</v>
      </c>
      <c r="DF38" s="113">
        <v>0</v>
      </c>
      <c r="DG38" s="113">
        <v>0</v>
      </c>
      <c r="DH38" s="113">
        <v>0</v>
      </c>
      <c r="DI38" s="113">
        <v>0</v>
      </c>
      <c r="DJ38" s="113">
        <v>0</v>
      </c>
      <c r="DK38" s="113">
        <v>0</v>
      </c>
      <c r="DL38" s="113">
        <v>0</v>
      </c>
      <c r="DM38" s="113">
        <v>0</v>
      </c>
      <c r="DN38" s="113">
        <v>0</v>
      </c>
      <c r="DO38" s="113">
        <v>0</v>
      </c>
      <c r="DP38" s="113">
        <v>0</v>
      </c>
      <c r="DQ38" s="113">
        <v>0</v>
      </c>
      <c r="DR38" s="113">
        <v>0</v>
      </c>
      <c r="DS38" s="113">
        <v>0</v>
      </c>
      <c r="DT38" s="113">
        <v>0</v>
      </c>
      <c r="DU38" s="113">
        <v>0</v>
      </c>
      <c r="DV38" s="113">
        <v>0</v>
      </c>
      <c r="DW38" s="113">
        <v>0</v>
      </c>
      <c r="DX38" s="113">
        <v>0</v>
      </c>
      <c r="DY38" s="113">
        <v>0</v>
      </c>
      <c r="DZ38" s="113">
        <v>0</v>
      </c>
      <c r="EA38" s="113">
        <v>0</v>
      </c>
      <c r="EB38" s="113">
        <v>0</v>
      </c>
      <c r="EC38" s="113">
        <v>0</v>
      </c>
      <c r="ED38" s="113">
        <v>0</v>
      </c>
      <c r="EE38" s="113">
        <v>0</v>
      </c>
      <c r="EF38" s="113">
        <v>0</v>
      </c>
      <c r="EG38" s="113">
        <v>0</v>
      </c>
      <c r="EH38" s="113">
        <v>0</v>
      </c>
      <c r="EI38" s="113">
        <v>0</v>
      </c>
      <c r="EJ38" s="113">
        <v>0</v>
      </c>
      <c r="EK38" s="113">
        <v>0</v>
      </c>
      <c r="EL38" s="113">
        <v>0</v>
      </c>
      <c r="EM38" s="113">
        <v>0</v>
      </c>
      <c r="EN38" s="113">
        <v>0</v>
      </c>
    </row>
    <row r="39" spans="1:144">
      <c r="A39" s="103" t="s">
        <v>2173</v>
      </c>
      <c r="B39" s="113">
        <v>0</v>
      </c>
      <c r="C39" s="113">
        <v>0</v>
      </c>
      <c r="D39" s="113">
        <v>0</v>
      </c>
      <c r="E39" s="113">
        <v>0</v>
      </c>
      <c r="F39" s="113">
        <v>0</v>
      </c>
      <c r="G39" s="113">
        <v>0</v>
      </c>
      <c r="H39" s="113">
        <v>0</v>
      </c>
      <c r="I39" s="113">
        <v>0</v>
      </c>
      <c r="J39" s="113">
        <v>0</v>
      </c>
      <c r="K39" s="113">
        <v>0</v>
      </c>
      <c r="L39" s="113">
        <v>0</v>
      </c>
      <c r="M39" s="113">
        <v>0</v>
      </c>
      <c r="N39" s="113">
        <v>0</v>
      </c>
      <c r="O39" s="113">
        <v>-284</v>
      </c>
      <c r="P39" s="113">
        <v>0</v>
      </c>
      <c r="Q39" s="113">
        <v>0</v>
      </c>
      <c r="R39" s="113">
        <v>56</v>
      </c>
      <c r="S39" s="113">
        <v>226</v>
      </c>
      <c r="T39" s="113">
        <v>-1056</v>
      </c>
      <c r="U39" s="113">
        <v>-64</v>
      </c>
      <c r="V39" s="113">
        <v>-336</v>
      </c>
      <c r="W39" s="113">
        <v>-465</v>
      </c>
      <c r="X39" s="113">
        <v>-223</v>
      </c>
      <c r="Y39" s="113">
        <v>-490</v>
      </c>
      <c r="Z39" s="113">
        <v>-478</v>
      </c>
      <c r="AA39" s="113">
        <v>-497</v>
      </c>
      <c r="AB39" s="113">
        <v>-562</v>
      </c>
      <c r="AC39" s="113">
        <v>-403</v>
      </c>
      <c r="AD39" s="113">
        <v>-75</v>
      </c>
      <c r="AE39" s="113">
        <v>-229</v>
      </c>
      <c r="AG39" s="103" t="s">
        <v>2173</v>
      </c>
      <c r="AH39" s="113">
        <v>0</v>
      </c>
      <c r="AI39" s="113">
        <v>0</v>
      </c>
      <c r="AJ39" s="113">
        <v>0</v>
      </c>
      <c r="AK39" s="113">
        <v>0</v>
      </c>
      <c r="AL39" s="113">
        <v>0</v>
      </c>
      <c r="AM39" s="113">
        <v>0</v>
      </c>
      <c r="AN39" s="113">
        <v>0</v>
      </c>
      <c r="AO39" s="113">
        <v>0</v>
      </c>
      <c r="AP39" s="113">
        <v>0</v>
      </c>
      <c r="AQ39" s="113">
        <v>0</v>
      </c>
      <c r="AR39" s="113">
        <v>0</v>
      </c>
      <c r="AS39" s="113">
        <v>0</v>
      </c>
      <c r="AT39" s="113">
        <v>0</v>
      </c>
      <c r="AU39" s="113">
        <v>0</v>
      </c>
      <c r="AV39" s="113">
        <v>0</v>
      </c>
      <c r="AW39" s="113">
        <v>0</v>
      </c>
      <c r="AX39" s="113">
        <v>0</v>
      </c>
      <c r="AY39" s="113">
        <v>0</v>
      </c>
      <c r="AZ39" s="113">
        <v>0</v>
      </c>
      <c r="BA39" s="113">
        <v>0</v>
      </c>
      <c r="BB39" s="113">
        <v>0</v>
      </c>
      <c r="BC39" s="113">
        <v>0</v>
      </c>
      <c r="BD39" s="113">
        <v>0</v>
      </c>
      <c r="BE39" s="113">
        <v>0</v>
      </c>
      <c r="BF39" s="113">
        <v>0</v>
      </c>
      <c r="BG39" s="113">
        <v>0</v>
      </c>
      <c r="BH39" s="113">
        <v>0</v>
      </c>
      <c r="BI39" s="113">
        <v>0</v>
      </c>
      <c r="BJ39" s="113">
        <v>0</v>
      </c>
      <c r="BK39" s="113">
        <v>0</v>
      </c>
      <c r="BL39" s="113">
        <v>0</v>
      </c>
      <c r="BM39" s="113">
        <v>0</v>
      </c>
      <c r="BN39" s="113">
        <v>0</v>
      </c>
      <c r="BO39" s="113">
        <v>0</v>
      </c>
      <c r="BP39" s="113">
        <v>0</v>
      </c>
      <c r="BQ39" s="113">
        <v>0</v>
      </c>
      <c r="BR39" s="113">
        <v>0</v>
      </c>
      <c r="BS39" s="113">
        <v>0</v>
      </c>
      <c r="BT39" s="113">
        <v>0</v>
      </c>
      <c r="BU39" s="113">
        <v>0</v>
      </c>
      <c r="BV39" s="113">
        <v>0</v>
      </c>
      <c r="BW39" s="113">
        <v>0</v>
      </c>
      <c r="BX39" s="113">
        <v>0</v>
      </c>
      <c r="BY39" s="113">
        <v>0</v>
      </c>
      <c r="BZ39" s="113">
        <v>0</v>
      </c>
      <c r="CA39" s="113">
        <v>0</v>
      </c>
      <c r="CB39" s="113">
        <v>0</v>
      </c>
      <c r="CC39" s="113">
        <v>0</v>
      </c>
      <c r="CD39" s="113">
        <v>-105</v>
      </c>
      <c r="CE39" s="113">
        <v>-58</v>
      </c>
      <c r="CF39" s="113">
        <v>26</v>
      </c>
      <c r="CG39" s="113">
        <v>84</v>
      </c>
      <c r="CH39" s="113">
        <v>-103</v>
      </c>
      <c r="CI39" s="113">
        <v>-94</v>
      </c>
      <c r="CJ39" s="113">
        <v>0</v>
      </c>
      <c r="CK39" s="113">
        <v>0</v>
      </c>
      <c r="CL39" s="113">
        <v>0</v>
      </c>
      <c r="CM39" s="113">
        <v>0</v>
      </c>
      <c r="CN39" s="113">
        <v>0</v>
      </c>
      <c r="CO39" s="113">
        <v>0</v>
      </c>
      <c r="CP39" s="113">
        <v>80</v>
      </c>
      <c r="CQ39" s="113">
        <v>23</v>
      </c>
      <c r="CR39" s="113">
        <v>122</v>
      </c>
      <c r="CS39" s="113">
        <v>1</v>
      </c>
      <c r="CT39" s="113">
        <v>-179</v>
      </c>
      <c r="CU39" s="113">
        <v>-350</v>
      </c>
      <c r="CV39" s="113">
        <v>-115</v>
      </c>
      <c r="CW39" s="113">
        <v>-68</v>
      </c>
      <c r="CX39" s="113">
        <v>-95</v>
      </c>
      <c r="CY39" s="113">
        <v>113</v>
      </c>
      <c r="CZ39" s="113">
        <v>-118</v>
      </c>
      <c r="DA39" s="113">
        <v>36</v>
      </c>
      <c r="DB39" s="113">
        <v>-191</v>
      </c>
      <c r="DC39" s="113">
        <v>-68</v>
      </c>
      <c r="DD39" s="113">
        <v>0</v>
      </c>
      <c r="DE39" s="113">
        <v>-336</v>
      </c>
      <c r="DF39" s="113">
        <v>-26</v>
      </c>
      <c r="DG39" s="113">
        <v>-148</v>
      </c>
      <c r="DH39" s="113">
        <v>-160</v>
      </c>
      <c r="DI39" s="113">
        <v>-131</v>
      </c>
      <c r="DJ39" s="113">
        <v>-111</v>
      </c>
      <c r="DK39" s="113">
        <v>-55</v>
      </c>
      <c r="DL39" s="113">
        <v>-76</v>
      </c>
      <c r="DM39" s="113">
        <v>19</v>
      </c>
      <c r="DN39" s="113">
        <v>-41</v>
      </c>
      <c r="DO39" s="113">
        <v>2</v>
      </c>
      <c r="DP39" s="113">
        <v>-154</v>
      </c>
      <c r="DQ39" s="113">
        <v>-297</v>
      </c>
      <c r="DR39" s="113">
        <v>-224</v>
      </c>
      <c r="DS39" s="113">
        <v>36</v>
      </c>
      <c r="DT39" s="113">
        <v>-608</v>
      </c>
      <c r="DU39" s="113">
        <v>318</v>
      </c>
      <c r="DV39" s="113">
        <v>-49</v>
      </c>
      <c r="DW39" s="113">
        <v>-197</v>
      </c>
      <c r="DX39" s="113">
        <v>93</v>
      </c>
      <c r="DY39" s="113">
        <v>-336</v>
      </c>
      <c r="DZ39" s="113">
        <v>-121</v>
      </c>
      <c r="EA39" s="113">
        <v>-200</v>
      </c>
      <c r="EB39" s="113">
        <v>-177</v>
      </c>
      <c r="EC39" s="113">
        <v>-64</v>
      </c>
      <c r="ED39" s="113">
        <v>-149</v>
      </c>
      <c r="EE39" s="113">
        <v>-222</v>
      </c>
      <c r="EF39" s="113">
        <v>-78</v>
      </c>
      <c r="EG39" s="113">
        <v>46</v>
      </c>
      <c r="EH39" s="113">
        <v>-24</v>
      </c>
      <c r="EI39" s="113">
        <v>-122</v>
      </c>
      <c r="EJ39" s="113">
        <v>-23</v>
      </c>
      <c r="EK39" s="113">
        <v>94</v>
      </c>
      <c r="EL39" s="113">
        <v>-196</v>
      </c>
      <c r="EM39" s="113">
        <v>75</v>
      </c>
      <c r="EN39" s="113">
        <v>-202</v>
      </c>
    </row>
    <row r="40" spans="1:144">
      <c r="A40" s="103" t="s">
        <v>2174</v>
      </c>
      <c r="B40" s="113">
        <v>-16</v>
      </c>
      <c r="C40" s="113">
        <v>-11</v>
      </c>
      <c r="D40" s="113">
        <v>-7</v>
      </c>
      <c r="E40" s="113">
        <v>-16</v>
      </c>
      <c r="F40" s="113">
        <v>-16</v>
      </c>
      <c r="G40" s="113">
        <v>0</v>
      </c>
      <c r="H40" s="113">
        <v>0</v>
      </c>
      <c r="I40" s="113">
        <v>0</v>
      </c>
      <c r="J40" s="113">
        <v>0</v>
      </c>
      <c r="K40" s="113">
        <v>0</v>
      </c>
      <c r="L40" s="113">
        <v>0</v>
      </c>
      <c r="M40" s="113">
        <v>0</v>
      </c>
      <c r="N40" s="113">
        <v>-424</v>
      </c>
      <c r="O40" s="113">
        <v>-102</v>
      </c>
      <c r="P40" s="113">
        <v>-262</v>
      </c>
      <c r="Q40" s="113">
        <v>119</v>
      </c>
      <c r="R40" s="113">
        <v>-132</v>
      </c>
      <c r="S40" s="113">
        <v>83</v>
      </c>
      <c r="T40" s="113">
        <v>84</v>
      </c>
      <c r="U40" s="113">
        <v>-73</v>
      </c>
      <c r="V40" s="113">
        <v>167</v>
      </c>
      <c r="W40" s="113">
        <v>70</v>
      </c>
      <c r="X40" s="113">
        <v>131</v>
      </c>
      <c r="Y40" s="113">
        <v>-99</v>
      </c>
      <c r="Z40" s="113">
        <v>142</v>
      </c>
      <c r="AA40" s="113">
        <v>-239</v>
      </c>
      <c r="AB40" s="113">
        <v>-116</v>
      </c>
      <c r="AC40" s="113">
        <v>-54</v>
      </c>
      <c r="AD40" s="113">
        <v>77</v>
      </c>
      <c r="AE40" s="113">
        <v>-10</v>
      </c>
      <c r="AG40" s="103" t="s">
        <v>2174</v>
      </c>
      <c r="AH40" s="113">
        <v>0.5</v>
      </c>
      <c r="AI40" s="113">
        <v>2</v>
      </c>
      <c r="AJ40" s="113">
        <v>-2</v>
      </c>
      <c r="AK40" s="113">
        <v>-6</v>
      </c>
      <c r="AL40" s="113">
        <v>-4</v>
      </c>
      <c r="AM40" s="113">
        <v>-2</v>
      </c>
      <c r="AN40" s="113">
        <v>-4</v>
      </c>
      <c r="AO40" s="113">
        <v>-6</v>
      </c>
      <c r="AP40" s="113">
        <v>-2</v>
      </c>
      <c r="AQ40" s="113">
        <v>-5</v>
      </c>
      <c r="AR40" s="113">
        <v>-5</v>
      </c>
      <c r="AS40" s="113">
        <v>-4</v>
      </c>
      <c r="AT40" s="113">
        <v>-4</v>
      </c>
      <c r="AU40" s="113">
        <v>23</v>
      </c>
      <c r="AV40" s="113">
        <v>4</v>
      </c>
      <c r="AW40" s="113">
        <v>-42</v>
      </c>
      <c r="AX40" s="113">
        <v>-49</v>
      </c>
      <c r="AY40" s="113">
        <v>-46</v>
      </c>
      <c r="AZ40" s="113">
        <v>-84</v>
      </c>
      <c r="BA40" s="113">
        <v>179</v>
      </c>
      <c r="BB40" s="113">
        <v>0</v>
      </c>
      <c r="BC40" s="113">
        <v>0</v>
      </c>
      <c r="BD40" s="113">
        <v>0</v>
      </c>
      <c r="BE40" s="113">
        <v>0</v>
      </c>
      <c r="BF40" s="113">
        <v>0</v>
      </c>
      <c r="BG40" s="113">
        <v>0</v>
      </c>
      <c r="BH40" s="113">
        <v>0</v>
      </c>
      <c r="BI40" s="113">
        <v>0</v>
      </c>
      <c r="BJ40" s="113">
        <v>0</v>
      </c>
      <c r="BK40" s="113">
        <v>0</v>
      </c>
      <c r="BL40" s="113">
        <v>0</v>
      </c>
      <c r="BM40" s="113">
        <v>0</v>
      </c>
      <c r="BN40" s="113">
        <v>0</v>
      </c>
      <c r="BO40" s="113">
        <v>0</v>
      </c>
      <c r="BP40" s="113">
        <v>0</v>
      </c>
      <c r="BQ40" s="113">
        <v>0</v>
      </c>
      <c r="BR40" s="113">
        <v>0</v>
      </c>
      <c r="BS40" s="113">
        <v>0</v>
      </c>
      <c r="BT40" s="113">
        <v>0</v>
      </c>
      <c r="BU40" s="113">
        <v>0</v>
      </c>
      <c r="BV40" s="113">
        <v>0</v>
      </c>
      <c r="BW40" s="113">
        <v>0</v>
      </c>
      <c r="BX40" s="113">
        <v>0</v>
      </c>
      <c r="BY40" s="113">
        <v>0</v>
      </c>
      <c r="BZ40" s="113">
        <v>34</v>
      </c>
      <c r="CA40" s="113">
        <v>11</v>
      </c>
      <c r="CB40" s="113">
        <v>93</v>
      </c>
      <c r="CC40" s="113">
        <v>-406</v>
      </c>
      <c r="CD40" s="113">
        <v>-75</v>
      </c>
      <c r="CE40" s="113">
        <v>0</v>
      </c>
      <c r="CF40" s="113">
        <v>76</v>
      </c>
      <c r="CG40" s="113">
        <v>-8</v>
      </c>
      <c r="CH40" s="113">
        <v>101</v>
      </c>
      <c r="CI40" s="113">
        <v>-11</v>
      </c>
      <c r="CJ40" s="113">
        <v>-9</v>
      </c>
      <c r="CK40" s="113">
        <v>-80</v>
      </c>
      <c r="CL40" s="113">
        <v>-165</v>
      </c>
      <c r="CM40" s="113">
        <v>-86</v>
      </c>
      <c r="CN40" s="113">
        <v>10</v>
      </c>
      <c r="CO40" s="113">
        <v>-151</v>
      </c>
      <c r="CP40" s="113">
        <v>-103</v>
      </c>
      <c r="CQ40" s="113">
        <v>51</v>
      </c>
      <c r="CR40" s="113">
        <v>185</v>
      </c>
      <c r="CS40" s="113">
        <v>56</v>
      </c>
      <c r="CT40" s="113">
        <v>-165</v>
      </c>
      <c r="CU40" s="113">
        <v>-396</v>
      </c>
      <c r="CV40" s="113">
        <v>15</v>
      </c>
      <c r="CW40" s="113">
        <v>316</v>
      </c>
      <c r="CX40" s="113">
        <v>134</v>
      </c>
      <c r="CY40" s="113">
        <v>-1</v>
      </c>
      <c r="CZ40" s="113">
        <v>-25</v>
      </c>
      <c r="DA40" s="113">
        <v>-181</v>
      </c>
      <c r="DB40" s="113">
        <v>73</v>
      </c>
      <c r="DC40" s="113">
        <v>151</v>
      </c>
      <c r="DD40" s="113">
        <v>316</v>
      </c>
      <c r="DE40" s="113">
        <v>-595</v>
      </c>
      <c r="DF40" s="113">
        <v>-2</v>
      </c>
      <c r="DG40" s="113">
        <v>70</v>
      </c>
      <c r="DH40" s="113">
        <v>25</v>
      </c>
      <c r="DI40" s="113">
        <v>-23</v>
      </c>
      <c r="DJ40" s="113">
        <v>286</v>
      </c>
      <c r="DK40" s="113">
        <v>-65</v>
      </c>
      <c r="DL40" s="113">
        <v>-39</v>
      </c>
      <c r="DM40" s="113">
        <v>-51</v>
      </c>
      <c r="DN40" s="113">
        <v>66</v>
      </c>
      <c r="DO40" s="113">
        <v>-180</v>
      </c>
      <c r="DP40" s="113">
        <v>1</v>
      </c>
      <c r="DQ40" s="113">
        <v>14</v>
      </c>
      <c r="DR40" s="113">
        <v>127</v>
      </c>
      <c r="DS40" s="113">
        <v>-267</v>
      </c>
      <c r="DT40" s="113">
        <v>412</v>
      </c>
      <c r="DU40" s="113">
        <v>-130</v>
      </c>
      <c r="DV40" s="113">
        <v>-236</v>
      </c>
      <c r="DW40" s="113">
        <v>74</v>
      </c>
      <c r="DX40" s="113">
        <v>-284</v>
      </c>
      <c r="DY40" s="113">
        <v>207</v>
      </c>
      <c r="DZ40" s="113">
        <v>-8</v>
      </c>
      <c r="EA40" s="113">
        <v>-145</v>
      </c>
      <c r="EB40" s="113">
        <v>54</v>
      </c>
      <c r="EC40" s="113">
        <v>-17</v>
      </c>
      <c r="ED40" s="113">
        <v>40</v>
      </c>
      <c r="EE40" s="113">
        <v>141</v>
      </c>
      <c r="EF40" s="113">
        <v>44</v>
      </c>
      <c r="EG40" s="113">
        <v>-279</v>
      </c>
      <c r="EH40" s="113">
        <v>40</v>
      </c>
      <c r="EI40" s="113">
        <v>123</v>
      </c>
      <c r="EJ40" s="113">
        <v>127</v>
      </c>
      <c r="EK40" s="113">
        <v>-210</v>
      </c>
      <c r="EL40" s="113">
        <v>166</v>
      </c>
      <c r="EM40" s="113">
        <v>-76</v>
      </c>
      <c r="EN40" s="113">
        <v>113</v>
      </c>
    </row>
    <row r="41" spans="1:144" ht="10.5">
      <c r="A41" s="112" t="s">
        <v>2175</v>
      </c>
      <c r="B41" s="114">
        <v>671</v>
      </c>
      <c r="C41" s="114">
        <v>1041</v>
      </c>
      <c r="D41" s="114">
        <v>1401</v>
      </c>
      <c r="E41" s="114">
        <v>1812</v>
      </c>
      <c r="F41" s="114">
        <v>2213</v>
      </c>
      <c r="G41" s="114">
        <v>3379</v>
      </c>
      <c r="H41" s="114">
        <v>5314</v>
      </c>
      <c r="I41" s="114">
        <v>7413</v>
      </c>
      <c r="J41" s="114">
        <v>11088</v>
      </c>
      <c r="K41" s="114">
        <v>12543</v>
      </c>
      <c r="L41" s="114">
        <v>13746</v>
      </c>
      <c r="M41" s="114">
        <v>10299</v>
      </c>
      <c r="N41" s="114">
        <v>11760</v>
      </c>
      <c r="O41" s="114">
        <v>13345</v>
      </c>
      <c r="P41" s="114">
        <v>18082</v>
      </c>
      <c r="Q41" s="114">
        <v>19401</v>
      </c>
      <c r="R41" s="114">
        <v>19962</v>
      </c>
      <c r="S41" s="114">
        <v>25268</v>
      </c>
      <c r="T41" s="114">
        <v>20427</v>
      </c>
      <c r="U41" s="114">
        <v>24653</v>
      </c>
      <c r="V41" s="114">
        <v>27597</v>
      </c>
      <c r="W41" s="114">
        <v>27981</v>
      </c>
      <c r="X41" s="114">
        <v>27653</v>
      </c>
      <c r="Y41" s="114">
        <v>27583</v>
      </c>
      <c r="Z41" s="114">
        <v>27821</v>
      </c>
      <c r="AA41" s="114">
        <v>26112</v>
      </c>
      <c r="AB41" s="114">
        <v>27818</v>
      </c>
      <c r="AC41" s="114">
        <v>34082</v>
      </c>
      <c r="AD41" s="114">
        <v>43037</v>
      </c>
      <c r="AE41" s="114">
        <v>51936</v>
      </c>
      <c r="AG41" s="112" t="s">
        <v>2175</v>
      </c>
      <c r="AH41" s="114">
        <v>327</v>
      </c>
      <c r="AI41" s="114">
        <v>347</v>
      </c>
      <c r="AJ41" s="114">
        <v>357</v>
      </c>
      <c r="AK41" s="114">
        <v>390</v>
      </c>
      <c r="AL41" s="114">
        <v>362</v>
      </c>
      <c r="AM41" s="114">
        <v>438</v>
      </c>
      <c r="AN41" s="114">
        <v>502</v>
      </c>
      <c r="AO41" s="114">
        <v>510</v>
      </c>
      <c r="AP41" s="114">
        <v>471</v>
      </c>
      <c r="AQ41" s="114">
        <v>557</v>
      </c>
      <c r="AR41" s="114">
        <v>592</v>
      </c>
      <c r="AS41" s="114">
        <v>593</v>
      </c>
      <c r="AT41" s="114">
        <v>770</v>
      </c>
      <c r="AU41" s="114">
        <v>885</v>
      </c>
      <c r="AV41" s="114">
        <v>864</v>
      </c>
      <c r="AW41" s="114">
        <v>860</v>
      </c>
      <c r="AX41" s="114">
        <v>945</v>
      </c>
      <c r="AY41" s="114">
        <v>1140</v>
      </c>
      <c r="AZ41" s="114">
        <v>1603</v>
      </c>
      <c r="BA41" s="114">
        <v>1626</v>
      </c>
      <c r="BB41" s="114">
        <v>1498</v>
      </c>
      <c r="BC41" s="114">
        <v>1770</v>
      </c>
      <c r="BD41" s="114">
        <v>2057</v>
      </c>
      <c r="BE41" s="114">
        <v>2088</v>
      </c>
      <c r="BF41" s="114">
        <v>2343</v>
      </c>
      <c r="BG41" s="114">
        <v>2981</v>
      </c>
      <c r="BH41" s="114">
        <v>2599</v>
      </c>
      <c r="BI41" s="114">
        <v>3185</v>
      </c>
      <c r="BJ41" s="114">
        <v>3120</v>
      </c>
      <c r="BK41" s="114">
        <v>3292</v>
      </c>
      <c r="BL41" s="114">
        <v>3159</v>
      </c>
      <c r="BM41" s="114">
        <v>2997</v>
      </c>
      <c r="BN41" s="114">
        <v>3852</v>
      </c>
      <c r="BO41" s="114">
        <v>3917</v>
      </c>
      <c r="BP41" s="114">
        <v>3658</v>
      </c>
      <c r="BQ41" s="114">
        <v>2319</v>
      </c>
      <c r="BR41" s="114">
        <v>2867</v>
      </c>
      <c r="BS41" s="114">
        <v>4017</v>
      </c>
      <c r="BT41" s="114">
        <v>4026</v>
      </c>
      <c r="BU41" s="114">
        <v>4667</v>
      </c>
      <c r="BV41" s="114">
        <v>3522</v>
      </c>
      <c r="BW41" s="114">
        <v>2946</v>
      </c>
      <c r="BX41" s="114">
        <v>3180</v>
      </c>
      <c r="BY41" s="114">
        <v>3019</v>
      </c>
      <c r="BZ41" s="114">
        <v>3656</v>
      </c>
      <c r="CA41" s="114">
        <v>2002</v>
      </c>
      <c r="CB41" s="114">
        <v>4385</v>
      </c>
      <c r="CC41" s="114">
        <v>3115</v>
      </c>
      <c r="CD41" s="114">
        <v>4271</v>
      </c>
      <c r="CE41" s="114">
        <v>5072</v>
      </c>
      <c r="CF41" s="114">
        <v>5132</v>
      </c>
      <c r="CG41" s="114">
        <v>3655</v>
      </c>
      <c r="CH41" s="114">
        <v>4869</v>
      </c>
      <c r="CI41" s="114">
        <v>5000</v>
      </c>
      <c r="CJ41" s="114">
        <v>4645</v>
      </c>
      <c r="CK41" s="114">
        <v>4809</v>
      </c>
      <c r="CL41" s="114">
        <v>4765</v>
      </c>
      <c r="CM41" s="114">
        <v>3813</v>
      </c>
      <c r="CN41" s="114">
        <v>7228</v>
      </c>
      <c r="CO41" s="114">
        <v>4156</v>
      </c>
      <c r="CP41" s="114">
        <v>6065</v>
      </c>
      <c r="CQ41" s="114">
        <v>6733</v>
      </c>
      <c r="CR41" s="114">
        <v>6323</v>
      </c>
      <c r="CS41" s="114">
        <v>5906</v>
      </c>
      <c r="CT41" s="114">
        <v>5862</v>
      </c>
      <c r="CU41" s="114">
        <v>5368</v>
      </c>
      <c r="CV41" s="114">
        <v>4849</v>
      </c>
      <c r="CW41" s="114">
        <v>4628</v>
      </c>
      <c r="CX41" s="114">
        <v>4686</v>
      </c>
      <c r="CY41" s="114">
        <v>8784</v>
      </c>
      <c r="CZ41" s="114">
        <v>5196</v>
      </c>
      <c r="DA41" s="114">
        <v>6046</v>
      </c>
      <c r="DB41" s="114">
        <v>7163</v>
      </c>
      <c r="DC41" s="114">
        <v>8381</v>
      </c>
      <c r="DD41" s="114">
        <v>6025</v>
      </c>
      <c r="DE41" s="114">
        <v>5845</v>
      </c>
      <c r="DF41" s="114">
        <v>7292</v>
      </c>
      <c r="DG41" s="114">
        <v>8003</v>
      </c>
      <c r="DH41" s="114">
        <v>6324</v>
      </c>
      <c r="DI41" s="114">
        <v>6362</v>
      </c>
      <c r="DJ41" s="114">
        <v>5547</v>
      </c>
      <c r="DK41" s="114">
        <v>7712</v>
      </c>
      <c r="DL41" s="114">
        <v>8271</v>
      </c>
      <c r="DM41" s="114">
        <v>6123</v>
      </c>
      <c r="DN41" s="114">
        <v>6420</v>
      </c>
      <c r="DO41" s="114">
        <v>7875</v>
      </c>
      <c r="DP41" s="114">
        <v>6866</v>
      </c>
      <c r="DQ41" s="114">
        <v>6422</v>
      </c>
      <c r="DR41" s="114">
        <v>6951</v>
      </c>
      <c r="DS41" s="114">
        <v>7809</v>
      </c>
      <c r="DT41" s="114">
        <v>6537</v>
      </c>
      <c r="DU41" s="114">
        <v>6524</v>
      </c>
      <c r="DV41" s="114">
        <v>5458</v>
      </c>
      <c r="DW41" s="114">
        <v>5794</v>
      </c>
      <c r="DX41" s="114">
        <v>4982</v>
      </c>
      <c r="DY41" s="114">
        <v>3990</v>
      </c>
      <c r="DZ41" s="114">
        <v>6442</v>
      </c>
      <c r="EA41" s="114">
        <v>7350</v>
      </c>
      <c r="EB41" s="114">
        <v>6371</v>
      </c>
      <c r="EC41" s="114">
        <v>9946</v>
      </c>
      <c r="ED41" s="114">
        <v>7400</v>
      </c>
      <c r="EE41" s="114">
        <v>8430</v>
      </c>
      <c r="EF41" s="114">
        <v>8142</v>
      </c>
      <c r="EG41" s="114">
        <v>10110</v>
      </c>
      <c r="EH41" s="114">
        <v>9978</v>
      </c>
      <c r="EI41" s="114">
        <v>10291</v>
      </c>
      <c r="EJ41" s="114">
        <v>10442</v>
      </c>
      <c r="EK41" s="114">
        <v>12329</v>
      </c>
      <c r="EL41" s="114">
        <v>12743</v>
      </c>
      <c r="EM41" s="114">
        <v>13923</v>
      </c>
      <c r="EN41" s="114">
        <v>12944</v>
      </c>
    </row>
    <row r="42" spans="1:144">
      <c r="A42" s="103"/>
      <c r="B42" s="103"/>
      <c r="C42" s="103"/>
      <c r="D42" s="103"/>
      <c r="E42" s="103"/>
      <c r="F42" s="103"/>
      <c r="G42" s="103"/>
      <c r="H42" s="103"/>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G42" s="103"/>
      <c r="AH42" s="103"/>
      <c r="AI42" s="103"/>
      <c r="AJ42" s="103"/>
      <c r="AK42" s="103"/>
      <c r="AL42" s="103"/>
      <c r="AM42" s="103"/>
      <c r="AN42" s="103"/>
      <c r="AO42" s="103"/>
      <c r="AP42" s="103"/>
      <c r="AQ42" s="103"/>
      <c r="AR42" s="103"/>
      <c r="AS42" s="103"/>
      <c r="AT42" s="103"/>
      <c r="AU42" s="103"/>
      <c r="AV42" s="103"/>
      <c r="AW42" s="103"/>
      <c r="AX42" s="103"/>
      <c r="AY42" s="103"/>
      <c r="AZ42" s="103"/>
      <c r="BA42" s="103"/>
      <c r="BB42" s="103"/>
      <c r="BC42" s="103"/>
      <c r="BD42" s="103"/>
      <c r="BE42" s="103"/>
      <c r="BF42" s="103"/>
      <c r="BG42" s="103"/>
      <c r="BH42" s="103"/>
      <c r="BI42" s="103"/>
      <c r="BJ42" s="103"/>
      <c r="BK42" s="103"/>
      <c r="BL42" s="103"/>
      <c r="BM42" s="103"/>
      <c r="BN42" s="103"/>
      <c r="BO42" s="103"/>
      <c r="BP42" s="103"/>
      <c r="BQ42" s="103"/>
      <c r="BR42" s="103"/>
      <c r="BS42" s="103"/>
      <c r="BT42" s="103"/>
      <c r="BU42" s="103"/>
      <c r="BV42" s="103"/>
      <c r="BW42" s="103"/>
      <c r="BX42" s="103"/>
      <c r="BY42" s="103"/>
      <c r="BZ42" s="103"/>
      <c r="CA42" s="103"/>
      <c r="CB42" s="103"/>
      <c r="CC42" s="103"/>
      <c r="CD42" s="103"/>
      <c r="CE42" s="103"/>
      <c r="CF42" s="103"/>
      <c r="CG42" s="103"/>
      <c r="CH42" s="103"/>
      <c r="CI42" s="103"/>
      <c r="CJ42" s="103"/>
      <c r="CK42" s="103"/>
      <c r="CL42" s="103"/>
      <c r="CM42" s="103"/>
      <c r="CN42" s="103"/>
      <c r="CO42" s="103"/>
      <c r="CP42" s="103"/>
      <c r="CQ42" s="103"/>
      <c r="CR42" s="103"/>
      <c r="CS42" s="103"/>
      <c r="CT42" s="103"/>
      <c r="CU42" s="103"/>
      <c r="CV42" s="103"/>
      <c r="CW42" s="103"/>
      <c r="CX42" s="103"/>
      <c r="CY42" s="103"/>
      <c r="CZ42" s="103"/>
      <c r="DA42" s="103"/>
      <c r="DB42" s="103"/>
      <c r="DC42" s="103"/>
      <c r="DD42" s="103"/>
      <c r="DE42" s="103"/>
      <c r="DF42" s="103"/>
      <c r="DG42" s="103"/>
      <c r="DH42" s="103"/>
      <c r="DI42" s="103"/>
      <c r="DJ42" s="103"/>
      <c r="DK42" s="103"/>
      <c r="DL42" s="103"/>
      <c r="DM42" s="103"/>
      <c r="DN42" s="103"/>
      <c r="DO42" s="103"/>
      <c r="DP42" s="103"/>
      <c r="DQ42" s="103"/>
      <c r="DR42" s="103"/>
      <c r="DS42" s="103"/>
      <c r="DT42" s="103"/>
      <c r="DU42" s="103"/>
      <c r="DV42" s="103"/>
      <c r="DW42" s="103"/>
      <c r="DX42" s="103"/>
      <c r="DY42" s="103"/>
      <c r="DZ42" s="103"/>
      <c r="EA42" s="103"/>
      <c r="EB42" s="103"/>
      <c r="EC42" s="103"/>
      <c r="ED42" s="103"/>
      <c r="EE42" s="103"/>
      <c r="EF42" s="103"/>
      <c r="EG42" s="103"/>
      <c r="EH42" s="103"/>
      <c r="EI42" s="103"/>
      <c r="EJ42" s="103"/>
      <c r="EK42" s="103"/>
      <c r="EL42" s="103"/>
      <c r="EM42" s="103"/>
      <c r="EN42" s="103"/>
    </row>
    <row r="43" spans="1:144">
      <c r="A43" s="103" t="s">
        <v>2176</v>
      </c>
      <c r="B43" s="113">
        <v>0</v>
      </c>
      <c r="C43" s="113">
        <v>0</v>
      </c>
      <c r="D43" s="113">
        <v>0</v>
      </c>
      <c r="E43" s="113">
        <v>0</v>
      </c>
      <c r="F43" s="113">
        <v>0</v>
      </c>
      <c r="G43" s="113">
        <v>0</v>
      </c>
      <c r="H43" s="113">
        <v>0</v>
      </c>
      <c r="I43" s="113">
        <v>0</v>
      </c>
      <c r="J43" s="113">
        <v>0</v>
      </c>
      <c r="K43" s="113">
        <v>0</v>
      </c>
      <c r="L43" s="113">
        <v>0</v>
      </c>
      <c r="M43" s="113">
        <v>0</v>
      </c>
      <c r="N43" s="113">
        <v>0</v>
      </c>
      <c r="O43" s="113">
        <v>0</v>
      </c>
      <c r="P43" s="113">
        <v>0</v>
      </c>
      <c r="Q43" s="113">
        <v>0</v>
      </c>
      <c r="R43" s="113">
        <v>0</v>
      </c>
      <c r="S43" s="113">
        <v>0</v>
      </c>
      <c r="T43" s="113">
        <v>-330</v>
      </c>
      <c r="U43" s="113">
        <v>0</v>
      </c>
      <c r="V43" s="113">
        <v>0</v>
      </c>
      <c r="W43" s="113">
        <v>0</v>
      </c>
      <c r="X43" s="113">
        <v>0</v>
      </c>
      <c r="Y43" s="113">
        <v>0</v>
      </c>
      <c r="Z43" s="113">
        <v>-2100</v>
      </c>
      <c r="AA43" s="113">
        <v>-480</v>
      </c>
      <c r="AB43" s="113">
        <v>-306</v>
      </c>
      <c r="AC43" s="113">
        <v>0</v>
      </c>
      <c r="AD43" s="113">
        <v>0</v>
      </c>
      <c r="AE43" s="113">
        <v>0</v>
      </c>
      <c r="AG43" s="103" t="s">
        <v>2176</v>
      </c>
      <c r="AH43" s="113">
        <v>0</v>
      </c>
      <c r="AI43" s="113">
        <v>0</v>
      </c>
      <c r="AJ43" s="113">
        <v>0</v>
      </c>
      <c r="AK43" s="113">
        <v>0</v>
      </c>
      <c r="AL43" s="113">
        <v>0</v>
      </c>
      <c r="AM43" s="113">
        <v>0</v>
      </c>
      <c r="AN43" s="113">
        <v>0</v>
      </c>
      <c r="AO43" s="113">
        <v>0</v>
      </c>
      <c r="AP43" s="113">
        <v>0</v>
      </c>
      <c r="AQ43" s="113">
        <v>0</v>
      </c>
      <c r="AR43" s="113">
        <v>0</v>
      </c>
      <c r="AS43" s="113">
        <v>0</v>
      </c>
      <c r="AT43" s="113">
        <v>0</v>
      </c>
      <c r="AU43" s="113">
        <v>0</v>
      </c>
      <c r="AV43" s="113">
        <v>0</v>
      </c>
      <c r="AW43" s="113">
        <v>0</v>
      </c>
      <c r="AX43" s="113">
        <v>0</v>
      </c>
      <c r="AY43" s="113">
        <v>0</v>
      </c>
      <c r="AZ43" s="113">
        <v>0</v>
      </c>
      <c r="BA43" s="113">
        <v>0</v>
      </c>
      <c r="BB43" s="113">
        <v>0</v>
      </c>
      <c r="BC43" s="113">
        <v>0</v>
      </c>
      <c r="BD43" s="113">
        <v>0</v>
      </c>
      <c r="BE43" s="113">
        <v>0</v>
      </c>
      <c r="BF43" s="113">
        <v>0</v>
      </c>
      <c r="BG43" s="113">
        <v>0</v>
      </c>
      <c r="BH43" s="113">
        <v>0</v>
      </c>
      <c r="BI43" s="113">
        <v>0</v>
      </c>
      <c r="BJ43" s="113">
        <v>0</v>
      </c>
      <c r="BK43" s="113">
        <v>0</v>
      </c>
      <c r="BL43" s="113">
        <v>0</v>
      </c>
      <c r="BM43" s="113">
        <v>0</v>
      </c>
      <c r="BN43" s="113">
        <v>0</v>
      </c>
      <c r="BO43" s="113">
        <v>0</v>
      </c>
      <c r="BP43" s="113">
        <v>0</v>
      </c>
      <c r="BQ43" s="113">
        <v>0</v>
      </c>
      <c r="BR43" s="113">
        <v>0</v>
      </c>
      <c r="BS43" s="113">
        <v>0</v>
      </c>
      <c r="BT43" s="113">
        <v>0</v>
      </c>
      <c r="BU43" s="113">
        <v>0</v>
      </c>
      <c r="BV43" s="113">
        <v>0</v>
      </c>
      <c r="BW43" s="113">
        <v>0</v>
      </c>
      <c r="BX43" s="113">
        <v>0</v>
      </c>
      <c r="BY43" s="113">
        <v>0</v>
      </c>
      <c r="BZ43" s="113">
        <v>0</v>
      </c>
      <c r="CA43" s="113">
        <v>0</v>
      </c>
      <c r="CB43" s="113">
        <v>0</v>
      </c>
      <c r="CC43" s="113">
        <v>0</v>
      </c>
      <c r="CD43" s="113">
        <v>0</v>
      </c>
      <c r="CE43" s="113">
        <v>0</v>
      </c>
      <c r="CF43" s="113">
        <v>0</v>
      </c>
      <c r="CG43" s="113">
        <v>0</v>
      </c>
      <c r="CH43" s="113">
        <v>0</v>
      </c>
      <c r="CI43" s="113">
        <v>0</v>
      </c>
      <c r="CJ43" s="113">
        <v>0</v>
      </c>
      <c r="CK43" s="113">
        <v>0</v>
      </c>
      <c r="CL43" s="113">
        <v>0</v>
      </c>
      <c r="CM43" s="113">
        <v>0</v>
      </c>
      <c r="CN43" s="113">
        <v>0</v>
      </c>
      <c r="CO43" s="113">
        <v>0</v>
      </c>
      <c r="CP43" s="113">
        <v>0</v>
      </c>
      <c r="CQ43" s="113">
        <v>0</v>
      </c>
      <c r="CR43" s="113">
        <v>0</v>
      </c>
      <c r="CS43" s="113">
        <v>0</v>
      </c>
      <c r="CT43" s="113">
        <v>0</v>
      </c>
      <c r="CU43" s="113">
        <v>0</v>
      </c>
      <c r="CV43" s="113">
        <v>-290</v>
      </c>
      <c r="CW43" s="113">
        <v>-40</v>
      </c>
      <c r="CX43" s="113">
        <v>0</v>
      </c>
      <c r="CY43" s="113">
        <v>0</v>
      </c>
      <c r="CZ43" s="113">
        <v>0</v>
      </c>
      <c r="DA43" s="113">
        <v>-59</v>
      </c>
      <c r="DB43" s="113">
        <v>0</v>
      </c>
      <c r="DC43" s="113">
        <v>0</v>
      </c>
      <c r="DD43" s="113">
        <v>0</v>
      </c>
      <c r="DE43" s="113">
        <v>0</v>
      </c>
      <c r="DF43" s="113">
        <v>0</v>
      </c>
      <c r="DG43" s="113">
        <v>0</v>
      </c>
      <c r="DH43" s="113">
        <v>0</v>
      </c>
      <c r="DI43" s="113">
        <v>0</v>
      </c>
      <c r="DJ43" s="113">
        <v>0</v>
      </c>
      <c r="DK43" s="113">
        <v>0</v>
      </c>
      <c r="DL43" s="113">
        <v>0</v>
      </c>
      <c r="DM43" s="113">
        <v>0</v>
      </c>
      <c r="DN43" s="113">
        <v>0</v>
      </c>
      <c r="DO43" s="113">
        <v>0</v>
      </c>
      <c r="DP43" s="113">
        <v>0</v>
      </c>
      <c r="DQ43" s="113">
        <v>0</v>
      </c>
      <c r="DR43" s="113">
        <v>-1000</v>
      </c>
      <c r="DS43" s="113">
        <v>-243</v>
      </c>
      <c r="DT43" s="113">
        <v>-98</v>
      </c>
      <c r="DU43" s="113">
        <v>-765</v>
      </c>
      <c r="DV43" s="113">
        <v>0</v>
      </c>
      <c r="DW43" s="113">
        <v>0</v>
      </c>
      <c r="DX43" s="113">
        <v>0</v>
      </c>
      <c r="DY43" s="113">
        <v>-480</v>
      </c>
      <c r="DZ43" s="113">
        <v>0</v>
      </c>
      <c r="EA43" s="113">
        <v>0</v>
      </c>
      <c r="EB43" s="113">
        <v>0</v>
      </c>
      <c r="EC43" s="113">
        <v>-306</v>
      </c>
      <c r="ED43" s="113">
        <v>0</v>
      </c>
      <c r="EE43" s="113">
        <v>0</v>
      </c>
      <c r="EF43" s="113">
        <v>0</v>
      </c>
      <c r="EG43" s="113">
        <v>0</v>
      </c>
      <c r="EH43" s="113">
        <v>0</v>
      </c>
      <c r="EI43" s="113">
        <v>0</v>
      </c>
      <c r="EJ43" s="113">
        <v>0</v>
      </c>
      <c r="EK43" s="113">
        <v>0</v>
      </c>
      <c r="EL43" s="113">
        <v>0</v>
      </c>
      <c r="EM43" s="113">
        <v>0</v>
      </c>
      <c r="EN43" s="113">
        <v>0</v>
      </c>
    </row>
    <row r="44" spans="1:144">
      <c r="A44" s="103" t="s">
        <v>2177</v>
      </c>
      <c r="B44" s="113">
        <v>0</v>
      </c>
      <c r="C44" s="113">
        <v>0</v>
      </c>
      <c r="D44" s="113">
        <v>0</v>
      </c>
      <c r="E44" s="113">
        <v>0</v>
      </c>
      <c r="F44" s="113">
        <v>0</v>
      </c>
      <c r="G44" s="113">
        <v>0</v>
      </c>
      <c r="H44" s="113">
        <v>0</v>
      </c>
      <c r="I44" s="113">
        <v>0</v>
      </c>
      <c r="J44" s="113">
        <v>0</v>
      </c>
      <c r="K44" s="113">
        <v>0</v>
      </c>
      <c r="L44" s="113">
        <v>0</v>
      </c>
      <c r="M44" s="113">
        <v>0</v>
      </c>
      <c r="N44" s="113">
        <v>0</v>
      </c>
      <c r="O44" s="113">
        <v>0</v>
      </c>
      <c r="P44" s="113">
        <v>0</v>
      </c>
      <c r="Q44" s="113">
        <v>0</v>
      </c>
      <c r="R44" s="113">
        <v>0</v>
      </c>
      <c r="S44" s="113">
        <v>0</v>
      </c>
      <c r="T44" s="113">
        <v>0</v>
      </c>
      <c r="U44" s="113">
        <v>0</v>
      </c>
      <c r="V44" s="113">
        <v>0</v>
      </c>
      <c r="W44" s="113">
        <v>0</v>
      </c>
      <c r="X44" s="113">
        <v>0</v>
      </c>
      <c r="Y44" s="113">
        <v>-127</v>
      </c>
      <c r="Z44" s="113">
        <v>-435</v>
      </c>
      <c r="AA44" s="113">
        <v>0</v>
      </c>
      <c r="AB44" s="113">
        <v>0</v>
      </c>
      <c r="AC44" s="113">
        <v>0</v>
      </c>
      <c r="AD44" s="113">
        <v>0</v>
      </c>
      <c r="AE44" s="113">
        <v>0</v>
      </c>
      <c r="AG44" s="103" t="s">
        <v>2177</v>
      </c>
      <c r="AH44" s="113">
        <v>0</v>
      </c>
      <c r="AI44" s="113">
        <v>0</v>
      </c>
      <c r="AJ44" s="113">
        <v>0</v>
      </c>
      <c r="AK44" s="113">
        <v>0</v>
      </c>
      <c r="AL44" s="113">
        <v>0</v>
      </c>
      <c r="AM44" s="113">
        <v>0</v>
      </c>
      <c r="AN44" s="113">
        <v>0</v>
      </c>
      <c r="AO44" s="113">
        <v>0</v>
      </c>
      <c r="AP44" s="113">
        <v>0</v>
      </c>
      <c r="AQ44" s="113">
        <v>0</v>
      </c>
      <c r="AR44" s="113">
        <v>0</v>
      </c>
      <c r="AS44" s="113">
        <v>0</v>
      </c>
      <c r="AT44" s="113">
        <v>0</v>
      </c>
      <c r="AU44" s="113">
        <v>0</v>
      </c>
      <c r="AV44" s="113">
        <v>0</v>
      </c>
      <c r="AW44" s="113">
        <v>0</v>
      </c>
      <c r="AX44" s="113">
        <v>0</v>
      </c>
      <c r="AY44" s="113">
        <v>0</v>
      </c>
      <c r="AZ44" s="113">
        <v>0</v>
      </c>
      <c r="BA44" s="113">
        <v>0</v>
      </c>
      <c r="BB44" s="113">
        <v>0</v>
      </c>
      <c r="BC44" s="113">
        <v>0</v>
      </c>
      <c r="BD44" s="113">
        <v>0</v>
      </c>
      <c r="BE44" s="113">
        <v>0</v>
      </c>
      <c r="BF44" s="113">
        <v>0</v>
      </c>
      <c r="BG44" s="113">
        <v>0</v>
      </c>
      <c r="BH44" s="113">
        <v>0</v>
      </c>
      <c r="BI44" s="113">
        <v>0</v>
      </c>
      <c r="BJ44" s="113">
        <v>0</v>
      </c>
      <c r="BK44" s="113">
        <v>0</v>
      </c>
      <c r="BL44" s="113">
        <v>0</v>
      </c>
      <c r="BM44" s="113">
        <v>0</v>
      </c>
      <c r="BN44" s="113">
        <v>0</v>
      </c>
      <c r="BO44" s="113">
        <v>0</v>
      </c>
      <c r="BP44" s="113">
        <v>0</v>
      </c>
      <c r="BQ44" s="113">
        <v>0</v>
      </c>
      <c r="BR44" s="113">
        <v>0</v>
      </c>
      <c r="BS44" s="113">
        <v>0</v>
      </c>
      <c r="BT44" s="113">
        <v>0</v>
      </c>
      <c r="BU44" s="113">
        <v>0</v>
      </c>
      <c r="BV44" s="113">
        <v>0</v>
      </c>
      <c r="BW44" s="113">
        <v>0</v>
      </c>
      <c r="BX44" s="113">
        <v>0</v>
      </c>
      <c r="BY44" s="113">
        <v>-17</v>
      </c>
      <c r="BZ44" s="113">
        <v>0</v>
      </c>
      <c r="CA44" s="113">
        <v>0</v>
      </c>
      <c r="CB44" s="113">
        <v>0</v>
      </c>
      <c r="CC44" s="113">
        <v>0</v>
      </c>
      <c r="CD44" s="113">
        <v>0</v>
      </c>
      <c r="CE44" s="113">
        <v>0</v>
      </c>
      <c r="CF44" s="113">
        <v>0</v>
      </c>
      <c r="CG44" s="113">
        <v>0</v>
      </c>
      <c r="CH44" s="113">
        <v>0</v>
      </c>
      <c r="CI44" s="113">
        <v>0</v>
      </c>
      <c r="CJ44" s="113">
        <v>0</v>
      </c>
      <c r="CK44" s="113">
        <v>0</v>
      </c>
      <c r="CL44" s="113">
        <v>0</v>
      </c>
      <c r="CM44" s="113">
        <v>0</v>
      </c>
      <c r="CN44" s="113">
        <v>0</v>
      </c>
      <c r="CO44" s="113">
        <v>0</v>
      </c>
      <c r="CP44" s="113">
        <v>0</v>
      </c>
      <c r="CQ44" s="113">
        <v>0</v>
      </c>
      <c r="CR44" s="113">
        <v>0</v>
      </c>
      <c r="CS44" s="113">
        <v>0</v>
      </c>
      <c r="CT44" s="113">
        <v>0</v>
      </c>
      <c r="CU44" s="113">
        <v>0</v>
      </c>
      <c r="CV44" s="113">
        <v>0</v>
      </c>
      <c r="CW44" s="113">
        <v>0</v>
      </c>
      <c r="CX44" s="113">
        <v>0</v>
      </c>
      <c r="CY44" s="113">
        <v>0</v>
      </c>
      <c r="CZ44" s="113">
        <v>0</v>
      </c>
      <c r="DA44" s="113">
        <v>0</v>
      </c>
      <c r="DB44" s="113">
        <v>0</v>
      </c>
      <c r="DC44" s="113">
        <v>0</v>
      </c>
      <c r="DD44" s="113">
        <v>0</v>
      </c>
      <c r="DE44" s="113">
        <v>0</v>
      </c>
      <c r="DF44" s="113">
        <v>0</v>
      </c>
      <c r="DG44" s="113">
        <v>0</v>
      </c>
      <c r="DH44" s="113">
        <v>0</v>
      </c>
      <c r="DI44" s="113">
        <v>0</v>
      </c>
      <c r="DJ44" s="113">
        <v>0</v>
      </c>
      <c r="DK44" s="113">
        <v>0</v>
      </c>
      <c r="DL44" s="113">
        <v>0</v>
      </c>
      <c r="DM44" s="113">
        <v>0</v>
      </c>
      <c r="DN44" s="113">
        <v>0</v>
      </c>
      <c r="DO44" s="113">
        <v>0</v>
      </c>
      <c r="DP44" s="113">
        <v>0</v>
      </c>
      <c r="DQ44" s="113">
        <v>-127</v>
      </c>
      <c r="DR44" s="113">
        <v>0</v>
      </c>
      <c r="DS44" s="113">
        <v>0</v>
      </c>
      <c r="DT44" s="113">
        <v>0</v>
      </c>
      <c r="DU44" s="113">
        <v>-435</v>
      </c>
      <c r="DV44" s="113">
        <v>0</v>
      </c>
      <c r="DW44" s="113">
        <v>0</v>
      </c>
      <c r="DX44" s="113">
        <v>0</v>
      </c>
      <c r="DY44" s="113">
        <v>0</v>
      </c>
      <c r="DZ44" s="113">
        <v>0</v>
      </c>
      <c r="EA44" s="113">
        <v>0</v>
      </c>
      <c r="EB44" s="113">
        <v>0</v>
      </c>
      <c r="EC44" s="113">
        <v>-2291</v>
      </c>
      <c r="ED44" s="113">
        <v>0</v>
      </c>
      <c r="EE44" s="113">
        <v>0</v>
      </c>
      <c r="EF44" s="113">
        <v>0</v>
      </c>
      <c r="EG44" s="113">
        <v>0</v>
      </c>
      <c r="EH44" s="113">
        <v>0</v>
      </c>
      <c r="EI44" s="113">
        <v>0</v>
      </c>
      <c r="EJ44" s="113">
        <v>0</v>
      </c>
      <c r="EK44" s="113">
        <v>0</v>
      </c>
      <c r="EL44" s="113">
        <v>0</v>
      </c>
      <c r="EM44" s="113">
        <v>0</v>
      </c>
      <c r="EN44" s="113">
        <v>0</v>
      </c>
    </row>
    <row r="45" spans="1:144">
      <c r="A45" s="103" t="s">
        <v>2178</v>
      </c>
      <c r="B45" s="113">
        <v>0</v>
      </c>
      <c r="C45" s="113">
        <v>0</v>
      </c>
      <c r="D45" s="113">
        <v>0</v>
      </c>
      <c r="E45" s="113">
        <v>0</v>
      </c>
      <c r="F45" s="113">
        <v>0</v>
      </c>
      <c r="G45" s="113">
        <v>0</v>
      </c>
      <c r="H45" s="113">
        <v>0</v>
      </c>
      <c r="I45" s="113">
        <v>0</v>
      </c>
      <c r="J45" s="113">
        <v>0</v>
      </c>
      <c r="K45" s="113">
        <v>0</v>
      </c>
      <c r="L45" s="113">
        <v>0</v>
      </c>
      <c r="M45" s="113">
        <v>0</v>
      </c>
      <c r="N45" s="113">
        <v>0</v>
      </c>
      <c r="O45" s="113">
        <v>0</v>
      </c>
      <c r="P45" s="113">
        <v>0</v>
      </c>
      <c r="Q45" s="113">
        <v>0</v>
      </c>
      <c r="R45" s="113">
        <v>0</v>
      </c>
      <c r="S45" s="113">
        <v>0</v>
      </c>
      <c r="T45" s="113">
        <v>0</v>
      </c>
      <c r="U45" s="113">
        <v>0</v>
      </c>
      <c r="V45" s="113">
        <v>0</v>
      </c>
      <c r="W45" s="113">
        <v>-6193</v>
      </c>
      <c r="X45" s="113">
        <v>0</v>
      </c>
      <c r="Y45" s="113">
        <v>0</v>
      </c>
      <c r="Z45" s="113">
        <v>-5100</v>
      </c>
      <c r="AA45" s="113">
        <v>0</v>
      </c>
      <c r="AB45" s="113">
        <v>0</v>
      </c>
      <c r="AC45" s="113">
        <v>0</v>
      </c>
      <c r="AD45" s="113">
        <v>0</v>
      </c>
      <c r="AE45" s="113">
        <v>0</v>
      </c>
      <c r="AG45" s="103" t="s">
        <v>2178</v>
      </c>
      <c r="AH45" s="113">
        <v>0</v>
      </c>
      <c r="AI45" s="113">
        <v>0</v>
      </c>
      <c r="AJ45" s="113">
        <v>0</v>
      </c>
      <c r="AK45" s="113">
        <v>0</v>
      </c>
      <c r="AL45" s="113">
        <v>0</v>
      </c>
      <c r="AM45" s="113">
        <v>0</v>
      </c>
      <c r="AN45" s="113">
        <v>0</v>
      </c>
      <c r="AO45" s="113">
        <v>0</v>
      </c>
      <c r="AP45" s="113">
        <v>0</v>
      </c>
      <c r="AQ45" s="113">
        <v>0</v>
      </c>
      <c r="AR45" s="113">
        <v>0</v>
      </c>
      <c r="AS45" s="113">
        <v>0</v>
      </c>
      <c r="AT45" s="113">
        <v>0</v>
      </c>
      <c r="AU45" s="113">
        <v>0</v>
      </c>
      <c r="AV45" s="113">
        <v>0</v>
      </c>
      <c r="AW45" s="113">
        <v>0</v>
      </c>
      <c r="AX45" s="113">
        <v>0</v>
      </c>
      <c r="AY45" s="113">
        <v>0</v>
      </c>
      <c r="AZ45" s="113">
        <v>0</v>
      </c>
      <c r="BA45" s="113">
        <v>0</v>
      </c>
      <c r="BB45" s="113">
        <v>0</v>
      </c>
      <c r="BC45" s="113">
        <v>0</v>
      </c>
      <c r="BD45" s="113">
        <v>0</v>
      </c>
      <c r="BE45" s="113">
        <v>0</v>
      </c>
      <c r="BF45" s="113">
        <v>0</v>
      </c>
      <c r="BG45" s="113">
        <v>0</v>
      </c>
      <c r="BH45" s="113">
        <v>0</v>
      </c>
      <c r="BI45" s="113">
        <v>0</v>
      </c>
      <c r="BJ45" s="113">
        <v>0</v>
      </c>
      <c r="BK45" s="113">
        <v>0</v>
      </c>
      <c r="BL45" s="113">
        <v>0</v>
      </c>
      <c r="BM45" s="113">
        <v>0</v>
      </c>
      <c r="BN45" s="113">
        <v>0</v>
      </c>
      <c r="BO45" s="113">
        <v>0</v>
      </c>
      <c r="BP45" s="113">
        <v>0</v>
      </c>
      <c r="BQ45" s="113">
        <v>0</v>
      </c>
      <c r="BR45" s="113">
        <v>0</v>
      </c>
      <c r="BS45" s="113">
        <v>0</v>
      </c>
      <c r="BT45" s="113">
        <v>0</v>
      </c>
      <c r="BU45" s="113">
        <v>0</v>
      </c>
      <c r="BV45" s="113">
        <v>0</v>
      </c>
      <c r="BW45" s="113">
        <v>0</v>
      </c>
      <c r="BX45" s="113">
        <v>0</v>
      </c>
      <c r="BY45" s="113">
        <v>0</v>
      </c>
      <c r="BZ45" s="113">
        <v>0</v>
      </c>
      <c r="CA45" s="113">
        <v>0</v>
      </c>
      <c r="CB45" s="113">
        <v>0</v>
      </c>
      <c r="CC45" s="113">
        <v>0</v>
      </c>
      <c r="CD45" s="113">
        <v>0</v>
      </c>
      <c r="CE45" s="113">
        <v>0</v>
      </c>
      <c r="CF45" s="113">
        <v>0</v>
      </c>
      <c r="CG45" s="113">
        <v>0</v>
      </c>
      <c r="CH45" s="113">
        <v>0</v>
      </c>
      <c r="CI45" s="113">
        <v>0</v>
      </c>
      <c r="CJ45" s="113">
        <v>0</v>
      </c>
      <c r="CK45" s="113">
        <v>0</v>
      </c>
      <c r="CL45" s="113">
        <v>0</v>
      </c>
      <c r="CM45" s="113">
        <v>0</v>
      </c>
      <c r="CN45" s="113">
        <v>0</v>
      </c>
      <c r="CO45" s="113">
        <v>0</v>
      </c>
      <c r="CP45" s="113">
        <v>0</v>
      </c>
      <c r="CQ45" s="113">
        <v>0</v>
      </c>
      <c r="CR45" s="113">
        <v>0</v>
      </c>
      <c r="CS45" s="113">
        <v>0</v>
      </c>
      <c r="CT45" s="113">
        <v>0</v>
      </c>
      <c r="CU45" s="113">
        <v>0</v>
      </c>
      <c r="CV45" s="113">
        <v>0</v>
      </c>
      <c r="CW45" s="113">
        <v>0</v>
      </c>
      <c r="CX45" s="113">
        <v>0</v>
      </c>
      <c r="CY45" s="113">
        <v>0</v>
      </c>
      <c r="CZ45" s="113">
        <v>0</v>
      </c>
      <c r="DA45" s="113">
        <v>0</v>
      </c>
      <c r="DB45" s="113">
        <v>0</v>
      </c>
      <c r="DC45" s="113">
        <v>0</v>
      </c>
      <c r="DD45" s="113">
        <v>0</v>
      </c>
      <c r="DE45" s="113">
        <v>0</v>
      </c>
      <c r="DF45" s="113">
        <v>0</v>
      </c>
      <c r="DG45" s="113">
        <v>0</v>
      </c>
      <c r="DH45" s="113">
        <v>0</v>
      </c>
      <c r="DI45" s="113">
        <v>-6193</v>
      </c>
      <c r="DJ45" s="113">
        <v>0</v>
      </c>
      <c r="DK45" s="113">
        <v>0</v>
      </c>
      <c r="DL45" s="113">
        <v>0</v>
      </c>
      <c r="DM45" s="113">
        <v>0</v>
      </c>
      <c r="DN45" s="113">
        <v>0</v>
      </c>
      <c r="DO45" s="113">
        <v>0</v>
      </c>
      <c r="DP45" s="113">
        <v>0</v>
      </c>
      <c r="DQ45" s="113">
        <v>0</v>
      </c>
      <c r="DR45" s="113">
        <v>0</v>
      </c>
      <c r="DS45" s="113">
        <v>0</v>
      </c>
      <c r="DT45" s="113">
        <v>0</v>
      </c>
      <c r="DU45" s="113">
        <v>-5100</v>
      </c>
      <c r="DV45" s="113">
        <v>0</v>
      </c>
      <c r="DW45" s="113">
        <v>0</v>
      </c>
      <c r="DX45" s="113">
        <v>0</v>
      </c>
      <c r="DY45" s="113">
        <v>0</v>
      </c>
      <c r="DZ45" s="113">
        <v>0</v>
      </c>
      <c r="EA45" s="113">
        <v>0</v>
      </c>
      <c r="EB45" s="113">
        <v>0</v>
      </c>
      <c r="EC45" s="113">
        <v>0</v>
      </c>
      <c r="ED45" s="113">
        <v>0</v>
      </c>
      <c r="EE45" s="113">
        <v>0</v>
      </c>
      <c r="EF45" s="113">
        <v>0</v>
      </c>
      <c r="EG45" s="113">
        <v>0</v>
      </c>
      <c r="EH45" s="113">
        <v>0</v>
      </c>
      <c r="EI45" s="113">
        <v>0</v>
      </c>
      <c r="EJ45" s="113">
        <v>0</v>
      </c>
      <c r="EK45" s="113">
        <v>0</v>
      </c>
      <c r="EL45" s="113">
        <v>0</v>
      </c>
      <c r="EM45" s="113">
        <v>0</v>
      </c>
      <c r="EN45" s="113">
        <v>0</v>
      </c>
    </row>
    <row r="46" spans="1:144">
      <c r="A46" s="103" t="s">
        <v>2179</v>
      </c>
      <c r="B46" s="113">
        <v>0</v>
      </c>
      <c r="C46" s="113">
        <v>0</v>
      </c>
      <c r="D46" s="113">
        <v>0</v>
      </c>
      <c r="E46" s="113">
        <v>0</v>
      </c>
      <c r="F46" s="113">
        <v>0</v>
      </c>
      <c r="G46" s="113">
        <v>0</v>
      </c>
      <c r="H46" s="113">
        <v>0</v>
      </c>
      <c r="I46" s="113">
        <v>0</v>
      </c>
      <c r="J46" s="113">
        <v>803</v>
      </c>
      <c r="K46" s="113">
        <v>1732</v>
      </c>
      <c r="L46" s="113">
        <v>-2221</v>
      </c>
      <c r="M46" s="113">
        <v>-2424</v>
      </c>
      <c r="N46" s="113">
        <v>44</v>
      </c>
      <c r="O46" s="113">
        <v>1681</v>
      </c>
      <c r="P46" s="113">
        <v>856</v>
      </c>
      <c r="Q46" s="113">
        <v>161</v>
      </c>
      <c r="R46" s="113">
        <v>650</v>
      </c>
      <c r="S46" s="113">
        <v>346</v>
      </c>
      <c r="T46" s="113">
        <v>-276</v>
      </c>
      <c r="U46" s="113">
        <v>360</v>
      </c>
      <c r="V46" s="113">
        <v>474</v>
      </c>
      <c r="W46" s="113">
        <v>479</v>
      </c>
      <c r="X46" s="113">
        <v>132</v>
      </c>
      <c r="Y46" s="113">
        <v>364</v>
      </c>
      <c r="Z46" s="113">
        <v>697</v>
      </c>
      <c r="AA46" s="113">
        <v>637</v>
      </c>
      <c r="AB46" s="113">
        <v>2389</v>
      </c>
      <c r="AC46" s="113">
        <v>2392</v>
      </c>
      <c r="AD46" s="113">
        <v>651</v>
      </c>
      <c r="AE46" s="113">
        <v>274</v>
      </c>
      <c r="AG46" s="103" t="s">
        <v>2179</v>
      </c>
      <c r="AH46" s="113">
        <v>0</v>
      </c>
      <c r="AI46" s="113">
        <v>0</v>
      </c>
      <c r="AJ46" s="113">
        <v>0</v>
      </c>
      <c r="AK46" s="113">
        <v>0</v>
      </c>
      <c r="AL46" s="113">
        <v>0</v>
      </c>
      <c r="AM46" s="113">
        <v>0</v>
      </c>
      <c r="AN46" s="113">
        <v>0</v>
      </c>
      <c r="AO46" s="113">
        <v>0</v>
      </c>
      <c r="AP46" s="113">
        <v>0</v>
      </c>
      <c r="AQ46" s="113">
        <v>0</v>
      </c>
      <c r="AR46" s="113">
        <v>0</v>
      </c>
      <c r="AS46" s="113">
        <v>0</v>
      </c>
      <c r="AT46" s="113">
        <v>0</v>
      </c>
      <c r="AU46" s="113">
        <v>0</v>
      </c>
      <c r="AV46" s="113">
        <v>0</v>
      </c>
      <c r="AW46" s="113">
        <v>0</v>
      </c>
      <c r="AX46" s="113">
        <v>0</v>
      </c>
      <c r="AY46" s="113">
        <v>0</v>
      </c>
      <c r="AZ46" s="113">
        <v>0</v>
      </c>
      <c r="BA46" s="113">
        <v>0</v>
      </c>
      <c r="BB46" s="113">
        <v>0</v>
      </c>
      <c r="BC46" s="113">
        <v>0</v>
      </c>
      <c r="BD46" s="113">
        <v>0</v>
      </c>
      <c r="BE46" s="113">
        <v>0</v>
      </c>
      <c r="BF46" s="113">
        <v>0</v>
      </c>
      <c r="BG46" s="113">
        <v>70</v>
      </c>
      <c r="BH46" s="113">
        <v>350</v>
      </c>
      <c r="BI46" s="113">
        <v>203</v>
      </c>
      <c r="BJ46" s="113">
        <v>200</v>
      </c>
      <c r="BK46" s="113">
        <v>399</v>
      </c>
      <c r="BL46" s="113">
        <v>454</v>
      </c>
      <c r="BM46" s="113">
        <v>654</v>
      </c>
      <c r="BN46" s="113">
        <v>0</v>
      </c>
      <c r="BO46" s="113">
        <v>0</v>
      </c>
      <c r="BP46" s="113">
        <v>0</v>
      </c>
      <c r="BQ46" s="113">
        <v>-2221</v>
      </c>
      <c r="BR46" s="113">
        <v>-980</v>
      </c>
      <c r="BS46" s="113">
        <v>0</v>
      </c>
      <c r="BT46" s="113">
        <v>0</v>
      </c>
      <c r="BU46" s="113">
        <v>-2424</v>
      </c>
      <c r="BV46" s="113">
        <v>-475</v>
      </c>
      <c r="BW46" s="113">
        <v>-140</v>
      </c>
      <c r="BX46" s="113">
        <v>17</v>
      </c>
      <c r="BY46" s="113">
        <v>218</v>
      </c>
      <c r="BZ46" s="113">
        <v>245</v>
      </c>
      <c r="CA46" s="113">
        <v>310</v>
      </c>
      <c r="CB46" s="113">
        <v>419</v>
      </c>
      <c r="CC46" s="113">
        <v>589</v>
      </c>
      <c r="CD46" s="113">
        <v>38</v>
      </c>
      <c r="CE46" s="113">
        <v>97</v>
      </c>
      <c r="CF46" s="113">
        <v>78</v>
      </c>
      <c r="CG46" s="113">
        <v>441</v>
      </c>
      <c r="CH46" s="113">
        <v>132</v>
      </c>
      <c r="CI46" s="113">
        <v>203</v>
      </c>
      <c r="CJ46" s="113">
        <v>67</v>
      </c>
      <c r="CK46" s="113">
        <v>-144</v>
      </c>
      <c r="CL46" s="113">
        <v>363</v>
      </c>
      <c r="CM46" s="113">
        <v>103</v>
      </c>
      <c r="CN46" s="113">
        <v>39</v>
      </c>
      <c r="CO46" s="113">
        <v>145</v>
      </c>
      <c r="CP46" s="113">
        <v>151</v>
      </c>
      <c r="CQ46" s="113">
        <v>87</v>
      </c>
      <c r="CR46" s="113">
        <v>-13</v>
      </c>
      <c r="CS46" s="113">
        <v>121</v>
      </c>
      <c r="CT46" s="113">
        <v>129</v>
      </c>
      <c r="CU46" s="113">
        <v>270</v>
      </c>
      <c r="CV46" s="113">
        <v>-452</v>
      </c>
      <c r="CW46" s="113">
        <v>-253</v>
      </c>
      <c r="CX46" s="113">
        <v>79</v>
      </c>
      <c r="CY46" s="113">
        <v>99</v>
      </c>
      <c r="CZ46" s="113">
        <v>145</v>
      </c>
      <c r="DA46" s="113">
        <v>37</v>
      </c>
      <c r="DB46" s="113">
        <v>67</v>
      </c>
      <c r="DC46" s="113">
        <v>116</v>
      </c>
      <c r="DD46" s="113">
        <v>0</v>
      </c>
      <c r="DE46" s="113">
        <v>474</v>
      </c>
      <c r="DF46" s="113">
        <v>14</v>
      </c>
      <c r="DG46" s="113">
        <v>236</v>
      </c>
      <c r="DH46" s="113">
        <v>39</v>
      </c>
      <c r="DI46" s="113">
        <v>190</v>
      </c>
      <c r="DJ46" s="113">
        <v>-13</v>
      </c>
      <c r="DK46" s="113">
        <v>58</v>
      </c>
      <c r="DL46" s="113">
        <v>65</v>
      </c>
      <c r="DM46" s="113">
        <v>22</v>
      </c>
      <c r="DN46" s="113">
        <v>-12</v>
      </c>
      <c r="DO46" s="113">
        <v>3</v>
      </c>
      <c r="DP46" s="113">
        <v>91</v>
      </c>
      <c r="DQ46" s="113">
        <v>282</v>
      </c>
      <c r="DR46" s="113">
        <v>85</v>
      </c>
      <c r="DS46" s="113">
        <v>284</v>
      </c>
      <c r="DT46" s="113">
        <v>170</v>
      </c>
      <c r="DU46" s="113">
        <v>158</v>
      </c>
      <c r="DV46" s="113">
        <v>55</v>
      </c>
      <c r="DW46" s="113">
        <v>61</v>
      </c>
      <c r="DX46" s="113">
        <v>54</v>
      </c>
      <c r="DY46" s="113">
        <v>467</v>
      </c>
      <c r="DZ46" s="113">
        <v>385</v>
      </c>
      <c r="EA46" s="113">
        <v>672</v>
      </c>
      <c r="EB46" s="113">
        <v>723</v>
      </c>
      <c r="EC46" s="113">
        <v>609</v>
      </c>
      <c r="ED46" s="113">
        <v>584</v>
      </c>
      <c r="EE46" s="113">
        <v>739</v>
      </c>
      <c r="EF46" s="113">
        <v>499</v>
      </c>
      <c r="EG46" s="113">
        <v>570</v>
      </c>
      <c r="EH46" s="113">
        <v>243</v>
      </c>
      <c r="EI46" s="113">
        <v>94</v>
      </c>
      <c r="EJ46" s="113">
        <v>44</v>
      </c>
      <c r="EK46" s="113">
        <v>267</v>
      </c>
      <c r="EL46" s="113">
        <v>-57</v>
      </c>
      <c r="EM46" s="113">
        <v>162</v>
      </c>
      <c r="EN46" s="113">
        <v>-101</v>
      </c>
    </row>
    <row r="47" spans="1:144">
      <c r="A47" s="103"/>
      <c r="B47" s="113"/>
      <c r="C47" s="113"/>
      <c r="D47" s="113"/>
      <c r="E47" s="113"/>
      <c r="F47" s="113"/>
      <c r="G47" s="113"/>
      <c r="H47" s="113"/>
      <c r="I47" s="113"/>
      <c r="J47" s="113"/>
      <c r="K47" s="113"/>
      <c r="L47" s="113"/>
      <c r="M47" s="113"/>
      <c r="N47" s="113"/>
      <c r="O47" s="113"/>
      <c r="P47" s="113"/>
      <c r="Q47" s="113"/>
      <c r="R47" s="113"/>
      <c r="S47" s="113"/>
      <c r="T47" s="113"/>
      <c r="U47" s="113"/>
      <c r="V47" s="113"/>
      <c r="W47" s="113"/>
      <c r="X47" s="113"/>
      <c r="Y47" s="113"/>
      <c r="Z47" s="113"/>
      <c r="AA47" s="113"/>
      <c r="AB47" s="113"/>
      <c r="AC47" s="113"/>
      <c r="AD47" s="113"/>
      <c r="AE47" s="113"/>
      <c r="AG47" s="103" t="s">
        <v>2180</v>
      </c>
      <c r="AH47" s="113">
        <v>0</v>
      </c>
      <c r="AI47" s="113">
        <v>0</v>
      </c>
      <c r="AJ47" s="113">
        <v>0</v>
      </c>
      <c r="AK47" s="113">
        <v>0</v>
      </c>
      <c r="AL47" s="113">
        <v>0</v>
      </c>
      <c r="AM47" s="113">
        <v>0</v>
      </c>
      <c r="AN47" s="113">
        <v>0</v>
      </c>
      <c r="AO47" s="113">
        <v>0</v>
      </c>
      <c r="AP47" s="113">
        <v>0</v>
      </c>
      <c r="AQ47" s="113">
        <v>0</v>
      </c>
      <c r="AR47" s="113">
        <v>0</v>
      </c>
      <c r="AS47" s="113">
        <v>0</v>
      </c>
      <c r="AT47" s="113">
        <v>0</v>
      </c>
      <c r="AU47" s="113">
        <v>0</v>
      </c>
      <c r="AV47" s="113">
        <v>0</v>
      </c>
      <c r="AW47" s="113">
        <v>0</v>
      </c>
      <c r="AX47" s="113">
        <v>0</v>
      </c>
      <c r="AY47" s="113">
        <v>0</v>
      </c>
      <c r="AZ47" s="113">
        <v>0</v>
      </c>
      <c r="BA47" s="113">
        <v>0</v>
      </c>
      <c r="BB47" s="113">
        <v>0</v>
      </c>
      <c r="BC47" s="113">
        <v>0</v>
      </c>
      <c r="BD47" s="113">
        <v>0</v>
      </c>
      <c r="BE47" s="113">
        <v>0</v>
      </c>
      <c r="BF47" s="113">
        <v>160</v>
      </c>
      <c r="BG47" s="113">
        <v>0</v>
      </c>
      <c r="BH47" s="113">
        <v>0</v>
      </c>
      <c r="BI47" s="113">
        <v>0</v>
      </c>
      <c r="BJ47" s="113">
        <v>0</v>
      </c>
      <c r="BK47" s="113">
        <v>0</v>
      </c>
      <c r="BL47" s="113">
        <v>0</v>
      </c>
      <c r="BM47" s="113">
        <v>0</v>
      </c>
      <c r="BN47" s="113">
        <v>0</v>
      </c>
      <c r="BO47" s="113">
        <v>0</v>
      </c>
      <c r="BP47" s="113">
        <v>0</v>
      </c>
      <c r="BQ47" s="113">
        <v>0</v>
      </c>
      <c r="BR47" s="113">
        <v>0</v>
      </c>
      <c r="BS47" s="113">
        <v>0</v>
      </c>
      <c r="BT47" s="113">
        <v>0</v>
      </c>
      <c r="BU47" s="113">
        <v>0</v>
      </c>
      <c r="BV47" s="113">
        <v>0</v>
      </c>
      <c r="BW47" s="113">
        <v>0</v>
      </c>
      <c r="BX47" s="113">
        <v>0</v>
      </c>
      <c r="BY47" s="113">
        <v>0</v>
      </c>
      <c r="BZ47" s="113">
        <v>0</v>
      </c>
      <c r="CA47" s="113">
        <v>0</v>
      </c>
      <c r="CB47" s="113">
        <v>0</v>
      </c>
      <c r="CC47" s="113">
        <v>0</v>
      </c>
      <c r="CD47" s="113">
        <v>0</v>
      </c>
      <c r="CE47" s="113">
        <v>0</v>
      </c>
      <c r="CF47" s="113">
        <v>0</v>
      </c>
      <c r="CG47" s="113">
        <v>0</v>
      </c>
      <c r="CH47" s="113">
        <v>0</v>
      </c>
      <c r="CI47" s="113">
        <v>0</v>
      </c>
      <c r="CJ47" s="113">
        <v>0</v>
      </c>
      <c r="CK47" s="113">
        <v>0</v>
      </c>
      <c r="CL47" s="113">
        <v>0</v>
      </c>
      <c r="CM47" s="113">
        <v>0</v>
      </c>
      <c r="CN47" s="113">
        <v>0</v>
      </c>
      <c r="CO47" s="113">
        <v>0</v>
      </c>
      <c r="CP47" s="113">
        <v>0</v>
      </c>
      <c r="CQ47" s="113">
        <v>0</v>
      </c>
      <c r="CR47" s="113">
        <v>0</v>
      </c>
      <c r="CS47" s="113">
        <v>0</v>
      </c>
      <c r="CT47" s="113">
        <v>0</v>
      </c>
      <c r="CU47" s="113">
        <v>0</v>
      </c>
      <c r="CV47" s="113">
        <v>0</v>
      </c>
      <c r="CW47" s="113">
        <v>0</v>
      </c>
      <c r="CX47" s="113">
        <v>0</v>
      </c>
      <c r="CY47" s="113">
        <v>0</v>
      </c>
      <c r="CZ47" s="113">
        <v>0</v>
      </c>
      <c r="DA47" s="113">
        <v>0</v>
      </c>
      <c r="DB47" s="113">
        <v>0</v>
      </c>
      <c r="DC47" s="113">
        <v>0</v>
      </c>
      <c r="DD47" s="113">
        <v>0</v>
      </c>
      <c r="DE47" s="113">
        <v>0</v>
      </c>
      <c r="DF47" s="113">
        <v>0</v>
      </c>
      <c r="DG47" s="113">
        <v>0</v>
      </c>
      <c r="DH47" s="113">
        <v>0</v>
      </c>
      <c r="DI47" s="113">
        <v>0</v>
      </c>
      <c r="DJ47" s="113">
        <v>0</v>
      </c>
      <c r="DK47" s="113">
        <v>0</v>
      </c>
      <c r="DL47" s="113">
        <v>0</v>
      </c>
      <c r="DM47" s="113">
        <v>0</v>
      </c>
      <c r="DN47" s="113">
        <v>0</v>
      </c>
      <c r="DO47" s="113">
        <v>0</v>
      </c>
      <c r="DP47" s="113">
        <v>0</v>
      </c>
      <c r="DQ47" s="113">
        <v>0</v>
      </c>
      <c r="DR47" s="113">
        <v>0</v>
      </c>
      <c r="DS47" s="113">
        <v>0</v>
      </c>
      <c r="DT47" s="113">
        <v>0</v>
      </c>
      <c r="DU47" s="113">
        <v>0</v>
      </c>
      <c r="DV47" s="113">
        <v>0</v>
      </c>
      <c r="DW47" s="113">
        <v>0</v>
      </c>
      <c r="DX47" s="113">
        <v>0</v>
      </c>
      <c r="DY47" s="113">
        <v>0</v>
      </c>
      <c r="DZ47" s="113">
        <v>0</v>
      </c>
      <c r="EA47" s="113">
        <v>0</v>
      </c>
      <c r="EB47" s="113">
        <v>0</v>
      </c>
      <c r="EC47" s="113">
        <v>0</v>
      </c>
      <c r="ED47" s="113">
        <v>0</v>
      </c>
      <c r="EE47" s="113">
        <v>0</v>
      </c>
      <c r="EF47" s="113">
        <v>0</v>
      </c>
      <c r="EG47" s="113">
        <v>0</v>
      </c>
      <c r="EH47" s="113">
        <v>0</v>
      </c>
      <c r="EI47" s="113">
        <v>0</v>
      </c>
      <c r="EJ47" s="113">
        <v>0</v>
      </c>
      <c r="EK47" s="113">
        <v>0</v>
      </c>
      <c r="EL47" s="113">
        <v>0</v>
      </c>
      <c r="EM47" s="113">
        <v>0</v>
      </c>
      <c r="EN47" s="113">
        <v>0</v>
      </c>
    </row>
    <row r="48" spans="1:144">
      <c r="A48" s="103" t="s">
        <v>2181</v>
      </c>
      <c r="B48" s="113">
        <v>0</v>
      </c>
      <c r="C48" s="113">
        <v>0</v>
      </c>
      <c r="D48" s="113">
        <v>0</v>
      </c>
      <c r="E48" s="113">
        <v>0</v>
      </c>
      <c r="F48" s="113">
        <v>0</v>
      </c>
      <c r="G48" s="113">
        <v>0</v>
      </c>
      <c r="H48" s="113">
        <v>0</v>
      </c>
      <c r="I48" s="113">
        <v>0</v>
      </c>
      <c r="J48" s="113">
        <v>0</v>
      </c>
      <c r="K48" s="113">
        <v>0</v>
      </c>
      <c r="L48" s="113">
        <v>0</v>
      </c>
      <c r="M48" s="113">
        <v>0</v>
      </c>
      <c r="N48" s="113">
        <v>0</v>
      </c>
      <c r="O48" s="113">
        <v>0</v>
      </c>
      <c r="P48" s="113">
        <v>0</v>
      </c>
      <c r="Q48" s="113">
        <v>0</v>
      </c>
      <c r="R48" s="113">
        <v>0</v>
      </c>
      <c r="S48" s="113">
        <v>0</v>
      </c>
      <c r="T48" s="113">
        <v>0</v>
      </c>
      <c r="U48" s="113">
        <v>0</v>
      </c>
      <c r="V48" s="113">
        <v>0</v>
      </c>
      <c r="W48" s="113">
        <v>0</v>
      </c>
      <c r="X48" s="113">
        <v>0</v>
      </c>
      <c r="Y48" s="113">
        <v>0</v>
      </c>
      <c r="Z48" s="113">
        <v>-2376</v>
      </c>
      <c r="AA48" s="113">
        <v>-630</v>
      </c>
      <c r="AB48" s="113">
        <v>0</v>
      </c>
      <c r="AC48" s="113">
        <v>0</v>
      </c>
      <c r="AD48" s="113">
        <v>0</v>
      </c>
      <c r="AE48" s="113">
        <v>0</v>
      </c>
      <c r="AG48" s="103" t="s">
        <v>2181</v>
      </c>
      <c r="AH48" s="113">
        <v>0</v>
      </c>
      <c r="AI48" s="113">
        <v>0</v>
      </c>
      <c r="AJ48" s="113">
        <v>0</v>
      </c>
      <c r="AK48" s="113">
        <v>0</v>
      </c>
      <c r="AL48" s="113">
        <v>0</v>
      </c>
      <c r="AM48" s="113">
        <v>0</v>
      </c>
      <c r="AN48" s="113">
        <v>0</v>
      </c>
      <c r="AO48" s="113">
        <v>0</v>
      </c>
      <c r="AP48" s="113">
        <v>0</v>
      </c>
      <c r="AQ48" s="113">
        <v>0</v>
      </c>
      <c r="AR48" s="113">
        <v>0</v>
      </c>
      <c r="AS48" s="113">
        <v>0</v>
      </c>
      <c r="AT48" s="113">
        <v>0</v>
      </c>
      <c r="AU48" s="113">
        <v>0</v>
      </c>
      <c r="AV48" s="113">
        <v>0</v>
      </c>
      <c r="AW48" s="113">
        <v>0</v>
      </c>
      <c r="AX48" s="113">
        <v>0</v>
      </c>
      <c r="AY48" s="113">
        <v>0</v>
      </c>
      <c r="AZ48" s="113">
        <v>0</v>
      </c>
      <c r="BA48" s="113">
        <v>0</v>
      </c>
      <c r="BB48" s="113">
        <v>0</v>
      </c>
      <c r="BC48" s="113">
        <v>0</v>
      </c>
      <c r="BD48" s="113">
        <v>0</v>
      </c>
      <c r="BE48" s="113">
        <v>0</v>
      </c>
      <c r="BF48" s="113">
        <v>0</v>
      </c>
      <c r="BG48" s="113">
        <v>0</v>
      </c>
      <c r="BH48" s="113">
        <v>0</v>
      </c>
      <c r="BI48" s="113">
        <v>0</v>
      </c>
      <c r="BJ48" s="113">
        <v>0</v>
      </c>
      <c r="BK48" s="113">
        <v>0</v>
      </c>
      <c r="BL48" s="113">
        <v>0</v>
      </c>
      <c r="BM48" s="113">
        <v>0</v>
      </c>
      <c r="BN48" s="113">
        <v>0</v>
      </c>
      <c r="BO48" s="113">
        <v>0</v>
      </c>
      <c r="BP48" s="113">
        <v>0</v>
      </c>
      <c r="BQ48" s="113">
        <v>0</v>
      </c>
      <c r="BR48" s="113">
        <v>0</v>
      </c>
      <c r="BS48" s="113">
        <v>0</v>
      </c>
      <c r="BT48" s="113">
        <v>0</v>
      </c>
      <c r="BU48" s="113">
        <v>0</v>
      </c>
      <c r="BV48" s="113">
        <v>0</v>
      </c>
      <c r="BW48" s="113">
        <v>0</v>
      </c>
      <c r="BX48" s="113">
        <v>0</v>
      </c>
      <c r="BY48" s="113">
        <v>0</v>
      </c>
      <c r="BZ48" s="113">
        <v>0</v>
      </c>
      <c r="CA48" s="113">
        <v>0</v>
      </c>
      <c r="CB48" s="113">
        <v>0</v>
      </c>
      <c r="CC48" s="113">
        <v>0</v>
      </c>
      <c r="CD48" s="113">
        <v>0</v>
      </c>
      <c r="CE48" s="113">
        <v>0</v>
      </c>
      <c r="CF48" s="113">
        <v>0</v>
      </c>
      <c r="CG48" s="113">
        <v>0</v>
      </c>
      <c r="CH48" s="113">
        <v>0</v>
      </c>
      <c r="CI48" s="113">
        <v>0</v>
      </c>
      <c r="CJ48" s="113">
        <v>0</v>
      </c>
      <c r="CK48" s="113">
        <v>0</v>
      </c>
      <c r="CL48" s="113">
        <v>0</v>
      </c>
      <c r="CM48" s="113">
        <v>0</v>
      </c>
      <c r="CN48" s="113">
        <v>0</v>
      </c>
      <c r="CO48" s="113">
        <v>0</v>
      </c>
      <c r="CP48" s="113">
        <v>0</v>
      </c>
      <c r="CQ48" s="113">
        <v>0</v>
      </c>
      <c r="CR48" s="113">
        <v>0</v>
      </c>
      <c r="CS48" s="113">
        <v>0</v>
      </c>
      <c r="CT48" s="113">
        <v>0</v>
      </c>
      <c r="CU48" s="113">
        <v>0</v>
      </c>
      <c r="CV48" s="113">
        <v>0</v>
      </c>
      <c r="CW48" s="113">
        <v>0</v>
      </c>
      <c r="CX48" s="113">
        <v>0</v>
      </c>
      <c r="CY48" s="113">
        <v>0</v>
      </c>
      <c r="CZ48" s="113">
        <v>0</v>
      </c>
      <c r="DA48" s="113">
        <v>0</v>
      </c>
      <c r="DB48" s="113">
        <v>0</v>
      </c>
      <c r="DC48" s="113">
        <v>0</v>
      </c>
      <c r="DD48" s="113">
        <v>0</v>
      </c>
      <c r="DE48" s="113">
        <v>0</v>
      </c>
      <c r="DF48" s="113">
        <v>0</v>
      </c>
      <c r="DG48" s="113">
        <v>0</v>
      </c>
      <c r="DH48" s="113">
        <v>0</v>
      </c>
      <c r="DI48" s="113">
        <v>0</v>
      </c>
      <c r="DJ48" s="113">
        <v>0</v>
      </c>
      <c r="DK48" s="113">
        <v>0</v>
      </c>
      <c r="DL48" s="113">
        <v>0</v>
      </c>
      <c r="DM48" s="113">
        <v>0</v>
      </c>
      <c r="DN48" s="113">
        <v>0</v>
      </c>
      <c r="DO48" s="113">
        <v>0</v>
      </c>
      <c r="DP48" s="113">
        <v>0</v>
      </c>
      <c r="DQ48" s="113">
        <v>0</v>
      </c>
      <c r="DR48" s="113">
        <v>-140</v>
      </c>
      <c r="DS48" s="113">
        <v>0</v>
      </c>
      <c r="DT48" s="113">
        <v>-92</v>
      </c>
      <c r="DU48" s="113">
        <v>-2138</v>
      </c>
      <c r="DV48" s="113">
        <v>0</v>
      </c>
      <c r="DW48" s="113">
        <v>0</v>
      </c>
      <c r="DX48" s="113">
        <v>0</v>
      </c>
      <c r="DY48" s="113">
        <v>-630</v>
      </c>
      <c r="DZ48" s="113">
        <v>0</v>
      </c>
      <c r="EA48" s="113">
        <v>0</v>
      </c>
      <c r="EB48" s="113">
        <v>0</v>
      </c>
      <c r="EC48" s="113">
        <v>0</v>
      </c>
      <c r="ED48" s="113">
        <v>0</v>
      </c>
      <c r="EE48" s="113">
        <v>0</v>
      </c>
      <c r="EF48" s="113">
        <v>0</v>
      </c>
      <c r="EG48" s="113">
        <v>0</v>
      </c>
      <c r="EH48" s="113">
        <v>0</v>
      </c>
      <c r="EI48" s="113">
        <v>0</v>
      </c>
      <c r="EJ48" s="113">
        <v>0</v>
      </c>
      <c r="EK48" s="113">
        <v>0</v>
      </c>
      <c r="EL48" s="113">
        <v>0</v>
      </c>
      <c r="EM48" s="113">
        <v>0</v>
      </c>
      <c r="EN48" s="113">
        <v>0</v>
      </c>
    </row>
    <row r="49" spans="1:144">
      <c r="A49" s="103" t="s">
        <v>2182</v>
      </c>
      <c r="B49" s="113">
        <v>0</v>
      </c>
      <c r="C49" s="113">
        <v>0</v>
      </c>
      <c r="D49" s="113">
        <v>0</v>
      </c>
      <c r="E49" s="113">
        <v>0</v>
      </c>
      <c r="F49" s="113">
        <v>0</v>
      </c>
      <c r="G49" s="113">
        <v>0</v>
      </c>
      <c r="H49" s="113">
        <v>0</v>
      </c>
      <c r="I49" s="113">
        <v>-296</v>
      </c>
      <c r="J49" s="113">
        <v>0</v>
      </c>
      <c r="K49" s="113">
        <v>0</v>
      </c>
      <c r="L49" s="113">
        <v>0</v>
      </c>
      <c r="M49" s="113">
        <v>0</v>
      </c>
      <c r="N49" s="113">
        <v>0</v>
      </c>
      <c r="O49" s="113">
        <v>0</v>
      </c>
      <c r="P49" s="113">
        <v>0</v>
      </c>
      <c r="Q49" s="113">
        <v>0</v>
      </c>
      <c r="R49" s="113">
        <v>0</v>
      </c>
      <c r="S49" s="113">
        <v>0</v>
      </c>
      <c r="T49" s="113">
        <v>0</v>
      </c>
      <c r="U49" s="113">
        <v>0</v>
      </c>
      <c r="V49" s="113">
        <v>0</v>
      </c>
      <c r="W49" s="113">
        <v>0</v>
      </c>
      <c r="X49" s="113">
        <v>0</v>
      </c>
      <c r="Y49" s="113">
        <v>0</v>
      </c>
      <c r="Z49" s="113">
        <v>0</v>
      </c>
      <c r="AA49" s="113">
        <v>0</v>
      </c>
      <c r="AB49" s="113">
        <v>0</v>
      </c>
      <c r="AC49" s="113">
        <v>0</v>
      </c>
      <c r="AD49" s="113">
        <v>0</v>
      </c>
      <c r="AE49" s="113">
        <v>0</v>
      </c>
      <c r="AG49" s="103" t="s">
        <v>2182</v>
      </c>
      <c r="AH49" s="113">
        <v>0</v>
      </c>
      <c r="AI49" s="113">
        <v>0</v>
      </c>
      <c r="AJ49" s="113">
        <v>0</v>
      </c>
      <c r="AK49" s="113">
        <v>0</v>
      </c>
      <c r="AL49" s="113">
        <v>0</v>
      </c>
      <c r="AM49" s="113">
        <v>0</v>
      </c>
      <c r="AN49" s="113">
        <v>0</v>
      </c>
      <c r="AO49" s="113">
        <v>0</v>
      </c>
      <c r="AP49" s="113">
        <v>0</v>
      </c>
      <c r="AQ49" s="113">
        <v>0</v>
      </c>
      <c r="AR49" s="113">
        <v>0</v>
      </c>
      <c r="AS49" s="113">
        <v>0</v>
      </c>
      <c r="AT49" s="113">
        <v>0</v>
      </c>
      <c r="AU49" s="113">
        <v>0</v>
      </c>
      <c r="AV49" s="113">
        <v>0</v>
      </c>
      <c r="AW49" s="113">
        <v>0</v>
      </c>
      <c r="AX49" s="113">
        <v>0</v>
      </c>
      <c r="AY49" s="113">
        <v>0</v>
      </c>
      <c r="AZ49" s="113">
        <v>0</v>
      </c>
      <c r="BA49" s="113">
        <v>0</v>
      </c>
      <c r="BB49" s="113">
        <v>-296</v>
      </c>
      <c r="BC49" s="113">
        <v>0</v>
      </c>
      <c r="BD49" s="113">
        <v>0</v>
      </c>
      <c r="BE49" s="113">
        <v>0</v>
      </c>
      <c r="BF49" s="113">
        <v>0</v>
      </c>
      <c r="BG49" s="113">
        <v>0</v>
      </c>
      <c r="BH49" s="113">
        <v>0</v>
      </c>
      <c r="BI49" s="113">
        <v>0</v>
      </c>
      <c r="BJ49" s="113">
        <v>0</v>
      </c>
      <c r="BK49" s="113">
        <v>0</v>
      </c>
      <c r="BL49" s="113">
        <v>0</v>
      </c>
      <c r="BM49" s="113">
        <v>0</v>
      </c>
      <c r="BN49" s="113">
        <v>0</v>
      </c>
      <c r="BO49" s="113">
        <v>0</v>
      </c>
      <c r="BP49" s="113">
        <v>0</v>
      </c>
      <c r="BQ49" s="113">
        <v>0</v>
      </c>
      <c r="BR49" s="113">
        <v>0</v>
      </c>
      <c r="BS49" s="113">
        <v>0</v>
      </c>
      <c r="BT49" s="113">
        <v>0</v>
      </c>
      <c r="BU49" s="113">
        <v>0</v>
      </c>
      <c r="BV49" s="113">
        <v>0</v>
      </c>
      <c r="BW49" s="113">
        <v>0</v>
      </c>
      <c r="BX49" s="113">
        <v>0</v>
      </c>
      <c r="BY49" s="113">
        <v>0</v>
      </c>
      <c r="BZ49" s="113">
        <v>0</v>
      </c>
      <c r="CA49" s="113">
        <v>0</v>
      </c>
      <c r="CB49" s="113">
        <v>0</v>
      </c>
      <c r="CC49" s="113">
        <v>0</v>
      </c>
      <c r="CD49" s="113">
        <v>0</v>
      </c>
      <c r="CE49" s="113">
        <v>0</v>
      </c>
      <c r="CF49" s="113">
        <v>0</v>
      </c>
      <c r="CG49" s="113">
        <v>0</v>
      </c>
      <c r="CH49" s="113">
        <v>0</v>
      </c>
      <c r="CI49" s="113">
        <v>0</v>
      </c>
      <c r="CJ49" s="113">
        <v>0</v>
      </c>
      <c r="CK49" s="113">
        <v>0</v>
      </c>
      <c r="CL49" s="113">
        <v>0</v>
      </c>
      <c r="CM49" s="113">
        <v>0</v>
      </c>
      <c r="CN49" s="113">
        <v>0</v>
      </c>
      <c r="CO49" s="113">
        <v>0</v>
      </c>
      <c r="CP49" s="113">
        <v>0</v>
      </c>
      <c r="CQ49" s="113">
        <v>0</v>
      </c>
      <c r="CR49" s="113">
        <v>0</v>
      </c>
      <c r="CS49" s="113">
        <v>-59</v>
      </c>
      <c r="CT49" s="113">
        <v>0</v>
      </c>
      <c r="CU49" s="113">
        <v>0</v>
      </c>
      <c r="CV49" s="113">
        <v>0</v>
      </c>
      <c r="CW49" s="113">
        <v>0</v>
      </c>
      <c r="CX49" s="113">
        <v>0</v>
      </c>
      <c r="CY49" s="113">
        <v>0</v>
      </c>
      <c r="CZ49" s="113">
        <v>0</v>
      </c>
      <c r="DA49" s="113">
        <v>0</v>
      </c>
      <c r="DB49" s="113">
        <v>0</v>
      </c>
      <c r="DC49" s="113">
        <v>0</v>
      </c>
      <c r="DD49" s="113">
        <v>0</v>
      </c>
      <c r="DE49" s="113">
        <v>0</v>
      </c>
      <c r="DF49" s="113">
        <v>0</v>
      </c>
      <c r="DG49" s="113">
        <v>0</v>
      </c>
      <c r="DH49" s="113">
        <v>0</v>
      </c>
      <c r="DI49" s="113">
        <v>0</v>
      </c>
      <c r="DJ49" s="113">
        <v>0</v>
      </c>
      <c r="DK49" s="113">
        <v>0</v>
      </c>
      <c r="DL49" s="113">
        <v>0</v>
      </c>
      <c r="DM49" s="113">
        <v>0</v>
      </c>
      <c r="DN49" s="113">
        <v>0</v>
      </c>
      <c r="DO49" s="113">
        <v>0</v>
      </c>
      <c r="DP49" s="113">
        <v>0</v>
      </c>
      <c r="DQ49" s="113">
        <v>0</v>
      </c>
      <c r="DR49" s="113">
        <v>0</v>
      </c>
      <c r="DS49" s="113">
        <v>0</v>
      </c>
      <c r="DT49" s="113">
        <v>0</v>
      </c>
      <c r="DU49" s="113">
        <v>0</v>
      </c>
      <c r="DV49" s="113">
        <v>0</v>
      </c>
      <c r="DW49" s="113">
        <v>0</v>
      </c>
      <c r="DX49" s="113">
        <v>0</v>
      </c>
      <c r="DY49" s="113">
        <v>0</v>
      </c>
      <c r="DZ49" s="113">
        <v>0</v>
      </c>
      <c r="EA49" s="113">
        <v>0</v>
      </c>
      <c r="EB49" s="113">
        <v>0</v>
      </c>
      <c r="EC49" s="113">
        <v>0</v>
      </c>
      <c r="ED49" s="113">
        <v>0</v>
      </c>
      <c r="EE49" s="113">
        <v>0</v>
      </c>
      <c r="EF49" s="113">
        <v>0</v>
      </c>
      <c r="EG49" s="113">
        <v>0</v>
      </c>
      <c r="EH49" s="113">
        <v>0</v>
      </c>
      <c r="EI49" s="113">
        <v>0</v>
      </c>
      <c r="EJ49" s="113">
        <v>0</v>
      </c>
      <c r="EK49" s="113">
        <v>0</v>
      </c>
      <c r="EL49" s="113">
        <v>0</v>
      </c>
      <c r="EM49" s="113">
        <v>0</v>
      </c>
      <c r="EN49" s="113">
        <v>0</v>
      </c>
    </row>
    <row r="50" spans="1:144">
      <c r="A50" s="103" t="s">
        <v>2183</v>
      </c>
      <c r="B50" s="113">
        <v>0</v>
      </c>
      <c r="C50" s="113">
        <v>0</v>
      </c>
      <c r="D50" s="113">
        <v>0</v>
      </c>
      <c r="E50" s="113">
        <v>-90</v>
      </c>
      <c r="F50" s="113">
        <v>0</v>
      </c>
      <c r="G50" s="113">
        <v>0</v>
      </c>
      <c r="H50" s="113">
        <v>0</v>
      </c>
      <c r="I50" s="113">
        <v>0</v>
      </c>
      <c r="J50" s="113">
        <v>0</v>
      </c>
      <c r="K50" s="113">
        <v>0</v>
      </c>
      <c r="L50" s="113">
        <v>0</v>
      </c>
      <c r="M50" s="113">
        <v>0</v>
      </c>
      <c r="N50" s="113">
        <v>-750</v>
      </c>
      <c r="O50" s="113">
        <v>-2830</v>
      </c>
      <c r="P50" s="113">
        <v>-2310</v>
      </c>
      <c r="Q50" s="113">
        <v>-1300</v>
      </c>
      <c r="R50" s="113">
        <v>-511</v>
      </c>
      <c r="S50" s="113">
        <v>-1800</v>
      </c>
      <c r="T50" s="113">
        <v>0</v>
      </c>
      <c r="U50" s="113">
        <v>0</v>
      </c>
      <c r="V50" s="113">
        <v>0</v>
      </c>
      <c r="W50" s="113">
        <v>0</v>
      </c>
      <c r="X50" s="113">
        <v>-733</v>
      </c>
      <c r="Y50" s="113">
        <v>0</v>
      </c>
      <c r="Z50" s="113">
        <v>0</v>
      </c>
      <c r="AA50" s="113">
        <v>0</v>
      </c>
      <c r="AB50" s="113">
        <v>0</v>
      </c>
      <c r="AC50" s="113">
        <v>0</v>
      </c>
      <c r="AD50" s="113">
        <v>0</v>
      </c>
      <c r="AE50" s="113">
        <v>0</v>
      </c>
      <c r="AG50" s="103" t="s">
        <v>2183</v>
      </c>
      <c r="AH50" s="113">
        <v>0</v>
      </c>
      <c r="AI50" s="113">
        <v>0</v>
      </c>
      <c r="AJ50" s="113">
        <v>0</v>
      </c>
      <c r="AK50" s="113">
        <v>0</v>
      </c>
      <c r="AL50" s="113">
        <v>0</v>
      </c>
      <c r="AM50" s="113">
        <v>0</v>
      </c>
      <c r="AN50" s="113">
        <v>-120</v>
      </c>
      <c r="AO50" s="113">
        <v>30</v>
      </c>
      <c r="AP50" s="113">
        <v>0</v>
      </c>
      <c r="AQ50" s="113">
        <v>0</v>
      </c>
      <c r="AR50" s="113">
        <v>0</v>
      </c>
      <c r="AS50" s="113">
        <v>0</v>
      </c>
      <c r="AT50" s="113">
        <v>0</v>
      </c>
      <c r="AU50" s="113">
        <v>0</v>
      </c>
      <c r="AV50" s="113">
        <v>0</v>
      </c>
      <c r="AW50" s="113">
        <v>0</v>
      </c>
      <c r="AX50" s="113">
        <v>0</v>
      </c>
      <c r="AY50" s="113">
        <v>0</v>
      </c>
      <c r="AZ50" s="113">
        <v>0</v>
      </c>
      <c r="BA50" s="113">
        <v>0</v>
      </c>
      <c r="BB50" s="113">
        <v>0</v>
      </c>
      <c r="BC50" s="113">
        <v>0</v>
      </c>
      <c r="BD50" s="113">
        <v>0</v>
      </c>
      <c r="BE50" s="113">
        <v>0</v>
      </c>
      <c r="BF50" s="113">
        <v>0</v>
      </c>
      <c r="BG50" s="113">
        <v>0</v>
      </c>
      <c r="BH50" s="113">
        <v>0</v>
      </c>
      <c r="BI50" s="113">
        <v>0</v>
      </c>
      <c r="BJ50" s="113">
        <v>0</v>
      </c>
      <c r="BK50" s="113">
        <v>0</v>
      </c>
      <c r="BL50" s="113">
        <v>0</v>
      </c>
      <c r="BM50" s="113">
        <v>0</v>
      </c>
      <c r="BN50" s="113">
        <v>0</v>
      </c>
      <c r="BO50" s="113">
        <v>0</v>
      </c>
      <c r="BP50" s="113">
        <v>0</v>
      </c>
      <c r="BQ50" s="113">
        <v>0</v>
      </c>
      <c r="BR50" s="113">
        <v>0</v>
      </c>
      <c r="BS50" s="113">
        <v>-660</v>
      </c>
      <c r="BT50" s="113">
        <v>0</v>
      </c>
      <c r="BU50" s="113">
        <v>0</v>
      </c>
      <c r="BV50" s="113">
        <v>0</v>
      </c>
      <c r="BW50" s="113">
        <v>-210</v>
      </c>
      <c r="BX50" s="113">
        <v>0</v>
      </c>
      <c r="BY50" s="113">
        <v>-1006</v>
      </c>
      <c r="BZ50" s="113">
        <v>0</v>
      </c>
      <c r="CA50" s="113">
        <v>0</v>
      </c>
      <c r="CB50" s="113">
        <v>-2525</v>
      </c>
      <c r="CC50" s="113">
        <v>0</v>
      </c>
      <c r="CD50" s="113">
        <v>-536</v>
      </c>
      <c r="CE50" s="113">
        <v>0</v>
      </c>
      <c r="CF50" s="113">
        <v>-1385</v>
      </c>
      <c r="CG50" s="113">
        <v>-235</v>
      </c>
      <c r="CH50" s="113">
        <v>-449</v>
      </c>
      <c r="CI50" s="113">
        <v>-66</v>
      </c>
      <c r="CJ50" s="113">
        <v>-397</v>
      </c>
      <c r="CK50" s="113">
        <v>-407</v>
      </c>
      <c r="CL50" s="113">
        <v>-87</v>
      </c>
      <c r="CM50" s="113">
        <v>-111</v>
      </c>
      <c r="CN50" s="113">
        <v>-296</v>
      </c>
      <c r="CO50" s="113">
        <v>-17</v>
      </c>
      <c r="CP50" s="113">
        <v>0</v>
      </c>
      <c r="CQ50" s="113">
        <v>0</v>
      </c>
      <c r="CR50" s="113">
        <v>-1500</v>
      </c>
      <c r="CS50" s="113">
        <v>0</v>
      </c>
      <c r="CT50" s="113">
        <v>0</v>
      </c>
      <c r="CU50" s="113">
        <v>0</v>
      </c>
      <c r="CV50" s="113">
        <v>-57</v>
      </c>
      <c r="CW50" s="113">
        <v>-193</v>
      </c>
      <c r="CX50" s="113">
        <v>0</v>
      </c>
      <c r="CY50" s="113">
        <v>0</v>
      </c>
      <c r="CZ50" s="113">
        <v>0</v>
      </c>
      <c r="DA50" s="113">
        <v>0</v>
      </c>
      <c r="DB50" s="113">
        <v>0</v>
      </c>
      <c r="DC50" s="113">
        <v>0</v>
      </c>
      <c r="DD50" s="113">
        <v>0</v>
      </c>
      <c r="DE50" s="113">
        <v>0</v>
      </c>
      <c r="DF50" s="113">
        <v>0</v>
      </c>
      <c r="DG50" s="113">
        <v>0</v>
      </c>
      <c r="DH50" s="113">
        <v>0</v>
      </c>
      <c r="DI50" s="113">
        <v>0</v>
      </c>
      <c r="DJ50" s="113">
        <v>0</v>
      </c>
      <c r="DK50" s="113">
        <v>0</v>
      </c>
      <c r="DL50" s="113">
        <v>-733</v>
      </c>
      <c r="DM50" s="113">
        <v>0</v>
      </c>
      <c r="DN50" s="113">
        <v>0</v>
      </c>
      <c r="DO50" s="113">
        <v>0</v>
      </c>
      <c r="DP50" s="113">
        <v>0</v>
      </c>
      <c r="DQ50" s="113">
        <v>0</v>
      </c>
      <c r="DR50" s="113">
        <v>0</v>
      </c>
      <c r="DS50" s="113">
        <v>0</v>
      </c>
      <c r="DT50" s="113">
        <v>0</v>
      </c>
      <c r="DU50" s="113">
        <v>0</v>
      </c>
      <c r="DV50" s="113">
        <v>0</v>
      </c>
      <c r="DW50" s="113">
        <v>0</v>
      </c>
      <c r="DX50" s="113">
        <v>0</v>
      </c>
      <c r="DY50" s="113">
        <v>0</v>
      </c>
      <c r="DZ50" s="113">
        <v>0</v>
      </c>
      <c r="EA50" s="113">
        <v>0</v>
      </c>
      <c r="EB50" s="113">
        <v>0</v>
      </c>
      <c r="EC50" s="113">
        <v>0</v>
      </c>
      <c r="ED50" s="113">
        <v>0</v>
      </c>
      <c r="EE50" s="113">
        <v>0</v>
      </c>
      <c r="EF50" s="113">
        <v>0</v>
      </c>
      <c r="EG50" s="113">
        <v>0</v>
      </c>
      <c r="EH50" s="113">
        <v>0</v>
      </c>
      <c r="EI50" s="113">
        <v>0</v>
      </c>
      <c r="EJ50" s="113">
        <v>0</v>
      </c>
      <c r="EK50" s="113">
        <v>0</v>
      </c>
      <c r="EL50" s="113">
        <v>0</v>
      </c>
      <c r="EM50" s="113">
        <v>0</v>
      </c>
      <c r="EN50" s="113">
        <v>0</v>
      </c>
    </row>
    <row r="51" spans="1:144">
      <c r="A51" s="103" t="s">
        <v>2184</v>
      </c>
      <c r="B51" s="113">
        <v>0</v>
      </c>
      <c r="C51" s="113">
        <v>0</v>
      </c>
      <c r="D51" s="113">
        <v>0</v>
      </c>
      <c r="E51" s="113">
        <v>0</v>
      </c>
      <c r="F51" s="113">
        <v>-46</v>
      </c>
      <c r="G51" s="113">
        <v>0</v>
      </c>
      <c r="H51" s="113">
        <v>0</v>
      </c>
      <c r="I51" s="113">
        <v>0</v>
      </c>
      <c r="J51" s="113">
        <v>0</v>
      </c>
      <c r="K51" s="113">
        <v>0</v>
      </c>
      <c r="L51" s="113">
        <v>0</v>
      </c>
      <c r="M51" s="113">
        <v>0</v>
      </c>
      <c r="N51" s="113">
        <v>0</v>
      </c>
      <c r="O51" s="113">
        <v>0</v>
      </c>
      <c r="P51" s="113">
        <v>0</v>
      </c>
      <c r="Q51" s="113">
        <v>0</v>
      </c>
      <c r="R51" s="113">
        <v>0</v>
      </c>
      <c r="S51" s="113">
        <v>0</v>
      </c>
      <c r="T51" s="113">
        <v>0</v>
      </c>
      <c r="U51" s="113">
        <v>0</v>
      </c>
      <c r="V51" s="113">
        <v>0</v>
      </c>
      <c r="W51" s="113">
        <v>0</v>
      </c>
      <c r="X51" s="113">
        <v>0</v>
      </c>
      <c r="Y51" s="113">
        <v>0</v>
      </c>
      <c r="Z51" s="113">
        <v>0</v>
      </c>
      <c r="AA51" s="113">
        <v>0</v>
      </c>
      <c r="AB51" s="113">
        <v>0</v>
      </c>
      <c r="AC51" s="113">
        <v>0</v>
      </c>
      <c r="AD51" s="113">
        <v>0</v>
      </c>
      <c r="AE51" s="113">
        <v>0</v>
      </c>
      <c r="AG51" s="103" t="s">
        <v>2184</v>
      </c>
      <c r="AH51" s="113">
        <v>0</v>
      </c>
      <c r="AI51" s="113">
        <v>0</v>
      </c>
      <c r="AJ51" s="113">
        <v>0</v>
      </c>
      <c r="AK51" s="113">
        <v>0</v>
      </c>
      <c r="AL51" s="113">
        <v>0</v>
      </c>
      <c r="AM51" s="113">
        <v>0</v>
      </c>
      <c r="AN51" s="113">
        <v>0</v>
      </c>
      <c r="AO51" s="113">
        <v>0</v>
      </c>
      <c r="AP51" s="113">
        <v>0</v>
      </c>
      <c r="AQ51" s="113">
        <v>0</v>
      </c>
      <c r="AR51" s="113">
        <v>0</v>
      </c>
      <c r="AS51" s="113">
        <v>-46</v>
      </c>
      <c r="AT51" s="113">
        <v>0</v>
      </c>
      <c r="AU51" s="113">
        <v>0</v>
      </c>
      <c r="AV51" s="113">
        <v>0</v>
      </c>
      <c r="AW51" s="113">
        <v>0</v>
      </c>
      <c r="AX51" s="113">
        <v>0</v>
      </c>
      <c r="AY51" s="113">
        <v>0</v>
      </c>
      <c r="AZ51" s="113">
        <v>0</v>
      </c>
      <c r="BA51" s="113">
        <v>0</v>
      </c>
      <c r="BB51" s="113">
        <v>0</v>
      </c>
      <c r="BC51" s="113">
        <v>0</v>
      </c>
      <c r="BD51" s="113">
        <v>0</v>
      </c>
      <c r="BE51" s="113">
        <v>0</v>
      </c>
      <c r="BF51" s="113">
        <v>0</v>
      </c>
      <c r="BG51" s="113">
        <v>0</v>
      </c>
      <c r="BH51" s="113">
        <v>0</v>
      </c>
      <c r="BI51" s="113">
        <v>0</v>
      </c>
      <c r="BJ51" s="113">
        <v>0</v>
      </c>
      <c r="BK51" s="113">
        <v>0</v>
      </c>
      <c r="BL51" s="113">
        <v>0</v>
      </c>
      <c r="BM51" s="113">
        <v>0</v>
      </c>
      <c r="BN51" s="113">
        <v>0</v>
      </c>
      <c r="BO51" s="113">
        <v>0</v>
      </c>
      <c r="BP51" s="113">
        <v>0</v>
      </c>
      <c r="BQ51" s="113">
        <v>0</v>
      </c>
      <c r="BR51" s="113">
        <v>0</v>
      </c>
      <c r="BS51" s="113">
        <v>0</v>
      </c>
      <c r="BT51" s="113">
        <v>0</v>
      </c>
      <c r="BU51" s="113">
        <v>0</v>
      </c>
      <c r="BV51" s="113">
        <v>0</v>
      </c>
      <c r="BW51" s="113">
        <v>0</v>
      </c>
      <c r="BX51" s="113">
        <v>0</v>
      </c>
      <c r="BY51" s="113">
        <v>0</v>
      </c>
      <c r="BZ51" s="113">
        <v>0</v>
      </c>
      <c r="CA51" s="113">
        <v>0</v>
      </c>
      <c r="CB51" s="113">
        <v>0</v>
      </c>
      <c r="CC51" s="113">
        <v>0</v>
      </c>
      <c r="CD51" s="113">
        <v>0</v>
      </c>
      <c r="CE51" s="113">
        <v>0</v>
      </c>
      <c r="CF51" s="113">
        <v>0</v>
      </c>
      <c r="CG51" s="113">
        <v>0</v>
      </c>
      <c r="CH51" s="113">
        <v>0</v>
      </c>
      <c r="CI51" s="113">
        <v>0</v>
      </c>
      <c r="CJ51" s="113">
        <v>0</v>
      </c>
      <c r="CK51" s="113">
        <v>0</v>
      </c>
      <c r="CL51" s="113">
        <v>0</v>
      </c>
      <c r="CM51" s="113">
        <v>0</v>
      </c>
      <c r="CN51" s="113">
        <v>0</v>
      </c>
      <c r="CO51" s="113">
        <v>0</v>
      </c>
      <c r="CP51" s="113">
        <v>0</v>
      </c>
      <c r="CQ51" s="113">
        <v>0</v>
      </c>
      <c r="CR51" s="113">
        <v>0</v>
      </c>
      <c r="CS51" s="113">
        <v>0</v>
      </c>
      <c r="CT51" s="113">
        <v>0</v>
      </c>
      <c r="CU51" s="113">
        <v>0</v>
      </c>
      <c r="CV51" s="113">
        <v>0</v>
      </c>
      <c r="CW51" s="113">
        <v>0</v>
      </c>
      <c r="CX51" s="113">
        <v>0</v>
      </c>
      <c r="CY51" s="113">
        <v>0</v>
      </c>
      <c r="CZ51" s="113">
        <v>0</v>
      </c>
      <c r="DA51" s="113">
        <v>0</v>
      </c>
      <c r="DB51" s="113">
        <v>0</v>
      </c>
      <c r="DC51" s="113">
        <v>0</v>
      </c>
      <c r="DD51" s="113">
        <v>0</v>
      </c>
      <c r="DE51" s="113">
        <v>0</v>
      </c>
      <c r="DF51" s="113">
        <v>0</v>
      </c>
      <c r="DG51" s="113">
        <v>0</v>
      </c>
      <c r="DH51" s="113">
        <v>0</v>
      </c>
      <c r="DI51" s="113">
        <v>0</v>
      </c>
      <c r="DJ51" s="113">
        <v>0</v>
      </c>
      <c r="DK51" s="113">
        <v>0</v>
      </c>
      <c r="DL51" s="113">
        <v>0</v>
      </c>
      <c r="DM51" s="113">
        <v>0</v>
      </c>
      <c r="DN51" s="113">
        <v>0</v>
      </c>
      <c r="DO51" s="113">
        <v>0</v>
      </c>
      <c r="DP51" s="113">
        <v>0</v>
      </c>
      <c r="DQ51" s="113">
        <v>0</v>
      </c>
      <c r="DR51" s="113">
        <v>0</v>
      </c>
      <c r="DS51" s="113">
        <v>0</v>
      </c>
      <c r="DT51" s="113">
        <v>0</v>
      </c>
      <c r="DU51" s="113">
        <v>0</v>
      </c>
      <c r="DV51" s="113">
        <v>0</v>
      </c>
      <c r="DW51" s="113">
        <v>0</v>
      </c>
      <c r="DX51" s="113">
        <v>0</v>
      </c>
      <c r="DY51" s="113">
        <v>0</v>
      </c>
      <c r="DZ51" s="113">
        <v>0</v>
      </c>
      <c r="EA51" s="113">
        <v>0</v>
      </c>
      <c r="EB51" s="113">
        <v>0</v>
      </c>
      <c r="EC51" s="113">
        <v>0</v>
      </c>
      <c r="ED51" s="113">
        <v>0</v>
      </c>
      <c r="EE51" s="113">
        <v>0</v>
      </c>
      <c r="EF51" s="113">
        <v>0</v>
      </c>
      <c r="EG51" s="113">
        <v>0</v>
      </c>
      <c r="EH51" s="113">
        <v>0</v>
      </c>
      <c r="EI51" s="113">
        <v>0</v>
      </c>
      <c r="EJ51" s="113">
        <v>0</v>
      </c>
      <c r="EK51" s="113">
        <v>0</v>
      </c>
      <c r="EL51" s="113">
        <v>0</v>
      </c>
      <c r="EM51" s="113">
        <v>0</v>
      </c>
      <c r="EN51" s="113">
        <v>0</v>
      </c>
    </row>
    <row r="52" spans="1:144" ht="10.5">
      <c r="A52" s="112" t="s">
        <v>2185</v>
      </c>
      <c r="B52" s="114">
        <v>671</v>
      </c>
      <c r="C52" s="114">
        <v>1041</v>
      </c>
      <c r="D52" s="114">
        <v>1401</v>
      </c>
      <c r="E52" s="114">
        <v>1722</v>
      </c>
      <c r="F52" s="114">
        <v>2167</v>
      </c>
      <c r="G52" s="114">
        <v>3379</v>
      </c>
      <c r="H52" s="114">
        <v>5314</v>
      </c>
      <c r="I52" s="114">
        <v>7117</v>
      </c>
      <c r="J52" s="114">
        <v>11891</v>
      </c>
      <c r="K52" s="114">
        <v>14275</v>
      </c>
      <c r="L52" s="114">
        <v>11525</v>
      </c>
      <c r="M52" s="114">
        <v>7875</v>
      </c>
      <c r="N52" s="114">
        <v>11054</v>
      </c>
      <c r="O52" s="114">
        <v>12196</v>
      </c>
      <c r="P52" s="114">
        <v>16628</v>
      </c>
      <c r="Q52" s="114">
        <v>18262</v>
      </c>
      <c r="R52" s="114">
        <v>20101</v>
      </c>
      <c r="S52" s="114">
        <v>23814</v>
      </c>
      <c r="T52" s="114">
        <v>19821</v>
      </c>
      <c r="U52" s="114">
        <v>25013</v>
      </c>
      <c r="V52" s="114">
        <v>28071</v>
      </c>
      <c r="W52" s="114">
        <v>22267</v>
      </c>
      <c r="X52" s="114">
        <v>27052</v>
      </c>
      <c r="Y52" s="114">
        <v>27820</v>
      </c>
      <c r="Z52" s="114">
        <v>18507</v>
      </c>
      <c r="AA52" s="114">
        <v>25639</v>
      </c>
      <c r="AB52" s="114">
        <v>29901</v>
      </c>
      <c r="AC52" s="114">
        <v>36474</v>
      </c>
      <c r="AD52" s="114">
        <v>43688</v>
      </c>
      <c r="AE52" s="114">
        <v>52210</v>
      </c>
      <c r="AG52" s="112" t="s">
        <v>2185</v>
      </c>
      <c r="AH52" s="114">
        <v>327</v>
      </c>
      <c r="AI52" s="114">
        <v>347</v>
      </c>
      <c r="AJ52" s="114">
        <v>357</v>
      </c>
      <c r="AK52" s="114">
        <v>390</v>
      </c>
      <c r="AL52" s="114">
        <v>362</v>
      </c>
      <c r="AM52" s="114">
        <v>438</v>
      </c>
      <c r="AN52" s="114">
        <v>382</v>
      </c>
      <c r="AO52" s="114">
        <v>540</v>
      </c>
      <c r="AP52" s="114">
        <v>471</v>
      </c>
      <c r="AQ52" s="114">
        <v>557</v>
      </c>
      <c r="AR52" s="114">
        <v>592</v>
      </c>
      <c r="AS52" s="114">
        <v>547</v>
      </c>
      <c r="AT52" s="114">
        <v>770</v>
      </c>
      <c r="AU52" s="114">
        <v>885</v>
      </c>
      <c r="AV52" s="114">
        <v>864</v>
      </c>
      <c r="AW52" s="114">
        <v>860</v>
      </c>
      <c r="AX52" s="114">
        <v>945</v>
      </c>
      <c r="AY52" s="114">
        <v>1140</v>
      </c>
      <c r="AZ52" s="114">
        <v>1603</v>
      </c>
      <c r="BA52" s="114">
        <v>1626</v>
      </c>
      <c r="BB52" s="114">
        <v>1202</v>
      </c>
      <c r="BC52" s="114">
        <v>1770</v>
      </c>
      <c r="BD52" s="114">
        <v>2057</v>
      </c>
      <c r="BE52" s="114">
        <v>2088</v>
      </c>
      <c r="BF52" s="114">
        <v>2503</v>
      </c>
      <c r="BG52" s="114">
        <v>3051</v>
      </c>
      <c r="BH52" s="114">
        <v>2949</v>
      </c>
      <c r="BI52" s="114">
        <v>3388</v>
      </c>
      <c r="BJ52" s="114">
        <v>3320</v>
      </c>
      <c r="BK52" s="114">
        <v>3691</v>
      </c>
      <c r="BL52" s="114">
        <v>3613</v>
      </c>
      <c r="BM52" s="114">
        <v>3651</v>
      </c>
      <c r="BN52" s="114">
        <v>3852</v>
      </c>
      <c r="BO52" s="114">
        <v>3917</v>
      </c>
      <c r="BP52" s="114">
        <v>3658</v>
      </c>
      <c r="BQ52" s="114">
        <v>98</v>
      </c>
      <c r="BR52" s="114">
        <v>1887</v>
      </c>
      <c r="BS52" s="114">
        <v>3357</v>
      </c>
      <c r="BT52" s="114">
        <v>4026</v>
      </c>
      <c r="BU52" s="114">
        <v>2243</v>
      </c>
      <c r="BV52" s="114">
        <v>3047</v>
      </c>
      <c r="BW52" s="114">
        <v>2596</v>
      </c>
      <c r="BX52" s="114">
        <v>3197</v>
      </c>
      <c r="BY52" s="114">
        <v>2214</v>
      </c>
      <c r="BZ52" s="114">
        <v>3901</v>
      </c>
      <c r="CA52" s="114">
        <v>2312</v>
      </c>
      <c r="CB52" s="114">
        <v>2279</v>
      </c>
      <c r="CC52" s="114">
        <v>3704</v>
      </c>
      <c r="CD52" s="114">
        <v>3773</v>
      </c>
      <c r="CE52" s="114">
        <v>5169</v>
      </c>
      <c r="CF52" s="114">
        <v>3825</v>
      </c>
      <c r="CG52" s="114">
        <v>3861</v>
      </c>
      <c r="CH52" s="114">
        <v>4552</v>
      </c>
      <c r="CI52" s="114">
        <v>5137</v>
      </c>
      <c r="CJ52" s="114">
        <v>4315</v>
      </c>
      <c r="CK52" s="114">
        <v>4258</v>
      </c>
      <c r="CL52" s="114">
        <v>5041</v>
      </c>
      <c r="CM52" s="114">
        <v>3805</v>
      </c>
      <c r="CN52" s="114">
        <v>6971</v>
      </c>
      <c r="CO52" s="114">
        <v>4284</v>
      </c>
      <c r="CP52" s="114">
        <v>6216</v>
      </c>
      <c r="CQ52" s="114">
        <v>6820</v>
      </c>
      <c r="CR52" s="114">
        <v>4810</v>
      </c>
      <c r="CS52" s="114">
        <v>5968</v>
      </c>
      <c r="CT52" s="114">
        <v>5991</v>
      </c>
      <c r="CU52" s="114">
        <v>5638</v>
      </c>
      <c r="CV52" s="114">
        <v>4050</v>
      </c>
      <c r="CW52" s="114">
        <v>4142</v>
      </c>
      <c r="CX52" s="114">
        <v>4765</v>
      </c>
      <c r="CY52" s="114">
        <v>8883</v>
      </c>
      <c r="CZ52" s="114">
        <v>5341</v>
      </c>
      <c r="DA52" s="114">
        <v>6024</v>
      </c>
      <c r="DB52" s="114">
        <v>7230</v>
      </c>
      <c r="DC52" s="114">
        <v>8497</v>
      </c>
      <c r="DD52" s="114">
        <v>6025</v>
      </c>
      <c r="DE52" s="114">
        <v>6319</v>
      </c>
      <c r="DF52" s="114">
        <v>7306</v>
      </c>
      <c r="DG52" s="114">
        <v>8239</v>
      </c>
      <c r="DH52" s="114">
        <v>6363</v>
      </c>
      <c r="DI52" s="114">
        <v>359</v>
      </c>
      <c r="DJ52" s="114">
        <v>5534</v>
      </c>
      <c r="DK52" s="114">
        <v>7770</v>
      </c>
      <c r="DL52" s="114">
        <v>7603</v>
      </c>
      <c r="DM52" s="114">
        <v>6145</v>
      </c>
      <c r="DN52" s="114">
        <v>6408</v>
      </c>
      <c r="DO52" s="114">
        <v>7878</v>
      </c>
      <c r="DP52" s="114">
        <v>6957</v>
      </c>
      <c r="DQ52" s="114">
        <v>6577</v>
      </c>
      <c r="DR52" s="114">
        <v>5896</v>
      </c>
      <c r="DS52" s="114">
        <v>7850</v>
      </c>
      <c r="DT52" s="114">
        <v>6517</v>
      </c>
      <c r="DU52" s="114">
        <v>-1756</v>
      </c>
      <c r="DV52" s="114">
        <v>5513</v>
      </c>
      <c r="DW52" s="114">
        <v>5855</v>
      </c>
      <c r="DX52" s="114">
        <v>5036</v>
      </c>
      <c r="DY52" s="114">
        <v>3347</v>
      </c>
      <c r="DZ52" s="114">
        <v>6827</v>
      </c>
      <c r="EA52" s="114">
        <v>8022</v>
      </c>
      <c r="EB52" s="114">
        <v>7094</v>
      </c>
      <c r="EC52" s="114">
        <v>7958</v>
      </c>
      <c r="ED52" s="114">
        <v>7984</v>
      </c>
      <c r="EE52" s="114">
        <v>9169</v>
      </c>
      <c r="EF52" s="114">
        <v>8641</v>
      </c>
      <c r="EG52" s="114">
        <v>10680</v>
      </c>
      <c r="EH52" s="114">
        <v>10221</v>
      </c>
      <c r="EI52" s="114">
        <v>10385</v>
      </c>
      <c r="EJ52" s="114">
        <v>10486</v>
      </c>
      <c r="EK52" s="114">
        <v>12596</v>
      </c>
      <c r="EL52" s="114">
        <v>12686</v>
      </c>
      <c r="EM52" s="114">
        <v>14085</v>
      </c>
      <c r="EN52" s="114">
        <v>12843</v>
      </c>
    </row>
    <row r="53" spans="1:144">
      <c r="A53" s="103"/>
      <c r="B53" s="103"/>
      <c r="C53" s="103"/>
      <c r="D53" s="103"/>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c r="BG53" s="103"/>
      <c r="BH53" s="103"/>
      <c r="BI53" s="103"/>
      <c r="BJ53" s="103"/>
      <c r="BK53" s="103"/>
      <c r="BL53" s="103"/>
      <c r="BM53" s="103"/>
      <c r="BN53" s="103"/>
      <c r="BO53" s="103"/>
      <c r="BP53" s="103"/>
      <c r="BQ53" s="103"/>
      <c r="BR53" s="103"/>
      <c r="BS53" s="103"/>
      <c r="BT53" s="103"/>
      <c r="BU53" s="103"/>
      <c r="BV53" s="103"/>
      <c r="BW53" s="103"/>
      <c r="BX53" s="103"/>
      <c r="BY53" s="103"/>
      <c r="BZ53" s="103"/>
      <c r="CA53" s="103"/>
      <c r="CB53" s="103"/>
      <c r="CC53" s="103"/>
      <c r="CD53" s="103"/>
      <c r="CE53" s="103"/>
      <c r="CF53" s="103"/>
      <c r="CG53" s="103"/>
      <c r="CH53" s="103"/>
      <c r="CI53" s="103"/>
      <c r="CJ53" s="103"/>
      <c r="CK53" s="103"/>
      <c r="CL53" s="103"/>
      <c r="CM53" s="103"/>
      <c r="CN53" s="103"/>
      <c r="CO53" s="103"/>
      <c r="CP53" s="103"/>
      <c r="CQ53" s="103"/>
      <c r="CR53" s="103"/>
      <c r="CS53" s="103"/>
      <c r="CT53" s="103"/>
      <c r="CU53" s="103"/>
      <c r="CV53" s="103"/>
      <c r="CW53" s="103"/>
      <c r="CX53" s="103"/>
      <c r="CY53" s="103"/>
      <c r="CZ53" s="103"/>
      <c r="DA53" s="103"/>
      <c r="DB53" s="103"/>
      <c r="DC53" s="103"/>
      <c r="DD53" s="103"/>
      <c r="DE53" s="103"/>
      <c r="DF53" s="103"/>
      <c r="DG53" s="103"/>
      <c r="DH53" s="103"/>
      <c r="DI53" s="103"/>
      <c r="DJ53" s="103"/>
      <c r="DK53" s="103"/>
      <c r="DL53" s="103"/>
      <c r="DM53" s="103"/>
      <c r="DN53" s="103"/>
      <c r="DO53" s="103"/>
      <c r="DP53" s="103"/>
      <c r="DQ53" s="103"/>
      <c r="DR53" s="103"/>
      <c r="DS53" s="103"/>
      <c r="DT53" s="103"/>
      <c r="DU53" s="103"/>
      <c r="DV53" s="103"/>
      <c r="DW53" s="103"/>
      <c r="DX53" s="103"/>
      <c r="DY53" s="103"/>
      <c r="DZ53" s="103"/>
      <c r="EA53" s="103"/>
      <c r="EB53" s="103"/>
      <c r="EC53" s="103"/>
      <c r="ED53" s="103"/>
      <c r="EE53" s="103"/>
      <c r="EF53" s="103"/>
      <c r="EG53" s="103"/>
      <c r="EH53" s="103"/>
      <c r="EI53" s="103"/>
      <c r="EJ53" s="103"/>
      <c r="EK53" s="103"/>
      <c r="EL53" s="103"/>
      <c r="EM53" s="103"/>
      <c r="EN53" s="103"/>
    </row>
    <row r="54" spans="1:144">
      <c r="A54" s="103" t="s">
        <v>2186</v>
      </c>
      <c r="B54" s="113">
        <v>208</v>
      </c>
      <c r="C54" s="113">
        <v>333</v>
      </c>
      <c r="D54" s="113">
        <v>448</v>
      </c>
      <c r="E54" s="113">
        <v>576</v>
      </c>
      <c r="F54" s="113">
        <v>714</v>
      </c>
      <c r="G54" s="113">
        <v>1184</v>
      </c>
      <c r="H54" s="113">
        <v>1860</v>
      </c>
      <c r="I54" s="113">
        <v>2627</v>
      </c>
      <c r="J54" s="113">
        <v>4106</v>
      </c>
      <c r="K54" s="113">
        <v>4854</v>
      </c>
      <c r="L54" s="113">
        <v>3804</v>
      </c>
      <c r="M54" s="113">
        <v>2520</v>
      </c>
      <c r="N54" s="113">
        <v>3523</v>
      </c>
      <c r="O54" s="113">
        <v>4028</v>
      </c>
      <c r="P54" s="113">
        <v>4374</v>
      </c>
      <c r="Q54" s="113">
        <v>5663</v>
      </c>
      <c r="R54" s="113">
        <v>6036</v>
      </c>
      <c r="S54" s="113">
        <v>6133</v>
      </c>
      <c r="T54" s="113">
        <v>5252</v>
      </c>
      <c r="U54" s="113">
        <v>6253</v>
      </c>
      <c r="V54" s="113">
        <v>4921</v>
      </c>
      <c r="W54" s="113">
        <v>5289</v>
      </c>
      <c r="X54" s="113">
        <v>5189</v>
      </c>
      <c r="Y54" s="113">
        <v>5746</v>
      </c>
      <c r="Z54" s="113">
        <v>6314</v>
      </c>
      <c r="AA54" s="113">
        <v>5100</v>
      </c>
      <c r="AB54" s="113">
        <v>4412</v>
      </c>
      <c r="AC54" s="113">
        <v>19903</v>
      </c>
      <c r="AD54" s="113">
        <v>4448</v>
      </c>
      <c r="AE54" s="113">
        <v>5944</v>
      </c>
      <c r="AG54" s="103" t="s">
        <v>2186</v>
      </c>
      <c r="AH54" s="113">
        <v>104.5</v>
      </c>
      <c r="AI54" s="113">
        <v>111</v>
      </c>
      <c r="AJ54" s="113">
        <v>114</v>
      </c>
      <c r="AK54" s="113">
        <v>125</v>
      </c>
      <c r="AL54" s="113">
        <v>123</v>
      </c>
      <c r="AM54" s="113">
        <v>149</v>
      </c>
      <c r="AN54" s="113">
        <v>126</v>
      </c>
      <c r="AO54" s="113">
        <v>178</v>
      </c>
      <c r="AP54" s="113">
        <v>155</v>
      </c>
      <c r="AQ54" s="113">
        <v>184</v>
      </c>
      <c r="AR54" s="113">
        <v>196</v>
      </c>
      <c r="AS54" s="113">
        <v>179</v>
      </c>
      <c r="AT54" s="113">
        <v>271</v>
      </c>
      <c r="AU54" s="113">
        <v>310</v>
      </c>
      <c r="AV54" s="113">
        <v>302</v>
      </c>
      <c r="AW54" s="113">
        <v>301</v>
      </c>
      <c r="AX54" s="113">
        <v>331</v>
      </c>
      <c r="AY54" s="113">
        <v>399</v>
      </c>
      <c r="AZ54" s="113">
        <v>561</v>
      </c>
      <c r="BA54" s="113">
        <v>569</v>
      </c>
      <c r="BB54" s="113">
        <v>539</v>
      </c>
      <c r="BC54" s="113">
        <v>637</v>
      </c>
      <c r="BD54" s="113">
        <v>720</v>
      </c>
      <c r="BE54" s="113">
        <v>731</v>
      </c>
      <c r="BF54" s="113">
        <v>820</v>
      </c>
      <c r="BG54" s="113">
        <v>1068</v>
      </c>
      <c r="BH54" s="113">
        <v>1032</v>
      </c>
      <c r="BI54" s="113">
        <v>1186</v>
      </c>
      <c r="BJ54" s="113">
        <v>1129</v>
      </c>
      <c r="BK54" s="113">
        <v>1255</v>
      </c>
      <c r="BL54" s="113">
        <v>1228</v>
      </c>
      <c r="BM54" s="113">
        <v>1242</v>
      </c>
      <c r="BN54" s="113">
        <v>1271</v>
      </c>
      <c r="BO54" s="113">
        <v>1293</v>
      </c>
      <c r="BP54" s="113">
        <v>1207</v>
      </c>
      <c r="BQ54" s="113">
        <v>33</v>
      </c>
      <c r="BR54" s="113">
        <v>604</v>
      </c>
      <c r="BS54" s="113">
        <v>1074</v>
      </c>
      <c r="BT54" s="113">
        <v>1288</v>
      </c>
      <c r="BU54" s="113">
        <v>718</v>
      </c>
      <c r="BV54" s="113">
        <v>1006</v>
      </c>
      <c r="BW54" s="113">
        <v>731</v>
      </c>
      <c r="BX54" s="113">
        <v>1055</v>
      </c>
      <c r="BY54" s="113">
        <v>731</v>
      </c>
      <c r="BZ54" s="113">
        <v>1287</v>
      </c>
      <c r="CA54" s="113">
        <v>763</v>
      </c>
      <c r="CB54" s="113">
        <v>964</v>
      </c>
      <c r="CC54" s="113">
        <v>1014</v>
      </c>
      <c r="CD54" s="113">
        <v>1245</v>
      </c>
      <c r="CE54" s="113">
        <v>1706</v>
      </c>
      <c r="CF54" s="113">
        <v>1262</v>
      </c>
      <c r="CG54" s="113">
        <v>161</v>
      </c>
      <c r="CH54" s="113">
        <v>1411</v>
      </c>
      <c r="CI54" s="113">
        <v>1484</v>
      </c>
      <c r="CJ54" s="113">
        <v>1338</v>
      </c>
      <c r="CK54" s="113">
        <v>1430</v>
      </c>
      <c r="CL54" s="113">
        <v>1563</v>
      </c>
      <c r="CM54" s="113">
        <v>1179</v>
      </c>
      <c r="CN54" s="113">
        <v>2045</v>
      </c>
      <c r="CO54" s="113">
        <v>1249</v>
      </c>
      <c r="CP54" s="113">
        <v>1927</v>
      </c>
      <c r="CQ54" s="113">
        <v>2113</v>
      </c>
      <c r="CR54" s="113">
        <v>422</v>
      </c>
      <c r="CS54" s="113">
        <v>1671</v>
      </c>
      <c r="CT54" s="113">
        <v>1618</v>
      </c>
      <c r="CU54" s="113">
        <v>1464</v>
      </c>
      <c r="CV54" s="113">
        <v>1073</v>
      </c>
      <c r="CW54" s="113">
        <v>1097</v>
      </c>
      <c r="CX54" s="113">
        <v>1191</v>
      </c>
      <c r="CY54" s="113">
        <v>2221</v>
      </c>
      <c r="CZ54" s="113">
        <v>1335</v>
      </c>
      <c r="DA54" s="113">
        <v>1506</v>
      </c>
      <c r="DB54" s="113">
        <v>1820</v>
      </c>
      <c r="DC54" s="113">
        <v>1863</v>
      </c>
      <c r="DD54" s="113">
        <v>793</v>
      </c>
      <c r="DE54" s="113">
        <v>445</v>
      </c>
      <c r="DF54" s="113">
        <v>1568</v>
      </c>
      <c r="DG54" s="113">
        <v>1615</v>
      </c>
      <c r="DH54" s="113">
        <v>1255</v>
      </c>
      <c r="DI54" s="113">
        <v>851</v>
      </c>
      <c r="DJ54" s="113">
        <v>1068</v>
      </c>
      <c r="DK54" s="113">
        <v>1393</v>
      </c>
      <c r="DL54" s="113">
        <v>1548</v>
      </c>
      <c r="DM54" s="113">
        <v>1180</v>
      </c>
      <c r="DN54" s="113">
        <v>1164</v>
      </c>
      <c r="DO54" s="113">
        <v>1320</v>
      </c>
      <c r="DP54" s="113">
        <v>1297</v>
      </c>
      <c r="DQ54" s="113">
        <v>1965</v>
      </c>
      <c r="DR54" s="113">
        <v>1356</v>
      </c>
      <c r="DS54" s="113">
        <v>1987</v>
      </c>
      <c r="DT54" s="113">
        <v>1532</v>
      </c>
      <c r="DU54" s="113">
        <v>1439</v>
      </c>
      <c r="DV54" s="113">
        <v>611</v>
      </c>
      <c r="DW54" s="113">
        <v>837</v>
      </c>
      <c r="DX54" s="113">
        <v>1280</v>
      </c>
      <c r="DY54" s="113">
        <v>225</v>
      </c>
      <c r="DZ54" s="113">
        <v>1160</v>
      </c>
      <c r="EA54" s="113">
        <v>1755</v>
      </c>
      <c r="EB54" s="113">
        <v>1608</v>
      </c>
      <c r="EC54" s="113">
        <v>-111</v>
      </c>
      <c r="ED54" s="113">
        <v>1408</v>
      </c>
      <c r="EE54" s="113">
        <v>15471</v>
      </c>
      <c r="EF54" s="113">
        <v>1217</v>
      </c>
      <c r="EG54" s="113">
        <v>1807</v>
      </c>
      <c r="EH54" s="113">
        <v>1397</v>
      </c>
      <c r="EI54" s="113">
        <v>1965</v>
      </c>
      <c r="EJ54" s="113">
        <v>1677</v>
      </c>
      <c r="EK54" s="113">
        <v>-591</v>
      </c>
      <c r="EL54" s="113">
        <v>2008</v>
      </c>
      <c r="EM54" s="113">
        <v>2436</v>
      </c>
      <c r="EN54" s="113">
        <v>2091</v>
      </c>
    </row>
    <row r="55" spans="1:144" ht="10.5">
      <c r="A55" s="112" t="s">
        <v>2187</v>
      </c>
      <c r="B55" s="114">
        <v>463</v>
      </c>
      <c r="C55" s="114">
        <v>708</v>
      </c>
      <c r="D55" s="114">
        <v>953</v>
      </c>
      <c r="E55" s="114">
        <v>1146</v>
      </c>
      <c r="F55" s="114">
        <v>1453</v>
      </c>
      <c r="G55" s="114">
        <v>2195</v>
      </c>
      <c r="H55" s="114">
        <v>3454</v>
      </c>
      <c r="I55" s="114">
        <v>4490</v>
      </c>
      <c r="J55" s="114">
        <v>7785</v>
      </c>
      <c r="K55" s="114">
        <v>9421</v>
      </c>
      <c r="L55" s="114">
        <v>7721</v>
      </c>
      <c r="M55" s="114">
        <v>5355</v>
      </c>
      <c r="N55" s="114">
        <v>7531</v>
      </c>
      <c r="O55" s="114">
        <v>8168</v>
      </c>
      <c r="P55" s="114">
        <v>12254</v>
      </c>
      <c r="Q55" s="114">
        <v>12599</v>
      </c>
      <c r="R55" s="114">
        <v>14065</v>
      </c>
      <c r="S55" s="114">
        <v>17681</v>
      </c>
      <c r="T55" s="114">
        <v>14569</v>
      </c>
      <c r="U55" s="114">
        <v>18760</v>
      </c>
      <c r="V55" s="114">
        <v>23150</v>
      </c>
      <c r="W55" s="114">
        <v>16978</v>
      </c>
      <c r="X55" s="114">
        <v>21863</v>
      </c>
      <c r="Y55" s="114">
        <v>22074</v>
      </c>
      <c r="Z55" s="114">
        <v>12193</v>
      </c>
      <c r="AA55" s="114">
        <v>20539</v>
      </c>
      <c r="AB55" s="114">
        <v>25489</v>
      </c>
      <c r="AC55" s="114">
        <v>16571</v>
      </c>
      <c r="AD55" s="114">
        <v>39240</v>
      </c>
      <c r="AE55" s="114">
        <v>46266</v>
      </c>
      <c r="AG55" s="112" t="s">
        <v>2187</v>
      </c>
      <c r="AH55" s="114">
        <v>222.5</v>
      </c>
      <c r="AI55" s="114">
        <v>236</v>
      </c>
      <c r="AJ55" s="114">
        <v>243</v>
      </c>
      <c r="AK55" s="114">
        <v>265</v>
      </c>
      <c r="AL55" s="114">
        <v>239</v>
      </c>
      <c r="AM55" s="114">
        <v>289</v>
      </c>
      <c r="AN55" s="114">
        <v>256</v>
      </c>
      <c r="AO55" s="114">
        <v>362</v>
      </c>
      <c r="AP55" s="114">
        <v>316</v>
      </c>
      <c r="AQ55" s="114">
        <v>373</v>
      </c>
      <c r="AR55" s="114">
        <v>396</v>
      </c>
      <c r="AS55" s="114">
        <v>368</v>
      </c>
      <c r="AT55" s="114">
        <v>499</v>
      </c>
      <c r="AU55" s="114">
        <v>575</v>
      </c>
      <c r="AV55" s="114">
        <v>562</v>
      </c>
      <c r="AW55" s="114">
        <v>559</v>
      </c>
      <c r="AX55" s="114">
        <v>614</v>
      </c>
      <c r="AY55" s="114">
        <v>741</v>
      </c>
      <c r="AZ55" s="114">
        <v>1042</v>
      </c>
      <c r="BA55" s="114">
        <v>1057</v>
      </c>
      <c r="BB55" s="114">
        <v>663</v>
      </c>
      <c r="BC55" s="114">
        <v>1133</v>
      </c>
      <c r="BD55" s="114">
        <v>1337</v>
      </c>
      <c r="BE55" s="114">
        <v>1357</v>
      </c>
      <c r="BF55" s="114">
        <v>1683</v>
      </c>
      <c r="BG55" s="114">
        <v>1983</v>
      </c>
      <c r="BH55" s="114">
        <v>1917</v>
      </c>
      <c r="BI55" s="114">
        <v>2202</v>
      </c>
      <c r="BJ55" s="114">
        <v>2191</v>
      </c>
      <c r="BK55" s="114">
        <v>2436</v>
      </c>
      <c r="BL55" s="114">
        <v>2385</v>
      </c>
      <c r="BM55" s="114">
        <v>2409</v>
      </c>
      <c r="BN55" s="114">
        <v>2581</v>
      </c>
      <c r="BO55" s="114">
        <v>2624</v>
      </c>
      <c r="BP55" s="114">
        <v>2451</v>
      </c>
      <c r="BQ55" s="114">
        <v>65</v>
      </c>
      <c r="BR55" s="114">
        <v>1283</v>
      </c>
      <c r="BS55" s="114">
        <v>2283</v>
      </c>
      <c r="BT55" s="114">
        <v>2738</v>
      </c>
      <c r="BU55" s="114">
        <v>1525</v>
      </c>
      <c r="BV55" s="114">
        <v>2041</v>
      </c>
      <c r="BW55" s="114">
        <v>1865</v>
      </c>
      <c r="BX55" s="114">
        <v>2142</v>
      </c>
      <c r="BY55" s="114">
        <v>1483</v>
      </c>
      <c r="BZ55" s="114">
        <v>2614</v>
      </c>
      <c r="CA55" s="114">
        <v>1549</v>
      </c>
      <c r="CB55" s="114">
        <v>1315</v>
      </c>
      <c r="CC55" s="114">
        <v>2690</v>
      </c>
      <c r="CD55" s="114">
        <v>2528</v>
      </c>
      <c r="CE55" s="114">
        <v>3463</v>
      </c>
      <c r="CF55" s="114">
        <v>2563</v>
      </c>
      <c r="CG55" s="114">
        <v>3700</v>
      </c>
      <c r="CH55" s="114">
        <v>3141</v>
      </c>
      <c r="CI55" s="114">
        <v>3653</v>
      </c>
      <c r="CJ55" s="114">
        <v>2977</v>
      </c>
      <c r="CK55" s="114">
        <v>2828</v>
      </c>
      <c r="CL55" s="114">
        <v>3478</v>
      </c>
      <c r="CM55" s="114">
        <v>2626</v>
      </c>
      <c r="CN55" s="114">
        <v>4926</v>
      </c>
      <c r="CO55" s="114">
        <v>3035</v>
      </c>
      <c r="CP55" s="114">
        <v>4289</v>
      </c>
      <c r="CQ55" s="114">
        <v>4707</v>
      </c>
      <c r="CR55" s="114">
        <v>4388</v>
      </c>
      <c r="CS55" s="114">
        <v>4297</v>
      </c>
      <c r="CT55" s="114">
        <v>4373</v>
      </c>
      <c r="CU55" s="114">
        <v>4174</v>
      </c>
      <c r="CV55" s="114">
        <v>2977</v>
      </c>
      <c r="CW55" s="114">
        <v>3045</v>
      </c>
      <c r="CX55" s="114">
        <v>3574</v>
      </c>
      <c r="CY55" s="114">
        <v>6662</v>
      </c>
      <c r="CZ55" s="114">
        <v>4006</v>
      </c>
      <c r="DA55" s="114">
        <v>4518</v>
      </c>
      <c r="DB55" s="114">
        <v>5410</v>
      </c>
      <c r="DC55" s="114">
        <v>6634</v>
      </c>
      <c r="DD55" s="114">
        <v>5232</v>
      </c>
      <c r="DE55" s="114">
        <v>5874</v>
      </c>
      <c r="DF55" s="114">
        <v>5738</v>
      </c>
      <c r="DG55" s="114">
        <v>6624</v>
      </c>
      <c r="DH55" s="114">
        <v>5108</v>
      </c>
      <c r="DI55" s="114">
        <v>-492</v>
      </c>
      <c r="DJ55" s="114">
        <v>4466</v>
      </c>
      <c r="DK55" s="114">
        <v>6377</v>
      </c>
      <c r="DL55" s="114">
        <v>6055</v>
      </c>
      <c r="DM55" s="114">
        <v>4965</v>
      </c>
      <c r="DN55" s="114">
        <v>5244</v>
      </c>
      <c r="DO55" s="114">
        <v>6558</v>
      </c>
      <c r="DP55" s="114">
        <v>5660</v>
      </c>
      <c r="DQ55" s="114">
        <v>4612</v>
      </c>
      <c r="DR55" s="114">
        <v>4540</v>
      </c>
      <c r="DS55" s="114">
        <v>5863</v>
      </c>
      <c r="DT55" s="114">
        <v>4985</v>
      </c>
      <c r="DU55" s="114">
        <v>-3195</v>
      </c>
      <c r="DV55" s="114">
        <v>4902</v>
      </c>
      <c r="DW55" s="114">
        <v>5018</v>
      </c>
      <c r="DX55" s="114">
        <v>3756</v>
      </c>
      <c r="DY55" s="114">
        <v>3122</v>
      </c>
      <c r="DZ55" s="114">
        <v>5667</v>
      </c>
      <c r="EA55" s="114">
        <v>6267</v>
      </c>
      <c r="EB55" s="114">
        <v>5486</v>
      </c>
      <c r="EC55" s="114">
        <v>8069</v>
      </c>
      <c r="ED55" s="114">
        <v>6576</v>
      </c>
      <c r="EE55" s="114">
        <v>-6302</v>
      </c>
      <c r="EF55" s="114">
        <v>7424</v>
      </c>
      <c r="EG55" s="114">
        <v>8873</v>
      </c>
      <c r="EH55" s="114">
        <v>8824</v>
      </c>
      <c r="EI55" s="114">
        <v>8420</v>
      </c>
      <c r="EJ55" s="114">
        <v>8809</v>
      </c>
      <c r="EK55" s="114">
        <v>13187</v>
      </c>
      <c r="EL55" s="114">
        <v>10678</v>
      </c>
      <c r="EM55" s="114">
        <v>11649</v>
      </c>
      <c r="EN55" s="114">
        <v>10752</v>
      </c>
    </row>
    <row r="56" spans="1:144">
      <c r="A56" s="103"/>
      <c r="B56" s="103"/>
      <c r="C56" s="103"/>
      <c r="D56" s="103"/>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c r="BF56" s="103"/>
      <c r="BG56" s="103"/>
      <c r="BH56" s="103"/>
      <c r="BI56" s="103"/>
      <c r="BJ56" s="103"/>
      <c r="BK56" s="103"/>
      <c r="BL56" s="103"/>
      <c r="BM56" s="103"/>
      <c r="BN56" s="103"/>
      <c r="BO56" s="103"/>
      <c r="BP56" s="103"/>
      <c r="BQ56" s="103"/>
      <c r="BR56" s="103"/>
      <c r="BS56" s="103"/>
      <c r="BT56" s="103"/>
      <c r="BU56" s="103"/>
      <c r="BV56" s="103"/>
      <c r="BW56" s="103"/>
      <c r="BX56" s="103"/>
      <c r="BY56" s="103"/>
      <c r="BZ56" s="103"/>
      <c r="CA56" s="103"/>
      <c r="CB56" s="103"/>
      <c r="CC56" s="103"/>
      <c r="CD56" s="103"/>
      <c r="CE56" s="103"/>
      <c r="CF56" s="103"/>
      <c r="CG56" s="103"/>
      <c r="CH56" s="103"/>
      <c r="CI56" s="103"/>
      <c r="CJ56" s="103"/>
      <c r="CK56" s="103"/>
      <c r="CL56" s="103"/>
      <c r="CM56" s="103"/>
      <c r="CN56" s="103"/>
      <c r="CO56" s="103"/>
      <c r="CP56" s="103"/>
      <c r="CQ56" s="103"/>
      <c r="CR56" s="103"/>
      <c r="CS56" s="103"/>
      <c r="CT56" s="103"/>
      <c r="CU56" s="103"/>
      <c r="CV56" s="103"/>
      <c r="CW56" s="103"/>
      <c r="CX56" s="103"/>
      <c r="CY56" s="103"/>
      <c r="CZ56" s="103"/>
      <c r="DA56" s="103"/>
      <c r="DB56" s="103"/>
      <c r="DC56" s="103"/>
      <c r="DD56" s="103"/>
      <c r="DE56" s="103"/>
      <c r="DF56" s="103"/>
      <c r="DG56" s="103"/>
      <c r="DH56" s="103"/>
      <c r="DI56" s="103"/>
      <c r="DJ56" s="103"/>
      <c r="DK56" s="103"/>
      <c r="DL56" s="103"/>
      <c r="DM56" s="103"/>
      <c r="DN56" s="103"/>
      <c r="DO56" s="103"/>
      <c r="DP56" s="103"/>
      <c r="DQ56" s="103"/>
      <c r="DR56" s="103"/>
      <c r="DS56" s="103"/>
      <c r="DT56" s="103"/>
      <c r="DU56" s="103"/>
      <c r="DV56" s="103"/>
      <c r="DW56" s="103"/>
      <c r="DX56" s="103"/>
      <c r="DY56" s="103"/>
      <c r="DZ56" s="103"/>
      <c r="EA56" s="103"/>
      <c r="EB56" s="103"/>
      <c r="EC56" s="103"/>
      <c r="ED56" s="103"/>
      <c r="EE56" s="103"/>
      <c r="EF56" s="103"/>
      <c r="EG56" s="103"/>
      <c r="EH56" s="103"/>
      <c r="EI56" s="103"/>
      <c r="EJ56" s="103"/>
      <c r="EK56" s="103"/>
      <c r="EL56" s="103"/>
      <c r="EM56" s="103"/>
      <c r="EN56" s="103"/>
    </row>
    <row r="57" spans="1:144">
      <c r="A57" s="103" t="s">
        <v>2188</v>
      </c>
      <c r="B57" s="113">
        <v>0</v>
      </c>
      <c r="C57" s="113">
        <v>0</v>
      </c>
      <c r="D57" s="113">
        <v>0</v>
      </c>
      <c r="E57" s="113">
        <v>0</v>
      </c>
      <c r="F57" s="113">
        <v>0</v>
      </c>
      <c r="G57" s="113">
        <v>0</v>
      </c>
      <c r="H57" s="113">
        <v>0</v>
      </c>
      <c r="I57" s="113">
        <v>0</v>
      </c>
      <c r="J57" s="113">
        <v>0</v>
      </c>
      <c r="K57" s="113">
        <v>0</v>
      </c>
      <c r="L57" s="113">
        <v>0</v>
      </c>
      <c r="M57" s="113">
        <v>0</v>
      </c>
      <c r="N57" s="113">
        <v>0</v>
      </c>
      <c r="O57" s="113">
        <v>0</v>
      </c>
      <c r="P57" s="113">
        <v>0</v>
      </c>
      <c r="Q57" s="113">
        <v>0</v>
      </c>
      <c r="R57" s="113">
        <v>0</v>
      </c>
      <c r="S57" s="113">
        <v>0</v>
      </c>
      <c r="T57" s="113">
        <v>0</v>
      </c>
      <c r="U57" s="113">
        <v>0</v>
      </c>
      <c r="V57" s="113">
        <v>0</v>
      </c>
      <c r="W57" s="113">
        <v>0</v>
      </c>
      <c r="X57" s="113">
        <v>0</v>
      </c>
      <c r="Y57" s="113">
        <v>0</v>
      </c>
      <c r="Z57" s="113">
        <v>0</v>
      </c>
      <c r="AA57" s="113">
        <v>0</v>
      </c>
      <c r="AB57" s="113">
        <v>0</v>
      </c>
      <c r="AC57" s="113">
        <v>0</v>
      </c>
      <c r="AD57" s="113">
        <v>0</v>
      </c>
      <c r="AE57" s="113">
        <v>0</v>
      </c>
      <c r="AG57" s="103" t="s">
        <v>2188</v>
      </c>
      <c r="AH57" s="113">
        <v>0</v>
      </c>
      <c r="AI57" s="113">
        <v>0</v>
      </c>
      <c r="AJ57" s="113">
        <v>0</v>
      </c>
      <c r="AK57" s="113">
        <v>0</v>
      </c>
      <c r="AL57" s="113">
        <v>0</v>
      </c>
      <c r="AM57" s="113">
        <v>0</v>
      </c>
      <c r="AN57" s="113">
        <v>0</v>
      </c>
      <c r="AO57" s="113">
        <v>0</v>
      </c>
      <c r="AP57" s="113">
        <v>0</v>
      </c>
      <c r="AQ57" s="113">
        <v>0</v>
      </c>
      <c r="AR57" s="113">
        <v>0</v>
      </c>
      <c r="AS57" s="113">
        <v>0</v>
      </c>
      <c r="AT57" s="113">
        <v>0</v>
      </c>
      <c r="AU57" s="113">
        <v>0</v>
      </c>
      <c r="AV57" s="113">
        <v>0</v>
      </c>
      <c r="AW57" s="113">
        <v>0</v>
      </c>
      <c r="AX57" s="113">
        <v>0</v>
      </c>
      <c r="AY57" s="113">
        <v>0</v>
      </c>
      <c r="AZ57" s="113">
        <v>0</v>
      </c>
      <c r="BA57" s="113">
        <v>0</v>
      </c>
      <c r="BB57" s="113">
        <v>0</v>
      </c>
      <c r="BC57" s="113">
        <v>0</v>
      </c>
      <c r="BD57" s="113">
        <v>0</v>
      </c>
      <c r="BE57" s="113">
        <v>0</v>
      </c>
      <c r="BF57" s="113">
        <v>0</v>
      </c>
      <c r="BG57" s="113">
        <v>0</v>
      </c>
      <c r="BH57" s="113">
        <v>0</v>
      </c>
      <c r="BI57" s="113">
        <v>0</v>
      </c>
      <c r="BJ57" s="113">
        <v>0</v>
      </c>
      <c r="BK57" s="113">
        <v>0</v>
      </c>
      <c r="BL57" s="113">
        <v>0</v>
      </c>
      <c r="BM57" s="113">
        <v>0</v>
      </c>
      <c r="BN57" s="113">
        <v>0</v>
      </c>
      <c r="BO57" s="113">
        <v>0</v>
      </c>
      <c r="BP57" s="113">
        <v>0</v>
      </c>
      <c r="BQ57" s="113">
        <v>0</v>
      </c>
      <c r="BR57" s="113">
        <v>0</v>
      </c>
      <c r="BS57" s="113">
        <v>0</v>
      </c>
      <c r="BT57" s="113">
        <v>0</v>
      </c>
      <c r="BU57" s="113">
        <v>0</v>
      </c>
      <c r="BV57" s="113">
        <v>0</v>
      </c>
      <c r="BW57" s="113">
        <v>0</v>
      </c>
      <c r="BX57" s="113">
        <v>0</v>
      </c>
      <c r="BY57" s="113">
        <v>0</v>
      </c>
      <c r="BZ57" s="113">
        <v>0</v>
      </c>
      <c r="CA57" s="113">
        <v>0</v>
      </c>
      <c r="CB57" s="113">
        <v>0</v>
      </c>
      <c r="CC57" s="113">
        <v>0</v>
      </c>
      <c r="CD57" s="113">
        <v>0</v>
      </c>
      <c r="CE57" s="113">
        <v>0</v>
      </c>
      <c r="CF57" s="113">
        <v>0</v>
      </c>
      <c r="CG57" s="113">
        <v>0</v>
      </c>
      <c r="CH57" s="113">
        <v>0</v>
      </c>
      <c r="CI57" s="113">
        <v>0</v>
      </c>
      <c r="CJ57" s="113">
        <v>0</v>
      </c>
      <c r="CK57" s="113">
        <v>0</v>
      </c>
      <c r="CL57" s="113">
        <v>0</v>
      </c>
      <c r="CM57" s="113">
        <v>0</v>
      </c>
      <c r="CN57" s="113">
        <v>0</v>
      </c>
      <c r="CO57" s="113">
        <v>0</v>
      </c>
      <c r="CP57" s="113">
        <v>0</v>
      </c>
      <c r="CQ57" s="113">
        <v>0</v>
      </c>
      <c r="CR57" s="113">
        <v>0</v>
      </c>
      <c r="CS57" s="113">
        <v>0</v>
      </c>
      <c r="CT57" s="113">
        <v>0</v>
      </c>
      <c r="CU57" s="113">
        <v>0</v>
      </c>
      <c r="CV57" s="113">
        <v>0</v>
      </c>
      <c r="CW57" s="113">
        <v>0</v>
      </c>
      <c r="CX57" s="113">
        <v>0</v>
      </c>
      <c r="CY57" s="113">
        <v>0</v>
      </c>
      <c r="CZ57" s="113">
        <v>0</v>
      </c>
      <c r="DA57" s="113">
        <v>0</v>
      </c>
      <c r="DB57" s="113">
        <v>0</v>
      </c>
      <c r="DC57" s="113">
        <v>0</v>
      </c>
      <c r="DD57" s="113">
        <v>0</v>
      </c>
      <c r="DE57" s="113">
        <v>0</v>
      </c>
      <c r="DF57" s="113">
        <v>0</v>
      </c>
      <c r="DG57" s="113">
        <v>0</v>
      </c>
      <c r="DH57" s="113">
        <v>0</v>
      </c>
      <c r="DI57" s="113">
        <v>0</v>
      </c>
      <c r="DJ57" s="113">
        <v>0</v>
      </c>
      <c r="DK57" s="113">
        <v>0</v>
      </c>
      <c r="DL57" s="113">
        <v>0</v>
      </c>
      <c r="DM57" s="113">
        <v>0</v>
      </c>
      <c r="DN57" s="113">
        <v>0</v>
      </c>
      <c r="DO57" s="113">
        <v>0</v>
      </c>
      <c r="DP57" s="113">
        <v>0</v>
      </c>
      <c r="DQ57" s="113">
        <v>0</v>
      </c>
      <c r="DR57" s="113">
        <v>0</v>
      </c>
      <c r="DS57" s="113">
        <v>0</v>
      </c>
      <c r="DT57" s="113">
        <v>0</v>
      </c>
      <c r="DU57" s="113">
        <v>0</v>
      </c>
      <c r="DV57" s="113">
        <v>0</v>
      </c>
      <c r="DW57" s="113">
        <v>0</v>
      </c>
      <c r="DX57" s="113">
        <v>0</v>
      </c>
      <c r="DY57" s="113">
        <v>0</v>
      </c>
      <c r="DZ57" s="113">
        <v>0</v>
      </c>
      <c r="EA57" s="113">
        <v>0</v>
      </c>
      <c r="EB57" s="113">
        <v>0</v>
      </c>
      <c r="EC57" s="113">
        <v>0</v>
      </c>
      <c r="ED57" s="113">
        <v>0</v>
      </c>
      <c r="EE57" s="113">
        <v>0</v>
      </c>
      <c r="EF57" s="113">
        <v>0</v>
      </c>
      <c r="EG57" s="113">
        <v>0</v>
      </c>
      <c r="EH57" s="113">
        <v>0</v>
      </c>
      <c r="EI57" s="113">
        <v>0</v>
      </c>
      <c r="EJ57" s="113">
        <v>0</v>
      </c>
      <c r="EK57" s="113">
        <v>0</v>
      </c>
      <c r="EL57" s="113">
        <v>0</v>
      </c>
      <c r="EM57" s="113">
        <v>0</v>
      </c>
      <c r="EN57" s="113">
        <v>0</v>
      </c>
    </row>
    <row r="58" spans="1:144">
      <c r="A58" s="103" t="s">
        <v>2189</v>
      </c>
      <c r="B58" s="113">
        <v>0</v>
      </c>
      <c r="C58" s="113">
        <v>0</v>
      </c>
      <c r="D58" s="113">
        <v>0</v>
      </c>
      <c r="E58" s="113">
        <v>0</v>
      </c>
      <c r="F58" s="113">
        <v>0</v>
      </c>
      <c r="G58" s="113">
        <v>0</v>
      </c>
      <c r="H58" s="113">
        <v>0</v>
      </c>
      <c r="I58" s="113">
        <v>0</v>
      </c>
      <c r="J58" s="113">
        <v>0</v>
      </c>
      <c r="K58" s="113">
        <v>0</v>
      </c>
      <c r="L58" s="113">
        <v>-375</v>
      </c>
      <c r="M58" s="113">
        <v>0</v>
      </c>
      <c r="N58" s="113">
        <v>0</v>
      </c>
      <c r="O58" s="113">
        <v>0</v>
      </c>
      <c r="P58" s="113">
        <v>0</v>
      </c>
      <c r="Q58" s="113">
        <v>0</v>
      </c>
      <c r="R58" s="113">
        <v>0</v>
      </c>
      <c r="S58" s="113">
        <v>0</v>
      </c>
      <c r="T58" s="113">
        <v>0</v>
      </c>
      <c r="U58" s="113">
        <v>0</v>
      </c>
      <c r="V58" s="113">
        <v>0</v>
      </c>
      <c r="W58" s="113">
        <v>0</v>
      </c>
      <c r="X58" s="113">
        <v>0</v>
      </c>
      <c r="Y58" s="113">
        <v>0</v>
      </c>
      <c r="Z58" s="113">
        <v>0</v>
      </c>
      <c r="AA58" s="113">
        <v>0</v>
      </c>
      <c r="AB58" s="113">
        <v>0</v>
      </c>
      <c r="AC58" s="113">
        <v>0</v>
      </c>
      <c r="AD58" s="113">
        <v>0</v>
      </c>
      <c r="AE58" s="113">
        <v>0</v>
      </c>
      <c r="AG58" s="103" t="s">
        <v>2189</v>
      </c>
      <c r="AH58" s="113">
        <v>0</v>
      </c>
      <c r="AI58" s="113">
        <v>0</v>
      </c>
      <c r="AJ58" s="113">
        <v>0</v>
      </c>
      <c r="AK58" s="113">
        <v>0</v>
      </c>
      <c r="AL58" s="113">
        <v>0</v>
      </c>
      <c r="AM58" s="113">
        <v>0</v>
      </c>
      <c r="AN58" s="113">
        <v>0</v>
      </c>
      <c r="AO58" s="113">
        <v>0</v>
      </c>
      <c r="AP58" s="113">
        <v>0</v>
      </c>
      <c r="AQ58" s="113">
        <v>0</v>
      </c>
      <c r="AR58" s="113">
        <v>0</v>
      </c>
      <c r="AS58" s="113">
        <v>0</v>
      </c>
      <c r="AT58" s="113">
        <v>0</v>
      </c>
      <c r="AU58" s="113">
        <v>0</v>
      </c>
      <c r="AV58" s="113">
        <v>0</v>
      </c>
      <c r="AW58" s="113">
        <v>0</v>
      </c>
      <c r="AX58" s="113">
        <v>0</v>
      </c>
      <c r="AY58" s="113">
        <v>0</v>
      </c>
      <c r="AZ58" s="113">
        <v>0</v>
      </c>
      <c r="BA58" s="113">
        <v>0</v>
      </c>
      <c r="BB58" s="113">
        <v>0</v>
      </c>
      <c r="BC58" s="113">
        <v>0</v>
      </c>
      <c r="BD58" s="113">
        <v>0</v>
      </c>
      <c r="BE58" s="113">
        <v>0</v>
      </c>
      <c r="BF58" s="113">
        <v>0</v>
      </c>
      <c r="BG58" s="113">
        <v>0</v>
      </c>
      <c r="BH58" s="113">
        <v>0</v>
      </c>
      <c r="BI58" s="113">
        <v>0</v>
      </c>
      <c r="BJ58" s="113">
        <v>0</v>
      </c>
      <c r="BK58" s="113">
        <v>0</v>
      </c>
      <c r="BL58" s="113">
        <v>0</v>
      </c>
      <c r="BM58" s="113">
        <v>0</v>
      </c>
      <c r="BN58" s="113">
        <v>-375</v>
      </c>
      <c r="BO58" s="113">
        <v>0</v>
      </c>
      <c r="BP58" s="113">
        <v>0</v>
      </c>
      <c r="BQ58" s="113">
        <v>0</v>
      </c>
      <c r="BR58" s="113">
        <v>0</v>
      </c>
      <c r="BS58" s="113">
        <v>0</v>
      </c>
      <c r="BT58" s="113">
        <v>0</v>
      </c>
      <c r="BU58" s="113">
        <v>0</v>
      </c>
      <c r="BV58" s="113">
        <v>0</v>
      </c>
      <c r="BW58" s="113">
        <v>0</v>
      </c>
      <c r="BX58" s="113">
        <v>0</v>
      </c>
      <c r="BY58" s="113">
        <v>0</v>
      </c>
      <c r="BZ58" s="113">
        <v>0</v>
      </c>
      <c r="CA58" s="113">
        <v>0</v>
      </c>
      <c r="CB58" s="113">
        <v>0</v>
      </c>
      <c r="CC58" s="113">
        <v>0</v>
      </c>
      <c r="CD58" s="113">
        <v>0</v>
      </c>
      <c r="CE58" s="113">
        <v>0</v>
      </c>
      <c r="CF58" s="113">
        <v>0</v>
      </c>
      <c r="CG58" s="113">
        <v>0</v>
      </c>
      <c r="CH58" s="113">
        <v>0</v>
      </c>
      <c r="CI58" s="113">
        <v>0</v>
      </c>
      <c r="CJ58" s="113">
        <v>0</v>
      </c>
      <c r="CK58" s="113">
        <v>0</v>
      </c>
      <c r="CL58" s="113">
        <v>0</v>
      </c>
      <c r="CM58" s="113">
        <v>0</v>
      </c>
      <c r="CN58" s="113">
        <v>0</v>
      </c>
      <c r="CO58" s="113">
        <v>0</v>
      </c>
      <c r="CP58" s="113">
        <v>0</v>
      </c>
      <c r="CQ58" s="113">
        <v>0</v>
      </c>
      <c r="CR58" s="113">
        <v>0</v>
      </c>
      <c r="CS58" s="113">
        <v>0</v>
      </c>
      <c r="CT58" s="113">
        <v>0</v>
      </c>
      <c r="CU58" s="113">
        <v>0</v>
      </c>
      <c r="CV58" s="113">
        <v>0</v>
      </c>
      <c r="CW58" s="113">
        <v>0</v>
      </c>
      <c r="CX58" s="113">
        <v>0</v>
      </c>
      <c r="CY58" s="113">
        <v>0</v>
      </c>
      <c r="CZ58" s="113">
        <v>0</v>
      </c>
      <c r="DA58" s="113">
        <v>0</v>
      </c>
      <c r="DB58" s="113">
        <v>0</v>
      </c>
      <c r="DC58" s="113">
        <v>0</v>
      </c>
      <c r="DD58" s="113">
        <v>0</v>
      </c>
      <c r="DE58" s="113">
        <v>0</v>
      </c>
      <c r="DF58" s="113">
        <v>0</v>
      </c>
      <c r="DG58" s="113">
        <v>0</v>
      </c>
      <c r="DH58" s="113">
        <v>0</v>
      </c>
      <c r="DI58" s="113">
        <v>0</v>
      </c>
      <c r="DJ58" s="113">
        <v>0</v>
      </c>
      <c r="DK58" s="113">
        <v>0</v>
      </c>
      <c r="DL58" s="113">
        <v>0</v>
      </c>
      <c r="DM58" s="113">
        <v>0</v>
      </c>
      <c r="DN58" s="113">
        <v>0</v>
      </c>
      <c r="DO58" s="113">
        <v>0</v>
      </c>
      <c r="DP58" s="113">
        <v>0</v>
      </c>
      <c r="DQ58" s="113">
        <v>0</v>
      </c>
      <c r="DR58" s="113">
        <v>0</v>
      </c>
      <c r="DS58" s="113">
        <v>0</v>
      </c>
      <c r="DT58" s="113">
        <v>0</v>
      </c>
      <c r="DU58" s="113">
        <v>0</v>
      </c>
      <c r="DV58" s="113">
        <v>0</v>
      </c>
      <c r="DW58" s="113">
        <v>0</v>
      </c>
      <c r="DX58" s="113">
        <v>0</v>
      </c>
      <c r="DY58" s="113">
        <v>0</v>
      </c>
      <c r="DZ58" s="113">
        <v>0</v>
      </c>
      <c r="EA58" s="113">
        <v>0</v>
      </c>
      <c r="EB58" s="113">
        <v>0</v>
      </c>
      <c r="EC58" s="113">
        <v>0</v>
      </c>
      <c r="ED58" s="113">
        <v>0</v>
      </c>
      <c r="EE58" s="113">
        <v>0</v>
      </c>
      <c r="EF58" s="113">
        <v>0</v>
      </c>
      <c r="EG58" s="113">
        <v>0</v>
      </c>
      <c r="EH58" s="113">
        <v>0</v>
      </c>
      <c r="EI58" s="113">
        <v>0</v>
      </c>
      <c r="EJ58" s="113">
        <v>0</v>
      </c>
      <c r="EK58" s="113">
        <v>0</v>
      </c>
      <c r="EL58" s="113">
        <v>0</v>
      </c>
      <c r="EM58" s="113">
        <v>0</v>
      </c>
      <c r="EN58" s="113">
        <v>0</v>
      </c>
    </row>
    <row r="59" spans="1:144" ht="10.5">
      <c r="A59" s="112" t="s">
        <v>2190</v>
      </c>
      <c r="B59" s="114">
        <v>463</v>
      </c>
      <c r="C59" s="114">
        <v>708</v>
      </c>
      <c r="D59" s="114">
        <v>953</v>
      </c>
      <c r="E59" s="114">
        <v>1146</v>
      </c>
      <c r="F59" s="114">
        <v>1453</v>
      </c>
      <c r="G59" s="114">
        <v>2195</v>
      </c>
      <c r="H59" s="114">
        <v>3454</v>
      </c>
      <c r="I59" s="114">
        <v>4490</v>
      </c>
      <c r="J59" s="114">
        <v>7785</v>
      </c>
      <c r="K59" s="114">
        <v>9421</v>
      </c>
      <c r="L59" s="114">
        <v>7346</v>
      </c>
      <c r="M59" s="114">
        <v>5355</v>
      </c>
      <c r="N59" s="114">
        <v>7531</v>
      </c>
      <c r="O59" s="114">
        <v>8168</v>
      </c>
      <c r="P59" s="114">
        <v>12254</v>
      </c>
      <c r="Q59" s="114">
        <v>12599</v>
      </c>
      <c r="R59" s="114">
        <v>14065</v>
      </c>
      <c r="S59" s="114">
        <v>17681</v>
      </c>
      <c r="T59" s="114">
        <v>14569</v>
      </c>
      <c r="U59" s="114">
        <v>18760</v>
      </c>
      <c r="V59" s="114">
        <v>23150</v>
      </c>
      <c r="W59" s="114">
        <v>16978</v>
      </c>
      <c r="X59" s="114">
        <v>21863</v>
      </c>
      <c r="Y59" s="114">
        <v>22074</v>
      </c>
      <c r="Z59" s="114">
        <v>12193</v>
      </c>
      <c r="AA59" s="114">
        <v>20539</v>
      </c>
      <c r="AB59" s="114">
        <v>25489</v>
      </c>
      <c r="AC59" s="114">
        <v>16571</v>
      </c>
      <c r="AD59" s="114">
        <v>39240</v>
      </c>
      <c r="AE59" s="114">
        <v>46266</v>
      </c>
      <c r="AG59" s="112" t="s">
        <v>2190</v>
      </c>
      <c r="AH59" s="114">
        <v>222.5</v>
      </c>
      <c r="AI59" s="114">
        <v>236</v>
      </c>
      <c r="AJ59" s="114">
        <v>243</v>
      </c>
      <c r="AK59" s="114">
        <v>265</v>
      </c>
      <c r="AL59" s="114">
        <v>239</v>
      </c>
      <c r="AM59" s="114">
        <v>289</v>
      </c>
      <c r="AN59" s="114">
        <v>256</v>
      </c>
      <c r="AO59" s="114">
        <v>362</v>
      </c>
      <c r="AP59" s="114">
        <v>316</v>
      </c>
      <c r="AQ59" s="114">
        <v>373</v>
      </c>
      <c r="AR59" s="114">
        <v>396</v>
      </c>
      <c r="AS59" s="114">
        <v>368</v>
      </c>
      <c r="AT59" s="114">
        <v>499</v>
      </c>
      <c r="AU59" s="114">
        <v>575</v>
      </c>
      <c r="AV59" s="114">
        <v>562</v>
      </c>
      <c r="AW59" s="114">
        <v>559</v>
      </c>
      <c r="AX59" s="114">
        <v>614</v>
      </c>
      <c r="AY59" s="114">
        <v>741</v>
      </c>
      <c r="AZ59" s="114">
        <v>1042</v>
      </c>
      <c r="BA59" s="114">
        <v>1057</v>
      </c>
      <c r="BB59" s="114">
        <v>663</v>
      </c>
      <c r="BC59" s="114">
        <v>1133</v>
      </c>
      <c r="BD59" s="114">
        <v>1337</v>
      </c>
      <c r="BE59" s="114">
        <v>1357</v>
      </c>
      <c r="BF59" s="114">
        <v>1683</v>
      </c>
      <c r="BG59" s="114">
        <v>1983</v>
      </c>
      <c r="BH59" s="114">
        <v>1917</v>
      </c>
      <c r="BI59" s="114">
        <v>2202</v>
      </c>
      <c r="BJ59" s="114">
        <v>2191</v>
      </c>
      <c r="BK59" s="114">
        <v>2436</v>
      </c>
      <c r="BL59" s="114">
        <v>2385</v>
      </c>
      <c r="BM59" s="114">
        <v>2409</v>
      </c>
      <c r="BN59" s="114">
        <v>2206</v>
      </c>
      <c r="BO59" s="114">
        <v>2624</v>
      </c>
      <c r="BP59" s="114">
        <v>2451</v>
      </c>
      <c r="BQ59" s="114">
        <v>65</v>
      </c>
      <c r="BR59" s="114">
        <v>1283</v>
      </c>
      <c r="BS59" s="114">
        <v>2283</v>
      </c>
      <c r="BT59" s="114">
        <v>2738</v>
      </c>
      <c r="BU59" s="114">
        <v>1525</v>
      </c>
      <c r="BV59" s="114">
        <v>2041</v>
      </c>
      <c r="BW59" s="114">
        <v>1865</v>
      </c>
      <c r="BX59" s="114">
        <v>2142</v>
      </c>
      <c r="BY59" s="114">
        <v>1483</v>
      </c>
      <c r="BZ59" s="114">
        <v>2614</v>
      </c>
      <c r="CA59" s="114">
        <v>1549</v>
      </c>
      <c r="CB59" s="114">
        <v>1315</v>
      </c>
      <c r="CC59" s="114">
        <v>2690</v>
      </c>
      <c r="CD59" s="114">
        <v>2528</v>
      </c>
      <c r="CE59" s="114">
        <v>3463</v>
      </c>
      <c r="CF59" s="114">
        <v>2563</v>
      </c>
      <c r="CG59" s="114">
        <v>3700</v>
      </c>
      <c r="CH59" s="114">
        <v>3141</v>
      </c>
      <c r="CI59" s="114">
        <v>3653</v>
      </c>
      <c r="CJ59" s="114">
        <v>2977</v>
      </c>
      <c r="CK59" s="114">
        <v>2828</v>
      </c>
      <c r="CL59" s="114">
        <v>3478</v>
      </c>
      <c r="CM59" s="114">
        <v>2626</v>
      </c>
      <c r="CN59" s="114">
        <v>4926</v>
      </c>
      <c r="CO59" s="114">
        <v>3035</v>
      </c>
      <c r="CP59" s="114">
        <v>4289</v>
      </c>
      <c r="CQ59" s="114">
        <v>4707</v>
      </c>
      <c r="CR59" s="114">
        <v>4388</v>
      </c>
      <c r="CS59" s="114">
        <v>4297</v>
      </c>
      <c r="CT59" s="114">
        <v>4373</v>
      </c>
      <c r="CU59" s="114">
        <v>4174</v>
      </c>
      <c r="CV59" s="114">
        <v>2977</v>
      </c>
      <c r="CW59" s="114">
        <v>3045</v>
      </c>
      <c r="CX59" s="114">
        <v>3574</v>
      </c>
      <c r="CY59" s="114">
        <v>6662</v>
      </c>
      <c r="CZ59" s="114">
        <v>4006</v>
      </c>
      <c r="DA59" s="114">
        <v>4518</v>
      </c>
      <c r="DB59" s="114">
        <v>5410</v>
      </c>
      <c r="DC59" s="114">
        <v>6634</v>
      </c>
      <c r="DD59" s="114">
        <v>5232</v>
      </c>
      <c r="DE59" s="114">
        <v>5874</v>
      </c>
      <c r="DF59" s="114">
        <v>5738</v>
      </c>
      <c r="DG59" s="114">
        <v>6624</v>
      </c>
      <c r="DH59" s="114">
        <v>5108</v>
      </c>
      <c r="DI59" s="114">
        <v>-492</v>
      </c>
      <c r="DJ59" s="114">
        <v>4466</v>
      </c>
      <c r="DK59" s="114">
        <v>6377</v>
      </c>
      <c r="DL59" s="114">
        <v>6055</v>
      </c>
      <c r="DM59" s="114">
        <v>4965</v>
      </c>
      <c r="DN59" s="114">
        <v>5244</v>
      </c>
      <c r="DO59" s="114">
        <v>6558</v>
      </c>
      <c r="DP59" s="114">
        <v>5660</v>
      </c>
      <c r="DQ59" s="114">
        <v>4612</v>
      </c>
      <c r="DR59" s="114">
        <v>4540</v>
      </c>
      <c r="DS59" s="114">
        <v>5863</v>
      </c>
      <c r="DT59" s="114">
        <v>4985</v>
      </c>
      <c r="DU59" s="114">
        <v>-3195</v>
      </c>
      <c r="DV59" s="114">
        <v>4902</v>
      </c>
      <c r="DW59" s="114">
        <v>5018</v>
      </c>
      <c r="DX59" s="114">
        <v>3756</v>
      </c>
      <c r="DY59" s="114">
        <v>3122</v>
      </c>
      <c r="DZ59" s="114">
        <v>5667</v>
      </c>
      <c r="EA59" s="114">
        <v>6267</v>
      </c>
      <c r="EB59" s="114">
        <v>5486</v>
      </c>
      <c r="EC59" s="114">
        <v>8069</v>
      </c>
      <c r="ED59" s="114">
        <v>6576</v>
      </c>
      <c r="EE59" s="114">
        <v>-6302</v>
      </c>
      <c r="EF59" s="114">
        <v>7424</v>
      </c>
      <c r="EG59" s="114">
        <v>8873</v>
      </c>
      <c r="EH59" s="114">
        <v>8824</v>
      </c>
      <c r="EI59" s="114">
        <v>8420</v>
      </c>
      <c r="EJ59" s="114">
        <v>8809</v>
      </c>
      <c r="EK59" s="114">
        <v>13187</v>
      </c>
      <c r="EL59" s="114">
        <v>10678</v>
      </c>
      <c r="EM59" s="114">
        <v>11649</v>
      </c>
      <c r="EN59" s="114">
        <v>10752</v>
      </c>
    </row>
    <row r="60" spans="1:144">
      <c r="A60" s="103"/>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c r="CF60" s="103"/>
      <c r="CG60" s="103"/>
      <c r="CH60" s="103"/>
      <c r="CI60" s="103"/>
      <c r="CJ60" s="103"/>
      <c r="CK60" s="103"/>
      <c r="CL60" s="103"/>
      <c r="CM60" s="103"/>
      <c r="CN60" s="103"/>
      <c r="CO60" s="103"/>
      <c r="CP60" s="103"/>
      <c r="CQ60" s="103"/>
      <c r="CR60" s="103"/>
      <c r="CS60" s="103"/>
      <c r="CT60" s="103"/>
      <c r="CU60" s="103"/>
      <c r="CV60" s="103"/>
      <c r="CW60" s="103"/>
      <c r="CX60" s="103"/>
      <c r="CY60" s="103"/>
      <c r="CZ60" s="103"/>
      <c r="DA60" s="103"/>
      <c r="DB60" s="103"/>
      <c r="DC60" s="103"/>
      <c r="DD60" s="103"/>
      <c r="DE60" s="103"/>
      <c r="DF60" s="103"/>
      <c r="DG60" s="103"/>
      <c r="DH60" s="103"/>
      <c r="DI60" s="103"/>
      <c r="DJ60" s="103"/>
      <c r="DK60" s="103"/>
      <c r="DL60" s="103"/>
      <c r="DM60" s="103"/>
      <c r="DN60" s="103"/>
      <c r="DO60" s="103"/>
      <c r="DP60" s="103"/>
      <c r="DQ60" s="103"/>
      <c r="DR60" s="103"/>
      <c r="DS60" s="103"/>
      <c r="DT60" s="103"/>
      <c r="DU60" s="103"/>
      <c r="DV60" s="103"/>
      <c r="DW60" s="103"/>
      <c r="DX60" s="103"/>
      <c r="DY60" s="103"/>
      <c r="DZ60" s="103"/>
      <c r="EA60" s="103"/>
      <c r="EB60" s="103"/>
      <c r="EC60" s="103"/>
      <c r="ED60" s="103"/>
      <c r="EE60" s="103"/>
      <c r="EF60" s="103"/>
      <c r="EG60" s="103"/>
      <c r="EH60" s="103"/>
      <c r="EI60" s="103"/>
      <c r="EJ60" s="103"/>
      <c r="EK60" s="103"/>
      <c r="EL60" s="103"/>
      <c r="EM60" s="103"/>
      <c r="EN60" s="103"/>
    </row>
    <row r="61" spans="1:144">
      <c r="A61" s="103" t="s">
        <v>2191</v>
      </c>
      <c r="B61" s="113">
        <v>0</v>
      </c>
      <c r="C61" s="113">
        <v>0</v>
      </c>
      <c r="D61" s="113">
        <v>0</v>
      </c>
      <c r="E61" s="113">
        <v>0</v>
      </c>
      <c r="F61" s="113">
        <v>0</v>
      </c>
      <c r="G61" s="113">
        <v>0</v>
      </c>
      <c r="H61" s="113">
        <v>0</v>
      </c>
      <c r="I61" s="113">
        <v>0</v>
      </c>
      <c r="J61" s="113">
        <v>0</v>
      </c>
      <c r="K61" s="113">
        <v>0</v>
      </c>
      <c r="L61" s="113">
        <v>0</v>
      </c>
      <c r="M61" s="113">
        <v>0</v>
      </c>
      <c r="N61" s="113">
        <v>0</v>
      </c>
      <c r="O61" s="113">
        <v>0</v>
      </c>
      <c r="P61" s="113">
        <v>0</v>
      </c>
      <c r="Q61" s="113">
        <v>0</v>
      </c>
      <c r="R61" s="113">
        <v>0</v>
      </c>
      <c r="S61" s="113">
        <v>0</v>
      </c>
      <c r="T61" s="113">
        <v>0</v>
      </c>
      <c r="U61" s="113">
        <v>0</v>
      </c>
      <c r="V61" s="113">
        <v>0</v>
      </c>
      <c r="W61" s="113">
        <v>0</v>
      </c>
      <c r="X61" s="113">
        <v>0</v>
      </c>
      <c r="Y61" s="113">
        <v>0</v>
      </c>
      <c r="Z61" s="113">
        <v>0</v>
      </c>
      <c r="AA61" s="113">
        <v>0</v>
      </c>
      <c r="AB61" s="113">
        <v>0</v>
      </c>
      <c r="AC61" s="113">
        <v>0</v>
      </c>
      <c r="AD61" s="113">
        <v>0</v>
      </c>
      <c r="AE61" s="113">
        <v>0</v>
      </c>
      <c r="AG61" s="103" t="s">
        <v>2191</v>
      </c>
      <c r="AH61" s="113">
        <v>0</v>
      </c>
      <c r="AI61" s="113">
        <v>0</v>
      </c>
      <c r="AJ61" s="113">
        <v>0</v>
      </c>
      <c r="AK61" s="113">
        <v>0</v>
      </c>
      <c r="AL61" s="113">
        <v>0</v>
      </c>
      <c r="AM61" s="113">
        <v>0</v>
      </c>
      <c r="AN61" s="113">
        <v>0</v>
      </c>
      <c r="AO61" s="113">
        <v>0</v>
      </c>
      <c r="AP61" s="113">
        <v>0</v>
      </c>
      <c r="AQ61" s="113">
        <v>0</v>
      </c>
      <c r="AR61" s="113">
        <v>0</v>
      </c>
      <c r="AS61" s="113">
        <v>0</v>
      </c>
      <c r="AT61" s="113">
        <v>0</v>
      </c>
      <c r="AU61" s="113">
        <v>0</v>
      </c>
      <c r="AV61" s="113">
        <v>0</v>
      </c>
      <c r="AW61" s="113">
        <v>0</v>
      </c>
      <c r="AX61" s="113">
        <v>0</v>
      </c>
      <c r="AY61" s="113">
        <v>0</v>
      </c>
      <c r="AZ61" s="113">
        <v>0</v>
      </c>
      <c r="BA61" s="113">
        <v>0</v>
      </c>
      <c r="BB61" s="113">
        <v>0</v>
      </c>
      <c r="BC61" s="113">
        <v>0</v>
      </c>
      <c r="BD61" s="113">
        <v>0</v>
      </c>
      <c r="BE61" s="113">
        <v>0</v>
      </c>
      <c r="BF61" s="113">
        <v>0</v>
      </c>
      <c r="BG61" s="113">
        <v>0</v>
      </c>
      <c r="BH61" s="113">
        <v>0</v>
      </c>
      <c r="BI61" s="113">
        <v>0</v>
      </c>
      <c r="BJ61" s="113">
        <v>0</v>
      </c>
      <c r="BK61" s="113">
        <v>0</v>
      </c>
      <c r="BL61" s="113">
        <v>0</v>
      </c>
      <c r="BM61" s="113">
        <v>0</v>
      </c>
      <c r="BN61" s="113">
        <v>0</v>
      </c>
      <c r="BO61" s="113">
        <v>0</v>
      </c>
      <c r="BP61" s="113">
        <v>0</v>
      </c>
      <c r="BQ61" s="113">
        <v>0</v>
      </c>
      <c r="BR61" s="113">
        <v>0</v>
      </c>
      <c r="BS61" s="113">
        <v>0</v>
      </c>
      <c r="BT61" s="113">
        <v>0</v>
      </c>
      <c r="BU61" s="113">
        <v>0</v>
      </c>
      <c r="BV61" s="113">
        <v>0</v>
      </c>
      <c r="BW61" s="113">
        <v>0</v>
      </c>
      <c r="BX61" s="113">
        <v>0</v>
      </c>
      <c r="BY61" s="113">
        <v>0</v>
      </c>
      <c r="BZ61" s="113">
        <v>0</v>
      </c>
      <c r="CA61" s="113">
        <v>0</v>
      </c>
      <c r="CB61" s="113">
        <v>0</v>
      </c>
      <c r="CC61" s="113">
        <v>0</v>
      </c>
      <c r="CD61" s="113">
        <v>0</v>
      </c>
      <c r="CE61" s="113">
        <v>0</v>
      </c>
      <c r="CF61" s="113">
        <v>0</v>
      </c>
      <c r="CG61" s="113">
        <v>0</v>
      </c>
      <c r="CH61" s="113">
        <v>0</v>
      </c>
      <c r="CI61" s="113">
        <v>0</v>
      </c>
      <c r="CJ61" s="113">
        <v>0</v>
      </c>
      <c r="CK61" s="113">
        <v>0</v>
      </c>
      <c r="CL61" s="113">
        <v>0</v>
      </c>
      <c r="CM61" s="113">
        <v>0</v>
      </c>
      <c r="CN61" s="113">
        <v>0</v>
      </c>
      <c r="CO61" s="113">
        <v>0</v>
      </c>
      <c r="CP61" s="113">
        <v>0</v>
      </c>
      <c r="CQ61" s="113">
        <v>0</v>
      </c>
      <c r="CR61" s="113">
        <v>0</v>
      </c>
      <c r="CS61" s="113">
        <v>0</v>
      </c>
      <c r="CT61" s="113">
        <v>0</v>
      </c>
      <c r="CU61" s="113">
        <v>0</v>
      </c>
      <c r="CV61" s="113">
        <v>0</v>
      </c>
      <c r="CW61" s="113">
        <v>0</v>
      </c>
      <c r="CX61" s="113">
        <v>0</v>
      </c>
      <c r="CY61" s="113">
        <v>0</v>
      </c>
      <c r="CZ61" s="113">
        <v>0</v>
      </c>
      <c r="DA61" s="113">
        <v>0</v>
      </c>
      <c r="DB61" s="113">
        <v>0</v>
      </c>
      <c r="DC61" s="113">
        <v>0</v>
      </c>
      <c r="DD61" s="113">
        <v>0</v>
      </c>
      <c r="DE61" s="113">
        <v>0</v>
      </c>
      <c r="DF61" s="113">
        <v>0</v>
      </c>
      <c r="DG61" s="113">
        <v>0</v>
      </c>
      <c r="DH61" s="113">
        <v>0</v>
      </c>
      <c r="DI61" s="113">
        <v>0</v>
      </c>
      <c r="DJ61" s="113">
        <v>0</v>
      </c>
      <c r="DK61" s="113">
        <v>0</v>
      </c>
      <c r="DL61" s="113">
        <v>0</v>
      </c>
      <c r="DM61" s="113">
        <v>0</v>
      </c>
      <c r="DN61" s="113">
        <v>0</v>
      </c>
      <c r="DO61" s="113">
        <v>0</v>
      </c>
      <c r="DP61" s="113">
        <v>0</v>
      </c>
      <c r="DQ61" s="113">
        <v>0</v>
      </c>
      <c r="DR61" s="113">
        <v>0</v>
      </c>
      <c r="DS61" s="113">
        <v>0</v>
      </c>
      <c r="DT61" s="113">
        <v>0</v>
      </c>
      <c r="DU61" s="113">
        <v>0</v>
      </c>
      <c r="DV61" s="113">
        <v>0</v>
      </c>
      <c r="DW61" s="113">
        <v>0</v>
      </c>
      <c r="DX61" s="113">
        <v>0</v>
      </c>
      <c r="DY61" s="113">
        <v>0</v>
      </c>
      <c r="DZ61" s="113">
        <v>0</v>
      </c>
      <c r="EA61" s="113">
        <v>0</v>
      </c>
      <c r="EB61" s="113">
        <v>0</v>
      </c>
      <c r="EC61" s="113">
        <v>0</v>
      </c>
      <c r="ED61" s="113">
        <v>0</v>
      </c>
      <c r="EE61" s="113">
        <v>0</v>
      </c>
      <c r="EF61" s="113">
        <v>0</v>
      </c>
      <c r="EG61" s="113">
        <v>0</v>
      </c>
      <c r="EH61" s="113">
        <v>0</v>
      </c>
      <c r="EI61" s="113">
        <v>0</v>
      </c>
      <c r="EJ61" s="113">
        <v>0</v>
      </c>
      <c r="EK61" s="113">
        <v>0</v>
      </c>
      <c r="EL61" s="113">
        <v>0</v>
      </c>
      <c r="EM61" s="113">
        <v>0</v>
      </c>
      <c r="EN61" s="113">
        <v>0</v>
      </c>
    </row>
    <row r="62" spans="1:144" ht="10.5">
      <c r="A62" s="112" t="s">
        <v>2192</v>
      </c>
      <c r="B62" s="116">
        <v>463</v>
      </c>
      <c r="C62" s="116">
        <v>708</v>
      </c>
      <c r="D62" s="116">
        <v>953</v>
      </c>
      <c r="E62" s="116">
        <v>1146</v>
      </c>
      <c r="F62" s="116">
        <v>1453</v>
      </c>
      <c r="G62" s="116">
        <v>2195</v>
      </c>
      <c r="H62" s="116">
        <v>3454</v>
      </c>
      <c r="I62" s="116">
        <v>4490</v>
      </c>
      <c r="J62" s="116">
        <v>7785</v>
      </c>
      <c r="K62" s="116">
        <v>9421</v>
      </c>
      <c r="L62" s="116">
        <v>7346</v>
      </c>
      <c r="M62" s="116">
        <v>5355</v>
      </c>
      <c r="N62" s="116">
        <v>7531</v>
      </c>
      <c r="O62" s="116">
        <v>8168</v>
      </c>
      <c r="P62" s="116">
        <v>12254</v>
      </c>
      <c r="Q62" s="116">
        <v>12599</v>
      </c>
      <c r="R62" s="116">
        <v>14065</v>
      </c>
      <c r="S62" s="116">
        <v>17681</v>
      </c>
      <c r="T62" s="116">
        <v>14569</v>
      </c>
      <c r="U62" s="116">
        <v>18760</v>
      </c>
      <c r="V62" s="116">
        <v>23150</v>
      </c>
      <c r="W62" s="116">
        <v>16978</v>
      </c>
      <c r="X62" s="116">
        <v>21863</v>
      </c>
      <c r="Y62" s="116">
        <v>22074</v>
      </c>
      <c r="Z62" s="116">
        <v>12193</v>
      </c>
      <c r="AA62" s="116">
        <v>20539</v>
      </c>
      <c r="AB62" s="116">
        <v>25489</v>
      </c>
      <c r="AC62" s="116">
        <v>16571</v>
      </c>
      <c r="AD62" s="116">
        <v>39240</v>
      </c>
      <c r="AE62" s="116">
        <v>46266</v>
      </c>
      <c r="AG62" s="112" t="s">
        <v>2192</v>
      </c>
      <c r="AH62" s="116">
        <v>222.5</v>
      </c>
      <c r="AI62" s="116">
        <v>236</v>
      </c>
      <c r="AJ62" s="116">
        <v>243</v>
      </c>
      <c r="AK62" s="116">
        <v>265</v>
      </c>
      <c r="AL62" s="116">
        <v>239</v>
      </c>
      <c r="AM62" s="116">
        <v>289</v>
      </c>
      <c r="AN62" s="116">
        <v>256</v>
      </c>
      <c r="AO62" s="116">
        <v>362</v>
      </c>
      <c r="AP62" s="116">
        <v>316</v>
      </c>
      <c r="AQ62" s="116">
        <v>373</v>
      </c>
      <c r="AR62" s="116">
        <v>396</v>
      </c>
      <c r="AS62" s="116">
        <v>368</v>
      </c>
      <c r="AT62" s="116">
        <v>499</v>
      </c>
      <c r="AU62" s="116">
        <v>575</v>
      </c>
      <c r="AV62" s="116">
        <v>562</v>
      </c>
      <c r="AW62" s="116">
        <v>559</v>
      </c>
      <c r="AX62" s="116">
        <v>614</v>
      </c>
      <c r="AY62" s="116">
        <v>741</v>
      </c>
      <c r="AZ62" s="116">
        <v>1042</v>
      </c>
      <c r="BA62" s="116">
        <v>1057</v>
      </c>
      <c r="BB62" s="116">
        <v>663</v>
      </c>
      <c r="BC62" s="116">
        <v>1133</v>
      </c>
      <c r="BD62" s="116">
        <v>1337</v>
      </c>
      <c r="BE62" s="116">
        <v>1357</v>
      </c>
      <c r="BF62" s="116">
        <v>1683</v>
      </c>
      <c r="BG62" s="116">
        <v>1983</v>
      </c>
      <c r="BH62" s="116">
        <v>1917</v>
      </c>
      <c r="BI62" s="116">
        <v>2202</v>
      </c>
      <c r="BJ62" s="116">
        <v>2191</v>
      </c>
      <c r="BK62" s="116">
        <v>2436</v>
      </c>
      <c r="BL62" s="116">
        <v>2385</v>
      </c>
      <c r="BM62" s="116">
        <v>2409</v>
      </c>
      <c r="BN62" s="116">
        <v>2206</v>
      </c>
      <c r="BO62" s="116">
        <v>2624</v>
      </c>
      <c r="BP62" s="116">
        <v>2451</v>
      </c>
      <c r="BQ62" s="116">
        <v>65</v>
      </c>
      <c r="BR62" s="116">
        <v>1283</v>
      </c>
      <c r="BS62" s="116">
        <v>2283</v>
      </c>
      <c r="BT62" s="116">
        <v>2738</v>
      </c>
      <c r="BU62" s="116">
        <v>1525</v>
      </c>
      <c r="BV62" s="116">
        <v>2041</v>
      </c>
      <c r="BW62" s="116">
        <v>1865</v>
      </c>
      <c r="BX62" s="116">
        <v>2142</v>
      </c>
      <c r="BY62" s="116">
        <v>1483</v>
      </c>
      <c r="BZ62" s="116">
        <v>2614</v>
      </c>
      <c r="CA62" s="116">
        <v>1549</v>
      </c>
      <c r="CB62" s="116">
        <v>1315</v>
      </c>
      <c r="CC62" s="116">
        <v>2690</v>
      </c>
      <c r="CD62" s="116">
        <v>2528</v>
      </c>
      <c r="CE62" s="116">
        <v>3463</v>
      </c>
      <c r="CF62" s="116">
        <v>2563</v>
      </c>
      <c r="CG62" s="116">
        <v>3700</v>
      </c>
      <c r="CH62" s="116">
        <v>3141</v>
      </c>
      <c r="CI62" s="116">
        <v>3653</v>
      </c>
      <c r="CJ62" s="116">
        <v>2977</v>
      </c>
      <c r="CK62" s="116">
        <v>2828</v>
      </c>
      <c r="CL62" s="116">
        <v>3478</v>
      </c>
      <c r="CM62" s="116">
        <v>2626</v>
      </c>
      <c r="CN62" s="116">
        <v>4926</v>
      </c>
      <c r="CO62" s="116">
        <v>3035</v>
      </c>
      <c r="CP62" s="116">
        <v>4289</v>
      </c>
      <c r="CQ62" s="116">
        <v>4707</v>
      </c>
      <c r="CR62" s="116">
        <v>4388</v>
      </c>
      <c r="CS62" s="116">
        <v>4297</v>
      </c>
      <c r="CT62" s="116">
        <v>4373</v>
      </c>
      <c r="CU62" s="116">
        <v>4174</v>
      </c>
      <c r="CV62" s="116">
        <v>2977</v>
      </c>
      <c r="CW62" s="116">
        <v>3045</v>
      </c>
      <c r="CX62" s="116">
        <v>3574</v>
      </c>
      <c r="CY62" s="116">
        <v>6662</v>
      </c>
      <c r="CZ62" s="116">
        <v>4006</v>
      </c>
      <c r="DA62" s="116">
        <v>4518</v>
      </c>
      <c r="DB62" s="116">
        <v>5410</v>
      </c>
      <c r="DC62" s="116">
        <v>6634</v>
      </c>
      <c r="DD62" s="116">
        <v>5232</v>
      </c>
      <c r="DE62" s="116">
        <v>5874</v>
      </c>
      <c r="DF62" s="116">
        <v>5738</v>
      </c>
      <c r="DG62" s="116">
        <v>6624</v>
      </c>
      <c r="DH62" s="116">
        <v>5108</v>
      </c>
      <c r="DI62" s="116">
        <v>-492</v>
      </c>
      <c r="DJ62" s="116">
        <v>4466</v>
      </c>
      <c r="DK62" s="116">
        <v>6377</v>
      </c>
      <c r="DL62" s="116">
        <v>6055</v>
      </c>
      <c r="DM62" s="116">
        <v>4965</v>
      </c>
      <c r="DN62" s="116">
        <v>5244</v>
      </c>
      <c r="DO62" s="116">
        <v>6558</v>
      </c>
      <c r="DP62" s="116">
        <v>5660</v>
      </c>
      <c r="DQ62" s="116">
        <v>4612</v>
      </c>
      <c r="DR62" s="116">
        <v>4540</v>
      </c>
      <c r="DS62" s="116">
        <v>5863</v>
      </c>
      <c r="DT62" s="116">
        <v>4985</v>
      </c>
      <c r="DU62" s="116">
        <v>-3195</v>
      </c>
      <c r="DV62" s="116">
        <v>4902</v>
      </c>
      <c r="DW62" s="116">
        <v>5018</v>
      </c>
      <c r="DX62" s="116">
        <v>3756</v>
      </c>
      <c r="DY62" s="116">
        <v>3122</v>
      </c>
      <c r="DZ62" s="116">
        <v>5667</v>
      </c>
      <c r="EA62" s="116">
        <v>6267</v>
      </c>
      <c r="EB62" s="116">
        <v>5486</v>
      </c>
      <c r="EC62" s="116">
        <v>8069</v>
      </c>
      <c r="ED62" s="116">
        <v>6576</v>
      </c>
      <c r="EE62" s="116">
        <v>-6302</v>
      </c>
      <c r="EF62" s="116">
        <v>7424</v>
      </c>
      <c r="EG62" s="116">
        <v>8873</v>
      </c>
      <c r="EH62" s="116">
        <v>8824</v>
      </c>
      <c r="EI62" s="116">
        <v>8420</v>
      </c>
      <c r="EJ62" s="116">
        <v>8809</v>
      </c>
      <c r="EK62" s="116">
        <v>13187</v>
      </c>
      <c r="EL62" s="116">
        <v>10678</v>
      </c>
      <c r="EM62" s="116">
        <v>11649</v>
      </c>
      <c r="EN62" s="116">
        <v>10752</v>
      </c>
    </row>
    <row r="63" spans="1:144">
      <c r="A63" s="103"/>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c r="CJ63" s="103"/>
      <c r="CK63" s="103"/>
      <c r="CL63" s="103"/>
      <c r="CM63" s="103"/>
      <c r="CN63" s="103"/>
      <c r="CO63" s="103"/>
      <c r="CP63" s="103"/>
      <c r="CQ63" s="103"/>
      <c r="CR63" s="103"/>
      <c r="CS63" s="103"/>
      <c r="CT63" s="103"/>
      <c r="CU63" s="103"/>
      <c r="CV63" s="103"/>
      <c r="CW63" s="103"/>
      <c r="CX63" s="103"/>
      <c r="CY63" s="103"/>
      <c r="CZ63" s="103"/>
      <c r="DA63" s="103"/>
      <c r="DB63" s="103"/>
      <c r="DC63" s="103"/>
      <c r="DD63" s="103"/>
      <c r="DE63" s="103"/>
      <c r="DF63" s="103"/>
      <c r="DG63" s="103"/>
      <c r="DH63" s="103"/>
      <c r="DI63" s="103"/>
      <c r="DJ63" s="103"/>
      <c r="DK63" s="103"/>
      <c r="DL63" s="103"/>
      <c r="DM63" s="103"/>
      <c r="DN63" s="103"/>
      <c r="DO63" s="103"/>
      <c r="DP63" s="103"/>
      <c r="DQ63" s="103"/>
      <c r="DR63" s="103"/>
      <c r="DS63" s="103"/>
      <c r="DT63" s="103"/>
      <c r="DU63" s="103"/>
      <c r="DV63" s="103"/>
      <c r="DW63" s="103"/>
      <c r="DX63" s="103"/>
      <c r="DY63" s="103"/>
      <c r="DZ63" s="103"/>
      <c r="EA63" s="103"/>
      <c r="EB63" s="103"/>
      <c r="EC63" s="103"/>
      <c r="ED63" s="103"/>
      <c r="EE63" s="103"/>
      <c r="EF63" s="103"/>
      <c r="EG63" s="103"/>
      <c r="EH63" s="103"/>
      <c r="EI63" s="103"/>
      <c r="EJ63" s="103"/>
      <c r="EK63" s="103"/>
      <c r="EL63" s="103"/>
      <c r="EM63" s="103"/>
      <c r="EN63" s="103"/>
    </row>
    <row r="64" spans="1:144">
      <c r="A64" s="103" t="s">
        <v>2193</v>
      </c>
      <c r="B64" s="113">
        <v>0</v>
      </c>
      <c r="C64" s="113">
        <v>0</v>
      </c>
      <c r="D64" s="113">
        <v>0</v>
      </c>
      <c r="E64" s="113">
        <v>0</v>
      </c>
      <c r="F64" s="113">
        <v>0</v>
      </c>
      <c r="G64" s="113">
        <v>0</v>
      </c>
      <c r="H64" s="113">
        <v>15</v>
      </c>
      <c r="I64" s="113">
        <v>28</v>
      </c>
      <c r="J64" s="113">
        <v>28</v>
      </c>
      <c r="K64" s="113">
        <v>13</v>
      </c>
      <c r="L64" s="113">
        <v>0</v>
      </c>
      <c r="M64" s="113">
        <v>0</v>
      </c>
      <c r="N64" s="113">
        <v>0</v>
      </c>
      <c r="O64" s="113">
        <v>0</v>
      </c>
      <c r="P64" s="113">
        <v>0</v>
      </c>
      <c r="Q64" s="113">
        <v>0</v>
      </c>
      <c r="R64" s="113">
        <v>0</v>
      </c>
      <c r="S64" s="113">
        <v>0</v>
      </c>
      <c r="T64" s="113">
        <v>0</v>
      </c>
      <c r="U64" s="113">
        <v>0</v>
      </c>
      <c r="V64" s="113">
        <v>0</v>
      </c>
      <c r="W64" s="113">
        <v>0</v>
      </c>
      <c r="X64" s="113">
        <v>0</v>
      </c>
      <c r="Y64" s="113">
        <v>0</v>
      </c>
      <c r="Z64" s="113">
        <v>0</v>
      </c>
      <c r="AA64" s="113">
        <v>0</v>
      </c>
      <c r="AB64" s="113">
        <v>0</v>
      </c>
      <c r="AC64" s="113">
        <v>0</v>
      </c>
      <c r="AD64" s="113">
        <v>0</v>
      </c>
      <c r="AE64" s="113">
        <v>0</v>
      </c>
      <c r="AG64" s="103" t="s">
        <v>2193</v>
      </c>
      <c r="AH64" s="113">
        <v>0</v>
      </c>
      <c r="AI64" s="113">
        <v>0</v>
      </c>
      <c r="AJ64" s="113">
        <v>0</v>
      </c>
      <c r="AK64" s="113">
        <v>0</v>
      </c>
      <c r="AL64" s="113">
        <v>0</v>
      </c>
      <c r="AM64" s="113">
        <v>0</v>
      </c>
      <c r="AN64" s="113">
        <v>0</v>
      </c>
      <c r="AO64" s="113">
        <v>0</v>
      </c>
      <c r="AP64" s="113">
        <v>0</v>
      </c>
      <c r="AQ64" s="113">
        <v>0</v>
      </c>
      <c r="AR64" s="113">
        <v>0</v>
      </c>
      <c r="AS64" s="113">
        <v>0</v>
      </c>
      <c r="AT64" s="113">
        <v>0</v>
      </c>
      <c r="AU64" s="113">
        <v>0</v>
      </c>
      <c r="AV64" s="113">
        <v>0</v>
      </c>
      <c r="AW64" s="113">
        <v>0</v>
      </c>
      <c r="AX64" s="113">
        <v>0</v>
      </c>
      <c r="AY64" s="113">
        <v>1</v>
      </c>
      <c r="AZ64" s="113">
        <v>7</v>
      </c>
      <c r="BA64" s="113">
        <v>7</v>
      </c>
      <c r="BB64" s="113">
        <v>7</v>
      </c>
      <c r="BC64" s="113">
        <v>7</v>
      </c>
      <c r="BD64" s="113">
        <v>7</v>
      </c>
      <c r="BE64" s="113">
        <v>7</v>
      </c>
      <c r="BF64" s="113">
        <v>7</v>
      </c>
      <c r="BG64" s="113">
        <v>7</v>
      </c>
      <c r="BH64" s="113">
        <v>7</v>
      </c>
      <c r="BI64" s="113">
        <v>7</v>
      </c>
      <c r="BJ64" s="113">
        <v>7</v>
      </c>
      <c r="BK64" s="113">
        <v>6</v>
      </c>
      <c r="BL64" s="113">
        <v>0</v>
      </c>
      <c r="BM64" s="113">
        <v>0</v>
      </c>
      <c r="BN64" s="113">
        <v>0</v>
      </c>
      <c r="BO64" s="113">
        <v>0</v>
      </c>
      <c r="BP64" s="113">
        <v>0</v>
      </c>
      <c r="BQ64" s="113">
        <v>0</v>
      </c>
      <c r="BR64" s="113">
        <v>0</v>
      </c>
      <c r="BS64" s="113">
        <v>0</v>
      </c>
      <c r="BT64" s="113">
        <v>0</v>
      </c>
      <c r="BU64" s="113">
        <v>0</v>
      </c>
      <c r="BV64" s="113">
        <v>0</v>
      </c>
      <c r="BW64" s="113">
        <v>0</v>
      </c>
      <c r="BX64" s="113">
        <v>0</v>
      </c>
      <c r="BY64" s="113">
        <v>0</v>
      </c>
      <c r="BZ64" s="113">
        <v>0</v>
      </c>
      <c r="CA64" s="113">
        <v>0</v>
      </c>
      <c r="CB64" s="113">
        <v>0</v>
      </c>
      <c r="CC64" s="113">
        <v>0</v>
      </c>
      <c r="CD64" s="113">
        <v>0</v>
      </c>
      <c r="CE64" s="113">
        <v>0</v>
      </c>
      <c r="CF64" s="113">
        <v>0</v>
      </c>
      <c r="CG64" s="113">
        <v>0</v>
      </c>
      <c r="CH64" s="113">
        <v>0</v>
      </c>
      <c r="CI64" s="113">
        <v>0</v>
      </c>
      <c r="CJ64" s="113">
        <v>0</v>
      </c>
      <c r="CK64" s="113">
        <v>0</v>
      </c>
      <c r="CL64" s="113">
        <v>0</v>
      </c>
      <c r="CM64" s="113">
        <v>0</v>
      </c>
      <c r="CN64" s="113">
        <v>0</v>
      </c>
      <c r="CO64" s="113">
        <v>0</v>
      </c>
      <c r="CP64" s="113">
        <v>0</v>
      </c>
      <c r="CQ64" s="113">
        <v>0</v>
      </c>
      <c r="CR64" s="113">
        <v>0</v>
      </c>
      <c r="CS64" s="113">
        <v>0</v>
      </c>
      <c r="CT64" s="113">
        <v>0</v>
      </c>
      <c r="CU64" s="113">
        <v>0</v>
      </c>
      <c r="CV64" s="113">
        <v>0</v>
      </c>
      <c r="CW64" s="113">
        <v>0</v>
      </c>
      <c r="CX64" s="113">
        <v>0</v>
      </c>
      <c r="CY64" s="113">
        <v>0</v>
      </c>
      <c r="CZ64" s="113">
        <v>0</v>
      </c>
      <c r="DA64" s="113">
        <v>0</v>
      </c>
      <c r="DB64" s="113">
        <v>0</v>
      </c>
      <c r="DC64" s="113">
        <v>0</v>
      </c>
      <c r="DD64" s="113">
        <v>0</v>
      </c>
      <c r="DE64" s="113">
        <v>0</v>
      </c>
      <c r="DF64" s="113">
        <v>0</v>
      </c>
      <c r="DG64" s="113">
        <v>0</v>
      </c>
      <c r="DH64" s="113">
        <v>0</v>
      </c>
      <c r="DI64" s="113">
        <v>0</v>
      </c>
      <c r="DJ64" s="113">
        <v>0</v>
      </c>
      <c r="DK64" s="113">
        <v>0</v>
      </c>
      <c r="DL64" s="113">
        <v>0</v>
      </c>
      <c r="DM64" s="113">
        <v>0</v>
      </c>
      <c r="DN64" s="113">
        <v>0</v>
      </c>
      <c r="DO64" s="113">
        <v>0</v>
      </c>
      <c r="DP64" s="113">
        <v>0</v>
      </c>
      <c r="DQ64" s="113">
        <v>0</v>
      </c>
      <c r="DR64" s="113">
        <v>0</v>
      </c>
      <c r="DS64" s="113">
        <v>0</v>
      </c>
      <c r="DT64" s="113">
        <v>0</v>
      </c>
      <c r="DU64" s="113">
        <v>0</v>
      </c>
      <c r="DV64" s="113">
        <v>0</v>
      </c>
      <c r="DW64" s="113">
        <v>0</v>
      </c>
      <c r="DX64" s="113">
        <v>0</v>
      </c>
      <c r="DY64" s="113">
        <v>0</v>
      </c>
      <c r="DZ64" s="113">
        <v>0</v>
      </c>
      <c r="EA64" s="113">
        <v>0</v>
      </c>
      <c r="EB64" s="113">
        <v>0</v>
      </c>
      <c r="EC64" s="113">
        <v>0</v>
      </c>
      <c r="ED64" s="113">
        <v>0</v>
      </c>
      <c r="EE64" s="113">
        <v>0</v>
      </c>
      <c r="EF64" s="113">
        <v>0</v>
      </c>
      <c r="EG64" s="113">
        <v>0</v>
      </c>
      <c r="EH64" s="113">
        <v>0</v>
      </c>
      <c r="EI64" s="113">
        <v>0</v>
      </c>
      <c r="EJ64" s="113">
        <v>0</v>
      </c>
      <c r="EK64" s="113">
        <v>0</v>
      </c>
      <c r="EL64" s="113">
        <v>0</v>
      </c>
      <c r="EM64" s="113">
        <v>0</v>
      </c>
      <c r="EN64" s="113">
        <v>0</v>
      </c>
    </row>
    <row r="65" spans="1:144">
      <c r="A65" s="103"/>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c r="CH65" s="103"/>
      <c r="CI65" s="103"/>
      <c r="CJ65" s="103"/>
      <c r="CK65" s="103"/>
      <c r="CL65" s="103"/>
      <c r="CM65" s="103"/>
      <c r="CN65" s="103"/>
      <c r="CO65" s="103"/>
      <c r="CP65" s="103"/>
      <c r="CQ65" s="103"/>
      <c r="CR65" s="103"/>
      <c r="CS65" s="103"/>
      <c r="CT65" s="103"/>
      <c r="CU65" s="103"/>
      <c r="CV65" s="103"/>
      <c r="CW65" s="103"/>
      <c r="CX65" s="103"/>
      <c r="CY65" s="103"/>
      <c r="CZ65" s="103"/>
      <c r="DA65" s="103"/>
      <c r="DB65" s="103"/>
      <c r="DC65" s="103"/>
      <c r="DD65" s="103"/>
      <c r="DE65" s="103"/>
      <c r="DF65" s="103"/>
      <c r="DG65" s="103"/>
      <c r="DH65" s="103"/>
      <c r="DI65" s="103"/>
      <c r="DJ65" s="103"/>
      <c r="DK65" s="103"/>
      <c r="DL65" s="103"/>
      <c r="DM65" s="103"/>
      <c r="DN65" s="103"/>
      <c r="DO65" s="103"/>
      <c r="DP65" s="103"/>
      <c r="DQ65" s="103"/>
      <c r="DR65" s="103"/>
      <c r="DS65" s="103"/>
      <c r="DT65" s="103"/>
      <c r="DU65" s="103"/>
      <c r="DV65" s="103"/>
      <c r="DW65" s="103"/>
      <c r="DX65" s="103"/>
      <c r="DY65" s="103"/>
      <c r="DZ65" s="103"/>
      <c r="EA65" s="103"/>
      <c r="EB65" s="103"/>
      <c r="EC65" s="103"/>
      <c r="ED65" s="103"/>
      <c r="EE65" s="103"/>
      <c r="EF65" s="103"/>
      <c r="EG65" s="103"/>
      <c r="EH65" s="103"/>
      <c r="EI65" s="103"/>
      <c r="EJ65" s="103"/>
      <c r="EK65" s="103"/>
      <c r="EL65" s="103"/>
      <c r="EM65" s="103"/>
      <c r="EN65" s="103"/>
    </row>
    <row r="66" spans="1:144" ht="10.5">
      <c r="A66" s="112" t="s">
        <v>2194</v>
      </c>
      <c r="B66" s="115">
        <v>463</v>
      </c>
      <c r="C66" s="115">
        <v>708</v>
      </c>
      <c r="D66" s="115">
        <v>953</v>
      </c>
      <c r="E66" s="115">
        <v>1146</v>
      </c>
      <c r="F66" s="115">
        <v>1453</v>
      </c>
      <c r="G66" s="115">
        <v>2195</v>
      </c>
      <c r="H66" s="115">
        <v>3439</v>
      </c>
      <c r="I66" s="115">
        <v>4462</v>
      </c>
      <c r="J66" s="115">
        <v>7757</v>
      </c>
      <c r="K66" s="115">
        <v>9408</v>
      </c>
      <c r="L66" s="115">
        <v>7346</v>
      </c>
      <c r="M66" s="115">
        <v>5355</v>
      </c>
      <c r="N66" s="115">
        <v>7531</v>
      </c>
      <c r="O66" s="115">
        <v>8168</v>
      </c>
      <c r="P66" s="115">
        <v>12254</v>
      </c>
      <c r="Q66" s="115">
        <v>12599</v>
      </c>
      <c r="R66" s="115">
        <v>14065</v>
      </c>
      <c r="S66" s="115">
        <v>17681</v>
      </c>
      <c r="T66" s="115">
        <v>14569</v>
      </c>
      <c r="U66" s="115">
        <v>18760</v>
      </c>
      <c r="V66" s="115">
        <v>23150</v>
      </c>
      <c r="W66" s="115">
        <v>16978</v>
      </c>
      <c r="X66" s="115">
        <v>21863</v>
      </c>
      <c r="Y66" s="115">
        <v>22074</v>
      </c>
      <c r="Z66" s="115">
        <v>12193</v>
      </c>
      <c r="AA66" s="115">
        <v>20539</v>
      </c>
      <c r="AB66" s="115">
        <v>25489</v>
      </c>
      <c r="AC66" s="115">
        <v>16571</v>
      </c>
      <c r="AD66" s="115">
        <v>39240</v>
      </c>
      <c r="AE66" s="115">
        <v>46266</v>
      </c>
      <c r="AG66" s="112" t="s">
        <v>2194</v>
      </c>
      <c r="AH66" s="115">
        <v>222.5</v>
      </c>
      <c r="AI66" s="115">
        <v>236</v>
      </c>
      <c r="AJ66" s="115">
        <v>243</v>
      </c>
      <c r="AK66" s="115">
        <v>265</v>
      </c>
      <c r="AL66" s="115">
        <v>239</v>
      </c>
      <c r="AM66" s="115">
        <v>289</v>
      </c>
      <c r="AN66" s="115">
        <v>256</v>
      </c>
      <c r="AO66" s="115">
        <v>362</v>
      </c>
      <c r="AP66" s="115">
        <v>316</v>
      </c>
      <c r="AQ66" s="115">
        <v>373</v>
      </c>
      <c r="AR66" s="115">
        <v>396</v>
      </c>
      <c r="AS66" s="115">
        <v>368</v>
      </c>
      <c r="AT66" s="115">
        <v>499</v>
      </c>
      <c r="AU66" s="115">
        <v>575</v>
      </c>
      <c r="AV66" s="115">
        <v>562</v>
      </c>
      <c r="AW66" s="115">
        <v>559</v>
      </c>
      <c r="AX66" s="115">
        <v>614</v>
      </c>
      <c r="AY66" s="115">
        <v>740</v>
      </c>
      <c r="AZ66" s="115">
        <v>1035</v>
      </c>
      <c r="BA66" s="115">
        <v>1050</v>
      </c>
      <c r="BB66" s="115">
        <v>656</v>
      </c>
      <c r="BC66" s="115">
        <v>1126</v>
      </c>
      <c r="BD66" s="115">
        <v>1330</v>
      </c>
      <c r="BE66" s="115">
        <v>1350</v>
      </c>
      <c r="BF66" s="115">
        <v>1676</v>
      </c>
      <c r="BG66" s="115">
        <v>1976</v>
      </c>
      <c r="BH66" s="115">
        <v>1910</v>
      </c>
      <c r="BI66" s="115">
        <v>2195</v>
      </c>
      <c r="BJ66" s="115">
        <v>2184</v>
      </c>
      <c r="BK66" s="115">
        <v>2430</v>
      </c>
      <c r="BL66" s="115">
        <v>2385</v>
      </c>
      <c r="BM66" s="115">
        <v>2409</v>
      </c>
      <c r="BN66" s="115">
        <v>2206</v>
      </c>
      <c r="BO66" s="115">
        <v>2624</v>
      </c>
      <c r="BP66" s="115">
        <v>2451</v>
      </c>
      <c r="BQ66" s="115">
        <v>65</v>
      </c>
      <c r="BR66" s="115">
        <v>1283</v>
      </c>
      <c r="BS66" s="115">
        <v>2283</v>
      </c>
      <c r="BT66" s="115">
        <v>2738</v>
      </c>
      <c r="BU66" s="115">
        <v>1525</v>
      </c>
      <c r="BV66" s="115">
        <v>2041</v>
      </c>
      <c r="BW66" s="115">
        <v>1865</v>
      </c>
      <c r="BX66" s="115">
        <v>2142</v>
      </c>
      <c r="BY66" s="115">
        <v>1483</v>
      </c>
      <c r="BZ66" s="115">
        <v>2614</v>
      </c>
      <c r="CA66" s="115">
        <v>1549</v>
      </c>
      <c r="CB66" s="115">
        <v>1315</v>
      </c>
      <c r="CC66" s="115">
        <v>2690</v>
      </c>
      <c r="CD66" s="115">
        <v>2528</v>
      </c>
      <c r="CE66" s="115">
        <v>3463</v>
      </c>
      <c r="CF66" s="115">
        <v>2563</v>
      </c>
      <c r="CG66" s="115">
        <v>3700</v>
      </c>
      <c r="CH66" s="115">
        <v>3141</v>
      </c>
      <c r="CI66" s="115">
        <v>3653</v>
      </c>
      <c r="CJ66" s="115">
        <v>2977</v>
      </c>
      <c r="CK66" s="115">
        <v>2828</v>
      </c>
      <c r="CL66" s="115">
        <v>3478</v>
      </c>
      <c r="CM66" s="115">
        <v>2626</v>
      </c>
      <c r="CN66" s="115">
        <v>4926</v>
      </c>
      <c r="CO66" s="115">
        <v>3035</v>
      </c>
      <c r="CP66" s="115">
        <v>4289</v>
      </c>
      <c r="CQ66" s="115">
        <v>4707</v>
      </c>
      <c r="CR66" s="115">
        <v>4388</v>
      </c>
      <c r="CS66" s="115">
        <v>4297</v>
      </c>
      <c r="CT66" s="115">
        <v>4373</v>
      </c>
      <c r="CU66" s="115">
        <v>4174</v>
      </c>
      <c r="CV66" s="115">
        <v>2977</v>
      </c>
      <c r="CW66" s="115">
        <v>3045</v>
      </c>
      <c r="CX66" s="115">
        <v>3574</v>
      </c>
      <c r="CY66" s="115">
        <v>6662</v>
      </c>
      <c r="CZ66" s="115">
        <v>4006</v>
      </c>
      <c r="DA66" s="115">
        <v>4518</v>
      </c>
      <c r="DB66" s="115">
        <v>5410</v>
      </c>
      <c r="DC66" s="115">
        <v>6634</v>
      </c>
      <c r="DD66" s="115">
        <v>5232</v>
      </c>
      <c r="DE66" s="115">
        <v>5874</v>
      </c>
      <c r="DF66" s="115">
        <v>5738</v>
      </c>
      <c r="DG66" s="115">
        <v>6624</v>
      </c>
      <c r="DH66" s="115">
        <v>5108</v>
      </c>
      <c r="DI66" s="115">
        <v>-492</v>
      </c>
      <c r="DJ66" s="115">
        <v>4466</v>
      </c>
      <c r="DK66" s="115">
        <v>6377</v>
      </c>
      <c r="DL66" s="115">
        <v>6055</v>
      </c>
      <c r="DM66" s="115">
        <v>4965</v>
      </c>
      <c r="DN66" s="115">
        <v>5244</v>
      </c>
      <c r="DO66" s="115">
        <v>6558</v>
      </c>
      <c r="DP66" s="115">
        <v>5660</v>
      </c>
      <c r="DQ66" s="115">
        <v>4612</v>
      </c>
      <c r="DR66" s="115">
        <v>4540</v>
      </c>
      <c r="DS66" s="115">
        <v>5863</v>
      </c>
      <c r="DT66" s="115">
        <v>4985</v>
      </c>
      <c r="DU66" s="115">
        <v>-3195</v>
      </c>
      <c r="DV66" s="115">
        <v>4902</v>
      </c>
      <c r="DW66" s="115">
        <v>5018</v>
      </c>
      <c r="DX66" s="115">
        <v>3756</v>
      </c>
      <c r="DY66" s="115">
        <v>3122</v>
      </c>
      <c r="DZ66" s="115">
        <v>5667</v>
      </c>
      <c r="EA66" s="115">
        <v>6267</v>
      </c>
      <c r="EB66" s="115">
        <v>5486</v>
      </c>
      <c r="EC66" s="115">
        <v>8069</v>
      </c>
      <c r="ED66" s="115">
        <v>6576</v>
      </c>
      <c r="EE66" s="115">
        <v>-6302</v>
      </c>
      <c r="EF66" s="115">
        <v>7424</v>
      </c>
      <c r="EG66" s="115">
        <v>8873</v>
      </c>
      <c r="EH66" s="115">
        <v>8824</v>
      </c>
      <c r="EI66" s="115">
        <v>8420</v>
      </c>
      <c r="EJ66" s="115">
        <v>8809</v>
      </c>
      <c r="EK66" s="115">
        <v>13187</v>
      </c>
      <c r="EL66" s="115">
        <v>10678</v>
      </c>
      <c r="EM66" s="115">
        <v>11649</v>
      </c>
      <c r="EN66" s="115">
        <v>10752</v>
      </c>
    </row>
    <row r="67" spans="1:144" ht="10.5">
      <c r="A67" s="112" t="s">
        <v>2195</v>
      </c>
      <c r="B67" s="115">
        <v>463</v>
      </c>
      <c r="C67" s="115">
        <v>708</v>
      </c>
      <c r="D67" s="115">
        <v>953</v>
      </c>
      <c r="E67" s="115">
        <v>1146</v>
      </c>
      <c r="F67" s="115">
        <v>1453</v>
      </c>
      <c r="G67" s="115">
        <v>2195</v>
      </c>
      <c r="H67" s="115">
        <v>3439</v>
      </c>
      <c r="I67" s="115">
        <v>4462</v>
      </c>
      <c r="J67" s="115">
        <v>7757</v>
      </c>
      <c r="K67" s="115">
        <v>9408</v>
      </c>
      <c r="L67" s="115">
        <v>7721</v>
      </c>
      <c r="M67" s="115">
        <v>5355</v>
      </c>
      <c r="N67" s="115">
        <v>7531</v>
      </c>
      <c r="O67" s="115">
        <v>8168</v>
      </c>
      <c r="P67" s="115">
        <v>12254</v>
      </c>
      <c r="Q67" s="115">
        <v>12599</v>
      </c>
      <c r="R67" s="115">
        <v>14065</v>
      </c>
      <c r="S67" s="115">
        <v>17681</v>
      </c>
      <c r="T67" s="115">
        <v>14569</v>
      </c>
      <c r="U67" s="115">
        <v>18760</v>
      </c>
      <c r="V67" s="115">
        <v>23150</v>
      </c>
      <c r="W67" s="115">
        <v>16978</v>
      </c>
      <c r="X67" s="115">
        <v>21863</v>
      </c>
      <c r="Y67" s="115">
        <v>22074</v>
      </c>
      <c r="Z67" s="115">
        <v>12193</v>
      </c>
      <c r="AA67" s="115">
        <v>20539</v>
      </c>
      <c r="AB67" s="115">
        <v>25489</v>
      </c>
      <c r="AC67" s="115">
        <v>16571</v>
      </c>
      <c r="AD67" s="115">
        <v>39240</v>
      </c>
      <c r="AE67" s="115">
        <v>46266</v>
      </c>
      <c r="AG67" s="112" t="s">
        <v>2195</v>
      </c>
      <c r="AH67" s="115">
        <v>222.5</v>
      </c>
      <c r="AI67" s="115">
        <v>236</v>
      </c>
      <c r="AJ67" s="115">
        <v>243</v>
      </c>
      <c r="AK67" s="115">
        <v>265</v>
      </c>
      <c r="AL67" s="115">
        <v>239</v>
      </c>
      <c r="AM67" s="115">
        <v>289</v>
      </c>
      <c r="AN67" s="115">
        <v>256</v>
      </c>
      <c r="AO67" s="115">
        <v>362</v>
      </c>
      <c r="AP67" s="115">
        <v>316</v>
      </c>
      <c r="AQ67" s="115">
        <v>373</v>
      </c>
      <c r="AR67" s="115">
        <v>396</v>
      </c>
      <c r="AS67" s="115">
        <v>368</v>
      </c>
      <c r="AT67" s="115">
        <v>499</v>
      </c>
      <c r="AU67" s="115">
        <v>575</v>
      </c>
      <c r="AV67" s="115">
        <v>562</v>
      </c>
      <c r="AW67" s="115">
        <v>559</v>
      </c>
      <c r="AX67" s="115">
        <v>614</v>
      </c>
      <c r="AY67" s="115">
        <v>740</v>
      </c>
      <c r="AZ67" s="115">
        <v>1035</v>
      </c>
      <c r="BA67" s="115">
        <v>1050</v>
      </c>
      <c r="BB67" s="115">
        <v>656</v>
      </c>
      <c r="BC67" s="115">
        <v>1126</v>
      </c>
      <c r="BD67" s="115">
        <v>1330</v>
      </c>
      <c r="BE67" s="115">
        <v>1350</v>
      </c>
      <c r="BF67" s="115">
        <v>1676</v>
      </c>
      <c r="BG67" s="115">
        <v>1976</v>
      </c>
      <c r="BH67" s="115">
        <v>1910</v>
      </c>
      <c r="BI67" s="115">
        <v>2195</v>
      </c>
      <c r="BJ67" s="115">
        <v>2184</v>
      </c>
      <c r="BK67" s="115">
        <v>2430</v>
      </c>
      <c r="BL67" s="115">
        <v>2385</v>
      </c>
      <c r="BM67" s="115">
        <v>2409</v>
      </c>
      <c r="BN67" s="115">
        <v>2581</v>
      </c>
      <c r="BO67" s="115">
        <v>2624</v>
      </c>
      <c r="BP67" s="115">
        <v>2451</v>
      </c>
      <c r="BQ67" s="115">
        <v>65</v>
      </c>
      <c r="BR67" s="115">
        <v>1283</v>
      </c>
      <c r="BS67" s="115">
        <v>2283</v>
      </c>
      <c r="BT67" s="115">
        <v>2738</v>
      </c>
      <c r="BU67" s="115">
        <v>1525</v>
      </c>
      <c r="BV67" s="115">
        <v>2041</v>
      </c>
      <c r="BW67" s="115">
        <v>1865</v>
      </c>
      <c r="BX67" s="115">
        <v>2142</v>
      </c>
      <c r="BY67" s="115">
        <v>1483</v>
      </c>
      <c r="BZ67" s="115">
        <v>2614</v>
      </c>
      <c r="CA67" s="115">
        <v>1549</v>
      </c>
      <c r="CB67" s="115">
        <v>1315</v>
      </c>
      <c r="CC67" s="115">
        <v>2690</v>
      </c>
      <c r="CD67" s="115">
        <v>2528</v>
      </c>
      <c r="CE67" s="115">
        <v>3463</v>
      </c>
      <c r="CF67" s="115">
        <v>2563</v>
      </c>
      <c r="CG67" s="115">
        <v>3700</v>
      </c>
      <c r="CH67" s="115">
        <v>3141</v>
      </c>
      <c r="CI67" s="115">
        <v>3653</v>
      </c>
      <c r="CJ67" s="115">
        <v>2977</v>
      </c>
      <c r="CK67" s="115">
        <v>2828</v>
      </c>
      <c r="CL67" s="115">
        <v>3478</v>
      </c>
      <c r="CM67" s="115">
        <v>2626</v>
      </c>
      <c r="CN67" s="115">
        <v>4926</v>
      </c>
      <c r="CO67" s="115">
        <v>3035</v>
      </c>
      <c r="CP67" s="115">
        <v>4289</v>
      </c>
      <c r="CQ67" s="115">
        <v>4707</v>
      </c>
      <c r="CR67" s="115">
        <v>4388</v>
      </c>
      <c r="CS67" s="115">
        <v>4297</v>
      </c>
      <c r="CT67" s="115">
        <v>4373</v>
      </c>
      <c r="CU67" s="115">
        <v>4174</v>
      </c>
      <c r="CV67" s="115">
        <v>2977</v>
      </c>
      <c r="CW67" s="115">
        <v>3045</v>
      </c>
      <c r="CX67" s="115">
        <v>3574</v>
      </c>
      <c r="CY67" s="115">
        <v>6662</v>
      </c>
      <c r="CZ67" s="115">
        <v>4006</v>
      </c>
      <c r="DA67" s="115">
        <v>4518</v>
      </c>
      <c r="DB67" s="115">
        <v>5410</v>
      </c>
      <c r="DC67" s="115">
        <v>6634</v>
      </c>
      <c r="DD67" s="115">
        <v>5232</v>
      </c>
      <c r="DE67" s="115">
        <v>5874</v>
      </c>
      <c r="DF67" s="115">
        <v>5738</v>
      </c>
      <c r="DG67" s="115">
        <v>6624</v>
      </c>
      <c r="DH67" s="115">
        <v>5108</v>
      </c>
      <c r="DI67" s="115">
        <v>-492</v>
      </c>
      <c r="DJ67" s="115">
        <v>4466</v>
      </c>
      <c r="DK67" s="115">
        <v>6377</v>
      </c>
      <c r="DL67" s="115">
        <v>6055</v>
      </c>
      <c r="DM67" s="115">
        <v>4965</v>
      </c>
      <c r="DN67" s="115">
        <v>5244</v>
      </c>
      <c r="DO67" s="115">
        <v>6558</v>
      </c>
      <c r="DP67" s="115">
        <v>5660</v>
      </c>
      <c r="DQ67" s="115">
        <v>4612</v>
      </c>
      <c r="DR67" s="115">
        <v>4540</v>
      </c>
      <c r="DS67" s="115">
        <v>5863</v>
      </c>
      <c r="DT67" s="115">
        <v>4985</v>
      </c>
      <c r="DU67" s="115">
        <v>-3195</v>
      </c>
      <c r="DV67" s="115">
        <v>4902</v>
      </c>
      <c r="DW67" s="115">
        <v>5018</v>
      </c>
      <c r="DX67" s="115">
        <v>3756</v>
      </c>
      <c r="DY67" s="115">
        <v>3122</v>
      </c>
      <c r="DZ67" s="115">
        <v>5667</v>
      </c>
      <c r="EA67" s="115">
        <v>6267</v>
      </c>
      <c r="EB67" s="115">
        <v>5486</v>
      </c>
      <c r="EC67" s="115">
        <v>8069</v>
      </c>
      <c r="ED67" s="115">
        <v>6576</v>
      </c>
      <c r="EE67" s="115">
        <v>-6302</v>
      </c>
      <c r="EF67" s="115">
        <v>7424</v>
      </c>
      <c r="EG67" s="115">
        <v>8873</v>
      </c>
      <c r="EH67" s="115">
        <v>8824</v>
      </c>
      <c r="EI67" s="115">
        <v>8420</v>
      </c>
      <c r="EJ67" s="115">
        <v>8809</v>
      </c>
      <c r="EK67" s="115">
        <v>13187</v>
      </c>
      <c r="EL67" s="115">
        <v>10678</v>
      </c>
      <c r="EM67" s="115">
        <v>11649</v>
      </c>
      <c r="EN67" s="115">
        <v>10752</v>
      </c>
    </row>
    <row r="68" spans="1:144">
      <c r="A68" s="103"/>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c r="CH68" s="103"/>
      <c r="CI68" s="103"/>
      <c r="CJ68" s="103"/>
      <c r="CK68" s="103"/>
      <c r="CL68" s="103"/>
      <c r="CM68" s="103"/>
      <c r="CN68" s="103"/>
      <c r="CO68" s="103"/>
      <c r="CP68" s="103"/>
      <c r="CQ68" s="103"/>
      <c r="CR68" s="103"/>
      <c r="CS68" s="103"/>
      <c r="CT68" s="103"/>
      <c r="CU68" s="103"/>
      <c r="CV68" s="103"/>
      <c r="CW68" s="103"/>
      <c r="CX68" s="103"/>
      <c r="CY68" s="103"/>
      <c r="CZ68" s="103"/>
      <c r="DA68" s="103"/>
      <c r="DB68" s="103"/>
      <c r="DC68" s="103"/>
      <c r="DD68" s="103"/>
      <c r="DE68" s="103"/>
      <c r="DF68" s="103"/>
      <c r="DG68" s="103"/>
      <c r="DH68" s="103"/>
      <c r="DI68" s="103"/>
      <c r="DJ68" s="103"/>
      <c r="DK68" s="103"/>
      <c r="DL68" s="103"/>
      <c r="DM68" s="103"/>
      <c r="DN68" s="103"/>
      <c r="DO68" s="103"/>
      <c r="DP68" s="103"/>
      <c r="DQ68" s="103"/>
      <c r="DR68" s="103"/>
      <c r="DS68" s="103"/>
      <c r="DT68" s="103"/>
      <c r="DU68" s="103"/>
      <c r="DV68" s="103"/>
      <c r="DW68" s="103"/>
      <c r="DX68" s="103"/>
      <c r="DY68" s="103"/>
      <c r="DZ68" s="103"/>
      <c r="EA68" s="103"/>
      <c r="EB68" s="103"/>
      <c r="EC68" s="103"/>
      <c r="ED68" s="103"/>
      <c r="EE68" s="103"/>
      <c r="EF68" s="103"/>
      <c r="EG68" s="103"/>
      <c r="EH68" s="103"/>
      <c r="EI68" s="103"/>
      <c r="EJ68" s="103"/>
      <c r="EK68" s="103"/>
      <c r="EL68" s="103"/>
      <c r="EM68" s="103"/>
      <c r="EN68" s="103"/>
    </row>
    <row r="69" spans="1:144" ht="10.5">
      <c r="A69" s="112" t="s">
        <v>2196</v>
      </c>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G69" s="112" t="s">
        <v>2196</v>
      </c>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c r="CH69" s="103"/>
      <c r="CI69" s="103"/>
      <c r="CJ69" s="103"/>
      <c r="CK69" s="103"/>
      <c r="CL69" s="103"/>
      <c r="CM69" s="103"/>
      <c r="CN69" s="103"/>
      <c r="CO69" s="103"/>
      <c r="CP69" s="103"/>
      <c r="CQ69" s="103"/>
      <c r="CR69" s="103"/>
      <c r="CS69" s="103"/>
      <c r="CT69" s="103"/>
      <c r="CU69" s="103"/>
      <c r="CV69" s="103"/>
      <c r="CW69" s="103"/>
      <c r="CX69" s="103"/>
      <c r="CY69" s="103"/>
      <c r="CZ69" s="103"/>
      <c r="DA69" s="103"/>
      <c r="DB69" s="103"/>
      <c r="DC69" s="103"/>
      <c r="DD69" s="103"/>
      <c r="DE69" s="103"/>
      <c r="DF69" s="103"/>
      <c r="DG69" s="103"/>
      <c r="DH69" s="103"/>
      <c r="DI69" s="103"/>
      <c r="DJ69" s="103"/>
      <c r="DK69" s="103"/>
      <c r="DL69" s="103"/>
      <c r="DM69" s="103"/>
      <c r="DN69" s="103"/>
      <c r="DO69" s="103"/>
      <c r="DP69" s="103"/>
      <c r="DQ69" s="103"/>
      <c r="DR69" s="103"/>
      <c r="DS69" s="103"/>
      <c r="DT69" s="103"/>
      <c r="DU69" s="103"/>
      <c r="DV69" s="103"/>
      <c r="DW69" s="103"/>
      <c r="DX69" s="103"/>
      <c r="DY69" s="103"/>
      <c r="DZ69" s="103"/>
      <c r="EA69" s="103"/>
      <c r="EB69" s="103"/>
      <c r="EC69" s="103"/>
      <c r="ED69" s="103"/>
      <c r="EE69" s="103"/>
      <c r="EF69" s="103"/>
      <c r="EG69" s="103"/>
      <c r="EH69" s="103"/>
      <c r="EI69" s="103"/>
      <c r="EJ69" s="103"/>
      <c r="EK69" s="103"/>
      <c r="EL69" s="103"/>
      <c r="EM69" s="103"/>
      <c r="EN69" s="103"/>
    </row>
    <row r="70" spans="1:144">
      <c r="A70" s="103" t="s">
        <v>2197</v>
      </c>
      <c r="B70" s="117">
        <v>0.05</v>
      </c>
      <c r="C70" s="117">
        <v>0.08</v>
      </c>
      <c r="D70" s="117">
        <v>0.1</v>
      </c>
      <c r="E70" s="117">
        <v>0.12</v>
      </c>
      <c r="F70" s="117">
        <v>0.14000000000000001</v>
      </c>
      <c r="G70" s="117">
        <v>0.23</v>
      </c>
      <c r="H70" s="117">
        <v>0.36</v>
      </c>
      <c r="I70" s="117">
        <v>0.46</v>
      </c>
      <c r="J70" s="117">
        <v>0.77</v>
      </c>
      <c r="K70" s="117">
        <v>0.91</v>
      </c>
      <c r="L70" s="117">
        <v>0.69</v>
      </c>
      <c r="M70" s="117">
        <v>0.5</v>
      </c>
      <c r="N70" s="117">
        <v>0.7</v>
      </c>
      <c r="O70" s="117">
        <v>0.76</v>
      </c>
      <c r="P70" s="117">
        <v>1.1299999999999999</v>
      </c>
      <c r="Q70" s="117">
        <v>1.21</v>
      </c>
      <c r="R70" s="117">
        <v>1.44</v>
      </c>
      <c r="S70" s="117">
        <v>1.9</v>
      </c>
      <c r="T70" s="117">
        <v>1.63</v>
      </c>
      <c r="U70" s="117">
        <v>2.13</v>
      </c>
      <c r="V70" s="117">
        <v>2.73</v>
      </c>
      <c r="W70" s="117">
        <v>2.02</v>
      </c>
      <c r="X70" s="117">
        <v>2.61</v>
      </c>
      <c r="Y70" s="117">
        <v>2.66</v>
      </c>
      <c r="Z70" s="117">
        <v>1.49</v>
      </c>
      <c r="AA70" s="117">
        <v>2.59</v>
      </c>
      <c r="AB70" s="117">
        <v>3.29</v>
      </c>
      <c r="AC70" s="117">
        <v>2.15</v>
      </c>
      <c r="AD70" s="117">
        <v>5.1100000000000003</v>
      </c>
      <c r="AE70" s="117">
        <v>6.07</v>
      </c>
      <c r="AG70" s="103" t="s">
        <v>2197</v>
      </c>
      <c r="AH70" s="117">
        <v>0.02</v>
      </c>
      <c r="AI70" s="117">
        <v>0.02</v>
      </c>
      <c r="AJ70" s="117">
        <v>0.02</v>
      </c>
      <c r="AK70" s="117">
        <v>0.03</v>
      </c>
      <c r="AL70" s="117">
        <v>0.02</v>
      </c>
      <c r="AM70" s="117">
        <v>0.03</v>
      </c>
      <c r="AN70" s="117">
        <v>0.03</v>
      </c>
      <c r="AO70" s="117">
        <v>0.04</v>
      </c>
      <c r="AP70" s="117">
        <v>0.03</v>
      </c>
      <c r="AQ70" s="117">
        <v>0.04</v>
      </c>
      <c r="AR70" s="117">
        <v>0.04</v>
      </c>
      <c r="AS70" s="117">
        <v>0.04</v>
      </c>
      <c r="AT70" s="117">
        <v>0.05</v>
      </c>
      <c r="AU70" s="117">
        <v>0.06</v>
      </c>
      <c r="AV70" s="117">
        <v>0.05</v>
      </c>
      <c r="AW70" s="117">
        <v>0.05</v>
      </c>
      <c r="AX70" s="117">
        <v>0.06</v>
      </c>
      <c r="AY70" s="117">
        <v>0.08</v>
      </c>
      <c r="AZ70" s="117">
        <v>0.11</v>
      </c>
      <c r="BA70" s="117">
        <v>0.1</v>
      </c>
      <c r="BB70" s="117">
        <v>7.0000000000000007E-2</v>
      </c>
      <c r="BC70" s="117">
        <v>0.12</v>
      </c>
      <c r="BD70" s="117">
        <v>0.14000000000000001</v>
      </c>
      <c r="BE70" s="117">
        <v>0.14000000000000001</v>
      </c>
      <c r="BF70" s="117">
        <v>0.17</v>
      </c>
      <c r="BG70" s="117">
        <v>0.2</v>
      </c>
      <c r="BH70" s="117">
        <v>0.19</v>
      </c>
      <c r="BI70" s="117">
        <v>0.21</v>
      </c>
      <c r="BJ70" s="117">
        <v>0.21</v>
      </c>
      <c r="BK70" s="117">
        <v>0.24</v>
      </c>
      <c r="BL70" s="117">
        <v>0.23</v>
      </c>
      <c r="BM70" s="117">
        <v>0.23</v>
      </c>
      <c r="BN70" s="117">
        <v>0.21</v>
      </c>
      <c r="BO70" s="117">
        <v>0.25</v>
      </c>
      <c r="BP70" s="117">
        <v>0.23</v>
      </c>
      <c r="BQ70" s="117">
        <v>0.01</v>
      </c>
      <c r="BR70" s="117">
        <v>0.12</v>
      </c>
      <c r="BS70" s="117">
        <v>0.21</v>
      </c>
      <c r="BT70" s="117">
        <v>0.25</v>
      </c>
      <c r="BU70" s="117">
        <v>0.14000000000000001</v>
      </c>
      <c r="BV70" s="117">
        <v>0.19</v>
      </c>
      <c r="BW70" s="117">
        <v>0.17</v>
      </c>
      <c r="BX70" s="117">
        <v>0.2</v>
      </c>
      <c r="BY70" s="117">
        <v>0.14000000000000001</v>
      </c>
      <c r="BZ70" s="117">
        <v>0.24</v>
      </c>
      <c r="CA70" s="117">
        <v>0.14000000000000001</v>
      </c>
      <c r="CB70" s="117">
        <v>0.12</v>
      </c>
      <c r="CC70" s="117">
        <v>0.25</v>
      </c>
      <c r="CD70" s="117">
        <v>0.23</v>
      </c>
      <c r="CE70" s="117">
        <v>0.32</v>
      </c>
      <c r="CF70" s="117">
        <v>0.24</v>
      </c>
      <c r="CG70" s="117">
        <v>0.34</v>
      </c>
      <c r="CH70" s="117">
        <v>0.28999999999999998</v>
      </c>
      <c r="CI70" s="117">
        <v>0.35</v>
      </c>
      <c r="CJ70" s="117">
        <v>0.28999999999999998</v>
      </c>
      <c r="CK70" s="117">
        <v>0.28000000000000003</v>
      </c>
      <c r="CL70" s="117">
        <v>0.35</v>
      </c>
      <c r="CM70" s="117">
        <v>0.27</v>
      </c>
      <c r="CN70" s="117">
        <v>0.51</v>
      </c>
      <c r="CO70" s="117">
        <v>0.32</v>
      </c>
      <c r="CP70" s="117">
        <v>0.46</v>
      </c>
      <c r="CQ70" s="117">
        <v>0.5</v>
      </c>
      <c r="CR70" s="117">
        <v>0.47</v>
      </c>
      <c r="CS70" s="117">
        <v>0.46</v>
      </c>
      <c r="CT70" s="117">
        <v>0.48</v>
      </c>
      <c r="CU70" s="117">
        <v>0.47</v>
      </c>
      <c r="CV70" s="117">
        <v>0.33</v>
      </c>
      <c r="CW70" s="117">
        <v>0.34</v>
      </c>
      <c r="CX70" s="117">
        <v>0.4</v>
      </c>
      <c r="CY70" s="117">
        <v>0.75</v>
      </c>
      <c r="CZ70" s="117">
        <v>0.46</v>
      </c>
      <c r="DA70" s="117">
        <v>0.52</v>
      </c>
      <c r="DB70" s="117">
        <v>0.63</v>
      </c>
      <c r="DC70" s="117">
        <v>0.78</v>
      </c>
      <c r="DD70" s="117">
        <v>0.62</v>
      </c>
      <c r="DE70" s="117">
        <v>0.7</v>
      </c>
      <c r="DF70" s="117">
        <v>0.68</v>
      </c>
      <c r="DG70" s="117">
        <v>0.79</v>
      </c>
      <c r="DH70" s="117">
        <v>0.61</v>
      </c>
      <c r="DI70" s="117">
        <v>-0.06</v>
      </c>
      <c r="DJ70" s="117">
        <v>0.53</v>
      </c>
      <c r="DK70" s="117">
        <v>0.76</v>
      </c>
      <c r="DL70" s="117">
        <v>0.72</v>
      </c>
      <c r="DM70" s="117">
        <v>0.59</v>
      </c>
      <c r="DN70" s="117">
        <v>0.63</v>
      </c>
      <c r="DO70" s="117">
        <v>0.79</v>
      </c>
      <c r="DP70" s="117">
        <v>0.68</v>
      </c>
      <c r="DQ70" s="117">
        <v>0.56000000000000005</v>
      </c>
      <c r="DR70" s="117">
        <v>0.55000000000000004</v>
      </c>
      <c r="DS70" s="117">
        <v>0.71</v>
      </c>
      <c r="DT70" s="117">
        <v>0.61</v>
      </c>
      <c r="DU70" s="117">
        <v>-0.4</v>
      </c>
      <c r="DV70" s="117">
        <v>0.61</v>
      </c>
      <c r="DW70" s="117">
        <v>0.63</v>
      </c>
      <c r="DX70" s="117">
        <v>0.48</v>
      </c>
      <c r="DY70" s="117">
        <v>0.4</v>
      </c>
      <c r="DZ70" s="117">
        <v>0.73</v>
      </c>
      <c r="EA70" s="117">
        <v>0.81</v>
      </c>
      <c r="EB70" s="117">
        <v>0.71</v>
      </c>
      <c r="EC70" s="117">
        <v>1.05</v>
      </c>
      <c r="ED70" s="117">
        <v>0.85</v>
      </c>
      <c r="EE70" s="117">
        <v>-0.82</v>
      </c>
      <c r="EF70" s="117">
        <v>0.96</v>
      </c>
      <c r="EG70" s="117">
        <v>1.1499999999999999</v>
      </c>
      <c r="EH70" s="117">
        <v>1.1499999999999999</v>
      </c>
      <c r="EI70" s="117">
        <v>1.0900000000000001</v>
      </c>
      <c r="EJ70" s="117">
        <v>1.1499999999999999</v>
      </c>
      <c r="EK70" s="117">
        <v>1.72</v>
      </c>
      <c r="EL70" s="117">
        <v>1.4</v>
      </c>
      <c r="EM70" s="117">
        <v>1.53</v>
      </c>
      <c r="EN70" s="117">
        <v>1.41</v>
      </c>
    </row>
    <row r="71" spans="1:144">
      <c r="A71" s="103" t="s">
        <v>2198</v>
      </c>
      <c r="B71" s="118">
        <v>5.1306999999999998E-2</v>
      </c>
      <c r="C71" s="118">
        <v>7.5255000000000002E-2</v>
      </c>
      <c r="D71" s="118">
        <v>9.8286999999999999E-2</v>
      </c>
      <c r="E71" s="118">
        <v>0.11741799999999999</v>
      </c>
      <c r="F71" s="118">
        <v>0.14483599999999999</v>
      </c>
      <c r="G71" s="118">
        <v>0.231735</v>
      </c>
      <c r="H71" s="118">
        <v>0.35957699999999998</v>
      </c>
      <c r="I71" s="118">
        <v>0.458675</v>
      </c>
      <c r="J71" s="118">
        <v>0.77137999999999995</v>
      </c>
      <c r="K71" s="118">
        <v>0.90653300000000003</v>
      </c>
      <c r="L71" s="118">
        <v>0.72273699999999996</v>
      </c>
      <c r="M71" s="118">
        <v>0.49532799999999999</v>
      </c>
      <c r="N71" s="118">
        <v>0.702322</v>
      </c>
      <c r="O71" s="118">
        <v>0.75608600000000004</v>
      </c>
      <c r="P71" s="118">
        <v>1.130547</v>
      </c>
      <c r="Q71" s="118">
        <v>1.207031</v>
      </c>
      <c r="R71" s="118">
        <v>1.443748</v>
      </c>
      <c r="S71" s="118">
        <v>1.895475</v>
      </c>
      <c r="T71" s="118">
        <v>1.6287309999999999</v>
      </c>
      <c r="U71" s="118">
        <v>2.128673</v>
      </c>
      <c r="V71" s="118">
        <v>2.726737</v>
      </c>
      <c r="W71" s="118">
        <v>2.0221529999999999</v>
      </c>
      <c r="X71" s="118">
        <v>2.6105070000000001</v>
      </c>
      <c r="Y71" s="118">
        <v>2.6598380000000001</v>
      </c>
      <c r="Z71" s="118">
        <v>1.491133</v>
      </c>
      <c r="AA71" s="118">
        <v>2.5916709999999998</v>
      </c>
      <c r="AB71" s="118">
        <v>3.2906010000000001</v>
      </c>
      <c r="AC71" s="118">
        <v>2.1520769999999998</v>
      </c>
      <c r="AD71" s="118">
        <v>5.1140359999999996</v>
      </c>
      <c r="AE71" s="118">
        <v>6.0652850000000003</v>
      </c>
      <c r="AG71" s="103" t="s">
        <v>2198</v>
      </c>
      <c r="AH71" s="118">
        <v>2.3099999999999999E-2</v>
      </c>
      <c r="AI71" s="118">
        <v>2.4339E-2</v>
      </c>
      <c r="AJ71" s="118">
        <v>2.4979000000000001E-2</v>
      </c>
      <c r="AK71" s="118">
        <v>2.7061999999999999E-2</v>
      </c>
      <c r="AL71" s="118">
        <v>2.4649000000000001E-2</v>
      </c>
      <c r="AM71" s="118">
        <v>2.9707999999999998E-2</v>
      </c>
      <c r="AN71" s="118">
        <v>2.6315000000000002E-2</v>
      </c>
      <c r="AO71" s="118">
        <v>3.6549999999999999E-2</v>
      </c>
      <c r="AP71" s="118">
        <v>3.1752000000000002E-2</v>
      </c>
      <c r="AQ71" s="118">
        <v>3.73E-2</v>
      </c>
      <c r="AR71" s="118">
        <v>3.9536000000000002E-2</v>
      </c>
      <c r="AS71" s="118">
        <v>3.6163000000000001E-2</v>
      </c>
      <c r="AT71" s="118">
        <v>4.8730000000000002E-2</v>
      </c>
      <c r="AU71" s="118">
        <v>5.6328000000000003E-2</v>
      </c>
      <c r="AV71" s="118">
        <v>5.4968000000000003E-2</v>
      </c>
      <c r="AW71" s="118">
        <v>5.4165999999999999E-2</v>
      </c>
      <c r="AX71" s="118">
        <v>5.9311999999999997E-2</v>
      </c>
      <c r="AY71" s="118">
        <v>7.7372999999999997E-2</v>
      </c>
      <c r="AZ71" s="118">
        <v>0.108308</v>
      </c>
      <c r="BA71" s="118">
        <v>9.8906999999999995E-2</v>
      </c>
      <c r="BB71" s="118">
        <v>6.8048999999999998E-2</v>
      </c>
      <c r="BC71" s="118">
        <v>0.116274</v>
      </c>
      <c r="BD71" s="118">
        <v>0.13666200000000001</v>
      </c>
      <c r="BE71" s="118">
        <v>0.13750000000000001</v>
      </c>
      <c r="BF71" s="118">
        <v>0.169019</v>
      </c>
      <c r="BG71" s="118">
        <v>0.19767899999999999</v>
      </c>
      <c r="BH71" s="118">
        <v>0.18892100000000001</v>
      </c>
      <c r="BI71" s="118">
        <v>0.21431600000000001</v>
      </c>
      <c r="BJ71" s="118">
        <v>0.21290600000000001</v>
      </c>
      <c r="BK71" s="118">
        <v>0.23532800000000001</v>
      </c>
      <c r="BL71" s="118">
        <v>0.22892999999999999</v>
      </c>
      <c r="BM71" s="118">
        <v>0.22942799999999999</v>
      </c>
      <c r="BN71" s="118">
        <v>0.243536</v>
      </c>
      <c r="BO71" s="118">
        <v>0.24615300000000001</v>
      </c>
      <c r="BP71" s="118">
        <v>0.22966600000000001</v>
      </c>
      <c r="BQ71" s="118">
        <v>6.0390000000000001E-3</v>
      </c>
      <c r="BR71" s="118">
        <v>0.11884</v>
      </c>
      <c r="BS71" s="118">
        <v>0.21158399999999999</v>
      </c>
      <c r="BT71" s="118">
        <v>0.25281599999999999</v>
      </c>
      <c r="BU71" s="118">
        <v>0.14081199999999999</v>
      </c>
      <c r="BV71" s="118">
        <v>0.190054</v>
      </c>
      <c r="BW71" s="118">
        <v>0.17424999999999999</v>
      </c>
      <c r="BX71" s="118">
        <v>0.199906</v>
      </c>
      <c r="BY71" s="118">
        <v>0.13811999999999999</v>
      </c>
      <c r="BZ71" s="118">
        <v>0.24179</v>
      </c>
      <c r="CA71" s="118">
        <v>0.143293</v>
      </c>
      <c r="CB71" s="118">
        <v>0.12192799999999999</v>
      </c>
      <c r="CC71" s="118">
        <v>0.24893499999999999</v>
      </c>
      <c r="CD71" s="118">
        <v>0.23250199999999999</v>
      </c>
      <c r="CE71" s="118">
        <v>0.31837799999999999</v>
      </c>
      <c r="CF71" s="118">
        <v>0.23608999999999999</v>
      </c>
      <c r="CG71" s="118">
        <v>0.34418599999999999</v>
      </c>
      <c r="CH71" s="118">
        <v>0.29366100000000001</v>
      </c>
      <c r="CI71" s="118">
        <v>0.34592800000000001</v>
      </c>
      <c r="CJ71" s="118">
        <v>0.28894399999999998</v>
      </c>
      <c r="CK71" s="118">
        <v>0.27763500000000002</v>
      </c>
      <c r="CL71" s="118">
        <v>0.35028700000000002</v>
      </c>
      <c r="CM71" s="118">
        <v>0.26779500000000001</v>
      </c>
      <c r="CN71" s="118">
        <v>0.50652900000000001</v>
      </c>
      <c r="CO71" s="118">
        <v>0.31923800000000002</v>
      </c>
      <c r="CP71" s="118">
        <v>0.45724900000000002</v>
      </c>
      <c r="CQ71" s="118">
        <v>0.50283</v>
      </c>
      <c r="CR71" s="118">
        <v>0.47147299999999998</v>
      </c>
      <c r="CS71" s="118">
        <v>0.46383799999999997</v>
      </c>
      <c r="CT71" s="118">
        <v>0.48139500000000002</v>
      </c>
      <c r="CU71" s="118">
        <v>0.46883000000000002</v>
      </c>
      <c r="CV71" s="118">
        <v>0.33483200000000002</v>
      </c>
      <c r="CW71" s="118">
        <v>0.34209600000000001</v>
      </c>
      <c r="CX71" s="118">
        <v>0.40094200000000002</v>
      </c>
      <c r="CY71" s="118">
        <v>0.75225799999999998</v>
      </c>
      <c r="CZ71" s="118">
        <v>0.45694000000000001</v>
      </c>
      <c r="DA71" s="118">
        <v>0.51859500000000003</v>
      </c>
      <c r="DB71" s="118">
        <v>0.62804700000000002</v>
      </c>
      <c r="DC71" s="118">
        <v>0.78074600000000005</v>
      </c>
      <c r="DD71" s="118">
        <v>0.62137699999999996</v>
      </c>
      <c r="DE71" s="118">
        <v>0.69687900000000003</v>
      </c>
      <c r="DF71" s="118">
        <v>0.68374599999999996</v>
      </c>
      <c r="DG71" s="118">
        <v>0.78838299999999994</v>
      </c>
      <c r="DH71" s="118">
        <v>0.60802199999999995</v>
      </c>
      <c r="DI71" s="118">
        <v>-0.06</v>
      </c>
      <c r="DJ71" s="118">
        <v>0.53191900000000003</v>
      </c>
      <c r="DK71" s="118">
        <v>0.759799</v>
      </c>
      <c r="DL71" s="118">
        <v>0.723935</v>
      </c>
      <c r="DM71" s="118">
        <v>0.59496700000000002</v>
      </c>
      <c r="DN71" s="118">
        <v>0.62885199999999997</v>
      </c>
      <c r="DO71" s="118">
        <v>0.78765300000000005</v>
      </c>
      <c r="DP71" s="118">
        <v>0.68324399999999996</v>
      </c>
      <c r="DQ71" s="118">
        <v>0.55930100000000005</v>
      </c>
      <c r="DR71" s="118">
        <v>0.550369</v>
      </c>
      <c r="DS71" s="118">
        <v>0.71256600000000003</v>
      </c>
      <c r="DT71" s="118">
        <v>0.61038300000000001</v>
      </c>
      <c r="DU71" s="118">
        <v>-0.4</v>
      </c>
      <c r="DV71" s="118">
        <v>0.61305600000000005</v>
      </c>
      <c r="DW71" s="118">
        <v>0.63008500000000001</v>
      </c>
      <c r="DX71" s="118">
        <v>0.475744</v>
      </c>
      <c r="DY71" s="118">
        <v>0.39811200000000002</v>
      </c>
      <c r="DZ71" s="118">
        <v>0.72756399999999999</v>
      </c>
      <c r="EA71" s="118">
        <v>0.80812300000000004</v>
      </c>
      <c r="EB71" s="118">
        <v>0.71016100000000004</v>
      </c>
      <c r="EC71" s="118">
        <v>1.045884</v>
      </c>
      <c r="ED71" s="118">
        <v>0.85313899999999998</v>
      </c>
      <c r="EE71" s="118">
        <v>-0.82</v>
      </c>
      <c r="EF71" s="118">
        <v>0.96440599999999999</v>
      </c>
      <c r="EG71" s="118">
        <v>1.154887</v>
      </c>
      <c r="EH71" s="118">
        <v>1.1500060000000001</v>
      </c>
      <c r="EI71" s="118">
        <v>1.094643</v>
      </c>
      <c r="EJ71" s="118">
        <v>1.148201</v>
      </c>
      <c r="EK71" s="118">
        <v>1.722664</v>
      </c>
      <c r="EL71" s="118">
        <v>1.3987419999999999</v>
      </c>
      <c r="EM71" s="118">
        <v>1.5285390000000001</v>
      </c>
      <c r="EN71" s="118">
        <v>1.414364</v>
      </c>
    </row>
    <row r="72" spans="1:144">
      <c r="A72" s="103" t="s">
        <v>2199</v>
      </c>
      <c r="B72" s="113">
        <v>9024</v>
      </c>
      <c r="C72" s="113">
        <v>9408</v>
      </c>
      <c r="D72" s="113">
        <v>9696</v>
      </c>
      <c r="E72" s="113">
        <v>9760</v>
      </c>
      <c r="F72" s="113">
        <v>10032</v>
      </c>
      <c r="G72" s="113">
        <v>9472</v>
      </c>
      <c r="H72" s="113">
        <v>9564</v>
      </c>
      <c r="I72" s="113">
        <v>9728</v>
      </c>
      <c r="J72" s="113">
        <v>10056</v>
      </c>
      <c r="K72" s="113">
        <v>10378</v>
      </c>
      <c r="L72" s="113">
        <v>10683</v>
      </c>
      <c r="M72" s="113">
        <v>10811</v>
      </c>
      <c r="N72" s="113">
        <v>10723</v>
      </c>
      <c r="O72" s="113">
        <v>10803</v>
      </c>
      <c r="P72" s="113">
        <v>10839</v>
      </c>
      <c r="Q72" s="113">
        <v>10438</v>
      </c>
      <c r="R72" s="113">
        <v>9742</v>
      </c>
      <c r="S72" s="113">
        <v>9328</v>
      </c>
      <c r="T72" s="113">
        <v>8945</v>
      </c>
      <c r="U72" s="113">
        <v>8813</v>
      </c>
      <c r="V72" s="113">
        <v>8490</v>
      </c>
      <c r="W72" s="113">
        <v>8396</v>
      </c>
      <c r="X72" s="113">
        <v>8375</v>
      </c>
      <c r="Y72" s="113">
        <v>8299</v>
      </c>
      <c r="Z72" s="113">
        <v>8177</v>
      </c>
      <c r="AA72" s="113">
        <v>7925</v>
      </c>
      <c r="AB72" s="113">
        <v>7746</v>
      </c>
      <c r="AC72" s="113">
        <v>7700</v>
      </c>
      <c r="AD72" s="113">
        <v>7673</v>
      </c>
      <c r="AE72" s="113">
        <v>7628</v>
      </c>
      <c r="AG72" s="103" t="s">
        <v>2199</v>
      </c>
      <c r="AH72" s="113">
        <v>9632</v>
      </c>
      <c r="AI72" s="113">
        <v>9696</v>
      </c>
      <c r="AJ72" s="113">
        <v>9728</v>
      </c>
      <c r="AK72" s="113">
        <v>9792</v>
      </c>
      <c r="AL72" s="113">
        <v>9696</v>
      </c>
      <c r="AM72" s="113">
        <v>9728</v>
      </c>
      <c r="AN72" s="113">
        <v>9728</v>
      </c>
      <c r="AO72" s="113">
        <v>9904</v>
      </c>
      <c r="AP72" s="113">
        <v>9952</v>
      </c>
      <c r="AQ72" s="113">
        <v>10000</v>
      </c>
      <c r="AR72" s="113">
        <v>10016</v>
      </c>
      <c r="AS72" s="113">
        <v>10176</v>
      </c>
      <c r="AT72" s="113">
        <v>10240</v>
      </c>
      <c r="AU72" s="113">
        <v>10208</v>
      </c>
      <c r="AV72" s="113">
        <v>10224</v>
      </c>
      <c r="AW72" s="113">
        <v>10320</v>
      </c>
      <c r="AX72" s="113">
        <v>10352</v>
      </c>
      <c r="AY72" s="113">
        <v>9564</v>
      </c>
      <c r="AZ72" s="113">
        <v>9556</v>
      </c>
      <c r="BA72" s="113">
        <v>10616</v>
      </c>
      <c r="BB72" s="113">
        <v>9640</v>
      </c>
      <c r="BC72" s="113">
        <v>9684</v>
      </c>
      <c r="BD72" s="113">
        <v>9732</v>
      </c>
      <c r="BE72" s="113">
        <v>9818.1818179999991</v>
      </c>
      <c r="BF72" s="113">
        <v>9916</v>
      </c>
      <c r="BG72" s="113">
        <v>9996</v>
      </c>
      <c r="BH72" s="113">
        <v>10110</v>
      </c>
      <c r="BI72" s="113">
        <v>10241.860465</v>
      </c>
      <c r="BJ72" s="113">
        <v>10258</v>
      </c>
      <c r="BK72" s="113">
        <v>10326</v>
      </c>
      <c r="BL72" s="113">
        <v>10418</v>
      </c>
      <c r="BM72" s="113">
        <v>10500</v>
      </c>
      <c r="BN72" s="113">
        <v>10598</v>
      </c>
      <c r="BO72" s="113">
        <v>10660</v>
      </c>
      <c r="BP72" s="113">
        <v>10672</v>
      </c>
      <c r="BQ72" s="113">
        <v>10762</v>
      </c>
      <c r="BR72" s="113">
        <v>10796</v>
      </c>
      <c r="BS72" s="113">
        <v>10790</v>
      </c>
      <c r="BT72" s="113">
        <v>10830</v>
      </c>
      <c r="BU72" s="113">
        <v>10830</v>
      </c>
      <c r="BV72" s="113">
        <v>10739</v>
      </c>
      <c r="BW72" s="113">
        <v>10703</v>
      </c>
      <c r="BX72" s="113">
        <v>10715</v>
      </c>
      <c r="BY72" s="113">
        <v>10737</v>
      </c>
      <c r="BZ72" s="113">
        <v>10811</v>
      </c>
      <c r="CA72" s="113">
        <v>10810</v>
      </c>
      <c r="CB72" s="113">
        <v>10785</v>
      </c>
      <c r="CC72" s="113">
        <v>10806</v>
      </c>
      <c r="CD72" s="113">
        <v>10873</v>
      </c>
      <c r="CE72" s="113">
        <v>10877</v>
      </c>
      <c r="CF72" s="113">
        <v>10856</v>
      </c>
      <c r="CG72" s="113">
        <v>10750</v>
      </c>
      <c r="CH72" s="113">
        <v>10696</v>
      </c>
      <c r="CI72" s="113">
        <v>10560</v>
      </c>
      <c r="CJ72" s="113">
        <v>10303</v>
      </c>
      <c r="CK72" s="113">
        <v>10186</v>
      </c>
      <c r="CL72" s="113">
        <v>9929</v>
      </c>
      <c r="CM72" s="113">
        <v>9806</v>
      </c>
      <c r="CN72" s="113">
        <v>9725</v>
      </c>
      <c r="CO72" s="113">
        <v>9507</v>
      </c>
      <c r="CP72" s="113">
        <v>9380</v>
      </c>
      <c r="CQ72" s="113">
        <v>9361</v>
      </c>
      <c r="CR72" s="113">
        <v>9307</v>
      </c>
      <c r="CS72" s="113">
        <v>9264</v>
      </c>
      <c r="CT72" s="113">
        <v>9084</v>
      </c>
      <c r="CU72" s="113">
        <v>8903</v>
      </c>
      <c r="CV72" s="113">
        <v>8891</v>
      </c>
      <c r="CW72" s="113">
        <v>8901</v>
      </c>
      <c r="CX72" s="113">
        <v>8914</v>
      </c>
      <c r="CY72" s="113">
        <v>8856</v>
      </c>
      <c r="CZ72" s="113">
        <v>8767</v>
      </c>
      <c r="DA72" s="113">
        <v>8712</v>
      </c>
      <c r="DB72" s="113">
        <v>8614</v>
      </c>
      <c r="DC72" s="113">
        <v>8497</v>
      </c>
      <c r="DD72" s="113">
        <v>8420</v>
      </c>
      <c r="DE72" s="113">
        <v>8429</v>
      </c>
      <c r="DF72" s="113">
        <v>8392</v>
      </c>
      <c r="DG72" s="113">
        <v>8402</v>
      </c>
      <c r="DH72" s="113">
        <v>8401</v>
      </c>
      <c r="DI72" s="113">
        <v>8388</v>
      </c>
      <c r="DJ72" s="113">
        <v>8396</v>
      </c>
      <c r="DK72" s="113">
        <v>8393</v>
      </c>
      <c r="DL72" s="113">
        <v>8364</v>
      </c>
      <c r="DM72" s="113">
        <v>8345</v>
      </c>
      <c r="DN72" s="113">
        <v>8339</v>
      </c>
      <c r="DO72" s="113">
        <v>8326</v>
      </c>
      <c r="DP72" s="113">
        <v>8284</v>
      </c>
      <c r="DQ72" s="113">
        <v>8246</v>
      </c>
      <c r="DR72" s="113">
        <v>8249</v>
      </c>
      <c r="DS72" s="113">
        <v>8228</v>
      </c>
      <c r="DT72" s="113">
        <v>8167</v>
      </c>
      <c r="DU72" s="113">
        <v>8061</v>
      </c>
      <c r="DV72" s="113">
        <v>7996</v>
      </c>
      <c r="DW72" s="113">
        <v>7964</v>
      </c>
      <c r="DX72" s="113">
        <v>7895</v>
      </c>
      <c r="DY72" s="113">
        <v>7842</v>
      </c>
      <c r="DZ72" s="113">
        <v>7789</v>
      </c>
      <c r="EA72" s="113">
        <v>7755</v>
      </c>
      <c r="EB72" s="113">
        <v>7725</v>
      </c>
      <c r="EC72" s="113">
        <v>7715</v>
      </c>
      <c r="ED72" s="113">
        <v>7708</v>
      </c>
      <c r="EE72" s="113">
        <v>7710</v>
      </c>
      <c r="EF72" s="113">
        <v>7698</v>
      </c>
      <c r="EG72" s="113">
        <v>7683</v>
      </c>
      <c r="EH72" s="113">
        <v>7673</v>
      </c>
      <c r="EI72" s="113">
        <v>7692</v>
      </c>
      <c r="EJ72" s="113">
        <v>7672</v>
      </c>
      <c r="EK72" s="113">
        <v>7655</v>
      </c>
      <c r="EL72" s="113">
        <v>7634</v>
      </c>
      <c r="EM72" s="113">
        <v>7621</v>
      </c>
      <c r="EN72" s="113">
        <v>7602</v>
      </c>
    </row>
    <row r="73" spans="1:144">
      <c r="A73" s="103"/>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3"/>
      <c r="CR73" s="103"/>
      <c r="CS73" s="103"/>
      <c r="CT73" s="103"/>
      <c r="CU73" s="103"/>
      <c r="CV73" s="103"/>
      <c r="CW73" s="103"/>
      <c r="CX73" s="103"/>
      <c r="CY73" s="103"/>
      <c r="CZ73" s="103"/>
      <c r="DA73" s="103"/>
      <c r="DB73" s="103"/>
      <c r="DC73" s="103"/>
      <c r="DD73" s="103"/>
      <c r="DE73" s="103"/>
      <c r="DF73" s="103"/>
      <c r="DG73" s="103"/>
      <c r="DH73" s="103"/>
      <c r="DI73" s="103"/>
      <c r="DJ73" s="103"/>
      <c r="DK73" s="103"/>
      <c r="DL73" s="103"/>
      <c r="DM73" s="103"/>
      <c r="DN73" s="103"/>
      <c r="DO73" s="103"/>
      <c r="DP73" s="103"/>
      <c r="DQ73" s="103"/>
      <c r="DR73" s="103"/>
      <c r="DS73" s="103"/>
      <c r="DT73" s="103"/>
      <c r="DU73" s="103"/>
      <c r="DV73" s="103"/>
      <c r="DW73" s="103"/>
      <c r="DX73" s="103"/>
      <c r="DY73" s="103"/>
      <c r="DZ73" s="103"/>
      <c r="EA73" s="103"/>
      <c r="EB73" s="103"/>
      <c r="EC73" s="103"/>
      <c r="ED73" s="103"/>
      <c r="EE73" s="103"/>
      <c r="EF73" s="103"/>
      <c r="EG73" s="103"/>
      <c r="EH73" s="103"/>
      <c r="EI73" s="103"/>
      <c r="EJ73" s="103"/>
      <c r="EK73" s="103"/>
      <c r="EL73" s="103"/>
      <c r="EM73" s="103"/>
      <c r="EN73" s="103"/>
    </row>
    <row r="74" spans="1:144">
      <c r="A74" s="103" t="s">
        <v>2200</v>
      </c>
      <c r="B74" s="117">
        <v>0.05</v>
      </c>
      <c r="C74" s="117">
        <v>0.08</v>
      </c>
      <c r="D74" s="117">
        <v>0.1</v>
      </c>
      <c r="E74" s="117">
        <v>0.12</v>
      </c>
      <c r="F74" s="117">
        <v>0.14000000000000001</v>
      </c>
      <c r="G74" s="117">
        <v>0.22</v>
      </c>
      <c r="H74" s="117">
        <v>0.33</v>
      </c>
      <c r="I74" s="117">
        <v>0.42</v>
      </c>
      <c r="J74" s="117">
        <v>0.71</v>
      </c>
      <c r="K74" s="117">
        <v>0.85</v>
      </c>
      <c r="L74" s="117">
        <v>0.66</v>
      </c>
      <c r="M74" s="117">
        <v>0.48</v>
      </c>
      <c r="N74" s="117">
        <v>0.69</v>
      </c>
      <c r="O74" s="117">
        <v>0.75</v>
      </c>
      <c r="P74" s="117">
        <v>1.1200000000000001</v>
      </c>
      <c r="Q74" s="117">
        <v>1.2</v>
      </c>
      <c r="R74" s="117">
        <v>1.42</v>
      </c>
      <c r="S74" s="117">
        <v>1.87</v>
      </c>
      <c r="T74" s="117">
        <v>1.62</v>
      </c>
      <c r="U74" s="117">
        <v>2.1</v>
      </c>
      <c r="V74" s="117">
        <v>2.69</v>
      </c>
      <c r="W74" s="117">
        <v>2</v>
      </c>
      <c r="X74" s="117">
        <v>2.58</v>
      </c>
      <c r="Y74" s="117">
        <v>2.63</v>
      </c>
      <c r="Z74" s="117">
        <v>1.48</v>
      </c>
      <c r="AA74" s="117">
        <v>2.56</v>
      </c>
      <c r="AB74" s="117">
        <v>3.25</v>
      </c>
      <c r="AC74" s="117">
        <v>2.13</v>
      </c>
      <c r="AD74" s="117">
        <v>5.0599999999999996</v>
      </c>
      <c r="AE74" s="117">
        <v>6</v>
      </c>
      <c r="AG74" s="103" t="s">
        <v>2200</v>
      </c>
      <c r="AH74" s="117">
        <v>0.02</v>
      </c>
      <c r="AI74" s="117">
        <v>0.02</v>
      </c>
      <c r="AJ74" s="117">
        <v>0.02</v>
      </c>
      <c r="AK74" s="117">
        <v>0.03</v>
      </c>
      <c r="AL74" s="117">
        <v>0.02</v>
      </c>
      <c r="AM74" s="117">
        <v>0.03</v>
      </c>
      <c r="AN74" s="117">
        <v>0.03</v>
      </c>
      <c r="AO74" s="117">
        <v>0.04</v>
      </c>
      <c r="AP74" s="117">
        <v>0.03</v>
      </c>
      <c r="AQ74" s="117">
        <v>0.04</v>
      </c>
      <c r="AR74" s="117">
        <v>0.04</v>
      </c>
      <c r="AS74" s="117">
        <v>0.04</v>
      </c>
      <c r="AT74" s="117">
        <v>0.05</v>
      </c>
      <c r="AU74" s="117">
        <v>0.06</v>
      </c>
      <c r="AV74" s="117">
        <v>0.05</v>
      </c>
      <c r="AW74" s="117">
        <v>0.05</v>
      </c>
      <c r="AX74" s="117">
        <v>0.06</v>
      </c>
      <c r="AY74" s="117">
        <v>7.0000000000000007E-2</v>
      </c>
      <c r="AZ74" s="117">
        <v>0.1</v>
      </c>
      <c r="BA74" s="117">
        <v>0.1</v>
      </c>
      <c r="BB74" s="117">
        <v>0.06</v>
      </c>
      <c r="BC74" s="117">
        <v>0.11</v>
      </c>
      <c r="BD74" s="117">
        <v>0.12</v>
      </c>
      <c r="BE74" s="117">
        <v>0.13</v>
      </c>
      <c r="BF74" s="117">
        <v>0.15</v>
      </c>
      <c r="BG74" s="117">
        <v>0.18</v>
      </c>
      <c r="BH74" s="117">
        <v>0.17</v>
      </c>
      <c r="BI74" s="117">
        <v>0.2</v>
      </c>
      <c r="BJ74" s="117">
        <v>0.2</v>
      </c>
      <c r="BK74" s="117">
        <v>0.22</v>
      </c>
      <c r="BL74" s="117">
        <v>0.22</v>
      </c>
      <c r="BM74" s="117">
        <v>0.22</v>
      </c>
      <c r="BN74" s="117">
        <v>0.2</v>
      </c>
      <c r="BO74" s="117">
        <v>0.24</v>
      </c>
      <c r="BP74" s="117">
        <v>0.22</v>
      </c>
      <c r="BQ74" s="117">
        <v>0</v>
      </c>
      <c r="BR74" s="117">
        <v>0.12</v>
      </c>
      <c r="BS74" s="117">
        <v>0.21</v>
      </c>
      <c r="BT74" s="117">
        <v>0.25</v>
      </c>
      <c r="BU74" s="117">
        <v>0.13</v>
      </c>
      <c r="BV74" s="117">
        <v>0.19</v>
      </c>
      <c r="BW74" s="117">
        <v>0.17</v>
      </c>
      <c r="BX74" s="117">
        <v>0.2</v>
      </c>
      <c r="BY74" s="117">
        <v>0.14000000000000001</v>
      </c>
      <c r="BZ74" s="117">
        <v>0.24</v>
      </c>
      <c r="CA74" s="117">
        <v>0.14000000000000001</v>
      </c>
      <c r="CB74" s="117">
        <v>0.12</v>
      </c>
      <c r="CC74" s="117">
        <v>0.25</v>
      </c>
      <c r="CD74" s="117">
        <v>0.23</v>
      </c>
      <c r="CE74" s="117">
        <v>0.32</v>
      </c>
      <c r="CF74" s="117">
        <v>0.23</v>
      </c>
      <c r="CG74" s="117">
        <v>0.34</v>
      </c>
      <c r="CH74" s="117">
        <v>0.28999999999999998</v>
      </c>
      <c r="CI74" s="117">
        <v>0.34</v>
      </c>
      <c r="CJ74" s="117">
        <v>0.28999999999999998</v>
      </c>
      <c r="CK74" s="117">
        <v>0.28000000000000003</v>
      </c>
      <c r="CL74" s="117">
        <v>0.35</v>
      </c>
      <c r="CM74" s="117">
        <v>0.26</v>
      </c>
      <c r="CN74" s="117">
        <v>0.5</v>
      </c>
      <c r="CO74" s="117">
        <v>0.31</v>
      </c>
      <c r="CP74" s="117">
        <v>0.45</v>
      </c>
      <c r="CQ74" s="117">
        <v>0.5</v>
      </c>
      <c r="CR74" s="117">
        <v>0.47</v>
      </c>
      <c r="CS74" s="117">
        <v>0.46</v>
      </c>
      <c r="CT74" s="117">
        <v>0.48</v>
      </c>
      <c r="CU74" s="117">
        <v>0.47</v>
      </c>
      <c r="CV74" s="117">
        <v>0.33</v>
      </c>
      <c r="CW74" s="117">
        <v>0.34</v>
      </c>
      <c r="CX74" s="117">
        <v>0.4</v>
      </c>
      <c r="CY74" s="117">
        <v>0.74</v>
      </c>
      <c r="CZ74" s="117">
        <v>0.45</v>
      </c>
      <c r="DA74" s="117">
        <v>0.51</v>
      </c>
      <c r="DB74" s="117">
        <v>0.62</v>
      </c>
      <c r="DC74" s="117">
        <v>0.77</v>
      </c>
      <c r="DD74" s="117">
        <v>0.61</v>
      </c>
      <c r="DE74" s="117">
        <v>0.68</v>
      </c>
      <c r="DF74" s="117">
        <v>0.68</v>
      </c>
      <c r="DG74" s="117">
        <v>0.78</v>
      </c>
      <c r="DH74" s="117">
        <v>0.6</v>
      </c>
      <c r="DI74" s="117">
        <v>-0.06</v>
      </c>
      <c r="DJ74" s="117">
        <v>0.53</v>
      </c>
      <c r="DK74" s="117">
        <v>0.76</v>
      </c>
      <c r="DL74" s="117">
        <v>0.72</v>
      </c>
      <c r="DM74" s="117">
        <v>0.59</v>
      </c>
      <c r="DN74" s="117">
        <v>0.62</v>
      </c>
      <c r="DO74" s="117">
        <v>0.78</v>
      </c>
      <c r="DP74" s="117">
        <v>0.68</v>
      </c>
      <c r="DQ74" s="117">
        <v>0.55000000000000004</v>
      </c>
      <c r="DR74" s="117">
        <v>0.54</v>
      </c>
      <c r="DS74" s="117">
        <v>0.71</v>
      </c>
      <c r="DT74" s="117">
        <v>0.61</v>
      </c>
      <c r="DU74" s="117">
        <v>-0.4</v>
      </c>
      <c r="DV74" s="117">
        <v>0.61</v>
      </c>
      <c r="DW74" s="117">
        <v>0.62</v>
      </c>
      <c r="DX74" s="117">
        <v>0.47</v>
      </c>
      <c r="DY74" s="117">
        <v>0.4</v>
      </c>
      <c r="DZ74" s="117">
        <v>0.72</v>
      </c>
      <c r="EA74" s="117">
        <v>0.8</v>
      </c>
      <c r="EB74" s="117">
        <v>0.7</v>
      </c>
      <c r="EC74" s="117">
        <v>1.03</v>
      </c>
      <c r="ED74" s="117">
        <v>0.84</v>
      </c>
      <c r="EE74" s="117">
        <v>-0.82</v>
      </c>
      <c r="EF74" s="117">
        <v>0.95</v>
      </c>
      <c r="EG74" s="117">
        <v>1.1399999999999999</v>
      </c>
      <c r="EH74" s="117">
        <v>1.1399999999999999</v>
      </c>
      <c r="EI74" s="117">
        <v>1.08</v>
      </c>
      <c r="EJ74" s="117">
        <v>1.1399999999999999</v>
      </c>
      <c r="EK74" s="117">
        <v>1.7</v>
      </c>
      <c r="EL74" s="117">
        <v>1.38</v>
      </c>
      <c r="EM74" s="117">
        <v>1.51</v>
      </c>
      <c r="EN74" s="117">
        <v>1.4</v>
      </c>
    </row>
    <row r="75" spans="1:144">
      <c r="A75" s="103" t="s">
        <v>2201</v>
      </c>
      <c r="B75" s="118">
        <v>5.1306999999999998E-2</v>
      </c>
      <c r="C75" s="118">
        <v>7.4999999999999997E-2</v>
      </c>
      <c r="D75" s="118">
        <v>9.8100000000000007E-2</v>
      </c>
      <c r="E75" s="118">
        <v>0.11741799999999999</v>
      </c>
      <c r="F75" s="118">
        <v>0.14483599999999999</v>
      </c>
      <c r="G75" s="118">
        <v>0.215</v>
      </c>
      <c r="H75" s="118">
        <v>0.33</v>
      </c>
      <c r="I75" s="118">
        <v>0.42</v>
      </c>
      <c r="J75" s="118">
        <v>0.71</v>
      </c>
      <c r="K75" s="118">
        <v>0.85</v>
      </c>
      <c r="L75" s="118">
        <v>0.69</v>
      </c>
      <c r="M75" s="118">
        <v>0.48</v>
      </c>
      <c r="N75" s="118">
        <v>0.69</v>
      </c>
      <c r="O75" s="118">
        <v>0.75</v>
      </c>
      <c r="P75" s="118">
        <v>1.1200000000000001</v>
      </c>
      <c r="Q75" s="118">
        <v>1.2</v>
      </c>
      <c r="R75" s="118">
        <v>1.42</v>
      </c>
      <c r="S75" s="118">
        <v>1.87</v>
      </c>
      <c r="T75" s="118">
        <v>1.62</v>
      </c>
      <c r="U75" s="118">
        <v>2.1</v>
      </c>
      <c r="V75" s="118">
        <v>2.69</v>
      </c>
      <c r="W75" s="118">
        <v>2</v>
      </c>
      <c r="X75" s="118">
        <v>2.58</v>
      </c>
      <c r="Y75" s="118">
        <v>2.63</v>
      </c>
      <c r="Z75" s="118">
        <v>1.48</v>
      </c>
      <c r="AA75" s="118">
        <v>2.56</v>
      </c>
      <c r="AB75" s="118">
        <v>3.25</v>
      </c>
      <c r="AC75" s="118">
        <v>2.13</v>
      </c>
      <c r="AD75" s="118">
        <v>5.0599999999999996</v>
      </c>
      <c r="AE75" s="118">
        <v>6.0024449999999998</v>
      </c>
      <c r="AG75" s="103" t="s">
        <v>2201</v>
      </c>
      <c r="AH75" s="118">
        <v>2.3099999999999999E-2</v>
      </c>
      <c r="AI75" s="118">
        <v>2.4339E-2</v>
      </c>
      <c r="AJ75" s="118">
        <v>2.4979000000000001E-2</v>
      </c>
      <c r="AK75" s="118">
        <v>2.6876000000000001E-2</v>
      </c>
      <c r="AL75" s="118">
        <v>2.4649000000000001E-2</v>
      </c>
      <c r="AM75" s="118">
        <v>2.9707999999999998E-2</v>
      </c>
      <c r="AN75" s="118">
        <v>2.6315000000000002E-2</v>
      </c>
      <c r="AO75" s="118">
        <v>3.6549999999999999E-2</v>
      </c>
      <c r="AP75" s="118">
        <v>3.1752000000000002E-2</v>
      </c>
      <c r="AQ75" s="118">
        <v>3.73E-2</v>
      </c>
      <c r="AR75" s="118">
        <v>3.9399999999999998E-2</v>
      </c>
      <c r="AS75" s="118">
        <v>3.6163000000000001E-2</v>
      </c>
      <c r="AT75" s="118">
        <v>4.8730000000000002E-2</v>
      </c>
      <c r="AU75" s="118">
        <v>5.6328000000000003E-2</v>
      </c>
      <c r="AV75" s="118">
        <v>5.4968000000000003E-2</v>
      </c>
      <c r="AW75" s="118">
        <v>5.4165999999999999E-2</v>
      </c>
      <c r="AX75" s="118">
        <v>5.9311999999999997E-2</v>
      </c>
      <c r="AY75" s="118">
        <v>7.0000000000000007E-2</v>
      </c>
      <c r="AZ75" s="118">
        <v>9.8785999999999999E-2</v>
      </c>
      <c r="BA75" s="118">
        <v>9.8906999999999995E-2</v>
      </c>
      <c r="BB75" s="118">
        <v>6.2195E-2</v>
      </c>
      <c r="BC75" s="118">
        <v>0.10620499999999999</v>
      </c>
      <c r="BD75" s="118">
        <v>0.124487</v>
      </c>
      <c r="BE75" s="118">
        <v>0.12667</v>
      </c>
      <c r="BF75" s="118">
        <v>0.154858</v>
      </c>
      <c r="BG75" s="118">
        <v>0.181593</v>
      </c>
      <c r="BH75" s="118">
        <v>0.17389299999999999</v>
      </c>
      <c r="BI75" s="118">
        <v>0.19994899999999999</v>
      </c>
      <c r="BJ75" s="118">
        <v>0.2</v>
      </c>
      <c r="BK75" s="118">
        <v>0.22</v>
      </c>
      <c r="BL75" s="118">
        <v>0.21513599999999999</v>
      </c>
      <c r="BM75" s="118">
        <v>0.21665100000000001</v>
      </c>
      <c r="BN75" s="118">
        <v>0.23</v>
      </c>
      <c r="BO75" s="118">
        <v>0.23499999999999999</v>
      </c>
      <c r="BP75" s="118">
        <v>0.22</v>
      </c>
      <c r="BQ75" s="118">
        <v>4.8609999999999999E-3</v>
      </c>
      <c r="BR75" s="118">
        <v>0.115</v>
      </c>
      <c r="BS75" s="118">
        <v>0.20499999999999999</v>
      </c>
      <c r="BT75" s="118">
        <v>0.25</v>
      </c>
      <c r="BU75" s="118">
        <v>0.12956100000000001</v>
      </c>
      <c r="BV75" s="118">
        <v>0.19</v>
      </c>
      <c r="BW75" s="118">
        <v>0.17</v>
      </c>
      <c r="BX75" s="118">
        <v>0.199906</v>
      </c>
      <c r="BY75" s="118">
        <v>0.13782700000000001</v>
      </c>
      <c r="BZ75" s="118">
        <v>0.24</v>
      </c>
      <c r="CA75" s="118">
        <v>0.14000000000000001</v>
      </c>
      <c r="CB75" s="118">
        <v>0.12</v>
      </c>
      <c r="CC75" s="118">
        <v>0.24893499999999999</v>
      </c>
      <c r="CD75" s="118">
        <v>0.23</v>
      </c>
      <c r="CE75" s="118">
        <v>0.31837799999999999</v>
      </c>
      <c r="CF75" s="118">
        <v>0.23</v>
      </c>
      <c r="CG75" s="118">
        <v>0.34071499999999999</v>
      </c>
      <c r="CH75" s="118">
        <v>0.28999999999999998</v>
      </c>
      <c r="CI75" s="118">
        <v>0.34</v>
      </c>
      <c r="CJ75" s="118">
        <v>0.28894399999999998</v>
      </c>
      <c r="CK75" s="118">
        <v>0.27763500000000002</v>
      </c>
      <c r="CL75" s="118">
        <v>0.35</v>
      </c>
      <c r="CM75" s="118">
        <v>0.26</v>
      </c>
      <c r="CN75" s="118">
        <v>0.5</v>
      </c>
      <c r="CO75" s="118">
        <v>0.30941999999999997</v>
      </c>
      <c r="CP75" s="118">
        <v>0.45</v>
      </c>
      <c r="CQ75" s="118">
        <v>0.5</v>
      </c>
      <c r="CR75" s="118">
        <v>0.47</v>
      </c>
      <c r="CS75" s="118">
        <v>0.46110600000000002</v>
      </c>
      <c r="CT75" s="118">
        <v>0.48</v>
      </c>
      <c r="CU75" s="118">
        <v>0.46883000000000002</v>
      </c>
      <c r="CV75" s="118">
        <v>0.33</v>
      </c>
      <c r="CW75" s="118">
        <v>0.34086899999999998</v>
      </c>
      <c r="CX75" s="118">
        <v>0.4</v>
      </c>
      <c r="CY75" s="118">
        <v>0.74</v>
      </c>
      <c r="CZ75" s="118">
        <v>0.45</v>
      </c>
      <c r="DA75" s="118">
        <v>0.51108100000000001</v>
      </c>
      <c r="DB75" s="118">
        <v>0.62</v>
      </c>
      <c r="DC75" s="118">
        <v>0.77</v>
      </c>
      <c r="DD75" s="118">
        <v>0.61</v>
      </c>
      <c r="DE75" s="118">
        <v>0.68197099999999999</v>
      </c>
      <c r="DF75" s="118">
        <v>0.68</v>
      </c>
      <c r="DG75" s="118">
        <v>0.78</v>
      </c>
      <c r="DH75" s="118">
        <v>0.6</v>
      </c>
      <c r="DI75" s="118">
        <v>-0.06</v>
      </c>
      <c r="DJ75" s="118">
        <v>0.53</v>
      </c>
      <c r="DK75" s="118">
        <v>0.759799</v>
      </c>
      <c r="DL75" s="118">
        <v>0.72</v>
      </c>
      <c r="DM75" s="118">
        <v>0.59148500000000004</v>
      </c>
      <c r="DN75" s="118">
        <v>0.62</v>
      </c>
      <c r="DO75" s="118">
        <v>0.78</v>
      </c>
      <c r="DP75" s="118">
        <v>0.68</v>
      </c>
      <c r="DQ75" s="118">
        <v>0.55056799999999995</v>
      </c>
      <c r="DR75" s="118">
        <v>0.54</v>
      </c>
      <c r="DS75" s="118">
        <v>0.71</v>
      </c>
      <c r="DT75" s="118">
        <v>0.61</v>
      </c>
      <c r="DU75" s="118">
        <v>-0.4</v>
      </c>
      <c r="DV75" s="118">
        <v>0.61</v>
      </c>
      <c r="DW75" s="118">
        <v>0.62</v>
      </c>
      <c r="DX75" s="118">
        <v>0.47</v>
      </c>
      <c r="DY75" s="118">
        <v>0.39811200000000002</v>
      </c>
      <c r="DZ75" s="118">
        <v>0.72</v>
      </c>
      <c r="EA75" s="118">
        <v>0.8</v>
      </c>
      <c r="EB75" s="118">
        <v>0.7</v>
      </c>
      <c r="EC75" s="118">
        <v>1.031155</v>
      </c>
      <c r="ED75" s="118">
        <v>0.84</v>
      </c>
      <c r="EE75" s="118">
        <v>-0.82</v>
      </c>
      <c r="EF75" s="118">
        <v>0.95</v>
      </c>
      <c r="EG75" s="118">
        <v>1.1422760000000001</v>
      </c>
      <c r="EH75" s="118">
        <v>1.1399999999999999</v>
      </c>
      <c r="EI75" s="118">
        <v>1.08</v>
      </c>
      <c r="EJ75" s="118">
        <v>1.1399999999999999</v>
      </c>
      <c r="EK75" s="118">
        <v>1.70245</v>
      </c>
      <c r="EL75" s="118">
        <v>1.38</v>
      </c>
      <c r="EM75" s="118">
        <v>1.51</v>
      </c>
      <c r="EN75" s="118">
        <v>1.4</v>
      </c>
    </row>
    <row r="76" spans="1:144">
      <c r="A76" s="103" t="s">
        <v>2202</v>
      </c>
      <c r="B76" s="113">
        <v>9024</v>
      </c>
      <c r="C76" s="113">
        <v>9408</v>
      </c>
      <c r="D76" s="113">
        <v>9696</v>
      </c>
      <c r="E76" s="113">
        <v>9760</v>
      </c>
      <c r="F76" s="113">
        <v>10032</v>
      </c>
      <c r="G76" s="113">
        <v>10244</v>
      </c>
      <c r="H76" s="113">
        <v>10488</v>
      </c>
      <c r="I76" s="113">
        <v>10724</v>
      </c>
      <c r="J76" s="113">
        <v>10964</v>
      </c>
      <c r="K76" s="113">
        <v>11072</v>
      </c>
      <c r="L76" s="113">
        <v>11148</v>
      </c>
      <c r="M76" s="113">
        <v>11106</v>
      </c>
      <c r="N76" s="113">
        <v>10882</v>
      </c>
      <c r="O76" s="113">
        <v>10894</v>
      </c>
      <c r="P76" s="113">
        <v>10906</v>
      </c>
      <c r="Q76" s="113">
        <v>10531</v>
      </c>
      <c r="R76" s="113">
        <v>9886</v>
      </c>
      <c r="S76" s="113">
        <v>9470</v>
      </c>
      <c r="T76" s="113">
        <v>8996</v>
      </c>
      <c r="U76" s="113">
        <v>8927</v>
      </c>
      <c r="V76" s="113">
        <v>8593</v>
      </c>
      <c r="W76" s="113">
        <v>8506</v>
      </c>
      <c r="X76" s="113">
        <v>8470</v>
      </c>
      <c r="Y76" s="113">
        <v>8399</v>
      </c>
      <c r="Z76" s="113">
        <v>8254</v>
      </c>
      <c r="AA76" s="113">
        <v>8013</v>
      </c>
      <c r="AB76" s="113">
        <v>7832</v>
      </c>
      <c r="AC76" s="113">
        <v>7794</v>
      </c>
      <c r="AD76" s="113">
        <v>7753</v>
      </c>
      <c r="AE76" s="113">
        <v>7703.5</v>
      </c>
      <c r="AG76" s="103" t="s">
        <v>2202</v>
      </c>
      <c r="AH76" s="113">
        <v>9632</v>
      </c>
      <c r="AI76" s="113">
        <v>9696</v>
      </c>
      <c r="AJ76" s="113">
        <v>9728</v>
      </c>
      <c r="AK76" s="113">
        <v>9792</v>
      </c>
      <c r="AL76" s="113">
        <v>9696</v>
      </c>
      <c r="AM76" s="113">
        <v>9728</v>
      </c>
      <c r="AN76" s="113">
        <v>9728</v>
      </c>
      <c r="AO76" s="113">
        <v>9904</v>
      </c>
      <c r="AP76" s="113">
        <v>9952</v>
      </c>
      <c r="AQ76" s="113">
        <v>10000</v>
      </c>
      <c r="AR76" s="113">
        <v>10016</v>
      </c>
      <c r="AS76" s="113">
        <v>10176</v>
      </c>
      <c r="AT76" s="113">
        <v>10240</v>
      </c>
      <c r="AU76" s="113">
        <v>10208</v>
      </c>
      <c r="AV76" s="113">
        <v>10224</v>
      </c>
      <c r="AW76" s="113">
        <v>10320</v>
      </c>
      <c r="AX76" s="113">
        <v>10352</v>
      </c>
      <c r="AY76" s="113">
        <v>10432</v>
      </c>
      <c r="AZ76" s="113">
        <v>10548</v>
      </c>
      <c r="BA76" s="113">
        <v>10616</v>
      </c>
      <c r="BB76" s="113">
        <v>10660</v>
      </c>
      <c r="BC76" s="113">
        <v>10668</v>
      </c>
      <c r="BD76" s="113">
        <v>10740</v>
      </c>
      <c r="BE76" s="113">
        <v>10824</v>
      </c>
      <c r="BF76" s="113">
        <v>10868</v>
      </c>
      <c r="BG76" s="113">
        <v>10920</v>
      </c>
      <c r="BH76" s="113">
        <v>11024</v>
      </c>
      <c r="BI76" s="113">
        <v>11010</v>
      </c>
      <c r="BJ76" s="113">
        <v>11054</v>
      </c>
      <c r="BK76" s="113">
        <v>11076</v>
      </c>
      <c r="BL76" s="113">
        <v>11086</v>
      </c>
      <c r="BM76" s="113">
        <v>11074</v>
      </c>
      <c r="BN76" s="113">
        <v>11114</v>
      </c>
      <c r="BO76" s="113">
        <v>11140</v>
      </c>
      <c r="BP76" s="113">
        <v>11126</v>
      </c>
      <c r="BQ76" s="113">
        <v>11184</v>
      </c>
      <c r="BR76" s="113">
        <v>11134</v>
      </c>
      <c r="BS76" s="113">
        <v>11112</v>
      </c>
      <c r="BT76" s="113">
        <v>11129</v>
      </c>
      <c r="BU76" s="113">
        <v>11060</v>
      </c>
      <c r="BV76" s="113">
        <v>10933</v>
      </c>
      <c r="BW76" s="113">
        <v>10846</v>
      </c>
      <c r="BX76" s="113">
        <v>10837</v>
      </c>
      <c r="BY76" s="113">
        <v>10862</v>
      </c>
      <c r="BZ76" s="113">
        <v>10885</v>
      </c>
      <c r="CA76" s="113">
        <v>10899</v>
      </c>
      <c r="CB76" s="113">
        <v>10856</v>
      </c>
      <c r="CC76" s="113">
        <v>10864</v>
      </c>
      <c r="CD76" s="113">
        <v>10920</v>
      </c>
      <c r="CE76" s="113">
        <v>10956</v>
      </c>
      <c r="CF76" s="113">
        <v>10931</v>
      </c>
      <c r="CG76" s="113">
        <v>10819</v>
      </c>
      <c r="CH76" s="113">
        <v>10772</v>
      </c>
      <c r="CI76" s="113">
        <v>10638</v>
      </c>
      <c r="CJ76" s="113">
        <v>10415</v>
      </c>
      <c r="CK76" s="113">
        <v>10255</v>
      </c>
      <c r="CL76" s="113">
        <v>10010</v>
      </c>
      <c r="CM76" s="113">
        <v>9942</v>
      </c>
      <c r="CN76" s="113">
        <v>9862</v>
      </c>
      <c r="CO76" s="113">
        <v>9657</v>
      </c>
      <c r="CP76" s="113">
        <v>9513</v>
      </c>
      <c r="CQ76" s="113">
        <v>9503</v>
      </c>
      <c r="CR76" s="113">
        <v>9428</v>
      </c>
      <c r="CS76" s="113">
        <v>9380</v>
      </c>
      <c r="CT76" s="113">
        <v>9183</v>
      </c>
      <c r="CU76" s="113">
        <v>8914</v>
      </c>
      <c r="CV76" s="113">
        <v>8904</v>
      </c>
      <c r="CW76" s="113">
        <v>8928</v>
      </c>
      <c r="CX76" s="113">
        <v>8983</v>
      </c>
      <c r="CY76" s="113">
        <v>8951</v>
      </c>
      <c r="CZ76" s="113">
        <v>8876</v>
      </c>
      <c r="DA76" s="113">
        <v>8821</v>
      </c>
      <c r="DB76" s="113">
        <v>8695</v>
      </c>
      <c r="DC76" s="113">
        <v>8570</v>
      </c>
      <c r="DD76" s="113">
        <v>8510</v>
      </c>
      <c r="DE76" s="113">
        <v>8521</v>
      </c>
      <c r="DF76" s="113">
        <v>8490</v>
      </c>
      <c r="DG76" s="113">
        <v>8465</v>
      </c>
      <c r="DH76" s="113">
        <v>8498</v>
      </c>
      <c r="DI76" s="113">
        <v>8388</v>
      </c>
      <c r="DJ76" s="113">
        <v>8494</v>
      </c>
      <c r="DK76" s="113">
        <v>8444</v>
      </c>
      <c r="DL76" s="113">
        <v>8429</v>
      </c>
      <c r="DM76" s="113">
        <v>8442</v>
      </c>
      <c r="DN76" s="113">
        <v>8434</v>
      </c>
      <c r="DO76" s="113">
        <v>8395</v>
      </c>
      <c r="DP76" s="113">
        <v>8367</v>
      </c>
      <c r="DQ76" s="113">
        <v>8345</v>
      </c>
      <c r="DR76" s="113">
        <v>8351</v>
      </c>
      <c r="DS76" s="113">
        <v>8297</v>
      </c>
      <c r="DT76" s="113">
        <v>8237</v>
      </c>
      <c r="DU76" s="113">
        <v>8061</v>
      </c>
      <c r="DV76" s="113">
        <v>8084</v>
      </c>
      <c r="DW76" s="113">
        <v>8051</v>
      </c>
      <c r="DX76" s="113">
        <v>7985</v>
      </c>
      <c r="DY76" s="113">
        <v>7929</v>
      </c>
      <c r="DZ76" s="113">
        <v>7876</v>
      </c>
      <c r="EA76" s="113">
        <v>7830</v>
      </c>
      <c r="EB76" s="113">
        <v>7813</v>
      </c>
      <c r="EC76" s="113">
        <v>7806</v>
      </c>
      <c r="ED76" s="113">
        <v>7799</v>
      </c>
      <c r="EE76" s="113">
        <v>7710</v>
      </c>
      <c r="EF76" s="113">
        <v>7794</v>
      </c>
      <c r="EG76" s="113">
        <v>7775</v>
      </c>
      <c r="EH76" s="113">
        <v>7766</v>
      </c>
      <c r="EI76" s="113">
        <v>7768</v>
      </c>
      <c r="EJ76" s="113">
        <v>7744</v>
      </c>
      <c r="EK76" s="113">
        <v>7730</v>
      </c>
      <c r="EL76" s="113">
        <v>7710</v>
      </c>
      <c r="EM76" s="113">
        <v>7691</v>
      </c>
      <c r="EN76" s="113">
        <v>7675</v>
      </c>
    </row>
    <row r="77" spans="1:144">
      <c r="A77" s="103"/>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c r="CD77" s="103"/>
      <c r="CE77" s="103"/>
      <c r="CF77" s="103"/>
      <c r="CG77" s="103"/>
      <c r="CH77" s="103"/>
      <c r="CI77" s="103"/>
      <c r="CJ77" s="103"/>
      <c r="CK77" s="103"/>
      <c r="CL77" s="103"/>
      <c r="CM77" s="103"/>
      <c r="CN77" s="103"/>
      <c r="CO77" s="103"/>
      <c r="CP77" s="103"/>
      <c r="CQ77" s="103"/>
      <c r="CR77" s="103"/>
      <c r="CS77" s="103"/>
      <c r="CT77" s="103"/>
      <c r="CU77" s="103"/>
      <c r="CV77" s="103"/>
      <c r="CW77" s="103"/>
      <c r="CX77" s="103"/>
      <c r="CY77" s="103"/>
      <c r="CZ77" s="103"/>
      <c r="DA77" s="103"/>
      <c r="DB77" s="103"/>
      <c r="DC77" s="103"/>
      <c r="DD77" s="103"/>
      <c r="DE77" s="103"/>
      <c r="DF77" s="103"/>
      <c r="DG77" s="103"/>
      <c r="DH77" s="103"/>
      <c r="DI77" s="103"/>
      <c r="DJ77" s="103"/>
      <c r="DK77" s="103"/>
      <c r="DL77" s="103"/>
      <c r="DM77" s="103"/>
      <c r="DN77" s="103"/>
      <c r="DO77" s="103"/>
      <c r="DP77" s="103"/>
      <c r="DQ77" s="103"/>
      <c r="DR77" s="103"/>
      <c r="DS77" s="103"/>
      <c r="DT77" s="103"/>
      <c r="DU77" s="103"/>
      <c r="DV77" s="103"/>
      <c r="DW77" s="103"/>
      <c r="DX77" s="103"/>
      <c r="DY77" s="103"/>
      <c r="DZ77" s="103"/>
      <c r="EA77" s="103"/>
      <c r="EB77" s="103"/>
      <c r="EC77" s="103"/>
      <c r="ED77" s="103"/>
      <c r="EE77" s="103"/>
      <c r="EF77" s="103"/>
      <c r="EG77" s="103"/>
      <c r="EH77" s="103"/>
      <c r="EI77" s="103"/>
      <c r="EJ77" s="103"/>
      <c r="EK77" s="103"/>
      <c r="EL77" s="103"/>
      <c r="EM77" s="103"/>
      <c r="EN77" s="103"/>
    </row>
    <row r="78" spans="1:144">
      <c r="A78" s="103" t="s">
        <v>2203</v>
      </c>
      <c r="B78" s="117">
        <v>0.05</v>
      </c>
      <c r="C78" s="117">
        <v>7.0000000000000007E-2</v>
      </c>
      <c r="D78" s="117">
        <v>0.09</v>
      </c>
      <c r="E78" s="117">
        <v>0.12</v>
      </c>
      <c r="F78" s="117">
        <v>0.14000000000000001</v>
      </c>
      <c r="G78" s="117">
        <v>0.22</v>
      </c>
      <c r="H78" s="117">
        <v>0.35</v>
      </c>
      <c r="I78" s="117">
        <v>0.48</v>
      </c>
      <c r="J78" s="117">
        <v>0.69</v>
      </c>
      <c r="K78" s="117">
        <v>0.76</v>
      </c>
      <c r="L78" s="117">
        <v>0.8</v>
      </c>
      <c r="M78" s="117">
        <v>0.6</v>
      </c>
      <c r="N78" s="117">
        <v>0.69</v>
      </c>
      <c r="O78" s="117">
        <v>0.77</v>
      </c>
      <c r="P78" s="117">
        <v>1.04</v>
      </c>
      <c r="Q78" s="117">
        <v>1.1599999999999999</v>
      </c>
      <c r="R78" s="117">
        <v>1.28</v>
      </c>
      <c r="S78" s="117">
        <v>1.69</v>
      </c>
      <c r="T78" s="117">
        <v>1.43</v>
      </c>
      <c r="U78" s="117">
        <v>1.75</v>
      </c>
      <c r="V78" s="117">
        <v>2.0299999999999998</v>
      </c>
      <c r="W78" s="117">
        <v>2.08</v>
      </c>
      <c r="X78" s="117">
        <v>2.06</v>
      </c>
      <c r="Y78" s="117">
        <v>2.08</v>
      </c>
      <c r="Z78" s="117">
        <v>2.13</v>
      </c>
      <c r="AA78" s="117">
        <v>2.06</v>
      </c>
      <c r="AB78" s="117">
        <v>2.2400000000000002</v>
      </c>
      <c r="AC78" s="117">
        <v>2.77</v>
      </c>
      <c r="AD78" s="117">
        <v>3.51</v>
      </c>
      <c r="AE78" s="117">
        <v>4.26</v>
      </c>
      <c r="AG78" s="103" t="s">
        <v>2203</v>
      </c>
      <c r="AH78" s="117">
        <v>0.02</v>
      </c>
      <c r="AI78" s="117">
        <v>0.02</v>
      </c>
      <c r="AJ78" s="117">
        <v>0.02</v>
      </c>
      <c r="AK78" s="117">
        <v>0.02</v>
      </c>
      <c r="AL78" s="117">
        <v>0.02</v>
      </c>
      <c r="AM78" s="117">
        <v>0.03</v>
      </c>
      <c r="AN78" s="117">
        <v>0.03</v>
      </c>
      <c r="AO78" s="117">
        <v>0.03</v>
      </c>
      <c r="AP78" s="117">
        <v>0.03</v>
      </c>
      <c r="AQ78" s="117">
        <v>0.03</v>
      </c>
      <c r="AR78" s="117">
        <v>0.04</v>
      </c>
      <c r="AS78" s="117">
        <v>0.04</v>
      </c>
      <c r="AT78" s="117">
        <v>0.05</v>
      </c>
      <c r="AU78" s="117">
        <v>0.05</v>
      </c>
      <c r="AV78" s="117">
        <v>0.05</v>
      </c>
      <c r="AW78" s="117">
        <v>0.05</v>
      </c>
      <c r="AX78" s="117">
        <v>0.06</v>
      </c>
      <c r="AY78" s="117">
        <v>7.0000000000000007E-2</v>
      </c>
      <c r="AZ78" s="117">
        <v>0.1</v>
      </c>
      <c r="BA78" s="117">
        <v>0.1</v>
      </c>
      <c r="BB78" s="117">
        <v>0.1</v>
      </c>
      <c r="BC78" s="117">
        <v>0.11</v>
      </c>
      <c r="BD78" s="117">
        <v>0.13</v>
      </c>
      <c r="BE78" s="117">
        <v>0.13</v>
      </c>
      <c r="BF78" s="117">
        <v>0.15</v>
      </c>
      <c r="BG78" s="117">
        <v>0.19</v>
      </c>
      <c r="BH78" s="117">
        <v>0.16</v>
      </c>
      <c r="BI78" s="117">
        <v>0.19</v>
      </c>
      <c r="BJ78" s="117">
        <v>0.19</v>
      </c>
      <c r="BK78" s="117">
        <v>0.2</v>
      </c>
      <c r="BL78" s="117">
        <v>0.19</v>
      </c>
      <c r="BM78" s="117">
        <v>0.18</v>
      </c>
      <c r="BN78" s="117">
        <v>0.23</v>
      </c>
      <c r="BO78" s="117">
        <v>0.23</v>
      </c>
      <c r="BP78" s="117">
        <v>0.21</v>
      </c>
      <c r="BQ78" s="117">
        <v>0.13</v>
      </c>
      <c r="BR78" s="117">
        <v>0.17</v>
      </c>
      <c r="BS78" s="117">
        <v>0.23</v>
      </c>
      <c r="BT78" s="117">
        <v>0.23</v>
      </c>
      <c r="BU78" s="117">
        <v>0.27</v>
      </c>
      <c r="BV78" s="117">
        <v>0.2</v>
      </c>
      <c r="BW78" s="117">
        <v>0.17</v>
      </c>
      <c r="BX78" s="117">
        <v>0.19</v>
      </c>
      <c r="BY78" s="117">
        <v>0.18</v>
      </c>
      <c r="BZ78" s="117">
        <v>0.21</v>
      </c>
      <c r="CA78" s="117">
        <v>0.12</v>
      </c>
      <c r="CB78" s="117">
        <v>0.25</v>
      </c>
      <c r="CC78" s="117">
        <v>0.18</v>
      </c>
      <c r="CD78" s="117">
        <v>0.25</v>
      </c>
      <c r="CE78" s="117">
        <v>0.28999999999999998</v>
      </c>
      <c r="CF78" s="117">
        <v>0.3</v>
      </c>
      <c r="CG78" s="117">
        <v>0.21</v>
      </c>
      <c r="CH78" s="117">
        <v>0.28000000000000003</v>
      </c>
      <c r="CI78" s="117">
        <v>0.3</v>
      </c>
      <c r="CJ78" s="117">
        <v>0.28000000000000003</v>
      </c>
      <c r="CK78" s="117">
        <v>0.3</v>
      </c>
      <c r="CL78" s="117">
        <v>0.3</v>
      </c>
      <c r="CM78" s="117">
        <v>0.24</v>
      </c>
      <c r="CN78" s="117">
        <v>0.46</v>
      </c>
      <c r="CO78" s="117">
        <v>0.27</v>
      </c>
      <c r="CP78" s="117">
        <v>0.4</v>
      </c>
      <c r="CQ78" s="117">
        <v>0.45</v>
      </c>
      <c r="CR78" s="117">
        <v>0.42</v>
      </c>
      <c r="CS78" s="117">
        <v>0.4</v>
      </c>
      <c r="CT78" s="117">
        <v>0.4</v>
      </c>
      <c r="CU78" s="117">
        <v>0.38</v>
      </c>
      <c r="CV78" s="117">
        <v>0.34</v>
      </c>
      <c r="CW78" s="117">
        <v>0.32</v>
      </c>
      <c r="CX78" s="117">
        <v>0.33</v>
      </c>
      <c r="CY78" s="117">
        <v>0.62</v>
      </c>
      <c r="CZ78" s="117">
        <v>0.37</v>
      </c>
      <c r="DA78" s="117">
        <v>0.43</v>
      </c>
      <c r="DB78" s="117">
        <v>0.52</v>
      </c>
      <c r="DC78" s="117">
        <v>0.62</v>
      </c>
      <c r="DD78" s="117">
        <v>0.45</v>
      </c>
      <c r="DE78" s="117">
        <v>0.43</v>
      </c>
      <c r="DF78" s="117">
        <v>0.54</v>
      </c>
      <c r="DG78" s="117">
        <v>0.6</v>
      </c>
      <c r="DH78" s="117">
        <v>0.47</v>
      </c>
      <c r="DI78" s="117">
        <v>0.47</v>
      </c>
      <c r="DJ78" s="117">
        <v>0.41</v>
      </c>
      <c r="DK78" s="117">
        <v>0.56999999999999995</v>
      </c>
      <c r="DL78" s="117">
        <v>0.62</v>
      </c>
      <c r="DM78" s="117">
        <v>0.46</v>
      </c>
      <c r="DN78" s="117">
        <v>0.48</v>
      </c>
      <c r="DO78" s="117">
        <v>0.59</v>
      </c>
      <c r="DP78" s="117">
        <v>0.52</v>
      </c>
      <c r="DQ78" s="117">
        <v>0.49</v>
      </c>
      <c r="DR78" s="117">
        <v>0.53</v>
      </c>
      <c r="DS78" s="117">
        <v>0.59</v>
      </c>
      <c r="DT78" s="117">
        <v>0.5</v>
      </c>
      <c r="DU78" s="117">
        <v>0.51</v>
      </c>
      <c r="DV78" s="117">
        <v>0.43</v>
      </c>
      <c r="DW78" s="117">
        <v>0.45</v>
      </c>
      <c r="DX78" s="117">
        <v>0.39</v>
      </c>
      <c r="DY78" s="117">
        <v>0.32</v>
      </c>
      <c r="DZ78" s="117">
        <v>0.52</v>
      </c>
      <c r="EA78" s="117">
        <v>0.59</v>
      </c>
      <c r="EB78" s="117">
        <v>0.52</v>
      </c>
      <c r="EC78" s="117">
        <v>0.81</v>
      </c>
      <c r="ED78" s="117">
        <v>0.6</v>
      </c>
      <c r="EE78" s="117">
        <v>0.68</v>
      </c>
      <c r="EF78" s="117">
        <v>0.66</v>
      </c>
      <c r="EG78" s="117">
        <v>0.82</v>
      </c>
      <c r="EH78" s="117">
        <v>0.81</v>
      </c>
      <c r="EI78" s="117">
        <v>0.84</v>
      </c>
      <c r="EJ78" s="117">
        <v>0.85</v>
      </c>
      <c r="EK78" s="117">
        <v>1.01</v>
      </c>
      <c r="EL78" s="117">
        <v>1.04</v>
      </c>
      <c r="EM78" s="117">
        <v>1.1399999999999999</v>
      </c>
      <c r="EN78" s="117">
        <v>1.06</v>
      </c>
    </row>
    <row r="79" spans="1:144">
      <c r="A79" s="103" t="s">
        <v>2204</v>
      </c>
      <c r="B79" s="118">
        <v>4.6473E-2</v>
      </c>
      <c r="C79" s="118">
        <v>6.9155999999999995E-2</v>
      </c>
      <c r="D79" s="118">
        <v>9.0306999999999998E-2</v>
      </c>
      <c r="E79" s="118">
        <v>0.116034</v>
      </c>
      <c r="F79" s="118">
        <v>0.13787099999999999</v>
      </c>
      <c r="G79" s="118">
        <v>0.20615700000000001</v>
      </c>
      <c r="H79" s="118">
        <v>0.31667099999999998</v>
      </c>
      <c r="I79" s="118">
        <v>0.432033</v>
      </c>
      <c r="J79" s="118">
        <v>0.63206799999999996</v>
      </c>
      <c r="K79" s="118">
        <v>0.708036</v>
      </c>
      <c r="L79" s="118">
        <v>0.77065300000000003</v>
      </c>
      <c r="M79" s="118">
        <v>0.57958500000000002</v>
      </c>
      <c r="N79" s="118">
        <v>0.675427</v>
      </c>
      <c r="O79" s="118">
        <v>0.76561599999999996</v>
      </c>
      <c r="P79" s="118">
        <v>1.036241</v>
      </c>
      <c r="Q79" s="118">
        <v>1.151421</v>
      </c>
      <c r="R79" s="118">
        <v>1.262011</v>
      </c>
      <c r="S79" s="118">
        <v>1.6676340000000001</v>
      </c>
      <c r="T79" s="118">
        <v>1.4191720000000001</v>
      </c>
      <c r="U79" s="118">
        <v>1.726013</v>
      </c>
      <c r="V79" s="118">
        <v>2.0072290000000002</v>
      </c>
      <c r="W79" s="118">
        <v>2.0559750000000001</v>
      </c>
      <c r="X79" s="118">
        <v>2.0405099999999998</v>
      </c>
      <c r="Y79" s="118">
        <v>2.0525500000000001</v>
      </c>
      <c r="Z79" s="118">
        <v>2.10663</v>
      </c>
      <c r="AA79" s="118">
        <v>2.0366900000000001</v>
      </c>
      <c r="AB79" s="118">
        <v>2.2198989999999998</v>
      </c>
      <c r="AC79" s="118">
        <v>2.733031</v>
      </c>
      <c r="AD79" s="118">
        <v>3.469382</v>
      </c>
      <c r="AE79" s="118">
        <v>4.2136690000000003</v>
      </c>
      <c r="AG79" s="103" t="s">
        <v>2204</v>
      </c>
      <c r="AH79" s="118">
        <v>2.1218000000000001E-2</v>
      </c>
      <c r="AI79" s="118">
        <v>2.2367000000000001E-2</v>
      </c>
      <c r="AJ79" s="118">
        <v>2.2936000000000002E-2</v>
      </c>
      <c r="AK79" s="118">
        <v>2.4892000000000001E-2</v>
      </c>
      <c r="AL79" s="118">
        <v>2.3334000000000001E-2</v>
      </c>
      <c r="AM79" s="118">
        <v>2.8139999999999998E-2</v>
      </c>
      <c r="AN79" s="118">
        <v>3.2252000000000003E-2</v>
      </c>
      <c r="AO79" s="118">
        <v>3.2183000000000003E-2</v>
      </c>
      <c r="AP79" s="118">
        <v>2.9579000000000001E-2</v>
      </c>
      <c r="AQ79" s="118">
        <v>3.4812000000000003E-2</v>
      </c>
      <c r="AR79" s="118">
        <v>3.6940000000000001E-2</v>
      </c>
      <c r="AS79" s="118">
        <v>3.6421000000000002E-2</v>
      </c>
      <c r="AT79" s="118">
        <v>4.6996999999999997E-2</v>
      </c>
      <c r="AU79" s="118">
        <v>5.4184999999999997E-2</v>
      </c>
      <c r="AV79" s="118">
        <v>5.2816000000000002E-2</v>
      </c>
      <c r="AW79" s="118">
        <v>5.2082999999999997E-2</v>
      </c>
      <c r="AX79" s="118">
        <v>5.7054000000000001E-2</v>
      </c>
      <c r="AY79" s="118">
        <v>6.8298999999999999E-2</v>
      </c>
      <c r="AZ79" s="118">
        <v>9.4981999999999997E-2</v>
      </c>
      <c r="BA79" s="118">
        <v>9.5727999999999994E-2</v>
      </c>
      <c r="BB79" s="118">
        <v>8.7828000000000003E-2</v>
      </c>
      <c r="BC79" s="118">
        <v>0.103697</v>
      </c>
      <c r="BD79" s="118">
        <v>0.119704</v>
      </c>
      <c r="BE79" s="118">
        <v>0.12056500000000001</v>
      </c>
      <c r="BF79" s="118">
        <v>0.134741</v>
      </c>
      <c r="BG79" s="118">
        <v>0.17061499999999999</v>
      </c>
      <c r="BH79" s="118">
        <v>0.14734800000000001</v>
      </c>
      <c r="BI79" s="118">
        <v>0.18080099999999999</v>
      </c>
      <c r="BJ79" s="118">
        <v>0.17640600000000001</v>
      </c>
      <c r="BK79" s="118">
        <v>0.18576200000000001</v>
      </c>
      <c r="BL79" s="118">
        <v>0.178096</v>
      </c>
      <c r="BM79" s="118">
        <v>0.16914599999999999</v>
      </c>
      <c r="BN79" s="118">
        <v>0.216618</v>
      </c>
      <c r="BO79" s="118">
        <v>0.21975900000000001</v>
      </c>
      <c r="BP79" s="118">
        <v>0.205487</v>
      </c>
      <c r="BQ79" s="118">
        <v>0.12959300000000001</v>
      </c>
      <c r="BR79" s="118">
        <v>0.160937</v>
      </c>
      <c r="BS79" s="118">
        <v>0.225938</v>
      </c>
      <c r="BT79" s="118">
        <v>0.22609799999999999</v>
      </c>
      <c r="BU79" s="118">
        <v>0.26373099999999999</v>
      </c>
      <c r="BV79" s="118">
        <v>0.20133899999999999</v>
      </c>
      <c r="BW79" s="118">
        <v>0.169763</v>
      </c>
      <c r="BX79" s="118">
        <v>0.18339900000000001</v>
      </c>
      <c r="BY79" s="118">
        <v>0.17371300000000001</v>
      </c>
      <c r="BZ79" s="118">
        <v>0.209921</v>
      </c>
      <c r="CA79" s="118">
        <v>0.114804</v>
      </c>
      <c r="CB79" s="118">
        <v>0.25245200000000001</v>
      </c>
      <c r="CC79" s="118">
        <v>0.179204</v>
      </c>
      <c r="CD79" s="118">
        <v>0.244448</v>
      </c>
      <c r="CE79" s="118">
        <v>0.28933900000000001</v>
      </c>
      <c r="CF79" s="118">
        <v>0.293431</v>
      </c>
      <c r="CG79" s="118">
        <v>0.211144</v>
      </c>
      <c r="CH79" s="118">
        <v>0.282503</v>
      </c>
      <c r="CI79" s="118">
        <v>0.29375800000000002</v>
      </c>
      <c r="CJ79" s="118">
        <v>0.27874399999999999</v>
      </c>
      <c r="CK79" s="118">
        <v>0.29308800000000002</v>
      </c>
      <c r="CL79" s="118">
        <v>0.297514</v>
      </c>
      <c r="CM79" s="118">
        <v>0.239702</v>
      </c>
      <c r="CN79" s="118">
        <v>0.45807100000000001</v>
      </c>
      <c r="CO79" s="118">
        <v>0.26897500000000002</v>
      </c>
      <c r="CP79" s="118">
        <v>0.39846700000000002</v>
      </c>
      <c r="CQ79" s="118">
        <v>0.44281999999999999</v>
      </c>
      <c r="CR79" s="118">
        <v>0.41916300000000001</v>
      </c>
      <c r="CS79" s="118">
        <v>0.39352300000000001</v>
      </c>
      <c r="CT79" s="118">
        <v>0.39896999999999999</v>
      </c>
      <c r="CU79" s="118">
        <v>0.37637399999999999</v>
      </c>
      <c r="CV79" s="118">
        <v>0.340366</v>
      </c>
      <c r="CW79" s="118">
        <v>0.32397999999999999</v>
      </c>
      <c r="CX79" s="118">
        <v>0.32603199999999999</v>
      </c>
      <c r="CY79" s="118">
        <v>0.61333899999999997</v>
      </c>
      <c r="CZ79" s="118">
        <v>0.36587399999999998</v>
      </c>
      <c r="DA79" s="118">
        <v>0.42838100000000001</v>
      </c>
      <c r="DB79" s="118">
        <v>0.51487899999999998</v>
      </c>
      <c r="DC79" s="118">
        <v>0.61121599999999998</v>
      </c>
      <c r="DD79" s="118">
        <v>0.442494</v>
      </c>
      <c r="DE79" s="118">
        <v>0.42871999999999999</v>
      </c>
      <c r="DF79" s="118">
        <v>0.53680799999999995</v>
      </c>
      <c r="DG79" s="118">
        <v>0.59088799999999997</v>
      </c>
      <c r="DH79" s="118">
        <v>0.46510899999999999</v>
      </c>
      <c r="DI79" s="118">
        <v>0.47404000000000002</v>
      </c>
      <c r="DJ79" s="118">
        <v>0.40815499999999999</v>
      </c>
      <c r="DK79" s="118">
        <v>0.57081899999999997</v>
      </c>
      <c r="DL79" s="118">
        <v>0.61328400000000005</v>
      </c>
      <c r="DM79" s="118">
        <v>0.45331300000000002</v>
      </c>
      <c r="DN79" s="118">
        <v>0.47575200000000001</v>
      </c>
      <c r="DO79" s="118">
        <v>0.58628599999999997</v>
      </c>
      <c r="DP79" s="118">
        <v>0.51287700000000003</v>
      </c>
      <c r="DQ79" s="118">
        <v>0.48097600000000001</v>
      </c>
      <c r="DR79" s="118">
        <v>0.52022199999999996</v>
      </c>
      <c r="DS79" s="118">
        <v>0.58823899999999996</v>
      </c>
      <c r="DT79" s="118">
        <v>0.496008</v>
      </c>
      <c r="DU79" s="118">
        <v>0.50583</v>
      </c>
      <c r="DV79" s="118">
        <v>0.42197499999999999</v>
      </c>
      <c r="DW79" s="118">
        <v>0.44978800000000002</v>
      </c>
      <c r="DX79" s="118">
        <v>0.38994899999999999</v>
      </c>
      <c r="DY79" s="118">
        <v>0.31451000000000001</v>
      </c>
      <c r="DZ79" s="118">
        <v>0.51120399999999999</v>
      </c>
      <c r="EA79" s="118">
        <v>0.58668500000000001</v>
      </c>
      <c r="EB79" s="118">
        <v>0.50964699999999996</v>
      </c>
      <c r="EC79" s="118">
        <v>0.79634199999999999</v>
      </c>
      <c r="ED79" s="118">
        <v>0.593024</v>
      </c>
      <c r="EE79" s="118">
        <v>0.683365</v>
      </c>
      <c r="EF79" s="118">
        <v>0.65290599999999999</v>
      </c>
      <c r="EG79" s="118">
        <v>0.81269999999999998</v>
      </c>
      <c r="EH79" s="118">
        <v>0.80301900000000004</v>
      </c>
      <c r="EI79" s="118">
        <v>0.82799599999999995</v>
      </c>
      <c r="EJ79" s="118">
        <v>0.84274899999999997</v>
      </c>
      <c r="EK79" s="118">
        <v>0.99684600000000001</v>
      </c>
      <c r="EL79" s="118">
        <v>1.0329919999999999</v>
      </c>
      <c r="EM79" s="118">
        <v>1.1314360000000001</v>
      </c>
      <c r="EN79" s="118">
        <v>1.054071</v>
      </c>
    </row>
    <row r="80" spans="1:144">
      <c r="A80" s="103"/>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c r="CD80" s="103"/>
      <c r="CE80" s="103"/>
      <c r="CF80" s="103"/>
      <c r="CG80" s="103"/>
      <c r="CH80" s="103"/>
      <c r="CI80" s="103"/>
      <c r="CJ80" s="103"/>
      <c r="CK80" s="103"/>
      <c r="CL80" s="103"/>
      <c r="CM80" s="103"/>
      <c r="CN80" s="103"/>
      <c r="CO80" s="103"/>
      <c r="CP80" s="103"/>
      <c r="CQ80" s="103"/>
      <c r="CR80" s="103"/>
      <c r="CS80" s="103"/>
      <c r="CT80" s="103"/>
      <c r="CU80" s="103"/>
      <c r="CV80" s="103"/>
      <c r="CW80" s="103"/>
      <c r="CX80" s="103"/>
      <c r="CY80" s="103"/>
      <c r="CZ80" s="103"/>
      <c r="DA80" s="103"/>
      <c r="DB80" s="103"/>
      <c r="DC80" s="103"/>
      <c r="DD80" s="103"/>
      <c r="DE80" s="103"/>
      <c r="DF80" s="103"/>
      <c r="DG80" s="103"/>
      <c r="DH80" s="103"/>
      <c r="DI80" s="103"/>
      <c r="DJ80" s="103"/>
      <c r="DK80" s="103"/>
      <c r="DL80" s="103"/>
      <c r="DM80" s="103"/>
      <c r="DN80" s="103"/>
      <c r="DO80" s="103"/>
      <c r="DP80" s="103"/>
      <c r="DQ80" s="103"/>
      <c r="DR80" s="103"/>
      <c r="DS80" s="103"/>
      <c r="DT80" s="103"/>
      <c r="DU80" s="103"/>
      <c r="DV80" s="103"/>
      <c r="DW80" s="103"/>
      <c r="DX80" s="103"/>
      <c r="DY80" s="103"/>
      <c r="DZ80" s="103"/>
      <c r="EA80" s="103"/>
      <c r="EB80" s="103"/>
      <c r="EC80" s="103"/>
      <c r="ED80" s="103"/>
      <c r="EE80" s="103"/>
      <c r="EF80" s="103"/>
      <c r="EG80" s="103"/>
      <c r="EH80" s="103"/>
      <c r="EI80" s="103"/>
      <c r="EJ80" s="103"/>
      <c r="EK80" s="103"/>
      <c r="EL80" s="103"/>
      <c r="EM80" s="103"/>
      <c r="EN80" s="103"/>
    </row>
    <row r="81" spans="1:144">
      <c r="A81" s="103" t="s">
        <v>2205</v>
      </c>
      <c r="B81" s="118" t="s">
        <v>273</v>
      </c>
      <c r="C81" s="118" t="s">
        <v>273</v>
      </c>
      <c r="D81" s="118" t="s">
        <v>273</v>
      </c>
      <c r="E81" s="118" t="s">
        <v>273</v>
      </c>
      <c r="F81" s="118" t="s">
        <v>273</v>
      </c>
      <c r="G81" s="118" t="s">
        <v>273</v>
      </c>
      <c r="H81" s="118" t="s">
        <v>273</v>
      </c>
      <c r="I81" s="118" t="s">
        <v>273</v>
      </c>
      <c r="J81" s="118" t="s">
        <v>273</v>
      </c>
      <c r="K81" s="118" t="s">
        <v>273</v>
      </c>
      <c r="L81" s="118" t="s">
        <v>273</v>
      </c>
      <c r="M81" s="118" t="s">
        <v>273</v>
      </c>
      <c r="N81" s="117">
        <v>0.08</v>
      </c>
      <c r="O81" s="117">
        <v>0.16</v>
      </c>
      <c r="P81" s="117">
        <v>0.4</v>
      </c>
      <c r="Q81" s="117">
        <v>0.35</v>
      </c>
      <c r="R81" s="117">
        <v>0.4</v>
      </c>
      <c r="S81" s="117">
        <v>0.44</v>
      </c>
      <c r="T81" s="117">
        <v>0.52</v>
      </c>
      <c r="U81" s="117">
        <v>0.52</v>
      </c>
      <c r="V81" s="117">
        <v>0.64</v>
      </c>
      <c r="W81" s="117">
        <v>0.8</v>
      </c>
      <c r="X81" s="117">
        <v>0.92</v>
      </c>
      <c r="Y81" s="117">
        <v>1.1200000000000001</v>
      </c>
      <c r="Z81" s="117">
        <v>1.24</v>
      </c>
      <c r="AA81" s="117">
        <v>1.44</v>
      </c>
      <c r="AB81" s="117">
        <v>1.56</v>
      </c>
      <c r="AC81" s="117">
        <v>1.68</v>
      </c>
      <c r="AD81" s="117">
        <v>1.84</v>
      </c>
      <c r="AE81" s="117">
        <v>1.99</v>
      </c>
      <c r="AG81" s="103" t="s">
        <v>2205</v>
      </c>
      <c r="AH81" s="118" t="s">
        <v>273</v>
      </c>
      <c r="AI81" s="118" t="s">
        <v>273</v>
      </c>
      <c r="AJ81" s="118" t="s">
        <v>273</v>
      </c>
      <c r="AK81" s="118" t="s">
        <v>273</v>
      </c>
      <c r="AL81" s="118" t="s">
        <v>273</v>
      </c>
      <c r="AM81" s="118" t="s">
        <v>273</v>
      </c>
      <c r="AN81" s="118" t="s">
        <v>273</v>
      </c>
      <c r="AO81" s="118" t="s">
        <v>273</v>
      </c>
      <c r="AP81" s="118" t="s">
        <v>273</v>
      </c>
      <c r="AQ81" s="118" t="s">
        <v>273</v>
      </c>
      <c r="AR81" s="118" t="s">
        <v>273</v>
      </c>
      <c r="AS81" s="118" t="s">
        <v>273</v>
      </c>
      <c r="AT81" s="118" t="s">
        <v>273</v>
      </c>
      <c r="AU81" s="118" t="s">
        <v>273</v>
      </c>
      <c r="AV81" s="118" t="s">
        <v>273</v>
      </c>
      <c r="AW81" s="118" t="s">
        <v>273</v>
      </c>
      <c r="AX81" s="118" t="s">
        <v>273</v>
      </c>
      <c r="AY81" s="118" t="s">
        <v>273</v>
      </c>
      <c r="AZ81" s="118" t="s">
        <v>273</v>
      </c>
      <c r="BA81" s="118" t="s">
        <v>273</v>
      </c>
      <c r="BB81" s="118" t="s">
        <v>273</v>
      </c>
      <c r="BC81" s="118" t="s">
        <v>273</v>
      </c>
      <c r="BD81" s="118" t="s">
        <v>273</v>
      </c>
      <c r="BE81" s="118" t="s">
        <v>273</v>
      </c>
      <c r="BF81" s="118" t="s">
        <v>273</v>
      </c>
      <c r="BG81" s="118" t="s">
        <v>273</v>
      </c>
      <c r="BH81" s="118" t="s">
        <v>273</v>
      </c>
      <c r="BI81" s="118" t="s">
        <v>273</v>
      </c>
      <c r="BJ81" s="118" t="s">
        <v>273</v>
      </c>
      <c r="BK81" s="118" t="s">
        <v>273</v>
      </c>
      <c r="BL81" s="118" t="s">
        <v>273</v>
      </c>
      <c r="BM81" s="118" t="s">
        <v>273</v>
      </c>
      <c r="BN81" s="118" t="s">
        <v>273</v>
      </c>
      <c r="BO81" s="118" t="s">
        <v>273</v>
      </c>
      <c r="BP81" s="118" t="s">
        <v>273</v>
      </c>
      <c r="BQ81" s="118" t="s">
        <v>273</v>
      </c>
      <c r="BR81" s="118" t="s">
        <v>273</v>
      </c>
      <c r="BS81" s="118" t="s">
        <v>273</v>
      </c>
      <c r="BT81" s="118" t="s">
        <v>273</v>
      </c>
      <c r="BU81" s="118" t="s">
        <v>273</v>
      </c>
      <c r="BV81" s="118" t="s">
        <v>273</v>
      </c>
      <c r="BW81" s="118" t="s">
        <v>273</v>
      </c>
      <c r="BX81" s="117">
        <v>0.08</v>
      </c>
      <c r="BY81" s="117">
        <v>0</v>
      </c>
      <c r="BZ81" s="117">
        <v>0.16</v>
      </c>
      <c r="CA81" s="117">
        <v>0</v>
      </c>
      <c r="CB81" s="117">
        <v>0</v>
      </c>
      <c r="CC81" s="117">
        <v>0</v>
      </c>
      <c r="CD81" s="117">
        <v>0.08</v>
      </c>
      <c r="CE81" s="117">
        <v>0.08</v>
      </c>
      <c r="CF81" s="117">
        <v>0.08</v>
      </c>
      <c r="CG81" s="117">
        <v>0.16</v>
      </c>
      <c r="CH81" s="117">
        <v>0.08</v>
      </c>
      <c r="CI81" s="117">
        <v>0.09</v>
      </c>
      <c r="CJ81" s="117">
        <v>0.09</v>
      </c>
      <c r="CK81" s="117">
        <v>0.09</v>
      </c>
      <c r="CL81" s="117">
        <v>0.1</v>
      </c>
      <c r="CM81" s="117">
        <v>0.1</v>
      </c>
      <c r="CN81" s="117">
        <v>0.1</v>
      </c>
      <c r="CO81" s="117">
        <v>0.1</v>
      </c>
      <c r="CP81" s="117">
        <v>0.11</v>
      </c>
      <c r="CQ81" s="117">
        <v>0.11</v>
      </c>
      <c r="CR81" s="117">
        <v>0.11</v>
      </c>
      <c r="CS81" s="117">
        <v>0.11</v>
      </c>
      <c r="CT81" s="117">
        <v>0.13</v>
      </c>
      <c r="CU81" s="117">
        <v>0.13</v>
      </c>
      <c r="CV81" s="117">
        <v>0.13</v>
      </c>
      <c r="CW81" s="117">
        <v>0.13</v>
      </c>
      <c r="CX81" s="117">
        <v>0.13</v>
      </c>
      <c r="CY81" s="117">
        <v>0.13</v>
      </c>
      <c r="CZ81" s="117">
        <v>0.13</v>
      </c>
      <c r="DA81" s="117">
        <v>0.13</v>
      </c>
      <c r="DB81" s="117">
        <v>0.16</v>
      </c>
      <c r="DC81" s="117">
        <v>0.16</v>
      </c>
      <c r="DD81" s="117">
        <v>0.16</v>
      </c>
      <c r="DE81" s="117">
        <v>0.16</v>
      </c>
      <c r="DF81" s="117">
        <v>0.2</v>
      </c>
      <c r="DG81" s="117">
        <v>0.2</v>
      </c>
      <c r="DH81" s="117">
        <v>0.2</v>
      </c>
      <c r="DI81" s="117">
        <v>0.2</v>
      </c>
      <c r="DJ81" s="117">
        <v>0.23</v>
      </c>
      <c r="DK81" s="117">
        <v>0.23</v>
      </c>
      <c r="DL81" s="117">
        <v>0.23</v>
      </c>
      <c r="DM81" s="117">
        <v>0.23</v>
      </c>
      <c r="DN81" s="117">
        <v>0.28000000000000003</v>
      </c>
      <c r="DO81" s="117">
        <v>0.28000000000000003</v>
      </c>
      <c r="DP81" s="117">
        <v>0.28000000000000003</v>
      </c>
      <c r="DQ81" s="117">
        <v>0.28000000000000003</v>
      </c>
      <c r="DR81" s="117">
        <v>0.31</v>
      </c>
      <c r="DS81" s="117">
        <v>0.31</v>
      </c>
      <c r="DT81" s="117">
        <v>0.31</v>
      </c>
      <c r="DU81" s="117">
        <v>0.31</v>
      </c>
      <c r="DV81" s="117">
        <v>0.36</v>
      </c>
      <c r="DW81" s="117">
        <v>0.36</v>
      </c>
      <c r="DX81" s="117">
        <v>0.36</v>
      </c>
      <c r="DY81" s="117">
        <v>0.36</v>
      </c>
      <c r="DZ81" s="117">
        <v>0.39</v>
      </c>
      <c r="EA81" s="117">
        <v>0.39</v>
      </c>
      <c r="EB81" s="117">
        <v>0.39</v>
      </c>
      <c r="EC81" s="117">
        <v>0.39</v>
      </c>
      <c r="ED81" s="117">
        <v>0.42</v>
      </c>
      <c r="EE81" s="117">
        <v>0.42</v>
      </c>
      <c r="EF81" s="117">
        <v>0.42</v>
      </c>
      <c r="EG81" s="117">
        <v>0.42</v>
      </c>
      <c r="EH81" s="117">
        <v>0.46</v>
      </c>
      <c r="EI81" s="117">
        <v>0.46</v>
      </c>
      <c r="EJ81" s="117">
        <v>0.46</v>
      </c>
      <c r="EK81" s="117">
        <v>0.46</v>
      </c>
      <c r="EL81" s="117">
        <v>0.51</v>
      </c>
      <c r="EM81" s="117">
        <v>0.51</v>
      </c>
      <c r="EN81" s="117">
        <v>0.51</v>
      </c>
    </row>
    <row r="82" spans="1:144">
      <c r="A82" s="103" t="s">
        <v>2206</v>
      </c>
      <c r="B82" s="119" t="s">
        <v>273</v>
      </c>
      <c r="C82" s="119" t="s">
        <v>273</v>
      </c>
      <c r="D82" s="119" t="s">
        <v>273</v>
      </c>
      <c r="E82" s="119" t="s">
        <v>273</v>
      </c>
      <c r="F82" s="119" t="s">
        <v>273</v>
      </c>
      <c r="G82" s="119" t="s">
        <v>273</v>
      </c>
      <c r="H82" s="120">
        <v>4.3420000000000004E-3</v>
      </c>
      <c r="I82" s="120">
        <v>6.2360000000000002E-3</v>
      </c>
      <c r="J82" s="120">
        <v>3.5959999999999998E-3</v>
      </c>
      <c r="K82" s="120">
        <v>1.379E-3</v>
      </c>
      <c r="L82" s="119" t="s">
        <v>273</v>
      </c>
      <c r="M82" s="119" t="s">
        <v>273</v>
      </c>
      <c r="N82" s="120">
        <v>0.11379599999999999</v>
      </c>
      <c r="O82" s="120">
        <v>0.21167900000000001</v>
      </c>
      <c r="P82" s="120">
        <v>0.28333599999999998</v>
      </c>
      <c r="Q82" s="120">
        <v>0.28137099999999998</v>
      </c>
      <c r="R82" s="120">
        <v>0.27052900000000002</v>
      </c>
      <c r="S82" s="120">
        <v>0.227079</v>
      </c>
      <c r="T82" s="120">
        <v>0.30667800000000001</v>
      </c>
      <c r="U82" s="120">
        <v>0.244029</v>
      </c>
      <c r="V82" s="120">
        <v>0.22375800000000001</v>
      </c>
      <c r="W82" s="120">
        <v>0.37607400000000002</v>
      </c>
      <c r="X82" s="120">
        <v>0.34098699999999998</v>
      </c>
      <c r="Y82" s="120">
        <v>0.40223700000000001</v>
      </c>
      <c r="Z82" s="120">
        <v>0.81046499999999999</v>
      </c>
      <c r="AA82" s="120">
        <v>0.53585799999999995</v>
      </c>
      <c r="AB82" s="120">
        <v>0.46471000000000001</v>
      </c>
      <c r="AC82" s="120">
        <v>0.76633799999999996</v>
      </c>
      <c r="AD82" s="120">
        <v>0.351962</v>
      </c>
      <c r="AE82" s="120">
        <v>0.31973800000000002</v>
      </c>
      <c r="AG82" s="103" t="s">
        <v>2206</v>
      </c>
      <c r="AH82" s="119" t="s">
        <v>273</v>
      </c>
      <c r="AI82" s="119" t="s">
        <v>273</v>
      </c>
      <c r="AJ82" s="119" t="s">
        <v>273</v>
      </c>
      <c r="AK82" s="119" t="s">
        <v>273</v>
      </c>
      <c r="AL82" s="119" t="s">
        <v>273</v>
      </c>
      <c r="AM82" s="119" t="s">
        <v>273</v>
      </c>
      <c r="AN82" s="119" t="s">
        <v>273</v>
      </c>
      <c r="AO82" s="119" t="s">
        <v>273</v>
      </c>
      <c r="AP82" s="119" t="s">
        <v>273</v>
      </c>
      <c r="AQ82" s="119" t="s">
        <v>273</v>
      </c>
      <c r="AR82" s="119" t="s">
        <v>273</v>
      </c>
      <c r="AS82" s="119" t="s">
        <v>273</v>
      </c>
      <c r="AT82" s="119" t="s">
        <v>273</v>
      </c>
      <c r="AU82" s="119" t="s">
        <v>273</v>
      </c>
      <c r="AV82" s="119" t="s">
        <v>273</v>
      </c>
      <c r="AW82" s="119" t="s">
        <v>273</v>
      </c>
      <c r="AX82" s="119" t="s">
        <v>273</v>
      </c>
      <c r="AY82" s="119" t="s">
        <v>273</v>
      </c>
      <c r="AZ82" s="120">
        <v>6.7169999999999999E-3</v>
      </c>
      <c r="BA82" s="120">
        <v>7.5680000000000001E-3</v>
      </c>
      <c r="BB82" s="120">
        <v>1.0558E-2</v>
      </c>
      <c r="BC82" s="120">
        <v>6.1780000000000003E-3</v>
      </c>
      <c r="BD82" s="120">
        <v>5.2350000000000001E-3</v>
      </c>
      <c r="BE82" s="120">
        <v>5.1580000000000003E-3</v>
      </c>
      <c r="BF82" s="120">
        <v>4.1590000000000004E-3</v>
      </c>
      <c r="BG82" s="120">
        <v>3.5300000000000002E-3</v>
      </c>
      <c r="BH82" s="120">
        <v>3.6510000000000002E-3</v>
      </c>
      <c r="BI82" s="120">
        <v>3.1779999999999998E-3</v>
      </c>
      <c r="BJ82" s="120">
        <v>3.1939999999999998E-3</v>
      </c>
      <c r="BK82" s="120">
        <v>2.4629999999999999E-3</v>
      </c>
      <c r="BL82" s="120">
        <v>0</v>
      </c>
      <c r="BM82" s="120">
        <v>0</v>
      </c>
      <c r="BN82" s="119" t="s">
        <v>273</v>
      </c>
      <c r="BO82" s="119" t="s">
        <v>273</v>
      </c>
      <c r="BP82" s="119" t="s">
        <v>273</v>
      </c>
      <c r="BQ82" s="119" t="s">
        <v>273</v>
      </c>
      <c r="BR82" s="119" t="s">
        <v>273</v>
      </c>
      <c r="BS82" s="119" t="s">
        <v>273</v>
      </c>
      <c r="BT82" s="119" t="s">
        <v>273</v>
      </c>
      <c r="BU82" s="119" t="s">
        <v>273</v>
      </c>
      <c r="BV82" s="119" t="s">
        <v>273</v>
      </c>
      <c r="BW82" s="119" t="s">
        <v>273</v>
      </c>
      <c r="BX82" s="120">
        <v>0.40009299999999998</v>
      </c>
      <c r="BY82" s="120">
        <v>0</v>
      </c>
      <c r="BZ82" s="119" t="s">
        <v>273</v>
      </c>
      <c r="CA82" s="120">
        <v>1.116204</v>
      </c>
      <c r="CB82" s="119" t="s">
        <v>273</v>
      </c>
      <c r="CC82" s="120">
        <v>0</v>
      </c>
      <c r="CD82" s="120">
        <v>0.34414499999999998</v>
      </c>
      <c r="CE82" s="120">
        <v>0.24776200000000001</v>
      </c>
      <c r="CF82" s="120">
        <v>0.34529799999999999</v>
      </c>
      <c r="CG82" s="120">
        <v>0.23216200000000001</v>
      </c>
      <c r="CH82" s="120">
        <v>0.272843</v>
      </c>
      <c r="CI82" s="120">
        <v>0.23158999999999999</v>
      </c>
      <c r="CJ82" s="120">
        <v>0.31071500000000002</v>
      </c>
      <c r="CK82" s="120">
        <v>0.32425700000000002</v>
      </c>
      <c r="CL82" s="120">
        <v>0.25790600000000002</v>
      </c>
      <c r="CM82" s="120">
        <v>0.37319099999999999</v>
      </c>
      <c r="CN82" s="120">
        <v>0.198132</v>
      </c>
      <c r="CO82" s="120">
        <v>0.31367299999999998</v>
      </c>
      <c r="CP82" s="120">
        <v>0.218698</v>
      </c>
      <c r="CQ82" s="120">
        <v>0.21967200000000001</v>
      </c>
      <c r="CR82" s="120">
        <v>0.23313500000000001</v>
      </c>
      <c r="CS82" s="120">
        <v>0.237374</v>
      </c>
      <c r="CT82" s="120">
        <v>0.228218</v>
      </c>
      <c r="CU82" s="120">
        <v>0.27719199999999999</v>
      </c>
      <c r="CV82" s="120">
        <v>0.38797399999999999</v>
      </c>
      <c r="CW82" s="120">
        <v>0.38029499999999999</v>
      </c>
      <c r="CX82" s="120">
        <v>0.32372600000000001</v>
      </c>
      <c r="CY82" s="120">
        <v>0.17292099999999999</v>
      </c>
      <c r="CZ82" s="120">
        <v>0.28432299999999999</v>
      </c>
      <c r="DA82" s="120">
        <v>0.25011</v>
      </c>
      <c r="DB82" s="120">
        <v>0.206654</v>
      </c>
      <c r="DC82" s="120">
        <v>0.205456</v>
      </c>
      <c r="DD82" s="120">
        <v>0.25783600000000001</v>
      </c>
      <c r="DE82" s="120">
        <v>0.229826</v>
      </c>
      <c r="DF82" s="120">
        <v>0.233705</v>
      </c>
      <c r="DG82" s="120">
        <v>0.25407600000000002</v>
      </c>
      <c r="DH82" s="120">
        <v>0.32948300000000003</v>
      </c>
      <c r="DI82" s="120" t="s">
        <v>1736</v>
      </c>
      <c r="DJ82" s="120">
        <v>0.37527899999999997</v>
      </c>
      <c r="DK82" s="120">
        <v>0.30312</v>
      </c>
      <c r="DL82" s="120">
        <v>0.31791900000000001</v>
      </c>
      <c r="DM82" s="120">
        <v>0.38690799999999997</v>
      </c>
      <c r="DN82" s="120">
        <v>0.365369</v>
      </c>
      <c r="DO82" s="120">
        <v>0.35559600000000002</v>
      </c>
      <c r="DP82" s="120">
        <v>0.41024699999999997</v>
      </c>
      <c r="DQ82" s="120">
        <v>0.50065000000000004</v>
      </c>
      <c r="DR82" s="120">
        <v>0.50814899999999996</v>
      </c>
      <c r="DS82" s="120">
        <v>0.434419</v>
      </c>
      <c r="DT82" s="120">
        <v>0.50792300000000001</v>
      </c>
      <c r="DU82" s="120" t="s">
        <v>1736</v>
      </c>
      <c r="DV82" s="120">
        <v>0.50489499999999998</v>
      </c>
      <c r="DW82" s="120">
        <v>0.57154199999999999</v>
      </c>
      <c r="DX82" s="120">
        <v>0.756656</v>
      </c>
      <c r="DY82" s="120">
        <v>0.90358700000000003</v>
      </c>
      <c r="DZ82" s="120">
        <v>0.49408800000000003</v>
      </c>
      <c r="EA82" s="120">
        <v>0.48252699999999998</v>
      </c>
      <c r="EB82" s="120">
        <v>0.54903299999999999</v>
      </c>
      <c r="EC82" s="120">
        <v>0.37290800000000002</v>
      </c>
      <c r="ED82" s="120">
        <v>0.45666000000000001</v>
      </c>
      <c r="EE82" s="120" t="s">
        <v>1736</v>
      </c>
      <c r="EF82" s="120">
        <v>0.43534400000000001</v>
      </c>
      <c r="EG82" s="120">
        <v>0.36357400000000001</v>
      </c>
      <c r="EH82" s="120">
        <v>0.36491299999999999</v>
      </c>
      <c r="EI82" s="120">
        <v>0.420902</v>
      </c>
      <c r="EJ82" s="120">
        <v>0.40027200000000002</v>
      </c>
      <c r="EK82" s="120">
        <v>0.26700499999999999</v>
      </c>
      <c r="EL82" s="120">
        <v>0.32871299999999998</v>
      </c>
      <c r="EM82" s="120">
        <v>0.33359</v>
      </c>
      <c r="EN82" s="120">
        <v>0.36049100000000001</v>
      </c>
    </row>
    <row r="83" spans="1:144">
      <c r="A83" s="103"/>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3"/>
      <c r="CR83" s="103"/>
      <c r="CS83" s="103"/>
      <c r="CT83" s="103"/>
      <c r="CU83" s="103"/>
      <c r="CV83" s="103"/>
      <c r="CW83" s="103"/>
      <c r="CX83" s="103"/>
      <c r="CY83" s="103"/>
      <c r="CZ83" s="103"/>
      <c r="DA83" s="103"/>
      <c r="DB83" s="103"/>
      <c r="DC83" s="103"/>
      <c r="DD83" s="103"/>
      <c r="DE83" s="103"/>
      <c r="DF83" s="103"/>
      <c r="DG83" s="103"/>
      <c r="DH83" s="103"/>
      <c r="DI83" s="103"/>
      <c r="DJ83" s="103"/>
      <c r="DK83" s="103"/>
      <c r="DL83" s="103"/>
      <c r="DM83" s="103"/>
      <c r="DN83" s="103"/>
      <c r="DO83" s="103"/>
      <c r="DP83" s="103"/>
      <c r="DQ83" s="103"/>
      <c r="DR83" s="103"/>
      <c r="DS83" s="103"/>
      <c r="DT83" s="103"/>
      <c r="DU83" s="103"/>
      <c r="DV83" s="103"/>
      <c r="DW83" s="103"/>
      <c r="DX83" s="103"/>
      <c r="DY83" s="103"/>
      <c r="DZ83" s="103"/>
      <c r="EA83" s="103"/>
      <c r="EB83" s="103"/>
      <c r="EC83" s="103"/>
      <c r="ED83" s="103"/>
      <c r="EE83" s="103"/>
      <c r="EF83" s="103"/>
      <c r="EG83" s="103"/>
      <c r="EH83" s="103"/>
      <c r="EI83" s="103"/>
      <c r="EJ83" s="103"/>
      <c r="EK83" s="103"/>
      <c r="EL83" s="103"/>
      <c r="EM83" s="103"/>
      <c r="EN83" s="103"/>
    </row>
    <row r="84" spans="1:144">
      <c r="A84" s="103" t="s">
        <v>2207</v>
      </c>
      <c r="B84" s="121">
        <v>1</v>
      </c>
      <c r="C84" s="121">
        <v>1</v>
      </c>
      <c r="D84" s="121">
        <v>1</v>
      </c>
      <c r="E84" s="121">
        <v>1</v>
      </c>
      <c r="F84" s="121">
        <v>1</v>
      </c>
      <c r="G84" s="121">
        <v>1</v>
      </c>
      <c r="H84" s="121">
        <v>1</v>
      </c>
      <c r="I84" s="121">
        <v>1</v>
      </c>
      <c r="J84" s="121">
        <v>1</v>
      </c>
      <c r="K84" s="121">
        <v>1</v>
      </c>
      <c r="L84" s="121">
        <v>1</v>
      </c>
      <c r="M84" s="121">
        <v>1</v>
      </c>
      <c r="N84" s="121">
        <v>1</v>
      </c>
      <c r="O84" s="121">
        <v>1</v>
      </c>
      <c r="P84" s="121">
        <v>1</v>
      </c>
      <c r="Q84" s="121">
        <v>1</v>
      </c>
      <c r="R84" s="121">
        <v>1</v>
      </c>
      <c r="S84" s="121">
        <v>1</v>
      </c>
      <c r="T84" s="121">
        <v>1</v>
      </c>
      <c r="U84" s="121">
        <v>1</v>
      </c>
      <c r="V84" s="121">
        <v>1</v>
      </c>
      <c r="W84" s="121">
        <v>1</v>
      </c>
      <c r="X84" s="121">
        <v>1</v>
      </c>
      <c r="Y84" s="121">
        <v>1</v>
      </c>
      <c r="Z84" s="121">
        <v>1</v>
      </c>
      <c r="AA84" s="121">
        <v>1</v>
      </c>
      <c r="AB84" s="121">
        <v>1</v>
      </c>
      <c r="AC84" s="121">
        <v>1</v>
      </c>
      <c r="AD84" s="121">
        <v>1</v>
      </c>
      <c r="AE84" s="121">
        <v>1</v>
      </c>
      <c r="AG84" s="103" t="s">
        <v>2207</v>
      </c>
      <c r="AH84" s="121">
        <v>1</v>
      </c>
      <c r="AI84" s="121">
        <v>1</v>
      </c>
      <c r="AJ84" s="121">
        <v>1</v>
      </c>
      <c r="AK84" s="121">
        <v>1</v>
      </c>
      <c r="AL84" s="121">
        <v>1</v>
      </c>
      <c r="AM84" s="121">
        <v>1</v>
      </c>
      <c r="AN84" s="121">
        <v>1</v>
      </c>
      <c r="AO84" s="121">
        <v>1</v>
      </c>
      <c r="AP84" s="121">
        <v>1</v>
      </c>
      <c r="AQ84" s="121">
        <v>1</v>
      </c>
      <c r="AR84" s="121">
        <v>1</v>
      </c>
      <c r="AS84" s="121">
        <v>1</v>
      </c>
      <c r="AT84" s="121">
        <v>1</v>
      </c>
      <c r="AU84" s="121">
        <v>1</v>
      </c>
      <c r="AV84" s="121">
        <v>1</v>
      </c>
      <c r="AW84" s="121">
        <v>1</v>
      </c>
      <c r="AX84" s="121">
        <v>1</v>
      </c>
      <c r="AY84" s="121">
        <v>1</v>
      </c>
      <c r="AZ84" s="121">
        <v>1</v>
      </c>
      <c r="BA84" s="121">
        <v>1</v>
      </c>
      <c r="BB84" s="121">
        <v>1</v>
      </c>
      <c r="BC84" s="121">
        <v>1</v>
      </c>
      <c r="BD84" s="121">
        <v>1</v>
      </c>
      <c r="BE84" s="121">
        <v>1</v>
      </c>
      <c r="BF84" s="121">
        <v>1</v>
      </c>
      <c r="BG84" s="121">
        <v>1</v>
      </c>
      <c r="BH84" s="121">
        <v>1</v>
      </c>
      <c r="BI84" s="121">
        <v>1</v>
      </c>
      <c r="BJ84" s="121">
        <v>1</v>
      </c>
      <c r="BK84" s="121">
        <v>1</v>
      </c>
      <c r="BL84" s="121">
        <v>1</v>
      </c>
      <c r="BM84" s="121">
        <v>1</v>
      </c>
      <c r="BN84" s="121">
        <v>1</v>
      </c>
      <c r="BO84" s="121">
        <v>1</v>
      </c>
      <c r="BP84" s="121">
        <v>1</v>
      </c>
      <c r="BQ84" s="121">
        <v>1</v>
      </c>
      <c r="BR84" s="121">
        <v>1</v>
      </c>
      <c r="BS84" s="121">
        <v>1</v>
      </c>
      <c r="BT84" s="121">
        <v>1</v>
      </c>
      <c r="BU84" s="121">
        <v>1</v>
      </c>
      <c r="BV84" s="121">
        <v>1</v>
      </c>
      <c r="BW84" s="121">
        <v>1</v>
      </c>
      <c r="BX84" s="121">
        <v>1</v>
      </c>
      <c r="BY84" s="121">
        <v>1</v>
      </c>
      <c r="BZ84" s="121">
        <v>1</v>
      </c>
      <c r="CA84" s="121">
        <v>1</v>
      </c>
      <c r="CB84" s="121">
        <v>1</v>
      </c>
      <c r="CC84" s="121">
        <v>1</v>
      </c>
      <c r="CD84" s="121">
        <v>1</v>
      </c>
      <c r="CE84" s="121">
        <v>1</v>
      </c>
      <c r="CF84" s="121">
        <v>1</v>
      </c>
      <c r="CG84" s="121">
        <v>1</v>
      </c>
      <c r="CH84" s="121">
        <v>1</v>
      </c>
      <c r="CI84" s="121">
        <v>1</v>
      </c>
      <c r="CJ84" s="121">
        <v>1</v>
      </c>
      <c r="CK84" s="121">
        <v>1</v>
      </c>
      <c r="CL84" s="121">
        <v>1</v>
      </c>
      <c r="CM84" s="121">
        <v>1</v>
      </c>
      <c r="CN84" s="121">
        <v>1</v>
      </c>
      <c r="CO84" s="121">
        <v>1</v>
      </c>
      <c r="CP84" s="121">
        <v>1</v>
      </c>
      <c r="CQ84" s="121">
        <v>1</v>
      </c>
      <c r="CR84" s="121">
        <v>1</v>
      </c>
      <c r="CS84" s="121">
        <v>1</v>
      </c>
      <c r="CT84" s="121">
        <v>1</v>
      </c>
      <c r="CU84" s="121">
        <v>1</v>
      </c>
      <c r="CV84" s="121">
        <v>1</v>
      </c>
      <c r="CW84" s="121">
        <v>1</v>
      </c>
      <c r="CX84" s="121">
        <v>1</v>
      </c>
      <c r="CY84" s="121">
        <v>1</v>
      </c>
      <c r="CZ84" s="121">
        <v>1</v>
      </c>
      <c r="DA84" s="121">
        <v>1</v>
      </c>
      <c r="DB84" s="121">
        <v>1</v>
      </c>
      <c r="DC84" s="121">
        <v>1</v>
      </c>
      <c r="DD84" s="121">
        <v>1</v>
      </c>
      <c r="DE84" s="121">
        <v>1</v>
      </c>
      <c r="DF84" s="121">
        <v>1</v>
      </c>
      <c r="DG84" s="121">
        <v>1</v>
      </c>
      <c r="DH84" s="121">
        <v>1</v>
      </c>
      <c r="DI84" s="121">
        <v>1</v>
      </c>
      <c r="DJ84" s="121">
        <v>1</v>
      </c>
      <c r="DK84" s="121">
        <v>1</v>
      </c>
      <c r="DL84" s="121">
        <v>1</v>
      </c>
      <c r="DM84" s="121">
        <v>1</v>
      </c>
      <c r="DN84" s="121">
        <v>1</v>
      </c>
      <c r="DO84" s="121">
        <v>1</v>
      </c>
      <c r="DP84" s="121">
        <v>1</v>
      </c>
      <c r="DQ84" s="121">
        <v>1</v>
      </c>
      <c r="DR84" s="121">
        <v>1</v>
      </c>
      <c r="DS84" s="121">
        <v>1</v>
      </c>
      <c r="DT84" s="121">
        <v>1</v>
      </c>
      <c r="DU84" s="121">
        <v>1</v>
      </c>
      <c r="DV84" s="121">
        <v>1</v>
      </c>
      <c r="DW84" s="121">
        <v>1</v>
      </c>
      <c r="DX84" s="121">
        <v>1</v>
      </c>
      <c r="DY84" s="121">
        <v>1</v>
      </c>
      <c r="DZ84" s="121">
        <v>1</v>
      </c>
      <c r="EA84" s="121">
        <v>1</v>
      </c>
      <c r="EB84" s="121">
        <v>1</v>
      </c>
      <c r="EC84" s="121">
        <v>1</v>
      </c>
      <c r="ED84" s="121">
        <v>1</v>
      </c>
      <c r="EE84" s="121">
        <v>1</v>
      </c>
      <c r="EF84" s="121">
        <v>1</v>
      </c>
      <c r="EG84" s="121">
        <v>1</v>
      </c>
      <c r="EH84" s="121">
        <v>1</v>
      </c>
      <c r="EI84" s="121">
        <v>1</v>
      </c>
      <c r="EJ84" s="121">
        <v>1</v>
      </c>
      <c r="EK84" s="121">
        <v>1</v>
      </c>
      <c r="EL84" s="121">
        <v>1</v>
      </c>
      <c r="EM84" s="121">
        <v>1</v>
      </c>
      <c r="EN84" s="121">
        <v>1</v>
      </c>
    </row>
    <row r="85" spans="1:144">
      <c r="A85" s="103"/>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c r="CD85" s="103"/>
      <c r="CE85" s="103"/>
      <c r="CF85" s="103"/>
      <c r="CG85" s="103"/>
      <c r="CH85" s="103"/>
      <c r="CI85" s="103"/>
      <c r="CJ85" s="103"/>
      <c r="CK85" s="103"/>
      <c r="CL85" s="103"/>
      <c r="CM85" s="103"/>
      <c r="CN85" s="103"/>
      <c r="CO85" s="103"/>
      <c r="CP85" s="103"/>
      <c r="CQ85" s="103"/>
      <c r="CR85" s="103"/>
      <c r="CS85" s="103"/>
      <c r="CT85" s="103"/>
      <c r="CU85" s="103"/>
      <c r="CV85" s="103"/>
      <c r="CW85" s="103"/>
      <c r="CX85" s="103"/>
      <c r="CY85" s="103"/>
      <c r="CZ85" s="103"/>
      <c r="DA85" s="103"/>
      <c r="DB85" s="103"/>
      <c r="DC85" s="103"/>
      <c r="DD85" s="103"/>
      <c r="DE85" s="103"/>
      <c r="DF85" s="103"/>
      <c r="DG85" s="103"/>
      <c r="DH85" s="103"/>
      <c r="DI85" s="103"/>
      <c r="DJ85" s="103"/>
      <c r="DK85" s="103"/>
      <c r="DL85" s="103"/>
      <c r="DM85" s="103"/>
      <c r="DN85" s="103"/>
      <c r="DO85" s="103"/>
      <c r="DP85" s="103"/>
      <c r="DQ85" s="103"/>
      <c r="DR85" s="103"/>
      <c r="DS85" s="103"/>
      <c r="DT85" s="103"/>
      <c r="DU85" s="103"/>
      <c r="DV85" s="103"/>
      <c r="DW85" s="103"/>
      <c r="DX85" s="103"/>
      <c r="DY85" s="103"/>
      <c r="DZ85" s="103"/>
      <c r="EA85" s="103"/>
      <c r="EB85" s="103"/>
      <c r="EC85" s="103"/>
      <c r="ED85" s="103"/>
      <c r="EE85" s="103"/>
      <c r="EF85" s="103"/>
      <c r="EG85" s="103"/>
      <c r="EH85" s="103"/>
      <c r="EI85" s="103"/>
      <c r="EJ85" s="103"/>
      <c r="EK85" s="103"/>
      <c r="EL85" s="103"/>
      <c r="EM85" s="103"/>
      <c r="EN85" s="103"/>
    </row>
    <row r="86" spans="1:144" ht="10.5">
      <c r="A86" s="112" t="s">
        <v>2208</v>
      </c>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G86" s="112" t="s">
        <v>2208</v>
      </c>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c r="CD86" s="103"/>
      <c r="CE86" s="103"/>
      <c r="CF86" s="103"/>
      <c r="CG86" s="103"/>
      <c r="CH86" s="103"/>
      <c r="CI86" s="103"/>
      <c r="CJ86" s="103"/>
      <c r="CK86" s="103"/>
      <c r="CL86" s="103"/>
      <c r="CM86" s="103"/>
      <c r="CN86" s="103"/>
      <c r="CO86" s="103"/>
      <c r="CP86" s="103"/>
      <c r="CQ86" s="103"/>
      <c r="CR86" s="103"/>
      <c r="CS86" s="103"/>
      <c r="CT86" s="103"/>
      <c r="CU86" s="103"/>
      <c r="CV86" s="103"/>
      <c r="CW86" s="103"/>
      <c r="CX86" s="103"/>
      <c r="CY86" s="103"/>
      <c r="CZ86" s="103"/>
      <c r="DA86" s="103"/>
      <c r="DB86" s="103"/>
      <c r="DC86" s="103"/>
      <c r="DD86" s="103"/>
      <c r="DE86" s="103"/>
      <c r="DF86" s="103"/>
      <c r="DG86" s="103"/>
      <c r="DH86" s="103"/>
      <c r="DI86" s="103"/>
      <c r="DJ86" s="103"/>
      <c r="DK86" s="103"/>
      <c r="DL86" s="103"/>
      <c r="DM86" s="103"/>
      <c r="DN86" s="103"/>
      <c r="DO86" s="103"/>
      <c r="DP86" s="103"/>
      <c r="DQ86" s="103"/>
      <c r="DR86" s="103"/>
      <c r="DS86" s="103"/>
      <c r="DT86" s="103"/>
      <c r="DU86" s="103"/>
      <c r="DV86" s="103"/>
      <c r="DW86" s="103"/>
      <c r="DX86" s="103"/>
      <c r="DY86" s="103"/>
      <c r="DZ86" s="103"/>
      <c r="EA86" s="103"/>
      <c r="EB86" s="103"/>
      <c r="EC86" s="103"/>
      <c r="ED86" s="103"/>
      <c r="EE86" s="103"/>
      <c r="EF86" s="103"/>
      <c r="EG86" s="103"/>
      <c r="EH86" s="103"/>
      <c r="EI86" s="103"/>
      <c r="EJ86" s="103"/>
      <c r="EK86" s="103"/>
      <c r="EL86" s="103"/>
      <c r="EM86" s="103"/>
      <c r="EN86" s="103"/>
    </row>
    <row r="87" spans="1:144">
      <c r="A87" s="103" t="s">
        <v>121</v>
      </c>
      <c r="B87" s="113">
        <v>726</v>
      </c>
      <c r="C87" s="113">
        <v>1108</v>
      </c>
      <c r="D87" s="113">
        <v>1477</v>
      </c>
      <c r="E87" s="113">
        <v>1963</v>
      </c>
      <c r="F87" s="113">
        <v>2307</v>
      </c>
      <c r="G87" s="113">
        <v>3539</v>
      </c>
      <c r="H87" s="113">
        <v>5428</v>
      </c>
      <c r="I87" s="113">
        <v>7238</v>
      </c>
      <c r="J87" s="113">
        <v>10493</v>
      </c>
      <c r="K87" s="113">
        <v>12022</v>
      </c>
      <c r="L87" s="113">
        <v>13256</v>
      </c>
      <c r="M87" s="113">
        <v>9210</v>
      </c>
      <c r="N87" s="113">
        <v>11688</v>
      </c>
      <c r="O87" s="113">
        <v>12681</v>
      </c>
      <c r="P87" s="113">
        <v>17755</v>
      </c>
      <c r="Q87" s="113">
        <v>18675</v>
      </c>
      <c r="R87" s="113">
        <v>20385</v>
      </c>
      <c r="S87" s="113">
        <v>25943</v>
      </c>
      <c r="T87" s="113">
        <v>22984</v>
      </c>
      <c r="U87" s="113">
        <v>26605</v>
      </c>
      <c r="V87" s="113">
        <v>29698</v>
      </c>
      <c r="W87" s="113">
        <v>30714</v>
      </c>
      <c r="X87" s="113">
        <v>30836</v>
      </c>
      <c r="Y87" s="113">
        <v>32131</v>
      </c>
      <c r="Z87" s="113">
        <v>33572</v>
      </c>
      <c r="AA87" s="113">
        <v>33066</v>
      </c>
      <c r="AB87" s="113">
        <v>37131</v>
      </c>
      <c r="AC87" s="113">
        <v>44958</v>
      </c>
      <c r="AD87" s="113">
        <v>54559</v>
      </c>
      <c r="AE87" s="113">
        <v>64091</v>
      </c>
      <c r="AG87" s="103" t="s">
        <v>121</v>
      </c>
      <c r="AH87" s="113">
        <v>344.5</v>
      </c>
      <c r="AI87" s="113">
        <v>363</v>
      </c>
      <c r="AJ87" s="113">
        <v>376</v>
      </c>
      <c r="AK87" s="113">
        <v>412</v>
      </c>
      <c r="AL87" s="113">
        <v>384</v>
      </c>
      <c r="AM87" s="113">
        <v>462</v>
      </c>
      <c r="AN87" s="113">
        <v>553</v>
      </c>
      <c r="AO87" s="113">
        <v>564</v>
      </c>
      <c r="AP87" s="113">
        <v>504</v>
      </c>
      <c r="AQ87" s="113">
        <v>586</v>
      </c>
      <c r="AR87" s="113">
        <v>619</v>
      </c>
      <c r="AS87" s="113">
        <v>598</v>
      </c>
      <c r="AT87" s="113">
        <v>777</v>
      </c>
      <c r="AU87" s="113">
        <v>864</v>
      </c>
      <c r="AV87" s="113">
        <v>963</v>
      </c>
      <c r="AW87" s="113">
        <v>954</v>
      </c>
      <c r="AX87" s="113">
        <v>1064</v>
      </c>
      <c r="AY87" s="113">
        <v>1225</v>
      </c>
      <c r="AZ87" s="113">
        <v>1676</v>
      </c>
      <c r="BA87" s="113">
        <v>1463</v>
      </c>
      <c r="BB87" s="113">
        <v>1584</v>
      </c>
      <c r="BC87" s="113">
        <v>1882</v>
      </c>
      <c r="BD87" s="113">
        <v>2146</v>
      </c>
      <c r="BE87" s="113">
        <v>2122</v>
      </c>
      <c r="BF87" s="113">
        <v>2261</v>
      </c>
      <c r="BG87" s="113">
        <v>2891</v>
      </c>
      <c r="BH87" s="113">
        <v>2387</v>
      </c>
      <c r="BI87" s="113">
        <v>3399</v>
      </c>
      <c r="BJ87" s="113">
        <v>3134</v>
      </c>
      <c r="BK87" s="113">
        <v>3256</v>
      </c>
      <c r="BL87" s="113">
        <v>3010</v>
      </c>
      <c r="BM87" s="113">
        <v>2774.25</v>
      </c>
      <c r="BN87" s="113">
        <v>3027</v>
      </c>
      <c r="BO87" s="113">
        <v>3433</v>
      </c>
      <c r="BP87" s="113">
        <v>3481</v>
      </c>
      <c r="BQ87" s="113">
        <v>2992.5</v>
      </c>
      <c r="BR87" s="113">
        <v>3179</v>
      </c>
      <c r="BS87" s="113">
        <v>3796</v>
      </c>
      <c r="BT87" s="113">
        <v>3446</v>
      </c>
      <c r="BU87" s="113">
        <v>3163</v>
      </c>
      <c r="BV87" s="113">
        <v>3301</v>
      </c>
      <c r="BW87" s="113">
        <v>2718</v>
      </c>
      <c r="BX87" s="113">
        <v>3127</v>
      </c>
      <c r="BY87" s="113">
        <v>2722</v>
      </c>
      <c r="BZ87" s="113">
        <v>3476</v>
      </c>
      <c r="CA87" s="113">
        <v>1775</v>
      </c>
      <c r="CB87" s="113">
        <v>4052</v>
      </c>
      <c r="CC87" s="113">
        <v>3442</v>
      </c>
      <c r="CD87" s="113">
        <v>4213</v>
      </c>
      <c r="CE87" s="113">
        <v>4857</v>
      </c>
      <c r="CF87" s="113">
        <v>4996</v>
      </c>
      <c r="CG87" s="113">
        <v>3535</v>
      </c>
      <c r="CH87" s="113">
        <v>4729</v>
      </c>
      <c r="CI87" s="113">
        <v>4954</v>
      </c>
      <c r="CJ87" s="113">
        <v>4462</v>
      </c>
      <c r="CK87" s="113">
        <v>4636</v>
      </c>
      <c r="CL87" s="113">
        <v>4810</v>
      </c>
      <c r="CM87" s="113">
        <v>3948</v>
      </c>
      <c r="CN87" s="113">
        <v>7330</v>
      </c>
      <c r="CO87" s="113">
        <v>4387</v>
      </c>
      <c r="CP87" s="113">
        <v>6284</v>
      </c>
      <c r="CQ87" s="113">
        <v>6934</v>
      </c>
      <c r="CR87" s="113">
        <v>6322</v>
      </c>
      <c r="CS87" s="113">
        <v>6162</v>
      </c>
      <c r="CT87" s="113">
        <v>6584</v>
      </c>
      <c r="CU87" s="113">
        <v>6571</v>
      </c>
      <c r="CV87" s="113">
        <v>5449</v>
      </c>
      <c r="CW87" s="113">
        <v>4630</v>
      </c>
      <c r="CX87" s="113">
        <v>5128</v>
      </c>
      <c r="CY87" s="113">
        <v>9128</v>
      </c>
      <c r="CZ87" s="113">
        <v>5867</v>
      </c>
      <c r="DA87" s="113">
        <v>6541</v>
      </c>
      <c r="DB87" s="113">
        <v>7784</v>
      </c>
      <c r="DC87" s="113">
        <v>8798</v>
      </c>
      <c r="DD87" s="113">
        <v>6429</v>
      </c>
      <c r="DE87" s="113">
        <v>6631</v>
      </c>
      <c r="DF87" s="113">
        <v>7900</v>
      </c>
      <c r="DG87" s="113">
        <v>8644</v>
      </c>
      <c r="DH87" s="113">
        <v>7112</v>
      </c>
      <c r="DI87" s="113">
        <v>7058</v>
      </c>
      <c r="DJ87" s="113">
        <v>5978</v>
      </c>
      <c r="DK87" s="113">
        <v>8719</v>
      </c>
      <c r="DL87" s="113">
        <v>9346</v>
      </c>
      <c r="DM87" s="113">
        <v>6793</v>
      </c>
      <c r="DN87" s="113">
        <v>7242</v>
      </c>
      <c r="DO87" s="113">
        <v>9180</v>
      </c>
      <c r="DP87" s="113">
        <v>8179</v>
      </c>
      <c r="DQ87" s="113">
        <v>7530</v>
      </c>
      <c r="DR87" s="113">
        <v>8372</v>
      </c>
      <c r="DS87" s="113">
        <v>9525</v>
      </c>
      <c r="DT87" s="113">
        <v>8286</v>
      </c>
      <c r="DU87" s="113">
        <v>7389</v>
      </c>
      <c r="DV87" s="113">
        <v>7236</v>
      </c>
      <c r="DW87" s="113">
        <v>7552</v>
      </c>
      <c r="DX87" s="113">
        <v>6972</v>
      </c>
      <c r="DY87" s="113">
        <v>5411</v>
      </c>
      <c r="DZ87" s="113">
        <v>8531</v>
      </c>
      <c r="EA87" s="113">
        <v>10071</v>
      </c>
      <c r="EB87" s="113">
        <v>9176</v>
      </c>
      <c r="EC87" s="113">
        <v>11644</v>
      </c>
      <c r="ED87" s="113">
        <v>10207</v>
      </c>
      <c r="EE87" s="113">
        <v>11215</v>
      </c>
      <c r="EF87" s="113">
        <v>11002</v>
      </c>
      <c r="EG87" s="113">
        <v>12534</v>
      </c>
      <c r="EH87" s="113">
        <v>12792</v>
      </c>
      <c r="EI87" s="113">
        <v>13253</v>
      </c>
      <c r="EJ87" s="113">
        <v>13267</v>
      </c>
      <c r="EK87" s="113">
        <v>15247</v>
      </c>
      <c r="EL87" s="113">
        <v>15657</v>
      </c>
      <c r="EM87" s="113">
        <v>17094</v>
      </c>
      <c r="EN87" s="113">
        <v>16093</v>
      </c>
    </row>
    <row r="88" spans="1:144">
      <c r="A88" s="103" t="s">
        <v>2209</v>
      </c>
      <c r="B88" s="113">
        <v>670</v>
      </c>
      <c r="C88" s="113">
        <v>996</v>
      </c>
      <c r="D88" s="113">
        <v>1326</v>
      </c>
      <c r="E88" s="113">
        <v>1726</v>
      </c>
      <c r="F88" s="113">
        <v>2038</v>
      </c>
      <c r="G88" s="113">
        <v>3059</v>
      </c>
      <c r="H88" s="113">
        <v>5075</v>
      </c>
      <c r="I88" s="113">
        <v>6710</v>
      </c>
      <c r="J88" s="113">
        <v>10010</v>
      </c>
      <c r="K88" s="113">
        <v>11354</v>
      </c>
      <c r="L88" s="113">
        <v>12492</v>
      </c>
      <c r="M88" s="113">
        <v>8390</v>
      </c>
      <c r="N88" s="113">
        <v>10759</v>
      </c>
      <c r="O88" s="113">
        <v>12034</v>
      </c>
      <c r="P88" s="113">
        <v>17032</v>
      </c>
      <c r="Q88" s="113">
        <v>17899</v>
      </c>
      <c r="R88" s="113">
        <v>19185</v>
      </c>
      <c r="S88" s="113">
        <v>24543</v>
      </c>
      <c r="T88" s="113">
        <v>21284</v>
      </c>
      <c r="U88" s="113">
        <v>24805</v>
      </c>
      <c r="V88" s="113">
        <v>27698</v>
      </c>
      <c r="W88" s="113">
        <v>28514</v>
      </c>
      <c r="X88" s="113">
        <v>28236</v>
      </c>
      <c r="Y88" s="113">
        <v>28731</v>
      </c>
      <c r="Z88" s="113">
        <v>29472</v>
      </c>
      <c r="AA88" s="113">
        <v>28166</v>
      </c>
      <c r="AB88" s="113">
        <v>31031</v>
      </c>
      <c r="AC88" s="113">
        <v>37258</v>
      </c>
      <c r="AD88" s="113">
        <v>44859</v>
      </c>
      <c r="AE88" s="113">
        <v>53557</v>
      </c>
      <c r="AG88" s="103" t="s">
        <v>2209</v>
      </c>
      <c r="AH88" s="113">
        <v>307.5</v>
      </c>
      <c r="AI88" s="113">
        <v>326</v>
      </c>
      <c r="AJ88" s="113">
        <v>338</v>
      </c>
      <c r="AK88" s="113">
        <v>373</v>
      </c>
      <c r="AL88" s="113">
        <v>343</v>
      </c>
      <c r="AM88" s="113">
        <v>415</v>
      </c>
      <c r="AN88" s="113">
        <v>480</v>
      </c>
      <c r="AO88" s="113">
        <v>488</v>
      </c>
      <c r="AP88" s="113">
        <v>437</v>
      </c>
      <c r="AQ88" s="113">
        <v>520</v>
      </c>
      <c r="AR88" s="113">
        <v>549</v>
      </c>
      <c r="AS88" s="113">
        <v>574</v>
      </c>
      <c r="AT88" s="113">
        <v>708</v>
      </c>
      <c r="AU88" s="113">
        <v>786</v>
      </c>
      <c r="AV88" s="113">
        <v>774</v>
      </c>
      <c r="AW88" s="113">
        <v>927</v>
      </c>
      <c r="AX88" s="113">
        <v>902</v>
      </c>
      <c r="AY88" s="113">
        <v>1081</v>
      </c>
      <c r="AZ88" s="113">
        <v>1568</v>
      </c>
      <c r="BA88" s="113">
        <v>1320</v>
      </c>
      <c r="BB88" s="113">
        <v>1356</v>
      </c>
      <c r="BC88" s="113">
        <v>1613</v>
      </c>
      <c r="BD88" s="113">
        <v>1867</v>
      </c>
      <c r="BE88" s="113">
        <v>1874</v>
      </c>
      <c r="BF88" s="113">
        <v>2082</v>
      </c>
      <c r="BG88" s="113">
        <v>2714</v>
      </c>
      <c r="BH88" s="113">
        <v>2229</v>
      </c>
      <c r="BI88" s="113">
        <v>2903</v>
      </c>
      <c r="BJ88" s="113">
        <v>2789</v>
      </c>
      <c r="BK88" s="113">
        <v>2931</v>
      </c>
      <c r="BL88" s="113">
        <v>2735</v>
      </c>
      <c r="BM88" s="113">
        <v>2551</v>
      </c>
      <c r="BN88" s="113">
        <v>2777</v>
      </c>
      <c r="BO88" s="113">
        <v>3194</v>
      </c>
      <c r="BP88" s="113">
        <v>2998</v>
      </c>
      <c r="BQ88" s="113">
        <v>2751</v>
      </c>
      <c r="BR88" s="113">
        <v>2897</v>
      </c>
      <c r="BS88" s="113">
        <v>3501</v>
      </c>
      <c r="BT88" s="113">
        <v>3298</v>
      </c>
      <c r="BU88" s="113">
        <v>3068</v>
      </c>
      <c r="BV88" s="113">
        <v>3028</v>
      </c>
      <c r="BW88" s="113">
        <v>2443</v>
      </c>
      <c r="BX88" s="113">
        <v>2744</v>
      </c>
      <c r="BY88" s="113">
        <v>2563</v>
      </c>
      <c r="BZ88" s="113">
        <v>3148</v>
      </c>
      <c r="CA88" s="113">
        <v>1475</v>
      </c>
      <c r="CB88" s="113">
        <v>3803</v>
      </c>
      <c r="CC88" s="113">
        <v>3133</v>
      </c>
      <c r="CD88" s="113">
        <v>4030</v>
      </c>
      <c r="CE88" s="113">
        <v>4749</v>
      </c>
      <c r="CF88" s="113">
        <v>4714</v>
      </c>
      <c r="CG88" s="113">
        <v>3385</v>
      </c>
      <c r="CH88" s="113">
        <v>4495</v>
      </c>
      <c r="CI88" s="113">
        <v>4723</v>
      </c>
      <c r="CJ88" s="113">
        <v>4285</v>
      </c>
      <c r="CK88" s="113">
        <v>4415</v>
      </c>
      <c r="CL88" s="113">
        <v>4599</v>
      </c>
      <c r="CM88" s="113">
        <v>3635</v>
      </c>
      <c r="CN88" s="113">
        <v>6943</v>
      </c>
      <c r="CO88" s="113">
        <v>4094</v>
      </c>
      <c r="CP88" s="113">
        <v>5951</v>
      </c>
      <c r="CQ88" s="113">
        <v>6565</v>
      </c>
      <c r="CR88" s="113">
        <v>5911</v>
      </c>
      <c r="CS88" s="113">
        <v>5875</v>
      </c>
      <c r="CT88" s="113">
        <v>6139</v>
      </c>
      <c r="CU88" s="113">
        <v>6084</v>
      </c>
      <c r="CV88" s="113">
        <v>4941</v>
      </c>
      <c r="CW88" s="113">
        <v>4370</v>
      </c>
      <c r="CX88" s="113">
        <v>4631</v>
      </c>
      <c r="CY88" s="113">
        <v>8682</v>
      </c>
      <c r="CZ88" s="113">
        <v>5371</v>
      </c>
      <c r="DA88" s="113">
        <v>6180</v>
      </c>
      <c r="DB88" s="113">
        <v>7240</v>
      </c>
      <c r="DC88" s="113">
        <v>8291</v>
      </c>
      <c r="DD88" s="113">
        <v>5709</v>
      </c>
      <c r="DE88" s="113">
        <v>6171</v>
      </c>
      <c r="DF88" s="113">
        <v>7312</v>
      </c>
      <c r="DG88" s="113">
        <v>8149</v>
      </c>
      <c r="DH88" s="113">
        <v>6516</v>
      </c>
      <c r="DI88" s="113">
        <v>6537</v>
      </c>
      <c r="DJ88" s="113">
        <v>5486</v>
      </c>
      <c r="DK88" s="113">
        <v>7969</v>
      </c>
      <c r="DL88" s="113">
        <v>8532</v>
      </c>
      <c r="DM88" s="113">
        <v>6249</v>
      </c>
      <c r="DN88" s="113">
        <v>6496</v>
      </c>
      <c r="DO88" s="113">
        <v>8135</v>
      </c>
      <c r="DP88" s="113">
        <v>7144</v>
      </c>
      <c r="DQ88" s="113">
        <v>6956</v>
      </c>
      <c r="DR88" s="113">
        <v>7356</v>
      </c>
      <c r="DS88" s="113">
        <v>8348</v>
      </c>
      <c r="DT88" s="113">
        <v>7145</v>
      </c>
      <c r="DU88" s="113">
        <v>6585</v>
      </c>
      <c r="DV88" s="113">
        <v>6035</v>
      </c>
      <c r="DW88" s="113">
        <v>6275</v>
      </c>
      <c r="DX88" s="113">
        <v>5532</v>
      </c>
      <c r="DY88" s="113">
        <v>4428</v>
      </c>
      <c r="DZ88" s="113">
        <v>6929</v>
      </c>
      <c r="EA88" s="113">
        <v>8220</v>
      </c>
      <c r="EB88" s="113">
        <v>7312</v>
      </c>
      <c r="EC88" s="113">
        <v>10812</v>
      </c>
      <c r="ED88" s="113">
        <v>8271</v>
      </c>
      <c r="EE88" s="113">
        <v>9241</v>
      </c>
      <c r="EF88" s="113">
        <v>8852</v>
      </c>
      <c r="EG88" s="113">
        <v>10879</v>
      </c>
      <c r="EH88" s="113">
        <v>10511</v>
      </c>
      <c r="EI88" s="113">
        <v>10788</v>
      </c>
      <c r="EJ88" s="113">
        <v>10772</v>
      </c>
      <c r="EK88" s="113">
        <v>12805</v>
      </c>
      <c r="EL88" s="113">
        <v>13120</v>
      </c>
      <c r="EM88" s="113">
        <v>14302</v>
      </c>
      <c r="EN88" s="113">
        <v>13331</v>
      </c>
    </row>
    <row r="89" spans="1:144">
      <c r="A89" s="103" t="s">
        <v>95</v>
      </c>
      <c r="B89" s="113">
        <v>650</v>
      </c>
      <c r="C89" s="113">
        <v>996</v>
      </c>
      <c r="D89" s="113">
        <v>1326</v>
      </c>
      <c r="E89" s="113">
        <v>1726</v>
      </c>
      <c r="F89" s="113">
        <v>2038</v>
      </c>
      <c r="G89" s="113">
        <v>3059</v>
      </c>
      <c r="H89" s="113">
        <v>4871</v>
      </c>
      <c r="I89" s="113">
        <v>6710</v>
      </c>
      <c r="J89" s="113">
        <v>10010</v>
      </c>
      <c r="K89" s="113">
        <v>11006</v>
      </c>
      <c r="L89" s="113">
        <v>11720</v>
      </c>
      <c r="M89" s="113">
        <v>8272</v>
      </c>
      <c r="N89" s="113">
        <v>10295</v>
      </c>
      <c r="O89" s="113">
        <v>11864</v>
      </c>
      <c r="P89" s="113">
        <v>16871</v>
      </c>
      <c r="Q89" s="113">
        <v>17772</v>
      </c>
      <c r="R89" s="113">
        <v>18949</v>
      </c>
      <c r="S89" s="113">
        <v>24071</v>
      </c>
      <c r="T89" s="113">
        <v>20693</v>
      </c>
      <c r="U89" s="113">
        <v>24098</v>
      </c>
      <c r="V89" s="113">
        <v>27161</v>
      </c>
      <c r="W89" s="113">
        <v>27956</v>
      </c>
      <c r="X89" s="113">
        <v>27497</v>
      </c>
      <c r="Y89" s="113">
        <v>27886</v>
      </c>
      <c r="Z89" s="113">
        <v>28172</v>
      </c>
      <c r="AA89" s="113">
        <v>27188</v>
      </c>
      <c r="AB89" s="113">
        <v>29331</v>
      </c>
      <c r="AC89" s="113">
        <v>35058</v>
      </c>
      <c r="AD89" s="113">
        <v>42959</v>
      </c>
      <c r="AE89" s="113">
        <v>51957</v>
      </c>
      <c r="AG89" s="103" t="s">
        <v>95</v>
      </c>
      <c r="AH89" s="113">
        <v>307.5</v>
      </c>
      <c r="AI89" s="113">
        <v>326</v>
      </c>
      <c r="AJ89" s="113">
        <v>338</v>
      </c>
      <c r="AK89" s="113">
        <v>373</v>
      </c>
      <c r="AL89" s="113">
        <v>343</v>
      </c>
      <c r="AM89" s="113">
        <v>415</v>
      </c>
      <c r="AN89" s="113">
        <v>480</v>
      </c>
      <c r="AO89" s="113">
        <v>488</v>
      </c>
      <c r="AP89" s="113">
        <v>437</v>
      </c>
      <c r="AQ89" s="113">
        <v>520</v>
      </c>
      <c r="AR89" s="113">
        <v>549</v>
      </c>
      <c r="AS89" s="113">
        <v>532</v>
      </c>
      <c r="AT89" s="113">
        <v>708</v>
      </c>
      <c r="AU89" s="113">
        <v>786</v>
      </c>
      <c r="AV89" s="113">
        <v>774</v>
      </c>
      <c r="AW89" s="113">
        <v>810</v>
      </c>
      <c r="AX89" s="113">
        <v>902</v>
      </c>
      <c r="AY89" s="113">
        <v>1081</v>
      </c>
      <c r="AZ89" s="113">
        <v>1568</v>
      </c>
      <c r="BA89" s="113">
        <v>1320</v>
      </c>
      <c r="BB89" s="113">
        <v>1356</v>
      </c>
      <c r="BC89" s="113">
        <v>1613</v>
      </c>
      <c r="BD89" s="113">
        <v>1867</v>
      </c>
      <c r="BE89" s="113">
        <v>1874</v>
      </c>
      <c r="BF89" s="113">
        <v>2082</v>
      </c>
      <c r="BG89" s="113">
        <v>2714</v>
      </c>
      <c r="BH89" s="113">
        <v>2229</v>
      </c>
      <c r="BI89" s="113">
        <v>2903</v>
      </c>
      <c r="BJ89" s="113">
        <v>2789</v>
      </c>
      <c r="BK89" s="113">
        <v>2931</v>
      </c>
      <c r="BL89" s="113">
        <v>2735</v>
      </c>
      <c r="BM89" s="113">
        <v>2551</v>
      </c>
      <c r="BN89" s="113">
        <v>2777</v>
      </c>
      <c r="BO89" s="113">
        <v>3194</v>
      </c>
      <c r="BP89" s="113">
        <v>2998</v>
      </c>
      <c r="BQ89" s="113">
        <v>2751</v>
      </c>
      <c r="BR89" s="113">
        <v>2897</v>
      </c>
      <c r="BS89" s="113">
        <v>3501</v>
      </c>
      <c r="BT89" s="113">
        <v>3298</v>
      </c>
      <c r="BU89" s="113">
        <v>2874</v>
      </c>
      <c r="BV89" s="113">
        <v>3028</v>
      </c>
      <c r="BW89" s="113">
        <v>2443</v>
      </c>
      <c r="BX89" s="113">
        <v>2744</v>
      </c>
      <c r="BY89" s="113">
        <v>2563</v>
      </c>
      <c r="BZ89" s="113">
        <v>3148</v>
      </c>
      <c r="CA89" s="113">
        <v>1475</v>
      </c>
      <c r="CB89" s="113">
        <v>3803</v>
      </c>
      <c r="CC89" s="113">
        <v>3133</v>
      </c>
      <c r="CD89" s="113">
        <v>4030</v>
      </c>
      <c r="CE89" s="113">
        <v>4749</v>
      </c>
      <c r="CF89" s="113">
        <v>4714</v>
      </c>
      <c r="CG89" s="113">
        <v>3224</v>
      </c>
      <c r="CH89" s="113">
        <v>4495</v>
      </c>
      <c r="CI89" s="113">
        <v>4723</v>
      </c>
      <c r="CJ89" s="113">
        <v>4285</v>
      </c>
      <c r="CK89" s="113">
        <v>4288</v>
      </c>
      <c r="CL89" s="113">
        <v>4561</v>
      </c>
      <c r="CM89" s="113">
        <v>3583</v>
      </c>
      <c r="CN89" s="113">
        <v>6885</v>
      </c>
      <c r="CO89" s="113">
        <v>4006</v>
      </c>
      <c r="CP89" s="113">
        <v>5849</v>
      </c>
      <c r="CQ89" s="113">
        <v>6453</v>
      </c>
      <c r="CR89" s="113">
        <v>5790</v>
      </c>
      <c r="CS89" s="113">
        <v>5738</v>
      </c>
      <c r="CT89" s="113">
        <v>5999</v>
      </c>
      <c r="CU89" s="113">
        <v>5939</v>
      </c>
      <c r="CV89" s="113">
        <v>4785</v>
      </c>
      <c r="CW89" s="113">
        <v>4220</v>
      </c>
      <c r="CX89" s="113">
        <v>4482</v>
      </c>
      <c r="CY89" s="113">
        <v>8513</v>
      </c>
      <c r="CZ89" s="113">
        <v>5173</v>
      </c>
      <c r="DA89" s="113">
        <v>5989</v>
      </c>
      <c r="DB89" s="113">
        <v>7116</v>
      </c>
      <c r="DC89" s="113">
        <v>8165</v>
      </c>
      <c r="DD89" s="113">
        <v>5709</v>
      </c>
      <c r="DE89" s="113">
        <v>6171</v>
      </c>
      <c r="DF89" s="113">
        <v>7203</v>
      </c>
      <c r="DG89" s="113">
        <v>7994</v>
      </c>
      <c r="DH89" s="113">
        <v>6374</v>
      </c>
      <c r="DI89" s="113">
        <v>6385</v>
      </c>
      <c r="DJ89" s="113">
        <v>5308</v>
      </c>
      <c r="DK89" s="113">
        <v>7771</v>
      </c>
      <c r="DL89" s="113">
        <v>8345</v>
      </c>
      <c r="DM89" s="113">
        <v>6073</v>
      </c>
      <c r="DN89" s="113">
        <v>6334</v>
      </c>
      <c r="DO89" s="113">
        <v>7969</v>
      </c>
      <c r="DP89" s="113">
        <v>6974</v>
      </c>
      <c r="DQ89" s="113">
        <v>6609</v>
      </c>
      <c r="DR89" s="113">
        <v>6984</v>
      </c>
      <c r="DS89" s="113">
        <v>8019</v>
      </c>
      <c r="DT89" s="113">
        <v>6784</v>
      </c>
      <c r="DU89" s="113">
        <v>6385</v>
      </c>
      <c r="DV89" s="113">
        <v>5793</v>
      </c>
      <c r="DW89" s="113">
        <v>6026</v>
      </c>
      <c r="DX89" s="113">
        <v>5283</v>
      </c>
      <c r="DY89" s="113">
        <v>4190</v>
      </c>
      <c r="DZ89" s="113">
        <v>6715</v>
      </c>
      <c r="EA89" s="113">
        <v>7905</v>
      </c>
      <c r="EB89" s="113">
        <v>6723</v>
      </c>
      <c r="EC89" s="113">
        <v>10279</v>
      </c>
      <c r="ED89" s="113">
        <v>7708</v>
      </c>
      <c r="EE89" s="113">
        <v>8679</v>
      </c>
      <c r="EF89" s="113">
        <v>8292</v>
      </c>
      <c r="EG89" s="113">
        <v>10379</v>
      </c>
      <c r="EH89" s="113">
        <v>9955</v>
      </c>
      <c r="EI89" s="113">
        <v>10258</v>
      </c>
      <c r="EJ89" s="113">
        <v>10341</v>
      </c>
      <c r="EK89" s="113">
        <v>12405</v>
      </c>
      <c r="EL89" s="113">
        <v>12686</v>
      </c>
      <c r="EM89" s="113">
        <v>13891</v>
      </c>
      <c r="EN89" s="113">
        <v>12975</v>
      </c>
    </row>
    <row r="90" spans="1:144">
      <c r="A90" s="103" t="s">
        <v>2210</v>
      </c>
      <c r="B90" s="113">
        <v>754</v>
      </c>
      <c r="C90" s="113">
        <v>1152</v>
      </c>
      <c r="D90" s="113">
        <v>1531</v>
      </c>
      <c r="E90" s="113">
        <v>2031</v>
      </c>
      <c r="F90" s="113">
        <v>2393</v>
      </c>
      <c r="G90" s="113">
        <v>3631</v>
      </c>
      <c r="H90" s="113">
        <v>5520</v>
      </c>
      <c r="I90" s="113">
        <v>7333</v>
      </c>
      <c r="J90" s="113">
        <v>10628</v>
      </c>
      <c r="K90" s="113">
        <v>12223</v>
      </c>
      <c r="L90" s="113">
        <v>13537</v>
      </c>
      <c r="M90" s="113">
        <v>9528</v>
      </c>
      <c r="N90" s="113">
        <v>11978</v>
      </c>
      <c r="O90" s="113">
        <v>13012</v>
      </c>
      <c r="P90" s="113">
        <v>18054</v>
      </c>
      <c r="Q90" s="113">
        <v>18946</v>
      </c>
      <c r="R90" s="113">
        <v>20710</v>
      </c>
      <c r="S90" s="113">
        <v>26341</v>
      </c>
      <c r="T90" s="113">
        <v>23459</v>
      </c>
      <c r="U90" s="113">
        <v>27135</v>
      </c>
      <c r="V90" s="113">
        <v>30223</v>
      </c>
      <c r="W90" s="113">
        <v>31353</v>
      </c>
      <c r="X90" s="113">
        <v>31547</v>
      </c>
      <c r="Y90" s="113">
        <v>33005</v>
      </c>
      <c r="Z90" s="113">
        <v>34561</v>
      </c>
      <c r="AA90" s="113">
        <v>34002</v>
      </c>
      <c r="AB90" s="113">
        <v>38543</v>
      </c>
      <c r="AC90" s="113">
        <v>46543</v>
      </c>
      <c r="AD90" s="113">
        <v>56266</v>
      </c>
      <c r="AE90" s="113" t="s">
        <v>273</v>
      </c>
      <c r="AG90" s="103" t="s">
        <v>2210</v>
      </c>
      <c r="AH90" s="113" t="s">
        <v>273</v>
      </c>
      <c r="AI90" s="113" t="s">
        <v>273</v>
      </c>
      <c r="AJ90" s="113" t="s">
        <v>273</v>
      </c>
      <c r="AK90" s="113" t="s">
        <v>273</v>
      </c>
      <c r="AL90" s="113" t="s">
        <v>273</v>
      </c>
      <c r="AM90" s="113" t="s">
        <v>273</v>
      </c>
      <c r="AN90" s="113" t="s">
        <v>273</v>
      </c>
      <c r="AO90" s="113" t="s">
        <v>273</v>
      </c>
      <c r="AP90" s="113" t="s">
        <v>273</v>
      </c>
      <c r="AQ90" s="113" t="s">
        <v>273</v>
      </c>
      <c r="AR90" s="113" t="s">
        <v>273</v>
      </c>
      <c r="AS90" s="113" t="s">
        <v>273</v>
      </c>
      <c r="AT90" s="113" t="s">
        <v>273</v>
      </c>
      <c r="AU90" s="113" t="s">
        <v>273</v>
      </c>
      <c r="AV90" s="113" t="s">
        <v>273</v>
      </c>
      <c r="AW90" s="113" t="s">
        <v>273</v>
      </c>
      <c r="AX90" s="113" t="s">
        <v>273</v>
      </c>
      <c r="AY90" s="113" t="s">
        <v>273</v>
      </c>
      <c r="AZ90" s="113" t="s">
        <v>273</v>
      </c>
      <c r="BA90" s="113" t="s">
        <v>273</v>
      </c>
      <c r="BB90" s="113" t="s">
        <v>273</v>
      </c>
      <c r="BC90" s="113" t="s">
        <v>273</v>
      </c>
      <c r="BD90" s="113" t="s">
        <v>273</v>
      </c>
      <c r="BE90" s="113" t="s">
        <v>273</v>
      </c>
      <c r="BF90" s="113" t="s">
        <v>273</v>
      </c>
      <c r="BG90" s="113" t="s">
        <v>273</v>
      </c>
      <c r="BH90" s="113" t="s">
        <v>273</v>
      </c>
      <c r="BI90" s="113" t="s">
        <v>273</v>
      </c>
      <c r="BJ90" s="113" t="s">
        <v>273</v>
      </c>
      <c r="BK90" s="113" t="s">
        <v>273</v>
      </c>
      <c r="BL90" s="113" t="s">
        <v>273</v>
      </c>
      <c r="BM90" s="113" t="s">
        <v>273</v>
      </c>
      <c r="BN90" s="113" t="s">
        <v>273</v>
      </c>
      <c r="BO90" s="113" t="s">
        <v>273</v>
      </c>
      <c r="BP90" s="113" t="s">
        <v>273</v>
      </c>
      <c r="BQ90" s="113" t="s">
        <v>273</v>
      </c>
      <c r="BR90" s="113" t="s">
        <v>273</v>
      </c>
      <c r="BS90" s="113" t="s">
        <v>273</v>
      </c>
      <c r="BT90" s="113" t="s">
        <v>273</v>
      </c>
      <c r="BU90" s="113" t="s">
        <v>273</v>
      </c>
      <c r="BV90" s="113" t="s">
        <v>273</v>
      </c>
      <c r="BW90" s="113" t="s">
        <v>273</v>
      </c>
      <c r="BX90" s="113" t="s">
        <v>273</v>
      </c>
      <c r="BY90" s="113" t="s">
        <v>273</v>
      </c>
      <c r="BZ90" s="113" t="s">
        <v>273</v>
      </c>
      <c r="CA90" s="113" t="s">
        <v>273</v>
      </c>
      <c r="CB90" s="113" t="s">
        <v>273</v>
      </c>
      <c r="CC90" s="113" t="s">
        <v>273</v>
      </c>
      <c r="CD90" s="113" t="s">
        <v>273</v>
      </c>
      <c r="CE90" s="113" t="s">
        <v>273</v>
      </c>
      <c r="CF90" s="113" t="s">
        <v>273</v>
      </c>
      <c r="CG90" s="113" t="s">
        <v>273</v>
      </c>
      <c r="CH90" s="113" t="s">
        <v>273</v>
      </c>
      <c r="CI90" s="113" t="s">
        <v>273</v>
      </c>
      <c r="CJ90" s="113" t="s">
        <v>273</v>
      </c>
      <c r="CK90" s="113" t="s">
        <v>273</v>
      </c>
      <c r="CL90" s="113" t="s">
        <v>273</v>
      </c>
      <c r="CM90" s="113" t="s">
        <v>273</v>
      </c>
      <c r="CN90" s="113" t="s">
        <v>273</v>
      </c>
      <c r="CO90" s="113" t="s">
        <v>273</v>
      </c>
      <c r="CP90" s="113" t="s">
        <v>273</v>
      </c>
      <c r="CQ90" s="113" t="s">
        <v>273</v>
      </c>
      <c r="CR90" s="113" t="s">
        <v>273</v>
      </c>
      <c r="CS90" s="113" t="s">
        <v>273</v>
      </c>
      <c r="CT90" s="113" t="s">
        <v>273</v>
      </c>
      <c r="CU90" s="113" t="s">
        <v>273</v>
      </c>
      <c r="CV90" s="113" t="s">
        <v>273</v>
      </c>
      <c r="CW90" s="113" t="s">
        <v>273</v>
      </c>
      <c r="CX90" s="113" t="s">
        <v>273</v>
      </c>
      <c r="CY90" s="113" t="s">
        <v>273</v>
      </c>
      <c r="CZ90" s="113" t="s">
        <v>273</v>
      </c>
      <c r="DA90" s="113" t="s">
        <v>273</v>
      </c>
      <c r="DB90" s="113" t="s">
        <v>273</v>
      </c>
      <c r="DC90" s="113" t="s">
        <v>273</v>
      </c>
      <c r="DD90" s="113" t="s">
        <v>273</v>
      </c>
      <c r="DE90" s="113" t="s">
        <v>273</v>
      </c>
      <c r="DF90" s="113" t="s">
        <v>273</v>
      </c>
      <c r="DG90" s="113" t="s">
        <v>273</v>
      </c>
      <c r="DH90" s="113" t="s">
        <v>273</v>
      </c>
      <c r="DI90" s="113" t="s">
        <v>273</v>
      </c>
      <c r="DJ90" s="113" t="s">
        <v>273</v>
      </c>
      <c r="DK90" s="113" t="s">
        <v>273</v>
      </c>
      <c r="DL90" s="113" t="s">
        <v>273</v>
      </c>
      <c r="DM90" s="113" t="s">
        <v>273</v>
      </c>
      <c r="DN90" s="113" t="s">
        <v>273</v>
      </c>
      <c r="DO90" s="113" t="s">
        <v>273</v>
      </c>
      <c r="DP90" s="113" t="s">
        <v>273</v>
      </c>
      <c r="DQ90" s="113" t="s">
        <v>273</v>
      </c>
      <c r="DR90" s="113" t="s">
        <v>273</v>
      </c>
      <c r="DS90" s="113" t="s">
        <v>273</v>
      </c>
      <c r="DT90" s="113" t="s">
        <v>273</v>
      </c>
      <c r="DU90" s="113" t="s">
        <v>273</v>
      </c>
      <c r="DV90" s="113" t="s">
        <v>273</v>
      </c>
      <c r="DW90" s="113" t="s">
        <v>273</v>
      </c>
      <c r="DX90" s="113" t="s">
        <v>273</v>
      </c>
      <c r="DY90" s="113" t="s">
        <v>273</v>
      </c>
      <c r="DZ90" s="113">
        <v>8791</v>
      </c>
      <c r="EA90" s="113">
        <v>10505</v>
      </c>
      <c r="EB90" s="113">
        <v>9497</v>
      </c>
      <c r="EC90" s="113" t="s">
        <v>273</v>
      </c>
      <c r="ED90" s="113">
        <v>10595</v>
      </c>
      <c r="EE90" s="113">
        <v>11614</v>
      </c>
      <c r="EF90" s="113">
        <v>11397</v>
      </c>
      <c r="EG90" s="113" t="s">
        <v>273</v>
      </c>
      <c r="EH90" s="113">
        <v>13202</v>
      </c>
      <c r="EI90" s="113">
        <v>13666</v>
      </c>
      <c r="EJ90" s="113">
        <v>13698</v>
      </c>
      <c r="EK90" s="113" t="s">
        <v>273</v>
      </c>
      <c r="EL90" s="113">
        <v>16122</v>
      </c>
      <c r="EM90" s="113">
        <v>17572</v>
      </c>
      <c r="EN90" s="113">
        <v>16615</v>
      </c>
    </row>
    <row r="91" spans="1:144">
      <c r="A91" s="103" t="s">
        <v>2211</v>
      </c>
      <c r="B91" s="113" t="s">
        <v>273</v>
      </c>
      <c r="C91" s="113" t="s">
        <v>273</v>
      </c>
      <c r="D91" s="113" t="s">
        <v>273</v>
      </c>
      <c r="E91" s="113" t="s">
        <v>273</v>
      </c>
      <c r="F91" s="113" t="s">
        <v>273</v>
      </c>
      <c r="G91" s="113" t="s">
        <v>273</v>
      </c>
      <c r="H91" s="113" t="s">
        <v>273</v>
      </c>
      <c r="I91" s="113" t="s">
        <v>273</v>
      </c>
      <c r="J91" s="113" t="s">
        <v>273</v>
      </c>
      <c r="K91" s="113" t="s">
        <v>273</v>
      </c>
      <c r="L91" s="113" t="s">
        <v>273</v>
      </c>
      <c r="M91" s="113" t="s">
        <v>273</v>
      </c>
      <c r="N91" s="113" t="s">
        <v>273</v>
      </c>
      <c r="O91" s="113" t="s">
        <v>273</v>
      </c>
      <c r="P91" s="113" t="s">
        <v>273</v>
      </c>
      <c r="Q91" s="113" t="s">
        <v>273</v>
      </c>
      <c r="R91" s="113" t="s">
        <v>273</v>
      </c>
      <c r="S91" s="113" t="s">
        <v>273</v>
      </c>
      <c r="T91" s="113" t="s">
        <v>273</v>
      </c>
      <c r="U91" s="113" t="s">
        <v>273</v>
      </c>
      <c r="V91" s="113" t="s">
        <v>273</v>
      </c>
      <c r="W91" s="113" t="s">
        <v>273</v>
      </c>
      <c r="X91" s="113" t="s">
        <v>273</v>
      </c>
      <c r="Y91" s="113">
        <v>86833</v>
      </c>
      <c r="Z91" s="113">
        <v>93580</v>
      </c>
      <c r="AA91" s="113">
        <v>91154</v>
      </c>
      <c r="AB91" s="113">
        <v>96571</v>
      </c>
      <c r="AC91" s="113">
        <v>110360</v>
      </c>
      <c r="AD91" s="113">
        <v>125843</v>
      </c>
      <c r="AE91" s="113">
        <v>138699</v>
      </c>
      <c r="AG91" s="103" t="s">
        <v>2211</v>
      </c>
      <c r="AH91" s="113" t="s">
        <v>273</v>
      </c>
      <c r="AI91" s="113" t="s">
        <v>273</v>
      </c>
      <c r="AJ91" s="113" t="s">
        <v>273</v>
      </c>
      <c r="AK91" s="113" t="s">
        <v>273</v>
      </c>
      <c r="AL91" s="113" t="s">
        <v>273</v>
      </c>
      <c r="AM91" s="113" t="s">
        <v>273</v>
      </c>
      <c r="AN91" s="113" t="s">
        <v>273</v>
      </c>
      <c r="AO91" s="113" t="s">
        <v>273</v>
      </c>
      <c r="AP91" s="113" t="s">
        <v>273</v>
      </c>
      <c r="AQ91" s="113" t="s">
        <v>273</v>
      </c>
      <c r="AR91" s="113" t="s">
        <v>273</v>
      </c>
      <c r="AS91" s="113" t="s">
        <v>273</v>
      </c>
      <c r="AT91" s="113" t="s">
        <v>273</v>
      </c>
      <c r="AU91" s="113" t="s">
        <v>273</v>
      </c>
      <c r="AV91" s="113" t="s">
        <v>273</v>
      </c>
      <c r="AW91" s="113" t="s">
        <v>273</v>
      </c>
      <c r="AX91" s="113" t="s">
        <v>273</v>
      </c>
      <c r="AY91" s="113" t="s">
        <v>273</v>
      </c>
      <c r="AZ91" s="113" t="s">
        <v>273</v>
      </c>
      <c r="BA91" s="113" t="s">
        <v>273</v>
      </c>
      <c r="BB91" s="113" t="s">
        <v>273</v>
      </c>
      <c r="BC91" s="113" t="s">
        <v>273</v>
      </c>
      <c r="BD91" s="113" t="s">
        <v>273</v>
      </c>
      <c r="BE91" s="113" t="s">
        <v>273</v>
      </c>
      <c r="BF91" s="113" t="s">
        <v>273</v>
      </c>
      <c r="BG91" s="113" t="s">
        <v>273</v>
      </c>
      <c r="BH91" s="113" t="s">
        <v>273</v>
      </c>
      <c r="BI91" s="113" t="s">
        <v>273</v>
      </c>
      <c r="BJ91" s="113" t="s">
        <v>273</v>
      </c>
      <c r="BK91" s="113" t="s">
        <v>273</v>
      </c>
      <c r="BL91" s="113" t="s">
        <v>273</v>
      </c>
      <c r="BM91" s="113" t="s">
        <v>273</v>
      </c>
      <c r="BN91" s="113" t="s">
        <v>273</v>
      </c>
      <c r="BO91" s="113" t="s">
        <v>273</v>
      </c>
      <c r="BP91" s="113" t="s">
        <v>273</v>
      </c>
      <c r="BQ91" s="113" t="s">
        <v>273</v>
      </c>
      <c r="BR91" s="113" t="s">
        <v>273</v>
      </c>
      <c r="BS91" s="113" t="s">
        <v>273</v>
      </c>
      <c r="BT91" s="113" t="s">
        <v>273</v>
      </c>
      <c r="BU91" s="113" t="s">
        <v>273</v>
      </c>
      <c r="BV91" s="113" t="s">
        <v>273</v>
      </c>
      <c r="BW91" s="113" t="s">
        <v>273</v>
      </c>
      <c r="BX91" s="113" t="s">
        <v>273</v>
      </c>
      <c r="BY91" s="113" t="s">
        <v>273</v>
      </c>
      <c r="BZ91" s="113" t="s">
        <v>273</v>
      </c>
      <c r="CA91" s="113" t="s">
        <v>273</v>
      </c>
      <c r="CB91" s="113" t="s">
        <v>273</v>
      </c>
      <c r="CC91" s="113" t="s">
        <v>273</v>
      </c>
      <c r="CD91" s="113" t="s">
        <v>273</v>
      </c>
      <c r="CE91" s="113" t="s">
        <v>273</v>
      </c>
      <c r="CF91" s="113" t="s">
        <v>273</v>
      </c>
      <c r="CG91" s="113" t="s">
        <v>273</v>
      </c>
      <c r="CH91" s="113" t="s">
        <v>273</v>
      </c>
      <c r="CI91" s="113" t="s">
        <v>273</v>
      </c>
      <c r="CJ91" s="113" t="s">
        <v>273</v>
      </c>
      <c r="CK91" s="113" t="s">
        <v>273</v>
      </c>
      <c r="CL91" s="113" t="s">
        <v>273</v>
      </c>
      <c r="CM91" s="113" t="s">
        <v>273</v>
      </c>
      <c r="CN91" s="113" t="s">
        <v>273</v>
      </c>
      <c r="CO91" s="113" t="s">
        <v>273</v>
      </c>
      <c r="CP91" s="113" t="s">
        <v>273</v>
      </c>
      <c r="CQ91" s="113" t="s">
        <v>273</v>
      </c>
      <c r="CR91" s="113" t="s">
        <v>273</v>
      </c>
      <c r="CS91" s="113" t="s">
        <v>273</v>
      </c>
      <c r="CT91" s="113" t="s">
        <v>273</v>
      </c>
      <c r="CU91" s="113" t="s">
        <v>273</v>
      </c>
      <c r="CV91" s="113" t="s">
        <v>273</v>
      </c>
      <c r="CW91" s="113" t="s">
        <v>273</v>
      </c>
      <c r="CX91" s="113" t="s">
        <v>273</v>
      </c>
      <c r="CY91" s="113" t="s">
        <v>273</v>
      </c>
      <c r="CZ91" s="113" t="s">
        <v>273</v>
      </c>
      <c r="DA91" s="113" t="s">
        <v>273</v>
      </c>
      <c r="DB91" s="113" t="s">
        <v>273</v>
      </c>
      <c r="DC91" s="113" t="s">
        <v>273</v>
      </c>
      <c r="DD91" s="113" t="s">
        <v>273</v>
      </c>
      <c r="DE91" s="113" t="s">
        <v>273</v>
      </c>
      <c r="DF91" s="113" t="s">
        <v>273</v>
      </c>
      <c r="DG91" s="113" t="s">
        <v>273</v>
      </c>
      <c r="DH91" s="113" t="s">
        <v>273</v>
      </c>
      <c r="DI91" s="113" t="s">
        <v>273</v>
      </c>
      <c r="DJ91" s="113" t="s">
        <v>273</v>
      </c>
      <c r="DK91" s="113" t="s">
        <v>273</v>
      </c>
      <c r="DL91" s="113" t="s">
        <v>273</v>
      </c>
      <c r="DM91" s="113" t="s">
        <v>273</v>
      </c>
      <c r="DN91" s="113" t="s">
        <v>273</v>
      </c>
      <c r="DO91" s="113" t="s">
        <v>273</v>
      </c>
      <c r="DP91" s="113" t="s">
        <v>273</v>
      </c>
      <c r="DQ91" s="113" t="s">
        <v>273</v>
      </c>
      <c r="DR91" s="113" t="s">
        <v>273</v>
      </c>
      <c r="DS91" s="113" t="s">
        <v>273</v>
      </c>
      <c r="DT91" s="113" t="s">
        <v>273</v>
      </c>
      <c r="DU91" s="113">
        <v>93580</v>
      </c>
      <c r="DV91" s="113">
        <v>20379</v>
      </c>
      <c r="DW91" s="113">
        <v>23796</v>
      </c>
      <c r="DX91" s="113">
        <v>20531</v>
      </c>
      <c r="DY91" s="113">
        <v>20614</v>
      </c>
      <c r="DZ91" s="113">
        <v>21928</v>
      </c>
      <c r="EA91" s="113">
        <v>25826</v>
      </c>
      <c r="EB91" s="113">
        <v>23212</v>
      </c>
      <c r="EC91" s="113">
        <v>25605</v>
      </c>
      <c r="ED91" s="113">
        <v>24538</v>
      </c>
      <c r="EE91" s="113">
        <v>28918</v>
      </c>
      <c r="EF91" s="113">
        <v>26819</v>
      </c>
      <c r="EG91" s="113">
        <v>30085</v>
      </c>
      <c r="EH91" s="113">
        <v>29084</v>
      </c>
      <c r="EI91" s="113">
        <v>32471</v>
      </c>
      <c r="EJ91" s="113">
        <v>30571</v>
      </c>
      <c r="EK91" s="113">
        <v>33717</v>
      </c>
      <c r="EL91" s="113">
        <v>33055</v>
      </c>
      <c r="EM91" s="113">
        <v>36906</v>
      </c>
      <c r="EN91" s="113">
        <v>35021</v>
      </c>
    </row>
    <row r="92" spans="1:144">
      <c r="A92" s="103" t="s">
        <v>2212</v>
      </c>
      <c r="B92" s="120">
        <v>0.30998500000000001</v>
      </c>
      <c r="C92" s="120">
        <v>0.319884</v>
      </c>
      <c r="D92" s="120">
        <v>0.31977100000000003</v>
      </c>
      <c r="E92" s="120">
        <v>0.33449400000000001</v>
      </c>
      <c r="F92" s="120">
        <v>0.32948699999999997</v>
      </c>
      <c r="G92" s="120">
        <v>0.35039900000000002</v>
      </c>
      <c r="H92" s="120">
        <v>0.350018</v>
      </c>
      <c r="I92" s="120">
        <v>0.369116</v>
      </c>
      <c r="J92" s="120">
        <v>0.34530300000000003</v>
      </c>
      <c r="K92" s="120">
        <v>0.34003499999999998</v>
      </c>
      <c r="L92" s="120">
        <v>0.330065</v>
      </c>
      <c r="M92" s="120">
        <v>0.32</v>
      </c>
      <c r="N92" s="120">
        <v>0.31870799999999999</v>
      </c>
      <c r="O92" s="120">
        <v>0.33027200000000001</v>
      </c>
      <c r="P92" s="120">
        <v>0.26305000000000001</v>
      </c>
      <c r="Q92" s="120">
        <v>0.31009700000000001</v>
      </c>
      <c r="R92" s="120">
        <v>0.30028300000000002</v>
      </c>
      <c r="S92" s="120">
        <v>0.25753700000000002</v>
      </c>
      <c r="T92" s="120">
        <v>0.26497100000000001</v>
      </c>
      <c r="U92" s="120">
        <v>0.24998999999999999</v>
      </c>
      <c r="V92" s="120">
        <v>0.17530499999999999</v>
      </c>
      <c r="W92" s="120">
        <v>0.23752599999999999</v>
      </c>
      <c r="X92" s="120">
        <v>0.19181500000000001</v>
      </c>
      <c r="Y92" s="120">
        <v>0.206542</v>
      </c>
      <c r="Z92" s="120">
        <v>0.34116800000000003</v>
      </c>
      <c r="AA92" s="120">
        <v>0.19891500000000001</v>
      </c>
      <c r="AB92" s="120">
        <v>0.14755299999999999</v>
      </c>
      <c r="AC92" s="120">
        <v>0.54567600000000005</v>
      </c>
      <c r="AD92" s="120">
        <v>0.101812</v>
      </c>
      <c r="AE92" s="120">
        <v>0.113847</v>
      </c>
      <c r="AG92" s="103" t="s">
        <v>2212</v>
      </c>
      <c r="AH92" s="120">
        <v>0.31957099999999999</v>
      </c>
      <c r="AI92" s="120">
        <v>0.319884</v>
      </c>
      <c r="AJ92" s="120">
        <v>0.31932700000000003</v>
      </c>
      <c r="AK92" s="120">
        <v>0.32051200000000002</v>
      </c>
      <c r="AL92" s="120">
        <v>0.339779</v>
      </c>
      <c r="AM92" s="120">
        <v>0.34018199999999998</v>
      </c>
      <c r="AN92" s="120">
        <v>0.32984200000000002</v>
      </c>
      <c r="AO92" s="120">
        <v>0.32962900000000001</v>
      </c>
      <c r="AP92" s="120">
        <v>0.32908700000000002</v>
      </c>
      <c r="AQ92" s="120">
        <v>0.330341</v>
      </c>
      <c r="AR92" s="120">
        <v>0.33108100000000001</v>
      </c>
      <c r="AS92" s="120">
        <v>0.327239</v>
      </c>
      <c r="AT92" s="120">
        <v>0.35194799999999998</v>
      </c>
      <c r="AU92" s="120">
        <v>0.35028199999999998</v>
      </c>
      <c r="AV92" s="120">
        <v>0.34953699999999999</v>
      </c>
      <c r="AW92" s="120">
        <v>0.35</v>
      </c>
      <c r="AX92" s="120">
        <v>0.35026400000000002</v>
      </c>
      <c r="AY92" s="120">
        <v>0.35</v>
      </c>
      <c r="AZ92" s="120">
        <v>0.349968</v>
      </c>
      <c r="BA92" s="120">
        <v>0.34993800000000003</v>
      </c>
      <c r="BB92" s="120">
        <v>0.44841900000000001</v>
      </c>
      <c r="BC92" s="120">
        <v>0.35988700000000001</v>
      </c>
      <c r="BD92" s="120">
        <v>0.350024</v>
      </c>
      <c r="BE92" s="120">
        <v>0.35009499999999999</v>
      </c>
      <c r="BF92" s="120">
        <v>0.32760600000000001</v>
      </c>
      <c r="BG92" s="120">
        <v>0.350049</v>
      </c>
      <c r="BH92" s="120">
        <v>0.34994900000000001</v>
      </c>
      <c r="BI92" s="120">
        <v>0.35005900000000001</v>
      </c>
      <c r="BJ92" s="120">
        <v>0.34005999999999997</v>
      </c>
      <c r="BK92" s="120">
        <v>0.34001599999999998</v>
      </c>
      <c r="BL92" s="120">
        <v>0.33988299999999999</v>
      </c>
      <c r="BM92" s="120">
        <v>0.34017999999999998</v>
      </c>
      <c r="BN92" s="120">
        <v>0.32995799999999997</v>
      </c>
      <c r="BO92" s="120">
        <v>0.33009899999999998</v>
      </c>
      <c r="BP92" s="120">
        <v>0.329961</v>
      </c>
      <c r="BQ92" s="120">
        <v>0.33673399999999998</v>
      </c>
      <c r="BR92" s="120">
        <v>0.32008399999999998</v>
      </c>
      <c r="BS92" s="120">
        <v>0.31992799999999999</v>
      </c>
      <c r="BT92" s="120">
        <v>0.31991999999999998</v>
      </c>
      <c r="BU92" s="120">
        <v>0.320106</v>
      </c>
      <c r="BV92" s="120">
        <v>0.33016000000000001</v>
      </c>
      <c r="BW92" s="120">
        <v>0.28158699999999998</v>
      </c>
      <c r="BX92" s="120">
        <v>0.32999600000000001</v>
      </c>
      <c r="BY92" s="120">
        <v>0.33017099999999999</v>
      </c>
      <c r="BZ92" s="120">
        <v>0.32991500000000001</v>
      </c>
      <c r="CA92" s="120">
        <v>0.330017</v>
      </c>
      <c r="CB92" s="120">
        <v>0.42299199999999998</v>
      </c>
      <c r="CC92" s="120">
        <v>0.273758</v>
      </c>
      <c r="CD92" s="120">
        <v>0.32997599999999999</v>
      </c>
      <c r="CE92" s="120">
        <v>0.330044</v>
      </c>
      <c r="CF92" s="120">
        <v>0.32993400000000001</v>
      </c>
      <c r="CG92" s="120">
        <v>4.1699E-2</v>
      </c>
      <c r="CH92" s="120">
        <v>0.309973</v>
      </c>
      <c r="CI92" s="120">
        <v>0.28888399999999997</v>
      </c>
      <c r="CJ92" s="120">
        <v>0.310081</v>
      </c>
      <c r="CK92" s="120">
        <v>0.33583800000000003</v>
      </c>
      <c r="CL92" s="120">
        <v>0.31005700000000003</v>
      </c>
      <c r="CM92" s="120">
        <v>0.30985499999999999</v>
      </c>
      <c r="CN92" s="120">
        <v>0.29335800000000001</v>
      </c>
      <c r="CO92" s="120">
        <v>0.291549</v>
      </c>
      <c r="CP92" s="120">
        <v>0.310006</v>
      </c>
      <c r="CQ92" s="120">
        <v>0.30982399999999999</v>
      </c>
      <c r="CR92" s="120">
        <v>8.7733000000000005E-2</v>
      </c>
      <c r="CS92" s="120">
        <v>0.27999299999999999</v>
      </c>
      <c r="CT92" s="120">
        <v>0.27007100000000001</v>
      </c>
      <c r="CU92" s="120">
        <v>0.25966600000000001</v>
      </c>
      <c r="CV92" s="120">
        <v>0.26493800000000001</v>
      </c>
      <c r="CW92" s="120">
        <v>0.264847</v>
      </c>
      <c r="CX92" s="120">
        <v>0.249947</v>
      </c>
      <c r="CY92" s="120">
        <v>0.25002799999999997</v>
      </c>
      <c r="CZ92" s="120">
        <v>0.24995300000000001</v>
      </c>
      <c r="DA92" s="120">
        <v>0.25</v>
      </c>
      <c r="DB92" s="120">
        <v>0.25172800000000001</v>
      </c>
      <c r="DC92" s="120">
        <v>0.219253</v>
      </c>
      <c r="DD92" s="120">
        <v>0.13161800000000001</v>
      </c>
      <c r="DE92" s="120">
        <v>7.0421999999999998E-2</v>
      </c>
      <c r="DF92" s="120">
        <v>0.214618</v>
      </c>
      <c r="DG92" s="120">
        <v>0.196018</v>
      </c>
      <c r="DH92" s="120">
        <v>0.19723399999999999</v>
      </c>
      <c r="DI92" s="120">
        <v>2.3704730000000001</v>
      </c>
      <c r="DJ92" s="120">
        <v>0.19298799999999999</v>
      </c>
      <c r="DK92" s="120">
        <v>0.17927899999999999</v>
      </c>
      <c r="DL92" s="120">
        <v>0.20360300000000001</v>
      </c>
      <c r="DM92" s="120">
        <v>0.192026</v>
      </c>
      <c r="DN92" s="120">
        <v>0.181647</v>
      </c>
      <c r="DO92" s="120">
        <v>0.16755500000000001</v>
      </c>
      <c r="DP92" s="120">
        <v>0.18643000000000001</v>
      </c>
      <c r="DQ92" s="120">
        <v>0.29876799999999998</v>
      </c>
      <c r="DR92" s="120">
        <v>0.229986</v>
      </c>
      <c r="DS92" s="120">
        <v>0.25312099999999998</v>
      </c>
      <c r="DT92" s="120">
        <v>0.23507700000000001</v>
      </c>
      <c r="DU92" s="120" t="s">
        <v>1736</v>
      </c>
      <c r="DV92" s="120">
        <v>0.110828</v>
      </c>
      <c r="DW92" s="120">
        <v>0.142954</v>
      </c>
      <c r="DX92" s="120">
        <v>0.25416899999999998</v>
      </c>
      <c r="DY92" s="120">
        <v>6.7224000000000006E-2</v>
      </c>
      <c r="DZ92" s="120">
        <v>0.16991300000000001</v>
      </c>
      <c r="EA92" s="120">
        <v>0.218773</v>
      </c>
      <c r="EB92" s="120">
        <v>0.22667000000000001</v>
      </c>
      <c r="EC92" s="120" t="s">
        <v>1736</v>
      </c>
      <c r="ED92" s="120">
        <v>0.17635200000000001</v>
      </c>
      <c r="EE92" s="120">
        <v>1.6873149999999999</v>
      </c>
      <c r="EF92" s="120">
        <v>0.14083999999999999</v>
      </c>
      <c r="EG92" s="120">
        <v>0.16919400000000001</v>
      </c>
      <c r="EH92" s="120">
        <v>0.13667899999999999</v>
      </c>
      <c r="EI92" s="120">
        <v>0.18921499999999999</v>
      </c>
      <c r="EJ92" s="120">
        <v>0.15992700000000001</v>
      </c>
      <c r="EK92" s="120" t="s">
        <v>1736</v>
      </c>
      <c r="EL92" s="120">
        <v>0.15828400000000001</v>
      </c>
      <c r="EM92" s="120">
        <v>0.17294899999999999</v>
      </c>
      <c r="EN92" s="120">
        <v>0.16281200000000001</v>
      </c>
    </row>
    <row r="93" spans="1:144">
      <c r="A93" s="103" t="s">
        <v>2213</v>
      </c>
      <c r="B93" s="113">
        <v>133</v>
      </c>
      <c r="C93" s="113">
        <v>225</v>
      </c>
      <c r="D93" s="113">
        <v>352</v>
      </c>
      <c r="E93" s="113">
        <v>470</v>
      </c>
      <c r="F93" s="113">
        <v>518</v>
      </c>
      <c r="G93" s="113">
        <v>1139</v>
      </c>
      <c r="H93" s="113">
        <v>1710</v>
      </c>
      <c r="I93" s="113">
        <v>2518</v>
      </c>
      <c r="J93" s="113">
        <v>4027</v>
      </c>
      <c r="K93" s="113">
        <v>4744</v>
      </c>
      <c r="L93" s="113">
        <v>3243</v>
      </c>
      <c r="M93" s="113">
        <v>3644</v>
      </c>
      <c r="N93" s="113">
        <v>3861</v>
      </c>
      <c r="O93" s="113">
        <v>3940</v>
      </c>
      <c r="P93" s="113">
        <v>3553</v>
      </c>
      <c r="Q93" s="113">
        <v>4572</v>
      </c>
      <c r="R93" s="113">
        <v>4747</v>
      </c>
      <c r="S93" s="113">
        <v>4613</v>
      </c>
      <c r="T93" s="113">
        <v>3351</v>
      </c>
      <c r="U93" s="113">
        <v>4772</v>
      </c>
      <c r="V93" s="113">
        <v>3317</v>
      </c>
      <c r="W93" s="113">
        <v>2388</v>
      </c>
      <c r="X93" s="113">
        <v>3463</v>
      </c>
      <c r="Y93" s="113">
        <v>4004</v>
      </c>
      <c r="Z93" s="113">
        <v>4025</v>
      </c>
      <c r="AA93" s="113">
        <v>681</v>
      </c>
      <c r="AB93" s="113">
        <v>2769</v>
      </c>
      <c r="AC93" s="113">
        <v>20698</v>
      </c>
      <c r="AD93" s="113">
        <v>5380</v>
      </c>
      <c r="AE93" s="113">
        <v>5380</v>
      </c>
      <c r="AG93" s="103" t="s">
        <v>2213</v>
      </c>
      <c r="AH93" s="113" t="s">
        <v>273</v>
      </c>
      <c r="AI93" s="113" t="s">
        <v>273</v>
      </c>
      <c r="AJ93" s="113" t="s">
        <v>273</v>
      </c>
      <c r="AK93" s="113">
        <v>352</v>
      </c>
      <c r="AL93" s="113" t="s">
        <v>273</v>
      </c>
      <c r="AM93" s="113" t="s">
        <v>273</v>
      </c>
      <c r="AN93" s="113" t="s">
        <v>273</v>
      </c>
      <c r="AO93" s="113">
        <v>470</v>
      </c>
      <c r="AP93" s="113" t="s">
        <v>273</v>
      </c>
      <c r="AQ93" s="113" t="s">
        <v>273</v>
      </c>
      <c r="AR93" s="113" t="s">
        <v>273</v>
      </c>
      <c r="AS93" s="113">
        <v>518</v>
      </c>
      <c r="AT93" s="113" t="s">
        <v>273</v>
      </c>
      <c r="AU93" s="113" t="s">
        <v>273</v>
      </c>
      <c r="AV93" s="113" t="s">
        <v>273</v>
      </c>
      <c r="AW93" s="113">
        <v>1139</v>
      </c>
      <c r="AX93" s="113" t="s">
        <v>273</v>
      </c>
      <c r="AY93" s="113" t="s">
        <v>273</v>
      </c>
      <c r="AZ93" s="113" t="s">
        <v>273</v>
      </c>
      <c r="BA93" s="113">
        <v>1710</v>
      </c>
      <c r="BB93" s="113" t="s">
        <v>273</v>
      </c>
      <c r="BC93" s="113" t="s">
        <v>273</v>
      </c>
      <c r="BD93" s="113" t="s">
        <v>273</v>
      </c>
      <c r="BE93" s="113">
        <v>2518</v>
      </c>
      <c r="BF93" s="113" t="s">
        <v>273</v>
      </c>
      <c r="BG93" s="113" t="s">
        <v>273</v>
      </c>
      <c r="BH93" s="113" t="s">
        <v>273</v>
      </c>
      <c r="BI93" s="113">
        <v>4027</v>
      </c>
      <c r="BJ93" s="113" t="s">
        <v>273</v>
      </c>
      <c r="BK93" s="113" t="s">
        <v>273</v>
      </c>
      <c r="BL93" s="113" t="s">
        <v>273</v>
      </c>
      <c r="BM93" s="113">
        <v>4744</v>
      </c>
      <c r="BN93" s="113" t="s">
        <v>273</v>
      </c>
      <c r="BO93" s="113" t="s">
        <v>273</v>
      </c>
      <c r="BP93" s="113" t="s">
        <v>273</v>
      </c>
      <c r="BQ93" s="113">
        <v>3243</v>
      </c>
      <c r="BR93" s="113" t="s">
        <v>273</v>
      </c>
      <c r="BS93" s="113" t="s">
        <v>273</v>
      </c>
      <c r="BT93" s="113" t="s">
        <v>273</v>
      </c>
      <c r="BU93" s="113">
        <v>3644</v>
      </c>
      <c r="BV93" s="113" t="s">
        <v>273</v>
      </c>
      <c r="BW93" s="113" t="s">
        <v>273</v>
      </c>
      <c r="BX93" s="113" t="s">
        <v>273</v>
      </c>
      <c r="BY93" s="113">
        <v>3861</v>
      </c>
      <c r="BZ93" s="113" t="s">
        <v>273</v>
      </c>
      <c r="CA93" s="113" t="s">
        <v>273</v>
      </c>
      <c r="CB93" s="113" t="s">
        <v>273</v>
      </c>
      <c r="CC93" s="113">
        <v>3940</v>
      </c>
      <c r="CD93" s="113" t="s">
        <v>273</v>
      </c>
      <c r="CE93" s="113" t="s">
        <v>273</v>
      </c>
      <c r="CF93" s="113" t="s">
        <v>273</v>
      </c>
      <c r="CG93" s="113">
        <v>3553</v>
      </c>
      <c r="CH93" s="113" t="s">
        <v>273</v>
      </c>
      <c r="CI93" s="113" t="s">
        <v>273</v>
      </c>
      <c r="CJ93" s="113" t="s">
        <v>273</v>
      </c>
      <c r="CK93" s="113">
        <v>4572</v>
      </c>
      <c r="CL93" s="113" t="s">
        <v>273</v>
      </c>
      <c r="CM93" s="113" t="s">
        <v>273</v>
      </c>
      <c r="CN93" s="113" t="s">
        <v>273</v>
      </c>
      <c r="CO93" s="113">
        <v>4747</v>
      </c>
      <c r="CP93" s="113" t="s">
        <v>273</v>
      </c>
      <c r="CQ93" s="113" t="s">
        <v>273</v>
      </c>
      <c r="CR93" s="113" t="s">
        <v>273</v>
      </c>
      <c r="CS93" s="113">
        <v>4613</v>
      </c>
      <c r="CT93" s="113" t="s">
        <v>273</v>
      </c>
      <c r="CU93" s="113" t="s">
        <v>273</v>
      </c>
      <c r="CV93" s="113" t="s">
        <v>273</v>
      </c>
      <c r="CW93" s="113">
        <v>3351</v>
      </c>
      <c r="CX93" s="113" t="s">
        <v>273</v>
      </c>
      <c r="CY93" s="113" t="s">
        <v>273</v>
      </c>
      <c r="CZ93" s="113" t="s">
        <v>273</v>
      </c>
      <c r="DA93" s="113">
        <v>4772</v>
      </c>
      <c r="DB93" s="113" t="s">
        <v>273</v>
      </c>
      <c r="DC93" s="113" t="s">
        <v>273</v>
      </c>
      <c r="DD93" s="113" t="s">
        <v>273</v>
      </c>
      <c r="DE93" s="113">
        <v>3317</v>
      </c>
      <c r="DF93" s="113" t="s">
        <v>273</v>
      </c>
      <c r="DG93" s="113" t="s">
        <v>273</v>
      </c>
      <c r="DH93" s="113" t="s">
        <v>273</v>
      </c>
      <c r="DI93" s="113">
        <v>2388</v>
      </c>
      <c r="DJ93" s="113" t="s">
        <v>273</v>
      </c>
      <c r="DK93" s="113" t="s">
        <v>273</v>
      </c>
      <c r="DL93" s="113" t="s">
        <v>273</v>
      </c>
      <c r="DM93" s="113">
        <v>3463</v>
      </c>
      <c r="DN93" s="113" t="s">
        <v>273</v>
      </c>
      <c r="DO93" s="113" t="s">
        <v>273</v>
      </c>
      <c r="DP93" s="113" t="s">
        <v>273</v>
      </c>
      <c r="DQ93" s="113">
        <v>4004</v>
      </c>
      <c r="DR93" s="113" t="s">
        <v>273</v>
      </c>
      <c r="DS93" s="113" t="s">
        <v>273</v>
      </c>
      <c r="DT93" s="113" t="s">
        <v>273</v>
      </c>
      <c r="DU93" s="113">
        <v>4025</v>
      </c>
      <c r="DV93" s="113" t="s">
        <v>273</v>
      </c>
      <c r="DW93" s="113" t="s">
        <v>273</v>
      </c>
      <c r="DX93" s="113" t="s">
        <v>273</v>
      </c>
      <c r="DY93" s="113">
        <v>681</v>
      </c>
      <c r="DZ93" s="113" t="s">
        <v>273</v>
      </c>
      <c r="EA93" s="113" t="s">
        <v>273</v>
      </c>
      <c r="EB93" s="113" t="s">
        <v>273</v>
      </c>
      <c r="EC93" s="113">
        <v>2769</v>
      </c>
      <c r="ED93" s="113" t="s">
        <v>273</v>
      </c>
      <c r="EE93" s="113" t="s">
        <v>273</v>
      </c>
      <c r="EF93" s="113" t="s">
        <v>273</v>
      </c>
      <c r="EG93" s="113">
        <v>20698</v>
      </c>
      <c r="EH93" s="113" t="s">
        <v>273</v>
      </c>
      <c r="EI93" s="113" t="s">
        <v>273</v>
      </c>
      <c r="EJ93" s="113" t="s">
        <v>273</v>
      </c>
      <c r="EK93" s="113">
        <v>5380</v>
      </c>
      <c r="EL93" s="113" t="s">
        <v>273</v>
      </c>
      <c r="EM93" s="113" t="s">
        <v>273</v>
      </c>
      <c r="EN93" s="113" t="s">
        <v>273</v>
      </c>
    </row>
    <row r="94" spans="1:144">
      <c r="A94" s="103" t="s">
        <v>2214</v>
      </c>
      <c r="B94" s="113">
        <v>102</v>
      </c>
      <c r="C94" s="113">
        <v>112</v>
      </c>
      <c r="D94" s="113">
        <v>123</v>
      </c>
      <c r="E94" s="113">
        <v>94</v>
      </c>
      <c r="F94" s="113">
        <v>151</v>
      </c>
      <c r="G94" s="113">
        <v>285</v>
      </c>
      <c r="H94" s="113">
        <v>412</v>
      </c>
      <c r="I94" s="113">
        <v>526</v>
      </c>
      <c r="J94" s="113">
        <v>281</v>
      </c>
      <c r="K94" s="113">
        <v>535</v>
      </c>
      <c r="L94" s="113">
        <v>514</v>
      </c>
      <c r="M94" s="113">
        <v>575</v>
      </c>
      <c r="N94" s="113">
        <v>808</v>
      </c>
      <c r="O94" s="113">
        <v>1056</v>
      </c>
      <c r="P94" s="113">
        <v>911</v>
      </c>
      <c r="Q94" s="113">
        <v>882</v>
      </c>
      <c r="R94" s="113">
        <v>957</v>
      </c>
      <c r="S94" s="113">
        <v>1007</v>
      </c>
      <c r="T94" s="113">
        <v>1139</v>
      </c>
      <c r="U94" s="113">
        <v>1701</v>
      </c>
      <c r="V94" s="113">
        <v>1602</v>
      </c>
      <c r="W94" s="113">
        <v>1947</v>
      </c>
      <c r="X94" s="113">
        <v>1745</v>
      </c>
      <c r="Y94" s="113">
        <v>2073</v>
      </c>
      <c r="Z94" s="113">
        <v>2065</v>
      </c>
      <c r="AA94" s="113">
        <v>1940</v>
      </c>
      <c r="AB94" s="113">
        <v>2472</v>
      </c>
      <c r="AC94" s="113">
        <v>4348</v>
      </c>
      <c r="AD94" s="113">
        <v>5531</v>
      </c>
      <c r="AE94" s="113">
        <v>5531</v>
      </c>
      <c r="AG94" s="103" t="s">
        <v>2214</v>
      </c>
      <c r="AH94" s="113" t="s">
        <v>273</v>
      </c>
      <c r="AI94" s="113" t="s">
        <v>273</v>
      </c>
      <c r="AJ94" s="113" t="s">
        <v>273</v>
      </c>
      <c r="AK94" s="113">
        <v>123</v>
      </c>
      <c r="AL94" s="113" t="s">
        <v>273</v>
      </c>
      <c r="AM94" s="113" t="s">
        <v>273</v>
      </c>
      <c r="AN94" s="113" t="s">
        <v>273</v>
      </c>
      <c r="AO94" s="113">
        <v>94</v>
      </c>
      <c r="AP94" s="113" t="s">
        <v>273</v>
      </c>
      <c r="AQ94" s="113" t="s">
        <v>273</v>
      </c>
      <c r="AR94" s="113" t="s">
        <v>273</v>
      </c>
      <c r="AS94" s="113">
        <v>151</v>
      </c>
      <c r="AT94" s="113" t="s">
        <v>273</v>
      </c>
      <c r="AU94" s="113" t="s">
        <v>273</v>
      </c>
      <c r="AV94" s="113" t="s">
        <v>273</v>
      </c>
      <c r="AW94" s="113">
        <v>285</v>
      </c>
      <c r="AX94" s="113" t="s">
        <v>273</v>
      </c>
      <c r="AY94" s="113" t="s">
        <v>273</v>
      </c>
      <c r="AZ94" s="113" t="s">
        <v>273</v>
      </c>
      <c r="BA94" s="113">
        <v>412</v>
      </c>
      <c r="BB94" s="113" t="s">
        <v>273</v>
      </c>
      <c r="BC94" s="113" t="s">
        <v>273</v>
      </c>
      <c r="BD94" s="113" t="s">
        <v>273</v>
      </c>
      <c r="BE94" s="113">
        <v>526</v>
      </c>
      <c r="BF94" s="113" t="s">
        <v>273</v>
      </c>
      <c r="BG94" s="113" t="s">
        <v>273</v>
      </c>
      <c r="BH94" s="113" t="s">
        <v>273</v>
      </c>
      <c r="BI94" s="113">
        <v>281</v>
      </c>
      <c r="BJ94" s="113" t="s">
        <v>273</v>
      </c>
      <c r="BK94" s="113" t="s">
        <v>273</v>
      </c>
      <c r="BL94" s="113" t="s">
        <v>273</v>
      </c>
      <c r="BM94" s="113">
        <v>535</v>
      </c>
      <c r="BN94" s="113" t="s">
        <v>273</v>
      </c>
      <c r="BO94" s="113" t="s">
        <v>273</v>
      </c>
      <c r="BP94" s="113" t="s">
        <v>273</v>
      </c>
      <c r="BQ94" s="113">
        <v>514</v>
      </c>
      <c r="BR94" s="113" t="s">
        <v>273</v>
      </c>
      <c r="BS94" s="113" t="s">
        <v>273</v>
      </c>
      <c r="BT94" s="113" t="s">
        <v>273</v>
      </c>
      <c r="BU94" s="113">
        <v>575</v>
      </c>
      <c r="BV94" s="113" t="s">
        <v>273</v>
      </c>
      <c r="BW94" s="113" t="s">
        <v>273</v>
      </c>
      <c r="BX94" s="113" t="s">
        <v>273</v>
      </c>
      <c r="BY94" s="113">
        <v>808</v>
      </c>
      <c r="BZ94" s="113" t="s">
        <v>273</v>
      </c>
      <c r="CA94" s="113" t="s">
        <v>273</v>
      </c>
      <c r="CB94" s="113" t="s">
        <v>273</v>
      </c>
      <c r="CC94" s="113">
        <v>1056</v>
      </c>
      <c r="CD94" s="113" t="s">
        <v>273</v>
      </c>
      <c r="CE94" s="113" t="s">
        <v>273</v>
      </c>
      <c r="CF94" s="113" t="s">
        <v>273</v>
      </c>
      <c r="CG94" s="113">
        <v>911</v>
      </c>
      <c r="CH94" s="113" t="s">
        <v>273</v>
      </c>
      <c r="CI94" s="113" t="s">
        <v>273</v>
      </c>
      <c r="CJ94" s="113" t="s">
        <v>273</v>
      </c>
      <c r="CK94" s="113">
        <v>882</v>
      </c>
      <c r="CL94" s="113" t="s">
        <v>273</v>
      </c>
      <c r="CM94" s="113" t="s">
        <v>273</v>
      </c>
      <c r="CN94" s="113" t="s">
        <v>273</v>
      </c>
      <c r="CO94" s="113">
        <v>957</v>
      </c>
      <c r="CP94" s="113" t="s">
        <v>273</v>
      </c>
      <c r="CQ94" s="113" t="s">
        <v>273</v>
      </c>
      <c r="CR94" s="113" t="s">
        <v>273</v>
      </c>
      <c r="CS94" s="113">
        <v>1007</v>
      </c>
      <c r="CT94" s="113" t="s">
        <v>273</v>
      </c>
      <c r="CU94" s="113" t="s">
        <v>273</v>
      </c>
      <c r="CV94" s="113" t="s">
        <v>273</v>
      </c>
      <c r="CW94" s="113">
        <v>1139</v>
      </c>
      <c r="CX94" s="113" t="s">
        <v>273</v>
      </c>
      <c r="CY94" s="113" t="s">
        <v>273</v>
      </c>
      <c r="CZ94" s="113" t="s">
        <v>273</v>
      </c>
      <c r="DA94" s="113">
        <v>1701</v>
      </c>
      <c r="DB94" s="113" t="s">
        <v>273</v>
      </c>
      <c r="DC94" s="113" t="s">
        <v>273</v>
      </c>
      <c r="DD94" s="113" t="s">
        <v>273</v>
      </c>
      <c r="DE94" s="113">
        <v>1602</v>
      </c>
      <c r="DF94" s="113" t="s">
        <v>273</v>
      </c>
      <c r="DG94" s="113" t="s">
        <v>273</v>
      </c>
      <c r="DH94" s="113" t="s">
        <v>273</v>
      </c>
      <c r="DI94" s="113">
        <v>1947</v>
      </c>
      <c r="DJ94" s="113" t="s">
        <v>273</v>
      </c>
      <c r="DK94" s="113" t="s">
        <v>273</v>
      </c>
      <c r="DL94" s="113" t="s">
        <v>273</v>
      </c>
      <c r="DM94" s="113">
        <v>1745</v>
      </c>
      <c r="DN94" s="113" t="s">
        <v>273</v>
      </c>
      <c r="DO94" s="113" t="s">
        <v>273</v>
      </c>
      <c r="DP94" s="113" t="s">
        <v>273</v>
      </c>
      <c r="DQ94" s="113">
        <v>2073</v>
      </c>
      <c r="DR94" s="113" t="s">
        <v>273</v>
      </c>
      <c r="DS94" s="113" t="s">
        <v>273</v>
      </c>
      <c r="DT94" s="113" t="s">
        <v>273</v>
      </c>
      <c r="DU94" s="113">
        <v>2065</v>
      </c>
      <c r="DV94" s="113" t="s">
        <v>273</v>
      </c>
      <c r="DW94" s="113" t="s">
        <v>273</v>
      </c>
      <c r="DX94" s="113" t="s">
        <v>273</v>
      </c>
      <c r="DY94" s="113">
        <v>1940</v>
      </c>
      <c r="DZ94" s="113" t="s">
        <v>273</v>
      </c>
      <c r="EA94" s="113" t="s">
        <v>273</v>
      </c>
      <c r="EB94" s="113" t="s">
        <v>273</v>
      </c>
      <c r="EC94" s="113">
        <v>2472</v>
      </c>
      <c r="ED94" s="113" t="s">
        <v>273</v>
      </c>
      <c r="EE94" s="113" t="s">
        <v>273</v>
      </c>
      <c r="EF94" s="113" t="s">
        <v>273</v>
      </c>
      <c r="EG94" s="113">
        <v>4348</v>
      </c>
      <c r="EH94" s="113" t="s">
        <v>273</v>
      </c>
      <c r="EI94" s="113" t="s">
        <v>273</v>
      </c>
      <c r="EJ94" s="113" t="s">
        <v>273</v>
      </c>
      <c r="EK94" s="113">
        <v>5531</v>
      </c>
      <c r="EL94" s="113" t="s">
        <v>273</v>
      </c>
      <c r="EM94" s="113" t="s">
        <v>273</v>
      </c>
      <c r="EN94" s="113" t="s">
        <v>273</v>
      </c>
    </row>
    <row r="95" spans="1:144">
      <c r="A95" s="103" t="s">
        <v>2215</v>
      </c>
      <c r="B95" s="113">
        <v>235</v>
      </c>
      <c r="C95" s="113">
        <v>337</v>
      </c>
      <c r="D95" s="113">
        <v>475</v>
      </c>
      <c r="E95" s="113">
        <v>564</v>
      </c>
      <c r="F95" s="113">
        <v>669</v>
      </c>
      <c r="G95" s="113">
        <v>1424</v>
      </c>
      <c r="H95" s="113">
        <v>2122</v>
      </c>
      <c r="I95" s="113">
        <v>3044</v>
      </c>
      <c r="J95" s="113">
        <v>4308</v>
      </c>
      <c r="K95" s="113">
        <v>5279</v>
      </c>
      <c r="L95" s="113">
        <v>3757</v>
      </c>
      <c r="M95" s="113">
        <v>4219</v>
      </c>
      <c r="N95" s="113">
        <v>4669</v>
      </c>
      <c r="O95" s="113">
        <v>4996</v>
      </c>
      <c r="P95" s="113">
        <v>4464</v>
      </c>
      <c r="Q95" s="113">
        <v>5454</v>
      </c>
      <c r="R95" s="113">
        <v>5704</v>
      </c>
      <c r="S95" s="113">
        <v>5620</v>
      </c>
      <c r="T95" s="113">
        <v>4490</v>
      </c>
      <c r="U95" s="113">
        <v>6473</v>
      </c>
      <c r="V95" s="113">
        <v>4919</v>
      </c>
      <c r="W95" s="113">
        <v>4335</v>
      </c>
      <c r="X95" s="113">
        <v>5208</v>
      </c>
      <c r="Y95" s="113">
        <v>6077</v>
      </c>
      <c r="Z95" s="113">
        <v>6090</v>
      </c>
      <c r="AA95" s="113">
        <v>2621</v>
      </c>
      <c r="AB95" s="113">
        <v>5241</v>
      </c>
      <c r="AC95" s="113">
        <v>25046</v>
      </c>
      <c r="AD95" s="113">
        <v>10911</v>
      </c>
      <c r="AE95" s="113">
        <v>10911</v>
      </c>
      <c r="AG95" s="103" t="s">
        <v>2215</v>
      </c>
      <c r="AH95" s="113">
        <v>0</v>
      </c>
      <c r="AI95" s="113">
        <v>0</v>
      </c>
      <c r="AJ95" s="113">
        <v>0</v>
      </c>
      <c r="AK95" s="113">
        <v>475</v>
      </c>
      <c r="AL95" s="113">
        <v>0</v>
      </c>
      <c r="AM95" s="113">
        <v>0</v>
      </c>
      <c r="AN95" s="113">
        <v>0</v>
      </c>
      <c r="AO95" s="113">
        <v>564</v>
      </c>
      <c r="AP95" s="113">
        <v>0</v>
      </c>
      <c r="AQ95" s="113">
        <v>0</v>
      </c>
      <c r="AR95" s="113">
        <v>0</v>
      </c>
      <c r="AS95" s="113">
        <v>669</v>
      </c>
      <c r="AT95" s="113">
        <v>0</v>
      </c>
      <c r="AU95" s="113">
        <v>0</v>
      </c>
      <c r="AV95" s="113">
        <v>0</v>
      </c>
      <c r="AW95" s="113">
        <v>1424</v>
      </c>
      <c r="AX95" s="113">
        <v>0</v>
      </c>
      <c r="AY95" s="113">
        <v>0</v>
      </c>
      <c r="AZ95" s="113">
        <v>0</v>
      </c>
      <c r="BA95" s="113">
        <v>2122</v>
      </c>
      <c r="BB95" s="113">
        <v>0</v>
      </c>
      <c r="BC95" s="113">
        <v>0</v>
      </c>
      <c r="BD95" s="113">
        <v>0</v>
      </c>
      <c r="BE95" s="113">
        <v>3044</v>
      </c>
      <c r="BF95" s="113">
        <v>0</v>
      </c>
      <c r="BG95" s="113">
        <v>0</v>
      </c>
      <c r="BH95" s="113">
        <v>0</v>
      </c>
      <c r="BI95" s="113">
        <v>4308</v>
      </c>
      <c r="BJ95" s="113">
        <v>0</v>
      </c>
      <c r="BK95" s="113">
        <v>0</v>
      </c>
      <c r="BL95" s="113">
        <v>0</v>
      </c>
      <c r="BM95" s="113">
        <v>5279</v>
      </c>
      <c r="BN95" s="113">
        <v>0</v>
      </c>
      <c r="BO95" s="113">
        <v>0</v>
      </c>
      <c r="BP95" s="113">
        <v>0</v>
      </c>
      <c r="BQ95" s="113">
        <v>3757</v>
      </c>
      <c r="BR95" s="113">
        <v>0</v>
      </c>
      <c r="BS95" s="113">
        <v>0</v>
      </c>
      <c r="BT95" s="113">
        <v>0</v>
      </c>
      <c r="BU95" s="113">
        <v>4219</v>
      </c>
      <c r="BV95" s="113">
        <v>0</v>
      </c>
      <c r="BW95" s="113">
        <v>0</v>
      </c>
      <c r="BX95" s="113">
        <v>0</v>
      </c>
      <c r="BY95" s="113">
        <v>4669</v>
      </c>
      <c r="BZ95" s="113">
        <v>0</v>
      </c>
      <c r="CA95" s="113">
        <v>0</v>
      </c>
      <c r="CB95" s="113">
        <v>0</v>
      </c>
      <c r="CC95" s="113">
        <v>4996</v>
      </c>
      <c r="CD95" s="113">
        <v>0</v>
      </c>
      <c r="CE95" s="113">
        <v>0</v>
      </c>
      <c r="CF95" s="113">
        <v>0</v>
      </c>
      <c r="CG95" s="113">
        <v>4464</v>
      </c>
      <c r="CH95" s="113">
        <v>0</v>
      </c>
      <c r="CI95" s="113">
        <v>0</v>
      </c>
      <c r="CJ95" s="113">
        <v>0</v>
      </c>
      <c r="CK95" s="113">
        <v>5454</v>
      </c>
      <c r="CL95" s="113">
        <v>0</v>
      </c>
      <c r="CM95" s="113">
        <v>0</v>
      </c>
      <c r="CN95" s="113">
        <v>0</v>
      </c>
      <c r="CO95" s="113">
        <v>5704</v>
      </c>
      <c r="CP95" s="113">
        <v>0</v>
      </c>
      <c r="CQ95" s="113">
        <v>0</v>
      </c>
      <c r="CR95" s="113">
        <v>0</v>
      </c>
      <c r="CS95" s="113">
        <v>5620</v>
      </c>
      <c r="CT95" s="113">
        <v>0</v>
      </c>
      <c r="CU95" s="113">
        <v>0</v>
      </c>
      <c r="CV95" s="113">
        <v>0</v>
      </c>
      <c r="CW95" s="113">
        <v>4490</v>
      </c>
      <c r="CX95" s="113">
        <v>0</v>
      </c>
      <c r="CY95" s="113">
        <v>0</v>
      </c>
      <c r="CZ95" s="113">
        <v>0</v>
      </c>
      <c r="DA95" s="113">
        <v>6473</v>
      </c>
      <c r="DB95" s="113">
        <v>0</v>
      </c>
      <c r="DC95" s="113">
        <v>0</v>
      </c>
      <c r="DD95" s="113">
        <v>0</v>
      </c>
      <c r="DE95" s="113">
        <v>4919</v>
      </c>
      <c r="DF95" s="113">
        <v>0</v>
      </c>
      <c r="DG95" s="113">
        <v>0</v>
      </c>
      <c r="DH95" s="113">
        <v>0</v>
      </c>
      <c r="DI95" s="113">
        <v>4335</v>
      </c>
      <c r="DJ95" s="113">
        <v>0</v>
      </c>
      <c r="DK95" s="113">
        <v>0</v>
      </c>
      <c r="DL95" s="113">
        <v>0</v>
      </c>
      <c r="DM95" s="113">
        <v>5208</v>
      </c>
      <c r="DN95" s="113">
        <v>0</v>
      </c>
      <c r="DO95" s="113">
        <v>0</v>
      </c>
      <c r="DP95" s="113">
        <v>0</v>
      </c>
      <c r="DQ95" s="113">
        <v>6077</v>
      </c>
      <c r="DR95" s="113">
        <v>0</v>
      </c>
      <c r="DS95" s="113">
        <v>0</v>
      </c>
      <c r="DT95" s="113">
        <v>0</v>
      </c>
      <c r="DU95" s="113">
        <v>6090</v>
      </c>
      <c r="DV95" s="113">
        <v>0</v>
      </c>
      <c r="DW95" s="113">
        <v>0</v>
      </c>
      <c r="DX95" s="113">
        <v>0</v>
      </c>
      <c r="DY95" s="113">
        <v>2621</v>
      </c>
      <c r="DZ95" s="113">
        <v>0</v>
      </c>
      <c r="EA95" s="113">
        <v>0</v>
      </c>
      <c r="EB95" s="113">
        <v>0</v>
      </c>
      <c r="EC95" s="113">
        <v>5241</v>
      </c>
      <c r="ED95" s="113">
        <v>0</v>
      </c>
      <c r="EE95" s="113">
        <v>0</v>
      </c>
      <c r="EF95" s="113">
        <v>0</v>
      </c>
      <c r="EG95" s="113">
        <v>25046</v>
      </c>
      <c r="EH95" s="113">
        <v>0</v>
      </c>
      <c r="EI95" s="113">
        <v>0</v>
      </c>
      <c r="EJ95" s="113">
        <v>0</v>
      </c>
      <c r="EK95" s="113">
        <v>10911</v>
      </c>
      <c r="EL95" s="113">
        <v>0</v>
      </c>
      <c r="EM95" s="113">
        <v>0</v>
      </c>
      <c r="EN95" s="113">
        <v>0</v>
      </c>
    </row>
    <row r="96" spans="1:144">
      <c r="A96" s="103" t="s">
        <v>2216</v>
      </c>
      <c r="B96" s="113">
        <v>-27</v>
      </c>
      <c r="C96" s="113">
        <v>-4</v>
      </c>
      <c r="D96" s="113">
        <v>-27</v>
      </c>
      <c r="E96" s="113">
        <v>12</v>
      </c>
      <c r="F96" s="113">
        <v>45</v>
      </c>
      <c r="G96" s="113">
        <v>-240</v>
      </c>
      <c r="H96" s="113">
        <v>-262</v>
      </c>
      <c r="I96" s="113">
        <v>-417</v>
      </c>
      <c r="J96" s="113" t="s">
        <v>273</v>
      </c>
      <c r="K96" s="113" t="s">
        <v>273</v>
      </c>
      <c r="L96" s="113" t="s">
        <v>273</v>
      </c>
      <c r="M96" s="113" t="s">
        <v>273</v>
      </c>
      <c r="N96" s="113" t="s">
        <v>273</v>
      </c>
      <c r="O96" s="113" t="s">
        <v>273</v>
      </c>
      <c r="P96" s="113" t="s">
        <v>273</v>
      </c>
      <c r="Q96" s="113" t="s">
        <v>273</v>
      </c>
      <c r="R96" s="113" t="s">
        <v>273</v>
      </c>
      <c r="S96" s="113" t="s">
        <v>273</v>
      </c>
      <c r="T96" s="113" t="s">
        <v>273</v>
      </c>
      <c r="U96" s="113" t="s">
        <v>273</v>
      </c>
      <c r="V96" s="113" t="s">
        <v>273</v>
      </c>
      <c r="W96" s="113" t="s">
        <v>273</v>
      </c>
      <c r="X96" s="113" t="s">
        <v>273</v>
      </c>
      <c r="Y96" s="113" t="s">
        <v>273</v>
      </c>
      <c r="Z96" s="113" t="s">
        <v>273</v>
      </c>
      <c r="AA96" s="113">
        <v>2030</v>
      </c>
      <c r="AB96" s="113">
        <v>-285</v>
      </c>
      <c r="AC96" s="113">
        <v>-4750</v>
      </c>
      <c r="AD96" s="113">
        <v>-6657</v>
      </c>
      <c r="AE96" s="113">
        <v>-6657</v>
      </c>
      <c r="AG96" s="103" t="s">
        <v>2216</v>
      </c>
      <c r="AH96" s="113" t="s">
        <v>273</v>
      </c>
      <c r="AI96" s="113" t="s">
        <v>273</v>
      </c>
      <c r="AJ96" s="113" t="s">
        <v>273</v>
      </c>
      <c r="AK96" s="113">
        <v>-27</v>
      </c>
      <c r="AL96" s="113" t="s">
        <v>273</v>
      </c>
      <c r="AM96" s="113" t="s">
        <v>273</v>
      </c>
      <c r="AN96" s="113" t="s">
        <v>273</v>
      </c>
      <c r="AO96" s="113">
        <v>12</v>
      </c>
      <c r="AP96" s="113" t="s">
        <v>273</v>
      </c>
      <c r="AQ96" s="113" t="s">
        <v>273</v>
      </c>
      <c r="AR96" s="113" t="s">
        <v>273</v>
      </c>
      <c r="AS96" s="113">
        <v>45</v>
      </c>
      <c r="AT96" s="113" t="s">
        <v>273</v>
      </c>
      <c r="AU96" s="113" t="s">
        <v>273</v>
      </c>
      <c r="AV96" s="113" t="s">
        <v>273</v>
      </c>
      <c r="AW96" s="113">
        <v>-240</v>
      </c>
      <c r="AX96" s="113" t="s">
        <v>273</v>
      </c>
      <c r="AY96" s="113" t="s">
        <v>273</v>
      </c>
      <c r="AZ96" s="113" t="s">
        <v>273</v>
      </c>
      <c r="BA96" s="113">
        <v>-262</v>
      </c>
      <c r="BB96" s="113" t="s">
        <v>273</v>
      </c>
      <c r="BC96" s="113" t="s">
        <v>273</v>
      </c>
      <c r="BD96" s="113" t="s">
        <v>273</v>
      </c>
      <c r="BE96" s="113">
        <v>-417</v>
      </c>
      <c r="BF96" s="113" t="s">
        <v>273</v>
      </c>
      <c r="BG96" s="113" t="s">
        <v>273</v>
      </c>
      <c r="BH96" s="113" t="s">
        <v>273</v>
      </c>
      <c r="BI96" s="113">
        <v>-202</v>
      </c>
      <c r="BJ96" s="113" t="s">
        <v>273</v>
      </c>
      <c r="BK96" s="113" t="s">
        <v>273</v>
      </c>
      <c r="BL96" s="113" t="s">
        <v>273</v>
      </c>
      <c r="BM96" s="113" t="s">
        <v>273</v>
      </c>
      <c r="BN96" s="113" t="s">
        <v>273</v>
      </c>
      <c r="BO96" s="113" t="s">
        <v>273</v>
      </c>
      <c r="BP96" s="113" t="s">
        <v>273</v>
      </c>
      <c r="BQ96" s="113" t="s">
        <v>273</v>
      </c>
      <c r="BR96" s="113" t="s">
        <v>273</v>
      </c>
      <c r="BS96" s="113" t="s">
        <v>273</v>
      </c>
      <c r="BT96" s="113" t="s">
        <v>273</v>
      </c>
      <c r="BU96" s="113" t="s">
        <v>273</v>
      </c>
      <c r="BV96" s="113" t="s">
        <v>273</v>
      </c>
      <c r="BW96" s="113" t="s">
        <v>273</v>
      </c>
      <c r="BX96" s="113" t="s">
        <v>273</v>
      </c>
      <c r="BY96" s="113" t="s">
        <v>273</v>
      </c>
      <c r="BZ96" s="113" t="s">
        <v>273</v>
      </c>
      <c r="CA96" s="113" t="s">
        <v>273</v>
      </c>
      <c r="CB96" s="113" t="s">
        <v>273</v>
      </c>
      <c r="CC96" s="113" t="s">
        <v>273</v>
      </c>
      <c r="CD96" s="113" t="s">
        <v>273</v>
      </c>
      <c r="CE96" s="113" t="s">
        <v>273</v>
      </c>
      <c r="CF96" s="113" t="s">
        <v>273</v>
      </c>
      <c r="CG96" s="113" t="s">
        <v>273</v>
      </c>
      <c r="CH96" s="113" t="s">
        <v>273</v>
      </c>
      <c r="CI96" s="113" t="s">
        <v>273</v>
      </c>
      <c r="CJ96" s="113" t="s">
        <v>273</v>
      </c>
      <c r="CK96" s="113" t="s">
        <v>273</v>
      </c>
      <c r="CL96" s="113" t="s">
        <v>273</v>
      </c>
      <c r="CM96" s="113" t="s">
        <v>273</v>
      </c>
      <c r="CN96" s="113" t="s">
        <v>273</v>
      </c>
      <c r="CO96" s="113" t="s">
        <v>273</v>
      </c>
      <c r="CP96" s="113" t="s">
        <v>273</v>
      </c>
      <c r="CQ96" s="113" t="s">
        <v>273</v>
      </c>
      <c r="CR96" s="113" t="s">
        <v>273</v>
      </c>
      <c r="CS96" s="113" t="s">
        <v>273</v>
      </c>
      <c r="CT96" s="113" t="s">
        <v>273</v>
      </c>
      <c r="CU96" s="113" t="s">
        <v>273</v>
      </c>
      <c r="CV96" s="113" t="s">
        <v>273</v>
      </c>
      <c r="CW96" s="113" t="s">
        <v>273</v>
      </c>
      <c r="CX96" s="113" t="s">
        <v>273</v>
      </c>
      <c r="CY96" s="113" t="s">
        <v>273</v>
      </c>
      <c r="CZ96" s="113" t="s">
        <v>273</v>
      </c>
      <c r="DA96" s="113" t="s">
        <v>273</v>
      </c>
      <c r="DB96" s="113" t="s">
        <v>273</v>
      </c>
      <c r="DC96" s="113" t="s">
        <v>273</v>
      </c>
      <c r="DD96" s="113" t="s">
        <v>273</v>
      </c>
      <c r="DE96" s="113" t="s">
        <v>273</v>
      </c>
      <c r="DF96" s="113" t="s">
        <v>273</v>
      </c>
      <c r="DG96" s="113" t="s">
        <v>273</v>
      </c>
      <c r="DH96" s="113" t="s">
        <v>273</v>
      </c>
      <c r="DI96" s="113" t="s">
        <v>273</v>
      </c>
      <c r="DJ96" s="113" t="s">
        <v>273</v>
      </c>
      <c r="DK96" s="113" t="s">
        <v>273</v>
      </c>
      <c r="DL96" s="113" t="s">
        <v>273</v>
      </c>
      <c r="DM96" s="113" t="s">
        <v>273</v>
      </c>
      <c r="DN96" s="113" t="s">
        <v>273</v>
      </c>
      <c r="DO96" s="113" t="s">
        <v>273</v>
      </c>
      <c r="DP96" s="113" t="s">
        <v>273</v>
      </c>
      <c r="DQ96" s="113" t="s">
        <v>273</v>
      </c>
      <c r="DR96" s="113" t="s">
        <v>273</v>
      </c>
      <c r="DS96" s="113" t="s">
        <v>273</v>
      </c>
      <c r="DT96" s="113" t="s">
        <v>273</v>
      </c>
      <c r="DU96" s="113" t="s">
        <v>273</v>
      </c>
      <c r="DV96" s="113" t="s">
        <v>273</v>
      </c>
      <c r="DW96" s="113" t="s">
        <v>273</v>
      </c>
      <c r="DX96" s="113" t="s">
        <v>273</v>
      </c>
      <c r="DY96" s="113" t="s">
        <v>273</v>
      </c>
      <c r="DZ96" s="113" t="s">
        <v>273</v>
      </c>
      <c r="EA96" s="113" t="s">
        <v>273</v>
      </c>
      <c r="EB96" s="113" t="s">
        <v>273</v>
      </c>
      <c r="EC96" s="113">
        <v>-285</v>
      </c>
      <c r="ED96" s="113" t="s">
        <v>273</v>
      </c>
      <c r="EE96" s="113" t="s">
        <v>273</v>
      </c>
      <c r="EF96" s="113" t="s">
        <v>273</v>
      </c>
      <c r="EG96" s="113">
        <v>-4750</v>
      </c>
      <c r="EH96" s="113" t="s">
        <v>273</v>
      </c>
      <c r="EI96" s="113" t="s">
        <v>273</v>
      </c>
      <c r="EJ96" s="113" t="s">
        <v>273</v>
      </c>
      <c r="EK96" s="113">
        <v>-6657</v>
      </c>
      <c r="EL96" s="113" t="s">
        <v>273</v>
      </c>
      <c r="EM96" s="113" t="s">
        <v>273</v>
      </c>
      <c r="EN96" s="113" t="s">
        <v>273</v>
      </c>
    </row>
    <row r="97" spans="1:144">
      <c r="A97" s="103" t="s">
        <v>2217</v>
      </c>
      <c r="B97" s="113" t="s">
        <v>273</v>
      </c>
      <c r="C97" s="113" t="s">
        <v>273</v>
      </c>
      <c r="D97" s="113" t="s">
        <v>273</v>
      </c>
      <c r="E97" s="113" t="s">
        <v>273</v>
      </c>
      <c r="F97" s="113" t="s">
        <v>273</v>
      </c>
      <c r="G97" s="113" t="s">
        <v>273</v>
      </c>
      <c r="H97" s="113" t="s">
        <v>273</v>
      </c>
      <c r="I97" s="113" t="s">
        <v>273</v>
      </c>
      <c r="J97" s="113" t="s">
        <v>273</v>
      </c>
      <c r="K97" s="113" t="s">
        <v>273</v>
      </c>
      <c r="L97" s="113" t="s">
        <v>273</v>
      </c>
      <c r="M97" s="113" t="s">
        <v>273</v>
      </c>
      <c r="N97" s="113" t="s">
        <v>273</v>
      </c>
      <c r="O97" s="113" t="s">
        <v>273</v>
      </c>
      <c r="P97" s="113" t="s">
        <v>273</v>
      </c>
      <c r="Q97" s="113" t="s">
        <v>273</v>
      </c>
      <c r="R97" s="113" t="s">
        <v>273</v>
      </c>
      <c r="S97" s="113" t="s">
        <v>273</v>
      </c>
      <c r="T97" s="113" t="s">
        <v>273</v>
      </c>
      <c r="U97" s="113" t="s">
        <v>273</v>
      </c>
      <c r="V97" s="113" t="s">
        <v>273</v>
      </c>
      <c r="W97" s="113" t="s">
        <v>273</v>
      </c>
      <c r="X97" s="113" t="s">
        <v>273</v>
      </c>
      <c r="Y97" s="113" t="s">
        <v>273</v>
      </c>
      <c r="Z97" s="113" t="s">
        <v>273</v>
      </c>
      <c r="AA97" s="113">
        <v>449</v>
      </c>
      <c r="AB97" s="113">
        <v>-544</v>
      </c>
      <c r="AC97" s="113">
        <v>-393</v>
      </c>
      <c r="AD97" s="113">
        <v>194</v>
      </c>
      <c r="AE97" s="113">
        <v>194</v>
      </c>
      <c r="AG97" s="103" t="s">
        <v>2217</v>
      </c>
      <c r="AH97" s="113" t="s">
        <v>273</v>
      </c>
      <c r="AI97" s="113" t="s">
        <v>273</v>
      </c>
      <c r="AJ97" s="113" t="s">
        <v>273</v>
      </c>
      <c r="AK97" s="113" t="s">
        <v>273</v>
      </c>
      <c r="AL97" s="113" t="s">
        <v>273</v>
      </c>
      <c r="AM97" s="113" t="s">
        <v>273</v>
      </c>
      <c r="AN97" s="113" t="s">
        <v>273</v>
      </c>
      <c r="AO97" s="113" t="s">
        <v>273</v>
      </c>
      <c r="AP97" s="113" t="s">
        <v>273</v>
      </c>
      <c r="AQ97" s="113" t="s">
        <v>273</v>
      </c>
      <c r="AR97" s="113" t="s">
        <v>273</v>
      </c>
      <c r="AS97" s="113" t="s">
        <v>273</v>
      </c>
      <c r="AT97" s="113" t="s">
        <v>273</v>
      </c>
      <c r="AU97" s="113" t="s">
        <v>273</v>
      </c>
      <c r="AV97" s="113" t="s">
        <v>273</v>
      </c>
      <c r="AW97" s="113" t="s">
        <v>273</v>
      </c>
      <c r="AX97" s="113" t="s">
        <v>273</v>
      </c>
      <c r="AY97" s="113" t="s">
        <v>273</v>
      </c>
      <c r="AZ97" s="113" t="s">
        <v>273</v>
      </c>
      <c r="BA97" s="113" t="s">
        <v>273</v>
      </c>
      <c r="BB97" s="113" t="s">
        <v>273</v>
      </c>
      <c r="BC97" s="113" t="s">
        <v>273</v>
      </c>
      <c r="BD97" s="113" t="s">
        <v>273</v>
      </c>
      <c r="BE97" s="113" t="s">
        <v>273</v>
      </c>
      <c r="BF97" s="113" t="s">
        <v>273</v>
      </c>
      <c r="BG97" s="113" t="s">
        <v>273</v>
      </c>
      <c r="BH97" s="113" t="s">
        <v>273</v>
      </c>
      <c r="BI97" s="113" t="s">
        <v>273</v>
      </c>
      <c r="BJ97" s="113" t="s">
        <v>273</v>
      </c>
      <c r="BK97" s="113" t="s">
        <v>273</v>
      </c>
      <c r="BL97" s="113" t="s">
        <v>273</v>
      </c>
      <c r="BM97" s="113" t="s">
        <v>273</v>
      </c>
      <c r="BN97" s="113" t="s">
        <v>273</v>
      </c>
      <c r="BO97" s="113" t="s">
        <v>273</v>
      </c>
      <c r="BP97" s="113" t="s">
        <v>273</v>
      </c>
      <c r="BQ97" s="113" t="s">
        <v>273</v>
      </c>
      <c r="BR97" s="113" t="s">
        <v>273</v>
      </c>
      <c r="BS97" s="113" t="s">
        <v>273</v>
      </c>
      <c r="BT97" s="113" t="s">
        <v>273</v>
      </c>
      <c r="BU97" s="113" t="s">
        <v>273</v>
      </c>
      <c r="BV97" s="113" t="s">
        <v>273</v>
      </c>
      <c r="BW97" s="113" t="s">
        <v>273</v>
      </c>
      <c r="BX97" s="113" t="s">
        <v>273</v>
      </c>
      <c r="BY97" s="113" t="s">
        <v>273</v>
      </c>
      <c r="BZ97" s="113" t="s">
        <v>273</v>
      </c>
      <c r="CA97" s="113" t="s">
        <v>273</v>
      </c>
      <c r="CB97" s="113" t="s">
        <v>273</v>
      </c>
      <c r="CC97" s="113" t="s">
        <v>273</v>
      </c>
      <c r="CD97" s="113" t="s">
        <v>273</v>
      </c>
      <c r="CE97" s="113" t="s">
        <v>273</v>
      </c>
      <c r="CF97" s="113" t="s">
        <v>273</v>
      </c>
      <c r="CG97" s="113" t="s">
        <v>273</v>
      </c>
      <c r="CH97" s="113" t="s">
        <v>273</v>
      </c>
      <c r="CI97" s="113" t="s">
        <v>273</v>
      </c>
      <c r="CJ97" s="113" t="s">
        <v>273</v>
      </c>
      <c r="CK97" s="113" t="s">
        <v>273</v>
      </c>
      <c r="CL97" s="113" t="s">
        <v>273</v>
      </c>
      <c r="CM97" s="113" t="s">
        <v>273</v>
      </c>
      <c r="CN97" s="113" t="s">
        <v>273</v>
      </c>
      <c r="CO97" s="113" t="s">
        <v>273</v>
      </c>
      <c r="CP97" s="113" t="s">
        <v>273</v>
      </c>
      <c r="CQ97" s="113" t="s">
        <v>273</v>
      </c>
      <c r="CR97" s="113" t="s">
        <v>273</v>
      </c>
      <c r="CS97" s="113" t="s">
        <v>273</v>
      </c>
      <c r="CT97" s="113" t="s">
        <v>273</v>
      </c>
      <c r="CU97" s="113" t="s">
        <v>273</v>
      </c>
      <c r="CV97" s="113" t="s">
        <v>273</v>
      </c>
      <c r="CW97" s="113" t="s">
        <v>273</v>
      </c>
      <c r="CX97" s="113" t="s">
        <v>273</v>
      </c>
      <c r="CY97" s="113" t="s">
        <v>273</v>
      </c>
      <c r="CZ97" s="113" t="s">
        <v>273</v>
      </c>
      <c r="DA97" s="113" t="s">
        <v>273</v>
      </c>
      <c r="DB97" s="113" t="s">
        <v>273</v>
      </c>
      <c r="DC97" s="113" t="s">
        <v>273</v>
      </c>
      <c r="DD97" s="113" t="s">
        <v>273</v>
      </c>
      <c r="DE97" s="113" t="s">
        <v>273</v>
      </c>
      <c r="DF97" s="113" t="s">
        <v>273</v>
      </c>
      <c r="DG97" s="113" t="s">
        <v>273</v>
      </c>
      <c r="DH97" s="113" t="s">
        <v>273</v>
      </c>
      <c r="DI97" s="113" t="s">
        <v>273</v>
      </c>
      <c r="DJ97" s="113" t="s">
        <v>273</v>
      </c>
      <c r="DK97" s="113" t="s">
        <v>273</v>
      </c>
      <c r="DL97" s="113" t="s">
        <v>273</v>
      </c>
      <c r="DM97" s="113" t="s">
        <v>273</v>
      </c>
      <c r="DN97" s="113" t="s">
        <v>273</v>
      </c>
      <c r="DO97" s="113" t="s">
        <v>273</v>
      </c>
      <c r="DP97" s="113" t="s">
        <v>273</v>
      </c>
      <c r="DQ97" s="113" t="s">
        <v>273</v>
      </c>
      <c r="DR97" s="113" t="s">
        <v>273</v>
      </c>
      <c r="DS97" s="113" t="s">
        <v>273</v>
      </c>
      <c r="DT97" s="113" t="s">
        <v>273</v>
      </c>
      <c r="DU97" s="113" t="s">
        <v>273</v>
      </c>
      <c r="DV97" s="113" t="s">
        <v>273</v>
      </c>
      <c r="DW97" s="113" t="s">
        <v>273</v>
      </c>
      <c r="DX97" s="113" t="s">
        <v>273</v>
      </c>
      <c r="DY97" s="113" t="s">
        <v>273</v>
      </c>
      <c r="DZ97" s="113" t="s">
        <v>273</v>
      </c>
      <c r="EA97" s="113" t="s">
        <v>273</v>
      </c>
      <c r="EB97" s="113" t="s">
        <v>273</v>
      </c>
      <c r="EC97" s="113">
        <v>-544</v>
      </c>
      <c r="ED97" s="113" t="s">
        <v>273</v>
      </c>
      <c r="EE97" s="113" t="s">
        <v>273</v>
      </c>
      <c r="EF97" s="113" t="s">
        <v>273</v>
      </c>
      <c r="EG97" s="113">
        <v>-393</v>
      </c>
      <c r="EH97" s="113" t="s">
        <v>273</v>
      </c>
      <c r="EI97" s="113" t="s">
        <v>273</v>
      </c>
      <c r="EJ97" s="113" t="s">
        <v>273</v>
      </c>
      <c r="EK97" s="113">
        <v>194</v>
      </c>
      <c r="EL97" s="113" t="s">
        <v>273</v>
      </c>
      <c r="EM97" s="113" t="s">
        <v>273</v>
      </c>
      <c r="EN97" s="113" t="s">
        <v>273</v>
      </c>
    </row>
    <row r="98" spans="1:144">
      <c r="A98" s="103" t="s">
        <v>2218</v>
      </c>
      <c r="B98" s="113">
        <v>-27</v>
      </c>
      <c r="C98" s="113">
        <v>-4</v>
      </c>
      <c r="D98" s="113">
        <v>-27</v>
      </c>
      <c r="E98" s="113">
        <v>12</v>
      </c>
      <c r="F98" s="113">
        <v>45</v>
      </c>
      <c r="G98" s="113">
        <v>-240</v>
      </c>
      <c r="H98" s="113">
        <v>-262</v>
      </c>
      <c r="I98" s="113">
        <v>-417</v>
      </c>
      <c r="J98" s="113">
        <v>0</v>
      </c>
      <c r="K98" s="113">
        <v>0</v>
      </c>
      <c r="L98" s="113">
        <v>0</v>
      </c>
      <c r="M98" s="113">
        <v>0</v>
      </c>
      <c r="N98" s="113">
        <v>0</v>
      </c>
      <c r="O98" s="113">
        <v>0</v>
      </c>
      <c r="P98" s="113">
        <v>0</v>
      </c>
      <c r="Q98" s="113">
        <v>0</v>
      </c>
      <c r="R98" s="113">
        <v>0</v>
      </c>
      <c r="S98" s="113">
        <v>513</v>
      </c>
      <c r="T98" s="113">
        <v>762</v>
      </c>
      <c r="U98" s="113">
        <v>-220</v>
      </c>
      <c r="V98" s="113">
        <v>2</v>
      </c>
      <c r="W98" s="113">
        <v>954</v>
      </c>
      <c r="X98" s="113">
        <v>-19</v>
      </c>
      <c r="Y98" s="113">
        <v>-331</v>
      </c>
      <c r="Z98" s="113">
        <v>224</v>
      </c>
      <c r="AA98" s="113">
        <v>2479</v>
      </c>
      <c r="AB98" s="113">
        <v>-829</v>
      </c>
      <c r="AC98" s="113">
        <v>-5143</v>
      </c>
      <c r="AD98" s="113">
        <v>-6463</v>
      </c>
      <c r="AE98" s="113">
        <v>-6463</v>
      </c>
      <c r="AG98" s="103" t="s">
        <v>2218</v>
      </c>
      <c r="AH98" s="113">
        <v>0</v>
      </c>
      <c r="AI98" s="113">
        <v>0</v>
      </c>
      <c r="AJ98" s="113">
        <v>0</v>
      </c>
      <c r="AK98" s="113">
        <v>-27</v>
      </c>
      <c r="AL98" s="113">
        <v>0</v>
      </c>
      <c r="AM98" s="113">
        <v>0</v>
      </c>
      <c r="AN98" s="113">
        <v>0</v>
      </c>
      <c r="AO98" s="113">
        <v>12</v>
      </c>
      <c r="AP98" s="113">
        <v>0</v>
      </c>
      <c r="AQ98" s="113">
        <v>0</v>
      </c>
      <c r="AR98" s="113">
        <v>0</v>
      </c>
      <c r="AS98" s="113">
        <v>45</v>
      </c>
      <c r="AT98" s="113">
        <v>0</v>
      </c>
      <c r="AU98" s="113">
        <v>0</v>
      </c>
      <c r="AV98" s="113">
        <v>0</v>
      </c>
      <c r="AW98" s="113">
        <v>-240</v>
      </c>
      <c r="AX98" s="113">
        <v>0</v>
      </c>
      <c r="AY98" s="113">
        <v>0</v>
      </c>
      <c r="AZ98" s="113">
        <v>0</v>
      </c>
      <c r="BA98" s="113">
        <v>-262</v>
      </c>
      <c r="BB98" s="113">
        <v>0</v>
      </c>
      <c r="BC98" s="113">
        <v>0</v>
      </c>
      <c r="BD98" s="113">
        <v>0</v>
      </c>
      <c r="BE98" s="113">
        <v>-417</v>
      </c>
      <c r="BF98" s="113">
        <v>0</v>
      </c>
      <c r="BG98" s="113">
        <v>0</v>
      </c>
      <c r="BH98" s="113">
        <v>0</v>
      </c>
      <c r="BI98" s="113">
        <v>-202</v>
      </c>
      <c r="BJ98" s="113">
        <v>0</v>
      </c>
      <c r="BK98" s="113">
        <v>0</v>
      </c>
      <c r="BL98" s="113">
        <v>0</v>
      </c>
      <c r="BM98" s="113">
        <v>0</v>
      </c>
      <c r="BN98" s="113">
        <v>0</v>
      </c>
      <c r="BO98" s="113">
        <v>0</v>
      </c>
      <c r="BP98" s="113">
        <v>0</v>
      </c>
      <c r="BQ98" s="113">
        <v>0</v>
      </c>
      <c r="BR98" s="113">
        <v>0</v>
      </c>
      <c r="BS98" s="113">
        <v>0</v>
      </c>
      <c r="BT98" s="113">
        <v>0</v>
      </c>
      <c r="BU98" s="113">
        <v>0</v>
      </c>
      <c r="BV98" s="113">
        <v>0</v>
      </c>
      <c r="BW98" s="113">
        <v>0</v>
      </c>
      <c r="BX98" s="113">
        <v>0</v>
      </c>
      <c r="BY98" s="113">
        <v>0</v>
      </c>
      <c r="BZ98" s="113">
        <v>0</v>
      </c>
      <c r="CA98" s="113">
        <v>0</v>
      </c>
      <c r="CB98" s="113">
        <v>0</v>
      </c>
      <c r="CC98" s="113">
        <v>0</v>
      </c>
      <c r="CD98" s="113">
        <v>0</v>
      </c>
      <c r="CE98" s="113">
        <v>0</v>
      </c>
      <c r="CF98" s="113">
        <v>0</v>
      </c>
      <c r="CG98" s="113">
        <v>0</v>
      </c>
      <c r="CH98" s="113">
        <v>0</v>
      </c>
      <c r="CI98" s="113">
        <v>0</v>
      </c>
      <c r="CJ98" s="113">
        <v>0</v>
      </c>
      <c r="CK98" s="113">
        <v>0</v>
      </c>
      <c r="CL98" s="113">
        <v>0</v>
      </c>
      <c r="CM98" s="113">
        <v>0</v>
      </c>
      <c r="CN98" s="113">
        <v>0</v>
      </c>
      <c r="CO98" s="113">
        <v>0</v>
      </c>
      <c r="CP98" s="113">
        <v>0</v>
      </c>
      <c r="CQ98" s="113">
        <v>0</v>
      </c>
      <c r="CR98" s="113">
        <v>0</v>
      </c>
      <c r="CS98" s="113">
        <v>0</v>
      </c>
      <c r="CT98" s="113">
        <v>0</v>
      </c>
      <c r="CU98" s="113">
        <v>0</v>
      </c>
      <c r="CV98" s="113">
        <v>0</v>
      </c>
      <c r="CW98" s="113">
        <v>762</v>
      </c>
      <c r="CX98" s="113">
        <v>0</v>
      </c>
      <c r="CY98" s="113">
        <v>0</v>
      </c>
      <c r="CZ98" s="113">
        <v>0</v>
      </c>
      <c r="DA98" s="113">
        <v>-220</v>
      </c>
      <c r="DB98" s="113">
        <v>0</v>
      </c>
      <c r="DC98" s="113">
        <v>0</v>
      </c>
      <c r="DD98" s="113">
        <v>0</v>
      </c>
      <c r="DE98" s="113">
        <v>2</v>
      </c>
      <c r="DF98" s="113">
        <v>0</v>
      </c>
      <c r="DG98" s="113">
        <v>0</v>
      </c>
      <c r="DH98" s="113">
        <v>0</v>
      </c>
      <c r="DI98" s="113">
        <v>954</v>
      </c>
      <c r="DJ98" s="113">
        <v>0</v>
      </c>
      <c r="DK98" s="113">
        <v>0</v>
      </c>
      <c r="DL98" s="113">
        <v>0</v>
      </c>
      <c r="DM98" s="113">
        <v>-19</v>
      </c>
      <c r="DN98" s="113">
        <v>0</v>
      </c>
      <c r="DO98" s="113">
        <v>0</v>
      </c>
      <c r="DP98" s="113">
        <v>0</v>
      </c>
      <c r="DQ98" s="113">
        <v>-331</v>
      </c>
      <c r="DR98" s="113">
        <v>0</v>
      </c>
      <c r="DS98" s="113">
        <v>0</v>
      </c>
      <c r="DT98" s="113">
        <v>0</v>
      </c>
      <c r="DU98" s="113">
        <v>224</v>
      </c>
      <c r="DV98" s="113">
        <v>0</v>
      </c>
      <c r="DW98" s="113">
        <v>0</v>
      </c>
      <c r="DX98" s="113">
        <v>0</v>
      </c>
      <c r="DY98" s="113">
        <v>332</v>
      </c>
      <c r="DZ98" s="113">
        <v>0</v>
      </c>
      <c r="EA98" s="113">
        <v>0</v>
      </c>
      <c r="EB98" s="113">
        <v>0</v>
      </c>
      <c r="EC98" s="113">
        <v>-829</v>
      </c>
      <c r="ED98" s="113">
        <v>0</v>
      </c>
      <c r="EE98" s="113">
        <v>0</v>
      </c>
      <c r="EF98" s="113">
        <v>0</v>
      </c>
      <c r="EG98" s="113">
        <v>-5143</v>
      </c>
      <c r="EH98" s="113">
        <v>0</v>
      </c>
      <c r="EI98" s="113">
        <v>0</v>
      </c>
      <c r="EJ98" s="113">
        <v>0</v>
      </c>
      <c r="EK98" s="113">
        <v>-6463</v>
      </c>
      <c r="EL98" s="113">
        <v>0</v>
      </c>
      <c r="EM98" s="113">
        <v>0</v>
      </c>
      <c r="EN98" s="113">
        <v>0</v>
      </c>
    </row>
    <row r="99" spans="1:144">
      <c r="A99" s="103"/>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c r="CD99" s="103"/>
      <c r="CE99" s="103"/>
      <c r="CF99" s="103"/>
      <c r="CG99" s="103"/>
      <c r="CH99" s="103"/>
      <c r="CI99" s="103"/>
      <c r="CJ99" s="103"/>
      <c r="CK99" s="103"/>
      <c r="CL99" s="103"/>
      <c r="CM99" s="103"/>
      <c r="CN99" s="103"/>
      <c r="CO99" s="103"/>
      <c r="CP99" s="103"/>
      <c r="CQ99" s="103"/>
      <c r="CR99" s="103"/>
      <c r="CS99" s="103"/>
      <c r="CT99" s="103"/>
      <c r="CU99" s="103"/>
      <c r="CV99" s="103"/>
      <c r="CW99" s="103"/>
      <c r="CX99" s="103"/>
      <c r="CY99" s="103"/>
      <c r="CZ99" s="103"/>
      <c r="DA99" s="103"/>
      <c r="DB99" s="103"/>
      <c r="DC99" s="103"/>
      <c r="DD99" s="103"/>
      <c r="DE99" s="103"/>
      <c r="DF99" s="103"/>
      <c r="DG99" s="103"/>
      <c r="DH99" s="103"/>
      <c r="DI99" s="103"/>
      <c r="DJ99" s="103"/>
      <c r="DK99" s="103"/>
      <c r="DL99" s="103"/>
      <c r="DM99" s="103"/>
      <c r="DN99" s="103"/>
      <c r="DO99" s="103"/>
      <c r="DP99" s="103"/>
      <c r="DQ99" s="103"/>
      <c r="DR99" s="103"/>
      <c r="DS99" s="103"/>
      <c r="DT99" s="103"/>
      <c r="DU99" s="103"/>
      <c r="DV99" s="103"/>
      <c r="DW99" s="103"/>
      <c r="DX99" s="103"/>
      <c r="DY99" s="103"/>
      <c r="DZ99" s="103"/>
      <c r="EA99" s="103"/>
      <c r="EB99" s="103"/>
      <c r="EC99" s="103"/>
      <c r="ED99" s="103"/>
      <c r="EE99" s="103"/>
      <c r="EF99" s="103"/>
      <c r="EG99" s="103"/>
      <c r="EH99" s="103"/>
      <c r="EI99" s="103"/>
      <c r="EJ99" s="103"/>
      <c r="EK99" s="103"/>
      <c r="EL99" s="103"/>
      <c r="EM99" s="103"/>
      <c r="EN99" s="103"/>
    </row>
    <row r="100" spans="1:144">
      <c r="A100" s="103" t="s">
        <v>2219</v>
      </c>
      <c r="B100" s="113">
        <v>419.375</v>
      </c>
      <c r="C100" s="113">
        <v>650.625</v>
      </c>
      <c r="D100" s="113">
        <v>875.625</v>
      </c>
      <c r="E100" s="113">
        <v>1132.5</v>
      </c>
      <c r="F100" s="113">
        <v>1383.125</v>
      </c>
      <c r="G100" s="113">
        <v>2111.875</v>
      </c>
      <c r="H100" s="113">
        <v>3321.25</v>
      </c>
      <c r="I100" s="113">
        <v>4633.125</v>
      </c>
      <c r="J100" s="113">
        <v>6930</v>
      </c>
      <c r="K100" s="113">
        <v>7839.375</v>
      </c>
      <c r="L100" s="113">
        <v>8591.25</v>
      </c>
      <c r="M100" s="113">
        <v>6436.875</v>
      </c>
      <c r="N100" s="113">
        <v>7350</v>
      </c>
      <c r="O100" s="113">
        <v>8340.625</v>
      </c>
      <c r="P100" s="113">
        <v>11301.25</v>
      </c>
      <c r="Q100" s="113">
        <v>12125.625</v>
      </c>
      <c r="R100" s="113">
        <v>12476.25</v>
      </c>
      <c r="S100" s="113">
        <v>15792.5</v>
      </c>
      <c r="T100" s="113">
        <v>12766.875</v>
      </c>
      <c r="U100" s="113">
        <v>15408.125</v>
      </c>
      <c r="V100" s="113">
        <v>17248.125</v>
      </c>
      <c r="W100" s="113">
        <v>17488.125</v>
      </c>
      <c r="X100" s="113">
        <v>17283.125</v>
      </c>
      <c r="Y100" s="113">
        <v>17239.375</v>
      </c>
      <c r="Z100" s="113">
        <v>17388.125</v>
      </c>
      <c r="AA100" s="113">
        <v>16320</v>
      </c>
      <c r="AB100" s="113">
        <v>17386.25</v>
      </c>
      <c r="AC100" s="113">
        <v>21301.25</v>
      </c>
      <c r="AD100" s="113">
        <v>26898.125</v>
      </c>
      <c r="AE100" s="113">
        <v>32460</v>
      </c>
      <c r="AG100" s="103" t="s">
        <v>2219</v>
      </c>
      <c r="AH100" s="113">
        <v>204.375</v>
      </c>
      <c r="AI100" s="113">
        <v>216.875</v>
      </c>
      <c r="AJ100" s="113">
        <v>223.125</v>
      </c>
      <c r="AK100" s="113">
        <v>243.75</v>
      </c>
      <c r="AL100" s="113">
        <v>226.25</v>
      </c>
      <c r="AM100" s="113">
        <v>273.75</v>
      </c>
      <c r="AN100" s="113">
        <v>313.75</v>
      </c>
      <c r="AO100" s="113">
        <v>318.75</v>
      </c>
      <c r="AP100" s="113">
        <v>294.375</v>
      </c>
      <c r="AQ100" s="113">
        <v>348.125</v>
      </c>
      <c r="AR100" s="113">
        <v>370</v>
      </c>
      <c r="AS100" s="113">
        <v>370.625</v>
      </c>
      <c r="AT100" s="113">
        <v>481.25</v>
      </c>
      <c r="AU100" s="113">
        <v>553.125</v>
      </c>
      <c r="AV100" s="113">
        <v>540</v>
      </c>
      <c r="AW100" s="113">
        <v>537.5</v>
      </c>
      <c r="AX100" s="113">
        <v>590.625</v>
      </c>
      <c r="AY100" s="113">
        <v>712.5</v>
      </c>
      <c r="AZ100" s="113">
        <v>1001.875</v>
      </c>
      <c r="BA100" s="113">
        <v>1016.25</v>
      </c>
      <c r="BB100" s="113">
        <v>936.25</v>
      </c>
      <c r="BC100" s="113">
        <v>1106.25</v>
      </c>
      <c r="BD100" s="113">
        <v>1285.625</v>
      </c>
      <c r="BE100" s="113">
        <v>1305</v>
      </c>
      <c r="BF100" s="113">
        <v>1464.375</v>
      </c>
      <c r="BG100" s="113">
        <v>1863.125</v>
      </c>
      <c r="BH100" s="113">
        <v>1624.375</v>
      </c>
      <c r="BI100" s="113">
        <v>1990.625</v>
      </c>
      <c r="BJ100" s="113">
        <v>1950</v>
      </c>
      <c r="BK100" s="113">
        <v>2057.5</v>
      </c>
      <c r="BL100" s="113">
        <v>1974.375</v>
      </c>
      <c r="BM100" s="113">
        <v>1873.125</v>
      </c>
      <c r="BN100" s="113">
        <v>2407.5</v>
      </c>
      <c r="BO100" s="113">
        <v>2448.125</v>
      </c>
      <c r="BP100" s="113">
        <v>2286.25</v>
      </c>
      <c r="BQ100" s="113">
        <v>1449.375</v>
      </c>
      <c r="BR100" s="113">
        <v>1791.875</v>
      </c>
      <c r="BS100" s="113">
        <v>2510.625</v>
      </c>
      <c r="BT100" s="113">
        <v>2516.25</v>
      </c>
      <c r="BU100" s="113">
        <v>2916.875</v>
      </c>
      <c r="BV100" s="113">
        <v>2201.25</v>
      </c>
      <c r="BW100" s="113">
        <v>1841.25</v>
      </c>
      <c r="BX100" s="113">
        <v>1987.5</v>
      </c>
      <c r="BY100" s="113">
        <v>1886.875</v>
      </c>
      <c r="BZ100" s="113">
        <v>2285</v>
      </c>
      <c r="CA100" s="113">
        <v>1251.25</v>
      </c>
      <c r="CB100" s="113">
        <v>2740.625</v>
      </c>
      <c r="CC100" s="113">
        <v>1946.875</v>
      </c>
      <c r="CD100" s="113">
        <v>2669.375</v>
      </c>
      <c r="CE100" s="113">
        <v>3170</v>
      </c>
      <c r="CF100" s="113">
        <v>3207.5</v>
      </c>
      <c r="CG100" s="113">
        <v>2284.375</v>
      </c>
      <c r="CH100" s="113">
        <v>3043.125</v>
      </c>
      <c r="CI100" s="113">
        <v>3125</v>
      </c>
      <c r="CJ100" s="113">
        <v>2903.125</v>
      </c>
      <c r="CK100" s="113">
        <v>3005.625</v>
      </c>
      <c r="CL100" s="113">
        <v>2978.125</v>
      </c>
      <c r="CM100" s="113">
        <v>2383.125</v>
      </c>
      <c r="CN100" s="113">
        <v>4517.5</v>
      </c>
      <c r="CO100" s="113">
        <v>2597.5</v>
      </c>
      <c r="CP100" s="113">
        <v>3790.625</v>
      </c>
      <c r="CQ100" s="113">
        <v>4208.125</v>
      </c>
      <c r="CR100" s="113">
        <v>3951.875</v>
      </c>
      <c r="CS100" s="113">
        <v>3691.25</v>
      </c>
      <c r="CT100" s="113">
        <v>3663.75</v>
      </c>
      <c r="CU100" s="113">
        <v>3355</v>
      </c>
      <c r="CV100" s="113">
        <v>3030.625</v>
      </c>
      <c r="CW100" s="113">
        <v>2892.5</v>
      </c>
      <c r="CX100" s="113">
        <v>2928.75</v>
      </c>
      <c r="CY100" s="113">
        <v>5490</v>
      </c>
      <c r="CZ100" s="113">
        <v>3247.5</v>
      </c>
      <c r="DA100" s="113">
        <v>3778.75</v>
      </c>
      <c r="DB100" s="113">
        <v>4476.875</v>
      </c>
      <c r="DC100" s="113">
        <v>5238.125</v>
      </c>
      <c r="DD100" s="113">
        <v>3765.625</v>
      </c>
      <c r="DE100" s="113">
        <v>3653.125</v>
      </c>
      <c r="DF100" s="113">
        <v>4557.5</v>
      </c>
      <c r="DG100" s="113">
        <v>5001.875</v>
      </c>
      <c r="DH100" s="113">
        <v>3952.5</v>
      </c>
      <c r="DI100" s="113">
        <v>3976.25</v>
      </c>
      <c r="DJ100" s="113">
        <v>3466.875</v>
      </c>
      <c r="DK100" s="113">
        <v>4820</v>
      </c>
      <c r="DL100" s="113">
        <v>5169.375</v>
      </c>
      <c r="DM100" s="113">
        <v>3826.875</v>
      </c>
      <c r="DN100" s="113">
        <v>4012.5</v>
      </c>
      <c r="DO100" s="113">
        <v>4921.875</v>
      </c>
      <c r="DP100" s="113">
        <v>4291.25</v>
      </c>
      <c r="DQ100" s="113">
        <v>4013.75</v>
      </c>
      <c r="DR100" s="113">
        <v>4344.375</v>
      </c>
      <c r="DS100" s="113">
        <v>4880.625</v>
      </c>
      <c r="DT100" s="113">
        <v>4085.625</v>
      </c>
      <c r="DU100" s="113">
        <v>4077.5</v>
      </c>
      <c r="DV100" s="113">
        <v>3411.25</v>
      </c>
      <c r="DW100" s="113">
        <v>3621.25</v>
      </c>
      <c r="DX100" s="113">
        <v>3113.75</v>
      </c>
      <c r="DY100" s="113">
        <v>2493.75</v>
      </c>
      <c r="DZ100" s="113">
        <v>4026.25</v>
      </c>
      <c r="EA100" s="113">
        <v>4593.75</v>
      </c>
      <c r="EB100" s="113">
        <v>3981.875</v>
      </c>
      <c r="EC100" s="113">
        <v>6216.25</v>
      </c>
      <c r="ED100" s="113">
        <v>4625</v>
      </c>
      <c r="EE100" s="113">
        <v>5268.75</v>
      </c>
      <c r="EF100" s="113">
        <v>5088.75</v>
      </c>
      <c r="EG100" s="113">
        <v>6318.75</v>
      </c>
      <c r="EH100" s="113">
        <v>6236.25</v>
      </c>
      <c r="EI100" s="113">
        <v>6431.875</v>
      </c>
      <c r="EJ100" s="113">
        <v>6526.25</v>
      </c>
      <c r="EK100" s="113">
        <v>7705.625</v>
      </c>
      <c r="EL100" s="113">
        <v>7964.375</v>
      </c>
      <c r="EM100" s="113">
        <v>8701.875</v>
      </c>
      <c r="EN100" s="113">
        <v>8090</v>
      </c>
    </row>
    <row r="101" spans="1:144">
      <c r="A101" s="103" t="s">
        <v>2220</v>
      </c>
      <c r="B101" s="113" t="s">
        <v>273</v>
      </c>
      <c r="C101" s="113" t="s">
        <v>273</v>
      </c>
      <c r="D101" s="113" t="s">
        <v>273</v>
      </c>
      <c r="E101" s="113" t="s">
        <v>273</v>
      </c>
      <c r="F101" s="113" t="s">
        <v>273</v>
      </c>
      <c r="G101" s="113" t="s">
        <v>273</v>
      </c>
      <c r="H101" s="113" t="s">
        <v>273</v>
      </c>
      <c r="I101" s="113">
        <v>3991</v>
      </c>
      <c r="J101" s="113">
        <v>7081</v>
      </c>
      <c r="K101" s="113">
        <v>8159</v>
      </c>
      <c r="L101" s="113">
        <v>5084</v>
      </c>
      <c r="M101" s="113" t="s">
        <v>273</v>
      </c>
      <c r="N101" s="113" t="s">
        <v>273</v>
      </c>
      <c r="O101" s="113" t="s">
        <v>273</v>
      </c>
      <c r="P101" s="113" t="s">
        <v>273</v>
      </c>
      <c r="Q101" s="113" t="s">
        <v>273</v>
      </c>
      <c r="R101" s="113" t="s">
        <v>273</v>
      </c>
      <c r="S101" s="113" t="s">
        <v>273</v>
      </c>
      <c r="T101" s="113" t="s">
        <v>273</v>
      </c>
      <c r="U101" s="113" t="s">
        <v>273</v>
      </c>
      <c r="V101" s="113" t="s">
        <v>273</v>
      </c>
      <c r="W101" s="113" t="s">
        <v>273</v>
      </c>
      <c r="X101" s="113" t="s">
        <v>273</v>
      </c>
      <c r="Y101" s="113" t="s">
        <v>273</v>
      </c>
      <c r="Z101" s="113" t="s">
        <v>273</v>
      </c>
      <c r="AA101" s="113" t="s">
        <v>273</v>
      </c>
      <c r="AB101" s="113" t="s">
        <v>273</v>
      </c>
      <c r="AC101" s="113" t="s">
        <v>273</v>
      </c>
      <c r="AD101" s="113" t="s">
        <v>273</v>
      </c>
      <c r="AE101" s="113" t="s">
        <v>273</v>
      </c>
      <c r="AG101" s="103" t="s">
        <v>2220</v>
      </c>
      <c r="AH101" s="113" t="s">
        <v>273</v>
      </c>
      <c r="AI101" s="113" t="s">
        <v>273</v>
      </c>
      <c r="AJ101" s="113" t="s">
        <v>273</v>
      </c>
      <c r="AK101" s="113" t="s">
        <v>273</v>
      </c>
      <c r="AL101" s="113" t="s">
        <v>273</v>
      </c>
      <c r="AM101" s="113" t="s">
        <v>273</v>
      </c>
      <c r="AN101" s="113" t="s">
        <v>273</v>
      </c>
      <c r="AO101" s="113" t="s">
        <v>273</v>
      </c>
      <c r="AP101" s="113" t="s">
        <v>273</v>
      </c>
      <c r="AQ101" s="113" t="s">
        <v>273</v>
      </c>
      <c r="AR101" s="113" t="s">
        <v>273</v>
      </c>
      <c r="AS101" s="113" t="s">
        <v>273</v>
      </c>
      <c r="AT101" s="113" t="s">
        <v>273</v>
      </c>
      <c r="AU101" s="113" t="s">
        <v>273</v>
      </c>
      <c r="AV101" s="113" t="s">
        <v>273</v>
      </c>
      <c r="AW101" s="113" t="s">
        <v>273</v>
      </c>
      <c r="AX101" s="113" t="s">
        <v>273</v>
      </c>
      <c r="AY101" s="113" t="s">
        <v>273</v>
      </c>
      <c r="AZ101" s="113" t="s">
        <v>273</v>
      </c>
      <c r="BA101" s="113" t="s">
        <v>273</v>
      </c>
      <c r="BB101" s="113" t="s">
        <v>273</v>
      </c>
      <c r="BC101" s="113" t="s">
        <v>273</v>
      </c>
      <c r="BD101" s="113" t="s">
        <v>273</v>
      </c>
      <c r="BE101" s="113" t="s">
        <v>273</v>
      </c>
      <c r="BF101" s="113" t="s">
        <v>273</v>
      </c>
      <c r="BG101" s="113" t="s">
        <v>273</v>
      </c>
      <c r="BH101" s="113" t="s">
        <v>273</v>
      </c>
      <c r="BI101" s="113" t="s">
        <v>273</v>
      </c>
      <c r="BJ101" s="113" t="s">
        <v>273</v>
      </c>
      <c r="BK101" s="113" t="s">
        <v>273</v>
      </c>
      <c r="BL101" s="113" t="s">
        <v>273</v>
      </c>
      <c r="BM101" s="113" t="s">
        <v>273</v>
      </c>
      <c r="BN101" s="113" t="s">
        <v>273</v>
      </c>
      <c r="BO101" s="113" t="s">
        <v>273</v>
      </c>
      <c r="BP101" s="113" t="s">
        <v>273</v>
      </c>
      <c r="BQ101" s="113" t="s">
        <v>273</v>
      </c>
      <c r="BR101" s="113" t="s">
        <v>273</v>
      </c>
      <c r="BS101" s="113" t="s">
        <v>273</v>
      </c>
      <c r="BT101" s="113">
        <v>2135</v>
      </c>
      <c r="BU101" s="113" t="s">
        <v>273</v>
      </c>
      <c r="BV101" s="113" t="s">
        <v>273</v>
      </c>
      <c r="BW101" s="113" t="s">
        <v>273</v>
      </c>
      <c r="BX101" s="113" t="s">
        <v>273</v>
      </c>
      <c r="BY101" s="113" t="s">
        <v>273</v>
      </c>
      <c r="BZ101" s="113" t="s">
        <v>273</v>
      </c>
      <c r="CA101" s="113" t="s">
        <v>273</v>
      </c>
      <c r="CB101" s="113" t="s">
        <v>273</v>
      </c>
      <c r="CC101" s="113" t="s">
        <v>273</v>
      </c>
      <c r="CD101" s="113" t="s">
        <v>273</v>
      </c>
      <c r="CE101" s="113" t="s">
        <v>273</v>
      </c>
      <c r="CF101" s="113" t="s">
        <v>273</v>
      </c>
      <c r="CG101" s="113" t="s">
        <v>273</v>
      </c>
      <c r="CH101" s="113" t="s">
        <v>273</v>
      </c>
      <c r="CI101" s="113" t="s">
        <v>273</v>
      </c>
      <c r="CJ101" s="113" t="s">
        <v>273</v>
      </c>
      <c r="CK101" s="113" t="s">
        <v>273</v>
      </c>
      <c r="CL101" s="113" t="s">
        <v>273</v>
      </c>
      <c r="CM101" s="113" t="s">
        <v>273</v>
      </c>
      <c r="CN101" s="113" t="s">
        <v>273</v>
      </c>
      <c r="CO101" s="113" t="s">
        <v>273</v>
      </c>
      <c r="CP101" s="113" t="s">
        <v>273</v>
      </c>
      <c r="CQ101" s="113" t="s">
        <v>273</v>
      </c>
      <c r="CR101" s="113" t="s">
        <v>273</v>
      </c>
      <c r="CS101" s="113" t="s">
        <v>273</v>
      </c>
      <c r="CT101" s="113" t="s">
        <v>273</v>
      </c>
      <c r="CU101" s="113" t="s">
        <v>273</v>
      </c>
      <c r="CV101" s="113" t="s">
        <v>273</v>
      </c>
      <c r="CW101" s="113" t="s">
        <v>273</v>
      </c>
      <c r="CX101" s="113" t="s">
        <v>273</v>
      </c>
      <c r="CY101" s="113" t="s">
        <v>273</v>
      </c>
      <c r="CZ101" s="113" t="s">
        <v>273</v>
      </c>
      <c r="DA101" s="113" t="s">
        <v>273</v>
      </c>
      <c r="DB101" s="113" t="s">
        <v>273</v>
      </c>
      <c r="DC101" s="113" t="s">
        <v>273</v>
      </c>
      <c r="DD101" s="113" t="s">
        <v>273</v>
      </c>
      <c r="DE101" s="113" t="s">
        <v>273</v>
      </c>
      <c r="DF101" s="113" t="s">
        <v>273</v>
      </c>
      <c r="DG101" s="113" t="s">
        <v>273</v>
      </c>
      <c r="DH101" s="113" t="s">
        <v>273</v>
      </c>
      <c r="DI101" s="113" t="s">
        <v>273</v>
      </c>
      <c r="DJ101" s="113" t="s">
        <v>273</v>
      </c>
      <c r="DK101" s="113" t="s">
        <v>273</v>
      </c>
      <c r="DL101" s="113" t="s">
        <v>273</v>
      </c>
      <c r="DM101" s="113" t="s">
        <v>273</v>
      </c>
      <c r="DN101" s="113" t="s">
        <v>273</v>
      </c>
      <c r="DO101" s="113" t="s">
        <v>273</v>
      </c>
      <c r="DP101" s="113" t="s">
        <v>273</v>
      </c>
      <c r="DQ101" s="113" t="s">
        <v>273</v>
      </c>
      <c r="DR101" s="113" t="s">
        <v>273</v>
      </c>
      <c r="DS101" s="113" t="s">
        <v>273</v>
      </c>
      <c r="DT101" s="113" t="s">
        <v>273</v>
      </c>
      <c r="DU101" s="113" t="s">
        <v>273</v>
      </c>
      <c r="DV101" s="113" t="s">
        <v>273</v>
      </c>
      <c r="DW101" s="113" t="s">
        <v>273</v>
      </c>
      <c r="DX101" s="113" t="s">
        <v>273</v>
      </c>
      <c r="DY101" s="113" t="s">
        <v>273</v>
      </c>
      <c r="DZ101" s="113" t="s">
        <v>273</v>
      </c>
      <c r="EA101" s="113" t="s">
        <v>273</v>
      </c>
      <c r="EB101" s="113" t="s">
        <v>273</v>
      </c>
      <c r="EC101" s="113" t="s">
        <v>273</v>
      </c>
      <c r="ED101" s="113" t="s">
        <v>273</v>
      </c>
      <c r="EE101" s="113" t="s">
        <v>273</v>
      </c>
      <c r="EF101" s="113" t="s">
        <v>273</v>
      </c>
      <c r="EG101" s="113" t="s">
        <v>273</v>
      </c>
      <c r="EH101" s="113" t="s">
        <v>273</v>
      </c>
      <c r="EI101" s="113" t="s">
        <v>273</v>
      </c>
      <c r="EJ101" s="113" t="s">
        <v>273</v>
      </c>
      <c r="EK101" s="113" t="s">
        <v>273</v>
      </c>
      <c r="EL101" s="113" t="s">
        <v>273</v>
      </c>
      <c r="EM101" s="113" t="s">
        <v>273</v>
      </c>
      <c r="EN101" s="113" t="s">
        <v>273</v>
      </c>
    </row>
    <row r="102" spans="1:144">
      <c r="A102" s="103" t="s">
        <v>2221</v>
      </c>
      <c r="B102" s="113" t="s">
        <v>273</v>
      </c>
      <c r="C102" s="113" t="s">
        <v>273</v>
      </c>
      <c r="D102" s="113" t="s">
        <v>273</v>
      </c>
      <c r="E102" s="113" t="s">
        <v>273</v>
      </c>
      <c r="F102" s="113" t="s">
        <v>273</v>
      </c>
      <c r="G102" s="113" t="s">
        <v>273</v>
      </c>
      <c r="H102" s="113" t="s">
        <v>273</v>
      </c>
      <c r="I102" s="113" t="s">
        <v>273</v>
      </c>
      <c r="J102" s="113" t="s">
        <v>273</v>
      </c>
      <c r="K102" s="113" t="s">
        <v>273</v>
      </c>
      <c r="L102" s="113" t="s">
        <v>273</v>
      </c>
      <c r="M102" s="113" t="s">
        <v>273</v>
      </c>
      <c r="N102" s="113" t="s">
        <v>273</v>
      </c>
      <c r="O102" s="113" t="s">
        <v>273</v>
      </c>
      <c r="P102" s="113" t="s">
        <v>273</v>
      </c>
      <c r="Q102" s="113" t="s">
        <v>273</v>
      </c>
      <c r="R102" s="113" t="s">
        <v>273</v>
      </c>
      <c r="S102" s="113" t="s">
        <v>273</v>
      </c>
      <c r="T102" s="113" t="s">
        <v>273</v>
      </c>
      <c r="U102" s="113" t="s">
        <v>273</v>
      </c>
      <c r="V102" s="113" t="s">
        <v>273</v>
      </c>
      <c r="W102" s="113" t="s">
        <v>273</v>
      </c>
      <c r="X102" s="113" t="s">
        <v>273</v>
      </c>
      <c r="Y102" s="113" t="s">
        <v>273</v>
      </c>
      <c r="Z102" s="113">
        <v>25</v>
      </c>
      <c r="AA102" s="113">
        <v>58</v>
      </c>
      <c r="AB102" s="113" t="s">
        <v>273</v>
      </c>
      <c r="AC102" s="113" t="s">
        <v>273</v>
      </c>
      <c r="AD102" s="113" t="s">
        <v>273</v>
      </c>
      <c r="AE102" s="113" t="s">
        <v>273</v>
      </c>
      <c r="AG102" s="103"/>
      <c r="AH102" s="113"/>
      <c r="AI102" s="113"/>
      <c r="AJ102" s="113"/>
      <c r="AK102" s="113"/>
      <c r="AL102" s="113"/>
      <c r="AM102" s="113"/>
      <c r="AN102" s="113"/>
      <c r="AO102" s="113"/>
      <c r="AP102" s="113"/>
      <c r="AQ102" s="113"/>
      <c r="AR102" s="113"/>
      <c r="AS102" s="113"/>
      <c r="AT102" s="113"/>
      <c r="AU102" s="113"/>
      <c r="AV102" s="113"/>
      <c r="AW102" s="113"/>
      <c r="AX102" s="113"/>
      <c r="AY102" s="113"/>
      <c r="AZ102" s="113"/>
      <c r="BA102" s="113"/>
      <c r="BB102" s="113"/>
      <c r="BC102" s="113"/>
      <c r="BD102" s="113"/>
      <c r="BE102" s="113"/>
      <c r="BF102" s="113"/>
      <c r="BG102" s="113"/>
      <c r="BH102" s="113"/>
      <c r="BI102" s="113"/>
      <c r="BJ102" s="113"/>
      <c r="BK102" s="113"/>
      <c r="BL102" s="113"/>
      <c r="BM102" s="113"/>
      <c r="BN102" s="113"/>
      <c r="BO102" s="113"/>
      <c r="BP102" s="113"/>
      <c r="BQ102" s="113"/>
      <c r="BR102" s="113"/>
      <c r="BS102" s="113"/>
      <c r="BT102" s="113"/>
      <c r="BU102" s="113"/>
      <c r="BV102" s="113"/>
      <c r="BW102" s="113"/>
      <c r="BX102" s="113"/>
      <c r="BY102" s="113"/>
      <c r="BZ102" s="113"/>
      <c r="CA102" s="113"/>
      <c r="CB102" s="113"/>
      <c r="CC102" s="113"/>
      <c r="CD102" s="113"/>
      <c r="CE102" s="113"/>
      <c r="CF102" s="113"/>
      <c r="CG102" s="113"/>
      <c r="CH102" s="113"/>
      <c r="CI102" s="113"/>
      <c r="CJ102" s="113"/>
      <c r="CK102" s="113"/>
      <c r="CL102" s="113"/>
      <c r="CM102" s="113"/>
      <c r="CN102" s="113"/>
      <c r="CO102" s="113"/>
      <c r="CP102" s="113"/>
      <c r="CQ102" s="113"/>
      <c r="CR102" s="113"/>
      <c r="CS102" s="113"/>
      <c r="CT102" s="113"/>
      <c r="CU102" s="113"/>
      <c r="CV102" s="113"/>
      <c r="CW102" s="113"/>
      <c r="CX102" s="113"/>
      <c r="CY102" s="113"/>
      <c r="CZ102" s="113"/>
      <c r="DA102" s="113"/>
      <c r="DB102" s="113"/>
      <c r="DC102" s="113"/>
      <c r="DD102" s="113"/>
      <c r="DE102" s="113"/>
      <c r="DF102" s="113"/>
      <c r="DG102" s="113"/>
      <c r="DH102" s="113"/>
      <c r="DI102" s="113"/>
      <c r="DJ102" s="113"/>
      <c r="DK102" s="113"/>
      <c r="DL102" s="113"/>
      <c r="DM102" s="113"/>
      <c r="DN102" s="113"/>
      <c r="DO102" s="113"/>
      <c r="DP102" s="113"/>
      <c r="DQ102" s="113"/>
      <c r="DR102" s="113"/>
      <c r="DS102" s="113"/>
      <c r="DT102" s="113"/>
      <c r="DU102" s="113"/>
      <c r="DV102" s="113"/>
      <c r="DW102" s="113"/>
      <c r="DX102" s="113"/>
      <c r="DY102" s="113"/>
      <c r="DZ102" s="113"/>
      <c r="EA102" s="113"/>
      <c r="EB102" s="113"/>
      <c r="EC102" s="113"/>
      <c r="ED102" s="113"/>
      <c r="EE102" s="113"/>
      <c r="EF102" s="113"/>
      <c r="EG102" s="113"/>
      <c r="EH102" s="113"/>
      <c r="EI102" s="113"/>
      <c r="EJ102" s="113"/>
      <c r="EK102" s="113"/>
      <c r="EL102" s="113"/>
      <c r="EM102" s="113"/>
      <c r="EN102" s="113"/>
    </row>
    <row r="103" spans="1:144">
      <c r="A103" s="103" t="s">
        <v>2222</v>
      </c>
      <c r="B103" s="113" t="s">
        <v>273</v>
      </c>
      <c r="C103" s="113" t="s">
        <v>273</v>
      </c>
      <c r="D103" s="113" t="s">
        <v>273</v>
      </c>
      <c r="E103" s="113" t="s">
        <v>273</v>
      </c>
      <c r="F103" s="113" t="s">
        <v>273</v>
      </c>
      <c r="G103" s="113" t="s">
        <v>273</v>
      </c>
      <c r="H103" s="113" t="s">
        <v>273</v>
      </c>
      <c r="I103" s="113" t="s">
        <v>273</v>
      </c>
      <c r="J103" s="113" t="s">
        <v>273</v>
      </c>
      <c r="K103" s="113" t="s">
        <v>273</v>
      </c>
      <c r="L103" s="113" t="s">
        <v>273</v>
      </c>
      <c r="M103" s="113" t="s">
        <v>273</v>
      </c>
      <c r="N103" s="113" t="s">
        <v>273</v>
      </c>
      <c r="O103" s="113" t="s">
        <v>273</v>
      </c>
      <c r="P103" s="113" t="s">
        <v>273</v>
      </c>
      <c r="Q103" s="113" t="s">
        <v>273</v>
      </c>
      <c r="R103" s="113" t="s">
        <v>273</v>
      </c>
      <c r="S103" s="113" t="s">
        <v>273</v>
      </c>
      <c r="T103" s="113" t="s">
        <v>273</v>
      </c>
      <c r="U103" s="113" t="s">
        <v>273</v>
      </c>
      <c r="V103" s="113" t="s">
        <v>273</v>
      </c>
      <c r="W103" s="113" t="s">
        <v>273</v>
      </c>
      <c r="X103" s="113" t="s">
        <v>273</v>
      </c>
      <c r="Y103" s="113" t="s">
        <v>273</v>
      </c>
      <c r="Z103" s="113" t="s">
        <v>273</v>
      </c>
      <c r="AA103" s="113">
        <v>28</v>
      </c>
      <c r="AB103" s="113">
        <v>68</v>
      </c>
      <c r="AC103" s="113">
        <v>175</v>
      </c>
      <c r="AD103" s="113">
        <v>247</v>
      </c>
      <c r="AE103" s="113" t="s">
        <v>273</v>
      </c>
      <c r="AG103" s="103" t="s">
        <v>2222</v>
      </c>
      <c r="AH103" s="113" t="s">
        <v>273</v>
      </c>
      <c r="AI103" s="113" t="s">
        <v>273</v>
      </c>
      <c r="AJ103" s="113" t="s">
        <v>273</v>
      </c>
      <c r="AK103" s="113" t="s">
        <v>273</v>
      </c>
      <c r="AL103" s="113" t="s">
        <v>273</v>
      </c>
      <c r="AM103" s="113" t="s">
        <v>273</v>
      </c>
      <c r="AN103" s="113" t="s">
        <v>273</v>
      </c>
      <c r="AO103" s="113" t="s">
        <v>273</v>
      </c>
      <c r="AP103" s="113" t="s">
        <v>273</v>
      </c>
      <c r="AQ103" s="113" t="s">
        <v>273</v>
      </c>
      <c r="AR103" s="113" t="s">
        <v>273</v>
      </c>
      <c r="AS103" s="113" t="s">
        <v>273</v>
      </c>
      <c r="AT103" s="113" t="s">
        <v>273</v>
      </c>
      <c r="AU103" s="113" t="s">
        <v>273</v>
      </c>
      <c r="AV103" s="113" t="s">
        <v>273</v>
      </c>
      <c r="AW103" s="113" t="s">
        <v>273</v>
      </c>
      <c r="AX103" s="113" t="s">
        <v>273</v>
      </c>
      <c r="AY103" s="113" t="s">
        <v>273</v>
      </c>
      <c r="AZ103" s="113" t="s">
        <v>273</v>
      </c>
      <c r="BA103" s="113" t="s">
        <v>273</v>
      </c>
      <c r="BB103" s="113" t="s">
        <v>273</v>
      </c>
      <c r="BC103" s="113" t="s">
        <v>273</v>
      </c>
      <c r="BD103" s="113" t="s">
        <v>273</v>
      </c>
      <c r="BE103" s="113" t="s">
        <v>273</v>
      </c>
      <c r="BF103" s="113" t="s">
        <v>273</v>
      </c>
      <c r="BG103" s="113" t="s">
        <v>273</v>
      </c>
      <c r="BH103" s="113" t="s">
        <v>273</v>
      </c>
      <c r="BI103" s="113" t="s">
        <v>273</v>
      </c>
      <c r="BJ103" s="113" t="s">
        <v>273</v>
      </c>
      <c r="BK103" s="113" t="s">
        <v>273</v>
      </c>
      <c r="BL103" s="113" t="s">
        <v>273</v>
      </c>
      <c r="BM103" s="113" t="s">
        <v>273</v>
      </c>
      <c r="BN103" s="113" t="s">
        <v>273</v>
      </c>
      <c r="BO103" s="113" t="s">
        <v>273</v>
      </c>
      <c r="BP103" s="113" t="s">
        <v>273</v>
      </c>
      <c r="BQ103" s="113" t="s">
        <v>273</v>
      </c>
      <c r="BR103" s="113" t="s">
        <v>273</v>
      </c>
      <c r="BS103" s="113" t="s">
        <v>273</v>
      </c>
      <c r="BT103" s="113" t="s">
        <v>273</v>
      </c>
      <c r="BU103" s="113" t="s">
        <v>273</v>
      </c>
      <c r="BV103" s="113" t="s">
        <v>273</v>
      </c>
      <c r="BW103" s="113" t="s">
        <v>273</v>
      </c>
      <c r="BX103" s="113" t="s">
        <v>273</v>
      </c>
      <c r="BY103" s="113" t="s">
        <v>273</v>
      </c>
      <c r="BZ103" s="113" t="s">
        <v>273</v>
      </c>
      <c r="CA103" s="113" t="s">
        <v>273</v>
      </c>
      <c r="CB103" s="113" t="s">
        <v>273</v>
      </c>
      <c r="CC103" s="113" t="s">
        <v>273</v>
      </c>
      <c r="CD103" s="113" t="s">
        <v>273</v>
      </c>
      <c r="CE103" s="113" t="s">
        <v>273</v>
      </c>
      <c r="CF103" s="113" t="s">
        <v>273</v>
      </c>
      <c r="CG103" s="113" t="s">
        <v>273</v>
      </c>
      <c r="CH103" s="113" t="s">
        <v>273</v>
      </c>
      <c r="CI103" s="113" t="s">
        <v>273</v>
      </c>
      <c r="CJ103" s="113" t="s">
        <v>273</v>
      </c>
      <c r="CK103" s="113" t="s">
        <v>273</v>
      </c>
      <c r="CL103" s="113" t="s">
        <v>273</v>
      </c>
      <c r="CM103" s="113" t="s">
        <v>273</v>
      </c>
      <c r="CN103" s="113" t="s">
        <v>273</v>
      </c>
      <c r="CO103" s="113" t="s">
        <v>273</v>
      </c>
      <c r="CP103" s="113" t="s">
        <v>273</v>
      </c>
      <c r="CQ103" s="113" t="s">
        <v>273</v>
      </c>
      <c r="CR103" s="113" t="s">
        <v>273</v>
      </c>
      <c r="CS103" s="113" t="s">
        <v>273</v>
      </c>
      <c r="CT103" s="113" t="s">
        <v>273</v>
      </c>
      <c r="CU103" s="113" t="s">
        <v>273</v>
      </c>
      <c r="CV103" s="113" t="s">
        <v>273</v>
      </c>
      <c r="CW103" s="113" t="s">
        <v>273</v>
      </c>
      <c r="CX103" s="113" t="s">
        <v>273</v>
      </c>
      <c r="CY103" s="113" t="s">
        <v>273</v>
      </c>
      <c r="CZ103" s="113" t="s">
        <v>273</v>
      </c>
      <c r="DA103" s="113" t="s">
        <v>273</v>
      </c>
      <c r="DB103" s="113" t="s">
        <v>273</v>
      </c>
      <c r="DC103" s="113" t="s">
        <v>273</v>
      </c>
      <c r="DD103" s="113" t="s">
        <v>273</v>
      </c>
      <c r="DE103" s="113" t="s">
        <v>273</v>
      </c>
      <c r="DF103" s="113" t="s">
        <v>273</v>
      </c>
      <c r="DG103" s="113" t="s">
        <v>273</v>
      </c>
      <c r="DH103" s="113" t="s">
        <v>273</v>
      </c>
      <c r="DI103" s="113" t="s">
        <v>273</v>
      </c>
      <c r="DJ103" s="113" t="s">
        <v>273</v>
      </c>
      <c r="DK103" s="113" t="s">
        <v>273</v>
      </c>
      <c r="DL103" s="113" t="s">
        <v>273</v>
      </c>
      <c r="DM103" s="113" t="s">
        <v>273</v>
      </c>
      <c r="DN103" s="113" t="s">
        <v>273</v>
      </c>
      <c r="DO103" s="113" t="s">
        <v>273</v>
      </c>
      <c r="DP103" s="113" t="s">
        <v>273</v>
      </c>
      <c r="DQ103" s="113" t="s">
        <v>273</v>
      </c>
      <c r="DR103" s="113" t="s">
        <v>273</v>
      </c>
      <c r="DS103" s="113" t="s">
        <v>273</v>
      </c>
      <c r="DT103" s="113" t="s">
        <v>273</v>
      </c>
      <c r="DU103" s="113" t="s">
        <v>273</v>
      </c>
      <c r="DV103" s="113" t="s">
        <v>273</v>
      </c>
      <c r="DW103" s="113" t="s">
        <v>273</v>
      </c>
      <c r="DX103" s="113" t="s">
        <v>273</v>
      </c>
      <c r="DY103" s="113" t="s">
        <v>273</v>
      </c>
      <c r="DZ103" s="113" t="s">
        <v>273</v>
      </c>
      <c r="EA103" s="113">
        <v>15</v>
      </c>
      <c r="EB103" s="113">
        <v>19</v>
      </c>
      <c r="EC103" s="113" t="s">
        <v>273</v>
      </c>
      <c r="ED103" s="113">
        <v>30</v>
      </c>
      <c r="EE103" s="113">
        <v>44</v>
      </c>
      <c r="EF103" s="113">
        <v>47</v>
      </c>
      <c r="EG103" s="113" t="s">
        <v>273</v>
      </c>
      <c r="EH103" s="113">
        <v>55</v>
      </c>
      <c r="EI103" s="113">
        <v>59</v>
      </c>
      <c r="EJ103" s="113">
        <v>65</v>
      </c>
      <c r="EK103" s="113" t="s">
        <v>273</v>
      </c>
      <c r="EL103" s="113">
        <v>78</v>
      </c>
      <c r="EM103" s="113">
        <v>84</v>
      </c>
      <c r="EN103" s="113">
        <v>87</v>
      </c>
    </row>
    <row r="104" spans="1:144">
      <c r="A104" s="103" t="s">
        <v>2223</v>
      </c>
      <c r="B104" s="122">
        <v>34243</v>
      </c>
      <c r="C104" s="122">
        <v>34604</v>
      </c>
      <c r="D104" s="122">
        <v>34967</v>
      </c>
      <c r="E104" s="122">
        <v>35335</v>
      </c>
      <c r="F104" s="122">
        <v>35702</v>
      </c>
      <c r="G104" s="122">
        <v>36063</v>
      </c>
      <c r="H104" s="122">
        <v>36431</v>
      </c>
      <c r="I104" s="122">
        <v>36797</v>
      </c>
      <c r="J104" s="122">
        <v>37152</v>
      </c>
      <c r="K104" s="122">
        <v>37505</v>
      </c>
      <c r="L104" s="122">
        <v>37869</v>
      </c>
      <c r="M104" s="122">
        <v>38231</v>
      </c>
      <c r="N104" s="122">
        <v>38590</v>
      </c>
      <c r="O104" s="122">
        <v>38954</v>
      </c>
      <c r="P104" s="122">
        <v>39297</v>
      </c>
      <c r="Q104" s="122">
        <v>39660</v>
      </c>
      <c r="R104" s="122">
        <v>40024</v>
      </c>
      <c r="S104" s="122">
        <v>40389</v>
      </c>
      <c r="T104" s="122">
        <v>40752</v>
      </c>
      <c r="U104" s="122">
        <v>41116</v>
      </c>
      <c r="V104" s="122">
        <v>41485</v>
      </c>
      <c r="W104" s="122">
        <v>41851</v>
      </c>
      <c r="X104" s="122">
        <v>42216</v>
      </c>
      <c r="Y104" s="122">
        <v>42579</v>
      </c>
      <c r="Z104" s="122">
        <v>42949</v>
      </c>
      <c r="AA104" s="122">
        <v>43315</v>
      </c>
      <c r="AB104" s="122">
        <v>43678</v>
      </c>
      <c r="AC104" s="122">
        <v>43678</v>
      </c>
      <c r="AD104" s="122">
        <v>43678</v>
      </c>
      <c r="AE104" s="122">
        <v>43950</v>
      </c>
      <c r="AG104" s="103" t="s">
        <v>2223</v>
      </c>
      <c r="AH104" s="122">
        <v>34379</v>
      </c>
      <c r="AI104" s="122">
        <v>34379</v>
      </c>
      <c r="AJ104" s="122">
        <v>34457</v>
      </c>
      <c r="AK104" s="122">
        <v>34604</v>
      </c>
      <c r="AL104" s="122">
        <v>34654</v>
      </c>
      <c r="AM104" s="122">
        <v>34744</v>
      </c>
      <c r="AN104" s="122">
        <v>34831</v>
      </c>
      <c r="AO104" s="122">
        <v>34967</v>
      </c>
      <c r="AP104" s="122">
        <v>35017</v>
      </c>
      <c r="AQ104" s="122">
        <v>35108</v>
      </c>
      <c r="AR104" s="122">
        <v>35200</v>
      </c>
      <c r="AS104" s="122">
        <v>35335</v>
      </c>
      <c r="AT104" s="122">
        <v>35383</v>
      </c>
      <c r="AU104" s="122">
        <v>35475</v>
      </c>
      <c r="AV104" s="122">
        <v>35565</v>
      </c>
      <c r="AW104" s="122">
        <v>35702</v>
      </c>
      <c r="AX104" s="122">
        <v>35732</v>
      </c>
      <c r="AY104" s="122">
        <v>35949</v>
      </c>
      <c r="AZ104" s="122">
        <v>35930</v>
      </c>
      <c r="BA104" s="122">
        <v>36063</v>
      </c>
      <c r="BB104" s="122">
        <v>36111</v>
      </c>
      <c r="BC104" s="122">
        <v>36203</v>
      </c>
      <c r="BD104" s="122">
        <v>36294</v>
      </c>
      <c r="BE104" s="122">
        <v>36431</v>
      </c>
      <c r="BF104" s="122">
        <v>36469</v>
      </c>
      <c r="BG104" s="122">
        <v>36567</v>
      </c>
      <c r="BH104" s="122">
        <v>36658</v>
      </c>
      <c r="BI104" s="122">
        <v>36797</v>
      </c>
      <c r="BJ104" s="122">
        <v>36844</v>
      </c>
      <c r="BK104" s="122">
        <v>36936</v>
      </c>
      <c r="BL104" s="122">
        <v>37026</v>
      </c>
      <c r="BM104" s="122">
        <v>37152</v>
      </c>
      <c r="BN104" s="122">
        <v>37340</v>
      </c>
      <c r="BO104" s="122">
        <v>37340</v>
      </c>
      <c r="BP104" s="122">
        <v>37376</v>
      </c>
      <c r="BQ104" s="122">
        <v>37505</v>
      </c>
      <c r="BR104" s="122">
        <v>37574</v>
      </c>
      <c r="BS104" s="122">
        <v>37652</v>
      </c>
      <c r="BT104" s="122">
        <v>37753</v>
      </c>
      <c r="BU104" s="122">
        <v>37869</v>
      </c>
      <c r="BV104" s="122">
        <v>37938</v>
      </c>
      <c r="BW104" s="122">
        <v>38023</v>
      </c>
      <c r="BX104" s="122">
        <v>38110</v>
      </c>
      <c r="BY104" s="122">
        <v>38231</v>
      </c>
      <c r="BZ104" s="122">
        <v>38300</v>
      </c>
      <c r="CA104" s="122">
        <v>38379</v>
      </c>
      <c r="CB104" s="122">
        <v>38470</v>
      </c>
      <c r="CC104" s="122">
        <v>38590</v>
      </c>
      <c r="CD104" s="122">
        <v>38652</v>
      </c>
      <c r="CE104" s="122">
        <v>38743</v>
      </c>
      <c r="CF104" s="122">
        <v>38834</v>
      </c>
      <c r="CG104" s="122">
        <v>38954</v>
      </c>
      <c r="CH104" s="122">
        <v>39016</v>
      </c>
      <c r="CI104" s="122">
        <v>39107</v>
      </c>
      <c r="CJ104" s="122">
        <v>39198</v>
      </c>
      <c r="CK104" s="122">
        <v>39297</v>
      </c>
      <c r="CL104" s="122">
        <v>39380</v>
      </c>
      <c r="CM104" s="122">
        <v>39471</v>
      </c>
      <c r="CN104" s="122">
        <v>39562</v>
      </c>
      <c r="CO104" s="122">
        <v>39660</v>
      </c>
      <c r="CP104" s="122">
        <v>39744</v>
      </c>
      <c r="CQ104" s="122">
        <v>39835</v>
      </c>
      <c r="CR104" s="122">
        <v>39926</v>
      </c>
      <c r="CS104" s="122">
        <v>40024</v>
      </c>
      <c r="CT104" s="122">
        <v>40109</v>
      </c>
      <c r="CU104" s="122">
        <v>40206</v>
      </c>
      <c r="CV104" s="122">
        <v>40290</v>
      </c>
      <c r="CW104" s="122">
        <v>40389</v>
      </c>
      <c r="CX104" s="122">
        <v>40479</v>
      </c>
      <c r="CY104" s="122">
        <v>40570</v>
      </c>
      <c r="CZ104" s="122">
        <v>40661</v>
      </c>
      <c r="DA104" s="122">
        <v>40752</v>
      </c>
      <c r="DB104" s="122">
        <v>40836</v>
      </c>
      <c r="DC104" s="122">
        <v>40927</v>
      </c>
      <c r="DD104" s="122">
        <v>41089</v>
      </c>
      <c r="DE104" s="122">
        <v>41116</v>
      </c>
      <c r="DF104" s="122">
        <v>41200</v>
      </c>
      <c r="DG104" s="122">
        <v>41298</v>
      </c>
      <c r="DH104" s="122">
        <v>41382</v>
      </c>
      <c r="DI104" s="122">
        <v>41485</v>
      </c>
      <c r="DJ104" s="122">
        <v>41571</v>
      </c>
      <c r="DK104" s="122">
        <v>41662</v>
      </c>
      <c r="DL104" s="122">
        <v>41753</v>
      </c>
      <c r="DM104" s="122">
        <v>41851</v>
      </c>
      <c r="DN104" s="122">
        <v>41935</v>
      </c>
      <c r="DO104" s="122">
        <v>42030</v>
      </c>
      <c r="DP104" s="122">
        <v>42117</v>
      </c>
      <c r="DQ104" s="122">
        <v>42216</v>
      </c>
      <c r="DR104" s="122">
        <v>42299</v>
      </c>
      <c r="DS104" s="122">
        <v>42397</v>
      </c>
      <c r="DT104" s="122">
        <v>42481</v>
      </c>
      <c r="DU104" s="122">
        <v>42579</v>
      </c>
      <c r="DV104" s="122">
        <v>42663</v>
      </c>
      <c r="DW104" s="122">
        <v>42761</v>
      </c>
      <c r="DX104" s="122">
        <v>42852</v>
      </c>
      <c r="DY104" s="122">
        <v>42949</v>
      </c>
      <c r="DZ104" s="122">
        <v>43034</v>
      </c>
      <c r="EA104" s="122">
        <v>43131</v>
      </c>
      <c r="EB104" s="122">
        <v>43216</v>
      </c>
      <c r="EC104" s="122">
        <v>43315</v>
      </c>
      <c r="ED104" s="122">
        <v>43397</v>
      </c>
      <c r="EE104" s="122">
        <v>43495</v>
      </c>
      <c r="EF104" s="122">
        <v>43579</v>
      </c>
      <c r="EG104" s="122">
        <v>43678</v>
      </c>
      <c r="EH104" s="122">
        <v>43761</v>
      </c>
      <c r="EI104" s="122">
        <v>43859</v>
      </c>
      <c r="EJ104" s="122">
        <v>43950</v>
      </c>
      <c r="EK104" s="122">
        <v>43678</v>
      </c>
      <c r="EL104" s="122">
        <v>43761</v>
      </c>
      <c r="EM104" s="122">
        <v>43859</v>
      </c>
      <c r="EN104" s="122">
        <v>43950</v>
      </c>
    </row>
    <row r="105" spans="1:144">
      <c r="A105" s="103" t="s">
        <v>2224</v>
      </c>
      <c r="B105" s="119" t="s">
        <v>2225</v>
      </c>
      <c r="C105" s="119" t="s">
        <v>2225</v>
      </c>
      <c r="D105" s="119" t="s">
        <v>2226</v>
      </c>
      <c r="E105" s="119" t="s">
        <v>2226</v>
      </c>
      <c r="F105" s="119" t="s">
        <v>2226</v>
      </c>
      <c r="G105" s="119" t="s">
        <v>2227</v>
      </c>
      <c r="H105" s="119" t="s">
        <v>2227</v>
      </c>
      <c r="I105" s="119" t="s">
        <v>2227</v>
      </c>
      <c r="J105" s="119" t="s">
        <v>2227</v>
      </c>
      <c r="K105" s="119" t="s">
        <v>2227</v>
      </c>
      <c r="L105" s="119" t="s">
        <v>2226</v>
      </c>
      <c r="M105" s="119" t="s">
        <v>2225</v>
      </c>
      <c r="N105" s="119" t="s">
        <v>2225</v>
      </c>
      <c r="O105" s="119" t="s">
        <v>2227</v>
      </c>
      <c r="P105" s="119" t="s">
        <v>2227</v>
      </c>
      <c r="Q105" s="119" t="s">
        <v>2227</v>
      </c>
      <c r="R105" s="119" t="s">
        <v>2227</v>
      </c>
      <c r="S105" s="119" t="s">
        <v>2227</v>
      </c>
      <c r="T105" s="119" t="s">
        <v>2227</v>
      </c>
      <c r="U105" s="119" t="s">
        <v>2227</v>
      </c>
      <c r="V105" s="119" t="s">
        <v>2226</v>
      </c>
      <c r="W105" s="119" t="s">
        <v>2226</v>
      </c>
      <c r="X105" s="119" t="s">
        <v>2227</v>
      </c>
      <c r="Y105" s="119" t="s">
        <v>2227</v>
      </c>
      <c r="Z105" s="119" t="s">
        <v>2226</v>
      </c>
      <c r="AA105" s="119" t="s">
        <v>2225</v>
      </c>
      <c r="AB105" s="119" t="s">
        <v>2225</v>
      </c>
      <c r="AC105" s="119" t="s">
        <v>2226</v>
      </c>
      <c r="AD105" s="119" t="s">
        <v>2228</v>
      </c>
      <c r="AE105" s="119" t="s">
        <v>2228</v>
      </c>
      <c r="AG105" s="103" t="s">
        <v>2224</v>
      </c>
      <c r="AH105" s="119" t="s">
        <v>2228</v>
      </c>
      <c r="AI105" s="119" t="s">
        <v>2228</v>
      </c>
      <c r="AJ105" s="119" t="s">
        <v>2228</v>
      </c>
      <c r="AK105" s="119" t="s">
        <v>2228</v>
      </c>
      <c r="AL105" s="119" t="s">
        <v>2229</v>
      </c>
      <c r="AM105" s="119" t="s">
        <v>2226</v>
      </c>
      <c r="AN105" s="119" t="s">
        <v>2226</v>
      </c>
      <c r="AO105" s="119" t="s">
        <v>2226</v>
      </c>
      <c r="AP105" s="119" t="s">
        <v>2226</v>
      </c>
      <c r="AQ105" s="119" t="s">
        <v>2226</v>
      </c>
      <c r="AR105" s="119" t="s">
        <v>2226</v>
      </c>
      <c r="AS105" s="119" t="s">
        <v>2226</v>
      </c>
      <c r="AT105" s="119" t="s">
        <v>2226</v>
      </c>
      <c r="AU105" s="119" t="s">
        <v>2226</v>
      </c>
      <c r="AV105" s="119" t="s">
        <v>2226</v>
      </c>
      <c r="AW105" s="119" t="s">
        <v>2226</v>
      </c>
      <c r="AX105" s="119" t="s">
        <v>2226</v>
      </c>
      <c r="AY105" s="119" t="s">
        <v>2229</v>
      </c>
      <c r="AZ105" s="119" t="s">
        <v>2226</v>
      </c>
      <c r="BA105" s="119" t="s">
        <v>2227</v>
      </c>
      <c r="BB105" s="119" t="s">
        <v>2227</v>
      </c>
      <c r="BC105" s="119" t="s">
        <v>2227</v>
      </c>
      <c r="BD105" s="119" t="s">
        <v>2227</v>
      </c>
      <c r="BE105" s="119" t="s">
        <v>2227</v>
      </c>
      <c r="BF105" s="119" t="s">
        <v>2227</v>
      </c>
      <c r="BG105" s="119" t="s">
        <v>2227</v>
      </c>
      <c r="BH105" s="119" t="s">
        <v>2227</v>
      </c>
      <c r="BI105" s="119" t="s">
        <v>2227</v>
      </c>
      <c r="BJ105" s="119" t="s">
        <v>2227</v>
      </c>
      <c r="BK105" s="119" t="s">
        <v>2227</v>
      </c>
      <c r="BL105" s="119" t="s">
        <v>2227</v>
      </c>
      <c r="BM105" s="119" t="s">
        <v>2227</v>
      </c>
      <c r="BN105" s="119" t="s">
        <v>2230</v>
      </c>
      <c r="BO105" s="119" t="s">
        <v>2230</v>
      </c>
      <c r="BP105" s="119" t="s">
        <v>2227</v>
      </c>
      <c r="BQ105" s="119" t="s">
        <v>2227</v>
      </c>
      <c r="BR105" s="119" t="s">
        <v>2226</v>
      </c>
      <c r="BS105" s="119" t="s">
        <v>2226</v>
      </c>
      <c r="BT105" s="119" t="s">
        <v>2226</v>
      </c>
      <c r="BU105" s="119" t="s">
        <v>2226</v>
      </c>
      <c r="BV105" s="119" t="s">
        <v>2225</v>
      </c>
      <c r="BW105" s="119" t="s">
        <v>2225</v>
      </c>
      <c r="BX105" s="119" t="s">
        <v>2225</v>
      </c>
      <c r="BY105" s="119" t="s">
        <v>2225</v>
      </c>
      <c r="BZ105" s="119" t="s">
        <v>2226</v>
      </c>
      <c r="CA105" s="119" t="s">
        <v>2226</v>
      </c>
      <c r="CB105" s="119" t="s">
        <v>2226</v>
      </c>
      <c r="CC105" s="119" t="s">
        <v>2226</v>
      </c>
      <c r="CD105" s="119" t="s">
        <v>2227</v>
      </c>
      <c r="CE105" s="119" t="s">
        <v>2227</v>
      </c>
      <c r="CF105" s="119" t="s">
        <v>2227</v>
      </c>
      <c r="CG105" s="119" t="s">
        <v>2227</v>
      </c>
      <c r="CH105" s="119" t="s">
        <v>2227</v>
      </c>
      <c r="CI105" s="119" t="s">
        <v>2227</v>
      </c>
      <c r="CJ105" s="119" t="s">
        <v>2226</v>
      </c>
      <c r="CK105" s="119" t="s">
        <v>2226</v>
      </c>
      <c r="CL105" s="119" t="s">
        <v>2226</v>
      </c>
      <c r="CM105" s="119" t="s">
        <v>2226</v>
      </c>
      <c r="CN105" s="119" t="s">
        <v>2226</v>
      </c>
      <c r="CO105" s="119" t="s">
        <v>2226</v>
      </c>
      <c r="CP105" s="119" t="s">
        <v>2227</v>
      </c>
      <c r="CQ105" s="119" t="s">
        <v>2227</v>
      </c>
      <c r="CR105" s="119" t="s">
        <v>2227</v>
      </c>
      <c r="CS105" s="119" t="s">
        <v>2227</v>
      </c>
      <c r="CT105" s="119" t="s">
        <v>2226</v>
      </c>
      <c r="CU105" s="119" t="s">
        <v>2226</v>
      </c>
      <c r="CV105" s="119" t="s">
        <v>2226</v>
      </c>
      <c r="CW105" s="119" t="s">
        <v>2226</v>
      </c>
      <c r="CX105" s="119" t="s">
        <v>2226</v>
      </c>
      <c r="CY105" s="119" t="s">
        <v>2227</v>
      </c>
      <c r="CZ105" s="119" t="s">
        <v>2227</v>
      </c>
      <c r="DA105" s="119" t="s">
        <v>2227</v>
      </c>
      <c r="DB105" s="119" t="s">
        <v>2226</v>
      </c>
      <c r="DC105" s="119" t="s">
        <v>2226</v>
      </c>
      <c r="DD105" s="119" t="s">
        <v>2229</v>
      </c>
      <c r="DE105" s="119" t="s">
        <v>2226</v>
      </c>
      <c r="DF105" s="119" t="s">
        <v>2226</v>
      </c>
      <c r="DG105" s="119" t="s">
        <v>2226</v>
      </c>
      <c r="DH105" s="119" t="s">
        <v>2226</v>
      </c>
      <c r="DI105" s="119" t="s">
        <v>2226</v>
      </c>
      <c r="DJ105" s="119" t="s">
        <v>2226</v>
      </c>
      <c r="DK105" s="119" t="s">
        <v>2226</v>
      </c>
      <c r="DL105" s="119" t="s">
        <v>2226</v>
      </c>
      <c r="DM105" s="119" t="s">
        <v>2226</v>
      </c>
      <c r="DN105" s="119" t="s">
        <v>2227</v>
      </c>
      <c r="DO105" s="119" t="s">
        <v>2227</v>
      </c>
      <c r="DP105" s="119" t="s">
        <v>2227</v>
      </c>
      <c r="DQ105" s="119" t="s">
        <v>2227</v>
      </c>
      <c r="DR105" s="119" t="s">
        <v>2226</v>
      </c>
      <c r="DS105" s="119" t="s">
        <v>2226</v>
      </c>
      <c r="DT105" s="119" t="s">
        <v>2226</v>
      </c>
      <c r="DU105" s="119" t="s">
        <v>2226</v>
      </c>
      <c r="DV105" s="119" t="s">
        <v>2225</v>
      </c>
      <c r="DW105" s="119" t="s">
        <v>2225</v>
      </c>
      <c r="DX105" s="119" t="s">
        <v>2226</v>
      </c>
      <c r="DY105" s="119" t="s">
        <v>2226</v>
      </c>
      <c r="DZ105" s="119" t="s">
        <v>2225</v>
      </c>
      <c r="EA105" s="119" t="s">
        <v>2225</v>
      </c>
      <c r="EB105" s="119" t="s">
        <v>2225</v>
      </c>
      <c r="EC105" s="119" t="s">
        <v>2225</v>
      </c>
      <c r="ED105" s="119" t="s">
        <v>2226</v>
      </c>
      <c r="EE105" s="119" t="s">
        <v>2226</v>
      </c>
      <c r="EF105" s="119" t="s">
        <v>2226</v>
      </c>
      <c r="EG105" s="119" t="s">
        <v>2226</v>
      </c>
      <c r="EH105" s="119" t="s">
        <v>2226</v>
      </c>
      <c r="EI105" s="119" t="s">
        <v>2226</v>
      </c>
      <c r="EJ105" s="119" t="s">
        <v>2226</v>
      </c>
      <c r="EK105" s="119" t="s">
        <v>2228</v>
      </c>
      <c r="EL105" s="119" t="s">
        <v>2228</v>
      </c>
      <c r="EM105" s="119" t="s">
        <v>2228</v>
      </c>
      <c r="EN105" s="119" t="s">
        <v>2228</v>
      </c>
    </row>
    <row r="106" spans="1:144">
      <c r="A106" s="103" t="s">
        <v>2231</v>
      </c>
      <c r="B106" s="119" t="s">
        <v>2232</v>
      </c>
      <c r="C106" s="119" t="s">
        <v>2232</v>
      </c>
      <c r="D106" s="119" t="s">
        <v>2232</v>
      </c>
      <c r="E106" s="119" t="s">
        <v>2232</v>
      </c>
      <c r="F106" s="119" t="s">
        <v>2232</v>
      </c>
      <c r="G106" s="119" t="s">
        <v>2232</v>
      </c>
      <c r="H106" s="119" t="s">
        <v>2232</v>
      </c>
      <c r="I106" s="119" t="s">
        <v>2232</v>
      </c>
      <c r="J106" s="119" t="s">
        <v>2232</v>
      </c>
      <c r="K106" s="119" t="s">
        <v>2232</v>
      </c>
      <c r="L106" s="119" t="s">
        <v>2232</v>
      </c>
      <c r="M106" s="119" t="s">
        <v>2232</v>
      </c>
      <c r="N106" s="119" t="s">
        <v>2232</v>
      </c>
      <c r="O106" s="119" t="s">
        <v>2232</v>
      </c>
      <c r="P106" s="119" t="s">
        <v>2232</v>
      </c>
      <c r="Q106" s="119" t="s">
        <v>2232</v>
      </c>
      <c r="R106" s="119" t="s">
        <v>2232</v>
      </c>
      <c r="S106" s="119" t="s">
        <v>2232</v>
      </c>
      <c r="T106" s="119" t="s">
        <v>2232</v>
      </c>
      <c r="U106" s="119" t="s">
        <v>2232</v>
      </c>
      <c r="V106" s="119" t="s">
        <v>2232</v>
      </c>
      <c r="W106" s="119" t="s">
        <v>2232</v>
      </c>
      <c r="X106" s="119" t="s">
        <v>2232</v>
      </c>
      <c r="Y106" s="119" t="s">
        <v>2232</v>
      </c>
      <c r="Z106" s="119" t="s">
        <v>2232</v>
      </c>
      <c r="AA106" s="119" t="s">
        <v>2232</v>
      </c>
      <c r="AB106" s="119" t="s">
        <v>2232</v>
      </c>
      <c r="AC106" s="119" t="s">
        <v>2232</v>
      </c>
      <c r="AD106" s="119" t="s">
        <v>2232</v>
      </c>
      <c r="AE106" s="119" t="s">
        <v>1004</v>
      </c>
      <c r="AG106" s="103" t="s">
        <v>2231</v>
      </c>
      <c r="AH106" s="119" t="s">
        <v>2233</v>
      </c>
      <c r="AI106" s="119" t="s">
        <v>2232</v>
      </c>
      <c r="AJ106" s="119" t="s">
        <v>2232</v>
      </c>
      <c r="AK106" s="119" t="s">
        <v>2234</v>
      </c>
      <c r="AL106" s="119" t="s">
        <v>2232</v>
      </c>
      <c r="AM106" s="119" t="s">
        <v>2232</v>
      </c>
      <c r="AN106" s="119" t="s">
        <v>2232</v>
      </c>
      <c r="AO106" s="119" t="s">
        <v>2234</v>
      </c>
      <c r="AP106" s="119" t="s">
        <v>2232</v>
      </c>
      <c r="AQ106" s="119" t="s">
        <v>2232</v>
      </c>
      <c r="AR106" s="119" t="s">
        <v>2232</v>
      </c>
      <c r="AS106" s="119" t="s">
        <v>2234</v>
      </c>
      <c r="AT106" s="119" t="s">
        <v>2232</v>
      </c>
      <c r="AU106" s="119" t="s">
        <v>2232</v>
      </c>
      <c r="AV106" s="119" t="s">
        <v>2232</v>
      </c>
      <c r="AW106" s="119" t="s">
        <v>2234</v>
      </c>
      <c r="AX106" s="119" t="s">
        <v>2232</v>
      </c>
      <c r="AY106" s="119" t="s">
        <v>2232</v>
      </c>
      <c r="AZ106" s="119" t="s">
        <v>2232</v>
      </c>
      <c r="BA106" s="119" t="s">
        <v>2234</v>
      </c>
      <c r="BB106" s="119" t="s">
        <v>2232</v>
      </c>
      <c r="BC106" s="119" t="s">
        <v>2232</v>
      </c>
      <c r="BD106" s="119" t="s">
        <v>2232</v>
      </c>
      <c r="BE106" s="119" t="s">
        <v>2234</v>
      </c>
      <c r="BF106" s="119" t="s">
        <v>2232</v>
      </c>
      <c r="BG106" s="119" t="s">
        <v>2232</v>
      </c>
      <c r="BH106" s="119" t="s">
        <v>2232</v>
      </c>
      <c r="BI106" s="119" t="s">
        <v>2234</v>
      </c>
      <c r="BJ106" s="119" t="s">
        <v>2232</v>
      </c>
      <c r="BK106" s="119" t="s">
        <v>2232</v>
      </c>
      <c r="BL106" s="119" t="s">
        <v>2232</v>
      </c>
      <c r="BM106" s="119" t="s">
        <v>2234</v>
      </c>
      <c r="BN106" s="119" t="s">
        <v>2232</v>
      </c>
      <c r="BO106" s="119" t="s">
        <v>2232</v>
      </c>
      <c r="BP106" s="119" t="s">
        <v>2232</v>
      </c>
      <c r="BQ106" s="119" t="s">
        <v>2234</v>
      </c>
      <c r="BR106" s="119" t="s">
        <v>2232</v>
      </c>
      <c r="BS106" s="119" t="s">
        <v>2232</v>
      </c>
      <c r="BT106" s="119" t="s">
        <v>2232</v>
      </c>
      <c r="BU106" s="119" t="s">
        <v>2234</v>
      </c>
      <c r="BV106" s="119" t="s">
        <v>2232</v>
      </c>
      <c r="BW106" s="119" t="s">
        <v>2232</v>
      </c>
      <c r="BX106" s="119" t="s">
        <v>2232</v>
      </c>
      <c r="BY106" s="119" t="s">
        <v>2234</v>
      </c>
      <c r="BZ106" s="119" t="s">
        <v>2232</v>
      </c>
      <c r="CA106" s="119" t="s">
        <v>2232</v>
      </c>
      <c r="CB106" s="119" t="s">
        <v>2232</v>
      </c>
      <c r="CC106" s="119" t="s">
        <v>2234</v>
      </c>
      <c r="CD106" s="119" t="s">
        <v>2232</v>
      </c>
      <c r="CE106" s="119" t="s">
        <v>2232</v>
      </c>
      <c r="CF106" s="119" t="s">
        <v>2232</v>
      </c>
      <c r="CG106" s="119" t="s">
        <v>2234</v>
      </c>
      <c r="CH106" s="119" t="s">
        <v>2232</v>
      </c>
      <c r="CI106" s="119" t="s">
        <v>2232</v>
      </c>
      <c r="CJ106" s="119" t="s">
        <v>2232</v>
      </c>
      <c r="CK106" s="119" t="s">
        <v>2234</v>
      </c>
      <c r="CL106" s="119" t="s">
        <v>2232</v>
      </c>
      <c r="CM106" s="119" t="s">
        <v>2232</v>
      </c>
      <c r="CN106" s="119" t="s">
        <v>2232</v>
      </c>
      <c r="CO106" s="119" t="s">
        <v>2234</v>
      </c>
      <c r="CP106" s="119" t="s">
        <v>2232</v>
      </c>
      <c r="CQ106" s="119" t="s">
        <v>2232</v>
      </c>
      <c r="CR106" s="119" t="s">
        <v>2232</v>
      </c>
      <c r="CS106" s="119" t="s">
        <v>2234</v>
      </c>
      <c r="CT106" s="119" t="s">
        <v>2232</v>
      </c>
      <c r="CU106" s="119" t="s">
        <v>2232</v>
      </c>
      <c r="CV106" s="119" t="s">
        <v>2232</v>
      </c>
      <c r="CW106" s="119" t="s">
        <v>2234</v>
      </c>
      <c r="CX106" s="119" t="s">
        <v>2232</v>
      </c>
      <c r="CY106" s="119" t="s">
        <v>2232</v>
      </c>
      <c r="CZ106" s="119" t="s">
        <v>2232</v>
      </c>
      <c r="DA106" s="119" t="s">
        <v>2234</v>
      </c>
      <c r="DB106" s="119" t="s">
        <v>2232</v>
      </c>
      <c r="DC106" s="119" t="s">
        <v>2232</v>
      </c>
      <c r="DD106" s="119" t="s">
        <v>2232</v>
      </c>
      <c r="DE106" s="119" t="s">
        <v>2234</v>
      </c>
      <c r="DF106" s="119" t="s">
        <v>2232</v>
      </c>
      <c r="DG106" s="119" t="s">
        <v>2232</v>
      </c>
      <c r="DH106" s="119" t="s">
        <v>2232</v>
      </c>
      <c r="DI106" s="119" t="s">
        <v>2234</v>
      </c>
      <c r="DJ106" s="119" t="s">
        <v>2232</v>
      </c>
      <c r="DK106" s="119" t="s">
        <v>2232</v>
      </c>
      <c r="DL106" s="119" t="s">
        <v>2232</v>
      </c>
      <c r="DM106" s="119" t="s">
        <v>2234</v>
      </c>
      <c r="DN106" s="119" t="s">
        <v>2232</v>
      </c>
      <c r="DO106" s="119" t="s">
        <v>2232</v>
      </c>
      <c r="DP106" s="119" t="s">
        <v>2232</v>
      </c>
      <c r="DQ106" s="119" t="s">
        <v>2234</v>
      </c>
      <c r="DR106" s="119" t="s">
        <v>2232</v>
      </c>
      <c r="DS106" s="119" t="s">
        <v>2232</v>
      </c>
      <c r="DT106" s="119" t="s">
        <v>2232</v>
      </c>
      <c r="DU106" s="119" t="s">
        <v>2234</v>
      </c>
      <c r="DV106" s="119" t="s">
        <v>2232</v>
      </c>
      <c r="DW106" s="119" t="s">
        <v>2232</v>
      </c>
      <c r="DX106" s="119" t="s">
        <v>2232</v>
      </c>
      <c r="DY106" s="119" t="s">
        <v>2234</v>
      </c>
      <c r="DZ106" s="119" t="s">
        <v>2232</v>
      </c>
      <c r="EA106" s="119" t="s">
        <v>2232</v>
      </c>
      <c r="EB106" s="119" t="s">
        <v>2232</v>
      </c>
      <c r="EC106" s="119" t="s">
        <v>2234</v>
      </c>
      <c r="ED106" s="119" t="s">
        <v>2232</v>
      </c>
      <c r="EE106" s="119" t="s">
        <v>2232</v>
      </c>
      <c r="EF106" s="119" t="s">
        <v>2232</v>
      </c>
      <c r="EG106" s="119" t="s">
        <v>2234</v>
      </c>
      <c r="EH106" s="119" t="s">
        <v>2232</v>
      </c>
      <c r="EI106" s="119" t="s">
        <v>2232</v>
      </c>
      <c r="EJ106" s="119" t="s">
        <v>2232</v>
      </c>
      <c r="EK106" s="119" t="s">
        <v>2234</v>
      </c>
      <c r="EL106" s="119" t="s">
        <v>2232</v>
      </c>
      <c r="EM106" s="119" t="s">
        <v>2232</v>
      </c>
      <c r="EN106" s="119" t="s">
        <v>2232</v>
      </c>
    </row>
    <row r="107" spans="1:144">
      <c r="A107" s="103"/>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03"/>
      <c r="BU107" s="103"/>
      <c r="BV107" s="103"/>
      <c r="BW107" s="103"/>
      <c r="BX107" s="103"/>
      <c r="BY107" s="103"/>
      <c r="BZ107" s="103"/>
      <c r="CA107" s="103"/>
      <c r="CB107" s="103"/>
      <c r="CC107" s="103"/>
      <c r="CD107" s="103"/>
      <c r="CE107" s="103"/>
      <c r="CF107" s="103"/>
      <c r="CG107" s="103"/>
      <c r="CH107" s="103"/>
      <c r="CI107" s="103"/>
      <c r="CJ107" s="103"/>
      <c r="CK107" s="103"/>
      <c r="CL107" s="103"/>
      <c r="CM107" s="103"/>
      <c r="CN107" s="103"/>
      <c r="CO107" s="103"/>
      <c r="CP107" s="103"/>
      <c r="CQ107" s="103"/>
      <c r="CR107" s="103"/>
      <c r="CS107" s="103"/>
      <c r="CT107" s="103"/>
      <c r="CU107" s="103"/>
      <c r="CV107" s="103"/>
      <c r="CW107" s="103"/>
      <c r="CX107" s="103"/>
      <c r="CY107" s="103"/>
      <c r="CZ107" s="103"/>
      <c r="DA107" s="103"/>
      <c r="DB107" s="103"/>
      <c r="DC107" s="103"/>
      <c r="DD107" s="103"/>
      <c r="DE107" s="103"/>
      <c r="DF107" s="103"/>
      <c r="DG107" s="103"/>
      <c r="DH107" s="103"/>
      <c r="DI107" s="103"/>
      <c r="DJ107" s="103"/>
      <c r="DK107" s="103"/>
      <c r="DL107" s="103"/>
      <c r="DM107" s="103"/>
      <c r="DN107" s="103"/>
      <c r="DO107" s="103"/>
      <c r="DP107" s="103"/>
      <c r="DQ107" s="103"/>
      <c r="DR107" s="103"/>
      <c r="DS107" s="103"/>
      <c r="DT107" s="103"/>
      <c r="DU107" s="103"/>
      <c r="DV107" s="103"/>
      <c r="DW107" s="103"/>
      <c r="DX107" s="103"/>
      <c r="DY107" s="103"/>
      <c r="DZ107" s="103"/>
      <c r="EA107" s="103"/>
      <c r="EB107" s="103"/>
      <c r="EC107" s="103"/>
      <c r="ED107" s="103"/>
      <c r="EE107" s="103"/>
      <c r="EF107" s="103"/>
      <c r="EG107" s="103"/>
      <c r="EH107" s="103"/>
      <c r="EI107" s="103"/>
      <c r="EJ107" s="103"/>
      <c r="EK107" s="103"/>
      <c r="EL107" s="103"/>
      <c r="EM107" s="103"/>
      <c r="EN107" s="103"/>
    </row>
    <row r="108" spans="1:144" ht="10.5">
      <c r="A108" s="112" t="s">
        <v>2235</v>
      </c>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G108" s="112" t="s">
        <v>2235</v>
      </c>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3"/>
      <c r="BW108" s="103"/>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c r="CR108" s="103"/>
      <c r="CS108" s="103"/>
      <c r="CT108" s="103"/>
      <c r="CU108" s="103"/>
      <c r="CV108" s="103"/>
      <c r="CW108" s="103"/>
      <c r="CX108" s="103"/>
      <c r="CY108" s="103"/>
      <c r="CZ108" s="103"/>
      <c r="DA108" s="103"/>
      <c r="DB108" s="103"/>
      <c r="DC108" s="103"/>
      <c r="DD108" s="103"/>
      <c r="DE108" s="103"/>
      <c r="DF108" s="103"/>
      <c r="DG108" s="103"/>
      <c r="DH108" s="103"/>
      <c r="DI108" s="103"/>
      <c r="DJ108" s="103"/>
      <c r="DK108" s="103"/>
      <c r="DL108" s="103"/>
      <c r="DM108" s="103"/>
      <c r="DN108" s="103"/>
      <c r="DO108" s="103"/>
      <c r="DP108" s="103"/>
      <c r="DQ108" s="103"/>
      <c r="DR108" s="103"/>
      <c r="DS108" s="103"/>
      <c r="DT108" s="103"/>
      <c r="DU108" s="103"/>
      <c r="DV108" s="103"/>
      <c r="DW108" s="103"/>
      <c r="DX108" s="103"/>
      <c r="DY108" s="103"/>
      <c r="DZ108" s="103"/>
      <c r="EA108" s="103"/>
      <c r="EB108" s="103"/>
      <c r="EC108" s="103"/>
      <c r="ED108" s="103"/>
      <c r="EE108" s="103"/>
      <c r="EF108" s="103"/>
      <c r="EG108" s="103"/>
      <c r="EH108" s="103"/>
      <c r="EI108" s="103"/>
      <c r="EJ108" s="103"/>
      <c r="EK108" s="103"/>
      <c r="EL108" s="103"/>
      <c r="EM108" s="103"/>
      <c r="EN108" s="103"/>
    </row>
    <row r="109" spans="1:144" ht="10.5">
      <c r="A109" s="103" t="s">
        <v>2236</v>
      </c>
      <c r="B109" s="113">
        <v>53</v>
      </c>
      <c r="C109" s="113">
        <v>87</v>
      </c>
      <c r="D109" s="113" t="s">
        <v>273</v>
      </c>
      <c r="E109" s="113" t="s">
        <v>273</v>
      </c>
      <c r="F109" s="113" t="s">
        <v>273</v>
      </c>
      <c r="G109" s="113" t="s">
        <v>273</v>
      </c>
      <c r="H109" s="113" t="s">
        <v>273</v>
      </c>
      <c r="I109" s="113">
        <v>732</v>
      </c>
      <c r="J109" s="113">
        <v>804</v>
      </c>
      <c r="K109" s="113">
        <v>1230</v>
      </c>
      <c r="L109" s="113">
        <v>1020</v>
      </c>
      <c r="M109" s="113">
        <v>1130</v>
      </c>
      <c r="N109" s="113">
        <v>1060</v>
      </c>
      <c r="O109" s="113">
        <v>904</v>
      </c>
      <c r="P109" s="113">
        <v>995</v>
      </c>
      <c r="Q109" s="113">
        <v>1200</v>
      </c>
      <c r="R109" s="113">
        <v>1300</v>
      </c>
      <c r="S109" s="113">
        <v>1200</v>
      </c>
      <c r="T109" s="113">
        <v>1400</v>
      </c>
      <c r="U109" s="113">
        <v>1600</v>
      </c>
      <c r="V109" s="113">
        <v>1900</v>
      </c>
      <c r="W109" s="113">
        <v>1600</v>
      </c>
      <c r="X109" s="113">
        <v>2600</v>
      </c>
      <c r="Y109" s="113">
        <v>2300</v>
      </c>
      <c r="Z109" s="113">
        <v>1900</v>
      </c>
      <c r="AA109" s="113">
        <v>1600</v>
      </c>
      <c r="AB109" s="113">
        <v>1500</v>
      </c>
      <c r="AC109" s="113">
        <v>1600</v>
      </c>
      <c r="AD109" s="113">
        <v>1600</v>
      </c>
      <c r="AE109" s="113" t="s">
        <v>273</v>
      </c>
      <c r="AG109" s="112"/>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c r="CJ109" s="103"/>
      <c r="CK109" s="103"/>
      <c r="CL109" s="103"/>
      <c r="CM109" s="103"/>
      <c r="CN109" s="103"/>
      <c r="CO109" s="103"/>
      <c r="CP109" s="103"/>
      <c r="CQ109" s="103"/>
      <c r="CR109" s="103"/>
      <c r="CS109" s="103"/>
      <c r="CT109" s="103"/>
      <c r="CU109" s="103"/>
      <c r="CV109" s="103"/>
      <c r="CW109" s="103"/>
      <c r="CX109" s="103"/>
      <c r="CY109" s="103"/>
      <c r="CZ109" s="103"/>
      <c r="DA109" s="103"/>
      <c r="DB109" s="103"/>
      <c r="DC109" s="103"/>
      <c r="DD109" s="103"/>
      <c r="DE109" s="103"/>
      <c r="DF109" s="103"/>
      <c r="DG109" s="103"/>
      <c r="DH109" s="103"/>
      <c r="DI109" s="103"/>
      <c r="DJ109" s="103"/>
      <c r="DK109" s="103"/>
      <c r="DL109" s="103"/>
      <c r="DM109" s="103"/>
      <c r="DN109" s="103"/>
      <c r="DO109" s="103"/>
      <c r="DP109" s="103"/>
      <c r="DQ109" s="103"/>
      <c r="DR109" s="103"/>
      <c r="DS109" s="103"/>
      <c r="DT109" s="103"/>
      <c r="DU109" s="103"/>
      <c r="DV109" s="103"/>
      <c r="DW109" s="103"/>
      <c r="DX109" s="103"/>
      <c r="DY109" s="103"/>
      <c r="DZ109" s="103"/>
      <c r="EA109" s="103"/>
      <c r="EB109" s="103"/>
      <c r="EC109" s="103"/>
      <c r="ED109" s="103"/>
      <c r="EE109" s="103"/>
      <c r="EF109" s="103"/>
      <c r="EG109" s="103"/>
      <c r="EH109" s="103"/>
      <c r="EI109" s="103"/>
      <c r="EJ109" s="103"/>
      <c r="EK109" s="103"/>
      <c r="EL109" s="103"/>
      <c r="EM109" s="103"/>
      <c r="EN109" s="103"/>
    </row>
    <row r="110" spans="1:144">
      <c r="A110" s="103" t="s">
        <v>2237</v>
      </c>
      <c r="B110" s="113">
        <v>534</v>
      </c>
      <c r="C110" s="113">
        <v>854</v>
      </c>
      <c r="D110" s="113">
        <v>1205</v>
      </c>
      <c r="E110" s="113">
        <v>1384</v>
      </c>
      <c r="F110" s="113">
        <v>1895</v>
      </c>
      <c r="G110" s="113">
        <v>2657</v>
      </c>
      <c r="H110" s="113">
        <v>2411</v>
      </c>
      <c r="I110" s="113">
        <v>2828</v>
      </c>
      <c r="J110" s="113">
        <v>3238</v>
      </c>
      <c r="K110" s="113">
        <v>4126</v>
      </c>
      <c r="L110" s="113">
        <v>4885</v>
      </c>
      <c r="M110" s="113">
        <v>6252</v>
      </c>
      <c r="N110" s="113">
        <v>7562</v>
      </c>
      <c r="O110" s="113">
        <v>8195</v>
      </c>
      <c r="P110" s="113">
        <v>8563</v>
      </c>
      <c r="Q110" s="113">
        <v>9818</v>
      </c>
      <c r="R110" s="113">
        <v>11541</v>
      </c>
      <c r="S110" s="113">
        <v>13260</v>
      </c>
      <c r="T110" s="113">
        <v>12879</v>
      </c>
      <c r="U110" s="113">
        <v>13214</v>
      </c>
      <c r="V110" s="113">
        <v>13940</v>
      </c>
      <c r="W110" s="113">
        <v>13857</v>
      </c>
      <c r="X110" s="113">
        <v>15276</v>
      </c>
      <c r="Y110" s="113">
        <v>15811</v>
      </c>
      <c r="Z110" s="113">
        <v>15713</v>
      </c>
      <c r="AA110" s="113">
        <v>14635</v>
      </c>
      <c r="AB110" s="113">
        <v>15461</v>
      </c>
      <c r="AC110" s="113">
        <v>17469</v>
      </c>
      <c r="AD110" s="113">
        <v>18213</v>
      </c>
      <c r="AE110" s="113">
        <v>19143</v>
      </c>
      <c r="AG110" s="103" t="s">
        <v>2237</v>
      </c>
      <c r="AH110" s="113">
        <v>289.5</v>
      </c>
      <c r="AI110" s="113">
        <v>315</v>
      </c>
      <c r="AJ110" s="113">
        <v>313</v>
      </c>
      <c r="AK110" s="113">
        <v>313</v>
      </c>
      <c r="AL110" s="113">
        <v>312</v>
      </c>
      <c r="AM110" s="113">
        <v>337</v>
      </c>
      <c r="AN110" s="113">
        <v>359</v>
      </c>
      <c r="AO110" s="113">
        <v>376</v>
      </c>
      <c r="AP110" s="113">
        <v>395</v>
      </c>
      <c r="AQ110" s="113">
        <v>479</v>
      </c>
      <c r="AR110" s="113">
        <v>516</v>
      </c>
      <c r="AS110" s="113">
        <v>505</v>
      </c>
      <c r="AT110" s="113">
        <v>621</v>
      </c>
      <c r="AU110" s="113">
        <v>690</v>
      </c>
      <c r="AV110" s="113">
        <v>685</v>
      </c>
      <c r="AW110" s="113">
        <v>661</v>
      </c>
      <c r="AX110" s="113">
        <v>625</v>
      </c>
      <c r="AY110" s="113">
        <v>737</v>
      </c>
      <c r="AZ110" s="113">
        <v>750</v>
      </c>
      <c r="BA110" s="113">
        <v>744</v>
      </c>
      <c r="BB110" s="113">
        <v>788</v>
      </c>
      <c r="BC110" s="113">
        <v>876</v>
      </c>
      <c r="BD110" s="113">
        <v>829</v>
      </c>
      <c r="BE110" s="113">
        <v>335</v>
      </c>
      <c r="BF110" s="113">
        <v>688</v>
      </c>
      <c r="BG110" s="113">
        <v>794</v>
      </c>
      <c r="BH110" s="113">
        <v>849</v>
      </c>
      <c r="BI110" s="113">
        <v>900</v>
      </c>
      <c r="BJ110" s="113">
        <v>922</v>
      </c>
      <c r="BK110" s="113">
        <v>1013</v>
      </c>
      <c r="BL110" s="113">
        <v>1010</v>
      </c>
      <c r="BM110" s="113">
        <v>1181</v>
      </c>
      <c r="BN110" s="113">
        <v>1038</v>
      </c>
      <c r="BO110" s="113">
        <v>1290</v>
      </c>
      <c r="BP110" s="113">
        <v>1198</v>
      </c>
      <c r="BQ110" s="113">
        <v>1359</v>
      </c>
      <c r="BR110" s="113">
        <v>1145</v>
      </c>
      <c r="BS110" s="113">
        <v>1479</v>
      </c>
      <c r="BT110" s="113">
        <v>1240</v>
      </c>
      <c r="BU110" s="113">
        <v>1543</v>
      </c>
      <c r="BV110" s="113">
        <v>1415</v>
      </c>
      <c r="BW110" s="113">
        <v>2159</v>
      </c>
      <c r="BX110" s="113">
        <v>1700</v>
      </c>
      <c r="BY110" s="113">
        <v>2288</v>
      </c>
      <c r="BZ110" s="113">
        <v>1505</v>
      </c>
      <c r="CA110" s="113">
        <v>2467</v>
      </c>
      <c r="CB110" s="113">
        <v>1928</v>
      </c>
      <c r="CC110" s="113">
        <v>2409</v>
      </c>
      <c r="CD110" s="113">
        <v>1664</v>
      </c>
      <c r="CE110" s="113">
        <v>2122</v>
      </c>
      <c r="CF110" s="113">
        <v>2070</v>
      </c>
      <c r="CG110" s="113">
        <v>2707</v>
      </c>
      <c r="CH110" s="113">
        <v>1945</v>
      </c>
      <c r="CI110" s="113">
        <v>2689</v>
      </c>
      <c r="CJ110" s="113">
        <v>2362</v>
      </c>
      <c r="CK110" s="113">
        <v>2822</v>
      </c>
      <c r="CL110" s="113">
        <v>2191</v>
      </c>
      <c r="CM110" s="113">
        <v>2999</v>
      </c>
      <c r="CN110" s="113">
        <v>2936</v>
      </c>
      <c r="CO110" s="113">
        <v>3329</v>
      </c>
      <c r="CP110" s="113">
        <v>2683</v>
      </c>
      <c r="CQ110" s="113">
        <v>3420</v>
      </c>
      <c r="CR110" s="113">
        <v>3274</v>
      </c>
      <c r="CS110" s="113">
        <v>3883</v>
      </c>
      <c r="CT110" s="113">
        <v>3044</v>
      </c>
      <c r="CU110" s="113">
        <v>3662</v>
      </c>
      <c r="CV110" s="113">
        <v>2981</v>
      </c>
      <c r="CW110" s="113">
        <v>3192</v>
      </c>
      <c r="CX110" s="113">
        <v>2790</v>
      </c>
      <c r="CY110" s="113">
        <v>3619</v>
      </c>
      <c r="CZ110" s="113">
        <v>3203</v>
      </c>
      <c r="DA110" s="113">
        <v>3602</v>
      </c>
      <c r="DB110" s="113">
        <v>2806</v>
      </c>
      <c r="DC110" s="113">
        <v>3825</v>
      </c>
      <c r="DD110" s="113">
        <v>3393</v>
      </c>
      <c r="DE110" s="113">
        <v>3916</v>
      </c>
      <c r="DF110" s="113">
        <v>2900</v>
      </c>
      <c r="DG110" s="113">
        <v>3762</v>
      </c>
      <c r="DH110" s="113">
        <v>3414</v>
      </c>
      <c r="DI110" s="113">
        <v>3781</v>
      </c>
      <c r="DJ110" s="113">
        <v>2945</v>
      </c>
      <c r="DK110" s="113">
        <v>4309</v>
      </c>
      <c r="DL110" s="113">
        <v>3794</v>
      </c>
      <c r="DM110" s="113">
        <v>4228</v>
      </c>
      <c r="DN110" s="113">
        <v>3304</v>
      </c>
      <c r="DO110" s="113">
        <v>4283</v>
      </c>
      <c r="DP110" s="113">
        <v>3542</v>
      </c>
      <c r="DQ110" s="113">
        <v>4682</v>
      </c>
      <c r="DR110" s="113">
        <v>3728</v>
      </c>
      <c r="DS110" s="113">
        <v>4315</v>
      </c>
      <c r="DT110" s="113">
        <v>3709</v>
      </c>
      <c r="DU110" s="113">
        <v>3961</v>
      </c>
      <c r="DV110" s="113">
        <v>3333</v>
      </c>
      <c r="DW110" s="113">
        <v>3960</v>
      </c>
      <c r="DX110" s="113">
        <v>3406</v>
      </c>
      <c r="DY110" s="113">
        <v>3998</v>
      </c>
      <c r="DZ110" s="113">
        <v>3218</v>
      </c>
      <c r="EA110" s="113">
        <v>4079</v>
      </c>
      <c r="EB110" s="113">
        <v>3872</v>
      </c>
      <c r="EC110" s="113">
        <v>3451</v>
      </c>
      <c r="ED110" s="113">
        <v>3812</v>
      </c>
      <c r="EE110" s="113">
        <v>4562</v>
      </c>
      <c r="EF110" s="113">
        <v>4335</v>
      </c>
      <c r="EG110" s="113">
        <v>4760</v>
      </c>
      <c r="EH110" s="113">
        <v>4098</v>
      </c>
      <c r="EI110" s="113">
        <v>4588</v>
      </c>
      <c r="EJ110" s="113">
        <v>4565</v>
      </c>
      <c r="EK110" s="113">
        <v>4962</v>
      </c>
      <c r="EL110" s="113">
        <v>4337</v>
      </c>
      <c r="EM110" s="113">
        <v>4933</v>
      </c>
      <c r="EN110" s="113">
        <v>4911</v>
      </c>
    </row>
    <row r="111" spans="1:144">
      <c r="A111" s="103" t="s">
        <v>2238</v>
      </c>
      <c r="B111" s="113">
        <v>62</v>
      </c>
      <c r="C111" s="113">
        <v>90</v>
      </c>
      <c r="D111" s="113">
        <v>119</v>
      </c>
      <c r="E111" s="113">
        <v>166</v>
      </c>
      <c r="F111" s="113">
        <v>267</v>
      </c>
      <c r="G111" s="113">
        <v>316</v>
      </c>
      <c r="H111" s="113">
        <v>362</v>
      </c>
      <c r="I111" s="113">
        <v>433</v>
      </c>
      <c r="J111" s="113">
        <v>715</v>
      </c>
      <c r="K111" s="113">
        <v>1050</v>
      </c>
      <c r="L111" s="113">
        <v>576</v>
      </c>
      <c r="M111" s="113">
        <v>1525</v>
      </c>
      <c r="N111" s="113">
        <v>1386</v>
      </c>
      <c r="O111" s="113">
        <v>2114</v>
      </c>
      <c r="P111" s="113">
        <v>1927</v>
      </c>
      <c r="Q111" s="113">
        <v>2187</v>
      </c>
      <c r="R111" s="113">
        <v>2493</v>
      </c>
      <c r="S111" s="113">
        <v>2929</v>
      </c>
      <c r="T111" s="113">
        <v>3225</v>
      </c>
      <c r="U111" s="113">
        <v>3533</v>
      </c>
      <c r="V111" s="113">
        <v>3697</v>
      </c>
      <c r="W111" s="113">
        <v>3930</v>
      </c>
      <c r="X111" s="113">
        <v>3569</v>
      </c>
      <c r="Y111" s="113">
        <v>3803</v>
      </c>
      <c r="Z111" s="113">
        <v>4611</v>
      </c>
      <c r="AA111" s="113">
        <v>4563</v>
      </c>
      <c r="AB111" s="113">
        <v>4481</v>
      </c>
      <c r="AC111" s="113">
        <v>4754</v>
      </c>
      <c r="AD111" s="113">
        <v>4885</v>
      </c>
      <c r="AE111" s="113">
        <v>4880</v>
      </c>
      <c r="AG111" s="103" t="s">
        <v>2238</v>
      </c>
      <c r="AH111" s="113">
        <v>27</v>
      </c>
      <c r="AI111" s="113">
        <v>29</v>
      </c>
      <c r="AJ111" s="113">
        <v>30</v>
      </c>
      <c r="AK111" s="113">
        <v>35</v>
      </c>
      <c r="AL111" s="113">
        <v>35</v>
      </c>
      <c r="AM111" s="113">
        <v>42</v>
      </c>
      <c r="AN111" s="113">
        <v>41</v>
      </c>
      <c r="AO111" s="113">
        <v>48</v>
      </c>
      <c r="AP111" s="113">
        <v>51</v>
      </c>
      <c r="AQ111" s="113">
        <v>62</v>
      </c>
      <c r="AR111" s="113">
        <v>68</v>
      </c>
      <c r="AS111" s="113">
        <v>86</v>
      </c>
      <c r="AT111" s="113">
        <v>63</v>
      </c>
      <c r="AU111" s="113">
        <v>76</v>
      </c>
      <c r="AV111" s="113">
        <v>87</v>
      </c>
      <c r="AW111" s="113">
        <v>90</v>
      </c>
      <c r="AX111" s="113">
        <v>86</v>
      </c>
      <c r="AY111" s="113">
        <v>81</v>
      </c>
      <c r="AZ111" s="113">
        <v>101</v>
      </c>
      <c r="BA111" s="113">
        <v>94</v>
      </c>
      <c r="BB111" s="113">
        <v>95</v>
      </c>
      <c r="BC111" s="113">
        <v>106</v>
      </c>
      <c r="BD111" s="113">
        <v>104</v>
      </c>
      <c r="BE111" s="113">
        <v>128</v>
      </c>
      <c r="BF111" s="113">
        <v>99</v>
      </c>
      <c r="BG111" s="113">
        <v>149</v>
      </c>
      <c r="BH111" s="113">
        <v>144</v>
      </c>
      <c r="BI111" s="113">
        <v>297</v>
      </c>
      <c r="BJ111" s="113">
        <v>148</v>
      </c>
      <c r="BK111" s="113">
        <v>514</v>
      </c>
      <c r="BL111" s="113">
        <v>185</v>
      </c>
      <c r="BM111" s="113">
        <v>203</v>
      </c>
      <c r="BN111" s="113">
        <v>170</v>
      </c>
      <c r="BO111" s="113">
        <v>212</v>
      </c>
      <c r="BP111" s="113">
        <v>239</v>
      </c>
      <c r="BQ111" s="113">
        <v>236</v>
      </c>
      <c r="BR111" s="113">
        <v>187</v>
      </c>
      <c r="BS111" s="113">
        <v>173</v>
      </c>
      <c r="BT111" s="113">
        <v>246</v>
      </c>
      <c r="BU111" s="113">
        <v>-34</v>
      </c>
      <c r="BV111" s="113">
        <v>252</v>
      </c>
      <c r="BW111" s="113">
        <v>287</v>
      </c>
      <c r="BX111" s="113">
        <v>425</v>
      </c>
      <c r="BY111" s="113">
        <v>-44</v>
      </c>
      <c r="BZ111" s="113">
        <v>471</v>
      </c>
      <c r="CA111" s="113">
        <v>896</v>
      </c>
      <c r="CB111" s="113">
        <v>495</v>
      </c>
      <c r="CC111" s="113">
        <v>279</v>
      </c>
      <c r="CD111" s="113">
        <v>560</v>
      </c>
      <c r="CE111" s="113">
        <v>651</v>
      </c>
      <c r="CF111" s="113">
        <v>-9</v>
      </c>
      <c r="CG111" s="113">
        <v>879</v>
      </c>
      <c r="CH111" s="113">
        <v>533</v>
      </c>
      <c r="CI111" s="113">
        <v>595</v>
      </c>
      <c r="CJ111" s="113">
        <v>608</v>
      </c>
      <c r="CK111" s="113">
        <v>427</v>
      </c>
      <c r="CL111" s="113">
        <v>577</v>
      </c>
      <c r="CM111" s="113">
        <v>703</v>
      </c>
      <c r="CN111" s="113">
        <v>687</v>
      </c>
      <c r="CO111" s="113">
        <v>526</v>
      </c>
      <c r="CP111" s="113">
        <v>718</v>
      </c>
      <c r="CQ111" s="113">
        <v>1066</v>
      </c>
      <c r="CR111" s="113">
        <v>841</v>
      </c>
      <c r="CS111" s="113">
        <v>604</v>
      </c>
      <c r="CT111" s="113">
        <v>887</v>
      </c>
      <c r="CU111" s="113">
        <v>831</v>
      </c>
      <c r="CV111" s="113">
        <v>856</v>
      </c>
      <c r="CW111" s="113">
        <v>401</v>
      </c>
      <c r="CX111" s="113">
        <v>741</v>
      </c>
      <c r="CY111" s="113">
        <v>1183</v>
      </c>
      <c r="CZ111" s="113">
        <v>1152</v>
      </c>
      <c r="DA111" s="113">
        <v>398</v>
      </c>
      <c r="DB111" s="113">
        <v>938</v>
      </c>
      <c r="DC111" s="113">
        <v>945</v>
      </c>
      <c r="DD111" s="113">
        <v>1160</v>
      </c>
      <c r="DE111" s="113">
        <v>654</v>
      </c>
      <c r="DF111" s="113">
        <v>1163</v>
      </c>
      <c r="DG111" s="113">
        <v>1120</v>
      </c>
      <c r="DH111" s="113">
        <v>1150</v>
      </c>
      <c r="DI111" s="113">
        <v>497</v>
      </c>
      <c r="DJ111" s="113">
        <v>1127</v>
      </c>
      <c r="DK111" s="113">
        <v>1156</v>
      </c>
      <c r="DL111" s="113">
        <v>923</v>
      </c>
      <c r="DM111" s="113">
        <v>499</v>
      </c>
      <c r="DN111" s="113">
        <v>979</v>
      </c>
      <c r="DO111" s="113">
        <v>1197</v>
      </c>
      <c r="DP111" s="113">
        <v>1166</v>
      </c>
      <c r="DQ111" s="113">
        <v>461</v>
      </c>
      <c r="DR111" s="113">
        <v>1151</v>
      </c>
      <c r="DS111" s="113">
        <v>1097</v>
      </c>
      <c r="DT111" s="113">
        <v>1091</v>
      </c>
      <c r="DU111" s="113">
        <v>283</v>
      </c>
      <c r="DV111" s="113">
        <v>1084</v>
      </c>
      <c r="DW111" s="113">
        <v>1038</v>
      </c>
      <c r="DX111" s="113">
        <v>1140</v>
      </c>
      <c r="DY111" s="113">
        <v>1301</v>
      </c>
      <c r="DZ111" s="113">
        <v>1045</v>
      </c>
      <c r="EA111" s="113">
        <v>879</v>
      </c>
      <c r="EB111" s="113">
        <v>1202</v>
      </c>
      <c r="EC111" s="113">
        <v>1061</v>
      </c>
      <c r="ED111" s="113">
        <v>1166</v>
      </c>
      <c r="EE111" s="113">
        <v>1109</v>
      </c>
      <c r="EF111" s="113">
        <v>1208</v>
      </c>
      <c r="EG111" s="113">
        <v>1271</v>
      </c>
      <c r="EH111" s="113">
        <v>1149</v>
      </c>
      <c r="EI111" s="113">
        <v>1132</v>
      </c>
      <c r="EJ111" s="113">
        <v>1179</v>
      </c>
      <c r="EK111" s="113">
        <v>1425</v>
      </c>
      <c r="EL111" s="113">
        <v>1061</v>
      </c>
      <c r="EM111" s="113">
        <v>1121</v>
      </c>
      <c r="EN111" s="113">
        <v>1273</v>
      </c>
    </row>
    <row r="112" spans="1:144">
      <c r="A112" s="103" t="s">
        <v>2239</v>
      </c>
      <c r="B112" s="113">
        <v>235</v>
      </c>
      <c r="C112" s="113">
        <v>352</v>
      </c>
      <c r="D112" s="113">
        <v>470</v>
      </c>
      <c r="E112" s="113">
        <v>610</v>
      </c>
      <c r="F112" s="113">
        <v>860</v>
      </c>
      <c r="G112" s="113">
        <v>1432</v>
      </c>
      <c r="H112" s="113">
        <v>1863</v>
      </c>
      <c r="I112" s="113">
        <v>2601</v>
      </c>
      <c r="J112" s="113">
        <v>2970</v>
      </c>
      <c r="K112" s="113">
        <v>3772</v>
      </c>
      <c r="L112" s="113">
        <v>4379</v>
      </c>
      <c r="M112" s="113">
        <v>6299</v>
      </c>
      <c r="N112" s="113">
        <v>6595</v>
      </c>
      <c r="O112" s="113">
        <v>7735</v>
      </c>
      <c r="P112" s="113">
        <v>6097</v>
      </c>
      <c r="Q112" s="113">
        <v>6584</v>
      </c>
      <c r="R112" s="113">
        <v>7121</v>
      </c>
      <c r="S112" s="113">
        <v>8164</v>
      </c>
      <c r="T112" s="113">
        <v>9010</v>
      </c>
      <c r="U112" s="113">
        <v>8714</v>
      </c>
      <c r="V112" s="113">
        <v>9043</v>
      </c>
      <c r="W112" s="113">
        <v>9811</v>
      </c>
      <c r="X112" s="113">
        <v>10411</v>
      </c>
      <c r="Y112" s="113">
        <v>11381</v>
      </c>
      <c r="Z112" s="113">
        <v>12046</v>
      </c>
      <c r="AA112" s="113">
        <v>11988</v>
      </c>
      <c r="AB112" s="113">
        <v>13037</v>
      </c>
      <c r="AC112" s="113">
        <v>14726</v>
      </c>
      <c r="AD112" s="113">
        <v>16876</v>
      </c>
      <c r="AE112" s="113">
        <v>18568</v>
      </c>
      <c r="AG112" s="103" t="s">
        <v>2239</v>
      </c>
      <c r="AH112" s="113">
        <v>108</v>
      </c>
      <c r="AI112" s="113">
        <v>111</v>
      </c>
      <c r="AJ112" s="113">
        <v>116</v>
      </c>
      <c r="AK112" s="113">
        <v>138</v>
      </c>
      <c r="AL112" s="113">
        <v>134</v>
      </c>
      <c r="AM112" s="113">
        <v>150</v>
      </c>
      <c r="AN112" s="113">
        <v>156</v>
      </c>
      <c r="AO112" s="113">
        <v>170</v>
      </c>
      <c r="AP112" s="113">
        <v>178</v>
      </c>
      <c r="AQ112" s="113">
        <v>199</v>
      </c>
      <c r="AR112" s="113">
        <v>219</v>
      </c>
      <c r="AS112" s="113">
        <v>264</v>
      </c>
      <c r="AT112" s="113">
        <v>302</v>
      </c>
      <c r="AU112" s="113">
        <v>313</v>
      </c>
      <c r="AV112" s="113">
        <v>364</v>
      </c>
      <c r="AW112" s="113">
        <v>453</v>
      </c>
      <c r="AX112" s="113">
        <v>432</v>
      </c>
      <c r="AY112" s="113">
        <v>485</v>
      </c>
      <c r="AZ112" s="113">
        <v>492</v>
      </c>
      <c r="BA112" s="113">
        <v>516</v>
      </c>
      <c r="BB112" s="113">
        <v>567</v>
      </c>
      <c r="BC112" s="113">
        <v>627</v>
      </c>
      <c r="BD112" s="113">
        <v>597</v>
      </c>
      <c r="BE112" s="113">
        <v>810</v>
      </c>
      <c r="BF112" s="113">
        <v>651</v>
      </c>
      <c r="BG112" s="113">
        <v>715</v>
      </c>
      <c r="BH112" s="113">
        <v>664</v>
      </c>
      <c r="BI112" s="113">
        <v>940</v>
      </c>
      <c r="BJ112" s="113">
        <v>813</v>
      </c>
      <c r="BK112" s="113">
        <v>898</v>
      </c>
      <c r="BL112" s="113">
        <v>974</v>
      </c>
      <c r="BM112" s="113">
        <v>1087</v>
      </c>
      <c r="BN112" s="113">
        <v>956</v>
      </c>
      <c r="BO112" s="113">
        <v>990</v>
      </c>
      <c r="BP112" s="113">
        <v>1069</v>
      </c>
      <c r="BQ112" s="113">
        <v>1364</v>
      </c>
      <c r="BR112" s="113">
        <v>1013</v>
      </c>
      <c r="BS112" s="113">
        <v>1044</v>
      </c>
      <c r="BT112" s="113">
        <v>1066</v>
      </c>
      <c r="BU112" s="113">
        <v>1184</v>
      </c>
      <c r="BV112" s="113">
        <v>1707</v>
      </c>
      <c r="BW112" s="113">
        <v>1515</v>
      </c>
      <c r="BX112" s="113">
        <v>1692</v>
      </c>
      <c r="BY112" s="113">
        <v>1681</v>
      </c>
      <c r="BZ112" s="113">
        <v>1611</v>
      </c>
      <c r="CA112" s="113">
        <v>2971</v>
      </c>
      <c r="CB112" s="113">
        <v>1538</v>
      </c>
      <c r="CC112" s="113">
        <v>1659</v>
      </c>
      <c r="CD112" s="113">
        <v>1530</v>
      </c>
      <c r="CE112" s="113">
        <v>1421</v>
      </c>
      <c r="CF112" s="113">
        <v>1482</v>
      </c>
      <c r="CG112" s="113">
        <v>1664</v>
      </c>
      <c r="CH112" s="113">
        <v>1515</v>
      </c>
      <c r="CI112" s="113">
        <v>1591</v>
      </c>
      <c r="CJ112" s="113">
        <v>1617</v>
      </c>
      <c r="CK112" s="113">
        <v>1861</v>
      </c>
      <c r="CL112" s="113">
        <v>1786</v>
      </c>
      <c r="CM112" s="113">
        <v>1637</v>
      </c>
      <c r="CN112" s="113">
        <v>1750</v>
      </c>
      <c r="CO112" s="113">
        <v>1948</v>
      </c>
      <c r="CP112" s="113">
        <v>1837</v>
      </c>
      <c r="CQ112" s="113">
        <v>1885</v>
      </c>
      <c r="CR112" s="113">
        <v>2035</v>
      </c>
      <c r="CS112" s="113">
        <v>2348</v>
      </c>
      <c r="CT112" s="113">
        <v>2283</v>
      </c>
      <c r="CU112" s="113">
        <v>2290</v>
      </c>
      <c r="CV112" s="113">
        <v>2212</v>
      </c>
      <c r="CW112" s="113">
        <v>2225</v>
      </c>
      <c r="CX112" s="113">
        <v>2065</v>
      </c>
      <c r="CY112" s="113">
        <v>2079</v>
      </c>
      <c r="CZ112" s="113">
        <v>2220</v>
      </c>
      <c r="DA112" s="113">
        <v>2350</v>
      </c>
      <c r="DB112" s="113">
        <v>2196</v>
      </c>
      <c r="DC112" s="113">
        <v>2185</v>
      </c>
      <c r="DD112" s="113">
        <v>2269</v>
      </c>
      <c r="DE112" s="113">
        <v>2393</v>
      </c>
      <c r="DF112" s="113">
        <v>2358</v>
      </c>
      <c r="DG112" s="113">
        <v>2371</v>
      </c>
      <c r="DH112" s="113">
        <v>2517</v>
      </c>
      <c r="DI112" s="113">
        <v>2594</v>
      </c>
      <c r="DJ112" s="113">
        <v>2460</v>
      </c>
      <c r="DK112" s="113">
        <v>2528</v>
      </c>
      <c r="DL112" s="113">
        <v>2640</v>
      </c>
      <c r="DM112" s="113">
        <v>2783</v>
      </c>
      <c r="DN112" s="113">
        <v>2767</v>
      </c>
      <c r="DO112" s="113">
        <v>2748</v>
      </c>
      <c r="DP112" s="113">
        <v>2743</v>
      </c>
      <c r="DQ112" s="113">
        <v>3123</v>
      </c>
      <c r="DR112" s="113">
        <v>3065</v>
      </c>
      <c r="DS112" s="113">
        <v>2903</v>
      </c>
      <c r="DT112" s="113">
        <v>2984</v>
      </c>
      <c r="DU112" s="113">
        <v>3094</v>
      </c>
      <c r="DV112" s="113">
        <v>2962</v>
      </c>
      <c r="DW112" s="113">
        <v>2900</v>
      </c>
      <c r="DX112" s="113">
        <v>2980</v>
      </c>
      <c r="DY112" s="113">
        <v>3146</v>
      </c>
      <c r="DZ112" s="113">
        <v>3106</v>
      </c>
      <c r="EA112" s="113">
        <v>3062</v>
      </c>
      <c r="EB112" s="113">
        <v>3355</v>
      </c>
      <c r="EC112" s="113">
        <v>3514</v>
      </c>
      <c r="ED112" s="113">
        <v>3574</v>
      </c>
      <c r="EE112" s="113">
        <v>3504</v>
      </c>
      <c r="EF112" s="113">
        <v>3715</v>
      </c>
      <c r="EG112" s="113">
        <v>3933</v>
      </c>
      <c r="EH112" s="113">
        <v>3977</v>
      </c>
      <c r="EI112" s="113">
        <v>4070</v>
      </c>
      <c r="EJ112" s="113">
        <v>4316</v>
      </c>
      <c r="EK112" s="113">
        <v>4513</v>
      </c>
      <c r="EL112" s="113">
        <v>4565</v>
      </c>
      <c r="EM112" s="113">
        <v>4603</v>
      </c>
      <c r="EN112" s="113">
        <v>4887</v>
      </c>
    </row>
    <row r="113" spans="1:255">
      <c r="A113" s="103" t="s">
        <v>2240</v>
      </c>
      <c r="B113" s="113">
        <v>28</v>
      </c>
      <c r="C113" s="113">
        <v>44</v>
      </c>
      <c r="D113" s="113">
        <v>54</v>
      </c>
      <c r="E113" s="113">
        <v>68</v>
      </c>
      <c r="F113" s="113">
        <v>86</v>
      </c>
      <c r="G113" s="113">
        <v>92</v>
      </c>
      <c r="H113" s="113">
        <v>92</v>
      </c>
      <c r="I113" s="113">
        <v>95</v>
      </c>
      <c r="J113" s="113">
        <v>135</v>
      </c>
      <c r="K113" s="113">
        <v>201</v>
      </c>
      <c r="L113" s="113">
        <v>281</v>
      </c>
      <c r="M113" s="113">
        <v>318</v>
      </c>
      <c r="N113" s="113">
        <v>290</v>
      </c>
      <c r="O113" s="113">
        <v>331</v>
      </c>
      <c r="P113" s="113">
        <v>299</v>
      </c>
      <c r="Q113" s="113">
        <v>271</v>
      </c>
      <c r="R113" s="113">
        <v>325</v>
      </c>
      <c r="S113" s="113">
        <v>398</v>
      </c>
      <c r="T113" s="113">
        <v>475</v>
      </c>
      <c r="U113" s="113">
        <v>530</v>
      </c>
      <c r="V113" s="113">
        <v>525</v>
      </c>
      <c r="W113" s="113">
        <v>639</v>
      </c>
      <c r="X113" s="113">
        <v>711</v>
      </c>
      <c r="Y113" s="113">
        <v>874</v>
      </c>
      <c r="Z113" s="113">
        <v>989</v>
      </c>
      <c r="AA113" s="113">
        <v>936</v>
      </c>
      <c r="AB113" s="113">
        <v>1412</v>
      </c>
      <c r="AC113" s="113">
        <v>1585</v>
      </c>
      <c r="AD113" s="113">
        <v>1707</v>
      </c>
      <c r="AE113" s="113" t="s">
        <v>273</v>
      </c>
      <c r="AG113" s="103" t="s">
        <v>2240</v>
      </c>
      <c r="AH113" s="113" t="s">
        <v>273</v>
      </c>
      <c r="AI113" s="113" t="s">
        <v>273</v>
      </c>
      <c r="AJ113" s="113" t="s">
        <v>273</v>
      </c>
      <c r="AK113" s="113" t="s">
        <v>273</v>
      </c>
      <c r="AL113" s="113" t="s">
        <v>273</v>
      </c>
      <c r="AM113" s="113" t="s">
        <v>273</v>
      </c>
      <c r="AN113" s="113" t="s">
        <v>273</v>
      </c>
      <c r="AO113" s="113" t="s">
        <v>273</v>
      </c>
      <c r="AP113" s="113" t="s">
        <v>273</v>
      </c>
      <c r="AQ113" s="113" t="s">
        <v>273</v>
      </c>
      <c r="AR113" s="113" t="s">
        <v>273</v>
      </c>
      <c r="AS113" s="113" t="s">
        <v>273</v>
      </c>
      <c r="AT113" s="113" t="s">
        <v>273</v>
      </c>
      <c r="AU113" s="113" t="s">
        <v>273</v>
      </c>
      <c r="AV113" s="113" t="s">
        <v>273</v>
      </c>
      <c r="AW113" s="113" t="s">
        <v>273</v>
      </c>
      <c r="AX113" s="113" t="s">
        <v>273</v>
      </c>
      <c r="AY113" s="113" t="s">
        <v>273</v>
      </c>
      <c r="AZ113" s="113" t="s">
        <v>273</v>
      </c>
      <c r="BA113" s="113" t="s">
        <v>273</v>
      </c>
      <c r="BB113" s="113" t="s">
        <v>273</v>
      </c>
      <c r="BC113" s="113" t="s">
        <v>273</v>
      </c>
      <c r="BD113" s="113" t="s">
        <v>273</v>
      </c>
      <c r="BE113" s="113" t="s">
        <v>273</v>
      </c>
      <c r="BF113" s="113" t="s">
        <v>273</v>
      </c>
      <c r="BG113" s="113" t="s">
        <v>273</v>
      </c>
      <c r="BH113" s="113" t="s">
        <v>273</v>
      </c>
      <c r="BI113" s="113" t="s">
        <v>273</v>
      </c>
      <c r="BJ113" s="113" t="s">
        <v>273</v>
      </c>
      <c r="BK113" s="113" t="s">
        <v>273</v>
      </c>
      <c r="BL113" s="113" t="s">
        <v>273</v>
      </c>
      <c r="BM113" s="113" t="s">
        <v>273</v>
      </c>
      <c r="BN113" s="113" t="s">
        <v>273</v>
      </c>
      <c r="BO113" s="113" t="s">
        <v>273</v>
      </c>
      <c r="BP113" s="113" t="s">
        <v>273</v>
      </c>
      <c r="BQ113" s="113" t="s">
        <v>273</v>
      </c>
      <c r="BR113" s="113" t="s">
        <v>273</v>
      </c>
      <c r="BS113" s="113" t="s">
        <v>273</v>
      </c>
      <c r="BT113" s="113" t="s">
        <v>273</v>
      </c>
      <c r="BU113" s="113" t="s">
        <v>273</v>
      </c>
      <c r="BV113" s="113" t="s">
        <v>273</v>
      </c>
      <c r="BW113" s="113" t="s">
        <v>273</v>
      </c>
      <c r="BX113" s="113" t="s">
        <v>273</v>
      </c>
      <c r="BY113" s="113" t="s">
        <v>273</v>
      </c>
      <c r="BZ113" s="113" t="s">
        <v>273</v>
      </c>
      <c r="CA113" s="113" t="s">
        <v>273</v>
      </c>
      <c r="CB113" s="113" t="s">
        <v>273</v>
      </c>
      <c r="CC113" s="113" t="s">
        <v>273</v>
      </c>
      <c r="CD113" s="113" t="s">
        <v>273</v>
      </c>
      <c r="CE113" s="113" t="s">
        <v>273</v>
      </c>
      <c r="CF113" s="113" t="s">
        <v>273</v>
      </c>
      <c r="CG113" s="113" t="s">
        <v>273</v>
      </c>
      <c r="CH113" s="113" t="s">
        <v>273</v>
      </c>
      <c r="CI113" s="113" t="s">
        <v>273</v>
      </c>
      <c r="CJ113" s="113" t="s">
        <v>273</v>
      </c>
      <c r="CK113" s="113" t="s">
        <v>273</v>
      </c>
      <c r="CL113" s="113" t="s">
        <v>273</v>
      </c>
      <c r="CM113" s="113" t="s">
        <v>273</v>
      </c>
      <c r="CN113" s="113" t="s">
        <v>273</v>
      </c>
      <c r="CO113" s="113" t="s">
        <v>273</v>
      </c>
      <c r="CP113" s="113" t="s">
        <v>273</v>
      </c>
      <c r="CQ113" s="113" t="s">
        <v>273</v>
      </c>
      <c r="CR113" s="113" t="s">
        <v>273</v>
      </c>
      <c r="CS113" s="113" t="s">
        <v>273</v>
      </c>
      <c r="CT113" s="113" t="s">
        <v>273</v>
      </c>
      <c r="CU113" s="113" t="s">
        <v>273</v>
      </c>
      <c r="CV113" s="113" t="s">
        <v>273</v>
      </c>
      <c r="CW113" s="113" t="s">
        <v>273</v>
      </c>
      <c r="CX113" s="113" t="s">
        <v>273</v>
      </c>
      <c r="CY113" s="113" t="s">
        <v>273</v>
      </c>
      <c r="CZ113" s="113" t="s">
        <v>273</v>
      </c>
      <c r="DA113" s="113" t="s">
        <v>273</v>
      </c>
      <c r="DB113" s="113" t="s">
        <v>273</v>
      </c>
      <c r="DC113" s="113" t="s">
        <v>273</v>
      </c>
      <c r="DD113" s="113" t="s">
        <v>273</v>
      </c>
      <c r="DE113" s="113" t="s">
        <v>273</v>
      </c>
      <c r="DF113" s="113" t="s">
        <v>273</v>
      </c>
      <c r="DG113" s="113" t="s">
        <v>273</v>
      </c>
      <c r="DH113" s="113" t="s">
        <v>273</v>
      </c>
      <c r="DI113" s="113" t="s">
        <v>273</v>
      </c>
      <c r="DJ113" s="113" t="s">
        <v>273</v>
      </c>
      <c r="DK113" s="113" t="s">
        <v>273</v>
      </c>
      <c r="DL113" s="113" t="s">
        <v>273</v>
      </c>
      <c r="DM113" s="113" t="s">
        <v>273</v>
      </c>
      <c r="DN113" s="113" t="s">
        <v>273</v>
      </c>
      <c r="DO113" s="113" t="s">
        <v>273</v>
      </c>
      <c r="DP113" s="113" t="s">
        <v>273</v>
      </c>
      <c r="DQ113" s="113" t="s">
        <v>273</v>
      </c>
      <c r="DR113" s="113" t="s">
        <v>273</v>
      </c>
      <c r="DS113" s="113" t="s">
        <v>273</v>
      </c>
      <c r="DT113" s="113" t="s">
        <v>273</v>
      </c>
      <c r="DU113" s="113" t="s">
        <v>273</v>
      </c>
      <c r="DV113" s="113" t="s">
        <v>273</v>
      </c>
      <c r="DW113" s="113" t="s">
        <v>273</v>
      </c>
      <c r="DX113" s="113" t="s">
        <v>273</v>
      </c>
      <c r="DY113" s="113" t="s">
        <v>273</v>
      </c>
      <c r="DZ113" s="113">
        <v>260</v>
      </c>
      <c r="EA113" s="113">
        <v>434</v>
      </c>
      <c r="EB113" s="113">
        <v>321</v>
      </c>
      <c r="EC113" s="113" t="s">
        <v>273</v>
      </c>
      <c r="ED113" s="113">
        <v>388</v>
      </c>
      <c r="EE113" s="113">
        <v>399</v>
      </c>
      <c r="EF113" s="113">
        <v>395</v>
      </c>
      <c r="EG113" s="113" t="s">
        <v>273</v>
      </c>
      <c r="EH113" s="113">
        <v>410</v>
      </c>
      <c r="EI113" s="113">
        <v>413</v>
      </c>
      <c r="EJ113" s="113">
        <v>431</v>
      </c>
      <c r="EK113" s="113" t="s">
        <v>273</v>
      </c>
      <c r="EL113" s="113">
        <v>465</v>
      </c>
      <c r="EM113" s="113">
        <v>478</v>
      </c>
      <c r="EN113" s="113">
        <v>522</v>
      </c>
    </row>
    <row r="114" spans="1:255">
      <c r="A114" s="103" t="s">
        <v>2241</v>
      </c>
      <c r="B114" s="113">
        <v>0</v>
      </c>
      <c r="C114" s="113">
        <v>0</v>
      </c>
      <c r="D114" s="113">
        <v>0</v>
      </c>
      <c r="E114" s="113">
        <v>0</v>
      </c>
      <c r="F114" s="113">
        <v>0</v>
      </c>
      <c r="G114" s="113">
        <v>0</v>
      </c>
      <c r="H114" s="113">
        <v>0</v>
      </c>
      <c r="I114" s="113">
        <v>0</v>
      </c>
      <c r="J114" s="113">
        <v>0</v>
      </c>
      <c r="K114" s="113">
        <v>0</v>
      </c>
      <c r="L114" s="113">
        <v>0</v>
      </c>
      <c r="M114" s="113">
        <v>0</v>
      </c>
      <c r="N114" s="113">
        <v>0</v>
      </c>
      <c r="O114" s="113">
        <v>0</v>
      </c>
      <c r="P114" s="113">
        <v>0</v>
      </c>
      <c r="Q114" s="113">
        <v>0</v>
      </c>
      <c r="R114" s="113">
        <v>0</v>
      </c>
      <c r="S114" s="113">
        <v>126.051376</v>
      </c>
      <c r="T114" s="113">
        <v>28.6938</v>
      </c>
      <c r="U114" s="113">
        <v>94.123760000000004</v>
      </c>
      <c r="V114" s="113">
        <v>128.4444</v>
      </c>
      <c r="W114" s="113">
        <v>149.924736</v>
      </c>
      <c r="X114" s="113">
        <v>167.90976000000001</v>
      </c>
      <c r="Y114" s="113">
        <v>211.38913600000001</v>
      </c>
      <c r="Z114" s="113">
        <v>217.69076799999999</v>
      </c>
      <c r="AA114" s="113">
        <v>216.66528</v>
      </c>
      <c r="AB114" s="113">
        <v>334.50844799999999</v>
      </c>
      <c r="AC114" s="113">
        <v>378.66284000000002</v>
      </c>
      <c r="AD114" s="113">
        <v>421.69727999999998</v>
      </c>
      <c r="AE114" s="113">
        <v>0</v>
      </c>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c r="CR114" s="103"/>
      <c r="CS114" s="103"/>
      <c r="CT114" s="103"/>
      <c r="CU114" s="103"/>
      <c r="CV114" s="103"/>
      <c r="CW114" s="103"/>
      <c r="CX114" s="103"/>
      <c r="CY114" s="103"/>
      <c r="CZ114" s="103"/>
      <c r="DA114" s="103"/>
      <c r="DB114" s="103"/>
      <c r="DC114" s="103"/>
      <c r="DD114" s="103"/>
      <c r="DE114" s="103"/>
      <c r="DF114" s="103"/>
      <c r="DG114" s="103"/>
      <c r="DH114" s="103"/>
      <c r="DI114" s="103"/>
      <c r="DJ114" s="103"/>
      <c r="DK114" s="103"/>
      <c r="DL114" s="103"/>
      <c r="DM114" s="103"/>
      <c r="DN114" s="103"/>
      <c r="DO114" s="103"/>
      <c r="DP114" s="103"/>
      <c r="DQ114" s="103"/>
      <c r="DR114" s="103"/>
      <c r="DS114" s="103"/>
      <c r="DT114" s="103"/>
      <c r="DU114" s="103"/>
      <c r="DV114" s="103"/>
      <c r="DW114" s="103"/>
      <c r="DX114" s="103"/>
      <c r="DY114" s="103"/>
      <c r="DZ114" s="103"/>
      <c r="EA114" s="103"/>
      <c r="EB114" s="103"/>
      <c r="EC114" s="103"/>
      <c r="ED114" s="103"/>
      <c r="EE114" s="103"/>
      <c r="EF114" s="103"/>
      <c r="EG114" s="103"/>
      <c r="EH114" s="103"/>
      <c r="EI114" s="103"/>
      <c r="EJ114" s="103"/>
      <c r="EK114" s="103"/>
      <c r="EL114" s="103"/>
      <c r="EM114" s="103"/>
      <c r="EN114" s="103"/>
    </row>
    <row r="115" spans="1:255">
      <c r="A115" s="103" t="s">
        <v>2242</v>
      </c>
      <c r="B115" s="113">
        <v>0</v>
      </c>
      <c r="C115" s="113">
        <v>0</v>
      </c>
      <c r="D115" s="113">
        <v>0</v>
      </c>
      <c r="E115" s="113">
        <v>0</v>
      </c>
      <c r="F115" s="113">
        <v>0</v>
      </c>
      <c r="G115" s="113">
        <v>0</v>
      </c>
      <c r="H115" s="113">
        <v>0</v>
      </c>
      <c r="I115" s="113">
        <v>0</v>
      </c>
      <c r="J115" s="113">
        <v>0</v>
      </c>
      <c r="K115" s="113">
        <v>0</v>
      </c>
      <c r="L115" s="113">
        <v>0</v>
      </c>
      <c r="M115" s="113">
        <v>0</v>
      </c>
      <c r="N115" s="113">
        <v>0</v>
      </c>
      <c r="O115" s="113">
        <v>0</v>
      </c>
      <c r="P115" s="113">
        <v>0</v>
      </c>
      <c r="Q115" s="113">
        <v>0</v>
      </c>
      <c r="R115" s="113">
        <v>0</v>
      </c>
      <c r="S115" s="113">
        <v>271.948624</v>
      </c>
      <c r="T115" s="113">
        <v>446.30619999999999</v>
      </c>
      <c r="U115" s="113">
        <v>435.87624</v>
      </c>
      <c r="V115" s="113">
        <v>396.55560000000003</v>
      </c>
      <c r="W115" s="113">
        <v>489.075264</v>
      </c>
      <c r="X115" s="113">
        <v>543.09023999999999</v>
      </c>
      <c r="Y115" s="113">
        <v>662.61086399999999</v>
      </c>
      <c r="Z115" s="113">
        <v>771.30923199999995</v>
      </c>
      <c r="AA115" s="113">
        <v>719.33471999999995</v>
      </c>
      <c r="AB115" s="113">
        <v>1077.491552</v>
      </c>
      <c r="AC115" s="113">
        <v>1206.33716</v>
      </c>
      <c r="AD115" s="113">
        <v>1285.3027199999999</v>
      </c>
      <c r="AE115" s="113">
        <v>0</v>
      </c>
      <c r="AG115" s="103"/>
      <c r="AH115" s="103"/>
      <c r="AI115" s="103"/>
      <c r="AJ115" s="103"/>
      <c r="AK115" s="103"/>
      <c r="AL115" s="103"/>
      <c r="AM115" s="103"/>
      <c r="AN115" s="103"/>
      <c r="AO115" s="103"/>
      <c r="AP115" s="103"/>
      <c r="AQ115" s="103"/>
      <c r="AR115" s="103"/>
      <c r="AS115" s="103"/>
      <c r="AT115" s="103"/>
      <c r="AU115" s="103"/>
      <c r="AV115" s="103"/>
      <c r="AW115" s="103"/>
      <c r="AX115" s="103"/>
      <c r="AY115" s="103"/>
      <c r="AZ115" s="103"/>
      <c r="BA115" s="103"/>
      <c r="BB115" s="103"/>
      <c r="BC115" s="103"/>
      <c r="BD115" s="103"/>
      <c r="BE115" s="103"/>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c r="CR115" s="103"/>
      <c r="CS115" s="103"/>
      <c r="CT115" s="103"/>
      <c r="CU115" s="103"/>
      <c r="CV115" s="103"/>
      <c r="CW115" s="103"/>
      <c r="CX115" s="103"/>
      <c r="CY115" s="103"/>
      <c r="CZ115" s="103"/>
      <c r="DA115" s="103"/>
      <c r="DB115" s="103"/>
      <c r="DC115" s="103"/>
      <c r="DD115" s="103"/>
      <c r="DE115" s="103"/>
      <c r="DF115" s="103"/>
      <c r="DG115" s="103"/>
      <c r="DH115" s="103"/>
      <c r="DI115" s="103"/>
      <c r="DJ115" s="103"/>
      <c r="DK115" s="103"/>
      <c r="DL115" s="103"/>
      <c r="DM115" s="103"/>
      <c r="DN115" s="103"/>
      <c r="DO115" s="103"/>
      <c r="DP115" s="103"/>
      <c r="DQ115" s="103"/>
      <c r="DR115" s="103"/>
      <c r="DS115" s="103"/>
      <c r="DT115" s="103"/>
      <c r="DU115" s="103"/>
      <c r="DV115" s="103"/>
      <c r="DW115" s="103"/>
      <c r="DX115" s="103"/>
      <c r="DY115" s="103"/>
      <c r="DZ115" s="103"/>
      <c r="EA115" s="103"/>
      <c r="EB115" s="103"/>
      <c r="EC115" s="103"/>
      <c r="ED115" s="103"/>
      <c r="EE115" s="103"/>
      <c r="EF115" s="103"/>
      <c r="EG115" s="103"/>
      <c r="EH115" s="103"/>
      <c r="EI115" s="103"/>
      <c r="EJ115" s="103"/>
      <c r="EK115" s="103"/>
      <c r="EL115" s="103"/>
      <c r="EM115" s="103"/>
      <c r="EN115" s="103"/>
    </row>
    <row r="116" spans="1:255">
      <c r="A116" s="103"/>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c r="Y116" s="103"/>
      <c r="Z116" s="103"/>
      <c r="AA116" s="103"/>
      <c r="AB116" s="103"/>
      <c r="AC116" s="103"/>
      <c r="AD116" s="103"/>
      <c r="AE116" s="103"/>
      <c r="AG116" s="103"/>
      <c r="AH116" s="103"/>
      <c r="AI116" s="103"/>
      <c r="AJ116" s="103"/>
      <c r="AK116" s="103"/>
      <c r="AL116" s="103"/>
      <c r="AM116" s="103"/>
      <c r="AN116" s="103"/>
      <c r="AO116" s="103"/>
      <c r="AP116" s="103"/>
      <c r="AQ116" s="103"/>
      <c r="AR116" s="103"/>
      <c r="AS116" s="103"/>
      <c r="AT116" s="103"/>
      <c r="AU116" s="103"/>
      <c r="AV116" s="103"/>
      <c r="AW116" s="103"/>
      <c r="AX116" s="103"/>
      <c r="AY116" s="103"/>
      <c r="AZ116" s="103"/>
      <c r="BA116" s="103"/>
      <c r="BB116" s="103"/>
      <c r="BC116" s="103"/>
      <c r="BD116" s="103"/>
      <c r="BE116" s="103"/>
      <c r="BF116" s="103"/>
      <c r="BG116" s="103"/>
      <c r="BH116" s="103"/>
      <c r="BI116" s="103"/>
      <c r="BJ116" s="103"/>
      <c r="BK116" s="103"/>
      <c r="BL116" s="103"/>
      <c r="BM116" s="103"/>
      <c r="BN116" s="103"/>
      <c r="BO116" s="103"/>
      <c r="BP116" s="103"/>
      <c r="BQ116" s="103"/>
      <c r="BR116" s="103"/>
      <c r="BS116" s="103"/>
      <c r="BT116" s="103"/>
      <c r="BU116" s="103"/>
      <c r="BV116" s="103"/>
      <c r="BW116" s="103"/>
      <c r="BX116" s="103"/>
      <c r="BY116" s="103"/>
      <c r="BZ116" s="103"/>
      <c r="CA116" s="103"/>
      <c r="CB116" s="103"/>
      <c r="CC116" s="103"/>
      <c r="CD116" s="103"/>
      <c r="CE116" s="103"/>
      <c r="CF116" s="103"/>
      <c r="CG116" s="103"/>
      <c r="CH116" s="103"/>
      <c r="CI116" s="103"/>
      <c r="CJ116" s="103"/>
      <c r="CK116" s="103"/>
      <c r="CL116" s="103"/>
      <c r="CM116" s="103"/>
      <c r="CN116" s="103"/>
      <c r="CO116" s="103"/>
      <c r="CP116" s="103"/>
      <c r="CQ116" s="103"/>
      <c r="CR116" s="103"/>
      <c r="CS116" s="103"/>
      <c r="CT116" s="103"/>
      <c r="CU116" s="103"/>
      <c r="CV116" s="103"/>
      <c r="CW116" s="103"/>
      <c r="CX116" s="103"/>
      <c r="CY116" s="103"/>
      <c r="CZ116" s="103"/>
      <c r="DA116" s="103"/>
      <c r="DB116" s="103"/>
      <c r="DC116" s="103"/>
      <c r="DD116" s="103"/>
      <c r="DE116" s="103"/>
      <c r="DF116" s="103"/>
      <c r="DG116" s="103"/>
      <c r="DH116" s="103"/>
      <c r="DI116" s="103"/>
      <c r="DJ116" s="103"/>
      <c r="DK116" s="103"/>
      <c r="DL116" s="103"/>
      <c r="DM116" s="103"/>
      <c r="DN116" s="103"/>
      <c r="DO116" s="103"/>
      <c r="DP116" s="103"/>
      <c r="DQ116" s="103"/>
      <c r="DR116" s="103"/>
      <c r="DS116" s="103"/>
      <c r="DT116" s="103"/>
      <c r="DU116" s="103"/>
      <c r="DV116" s="103"/>
      <c r="DW116" s="103"/>
      <c r="DX116" s="103"/>
      <c r="DY116" s="103"/>
      <c r="DZ116" s="103"/>
      <c r="EA116" s="103"/>
      <c r="EB116" s="103"/>
      <c r="EC116" s="103"/>
      <c r="ED116" s="103"/>
      <c r="EE116" s="103"/>
      <c r="EF116" s="103"/>
      <c r="EG116" s="103"/>
      <c r="EH116" s="103"/>
      <c r="EI116" s="103"/>
      <c r="EJ116" s="103"/>
      <c r="EK116" s="103"/>
      <c r="EL116" s="103"/>
      <c r="EM116" s="103"/>
      <c r="EN116" s="103"/>
    </row>
    <row r="117" spans="1:255">
      <c r="A117" s="103" t="s">
        <v>2243</v>
      </c>
      <c r="B117" s="113">
        <v>0</v>
      </c>
      <c r="C117" s="113">
        <v>0</v>
      </c>
      <c r="D117" s="113">
        <v>0</v>
      </c>
      <c r="E117" s="113">
        <v>0</v>
      </c>
      <c r="F117" s="113">
        <v>0</v>
      </c>
      <c r="G117" s="113">
        <v>0</v>
      </c>
      <c r="H117" s="113">
        <v>0</v>
      </c>
      <c r="I117" s="113">
        <v>0</v>
      </c>
      <c r="J117" s="113">
        <v>0</v>
      </c>
      <c r="K117" s="113">
        <v>0</v>
      </c>
      <c r="L117" s="113">
        <v>0</v>
      </c>
      <c r="M117" s="113">
        <v>0</v>
      </c>
      <c r="N117" s="113">
        <v>0</v>
      </c>
      <c r="O117" s="113">
        <v>664</v>
      </c>
      <c r="P117" s="113">
        <v>0</v>
      </c>
      <c r="Q117" s="113">
        <v>0</v>
      </c>
      <c r="R117" s="113">
        <v>0</v>
      </c>
      <c r="S117" s="113">
        <v>0</v>
      </c>
      <c r="T117" s="113">
        <v>0</v>
      </c>
      <c r="U117" s="113">
        <v>0</v>
      </c>
      <c r="V117" s="113">
        <v>0</v>
      </c>
      <c r="W117" s="113">
        <v>0</v>
      </c>
      <c r="X117" s="113">
        <v>0</v>
      </c>
      <c r="Y117" s="113">
        <v>0</v>
      </c>
      <c r="Z117" s="113">
        <v>0</v>
      </c>
      <c r="AA117" s="113">
        <v>0</v>
      </c>
      <c r="AB117" s="113">
        <v>0</v>
      </c>
      <c r="AC117" s="113">
        <v>0</v>
      </c>
      <c r="AD117" s="113">
        <v>0</v>
      </c>
      <c r="AE117" s="113">
        <v>0</v>
      </c>
      <c r="AG117" s="103" t="s">
        <v>2243</v>
      </c>
      <c r="AH117" s="113">
        <v>0</v>
      </c>
      <c r="AI117" s="113">
        <v>0</v>
      </c>
      <c r="AJ117" s="113">
        <v>0</v>
      </c>
      <c r="AK117" s="113">
        <v>0</v>
      </c>
      <c r="AL117" s="113">
        <v>0</v>
      </c>
      <c r="AM117" s="113">
        <v>0</v>
      </c>
      <c r="AN117" s="113">
        <v>0</v>
      </c>
      <c r="AO117" s="113">
        <v>0</v>
      </c>
      <c r="AP117" s="113">
        <v>0</v>
      </c>
      <c r="AQ117" s="113">
        <v>0</v>
      </c>
      <c r="AR117" s="113">
        <v>0</v>
      </c>
      <c r="AS117" s="113">
        <v>0</v>
      </c>
      <c r="AT117" s="113">
        <v>0</v>
      </c>
      <c r="AU117" s="113">
        <v>0</v>
      </c>
      <c r="AV117" s="113">
        <v>0</v>
      </c>
      <c r="AW117" s="113">
        <v>0</v>
      </c>
      <c r="AX117" s="113">
        <v>0</v>
      </c>
      <c r="AY117" s="113">
        <v>0</v>
      </c>
      <c r="AZ117" s="113">
        <v>0</v>
      </c>
      <c r="BA117" s="113">
        <v>0</v>
      </c>
      <c r="BB117" s="113">
        <v>0</v>
      </c>
      <c r="BC117" s="113">
        <v>0</v>
      </c>
      <c r="BD117" s="113">
        <v>0</v>
      </c>
      <c r="BE117" s="113">
        <v>0</v>
      </c>
      <c r="BF117" s="113">
        <v>0</v>
      </c>
      <c r="BG117" s="113">
        <v>0</v>
      </c>
      <c r="BH117" s="113">
        <v>0</v>
      </c>
      <c r="BI117" s="113">
        <v>0</v>
      </c>
      <c r="BJ117" s="113">
        <v>0</v>
      </c>
      <c r="BK117" s="113">
        <v>0</v>
      </c>
      <c r="BL117" s="113">
        <v>0</v>
      </c>
      <c r="BM117" s="113">
        <v>0</v>
      </c>
      <c r="BN117" s="113">
        <v>0</v>
      </c>
      <c r="BO117" s="113">
        <v>0</v>
      </c>
      <c r="BP117" s="113">
        <v>0</v>
      </c>
      <c r="BQ117" s="113">
        <v>0</v>
      </c>
      <c r="BR117" s="113">
        <v>0</v>
      </c>
      <c r="BS117" s="113">
        <v>0</v>
      </c>
      <c r="BT117" s="113">
        <v>0</v>
      </c>
      <c r="BU117" s="113">
        <v>0</v>
      </c>
      <c r="BV117" s="113">
        <v>0</v>
      </c>
      <c r="BW117" s="113">
        <v>0</v>
      </c>
      <c r="BX117" s="113">
        <v>0</v>
      </c>
      <c r="BY117" s="113">
        <v>0</v>
      </c>
      <c r="BZ117" s="113">
        <v>0</v>
      </c>
      <c r="CA117" s="113">
        <v>0</v>
      </c>
      <c r="CB117" s="113">
        <v>0</v>
      </c>
      <c r="CC117" s="113">
        <v>0</v>
      </c>
      <c r="CD117" s="113">
        <v>0</v>
      </c>
      <c r="CE117" s="113">
        <v>0</v>
      </c>
      <c r="CF117" s="113">
        <v>0</v>
      </c>
      <c r="CG117" s="113">
        <v>277</v>
      </c>
      <c r="CH117" s="113">
        <v>0</v>
      </c>
      <c r="CI117" s="113">
        <v>0</v>
      </c>
      <c r="CJ117" s="113">
        <v>0</v>
      </c>
      <c r="CK117" s="113">
        <v>0</v>
      </c>
      <c r="CL117" s="113">
        <v>0</v>
      </c>
      <c r="CM117" s="113">
        <v>0</v>
      </c>
      <c r="CN117" s="113">
        <v>0</v>
      </c>
      <c r="CO117" s="113">
        <v>0</v>
      </c>
      <c r="CP117" s="113">
        <v>0</v>
      </c>
      <c r="CQ117" s="113">
        <v>0</v>
      </c>
      <c r="CR117" s="113">
        <v>0</v>
      </c>
      <c r="CS117" s="113">
        <v>0</v>
      </c>
      <c r="CT117" s="113">
        <v>0</v>
      </c>
      <c r="CU117" s="113">
        <v>0</v>
      </c>
      <c r="CV117" s="113">
        <v>0</v>
      </c>
      <c r="CW117" s="113">
        <v>0</v>
      </c>
      <c r="CX117" s="113">
        <v>0</v>
      </c>
      <c r="CY117" s="113">
        <v>0</v>
      </c>
      <c r="CZ117" s="113">
        <v>0</v>
      </c>
      <c r="DA117" s="113">
        <v>0</v>
      </c>
      <c r="DB117" s="113">
        <v>0</v>
      </c>
      <c r="DC117" s="113">
        <v>0</v>
      </c>
      <c r="DD117" s="113">
        <v>0</v>
      </c>
      <c r="DE117" s="113">
        <v>0</v>
      </c>
      <c r="DF117" s="113">
        <v>0</v>
      </c>
      <c r="DG117" s="113">
        <v>0</v>
      </c>
      <c r="DH117" s="113">
        <v>0</v>
      </c>
      <c r="DI117" s="113">
        <v>0</v>
      </c>
      <c r="DJ117" s="113">
        <v>0</v>
      </c>
      <c r="DK117" s="113">
        <v>0</v>
      </c>
      <c r="DL117" s="113">
        <v>0</v>
      </c>
      <c r="DM117" s="113">
        <v>0</v>
      </c>
      <c r="DN117" s="113">
        <v>0</v>
      </c>
      <c r="DO117" s="113">
        <v>0</v>
      </c>
      <c r="DP117" s="113">
        <v>0</v>
      </c>
      <c r="DQ117" s="113">
        <v>0</v>
      </c>
      <c r="DR117" s="113">
        <v>0</v>
      </c>
      <c r="DS117" s="113">
        <v>0</v>
      </c>
      <c r="DT117" s="113">
        <v>0</v>
      </c>
      <c r="DU117" s="113">
        <v>0</v>
      </c>
      <c r="DV117" s="113">
        <v>0</v>
      </c>
      <c r="DW117" s="113">
        <v>0</v>
      </c>
      <c r="DX117" s="113">
        <v>0</v>
      </c>
      <c r="DY117" s="113">
        <v>0</v>
      </c>
      <c r="DZ117" s="113">
        <v>0</v>
      </c>
      <c r="EA117" s="113">
        <v>0</v>
      </c>
      <c r="EB117" s="113">
        <v>0</v>
      </c>
      <c r="EC117" s="113">
        <v>0</v>
      </c>
      <c r="ED117" s="113">
        <v>0</v>
      </c>
      <c r="EE117" s="113">
        <v>0</v>
      </c>
      <c r="EF117" s="113">
        <v>0</v>
      </c>
      <c r="EG117" s="113">
        <v>0</v>
      </c>
      <c r="EH117" s="113">
        <v>0</v>
      </c>
      <c r="EI117" s="113">
        <v>0</v>
      </c>
      <c r="EJ117" s="113">
        <v>0</v>
      </c>
      <c r="EK117" s="113">
        <v>0</v>
      </c>
      <c r="EL117" s="113">
        <v>0</v>
      </c>
      <c r="EM117" s="113">
        <v>0</v>
      </c>
      <c r="EN117" s="113">
        <v>0</v>
      </c>
    </row>
    <row r="118" spans="1:255">
      <c r="A118" s="103" t="s">
        <v>2244</v>
      </c>
      <c r="B118" s="113">
        <v>0</v>
      </c>
      <c r="C118" s="113">
        <v>0</v>
      </c>
      <c r="D118" s="113">
        <v>0</v>
      </c>
      <c r="E118" s="113">
        <v>0</v>
      </c>
      <c r="F118" s="113">
        <v>0</v>
      </c>
      <c r="G118" s="113">
        <v>0</v>
      </c>
      <c r="H118" s="113">
        <v>0</v>
      </c>
      <c r="I118" s="113">
        <v>0</v>
      </c>
      <c r="J118" s="113">
        <v>0</v>
      </c>
      <c r="K118" s="113">
        <v>0</v>
      </c>
      <c r="L118" s="113">
        <v>0</v>
      </c>
      <c r="M118" s="113">
        <v>3784</v>
      </c>
      <c r="N118" s="113">
        <v>3749</v>
      </c>
      <c r="O118" s="113">
        <v>5070</v>
      </c>
      <c r="P118" s="113">
        <v>2448</v>
      </c>
      <c r="Q118" s="113">
        <v>1715</v>
      </c>
      <c r="R118" s="113">
        <v>1550</v>
      </c>
      <c r="S118" s="113">
        <v>1479</v>
      </c>
      <c r="T118" s="113">
        <v>1708</v>
      </c>
      <c r="U118" s="113">
        <v>1891</v>
      </c>
      <c r="V118" s="113">
        <v>2166</v>
      </c>
      <c r="W118" s="113">
        <v>2244</v>
      </c>
      <c r="X118" s="113">
        <v>2406</v>
      </c>
      <c r="Y118" s="113">
        <v>2446</v>
      </c>
      <c r="Z118" s="113">
        <v>2574</v>
      </c>
      <c r="AA118" s="113">
        <v>2668</v>
      </c>
      <c r="AB118" s="113">
        <v>3266</v>
      </c>
      <c r="AC118" s="113">
        <v>3940</v>
      </c>
      <c r="AD118" s="113">
        <v>4652</v>
      </c>
      <c r="AE118" s="113">
        <v>5130</v>
      </c>
      <c r="AG118" s="103" t="s">
        <v>2244</v>
      </c>
      <c r="AH118" s="113">
        <v>0</v>
      </c>
      <c r="AI118" s="113">
        <v>0</v>
      </c>
      <c r="AJ118" s="113">
        <v>0</v>
      </c>
      <c r="AK118" s="113">
        <v>0</v>
      </c>
      <c r="AL118" s="113">
        <v>0</v>
      </c>
      <c r="AM118" s="113">
        <v>0</v>
      </c>
      <c r="AN118" s="113">
        <v>0</v>
      </c>
      <c r="AO118" s="113">
        <v>0</v>
      </c>
      <c r="AP118" s="113">
        <v>0</v>
      </c>
      <c r="AQ118" s="113">
        <v>0</v>
      </c>
      <c r="AR118" s="113">
        <v>0</v>
      </c>
      <c r="AS118" s="113">
        <v>0</v>
      </c>
      <c r="AT118" s="113">
        <v>0</v>
      </c>
      <c r="AU118" s="113">
        <v>0</v>
      </c>
      <c r="AV118" s="113">
        <v>0</v>
      </c>
      <c r="AW118" s="113">
        <v>0</v>
      </c>
      <c r="AX118" s="113">
        <v>0</v>
      </c>
      <c r="AY118" s="113">
        <v>0</v>
      </c>
      <c r="AZ118" s="113">
        <v>0</v>
      </c>
      <c r="BA118" s="113">
        <v>0</v>
      </c>
      <c r="BB118" s="113">
        <v>0</v>
      </c>
      <c r="BC118" s="113">
        <v>0</v>
      </c>
      <c r="BD118" s="113">
        <v>0</v>
      </c>
      <c r="BE118" s="113">
        <v>0</v>
      </c>
      <c r="BF118" s="113">
        <v>0</v>
      </c>
      <c r="BG118" s="113">
        <v>0</v>
      </c>
      <c r="BH118" s="113">
        <v>0</v>
      </c>
      <c r="BI118" s="113">
        <v>0</v>
      </c>
      <c r="BJ118" s="113">
        <v>0</v>
      </c>
      <c r="BK118" s="113">
        <v>0</v>
      </c>
      <c r="BL118" s="113">
        <v>0</v>
      </c>
      <c r="BM118" s="113">
        <v>0</v>
      </c>
      <c r="BN118" s="113">
        <v>0</v>
      </c>
      <c r="BO118" s="113">
        <v>0</v>
      </c>
      <c r="BP118" s="113">
        <v>0</v>
      </c>
      <c r="BQ118" s="113">
        <v>0</v>
      </c>
      <c r="BR118" s="113">
        <v>0</v>
      </c>
      <c r="BS118" s="113">
        <v>0</v>
      </c>
      <c r="BT118" s="113">
        <v>0</v>
      </c>
      <c r="BU118" s="113">
        <v>0</v>
      </c>
      <c r="BV118" s="113">
        <v>1048</v>
      </c>
      <c r="BW118" s="113">
        <v>1058</v>
      </c>
      <c r="BX118" s="113">
        <v>978</v>
      </c>
      <c r="BY118" s="113">
        <v>665</v>
      </c>
      <c r="BZ118" s="113">
        <v>1015</v>
      </c>
      <c r="CA118" s="113">
        <v>3232</v>
      </c>
      <c r="CB118" s="113">
        <v>748</v>
      </c>
      <c r="CC118" s="113">
        <v>739</v>
      </c>
      <c r="CD118" s="113">
        <v>745</v>
      </c>
      <c r="CE118" s="113">
        <v>551</v>
      </c>
      <c r="CF118" s="113">
        <v>617</v>
      </c>
      <c r="CG118" s="113">
        <v>258</v>
      </c>
      <c r="CH118" s="113">
        <v>464</v>
      </c>
      <c r="CI118" s="113">
        <v>514</v>
      </c>
      <c r="CJ118" s="113">
        <v>374</v>
      </c>
      <c r="CK118" s="113">
        <v>363</v>
      </c>
      <c r="CL118" s="113">
        <v>456</v>
      </c>
      <c r="CM118" s="113">
        <v>437</v>
      </c>
      <c r="CN118" s="113">
        <v>321</v>
      </c>
      <c r="CO118" s="113">
        <v>336</v>
      </c>
      <c r="CP118" s="113">
        <v>333</v>
      </c>
      <c r="CQ118" s="113">
        <v>360</v>
      </c>
      <c r="CR118" s="113">
        <v>373</v>
      </c>
      <c r="CS118" s="113">
        <v>413</v>
      </c>
      <c r="CT118" s="113">
        <v>443</v>
      </c>
      <c r="CU118" s="113">
        <v>417</v>
      </c>
      <c r="CV118" s="113">
        <v>432</v>
      </c>
      <c r="CW118" s="113">
        <v>416</v>
      </c>
      <c r="CX118" s="113">
        <v>443</v>
      </c>
      <c r="CY118" s="113">
        <v>485</v>
      </c>
      <c r="CZ118" s="113">
        <v>481</v>
      </c>
      <c r="DA118" s="113">
        <v>482</v>
      </c>
      <c r="DB118" s="113">
        <v>528</v>
      </c>
      <c r="DC118" s="113">
        <v>553</v>
      </c>
      <c r="DD118" s="113">
        <v>541</v>
      </c>
      <c r="DE118" s="113">
        <v>544</v>
      </c>
      <c r="DF118" s="113">
        <v>558</v>
      </c>
      <c r="DG118" s="113">
        <v>575</v>
      </c>
      <c r="DH118" s="113">
        <v>591</v>
      </c>
      <c r="DI118" s="113">
        <v>520</v>
      </c>
      <c r="DJ118" s="113">
        <v>603</v>
      </c>
      <c r="DK118" s="113">
        <v>603</v>
      </c>
      <c r="DL118" s="113">
        <v>599</v>
      </c>
      <c r="DM118" s="113">
        <v>601</v>
      </c>
      <c r="DN118" s="113">
        <v>635</v>
      </c>
      <c r="DO118" s="113">
        <v>591</v>
      </c>
      <c r="DP118" s="113">
        <v>602</v>
      </c>
      <c r="DQ118" s="113">
        <v>618</v>
      </c>
      <c r="DR118" s="113">
        <v>646</v>
      </c>
      <c r="DS118" s="113">
        <v>633</v>
      </c>
      <c r="DT118" s="113">
        <v>641</v>
      </c>
      <c r="DU118" s="113">
        <v>654</v>
      </c>
      <c r="DV118" s="113">
        <v>674</v>
      </c>
      <c r="DW118" s="113">
        <v>658</v>
      </c>
      <c r="DX118" s="113">
        <v>672</v>
      </c>
      <c r="DY118" s="113">
        <v>664</v>
      </c>
      <c r="DZ118" s="113">
        <v>703</v>
      </c>
      <c r="EA118" s="113">
        <v>767</v>
      </c>
      <c r="EB118" s="113">
        <v>883</v>
      </c>
      <c r="EC118" s="113">
        <v>913</v>
      </c>
      <c r="ED118" s="113">
        <v>973</v>
      </c>
      <c r="EE118" s="113">
        <v>986</v>
      </c>
      <c r="EF118" s="113">
        <v>969</v>
      </c>
      <c r="EG118" s="113">
        <v>1012</v>
      </c>
      <c r="EH118" s="113">
        <v>1107</v>
      </c>
      <c r="EI118" s="113">
        <v>1183</v>
      </c>
      <c r="EJ118" s="113">
        <v>1172</v>
      </c>
      <c r="EK118" s="113">
        <v>1190</v>
      </c>
      <c r="EL118" s="113">
        <v>1262</v>
      </c>
      <c r="EM118" s="113">
        <v>1340</v>
      </c>
      <c r="EN118" s="113">
        <v>1338</v>
      </c>
    </row>
    <row r="119" spans="1:255" ht="10.5">
      <c r="A119" s="112" t="s">
        <v>2245</v>
      </c>
      <c r="B119" s="115">
        <v>0</v>
      </c>
      <c r="C119" s="115">
        <v>0</v>
      </c>
      <c r="D119" s="115">
        <v>0</v>
      </c>
      <c r="E119" s="115">
        <v>0</v>
      </c>
      <c r="F119" s="115">
        <v>0</v>
      </c>
      <c r="G119" s="115">
        <v>0</v>
      </c>
      <c r="H119" s="115">
        <v>0</v>
      </c>
      <c r="I119" s="115">
        <v>0</v>
      </c>
      <c r="J119" s="115">
        <v>0</v>
      </c>
      <c r="K119" s="115">
        <v>0</v>
      </c>
      <c r="L119" s="115">
        <v>0</v>
      </c>
      <c r="M119" s="115">
        <v>3784</v>
      </c>
      <c r="N119" s="115">
        <v>3749</v>
      </c>
      <c r="O119" s="115">
        <v>5734</v>
      </c>
      <c r="P119" s="115">
        <v>2448</v>
      </c>
      <c r="Q119" s="115">
        <v>1715</v>
      </c>
      <c r="R119" s="115">
        <v>1550</v>
      </c>
      <c r="S119" s="115">
        <v>1479</v>
      </c>
      <c r="T119" s="115">
        <v>1708</v>
      </c>
      <c r="U119" s="115">
        <v>1891</v>
      </c>
      <c r="V119" s="115">
        <v>2166</v>
      </c>
      <c r="W119" s="115">
        <v>2244</v>
      </c>
      <c r="X119" s="115">
        <v>2406</v>
      </c>
      <c r="Y119" s="115">
        <v>2446</v>
      </c>
      <c r="Z119" s="115">
        <v>2574</v>
      </c>
      <c r="AA119" s="115">
        <v>2668</v>
      </c>
      <c r="AB119" s="115">
        <v>3266</v>
      </c>
      <c r="AC119" s="115">
        <v>3940</v>
      </c>
      <c r="AD119" s="115">
        <v>4652</v>
      </c>
      <c r="AE119" s="115">
        <v>5130</v>
      </c>
      <c r="AG119" s="112" t="s">
        <v>2245</v>
      </c>
      <c r="AH119" s="115">
        <v>0</v>
      </c>
      <c r="AI119" s="115">
        <v>0</v>
      </c>
      <c r="AJ119" s="115">
        <v>0</v>
      </c>
      <c r="AK119" s="115">
        <v>0</v>
      </c>
      <c r="AL119" s="115">
        <v>0</v>
      </c>
      <c r="AM119" s="115">
        <v>0</v>
      </c>
      <c r="AN119" s="115">
        <v>0</v>
      </c>
      <c r="AO119" s="115">
        <v>0</v>
      </c>
      <c r="AP119" s="115">
        <v>0</v>
      </c>
      <c r="AQ119" s="115">
        <v>0</v>
      </c>
      <c r="AR119" s="115">
        <v>0</v>
      </c>
      <c r="AS119" s="115">
        <v>0</v>
      </c>
      <c r="AT119" s="115">
        <v>0</v>
      </c>
      <c r="AU119" s="115">
        <v>0</v>
      </c>
      <c r="AV119" s="115">
        <v>0</v>
      </c>
      <c r="AW119" s="115">
        <v>0</v>
      </c>
      <c r="AX119" s="115">
        <v>0</v>
      </c>
      <c r="AY119" s="115">
        <v>0</v>
      </c>
      <c r="AZ119" s="115">
        <v>0</v>
      </c>
      <c r="BA119" s="115">
        <v>0</v>
      </c>
      <c r="BB119" s="115">
        <v>0</v>
      </c>
      <c r="BC119" s="115">
        <v>0</v>
      </c>
      <c r="BD119" s="115">
        <v>0</v>
      </c>
      <c r="BE119" s="115">
        <v>0</v>
      </c>
      <c r="BF119" s="115">
        <v>0</v>
      </c>
      <c r="BG119" s="115">
        <v>0</v>
      </c>
      <c r="BH119" s="115">
        <v>0</v>
      </c>
      <c r="BI119" s="115">
        <v>0</v>
      </c>
      <c r="BJ119" s="115">
        <v>0</v>
      </c>
      <c r="BK119" s="115">
        <v>0</v>
      </c>
      <c r="BL119" s="115">
        <v>0</v>
      </c>
      <c r="BM119" s="115">
        <v>0</v>
      </c>
      <c r="BN119" s="115">
        <v>0</v>
      </c>
      <c r="BO119" s="115">
        <v>0</v>
      </c>
      <c r="BP119" s="115">
        <v>0</v>
      </c>
      <c r="BQ119" s="115">
        <v>0</v>
      </c>
      <c r="BR119" s="115">
        <v>0</v>
      </c>
      <c r="BS119" s="115">
        <v>0</v>
      </c>
      <c r="BT119" s="115">
        <v>0</v>
      </c>
      <c r="BU119" s="115">
        <v>0</v>
      </c>
      <c r="BV119" s="115">
        <v>1048</v>
      </c>
      <c r="BW119" s="115">
        <v>1058</v>
      </c>
      <c r="BX119" s="115">
        <v>978</v>
      </c>
      <c r="BY119" s="115">
        <v>665</v>
      </c>
      <c r="BZ119" s="115">
        <v>1015</v>
      </c>
      <c r="CA119" s="115">
        <v>3232</v>
      </c>
      <c r="CB119" s="115">
        <v>748</v>
      </c>
      <c r="CC119" s="115">
        <v>739</v>
      </c>
      <c r="CD119" s="115">
        <v>745</v>
      </c>
      <c r="CE119" s="115">
        <v>551</v>
      </c>
      <c r="CF119" s="115">
        <v>617</v>
      </c>
      <c r="CG119" s="115">
        <v>535</v>
      </c>
      <c r="CH119" s="115">
        <v>464</v>
      </c>
      <c r="CI119" s="115">
        <v>514</v>
      </c>
      <c r="CJ119" s="115">
        <v>374</v>
      </c>
      <c r="CK119" s="115">
        <v>363</v>
      </c>
      <c r="CL119" s="115">
        <v>456</v>
      </c>
      <c r="CM119" s="115">
        <v>437</v>
      </c>
      <c r="CN119" s="115">
        <v>321</v>
      </c>
      <c r="CO119" s="115">
        <v>336</v>
      </c>
      <c r="CP119" s="115">
        <v>333</v>
      </c>
      <c r="CQ119" s="115">
        <v>360</v>
      </c>
      <c r="CR119" s="115">
        <v>373</v>
      </c>
      <c r="CS119" s="115">
        <v>413</v>
      </c>
      <c r="CT119" s="115">
        <v>443</v>
      </c>
      <c r="CU119" s="115">
        <v>417</v>
      </c>
      <c r="CV119" s="115">
        <v>432</v>
      </c>
      <c r="CW119" s="115">
        <v>416</v>
      </c>
      <c r="CX119" s="115">
        <v>443</v>
      </c>
      <c r="CY119" s="115">
        <v>485</v>
      </c>
      <c r="CZ119" s="115">
        <v>481</v>
      </c>
      <c r="DA119" s="115">
        <v>482</v>
      </c>
      <c r="DB119" s="115">
        <v>528</v>
      </c>
      <c r="DC119" s="115">
        <v>553</v>
      </c>
      <c r="DD119" s="115">
        <v>541</v>
      </c>
      <c r="DE119" s="115">
        <v>544</v>
      </c>
      <c r="DF119" s="115">
        <v>558</v>
      </c>
      <c r="DG119" s="115">
        <v>575</v>
      </c>
      <c r="DH119" s="115">
        <v>591</v>
      </c>
      <c r="DI119" s="115">
        <v>520</v>
      </c>
      <c r="DJ119" s="115">
        <v>603</v>
      </c>
      <c r="DK119" s="115">
        <v>603</v>
      </c>
      <c r="DL119" s="115">
        <v>599</v>
      </c>
      <c r="DM119" s="115">
        <v>601</v>
      </c>
      <c r="DN119" s="115">
        <v>635</v>
      </c>
      <c r="DO119" s="115">
        <v>591</v>
      </c>
      <c r="DP119" s="115">
        <v>602</v>
      </c>
      <c r="DQ119" s="115">
        <v>618</v>
      </c>
      <c r="DR119" s="115">
        <v>646</v>
      </c>
      <c r="DS119" s="115">
        <v>633</v>
      </c>
      <c r="DT119" s="115">
        <v>641</v>
      </c>
      <c r="DU119" s="115">
        <v>654</v>
      </c>
      <c r="DV119" s="115">
        <v>674</v>
      </c>
      <c r="DW119" s="115">
        <v>658</v>
      </c>
      <c r="DX119" s="115">
        <v>672</v>
      </c>
      <c r="DY119" s="115">
        <v>664</v>
      </c>
      <c r="DZ119" s="115">
        <v>703</v>
      </c>
      <c r="EA119" s="115">
        <v>767</v>
      </c>
      <c r="EB119" s="115">
        <v>883</v>
      </c>
      <c r="EC119" s="115">
        <v>913</v>
      </c>
      <c r="ED119" s="115">
        <v>973</v>
      </c>
      <c r="EE119" s="115">
        <v>986</v>
      </c>
      <c r="EF119" s="115">
        <v>969</v>
      </c>
      <c r="EG119" s="115">
        <v>1012</v>
      </c>
      <c r="EH119" s="115">
        <v>1107</v>
      </c>
      <c r="EI119" s="115">
        <v>1183</v>
      </c>
      <c r="EJ119" s="115">
        <v>1172</v>
      </c>
      <c r="EK119" s="115">
        <v>1190</v>
      </c>
      <c r="EL119" s="115">
        <v>1262</v>
      </c>
      <c r="EM119" s="115">
        <v>1340</v>
      </c>
      <c r="EN119" s="115">
        <v>1338</v>
      </c>
    </row>
    <row r="120" spans="1:255">
      <c r="A120" s="103"/>
      <c r="B120" s="103"/>
      <c r="C120" s="103"/>
      <c r="D120" s="103"/>
      <c r="E120" s="103"/>
      <c r="F120" s="103"/>
      <c r="G120" s="103"/>
      <c r="H120" s="103"/>
      <c r="I120" s="103"/>
      <c r="J120" s="103"/>
      <c r="K120" s="103"/>
      <c r="L120" s="103"/>
      <c r="M120" s="103"/>
      <c r="N120" s="103"/>
      <c r="O120" s="103"/>
      <c r="P120" s="103"/>
      <c r="Q120" s="103"/>
      <c r="R120" s="103"/>
      <c r="S120" s="103"/>
      <c r="T120" s="103"/>
      <c r="U120" s="103"/>
      <c r="V120" s="103"/>
      <c r="W120" s="103"/>
      <c r="X120" s="103"/>
      <c r="Y120" s="103"/>
      <c r="Z120" s="103"/>
      <c r="AA120" s="103"/>
      <c r="AB120" s="103"/>
      <c r="AC120" s="103"/>
      <c r="AD120" s="103"/>
      <c r="AE120" s="103"/>
      <c r="AG120" s="103"/>
      <c r="AH120" s="103"/>
      <c r="AI120" s="103"/>
      <c r="AJ120" s="103"/>
      <c r="AK120" s="103"/>
      <c r="AL120" s="103"/>
      <c r="AM120" s="103"/>
      <c r="AN120" s="103"/>
      <c r="AO120" s="103"/>
      <c r="AP120" s="103"/>
      <c r="AQ120" s="103"/>
      <c r="AR120" s="103"/>
      <c r="AS120" s="103"/>
      <c r="AT120" s="103"/>
      <c r="AU120" s="103"/>
      <c r="AV120" s="103"/>
      <c r="AW120" s="103"/>
      <c r="AX120" s="103"/>
      <c r="AY120" s="103"/>
      <c r="AZ120" s="103"/>
      <c r="BA120" s="103"/>
      <c r="BB120" s="103"/>
      <c r="BC120" s="103"/>
      <c r="BD120" s="103"/>
      <c r="BE120" s="103"/>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c r="CI120" s="103"/>
      <c r="CJ120" s="103"/>
      <c r="CK120" s="103"/>
      <c r="CL120" s="103"/>
      <c r="CM120" s="103"/>
      <c r="CN120" s="103"/>
      <c r="CO120" s="103"/>
      <c r="CP120" s="103"/>
      <c r="CQ120" s="103"/>
      <c r="CR120" s="103"/>
      <c r="CS120" s="103"/>
      <c r="CT120" s="103"/>
      <c r="CU120" s="103"/>
      <c r="CV120" s="103"/>
      <c r="CW120" s="103"/>
      <c r="CX120" s="103"/>
      <c r="CY120" s="103"/>
      <c r="CZ120" s="103"/>
      <c r="DA120" s="103"/>
      <c r="DB120" s="103"/>
      <c r="DC120" s="103"/>
      <c r="DD120" s="103"/>
      <c r="DE120" s="103"/>
      <c r="DF120" s="103"/>
      <c r="DG120" s="103"/>
      <c r="DH120" s="103"/>
      <c r="DI120" s="103"/>
      <c r="DJ120" s="103"/>
      <c r="DK120" s="103"/>
      <c r="DL120" s="103"/>
      <c r="DM120" s="103"/>
      <c r="DN120" s="103"/>
      <c r="DO120" s="103"/>
      <c r="DP120" s="103"/>
      <c r="DQ120" s="103"/>
      <c r="DR120" s="103"/>
      <c r="DS120" s="103"/>
      <c r="DT120" s="103"/>
      <c r="DU120" s="103"/>
      <c r="DV120" s="103"/>
      <c r="DW120" s="103"/>
      <c r="DX120" s="103"/>
      <c r="DY120" s="103"/>
      <c r="DZ120" s="103"/>
      <c r="EA120" s="103"/>
      <c r="EB120" s="103"/>
      <c r="EC120" s="103"/>
      <c r="ED120" s="103"/>
      <c r="EE120" s="103"/>
      <c r="EF120" s="103"/>
      <c r="EG120" s="103"/>
      <c r="EH120" s="103"/>
      <c r="EI120" s="103"/>
      <c r="EJ120" s="103"/>
      <c r="EK120" s="103"/>
      <c r="EL120" s="103"/>
      <c r="EM120" s="103"/>
      <c r="EN120" s="103"/>
      <c r="EP120" s="107"/>
      <c r="EQ120" s="107"/>
      <c r="ER120" s="107"/>
      <c r="ES120" s="107"/>
      <c r="ET120" s="107"/>
      <c r="EU120" s="107"/>
      <c r="EV120" s="107"/>
      <c r="EW120" s="107"/>
      <c r="EX120" s="107"/>
      <c r="EY120" s="107"/>
      <c r="EZ120" s="107"/>
      <c r="FA120" s="107"/>
      <c r="FB120" s="107"/>
      <c r="FC120" s="107"/>
      <c r="FD120" s="107"/>
      <c r="FE120" s="107"/>
      <c r="FF120" s="107"/>
      <c r="FG120" s="107"/>
      <c r="FH120" s="107"/>
      <c r="FI120" s="107"/>
      <c r="FJ120" s="107"/>
      <c r="FK120" s="107"/>
      <c r="FL120" s="107"/>
      <c r="FM120" s="107"/>
      <c r="FN120" s="107"/>
      <c r="FO120" s="107"/>
      <c r="FP120" s="107"/>
      <c r="FQ120" s="107"/>
      <c r="FR120" s="107"/>
      <c r="FS120" s="107"/>
      <c r="FT120" s="107"/>
      <c r="FU120" s="107"/>
      <c r="FV120" s="107"/>
      <c r="FW120" s="107"/>
      <c r="FX120" s="107"/>
      <c r="FY120" s="107"/>
      <c r="FZ120" s="107"/>
      <c r="GA120" s="107"/>
      <c r="GB120" s="107"/>
      <c r="GC120" s="107"/>
      <c r="GD120" s="107"/>
      <c r="GE120" s="107"/>
      <c r="GF120" s="107"/>
      <c r="GG120" s="107"/>
      <c r="GH120" s="107"/>
      <c r="GI120" s="107"/>
      <c r="GJ120" s="107"/>
      <c r="GK120" s="107"/>
      <c r="GL120" s="107"/>
      <c r="GM120" s="107"/>
      <c r="GN120" s="107"/>
      <c r="GO120" s="107"/>
      <c r="GP120" s="107"/>
      <c r="GQ120" s="107"/>
      <c r="GR120" s="107"/>
      <c r="GS120" s="107"/>
      <c r="GT120" s="107"/>
      <c r="GU120" s="107"/>
      <c r="GV120" s="107"/>
      <c r="GW120" s="107"/>
      <c r="GX120" s="107"/>
      <c r="GY120" s="107"/>
      <c r="GZ120" s="107"/>
      <c r="HA120" s="107"/>
      <c r="HB120" s="107"/>
      <c r="HC120" s="107"/>
      <c r="HD120" s="107"/>
      <c r="HE120" s="107"/>
      <c r="HF120" s="107"/>
      <c r="HG120" s="107"/>
      <c r="HH120" s="107"/>
      <c r="HI120" s="107"/>
      <c r="HJ120" s="107"/>
      <c r="HK120" s="107"/>
      <c r="HL120" s="107"/>
      <c r="HM120" s="107"/>
      <c r="HN120" s="107"/>
      <c r="HO120" s="107"/>
      <c r="HP120" s="107"/>
      <c r="HQ120" s="107"/>
      <c r="HR120" s="107"/>
      <c r="HS120" s="107"/>
      <c r="HT120" s="107"/>
      <c r="HU120" s="107"/>
      <c r="HV120" s="107"/>
      <c r="HW120" s="107"/>
      <c r="HX120" s="107"/>
      <c r="HY120" s="107"/>
      <c r="HZ120" s="107"/>
      <c r="IA120" s="107"/>
      <c r="IB120" s="107"/>
      <c r="IC120" s="107"/>
      <c r="ID120" s="107"/>
      <c r="IE120" s="107"/>
      <c r="IF120" s="107"/>
      <c r="IG120" s="107"/>
      <c r="IH120" s="107"/>
      <c r="II120" s="107"/>
      <c r="IJ120" s="107"/>
      <c r="IK120" s="107"/>
      <c r="IL120" s="107"/>
      <c r="IM120" s="107"/>
      <c r="IN120" s="107"/>
      <c r="IO120" s="107"/>
      <c r="IP120" s="107"/>
      <c r="IQ120" s="107"/>
      <c r="IR120" s="107"/>
      <c r="IS120" s="107"/>
      <c r="IT120" s="107"/>
      <c r="IU120" s="107"/>
    </row>
    <row r="121" spans="1:255">
      <c r="A121" s="106" t="s">
        <v>622</v>
      </c>
      <c r="B121" s="106"/>
      <c r="C121" s="106"/>
      <c r="D121" s="106"/>
      <c r="E121" s="106"/>
      <c r="F121" s="106"/>
      <c r="G121" s="106"/>
      <c r="H121" s="106"/>
      <c r="I121" s="106"/>
      <c r="J121" s="106"/>
      <c r="K121" s="106"/>
      <c r="L121" s="106"/>
      <c r="M121" s="106"/>
      <c r="N121" s="106"/>
      <c r="O121" s="106"/>
      <c r="P121" s="106"/>
      <c r="Q121" s="106"/>
      <c r="R121" s="106"/>
      <c r="S121" s="106"/>
      <c r="T121" s="106"/>
      <c r="U121" s="106"/>
      <c r="V121" s="106"/>
      <c r="W121" s="106"/>
      <c r="X121" s="106"/>
      <c r="Y121" s="106"/>
      <c r="Z121" s="106"/>
      <c r="AA121" s="106"/>
      <c r="AB121" s="106"/>
      <c r="AC121" s="106"/>
      <c r="AD121" s="106"/>
      <c r="AE121" s="106"/>
      <c r="AF121" s="107"/>
      <c r="AG121" s="106" t="s">
        <v>622</v>
      </c>
      <c r="AH121" s="106"/>
      <c r="AI121" s="106"/>
      <c r="AJ121" s="106"/>
      <c r="AK121" s="106"/>
      <c r="AL121" s="106"/>
      <c r="AM121" s="106"/>
      <c r="AN121" s="106"/>
      <c r="AO121" s="106"/>
      <c r="AP121" s="106"/>
      <c r="AQ121" s="106"/>
      <c r="AR121" s="106"/>
      <c r="AS121" s="106"/>
      <c r="AT121" s="106"/>
      <c r="AU121" s="106"/>
      <c r="AV121" s="106"/>
      <c r="AW121" s="106"/>
      <c r="AX121" s="106"/>
      <c r="AY121" s="106"/>
      <c r="AZ121" s="106"/>
      <c r="BA121" s="106"/>
      <c r="BB121" s="106"/>
      <c r="BC121" s="106"/>
      <c r="BD121" s="106"/>
      <c r="BE121" s="106"/>
      <c r="BF121" s="106"/>
      <c r="BG121" s="106"/>
      <c r="BH121" s="106"/>
      <c r="BI121" s="106"/>
      <c r="BJ121" s="106"/>
      <c r="BK121" s="106"/>
      <c r="BL121" s="106"/>
      <c r="BM121" s="106"/>
      <c r="BN121" s="106"/>
      <c r="BO121" s="106"/>
      <c r="BP121" s="106"/>
      <c r="BQ121" s="106"/>
      <c r="BR121" s="106"/>
      <c r="BS121" s="106"/>
      <c r="BT121" s="106"/>
      <c r="BU121" s="106"/>
      <c r="BV121" s="106"/>
      <c r="BW121" s="106"/>
      <c r="BX121" s="106"/>
      <c r="BY121" s="106"/>
      <c r="BZ121" s="106"/>
      <c r="CA121" s="106"/>
      <c r="CB121" s="106"/>
      <c r="CC121" s="106"/>
      <c r="CD121" s="106"/>
      <c r="CE121" s="106"/>
      <c r="CF121" s="106"/>
      <c r="CG121" s="106"/>
      <c r="CH121" s="106"/>
      <c r="CI121" s="106"/>
      <c r="CJ121" s="106"/>
      <c r="CK121" s="106"/>
      <c r="CL121" s="106"/>
      <c r="CM121" s="106"/>
      <c r="CN121" s="106"/>
      <c r="CO121" s="106"/>
      <c r="CP121" s="106"/>
      <c r="CQ121" s="106"/>
      <c r="CR121" s="106"/>
      <c r="CS121" s="106"/>
      <c r="CT121" s="106"/>
      <c r="CU121" s="106"/>
      <c r="CV121" s="106"/>
      <c r="CW121" s="106"/>
      <c r="CX121" s="106"/>
      <c r="CY121" s="106"/>
      <c r="CZ121" s="106"/>
      <c r="DA121" s="106"/>
      <c r="DB121" s="106"/>
      <c r="DC121" s="106"/>
      <c r="DD121" s="106"/>
      <c r="DE121" s="106"/>
      <c r="DF121" s="106"/>
      <c r="DG121" s="106"/>
      <c r="DH121" s="106"/>
      <c r="DI121" s="106"/>
      <c r="DJ121" s="106"/>
      <c r="DK121" s="106"/>
      <c r="DL121" s="106"/>
      <c r="DM121" s="106"/>
      <c r="DN121" s="106"/>
      <c r="DO121" s="106"/>
      <c r="DP121" s="106"/>
      <c r="DQ121" s="106"/>
      <c r="DR121" s="106"/>
      <c r="DS121" s="106"/>
      <c r="DT121" s="106"/>
      <c r="DU121" s="106"/>
      <c r="DV121" s="106"/>
      <c r="DW121" s="106"/>
      <c r="DX121" s="106"/>
      <c r="DY121" s="106"/>
      <c r="DZ121" s="106"/>
      <c r="EA121" s="106"/>
      <c r="EB121" s="106"/>
      <c r="EC121" s="106"/>
      <c r="ED121" s="106"/>
      <c r="EE121" s="106"/>
      <c r="EF121" s="106"/>
      <c r="EG121" s="106"/>
      <c r="EH121" s="106"/>
      <c r="EI121" s="106"/>
      <c r="EJ121" s="106"/>
      <c r="EK121" s="106"/>
      <c r="EL121" s="106"/>
      <c r="EM121" s="106"/>
      <c r="EN121" s="106"/>
      <c r="EO121" s="107"/>
    </row>
    <row r="122" spans="1:255" ht="31.5">
      <c r="A122" s="108" t="s">
        <v>2246</v>
      </c>
      <c r="B122" s="123">
        <v>33419</v>
      </c>
      <c r="C122" s="109" t="s">
        <v>2247</v>
      </c>
      <c r="D122" s="123">
        <v>34150</v>
      </c>
      <c r="E122" s="123">
        <v>34515</v>
      </c>
      <c r="F122" s="123">
        <v>34880</v>
      </c>
      <c r="G122" s="123">
        <v>35246</v>
      </c>
      <c r="H122" s="123">
        <v>35611</v>
      </c>
      <c r="I122" s="109" t="s">
        <v>2248</v>
      </c>
      <c r="J122" s="109" t="s">
        <v>2249</v>
      </c>
      <c r="K122" s="123">
        <v>36707</v>
      </c>
      <c r="L122" s="109" t="s">
        <v>2250</v>
      </c>
      <c r="M122" s="123">
        <v>37437</v>
      </c>
      <c r="N122" s="109" t="s">
        <v>2251</v>
      </c>
      <c r="O122" s="109" t="s">
        <v>2252</v>
      </c>
      <c r="P122" s="123">
        <v>38533</v>
      </c>
      <c r="Q122" s="123">
        <v>38898</v>
      </c>
      <c r="R122" s="123">
        <v>39263</v>
      </c>
      <c r="S122" s="123">
        <v>39629</v>
      </c>
      <c r="T122" s="123">
        <v>39994</v>
      </c>
      <c r="U122" s="123">
        <v>40359</v>
      </c>
      <c r="V122" s="123">
        <v>40724</v>
      </c>
      <c r="W122" s="123">
        <v>41090</v>
      </c>
      <c r="X122" s="123">
        <v>41455</v>
      </c>
      <c r="Y122" s="123">
        <v>41820</v>
      </c>
      <c r="Z122" s="109" t="s">
        <v>2253</v>
      </c>
      <c r="AA122" s="109" t="s">
        <v>2254</v>
      </c>
      <c r="AB122" s="109" t="s">
        <v>2255</v>
      </c>
      <c r="AC122" s="123">
        <v>43281</v>
      </c>
      <c r="AD122" s="123">
        <v>43646</v>
      </c>
      <c r="AE122" s="123">
        <v>43921</v>
      </c>
      <c r="AG122" s="108" t="s">
        <v>2246</v>
      </c>
      <c r="AH122" s="109" t="s">
        <v>2256</v>
      </c>
      <c r="AI122" s="109" t="s">
        <v>2257</v>
      </c>
      <c r="AJ122" s="109" t="s">
        <v>2258</v>
      </c>
      <c r="AK122" s="109" t="s">
        <v>2259</v>
      </c>
      <c r="AL122" s="109" t="s">
        <v>2260</v>
      </c>
      <c r="AM122" s="109" t="s">
        <v>2261</v>
      </c>
      <c r="AN122" s="109" t="s">
        <v>2262</v>
      </c>
      <c r="AO122" s="109" t="s">
        <v>2263</v>
      </c>
      <c r="AP122" s="109" t="s">
        <v>2264</v>
      </c>
      <c r="AQ122" s="109" t="s">
        <v>2265</v>
      </c>
      <c r="AR122" s="109" t="s">
        <v>2266</v>
      </c>
      <c r="AS122" s="109" t="s">
        <v>2267</v>
      </c>
      <c r="AT122" s="109" t="s">
        <v>2268</v>
      </c>
      <c r="AU122" s="109" t="s">
        <v>2269</v>
      </c>
      <c r="AV122" s="109" t="s">
        <v>2270</v>
      </c>
      <c r="AW122" s="109" t="s">
        <v>2271</v>
      </c>
      <c r="AX122" s="109" t="s">
        <v>2272</v>
      </c>
      <c r="AY122" s="109" t="s">
        <v>2273</v>
      </c>
      <c r="AZ122" s="109" t="s">
        <v>2274</v>
      </c>
      <c r="BA122" s="109" t="s">
        <v>2275</v>
      </c>
      <c r="BB122" s="109" t="s">
        <v>2276</v>
      </c>
      <c r="BC122" s="109" t="s">
        <v>2277</v>
      </c>
      <c r="BD122" s="109" t="s">
        <v>2278</v>
      </c>
      <c r="BE122" s="109" t="s">
        <v>2279</v>
      </c>
      <c r="BF122" s="109" t="s">
        <v>2280</v>
      </c>
      <c r="BG122" s="109" t="s">
        <v>2281</v>
      </c>
      <c r="BH122" s="109" t="s">
        <v>2282</v>
      </c>
      <c r="BI122" s="109" t="s">
        <v>2283</v>
      </c>
      <c r="BJ122" s="109" t="s">
        <v>2284</v>
      </c>
      <c r="BK122" s="109" t="s">
        <v>2285</v>
      </c>
      <c r="BL122" s="109" t="s">
        <v>2286</v>
      </c>
      <c r="BM122" s="109" t="s">
        <v>2287</v>
      </c>
      <c r="BN122" s="109" t="s">
        <v>2288</v>
      </c>
      <c r="BO122" s="109" t="s">
        <v>2289</v>
      </c>
      <c r="BP122" s="109" t="s">
        <v>2290</v>
      </c>
      <c r="BQ122" s="109" t="s">
        <v>2291</v>
      </c>
      <c r="BR122" s="109" t="s">
        <v>2292</v>
      </c>
      <c r="BS122" s="109" t="s">
        <v>2293</v>
      </c>
      <c r="BT122" s="109" t="s">
        <v>2294</v>
      </c>
      <c r="BU122" s="109" t="s">
        <v>2295</v>
      </c>
      <c r="BV122" s="109" t="s">
        <v>2296</v>
      </c>
      <c r="BW122" s="109" t="s">
        <v>2297</v>
      </c>
      <c r="BX122" s="109" t="s">
        <v>2298</v>
      </c>
      <c r="BY122" s="109" t="s">
        <v>2299</v>
      </c>
      <c r="BZ122" s="109" t="s">
        <v>2300</v>
      </c>
      <c r="CA122" s="109" t="s">
        <v>2301</v>
      </c>
      <c r="CB122" s="109" t="s">
        <v>2302</v>
      </c>
      <c r="CC122" s="109" t="s">
        <v>2303</v>
      </c>
      <c r="CD122" s="109" t="s">
        <v>2304</v>
      </c>
      <c r="CE122" s="109" t="s">
        <v>2305</v>
      </c>
      <c r="CF122" s="109" t="s">
        <v>2306</v>
      </c>
      <c r="CG122" s="109" t="s">
        <v>2307</v>
      </c>
      <c r="CH122" s="109" t="s">
        <v>2308</v>
      </c>
      <c r="CI122" s="109" t="s">
        <v>2309</v>
      </c>
      <c r="CJ122" s="109" t="s">
        <v>2310</v>
      </c>
      <c r="CK122" s="109" t="s">
        <v>2311</v>
      </c>
      <c r="CL122" s="109" t="s">
        <v>2312</v>
      </c>
      <c r="CM122" s="109" t="s">
        <v>2313</v>
      </c>
      <c r="CN122" s="109" t="s">
        <v>2314</v>
      </c>
      <c r="CO122" s="109" t="s">
        <v>2315</v>
      </c>
      <c r="CP122" s="109" t="s">
        <v>2316</v>
      </c>
      <c r="CQ122" s="109" t="s">
        <v>2317</v>
      </c>
      <c r="CR122" s="109" t="s">
        <v>2318</v>
      </c>
      <c r="CS122" s="109" t="s">
        <v>2319</v>
      </c>
      <c r="CT122" s="109" t="s">
        <v>2320</v>
      </c>
      <c r="CU122" s="109" t="s">
        <v>2321</v>
      </c>
      <c r="CV122" s="109" t="s">
        <v>2322</v>
      </c>
      <c r="CW122" s="109" t="s">
        <v>2323</v>
      </c>
      <c r="CX122" s="109" t="s">
        <v>2324</v>
      </c>
      <c r="CY122" s="109" t="s">
        <v>2325</v>
      </c>
      <c r="CZ122" s="109" t="s">
        <v>2326</v>
      </c>
      <c r="DA122" s="109" t="s">
        <v>2327</v>
      </c>
      <c r="DB122" s="109" t="s">
        <v>2328</v>
      </c>
      <c r="DC122" s="109" t="s">
        <v>2329</v>
      </c>
      <c r="DD122" s="109" t="s">
        <v>2330</v>
      </c>
      <c r="DE122" s="109" t="s">
        <v>2331</v>
      </c>
      <c r="DF122" s="109" t="s">
        <v>2332</v>
      </c>
      <c r="DG122" s="109" t="s">
        <v>2333</v>
      </c>
      <c r="DH122" s="109" t="s">
        <v>2334</v>
      </c>
      <c r="DI122" s="109" t="s">
        <v>2335</v>
      </c>
      <c r="DJ122" s="109" t="s">
        <v>2336</v>
      </c>
      <c r="DK122" s="109" t="s">
        <v>2337</v>
      </c>
      <c r="DL122" s="109" t="s">
        <v>2338</v>
      </c>
      <c r="DM122" s="109" t="s">
        <v>2339</v>
      </c>
      <c r="DN122" s="109" t="s">
        <v>2340</v>
      </c>
      <c r="DO122" s="109" t="s">
        <v>2341</v>
      </c>
      <c r="DP122" s="109" t="s">
        <v>2342</v>
      </c>
      <c r="DQ122" s="109" t="s">
        <v>2343</v>
      </c>
      <c r="DR122" s="109" t="s">
        <v>2344</v>
      </c>
      <c r="DS122" s="109" t="s">
        <v>2345</v>
      </c>
      <c r="DT122" s="109" t="s">
        <v>2346</v>
      </c>
      <c r="DU122" s="109" t="s">
        <v>2347</v>
      </c>
      <c r="DV122" s="109" t="s">
        <v>2348</v>
      </c>
      <c r="DW122" s="109" t="s">
        <v>2349</v>
      </c>
      <c r="DX122" s="109" t="s">
        <v>2350</v>
      </c>
      <c r="DY122" s="109" t="s">
        <v>2351</v>
      </c>
      <c r="DZ122" s="109" t="s">
        <v>2352</v>
      </c>
      <c r="EA122" s="109" t="s">
        <v>2353</v>
      </c>
      <c r="EB122" s="109" t="s">
        <v>2354</v>
      </c>
      <c r="EC122" s="109" t="s">
        <v>2355</v>
      </c>
      <c r="ED122" s="109" t="s">
        <v>2356</v>
      </c>
      <c r="EE122" s="109" t="s">
        <v>2357</v>
      </c>
      <c r="EF122" s="109" t="s">
        <v>2358</v>
      </c>
      <c r="EG122" s="109" t="s">
        <v>2359</v>
      </c>
      <c r="EH122" s="109" t="s">
        <v>2360</v>
      </c>
      <c r="EI122" s="109" t="s">
        <v>2361</v>
      </c>
      <c r="EJ122" s="109" t="s">
        <v>2362</v>
      </c>
      <c r="EK122" s="109" t="s">
        <v>2363</v>
      </c>
      <c r="EL122" s="109" t="s">
        <v>2364</v>
      </c>
      <c r="EM122" s="109" t="s">
        <v>2365</v>
      </c>
      <c r="EN122" s="109" t="s">
        <v>2366</v>
      </c>
    </row>
    <row r="123" spans="1:255">
      <c r="A123" s="110" t="s">
        <v>2158</v>
      </c>
      <c r="B123" s="111" t="s">
        <v>673</v>
      </c>
      <c r="C123" s="111" t="s">
        <v>673</v>
      </c>
      <c r="D123" s="111" t="s">
        <v>673</v>
      </c>
      <c r="E123" s="111" t="s">
        <v>673</v>
      </c>
      <c r="F123" s="111" t="s">
        <v>673</v>
      </c>
      <c r="G123" s="111" t="s">
        <v>673</v>
      </c>
      <c r="H123" s="111" t="s">
        <v>673</v>
      </c>
      <c r="I123" s="111" t="s">
        <v>673</v>
      </c>
      <c r="J123" s="111" t="s">
        <v>673</v>
      </c>
      <c r="K123" s="111" t="s">
        <v>673</v>
      </c>
      <c r="L123" s="111" t="s">
        <v>673</v>
      </c>
      <c r="M123" s="111" t="s">
        <v>673</v>
      </c>
      <c r="N123" s="111" t="s">
        <v>673</v>
      </c>
      <c r="O123" s="111" t="s">
        <v>673</v>
      </c>
      <c r="P123" s="111" t="s">
        <v>673</v>
      </c>
      <c r="Q123" s="111" t="s">
        <v>673</v>
      </c>
      <c r="R123" s="111" t="s">
        <v>673</v>
      </c>
      <c r="S123" s="111" t="s">
        <v>673</v>
      </c>
      <c r="T123" s="111" t="s">
        <v>673</v>
      </c>
      <c r="U123" s="111" t="s">
        <v>673</v>
      </c>
      <c r="V123" s="111" t="s">
        <v>673</v>
      </c>
      <c r="W123" s="111" t="s">
        <v>673</v>
      </c>
      <c r="X123" s="111" t="s">
        <v>673</v>
      </c>
      <c r="Y123" s="111" t="s">
        <v>673</v>
      </c>
      <c r="Z123" s="111" t="s">
        <v>673</v>
      </c>
      <c r="AA123" s="111" t="s">
        <v>673</v>
      </c>
      <c r="AB123" s="111" t="s">
        <v>673</v>
      </c>
      <c r="AC123" s="111" t="s">
        <v>673</v>
      </c>
      <c r="AD123" s="111" t="s">
        <v>673</v>
      </c>
      <c r="AE123" s="111" t="s">
        <v>673</v>
      </c>
      <c r="AG123" s="110" t="s">
        <v>2158</v>
      </c>
      <c r="AH123" s="111" t="s">
        <v>673</v>
      </c>
      <c r="AI123" s="111" t="s">
        <v>673</v>
      </c>
      <c r="AJ123" s="111" t="s">
        <v>673</v>
      </c>
      <c r="AK123" s="111" t="s">
        <v>673</v>
      </c>
      <c r="AL123" s="111" t="s">
        <v>673</v>
      </c>
      <c r="AM123" s="111" t="s">
        <v>673</v>
      </c>
      <c r="AN123" s="111" t="s">
        <v>673</v>
      </c>
      <c r="AO123" s="111" t="s">
        <v>673</v>
      </c>
      <c r="AP123" s="111" t="s">
        <v>673</v>
      </c>
      <c r="AQ123" s="111" t="s">
        <v>673</v>
      </c>
      <c r="AR123" s="111" t="s">
        <v>673</v>
      </c>
      <c r="AS123" s="111" t="s">
        <v>673</v>
      </c>
      <c r="AT123" s="111" t="s">
        <v>673</v>
      </c>
      <c r="AU123" s="111" t="s">
        <v>673</v>
      </c>
      <c r="AV123" s="111" t="s">
        <v>673</v>
      </c>
      <c r="AW123" s="111" t="s">
        <v>673</v>
      </c>
      <c r="AX123" s="111" t="s">
        <v>673</v>
      </c>
      <c r="AY123" s="111" t="s">
        <v>673</v>
      </c>
      <c r="AZ123" s="111" t="s">
        <v>673</v>
      </c>
      <c r="BA123" s="111" t="s">
        <v>673</v>
      </c>
      <c r="BB123" s="111" t="s">
        <v>673</v>
      </c>
      <c r="BC123" s="111" t="s">
        <v>673</v>
      </c>
      <c r="BD123" s="111" t="s">
        <v>673</v>
      </c>
      <c r="BE123" s="111" t="s">
        <v>673</v>
      </c>
      <c r="BF123" s="111" t="s">
        <v>673</v>
      </c>
      <c r="BG123" s="111" t="s">
        <v>673</v>
      </c>
      <c r="BH123" s="111" t="s">
        <v>673</v>
      </c>
      <c r="BI123" s="111" t="s">
        <v>673</v>
      </c>
      <c r="BJ123" s="111" t="s">
        <v>673</v>
      </c>
      <c r="BK123" s="111" t="s">
        <v>673</v>
      </c>
      <c r="BL123" s="111" t="s">
        <v>673</v>
      </c>
      <c r="BM123" s="111" t="s">
        <v>673</v>
      </c>
      <c r="BN123" s="111" t="s">
        <v>673</v>
      </c>
      <c r="BO123" s="111" t="s">
        <v>673</v>
      </c>
      <c r="BP123" s="111" t="s">
        <v>673</v>
      </c>
      <c r="BQ123" s="111" t="s">
        <v>673</v>
      </c>
      <c r="BR123" s="111" t="s">
        <v>673</v>
      </c>
      <c r="BS123" s="111" t="s">
        <v>673</v>
      </c>
      <c r="BT123" s="111" t="s">
        <v>673</v>
      </c>
      <c r="BU123" s="111" t="s">
        <v>673</v>
      </c>
      <c r="BV123" s="111" t="s">
        <v>673</v>
      </c>
      <c r="BW123" s="111" t="s">
        <v>673</v>
      </c>
      <c r="BX123" s="111" t="s">
        <v>673</v>
      </c>
      <c r="BY123" s="111" t="s">
        <v>673</v>
      </c>
      <c r="BZ123" s="111" t="s">
        <v>673</v>
      </c>
      <c r="CA123" s="111" t="s">
        <v>673</v>
      </c>
      <c r="CB123" s="111" t="s">
        <v>673</v>
      </c>
      <c r="CC123" s="111" t="s">
        <v>673</v>
      </c>
      <c r="CD123" s="111" t="s">
        <v>673</v>
      </c>
      <c r="CE123" s="111" t="s">
        <v>673</v>
      </c>
      <c r="CF123" s="111" t="s">
        <v>673</v>
      </c>
      <c r="CG123" s="111" t="s">
        <v>673</v>
      </c>
      <c r="CH123" s="111" t="s">
        <v>673</v>
      </c>
      <c r="CI123" s="111" t="s">
        <v>673</v>
      </c>
      <c r="CJ123" s="111" t="s">
        <v>673</v>
      </c>
      <c r="CK123" s="111" t="s">
        <v>673</v>
      </c>
      <c r="CL123" s="111" t="s">
        <v>673</v>
      </c>
      <c r="CM123" s="111" t="s">
        <v>673</v>
      </c>
      <c r="CN123" s="111" t="s">
        <v>673</v>
      </c>
      <c r="CO123" s="111" t="s">
        <v>673</v>
      </c>
      <c r="CP123" s="111" t="s">
        <v>673</v>
      </c>
      <c r="CQ123" s="111" t="s">
        <v>673</v>
      </c>
      <c r="CR123" s="111" t="s">
        <v>673</v>
      </c>
      <c r="CS123" s="111" t="s">
        <v>673</v>
      </c>
      <c r="CT123" s="111" t="s">
        <v>673</v>
      </c>
      <c r="CU123" s="111" t="s">
        <v>673</v>
      </c>
      <c r="CV123" s="111" t="s">
        <v>673</v>
      </c>
      <c r="CW123" s="111" t="s">
        <v>673</v>
      </c>
      <c r="CX123" s="111" t="s">
        <v>673</v>
      </c>
      <c r="CY123" s="111" t="s">
        <v>673</v>
      </c>
      <c r="CZ123" s="111" t="s">
        <v>673</v>
      </c>
      <c r="DA123" s="111" t="s">
        <v>673</v>
      </c>
      <c r="DB123" s="111" t="s">
        <v>673</v>
      </c>
      <c r="DC123" s="111" t="s">
        <v>673</v>
      </c>
      <c r="DD123" s="111" t="s">
        <v>673</v>
      </c>
      <c r="DE123" s="111" t="s">
        <v>673</v>
      </c>
      <c r="DF123" s="111" t="s">
        <v>673</v>
      </c>
      <c r="DG123" s="111" t="s">
        <v>673</v>
      </c>
      <c r="DH123" s="111" t="s">
        <v>673</v>
      </c>
      <c r="DI123" s="111" t="s">
        <v>673</v>
      </c>
      <c r="DJ123" s="111" t="s">
        <v>673</v>
      </c>
      <c r="DK123" s="111" t="s">
        <v>673</v>
      </c>
      <c r="DL123" s="111" t="s">
        <v>673</v>
      </c>
      <c r="DM123" s="111" t="s">
        <v>673</v>
      </c>
      <c r="DN123" s="111" t="s">
        <v>673</v>
      </c>
      <c r="DO123" s="111" t="s">
        <v>673</v>
      </c>
      <c r="DP123" s="111" t="s">
        <v>673</v>
      </c>
      <c r="DQ123" s="111" t="s">
        <v>673</v>
      </c>
      <c r="DR123" s="111" t="s">
        <v>673</v>
      </c>
      <c r="DS123" s="111" t="s">
        <v>673</v>
      </c>
      <c r="DT123" s="111" t="s">
        <v>673</v>
      </c>
      <c r="DU123" s="111" t="s">
        <v>673</v>
      </c>
      <c r="DV123" s="111" t="s">
        <v>673</v>
      </c>
      <c r="DW123" s="111" t="s">
        <v>673</v>
      </c>
      <c r="DX123" s="111" t="s">
        <v>673</v>
      </c>
      <c r="DY123" s="111" t="s">
        <v>673</v>
      </c>
      <c r="DZ123" s="111" t="s">
        <v>673</v>
      </c>
      <c r="EA123" s="111" t="s">
        <v>673</v>
      </c>
      <c r="EB123" s="111" t="s">
        <v>673</v>
      </c>
      <c r="EC123" s="111" t="s">
        <v>673</v>
      </c>
      <c r="ED123" s="111" t="s">
        <v>673</v>
      </c>
      <c r="EE123" s="111" t="s">
        <v>673</v>
      </c>
      <c r="EF123" s="111" t="s">
        <v>673</v>
      </c>
      <c r="EG123" s="111" t="s">
        <v>673</v>
      </c>
      <c r="EH123" s="111" t="s">
        <v>673</v>
      </c>
      <c r="EI123" s="111" t="s">
        <v>673</v>
      </c>
      <c r="EJ123" s="111" t="s">
        <v>673</v>
      </c>
      <c r="EK123" s="111" t="s">
        <v>673</v>
      </c>
      <c r="EL123" s="111" t="s">
        <v>673</v>
      </c>
      <c r="EM123" s="111" t="s">
        <v>673</v>
      </c>
      <c r="EN123" s="111" t="s">
        <v>673</v>
      </c>
    </row>
    <row r="124" spans="1:255" ht="10.5">
      <c r="A124" s="112" t="s">
        <v>1633</v>
      </c>
      <c r="B124" s="103"/>
      <c r="C124" s="103"/>
      <c r="D124" s="103"/>
      <c r="E124" s="103"/>
      <c r="F124" s="103"/>
      <c r="G124" s="103"/>
      <c r="H124" s="103"/>
      <c r="I124" s="103"/>
      <c r="J124" s="103"/>
      <c r="K124" s="103"/>
      <c r="L124" s="103"/>
      <c r="M124" s="103"/>
      <c r="N124" s="103"/>
      <c r="O124" s="103"/>
      <c r="P124" s="103"/>
      <c r="Q124" s="103"/>
      <c r="R124" s="103"/>
      <c r="S124" s="103"/>
      <c r="T124" s="103"/>
      <c r="U124" s="103"/>
      <c r="V124" s="103"/>
      <c r="W124" s="103"/>
      <c r="X124" s="103"/>
      <c r="Y124" s="103"/>
      <c r="Z124" s="103"/>
      <c r="AA124" s="103"/>
      <c r="AB124" s="103"/>
      <c r="AC124" s="103"/>
      <c r="AD124" s="103"/>
      <c r="AE124" s="103"/>
      <c r="AG124" s="112" t="s">
        <v>1633</v>
      </c>
      <c r="AH124" s="103"/>
      <c r="AI124" s="103"/>
      <c r="AJ124" s="103"/>
      <c r="AK124" s="103"/>
      <c r="AL124" s="103"/>
      <c r="AM124" s="103"/>
      <c r="AN124" s="103"/>
      <c r="AO124" s="103"/>
      <c r="AP124" s="103"/>
      <c r="AQ124" s="103"/>
      <c r="AR124" s="103"/>
      <c r="AS124" s="103"/>
      <c r="AT124" s="103"/>
      <c r="AU124" s="103"/>
      <c r="AV124" s="103"/>
      <c r="AW124" s="103"/>
      <c r="AX124" s="103"/>
      <c r="AY124" s="103"/>
      <c r="AZ124" s="103"/>
      <c r="BA124" s="103"/>
      <c r="BB124" s="103"/>
      <c r="BC124" s="103"/>
      <c r="BD124" s="103"/>
      <c r="BE124" s="103"/>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03"/>
      <c r="CR124" s="103"/>
      <c r="CS124" s="103"/>
      <c r="CT124" s="103"/>
      <c r="CU124" s="103"/>
      <c r="CV124" s="103"/>
      <c r="CW124" s="103"/>
      <c r="CX124" s="103"/>
      <c r="CY124" s="103"/>
      <c r="CZ124" s="103"/>
      <c r="DA124" s="103"/>
      <c r="DB124" s="103"/>
      <c r="DC124" s="103"/>
      <c r="DD124" s="103"/>
      <c r="DE124" s="103"/>
      <c r="DF124" s="103"/>
      <c r="DG124" s="103"/>
      <c r="DH124" s="103"/>
      <c r="DI124" s="103"/>
      <c r="DJ124" s="103"/>
      <c r="DK124" s="103"/>
      <c r="DL124" s="103"/>
      <c r="DM124" s="103"/>
      <c r="DN124" s="103"/>
      <c r="DO124" s="103"/>
      <c r="DP124" s="103"/>
      <c r="DQ124" s="103"/>
      <c r="DR124" s="103"/>
      <c r="DS124" s="103"/>
      <c r="DT124" s="103"/>
      <c r="DU124" s="103"/>
      <c r="DV124" s="103"/>
      <c r="DW124" s="103"/>
      <c r="DX124" s="103"/>
      <c r="DY124" s="103"/>
      <c r="DZ124" s="103"/>
      <c r="EA124" s="103"/>
      <c r="EB124" s="103"/>
      <c r="EC124" s="103"/>
      <c r="ED124" s="103"/>
      <c r="EE124" s="103"/>
      <c r="EF124" s="103"/>
      <c r="EG124" s="103"/>
      <c r="EH124" s="103"/>
      <c r="EI124" s="103"/>
      <c r="EJ124" s="103"/>
      <c r="EK124" s="103"/>
      <c r="EL124" s="103"/>
      <c r="EM124" s="103"/>
      <c r="EN124" s="103"/>
    </row>
    <row r="125" spans="1:255">
      <c r="A125" s="103" t="s">
        <v>2367</v>
      </c>
      <c r="B125" s="113">
        <v>686.31399999999996</v>
      </c>
      <c r="C125" s="113">
        <v>791</v>
      </c>
      <c r="D125" s="113">
        <v>1013</v>
      </c>
      <c r="E125" s="113">
        <v>1477</v>
      </c>
      <c r="F125" s="113">
        <v>1962</v>
      </c>
      <c r="G125" s="113">
        <v>2601</v>
      </c>
      <c r="H125" s="113">
        <v>3706</v>
      </c>
      <c r="I125" s="113">
        <v>3839</v>
      </c>
      <c r="J125" s="113">
        <v>4975</v>
      </c>
      <c r="K125" s="113">
        <v>4846</v>
      </c>
      <c r="L125" s="113">
        <v>3922</v>
      </c>
      <c r="M125" s="113">
        <v>3016</v>
      </c>
      <c r="N125" s="113">
        <v>6438</v>
      </c>
      <c r="O125" s="113">
        <v>14304</v>
      </c>
      <c r="P125" s="113">
        <v>4851</v>
      </c>
      <c r="Q125" s="113">
        <v>6714</v>
      </c>
      <c r="R125" s="113">
        <v>6111</v>
      </c>
      <c r="S125" s="113">
        <v>10339</v>
      </c>
      <c r="T125" s="113">
        <v>6076</v>
      </c>
      <c r="U125" s="113">
        <v>5505</v>
      </c>
      <c r="V125" s="113">
        <v>9610</v>
      </c>
      <c r="W125" s="113">
        <v>6938</v>
      </c>
      <c r="X125" s="113">
        <v>3804</v>
      </c>
      <c r="Y125" s="113">
        <v>8669</v>
      </c>
      <c r="Z125" s="113">
        <v>5595</v>
      </c>
      <c r="AA125" s="113">
        <v>6510</v>
      </c>
      <c r="AB125" s="113">
        <v>7663</v>
      </c>
      <c r="AC125" s="113">
        <v>11946</v>
      </c>
      <c r="AD125" s="113">
        <v>11356</v>
      </c>
      <c r="AE125" s="113">
        <v>11710</v>
      </c>
      <c r="AG125" s="103" t="s">
        <v>2367</v>
      </c>
      <c r="AH125" s="113">
        <v>0</v>
      </c>
      <c r="AI125" s="113">
        <v>0</v>
      </c>
      <c r="AJ125" s="113">
        <v>0</v>
      </c>
      <c r="AK125" s="113">
        <v>1013</v>
      </c>
      <c r="AL125" s="113">
        <v>0</v>
      </c>
      <c r="AM125" s="113">
        <v>951</v>
      </c>
      <c r="AN125" s="113">
        <v>1152</v>
      </c>
      <c r="AO125" s="113">
        <v>1477</v>
      </c>
      <c r="AP125" s="113">
        <v>1326</v>
      </c>
      <c r="AQ125" s="113">
        <v>917</v>
      </c>
      <c r="AR125" s="113">
        <v>1205</v>
      </c>
      <c r="AS125" s="113">
        <v>1962</v>
      </c>
      <c r="AT125" s="113">
        <v>1906</v>
      </c>
      <c r="AU125" s="113">
        <v>2323</v>
      </c>
      <c r="AV125" s="113">
        <v>2937</v>
      </c>
      <c r="AW125" s="113">
        <v>2601</v>
      </c>
      <c r="AX125" s="113">
        <v>3018</v>
      </c>
      <c r="AY125" s="113">
        <v>3096</v>
      </c>
      <c r="AZ125" s="113">
        <v>3852</v>
      </c>
      <c r="BA125" s="113">
        <v>3706</v>
      </c>
      <c r="BB125" s="113">
        <v>3945</v>
      </c>
      <c r="BC125" s="113">
        <v>2582</v>
      </c>
      <c r="BD125" s="113">
        <v>4110</v>
      </c>
      <c r="BE125" s="113">
        <v>3839</v>
      </c>
      <c r="BF125" s="113">
        <v>5191</v>
      </c>
      <c r="BG125" s="113">
        <v>6113</v>
      </c>
      <c r="BH125" s="113">
        <v>6203</v>
      </c>
      <c r="BI125" s="113">
        <v>4975</v>
      </c>
      <c r="BJ125" s="113">
        <v>4789</v>
      </c>
      <c r="BK125" s="113">
        <v>5032</v>
      </c>
      <c r="BL125" s="113">
        <v>5192</v>
      </c>
      <c r="BM125" s="113">
        <v>4846</v>
      </c>
      <c r="BN125" s="113">
        <v>2641</v>
      </c>
      <c r="BO125" s="113">
        <v>3531</v>
      </c>
      <c r="BP125" s="113">
        <v>4149</v>
      </c>
      <c r="BQ125" s="113">
        <v>3922</v>
      </c>
      <c r="BR125" s="113">
        <v>3113</v>
      </c>
      <c r="BS125" s="113">
        <v>5256</v>
      </c>
      <c r="BT125" s="113">
        <v>5116</v>
      </c>
      <c r="BU125" s="113">
        <v>3016</v>
      </c>
      <c r="BV125" s="113">
        <v>5338</v>
      </c>
      <c r="BW125" s="113">
        <v>5552</v>
      </c>
      <c r="BX125" s="113">
        <v>4300</v>
      </c>
      <c r="BY125" s="113">
        <v>6438</v>
      </c>
      <c r="BZ125" s="113">
        <v>5768</v>
      </c>
      <c r="CA125" s="113">
        <v>6149</v>
      </c>
      <c r="CB125" s="113">
        <v>9348</v>
      </c>
      <c r="CC125" s="113">
        <v>14304</v>
      </c>
      <c r="CD125" s="113">
        <v>11141</v>
      </c>
      <c r="CE125" s="113">
        <v>4556</v>
      </c>
      <c r="CF125" s="113">
        <v>3782</v>
      </c>
      <c r="CG125" s="113">
        <v>4851</v>
      </c>
      <c r="CH125" s="113">
        <v>2974</v>
      </c>
      <c r="CI125" s="113">
        <v>4083</v>
      </c>
      <c r="CJ125" s="113">
        <v>4351</v>
      </c>
      <c r="CK125" s="113">
        <v>6714</v>
      </c>
      <c r="CL125" s="113">
        <v>9076</v>
      </c>
      <c r="CM125" s="113">
        <v>6859</v>
      </c>
      <c r="CN125" s="113">
        <v>7611</v>
      </c>
      <c r="CO125" s="113">
        <v>6111</v>
      </c>
      <c r="CP125" s="113">
        <v>6637</v>
      </c>
      <c r="CQ125" s="113">
        <v>7460</v>
      </c>
      <c r="CR125" s="113">
        <v>11820</v>
      </c>
      <c r="CS125" s="113">
        <v>10339</v>
      </c>
      <c r="CT125" s="113">
        <v>9004</v>
      </c>
      <c r="CU125" s="113">
        <v>8346</v>
      </c>
      <c r="CV125" s="113">
        <v>7285</v>
      </c>
      <c r="CW125" s="113">
        <v>6076</v>
      </c>
      <c r="CX125" s="113">
        <v>8823</v>
      </c>
      <c r="CY125" s="113">
        <v>9422</v>
      </c>
      <c r="CZ125" s="113">
        <v>8155</v>
      </c>
      <c r="DA125" s="113">
        <v>5505</v>
      </c>
      <c r="DB125" s="113">
        <v>8161</v>
      </c>
      <c r="DC125" s="113">
        <v>4023</v>
      </c>
      <c r="DD125" s="113">
        <v>7021</v>
      </c>
      <c r="DE125" s="113">
        <v>9610</v>
      </c>
      <c r="DF125" s="113">
        <v>12881</v>
      </c>
      <c r="DG125" s="113">
        <v>10610</v>
      </c>
      <c r="DH125" s="113">
        <v>6388</v>
      </c>
      <c r="DI125" s="113">
        <v>6938</v>
      </c>
      <c r="DJ125" s="113">
        <v>5036</v>
      </c>
      <c r="DK125" s="113">
        <v>6017</v>
      </c>
      <c r="DL125" s="113">
        <v>5240</v>
      </c>
      <c r="DM125" s="113">
        <v>3804</v>
      </c>
      <c r="DN125" s="113">
        <v>4023</v>
      </c>
      <c r="DO125" s="113">
        <v>10059</v>
      </c>
      <c r="DP125" s="113">
        <v>11572</v>
      </c>
      <c r="DQ125" s="113">
        <v>8669</v>
      </c>
      <c r="DR125" s="113">
        <v>6302</v>
      </c>
      <c r="DS125" s="113">
        <v>6426</v>
      </c>
      <c r="DT125" s="113">
        <v>7414</v>
      </c>
      <c r="DU125" s="113">
        <v>5595</v>
      </c>
      <c r="DV125" s="113">
        <v>5431</v>
      </c>
      <c r="DW125" s="113">
        <v>7185</v>
      </c>
      <c r="DX125" s="113">
        <v>7170</v>
      </c>
      <c r="DY125" s="113">
        <v>6510</v>
      </c>
      <c r="DZ125" s="113">
        <v>13928</v>
      </c>
      <c r="EA125" s="113">
        <v>8468</v>
      </c>
      <c r="EB125" s="113">
        <v>6713</v>
      </c>
      <c r="EC125" s="113">
        <v>7663</v>
      </c>
      <c r="ED125" s="113">
        <v>6884</v>
      </c>
      <c r="EE125" s="113">
        <v>12859</v>
      </c>
      <c r="EF125" s="113">
        <v>9221</v>
      </c>
      <c r="EG125" s="113">
        <v>11946</v>
      </c>
      <c r="EH125" s="113">
        <v>15137</v>
      </c>
      <c r="EI125" s="113">
        <v>6638</v>
      </c>
      <c r="EJ125" s="113">
        <v>11212</v>
      </c>
      <c r="EK125" s="113">
        <v>11356</v>
      </c>
      <c r="EL125" s="113">
        <v>13117</v>
      </c>
      <c r="EM125" s="113">
        <v>8864</v>
      </c>
      <c r="EN125" s="113">
        <v>11710</v>
      </c>
    </row>
    <row r="126" spans="1:255">
      <c r="A126" s="103" t="s">
        <v>1636</v>
      </c>
      <c r="B126" s="113">
        <v>0</v>
      </c>
      <c r="C126" s="113">
        <v>554</v>
      </c>
      <c r="D126" s="113">
        <v>1277</v>
      </c>
      <c r="E126" s="113">
        <v>2137</v>
      </c>
      <c r="F126" s="113">
        <v>2788</v>
      </c>
      <c r="G126" s="113">
        <v>4339</v>
      </c>
      <c r="H126" s="113">
        <v>5260</v>
      </c>
      <c r="I126" s="113">
        <v>10088</v>
      </c>
      <c r="J126" s="113">
        <v>12261</v>
      </c>
      <c r="K126" s="113">
        <v>18952</v>
      </c>
      <c r="L126" s="113">
        <v>27678</v>
      </c>
      <c r="M126" s="113">
        <v>35636</v>
      </c>
      <c r="N126" s="113">
        <v>42610</v>
      </c>
      <c r="O126" s="113">
        <v>46288</v>
      </c>
      <c r="P126" s="113">
        <v>32900</v>
      </c>
      <c r="Q126" s="113">
        <v>24382</v>
      </c>
      <c r="R126" s="113">
        <v>14944</v>
      </c>
      <c r="S126" s="113">
        <v>10832</v>
      </c>
      <c r="T126" s="113">
        <v>23665</v>
      </c>
      <c r="U126" s="113">
        <v>31042</v>
      </c>
      <c r="V126" s="113">
        <v>41761</v>
      </c>
      <c r="W126" s="113">
        <v>55096</v>
      </c>
      <c r="X126" s="113">
        <v>72606</v>
      </c>
      <c r="Y126" s="113">
        <v>76477</v>
      </c>
      <c r="Z126" s="113">
        <v>90796</v>
      </c>
      <c r="AA126" s="113">
        <v>106531</v>
      </c>
      <c r="AB126" s="113">
        <v>125238</v>
      </c>
      <c r="AC126" s="113">
        <v>121718</v>
      </c>
      <c r="AD126" s="113">
        <v>122476</v>
      </c>
      <c r="AE126" s="113">
        <v>125932</v>
      </c>
      <c r="AG126" s="103" t="s">
        <v>1636</v>
      </c>
      <c r="AH126" s="113">
        <v>0</v>
      </c>
      <c r="AI126" s="113">
        <v>0</v>
      </c>
      <c r="AJ126" s="113">
        <v>0</v>
      </c>
      <c r="AK126" s="113">
        <v>1277</v>
      </c>
      <c r="AL126" s="113">
        <v>0</v>
      </c>
      <c r="AM126" s="113">
        <v>1845</v>
      </c>
      <c r="AN126" s="113">
        <v>1991</v>
      </c>
      <c r="AO126" s="113">
        <v>2137</v>
      </c>
      <c r="AP126" s="113">
        <v>2450</v>
      </c>
      <c r="AQ126" s="113">
        <v>2922</v>
      </c>
      <c r="AR126" s="113">
        <v>3260</v>
      </c>
      <c r="AS126" s="113">
        <v>2788</v>
      </c>
      <c r="AT126" s="113">
        <v>3158</v>
      </c>
      <c r="AU126" s="113">
        <v>3694</v>
      </c>
      <c r="AV126" s="113">
        <v>3833</v>
      </c>
      <c r="AW126" s="113">
        <v>4339</v>
      </c>
      <c r="AX126" s="113">
        <v>4080</v>
      </c>
      <c r="AY126" s="113">
        <v>6064</v>
      </c>
      <c r="AZ126" s="113">
        <v>5234</v>
      </c>
      <c r="BA126" s="113">
        <v>5260</v>
      </c>
      <c r="BB126" s="113">
        <v>5689</v>
      </c>
      <c r="BC126" s="113">
        <v>7523</v>
      </c>
      <c r="BD126" s="113">
        <v>8212</v>
      </c>
      <c r="BE126" s="113">
        <v>10088</v>
      </c>
      <c r="BF126" s="113">
        <v>12051</v>
      </c>
      <c r="BG126" s="113">
        <v>13124</v>
      </c>
      <c r="BH126" s="113">
        <v>15558</v>
      </c>
      <c r="BI126" s="113">
        <v>12261</v>
      </c>
      <c r="BJ126" s="113">
        <v>14113</v>
      </c>
      <c r="BK126" s="113">
        <v>12811</v>
      </c>
      <c r="BL126" s="113">
        <v>16013</v>
      </c>
      <c r="BM126" s="113">
        <v>18952</v>
      </c>
      <c r="BN126" s="113">
        <v>22070</v>
      </c>
      <c r="BO126" s="113">
        <v>23358</v>
      </c>
      <c r="BP126" s="113">
        <v>25869</v>
      </c>
      <c r="BQ126" s="113">
        <v>27678</v>
      </c>
      <c r="BR126" s="113">
        <v>33050</v>
      </c>
      <c r="BS126" s="113">
        <v>32973</v>
      </c>
      <c r="BT126" s="113">
        <v>33577</v>
      </c>
      <c r="BU126" s="113">
        <v>35636</v>
      </c>
      <c r="BV126" s="113">
        <v>35137</v>
      </c>
      <c r="BW126" s="113">
        <v>37872</v>
      </c>
      <c r="BX126" s="113">
        <v>41878</v>
      </c>
      <c r="BY126" s="113">
        <v>42610</v>
      </c>
      <c r="BZ126" s="113">
        <v>45854</v>
      </c>
      <c r="CA126" s="113">
        <v>46628</v>
      </c>
      <c r="CB126" s="113">
        <v>47059</v>
      </c>
      <c r="CC126" s="113">
        <v>46288</v>
      </c>
      <c r="CD126" s="113">
        <v>53274</v>
      </c>
      <c r="CE126" s="113">
        <v>29948</v>
      </c>
      <c r="CF126" s="113">
        <v>33812</v>
      </c>
      <c r="CG126" s="113">
        <v>32900</v>
      </c>
      <c r="CH126" s="113">
        <v>37082</v>
      </c>
      <c r="CI126" s="113">
        <v>30618</v>
      </c>
      <c r="CJ126" s="113">
        <v>29154</v>
      </c>
      <c r="CK126" s="113">
        <v>24382</v>
      </c>
      <c r="CL126" s="113">
        <v>19176</v>
      </c>
      <c r="CM126" s="113">
        <v>19541</v>
      </c>
      <c r="CN126" s="113">
        <v>17867</v>
      </c>
      <c r="CO126" s="113">
        <v>14944</v>
      </c>
      <c r="CP126" s="113">
        <v>12241</v>
      </c>
      <c r="CQ126" s="113">
        <v>11632</v>
      </c>
      <c r="CR126" s="113">
        <v>12203</v>
      </c>
      <c r="CS126" s="113">
        <v>10832</v>
      </c>
      <c r="CT126" s="113">
        <v>10707</v>
      </c>
      <c r="CU126" s="113">
        <v>11952</v>
      </c>
      <c r="CV126" s="113">
        <v>16433</v>
      </c>
      <c r="CW126" s="113">
        <v>23665</v>
      </c>
      <c r="CX126" s="113">
        <v>24467</v>
      </c>
      <c r="CY126" s="113">
        <v>23773</v>
      </c>
      <c r="CZ126" s="113">
        <v>28863</v>
      </c>
      <c r="DA126" s="113">
        <v>31042</v>
      </c>
      <c r="DB126" s="113">
        <v>35078</v>
      </c>
      <c r="DC126" s="113">
        <v>35935</v>
      </c>
      <c r="DD126" s="113">
        <v>41677</v>
      </c>
      <c r="DE126" s="113">
        <v>41761</v>
      </c>
      <c r="DF126" s="113">
        <v>43050</v>
      </c>
      <c r="DG126" s="113">
        <v>40067</v>
      </c>
      <c r="DH126" s="113">
        <v>51960</v>
      </c>
      <c r="DI126" s="113">
        <v>55096</v>
      </c>
      <c r="DJ126" s="113">
        <v>61016</v>
      </c>
      <c r="DK126" s="113">
        <v>62073</v>
      </c>
      <c r="DL126" s="113">
        <v>68541</v>
      </c>
      <c r="DM126" s="113">
        <v>72606</v>
      </c>
      <c r="DN126" s="113">
        <v>75896</v>
      </c>
      <c r="DO126" s="113">
        <v>73076</v>
      </c>
      <c r="DP126" s="113">
        <v>76102</v>
      </c>
      <c r="DQ126" s="113">
        <v>76477</v>
      </c>
      <c r="DR126" s="113">
        <v>82419</v>
      </c>
      <c r="DS126" s="113">
        <v>83143</v>
      </c>
      <c r="DT126" s="113">
        <v>87874</v>
      </c>
      <c r="DU126" s="113">
        <v>90796</v>
      </c>
      <c r="DV126" s="113">
        <v>93846</v>
      </c>
      <c r="DW126" s="113">
        <v>95129</v>
      </c>
      <c r="DX126" s="113">
        <v>98168</v>
      </c>
      <c r="DY126" s="113">
        <v>106531</v>
      </c>
      <c r="DZ126" s="113">
        <v>122861</v>
      </c>
      <c r="EA126" s="113">
        <v>112737</v>
      </c>
      <c r="EB126" s="113">
        <v>114863</v>
      </c>
      <c r="EC126" s="113">
        <v>125238</v>
      </c>
      <c r="ED126" s="113">
        <v>126727</v>
      </c>
      <c r="EE126" s="113">
        <v>125676</v>
      </c>
      <c r="EF126" s="113">
        <v>123052</v>
      </c>
      <c r="EG126" s="113">
        <v>121718</v>
      </c>
      <c r="EH126" s="113">
        <v>120634</v>
      </c>
      <c r="EI126" s="113">
        <v>121035</v>
      </c>
      <c r="EJ126" s="113">
        <v>120324</v>
      </c>
      <c r="EK126" s="113">
        <v>122476</v>
      </c>
      <c r="EL126" s="113">
        <v>123492</v>
      </c>
      <c r="EM126" s="113">
        <v>125367</v>
      </c>
      <c r="EN126" s="113">
        <v>125932</v>
      </c>
    </row>
    <row r="127" spans="1:255">
      <c r="A127" s="103" t="s">
        <v>2368</v>
      </c>
      <c r="B127" s="113">
        <v>0</v>
      </c>
      <c r="C127" s="113">
        <v>0</v>
      </c>
      <c r="D127" s="113">
        <v>0</v>
      </c>
      <c r="E127" s="113">
        <v>0</v>
      </c>
      <c r="F127" s="113">
        <v>0</v>
      </c>
      <c r="G127" s="113">
        <v>0</v>
      </c>
      <c r="H127" s="113">
        <v>0</v>
      </c>
      <c r="I127" s="113">
        <v>0</v>
      </c>
      <c r="J127" s="113">
        <v>0</v>
      </c>
      <c r="K127" s="113">
        <v>0</v>
      </c>
      <c r="L127" s="113">
        <v>0</v>
      </c>
      <c r="M127" s="113">
        <v>0</v>
      </c>
      <c r="N127" s="113">
        <v>0</v>
      </c>
      <c r="O127" s="113">
        <v>0</v>
      </c>
      <c r="P127" s="113">
        <v>0</v>
      </c>
      <c r="Q127" s="113">
        <v>0</v>
      </c>
      <c r="R127" s="113">
        <v>0</v>
      </c>
      <c r="S127" s="113">
        <v>0</v>
      </c>
      <c r="T127" s="113">
        <v>44</v>
      </c>
      <c r="U127" s="113">
        <v>12</v>
      </c>
      <c r="V127" s="113">
        <v>0</v>
      </c>
      <c r="W127" s="113">
        <v>10</v>
      </c>
      <c r="X127" s="113">
        <v>0</v>
      </c>
      <c r="Y127" s="113">
        <v>0</v>
      </c>
      <c r="Z127" s="113">
        <v>0</v>
      </c>
      <c r="AA127" s="113">
        <v>0</v>
      </c>
      <c r="AB127" s="113">
        <v>0</v>
      </c>
      <c r="AC127" s="113">
        <v>0</v>
      </c>
      <c r="AD127" s="113">
        <v>0</v>
      </c>
      <c r="AE127" s="113">
        <v>0</v>
      </c>
      <c r="AG127" s="103" t="s">
        <v>2368</v>
      </c>
      <c r="AH127" s="113">
        <v>0</v>
      </c>
      <c r="AI127" s="113">
        <v>0</v>
      </c>
      <c r="AJ127" s="113">
        <v>0</v>
      </c>
      <c r="AK127" s="113">
        <v>0</v>
      </c>
      <c r="AL127" s="113">
        <v>0</v>
      </c>
      <c r="AM127" s="113">
        <v>0</v>
      </c>
      <c r="AN127" s="113">
        <v>0</v>
      </c>
      <c r="AO127" s="113">
        <v>0</v>
      </c>
      <c r="AP127" s="113">
        <v>0</v>
      </c>
      <c r="AQ127" s="113">
        <v>0</v>
      </c>
      <c r="AR127" s="113">
        <v>0</v>
      </c>
      <c r="AS127" s="113">
        <v>0</v>
      </c>
      <c r="AT127" s="113">
        <v>0</v>
      </c>
      <c r="AU127" s="113">
        <v>0</v>
      </c>
      <c r="AV127" s="113">
        <v>0</v>
      </c>
      <c r="AW127" s="113">
        <v>0</v>
      </c>
      <c r="AX127" s="113">
        <v>0</v>
      </c>
      <c r="AY127" s="113">
        <v>0</v>
      </c>
      <c r="AZ127" s="113">
        <v>0</v>
      </c>
      <c r="BA127" s="113">
        <v>0</v>
      </c>
      <c r="BB127" s="113">
        <v>0</v>
      </c>
      <c r="BC127" s="113">
        <v>0</v>
      </c>
      <c r="BD127" s="113">
        <v>0</v>
      </c>
      <c r="BE127" s="113">
        <v>0</v>
      </c>
      <c r="BF127" s="113">
        <v>0</v>
      </c>
      <c r="BG127" s="113">
        <v>0</v>
      </c>
      <c r="BH127" s="113">
        <v>0</v>
      </c>
      <c r="BI127" s="113">
        <v>0</v>
      </c>
      <c r="BJ127" s="113">
        <v>0</v>
      </c>
      <c r="BK127" s="113">
        <v>0</v>
      </c>
      <c r="BL127" s="113">
        <v>0</v>
      </c>
      <c r="BM127" s="113">
        <v>0</v>
      </c>
      <c r="BN127" s="113">
        <v>0</v>
      </c>
      <c r="BO127" s="113">
        <v>0</v>
      </c>
      <c r="BP127" s="113">
        <v>0</v>
      </c>
      <c r="BQ127" s="113">
        <v>0</v>
      </c>
      <c r="BR127" s="113">
        <v>0</v>
      </c>
      <c r="BS127" s="113">
        <v>0</v>
      </c>
      <c r="BT127" s="113">
        <v>0</v>
      </c>
      <c r="BU127" s="113">
        <v>0</v>
      </c>
      <c r="BV127" s="113">
        <v>0</v>
      </c>
      <c r="BW127" s="113">
        <v>0</v>
      </c>
      <c r="BX127" s="113">
        <v>0</v>
      </c>
      <c r="BY127" s="113">
        <v>0</v>
      </c>
      <c r="BZ127" s="113">
        <v>0</v>
      </c>
      <c r="CA127" s="113">
        <v>0</v>
      </c>
      <c r="CB127" s="113">
        <v>0</v>
      </c>
      <c r="CC127" s="113">
        <v>0</v>
      </c>
      <c r="CD127" s="113">
        <v>0</v>
      </c>
      <c r="CE127" s="113">
        <v>0</v>
      </c>
      <c r="CF127" s="113">
        <v>0</v>
      </c>
      <c r="CG127" s="113">
        <v>0</v>
      </c>
      <c r="CH127" s="113">
        <v>0</v>
      </c>
      <c r="CI127" s="113">
        <v>0</v>
      </c>
      <c r="CJ127" s="113">
        <v>0</v>
      </c>
      <c r="CK127" s="113">
        <v>0</v>
      </c>
      <c r="CL127" s="113">
        <v>0</v>
      </c>
      <c r="CM127" s="113">
        <v>0</v>
      </c>
      <c r="CN127" s="113">
        <v>0</v>
      </c>
      <c r="CO127" s="113">
        <v>0</v>
      </c>
      <c r="CP127" s="113">
        <v>0</v>
      </c>
      <c r="CQ127" s="113">
        <v>0</v>
      </c>
      <c r="CR127" s="113">
        <v>0</v>
      </c>
      <c r="CS127" s="113">
        <v>0</v>
      </c>
      <c r="CT127" s="113">
        <v>0</v>
      </c>
      <c r="CU127" s="113">
        <v>0</v>
      </c>
      <c r="CV127" s="113">
        <v>0</v>
      </c>
      <c r="CW127" s="113">
        <v>44</v>
      </c>
      <c r="CX127" s="113">
        <v>41</v>
      </c>
      <c r="CY127" s="113">
        <v>5</v>
      </c>
      <c r="CZ127" s="113">
        <v>8</v>
      </c>
      <c r="DA127" s="113">
        <v>12</v>
      </c>
      <c r="DB127" s="113">
        <v>14</v>
      </c>
      <c r="DC127" s="113">
        <v>18</v>
      </c>
      <c r="DD127" s="113">
        <v>19</v>
      </c>
      <c r="DE127" s="113">
        <v>0</v>
      </c>
      <c r="DF127" s="113">
        <v>8</v>
      </c>
      <c r="DG127" s="113">
        <v>14</v>
      </c>
      <c r="DH127" s="113">
        <v>0</v>
      </c>
      <c r="DI127" s="113">
        <v>10</v>
      </c>
      <c r="DJ127" s="113">
        <v>20</v>
      </c>
      <c r="DK127" s="113">
        <v>8</v>
      </c>
      <c r="DL127" s="113">
        <v>7</v>
      </c>
      <c r="DM127" s="113">
        <v>0</v>
      </c>
      <c r="DN127" s="113">
        <v>15</v>
      </c>
      <c r="DO127" s="113">
        <v>0</v>
      </c>
      <c r="DP127" s="113">
        <v>0</v>
      </c>
      <c r="DQ127" s="113">
        <v>0</v>
      </c>
      <c r="DR127" s="113">
        <v>0</v>
      </c>
      <c r="DS127" s="113">
        <v>0</v>
      </c>
      <c r="DT127" s="113">
        <v>0</v>
      </c>
      <c r="DU127" s="113">
        <v>0</v>
      </c>
      <c r="DV127" s="113">
        <v>0</v>
      </c>
      <c r="DW127" s="113">
        <v>0</v>
      </c>
      <c r="DX127" s="113">
        <v>0</v>
      </c>
      <c r="DY127" s="113">
        <v>0</v>
      </c>
      <c r="DZ127" s="113">
        <v>0</v>
      </c>
      <c r="EA127" s="113">
        <v>0</v>
      </c>
      <c r="EB127" s="113">
        <v>0</v>
      </c>
      <c r="EC127" s="113">
        <v>0</v>
      </c>
      <c r="ED127" s="113">
        <v>0</v>
      </c>
      <c r="EE127" s="113">
        <v>0</v>
      </c>
      <c r="EF127" s="113">
        <v>0</v>
      </c>
      <c r="EG127" s="113">
        <v>0</v>
      </c>
      <c r="EH127" s="113">
        <v>0</v>
      </c>
      <c r="EI127" s="113">
        <v>0</v>
      </c>
      <c r="EJ127" s="113">
        <v>0</v>
      </c>
      <c r="EK127" s="113">
        <v>0</v>
      </c>
      <c r="EL127" s="113">
        <v>0</v>
      </c>
      <c r="EM127" s="113">
        <v>0</v>
      </c>
      <c r="EN127" s="113">
        <v>0</v>
      </c>
    </row>
    <row r="128" spans="1:255" ht="10.5">
      <c r="A128" s="112" t="s">
        <v>2369</v>
      </c>
      <c r="B128" s="114">
        <v>686.31399999999996</v>
      </c>
      <c r="C128" s="114">
        <v>1345</v>
      </c>
      <c r="D128" s="114">
        <v>2290</v>
      </c>
      <c r="E128" s="114">
        <v>3614</v>
      </c>
      <c r="F128" s="114">
        <v>4750</v>
      </c>
      <c r="G128" s="114">
        <v>6940</v>
      </c>
      <c r="H128" s="114">
        <v>8966</v>
      </c>
      <c r="I128" s="114">
        <v>13927</v>
      </c>
      <c r="J128" s="114">
        <v>17236</v>
      </c>
      <c r="K128" s="114">
        <v>23798</v>
      </c>
      <c r="L128" s="114">
        <v>31600</v>
      </c>
      <c r="M128" s="114">
        <v>38652</v>
      </c>
      <c r="N128" s="114">
        <v>49048</v>
      </c>
      <c r="O128" s="114">
        <v>60592</v>
      </c>
      <c r="P128" s="114">
        <v>37751</v>
      </c>
      <c r="Q128" s="114">
        <v>31096</v>
      </c>
      <c r="R128" s="114">
        <v>21055</v>
      </c>
      <c r="S128" s="114">
        <v>21171</v>
      </c>
      <c r="T128" s="114">
        <v>29785</v>
      </c>
      <c r="U128" s="114">
        <v>36559</v>
      </c>
      <c r="V128" s="114">
        <v>51371</v>
      </c>
      <c r="W128" s="114">
        <v>62044</v>
      </c>
      <c r="X128" s="114">
        <v>76410</v>
      </c>
      <c r="Y128" s="114">
        <v>85146</v>
      </c>
      <c r="Z128" s="114">
        <v>96391</v>
      </c>
      <c r="AA128" s="114">
        <v>113041</v>
      </c>
      <c r="AB128" s="114">
        <v>132901</v>
      </c>
      <c r="AC128" s="114">
        <v>133664</v>
      </c>
      <c r="AD128" s="114">
        <v>133832</v>
      </c>
      <c r="AE128" s="114">
        <v>137642</v>
      </c>
      <c r="AG128" s="112" t="s">
        <v>2369</v>
      </c>
      <c r="AH128" s="114">
        <v>1345</v>
      </c>
      <c r="AI128" s="114">
        <v>0</v>
      </c>
      <c r="AJ128" s="114">
        <v>0</v>
      </c>
      <c r="AK128" s="114">
        <v>2290</v>
      </c>
      <c r="AL128" s="114">
        <v>2290</v>
      </c>
      <c r="AM128" s="114">
        <v>2796</v>
      </c>
      <c r="AN128" s="114">
        <v>3143</v>
      </c>
      <c r="AO128" s="114">
        <v>3614</v>
      </c>
      <c r="AP128" s="114">
        <v>3776</v>
      </c>
      <c r="AQ128" s="114">
        <v>3839</v>
      </c>
      <c r="AR128" s="114">
        <v>4465</v>
      </c>
      <c r="AS128" s="114">
        <v>4750</v>
      </c>
      <c r="AT128" s="114">
        <v>5064</v>
      </c>
      <c r="AU128" s="114">
        <v>6017</v>
      </c>
      <c r="AV128" s="114">
        <v>6770</v>
      </c>
      <c r="AW128" s="114">
        <v>6940</v>
      </c>
      <c r="AX128" s="114">
        <v>7098</v>
      </c>
      <c r="AY128" s="114">
        <v>9160</v>
      </c>
      <c r="AZ128" s="114">
        <v>9086</v>
      </c>
      <c r="BA128" s="114">
        <v>8966</v>
      </c>
      <c r="BB128" s="114">
        <v>9634</v>
      </c>
      <c r="BC128" s="114">
        <v>10105</v>
      </c>
      <c r="BD128" s="114">
        <v>12322</v>
      </c>
      <c r="BE128" s="114">
        <v>13927</v>
      </c>
      <c r="BF128" s="114">
        <v>17242</v>
      </c>
      <c r="BG128" s="114">
        <v>19237</v>
      </c>
      <c r="BH128" s="114">
        <v>21761</v>
      </c>
      <c r="BI128" s="114">
        <v>17236</v>
      </c>
      <c r="BJ128" s="114">
        <v>18902</v>
      </c>
      <c r="BK128" s="114">
        <v>17843</v>
      </c>
      <c r="BL128" s="114">
        <v>21205</v>
      </c>
      <c r="BM128" s="114">
        <v>23798</v>
      </c>
      <c r="BN128" s="114">
        <v>24711</v>
      </c>
      <c r="BO128" s="114">
        <v>26889</v>
      </c>
      <c r="BP128" s="114">
        <v>30018</v>
      </c>
      <c r="BQ128" s="114">
        <v>31600</v>
      </c>
      <c r="BR128" s="114">
        <v>36163</v>
      </c>
      <c r="BS128" s="114">
        <v>38229</v>
      </c>
      <c r="BT128" s="114">
        <v>38693</v>
      </c>
      <c r="BU128" s="114">
        <v>38652</v>
      </c>
      <c r="BV128" s="114">
        <v>40475</v>
      </c>
      <c r="BW128" s="114">
        <v>43424</v>
      </c>
      <c r="BX128" s="114">
        <v>46178</v>
      </c>
      <c r="BY128" s="114">
        <v>49048</v>
      </c>
      <c r="BZ128" s="114">
        <v>51622</v>
      </c>
      <c r="CA128" s="114">
        <v>52777</v>
      </c>
      <c r="CB128" s="114">
        <v>56407</v>
      </c>
      <c r="CC128" s="114">
        <v>60592</v>
      </c>
      <c r="CD128" s="114">
        <v>64415</v>
      </c>
      <c r="CE128" s="114">
        <v>34504</v>
      </c>
      <c r="CF128" s="114">
        <v>37594</v>
      </c>
      <c r="CG128" s="114">
        <v>37751</v>
      </c>
      <c r="CH128" s="114">
        <v>40056</v>
      </c>
      <c r="CI128" s="114">
        <v>34701</v>
      </c>
      <c r="CJ128" s="114">
        <v>33505</v>
      </c>
      <c r="CK128" s="114">
        <v>31096</v>
      </c>
      <c r="CL128" s="114">
        <v>28252</v>
      </c>
      <c r="CM128" s="114">
        <v>26400</v>
      </c>
      <c r="CN128" s="114">
        <v>25478</v>
      </c>
      <c r="CO128" s="114">
        <v>21055</v>
      </c>
      <c r="CP128" s="114">
        <v>18878</v>
      </c>
      <c r="CQ128" s="114">
        <v>19092</v>
      </c>
      <c r="CR128" s="114">
        <v>24023</v>
      </c>
      <c r="CS128" s="114">
        <v>21171</v>
      </c>
      <c r="CT128" s="114">
        <v>19711</v>
      </c>
      <c r="CU128" s="114">
        <v>20298</v>
      </c>
      <c r="CV128" s="114">
        <v>23718</v>
      </c>
      <c r="CW128" s="114">
        <v>29785</v>
      </c>
      <c r="CX128" s="114">
        <v>33331</v>
      </c>
      <c r="CY128" s="114">
        <v>33200</v>
      </c>
      <c r="CZ128" s="114">
        <v>37026</v>
      </c>
      <c r="DA128" s="114">
        <v>36559</v>
      </c>
      <c r="DB128" s="114">
        <v>43253</v>
      </c>
      <c r="DC128" s="114">
        <v>39976</v>
      </c>
      <c r="DD128" s="114">
        <v>48717</v>
      </c>
      <c r="DE128" s="114">
        <v>51371</v>
      </c>
      <c r="DF128" s="114">
        <v>55939</v>
      </c>
      <c r="DG128" s="114">
        <v>50691</v>
      </c>
      <c r="DH128" s="114">
        <v>58348</v>
      </c>
      <c r="DI128" s="114">
        <v>62044</v>
      </c>
      <c r="DJ128" s="114">
        <v>66072</v>
      </c>
      <c r="DK128" s="114">
        <v>68098</v>
      </c>
      <c r="DL128" s="114">
        <v>73788</v>
      </c>
      <c r="DM128" s="114">
        <v>76410</v>
      </c>
      <c r="DN128" s="114">
        <v>79934</v>
      </c>
      <c r="DO128" s="114">
        <v>83135</v>
      </c>
      <c r="DP128" s="114">
        <v>87674</v>
      </c>
      <c r="DQ128" s="114">
        <v>85146</v>
      </c>
      <c r="DR128" s="114">
        <v>88721</v>
      </c>
      <c r="DS128" s="114">
        <v>89569</v>
      </c>
      <c r="DT128" s="114">
        <v>95288</v>
      </c>
      <c r="DU128" s="114">
        <v>96391</v>
      </c>
      <c r="DV128" s="114">
        <v>99277</v>
      </c>
      <c r="DW128" s="114">
        <v>102314</v>
      </c>
      <c r="DX128" s="114">
        <v>105338</v>
      </c>
      <c r="DY128" s="114">
        <v>113041</v>
      </c>
      <c r="DZ128" s="114">
        <v>136789</v>
      </c>
      <c r="EA128" s="114">
        <v>121205</v>
      </c>
      <c r="EB128" s="114">
        <v>121576</v>
      </c>
      <c r="EC128" s="114">
        <v>132901</v>
      </c>
      <c r="ED128" s="114">
        <v>133611</v>
      </c>
      <c r="EE128" s="114">
        <v>138535</v>
      </c>
      <c r="EF128" s="114">
        <v>132273</v>
      </c>
      <c r="EG128" s="114">
        <v>133664</v>
      </c>
      <c r="EH128" s="114">
        <v>135771</v>
      </c>
      <c r="EI128" s="114">
        <v>127673</v>
      </c>
      <c r="EJ128" s="114">
        <v>131536</v>
      </c>
      <c r="EK128" s="114">
        <v>133832</v>
      </c>
      <c r="EL128" s="114">
        <v>136609</v>
      </c>
      <c r="EM128" s="114">
        <v>134231</v>
      </c>
      <c r="EN128" s="114">
        <v>137642</v>
      </c>
    </row>
    <row r="129" spans="1:144">
      <c r="A129" s="103"/>
      <c r="B129" s="103"/>
      <c r="C129" s="103"/>
      <c r="D129" s="103"/>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c r="CD129" s="103"/>
      <c r="CE129" s="103"/>
      <c r="CF129" s="103"/>
      <c r="CG129" s="103"/>
      <c r="CH129" s="103"/>
      <c r="CI129" s="103"/>
      <c r="CJ129" s="103"/>
      <c r="CK129" s="103"/>
      <c r="CL129" s="103"/>
      <c r="CM129" s="103"/>
      <c r="CN129" s="103"/>
      <c r="CO129" s="103"/>
      <c r="CP129" s="103"/>
      <c r="CQ129" s="103"/>
      <c r="CR129" s="103"/>
      <c r="CS129" s="103"/>
      <c r="CT129" s="103"/>
      <c r="CU129" s="103"/>
      <c r="CV129" s="103"/>
      <c r="CW129" s="103"/>
      <c r="CX129" s="103"/>
      <c r="CY129" s="103"/>
      <c r="CZ129" s="103"/>
      <c r="DA129" s="103"/>
      <c r="DB129" s="103"/>
      <c r="DC129" s="103"/>
      <c r="DD129" s="103"/>
      <c r="DE129" s="103"/>
      <c r="DF129" s="103"/>
      <c r="DG129" s="103"/>
      <c r="DH129" s="103"/>
      <c r="DI129" s="103"/>
      <c r="DJ129" s="103"/>
      <c r="DK129" s="103"/>
      <c r="DL129" s="103"/>
      <c r="DM129" s="103"/>
      <c r="DN129" s="103"/>
      <c r="DO129" s="103"/>
      <c r="DP129" s="103"/>
      <c r="DQ129" s="103"/>
      <c r="DR129" s="103"/>
      <c r="DS129" s="103"/>
      <c r="DT129" s="103"/>
      <c r="DU129" s="103"/>
      <c r="DV129" s="103"/>
      <c r="DW129" s="103"/>
      <c r="DX129" s="103"/>
      <c r="DY129" s="103"/>
      <c r="DZ129" s="103"/>
      <c r="EA129" s="103"/>
      <c r="EB129" s="103"/>
      <c r="EC129" s="103"/>
      <c r="ED129" s="103"/>
      <c r="EE129" s="103"/>
      <c r="EF129" s="103"/>
      <c r="EG129" s="103"/>
      <c r="EH129" s="103"/>
      <c r="EI129" s="103"/>
      <c r="EJ129" s="103"/>
      <c r="EK129" s="103"/>
      <c r="EL129" s="103"/>
      <c r="EM129" s="103"/>
      <c r="EN129" s="103"/>
    </row>
    <row r="130" spans="1:144">
      <c r="A130" s="103" t="s">
        <v>2370</v>
      </c>
      <c r="B130" s="113">
        <v>243.304</v>
      </c>
      <c r="C130" s="113">
        <v>270</v>
      </c>
      <c r="D130" s="113">
        <v>338</v>
      </c>
      <c r="E130" s="113">
        <v>475</v>
      </c>
      <c r="F130" s="113">
        <v>581</v>
      </c>
      <c r="G130" s="113">
        <v>639</v>
      </c>
      <c r="H130" s="113">
        <v>980</v>
      </c>
      <c r="I130" s="113">
        <v>1460</v>
      </c>
      <c r="J130" s="113">
        <v>2245</v>
      </c>
      <c r="K130" s="113">
        <v>3250</v>
      </c>
      <c r="L130" s="113">
        <v>3671</v>
      </c>
      <c r="M130" s="113">
        <v>5129</v>
      </c>
      <c r="N130" s="113">
        <v>5196</v>
      </c>
      <c r="O130" s="113">
        <v>5890</v>
      </c>
      <c r="P130" s="113">
        <v>7180</v>
      </c>
      <c r="Q130" s="113">
        <v>9316</v>
      </c>
      <c r="R130" s="113">
        <v>11338</v>
      </c>
      <c r="S130" s="113">
        <v>13589</v>
      </c>
      <c r="T130" s="113">
        <v>11192</v>
      </c>
      <c r="U130" s="113">
        <v>13014</v>
      </c>
      <c r="V130" s="113">
        <v>14987</v>
      </c>
      <c r="W130" s="113">
        <v>15780</v>
      </c>
      <c r="X130" s="113">
        <v>17486</v>
      </c>
      <c r="Y130" s="113">
        <v>19544</v>
      </c>
      <c r="Z130" s="113">
        <v>17908</v>
      </c>
      <c r="AA130" s="113">
        <v>18277</v>
      </c>
      <c r="AB130" s="113">
        <v>22431</v>
      </c>
      <c r="AC130" s="113">
        <v>26481</v>
      </c>
      <c r="AD130" s="113">
        <v>29524</v>
      </c>
      <c r="AE130" s="113">
        <v>22699</v>
      </c>
      <c r="AG130" s="103" t="s">
        <v>2370</v>
      </c>
      <c r="AH130" s="113">
        <v>0</v>
      </c>
      <c r="AI130" s="113">
        <v>0</v>
      </c>
      <c r="AJ130" s="113">
        <v>0</v>
      </c>
      <c r="AK130" s="113">
        <v>338</v>
      </c>
      <c r="AL130" s="113">
        <v>0</v>
      </c>
      <c r="AM130" s="113">
        <v>460</v>
      </c>
      <c r="AN130" s="113">
        <v>522</v>
      </c>
      <c r="AO130" s="113">
        <v>475</v>
      </c>
      <c r="AP130" s="113">
        <v>527</v>
      </c>
      <c r="AQ130" s="113">
        <v>591</v>
      </c>
      <c r="AR130" s="113">
        <v>580</v>
      </c>
      <c r="AS130" s="113">
        <v>581</v>
      </c>
      <c r="AT130" s="113">
        <v>1052</v>
      </c>
      <c r="AU130" s="113">
        <v>771</v>
      </c>
      <c r="AV130" s="113">
        <v>681</v>
      </c>
      <c r="AW130" s="113">
        <v>639</v>
      </c>
      <c r="AX130" s="113">
        <v>855</v>
      </c>
      <c r="AY130" s="113">
        <v>975</v>
      </c>
      <c r="AZ130" s="113">
        <v>866</v>
      </c>
      <c r="BA130" s="113">
        <v>980</v>
      </c>
      <c r="BB130" s="113">
        <v>788</v>
      </c>
      <c r="BC130" s="113">
        <v>1081</v>
      </c>
      <c r="BD130" s="113">
        <v>1055</v>
      </c>
      <c r="BE130" s="113">
        <v>1460</v>
      </c>
      <c r="BF130" s="113">
        <v>1153</v>
      </c>
      <c r="BG130" s="113">
        <v>2029</v>
      </c>
      <c r="BH130" s="113">
        <v>1689</v>
      </c>
      <c r="BI130" s="113">
        <v>2245</v>
      </c>
      <c r="BJ130" s="113">
        <v>2207</v>
      </c>
      <c r="BK130" s="113">
        <v>3284</v>
      </c>
      <c r="BL130" s="113">
        <v>2902</v>
      </c>
      <c r="BM130" s="113">
        <v>3250</v>
      </c>
      <c r="BN130" s="113">
        <v>3172</v>
      </c>
      <c r="BO130" s="113">
        <v>4143</v>
      </c>
      <c r="BP130" s="113">
        <v>3532</v>
      </c>
      <c r="BQ130" s="113">
        <v>3671</v>
      </c>
      <c r="BR130" s="113">
        <v>3615</v>
      </c>
      <c r="BS130" s="113">
        <v>5095</v>
      </c>
      <c r="BT130" s="113">
        <v>4230</v>
      </c>
      <c r="BU130" s="113">
        <v>5129</v>
      </c>
      <c r="BV130" s="113">
        <v>4450</v>
      </c>
      <c r="BW130" s="113">
        <v>4894</v>
      </c>
      <c r="BX130" s="113">
        <v>4075</v>
      </c>
      <c r="BY130" s="113">
        <v>5196</v>
      </c>
      <c r="BZ130" s="113">
        <v>4533</v>
      </c>
      <c r="CA130" s="113">
        <v>5608</v>
      </c>
      <c r="CB130" s="113">
        <v>4937</v>
      </c>
      <c r="CC130" s="113">
        <v>5890</v>
      </c>
      <c r="CD130" s="113">
        <v>5106</v>
      </c>
      <c r="CE130" s="113">
        <v>6646</v>
      </c>
      <c r="CF130" s="113">
        <v>5610</v>
      </c>
      <c r="CG130" s="113">
        <v>7180</v>
      </c>
      <c r="CH130" s="113">
        <v>5799</v>
      </c>
      <c r="CI130" s="113">
        <v>7758</v>
      </c>
      <c r="CJ130" s="113">
        <v>6818</v>
      </c>
      <c r="CK130" s="113">
        <v>9316</v>
      </c>
      <c r="CL130" s="113">
        <v>6879</v>
      </c>
      <c r="CM130" s="113">
        <v>9895</v>
      </c>
      <c r="CN130" s="113">
        <v>8454</v>
      </c>
      <c r="CO130" s="113">
        <v>11338</v>
      </c>
      <c r="CP130" s="113">
        <v>8982</v>
      </c>
      <c r="CQ130" s="113">
        <v>11621</v>
      </c>
      <c r="CR130" s="113">
        <v>9871</v>
      </c>
      <c r="CS130" s="113">
        <v>13589</v>
      </c>
      <c r="CT130" s="113">
        <v>9535</v>
      </c>
      <c r="CU130" s="113">
        <v>10953</v>
      </c>
      <c r="CV130" s="113">
        <v>9182</v>
      </c>
      <c r="CW130" s="113">
        <v>11192</v>
      </c>
      <c r="CX130" s="113">
        <v>8587</v>
      </c>
      <c r="CY130" s="113">
        <v>11196</v>
      </c>
      <c r="CZ130" s="113">
        <v>9137</v>
      </c>
      <c r="DA130" s="113">
        <v>13014</v>
      </c>
      <c r="DB130" s="113">
        <v>9646</v>
      </c>
      <c r="DC130" s="113">
        <v>12874</v>
      </c>
      <c r="DD130" s="113">
        <v>10033</v>
      </c>
      <c r="DE130" s="113">
        <v>14987</v>
      </c>
      <c r="DF130" s="113">
        <v>10153</v>
      </c>
      <c r="DG130" s="113">
        <v>13643</v>
      </c>
      <c r="DH130" s="113">
        <v>10961</v>
      </c>
      <c r="DI130" s="113">
        <v>15780</v>
      </c>
      <c r="DJ130" s="113">
        <v>9871</v>
      </c>
      <c r="DK130" s="113">
        <v>14317</v>
      </c>
      <c r="DL130" s="113">
        <v>11991</v>
      </c>
      <c r="DM130" s="113">
        <v>17486</v>
      </c>
      <c r="DN130" s="113">
        <v>11007</v>
      </c>
      <c r="DO130" s="113">
        <v>15986</v>
      </c>
      <c r="DP130" s="113">
        <v>13497</v>
      </c>
      <c r="DQ130" s="113">
        <v>19544</v>
      </c>
      <c r="DR130" s="113">
        <v>12887</v>
      </c>
      <c r="DS130" s="113">
        <v>16186</v>
      </c>
      <c r="DT130" s="113">
        <v>12427</v>
      </c>
      <c r="DU130" s="113">
        <v>17908</v>
      </c>
      <c r="DV130" s="113">
        <v>11444</v>
      </c>
      <c r="DW130" s="113">
        <v>14507</v>
      </c>
      <c r="DX130" s="113">
        <v>12247</v>
      </c>
      <c r="DY130" s="113">
        <v>18277</v>
      </c>
      <c r="DZ130" s="113">
        <v>11129</v>
      </c>
      <c r="EA130" s="113">
        <v>14343</v>
      </c>
      <c r="EB130" s="113">
        <v>12882</v>
      </c>
      <c r="EC130" s="113">
        <v>22431</v>
      </c>
      <c r="ED130" s="113">
        <v>14561</v>
      </c>
      <c r="EE130" s="113">
        <v>18428</v>
      </c>
      <c r="EF130" s="113">
        <v>17208</v>
      </c>
      <c r="EG130" s="113">
        <v>26481</v>
      </c>
      <c r="EH130" s="113">
        <v>17390</v>
      </c>
      <c r="EI130" s="113">
        <v>19680</v>
      </c>
      <c r="EJ130" s="113">
        <v>19269</v>
      </c>
      <c r="EK130" s="113">
        <v>29524</v>
      </c>
      <c r="EL130" s="113">
        <v>19087</v>
      </c>
      <c r="EM130" s="113">
        <v>23525</v>
      </c>
      <c r="EN130" s="113">
        <v>22699</v>
      </c>
    </row>
    <row r="131" spans="1:144" ht="10.5">
      <c r="A131" s="112" t="s">
        <v>2371</v>
      </c>
      <c r="B131" s="114">
        <v>243.304</v>
      </c>
      <c r="C131" s="114">
        <v>270</v>
      </c>
      <c r="D131" s="114">
        <v>338</v>
      </c>
      <c r="E131" s="114">
        <v>475</v>
      </c>
      <c r="F131" s="114">
        <v>581</v>
      </c>
      <c r="G131" s="114">
        <v>639</v>
      </c>
      <c r="H131" s="114">
        <v>980</v>
      </c>
      <c r="I131" s="114">
        <v>1460</v>
      </c>
      <c r="J131" s="114">
        <v>2245</v>
      </c>
      <c r="K131" s="114">
        <v>3250</v>
      </c>
      <c r="L131" s="114">
        <v>3671</v>
      </c>
      <c r="M131" s="114">
        <v>5129</v>
      </c>
      <c r="N131" s="114">
        <v>5196</v>
      </c>
      <c r="O131" s="114">
        <v>5890</v>
      </c>
      <c r="P131" s="114">
        <v>7180</v>
      </c>
      <c r="Q131" s="114">
        <v>9316</v>
      </c>
      <c r="R131" s="114">
        <v>11338</v>
      </c>
      <c r="S131" s="114">
        <v>13589</v>
      </c>
      <c r="T131" s="114">
        <v>11192</v>
      </c>
      <c r="U131" s="114">
        <v>13014</v>
      </c>
      <c r="V131" s="114">
        <v>14987</v>
      </c>
      <c r="W131" s="114">
        <v>15780</v>
      </c>
      <c r="X131" s="114">
        <v>17486</v>
      </c>
      <c r="Y131" s="114">
        <v>19544</v>
      </c>
      <c r="Z131" s="114">
        <v>17908</v>
      </c>
      <c r="AA131" s="114">
        <v>18277</v>
      </c>
      <c r="AB131" s="114">
        <v>22431</v>
      </c>
      <c r="AC131" s="114">
        <v>26481</v>
      </c>
      <c r="AD131" s="114">
        <v>29524</v>
      </c>
      <c r="AE131" s="114">
        <v>22699</v>
      </c>
      <c r="AG131" s="112" t="s">
        <v>2371</v>
      </c>
      <c r="AH131" s="114">
        <v>0</v>
      </c>
      <c r="AI131" s="114">
        <v>0</v>
      </c>
      <c r="AJ131" s="114">
        <v>0</v>
      </c>
      <c r="AK131" s="114">
        <v>338</v>
      </c>
      <c r="AL131" s="114">
        <v>0</v>
      </c>
      <c r="AM131" s="114">
        <v>460</v>
      </c>
      <c r="AN131" s="114">
        <v>522</v>
      </c>
      <c r="AO131" s="114">
        <v>475</v>
      </c>
      <c r="AP131" s="114">
        <v>527</v>
      </c>
      <c r="AQ131" s="114">
        <v>591</v>
      </c>
      <c r="AR131" s="114">
        <v>580</v>
      </c>
      <c r="AS131" s="114">
        <v>581</v>
      </c>
      <c r="AT131" s="114">
        <v>1052</v>
      </c>
      <c r="AU131" s="114">
        <v>771</v>
      </c>
      <c r="AV131" s="114">
        <v>681</v>
      </c>
      <c r="AW131" s="114">
        <v>639</v>
      </c>
      <c r="AX131" s="114">
        <v>855</v>
      </c>
      <c r="AY131" s="114">
        <v>975</v>
      </c>
      <c r="AZ131" s="114">
        <v>866</v>
      </c>
      <c r="BA131" s="114">
        <v>980</v>
      </c>
      <c r="BB131" s="114">
        <v>788</v>
      </c>
      <c r="BC131" s="114">
        <v>1081</v>
      </c>
      <c r="BD131" s="114">
        <v>1055</v>
      </c>
      <c r="BE131" s="114">
        <v>1460</v>
      </c>
      <c r="BF131" s="114">
        <v>1153</v>
      </c>
      <c r="BG131" s="114">
        <v>2029</v>
      </c>
      <c r="BH131" s="114">
        <v>1689</v>
      </c>
      <c r="BI131" s="114">
        <v>2245</v>
      </c>
      <c r="BJ131" s="114">
        <v>2207</v>
      </c>
      <c r="BK131" s="114">
        <v>3284</v>
      </c>
      <c r="BL131" s="114">
        <v>2902</v>
      </c>
      <c r="BM131" s="114">
        <v>3250</v>
      </c>
      <c r="BN131" s="114">
        <v>3172</v>
      </c>
      <c r="BO131" s="114">
        <v>4143</v>
      </c>
      <c r="BP131" s="114">
        <v>3532</v>
      </c>
      <c r="BQ131" s="114">
        <v>3671</v>
      </c>
      <c r="BR131" s="114">
        <v>3615</v>
      </c>
      <c r="BS131" s="114">
        <v>5095</v>
      </c>
      <c r="BT131" s="114">
        <v>4230</v>
      </c>
      <c r="BU131" s="114">
        <v>5129</v>
      </c>
      <c r="BV131" s="114">
        <v>4450</v>
      </c>
      <c r="BW131" s="114">
        <v>4894</v>
      </c>
      <c r="BX131" s="114">
        <v>4075</v>
      </c>
      <c r="BY131" s="114">
        <v>5196</v>
      </c>
      <c r="BZ131" s="114">
        <v>4533</v>
      </c>
      <c r="CA131" s="114">
        <v>5608</v>
      </c>
      <c r="CB131" s="114">
        <v>4937</v>
      </c>
      <c r="CC131" s="114">
        <v>5890</v>
      </c>
      <c r="CD131" s="114">
        <v>5106</v>
      </c>
      <c r="CE131" s="114">
        <v>6646</v>
      </c>
      <c r="CF131" s="114">
        <v>5610</v>
      </c>
      <c r="CG131" s="114">
        <v>7180</v>
      </c>
      <c r="CH131" s="114">
        <v>5799</v>
      </c>
      <c r="CI131" s="114">
        <v>7758</v>
      </c>
      <c r="CJ131" s="114">
        <v>6818</v>
      </c>
      <c r="CK131" s="114">
        <v>9316</v>
      </c>
      <c r="CL131" s="114">
        <v>6879</v>
      </c>
      <c r="CM131" s="114">
        <v>9895</v>
      </c>
      <c r="CN131" s="114">
        <v>8454</v>
      </c>
      <c r="CO131" s="114">
        <v>11338</v>
      </c>
      <c r="CP131" s="114">
        <v>8982</v>
      </c>
      <c r="CQ131" s="114">
        <v>11621</v>
      </c>
      <c r="CR131" s="114">
        <v>9871</v>
      </c>
      <c r="CS131" s="114">
        <v>13589</v>
      </c>
      <c r="CT131" s="114">
        <v>9535</v>
      </c>
      <c r="CU131" s="114">
        <v>10953</v>
      </c>
      <c r="CV131" s="114">
        <v>9182</v>
      </c>
      <c r="CW131" s="114">
        <v>11192</v>
      </c>
      <c r="CX131" s="114">
        <v>8587</v>
      </c>
      <c r="CY131" s="114">
        <v>11196</v>
      </c>
      <c r="CZ131" s="114">
        <v>9137</v>
      </c>
      <c r="DA131" s="114">
        <v>13014</v>
      </c>
      <c r="DB131" s="114">
        <v>9646</v>
      </c>
      <c r="DC131" s="114">
        <v>12874</v>
      </c>
      <c r="DD131" s="114">
        <v>10033</v>
      </c>
      <c r="DE131" s="114">
        <v>14987</v>
      </c>
      <c r="DF131" s="114">
        <v>10153</v>
      </c>
      <c r="DG131" s="114">
        <v>13643</v>
      </c>
      <c r="DH131" s="114">
        <v>10961</v>
      </c>
      <c r="DI131" s="114">
        <v>15780</v>
      </c>
      <c r="DJ131" s="114">
        <v>9871</v>
      </c>
      <c r="DK131" s="114">
        <v>14317</v>
      </c>
      <c r="DL131" s="114">
        <v>11991</v>
      </c>
      <c r="DM131" s="114">
        <v>17486</v>
      </c>
      <c r="DN131" s="114">
        <v>11007</v>
      </c>
      <c r="DO131" s="114">
        <v>15986</v>
      </c>
      <c r="DP131" s="114">
        <v>13497</v>
      </c>
      <c r="DQ131" s="114">
        <v>19544</v>
      </c>
      <c r="DR131" s="114">
        <v>12887</v>
      </c>
      <c r="DS131" s="114">
        <v>16186</v>
      </c>
      <c r="DT131" s="114">
        <v>12427</v>
      </c>
      <c r="DU131" s="114">
        <v>17908</v>
      </c>
      <c r="DV131" s="114">
        <v>11444</v>
      </c>
      <c r="DW131" s="114">
        <v>14507</v>
      </c>
      <c r="DX131" s="114">
        <v>12247</v>
      </c>
      <c r="DY131" s="114">
        <v>18277</v>
      </c>
      <c r="DZ131" s="114">
        <v>11129</v>
      </c>
      <c r="EA131" s="114">
        <v>14343</v>
      </c>
      <c r="EB131" s="114">
        <v>12882</v>
      </c>
      <c r="EC131" s="114">
        <v>22431</v>
      </c>
      <c r="ED131" s="114">
        <v>14561</v>
      </c>
      <c r="EE131" s="114">
        <v>18428</v>
      </c>
      <c r="EF131" s="114">
        <v>17208</v>
      </c>
      <c r="EG131" s="114">
        <v>26481</v>
      </c>
      <c r="EH131" s="114">
        <v>17390</v>
      </c>
      <c r="EI131" s="114">
        <v>19680</v>
      </c>
      <c r="EJ131" s="114">
        <v>19269</v>
      </c>
      <c r="EK131" s="114">
        <v>29524</v>
      </c>
      <c r="EL131" s="114">
        <v>19087</v>
      </c>
      <c r="EM131" s="114">
        <v>23525</v>
      </c>
      <c r="EN131" s="114">
        <v>22699</v>
      </c>
    </row>
    <row r="132" spans="1:144">
      <c r="A132" s="103"/>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c r="CR132" s="103"/>
      <c r="CS132" s="103"/>
      <c r="CT132" s="103"/>
      <c r="CU132" s="103"/>
      <c r="CV132" s="103"/>
      <c r="CW132" s="103"/>
      <c r="CX132" s="103"/>
      <c r="CY132" s="103"/>
      <c r="CZ132" s="103"/>
      <c r="DA132" s="103"/>
      <c r="DB132" s="103"/>
      <c r="DC132" s="103"/>
      <c r="DD132" s="103"/>
      <c r="DE132" s="103"/>
      <c r="DF132" s="103"/>
      <c r="DG132" s="103"/>
      <c r="DH132" s="103"/>
      <c r="DI132" s="103"/>
      <c r="DJ132" s="103"/>
      <c r="DK132" s="103"/>
      <c r="DL132" s="103"/>
      <c r="DM132" s="103"/>
      <c r="DN132" s="103"/>
      <c r="DO132" s="103"/>
      <c r="DP132" s="103"/>
      <c r="DQ132" s="103"/>
      <c r="DR132" s="103"/>
      <c r="DS132" s="103"/>
      <c r="DT132" s="103"/>
      <c r="DU132" s="103"/>
      <c r="DV132" s="103"/>
      <c r="DW132" s="103"/>
      <c r="DX132" s="103"/>
      <c r="DY132" s="103"/>
      <c r="DZ132" s="103"/>
      <c r="EA132" s="103"/>
      <c r="EB132" s="103"/>
      <c r="EC132" s="103"/>
      <c r="ED132" s="103"/>
      <c r="EE132" s="103"/>
      <c r="EF132" s="103"/>
      <c r="EG132" s="103"/>
      <c r="EH132" s="103"/>
      <c r="EI132" s="103"/>
      <c r="EJ132" s="103"/>
      <c r="EK132" s="103"/>
      <c r="EL132" s="103"/>
      <c r="EM132" s="103"/>
      <c r="EN132" s="103"/>
    </row>
    <row r="133" spans="1:144">
      <c r="A133" s="103" t="s">
        <v>2372</v>
      </c>
      <c r="B133" s="113">
        <v>47.106000000000002</v>
      </c>
      <c r="C133" s="113">
        <v>86</v>
      </c>
      <c r="D133" s="113">
        <v>127</v>
      </c>
      <c r="E133" s="113">
        <v>102</v>
      </c>
      <c r="F133" s="113">
        <v>0</v>
      </c>
      <c r="G133" s="113">
        <v>0</v>
      </c>
      <c r="H133" s="113">
        <v>0</v>
      </c>
      <c r="I133" s="113">
        <v>0</v>
      </c>
      <c r="J133" s="113">
        <v>0</v>
      </c>
      <c r="K133" s="113">
        <v>0</v>
      </c>
      <c r="L133" s="113">
        <v>83</v>
      </c>
      <c r="M133" s="113">
        <v>673</v>
      </c>
      <c r="N133" s="113">
        <v>640</v>
      </c>
      <c r="O133" s="113">
        <v>421</v>
      </c>
      <c r="P133" s="113">
        <v>491</v>
      </c>
      <c r="Q133" s="113">
        <v>1478</v>
      </c>
      <c r="R133" s="113">
        <v>1127</v>
      </c>
      <c r="S133" s="113">
        <v>985</v>
      </c>
      <c r="T133" s="113">
        <v>717</v>
      </c>
      <c r="U133" s="113">
        <v>740</v>
      </c>
      <c r="V133" s="113">
        <v>1372</v>
      </c>
      <c r="W133" s="113">
        <v>1137</v>
      </c>
      <c r="X133" s="113">
        <v>1938</v>
      </c>
      <c r="Y133" s="113">
        <v>2660</v>
      </c>
      <c r="Z133" s="113">
        <v>2902</v>
      </c>
      <c r="AA133" s="113">
        <v>2251</v>
      </c>
      <c r="AB133" s="113">
        <v>2181</v>
      </c>
      <c r="AC133" s="113">
        <v>2662</v>
      </c>
      <c r="AD133" s="113">
        <v>2063</v>
      </c>
      <c r="AE133" s="113">
        <v>1644</v>
      </c>
      <c r="AG133" s="103" t="s">
        <v>2372</v>
      </c>
      <c r="AH133" s="113">
        <v>0</v>
      </c>
      <c r="AI133" s="113">
        <v>0</v>
      </c>
      <c r="AJ133" s="113">
        <v>0</v>
      </c>
      <c r="AK133" s="113">
        <v>127</v>
      </c>
      <c r="AL133" s="113">
        <v>0</v>
      </c>
      <c r="AM133" s="113">
        <v>130</v>
      </c>
      <c r="AN133" s="113">
        <v>131</v>
      </c>
      <c r="AO133" s="113">
        <v>102</v>
      </c>
      <c r="AP133" s="113">
        <v>108</v>
      </c>
      <c r="AQ133" s="113">
        <v>117</v>
      </c>
      <c r="AR133" s="113">
        <v>87</v>
      </c>
      <c r="AS133" s="113">
        <v>0</v>
      </c>
      <c r="AT133" s="113">
        <v>125</v>
      </c>
      <c r="AU133" s="113">
        <v>108</v>
      </c>
      <c r="AV133" s="113">
        <v>33</v>
      </c>
      <c r="AW133" s="113">
        <v>0</v>
      </c>
      <c r="AX133" s="113">
        <v>0</v>
      </c>
      <c r="AY133" s="113">
        <v>0</v>
      </c>
      <c r="AZ133" s="113">
        <v>0</v>
      </c>
      <c r="BA133" s="113">
        <v>0</v>
      </c>
      <c r="BB133" s="113">
        <v>0</v>
      </c>
      <c r="BC133" s="113">
        <v>0</v>
      </c>
      <c r="BD133" s="113">
        <v>0</v>
      </c>
      <c r="BE133" s="113">
        <v>0</v>
      </c>
      <c r="BF133" s="113">
        <v>0</v>
      </c>
      <c r="BG133" s="113">
        <v>0</v>
      </c>
      <c r="BH133" s="113">
        <v>0</v>
      </c>
      <c r="BI133" s="113">
        <v>0</v>
      </c>
      <c r="BJ133" s="113">
        <v>0</v>
      </c>
      <c r="BK133" s="113">
        <v>0</v>
      </c>
      <c r="BL133" s="113">
        <v>0</v>
      </c>
      <c r="BM133" s="113">
        <v>0</v>
      </c>
      <c r="BN133" s="113">
        <v>0</v>
      </c>
      <c r="BO133" s="113">
        <v>0</v>
      </c>
      <c r="BP133" s="113">
        <v>0</v>
      </c>
      <c r="BQ133" s="113">
        <v>83</v>
      </c>
      <c r="BR133" s="113">
        <v>0</v>
      </c>
      <c r="BS133" s="113">
        <v>0</v>
      </c>
      <c r="BT133" s="113">
        <v>0</v>
      </c>
      <c r="BU133" s="113">
        <v>673</v>
      </c>
      <c r="BV133" s="113">
        <v>959</v>
      </c>
      <c r="BW133" s="113">
        <v>650</v>
      </c>
      <c r="BX133" s="113">
        <v>604</v>
      </c>
      <c r="BY133" s="113">
        <v>640</v>
      </c>
      <c r="BZ133" s="113">
        <v>1099</v>
      </c>
      <c r="CA133" s="113">
        <v>621</v>
      </c>
      <c r="CB133" s="113">
        <v>542</v>
      </c>
      <c r="CC133" s="113">
        <v>421</v>
      </c>
      <c r="CD133" s="113">
        <v>608</v>
      </c>
      <c r="CE133" s="113">
        <v>304</v>
      </c>
      <c r="CF133" s="113">
        <v>340</v>
      </c>
      <c r="CG133" s="113">
        <v>491</v>
      </c>
      <c r="CH133" s="113">
        <v>726</v>
      </c>
      <c r="CI133" s="113">
        <v>1003</v>
      </c>
      <c r="CJ133" s="113">
        <v>1113</v>
      </c>
      <c r="CK133" s="113">
        <v>1478</v>
      </c>
      <c r="CL133" s="113">
        <v>2521</v>
      </c>
      <c r="CM133" s="113">
        <v>1725</v>
      </c>
      <c r="CN133" s="113">
        <v>1750</v>
      </c>
      <c r="CO133" s="113">
        <v>1127</v>
      </c>
      <c r="CP133" s="113">
        <v>1178</v>
      </c>
      <c r="CQ133" s="113">
        <v>755</v>
      </c>
      <c r="CR133" s="113">
        <v>774</v>
      </c>
      <c r="CS133" s="113">
        <v>985</v>
      </c>
      <c r="CT133" s="113">
        <v>1640</v>
      </c>
      <c r="CU133" s="113">
        <v>968</v>
      </c>
      <c r="CV133" s="113">
        <v>657</v>
      </c>
      <c r="CW133" s="113">
        <v>717</v>
      </c>
      <c r="CX133" s="113">
        <v>1150</v>
      </c>
      <c r="CY133" s="113">
        <v>589</v>
      </c>
      <c r="CZ133" s="113">
        <v>501</v>
      </c>
      <c r="DA133" s="113">
        <v>740</v>
      </c>
      <c r="DB133" s="113">
        <v>1242</v>
      </c>
      <c r="DC133" s="113">
        <v>861</v>
      </c>
      <c r="DD133" s="113">
        <v>1056</v>
      </c>
      <c r="DE133" s="113">
        <v>1372</v>
      </c>
      <c r="DF133" s="113">
        <v>2270</v>
      </c>
      <c r="DG133" s="113">
        <v>1351</v>
      </c>
      <c r="DH133" s="113">
        <v>1412</v>
      </c>
      <c r="DI133" s="113">
        <v>1137</v>
      </c>
      <c r="DJ133" s="113">
        <v>1624</v>
      </c>
      <c r="DK133" s="113">
        <v>1661</v>
      </c>
      <c r="DL133" s="113">
        <v>2133</v>
      </c>
      <c r="DM133" s="113">
        <v>1938</v>
      </c>
      <c r="DN133" s="113">
        <v>2613</v>
      </c>
      <c r="DO133" s="113">
        <v>1594</v>
      </c>
      <c r="DP133" s="113">
        <v>1920</v>
      </c>
      <c r="DQ133" s="113">
        <v>2660</v>
      </c>
      <c r="DR133" s="113">
        <v>3141</v>
      </c>
      <c r="DS133" s="113">
        <v>2053</v>
      </c>
      <c r="DT133" s="113">
        <v>2469</v>
      </c>
      <c r="DU133" s="113">
        <v>2902</v>
      </c>
      <c r="DV133" s="113">
        <v>3816</v>
      </c>
      <c r="DW133" s="113">
        <v>2702</v>
      </c>
      <c r="DX133" s="113">
        <v>2450</v>
      </c>
      <c r="DY133" s="113">
        <v>2251</v>
      </c>
      <c r="DZ133" s="113">
        <v>3122</v>
      </c>
      <c r="EA133" s="113">
        <v>1961</v>
      </c>
      <c r="EB133" s="113">
        <v>1979</v>
      </c>
      <c r="EC133" s="113">
        <v>2181</v>
      </c>
      <c r="ED133" s="113">
        <v>3211</v>
      </c>
      <c r="EE133" s="113">
        <v>2003</v>
      </c>
      <c r="EF133" s="113">
        <v>2084</v>
      </c>
      <c r="EG133" s="113">
        <v>2662</v>
      </c>
      <c r="EH133" s="113">
        <v>3614</v>
      </c>
      <c r="EI133" s="113">
        <v>1961</v>
      </c>
      <c r="EJ133" s="113">
        <v>1951</v>
      </c>
      <c r="EK133" s="113">
        <v>2063</v>
      </c>
      <c r="EL133" s="113">
        <v>2622</v>
      </c>
      <c r="EM133" s="113">
        <v>1823</v>
      </c>
      <c r="EN133" s="113">
        <v>1644</v>
      </c>
    </row>
    <row r="134" spans="1:144">
      <c r="A134" s="103" t="s">
        <v>2373</v>
      </c>
      <c r="B134" s="113">
        <v>0</v>
      </c>
      <c r="C134" s="113">
        <v>0</v>
      </c>
      <c r="D134" s="113">
        <v>0</v>
      </c>
      <c r="E134" s="113">
        <v>0</v>
      </c>
      <c r="F134" s="113">
        <v>0</v>
      </c>
      <c r="G134" s="113">
        <v>0</v>
      </c>
      <c r="H134" s="113">
        <v>0</v>
      </c>
      <c r="I134" s="113">
        <v>0</v>
      </c>
      <c r="J134" s="113">
        <v>1469</v>
      </c>
      <c r="K134" s="113">
        <v>1708</v>
      </c>
      <c r="L134" s="113">
        <v>1522</v>
      </c>
      <c r="M134" s="113">
        <v>2112</v>
      </c>
      <c r="N134" s="113">
        <v>2506</v>
      </c>
      <c r="O134" s="113">
        <v>2097</v>
      </c>
      <c r="P134" s="113">
        <v>1701</v>
      </c>
      <c r="Q134" s="113">
        <v>1940</v>
      </c>
      <c r="R134" s="113">
        <v>1899</v>
      </c>
      <c r="S134" s="113">
        <v>2017</v>
      </c>
      <c r="T134" s="113">
        <v>2213</v>
      </c>
      <c r="U134" s="113">
        <v>2184</v>
      </c>
      <c r="V134" s="113">
        <v>2467</v>
      </c>
      <c r="W134" s="113">
        <v>2035</v>
      </c>
      <c r="X134" s="113">
        <v>1632</v>
      </c>
      <c r="Y134" s="113">
        <v>1941</v>
      </c>
      <c r="Z134" s="113">
        <v>0</v>
      </c>
      <c r="AA134" s="113">
        <v>0</v>
      </c>
      <c r="AB134" s="113">
        <v>0</v>
      </c>
      <c r="AC134" s="113">
        <v>0</v>
      </c>
      <c r="AD134" s="113">
        <v>0</v>
      </c>
      <c r="AE134" s="113">
        <v>0</v>
      </c>
      <c r="AG134" s="103" t="s">
        <v>2373</v>
      </c>
      <c r="AH134" s="113">
        <v>0</v>
      </c>
      <c r="AI134" s="113">
        <v>0</v>
      </c>
      <c r="AJ134" s="113">
        <v>0</v>
      </c>
      <c r="AK134" s="113">
        <v>0</v>
      </c>
      <c r="AL134" s="113">
        <v>0</v>
      </c>
      <c r="AM134" s="113">
        <v>0</v>
      </c>
      <c r="AN134" s="113">
        <v>0</v>
      </c>
      <c r="AO134" s="113">
        <v>0</v>
      </c>
      <c r="AP134" s="113">
        <v>0</v>
      </c>
      <c r="AQ134" s="113">
        <v>0</v>
      </c>
      <c r="AR134" s="113">
        <v>0</v>
      </c>
      <c r="AS134" s="113">
        <v>0</v>
      </c>
      <c r="AT134" s="113">
        <v>0</v>
      </c>
      <c r="AU134" s="113">
        <v>0</v>
      </c>
      <c r="AV134" s="113">
        <v>0</v>
      </c>
      <c r="AW134" s="113">
        <v>0</v>
      </c>
      <c r="AX134" s="113">
        <v>0</v>
      </c>
      <c r="AY134" s="113">
        <v>0</v>
      </c>
      <c r="AZ134" s="113">
        <v>0</v>
      </c>
      <c r="BA134" s="113">
        <v>0</v>
      </c>
      <c r="BB134" s="113">
        <v>0</v>
      </c>
      <c r="BC134" s="113">
        <v>0</v>
      </c>
      <c r="BD134" s="113">
        <v>0</v>
      </c>
      <c r="BE134" s="113">
        <v>0</v>
      </c>
      <c r="BF134" s="113">
        <v>0</v>
      </c>
      <c r="BG134" s="113">
        <v>0</v>
      </c>
      <c r="BH134" s="113">
        <v>0</v>
      </c>
      <c r="BI134" s="113">
        <v>1469</v>
      </c>
      <c r="BJ134" s="113">
        <v>0</v>
      </c>
      <c r="BK134" s="113">
        <v>0</v>
      </c>
      <c r="BL134" s="113">
        <v>0</v>
      </c>
      <c r="BM134" s="113">
        <v>1708</v>
      </c>
      <c r="BN134" s="113">
        <v>1734</v>
      </c>
      <c r="BO134" s="113">
        <v>1984</v>
      </c>
      <c r="BP134" s="113">
        <v>1841</v>
      </c>
      <c r="BQ134" s="113">
        <v>1522</v>
      </c>
      <c r="BR134" s="113">
        <v>1993</v>
      </c>
      <c r="BS134" s="113">
        <v>1972</v>
      </c>
      <c r="BT134" s="113">
        <v>2086</v>
      </c>
      <c r="BU134" s="113">
        <v>2112</v>
      </c>
      <c r="BV134" s="113">
        <v>2401</v>
      </c>
      <c r="BW134" s="113">
        <v>2347</v>
      </c>
      <c r="BX134" s="113">
        <v>2257</v>
      </c>
      <c r="BY134" s="113">
        <v>2506</v>
      </c>
      <c r="BZ134" s="113">
        <v>2206</v>
      </c>
      <c r="CA134" s="113">
        <v>2068</v>
      </c>
      <c r="CB134" s="113">
        <v>1748</v>
      </c>
      <c r="CC134" s="113">
        <v>2097</v>
      </c>
      <c r="CD134" s="113">
        <v>1522</v>
      </c>
      <c r="CE134" s="113">
        <v>1301</v>
      </c>
      <c r="CF134" s="113">
        <v>1780</v>
      </c>
      <c r="CG134" s="113">
        <v>1701</v>
      </c>
      <c r="CH134" s="113">
        <v>1480</v>
      </c>
      <c r="CI134" s="113">
        <v>1487</v>
      </c>
      <c r="CJ134" s="113">
        <v>2036</v>
      </c>
      <c r="CK134" s="113">
        <v>1940</v>
      </c>
      <c r="CL134" s="113">
        <v>2068</v>
      </c>
      <c r="CM134" s="113">
        <v>2607</v>
      </c>
      <c r="CN134" s="113">
        <v>1969</v>
      </c>
      <c r="CO134" s="113">
        <v>1899</v>
      </c>
      <c r="CP134" s="113">
        <v>1571</v>
      </c>
      <c r="CQ134" s="113">
        <v>1483</v>
      </c>
      <c r="CR134" s="113">
        <v>1721</v>
      </c>
      <c r="CS134" s="113">
        <v>2017</v>
      </c>
      <c r="CT134" s="113">
        <v>1974</v>
      </c>
      <c r="CU134" s="113">
        <v>1504</v>
      </c>
      <c r="CV134" s="113">
        <v>1926</v>
      </c>
      <c r="CW134" s="113">
        <v>2213</v>
      </c>
      <c r="CX134" s="113">
        <v>2441</v>
      </c>
      <c r="CY134" s="113">
        <v>2056</v>
      </c>
      <c r="CZ134" s="113">
        <v>2222</v>
      </c>
      <c r="DA134" s="113">
        <v>2184</v>
      </c>
      <c r="DB134" s="113">
        <v>2344</v>
      </c>
      <c r="DC134" s="113">
        <v>2548</v>
      </c>
      <c r="DD134" s="113">
        <v>2586</v>
      </c>
      <c r="DE134" s="113">
        <v>2467</v>
      </c>
      <c r="DF134" s="113">
        <v>2190</v>
      </c>
      <c r="DG134" s="113">
        <v>2169</v>
      </c>
      <c r="DH134" s="113">
        <v>2350</v>
      </c>
      <c r="DI134" s="113">
        <v>2035</v>
      </c>
      <c r="DJ134" s="113">
        <v>2052</v>
      </c>
      <c r="DK134" s="113">
        <v>1983</v>
      </c>
      <c r="DL134" s="113">
        <v>1676</v>
      </c>
      <c r="DM134" s="113">
        <v>1632</v>
      </c>
      <c r="DN134" s="113">
        <v>1258</v>
      </c>
      <c r="DO134" s="113">
        <v>1328</v>
      </c>
      <c r="DP134" s="113">
        <v>1424</v>
      </c>
      <c r="DQ134" s="113">
        <v>1941</v>
      </c>
      <c r="DR134" s="113">
        <v>1784</v>
      </c>
      <c r="DS134" s="113">
        <v>1701</v>
      </c>
      <c r="DT134" s="113">
        <v>1688</v>
      </c>
      <c r="DU134" s="113">
        <v>0</v>
      </c>
      <c r="DV134" s="113">
        <v>1447</v>
      </c>
      <c r="DW134" s="113">
        <v>1618</v>
      </c>
      <c r="DX134" s="113">
        <v>1574</v>
      </c>
      <c r="DY134" s="113">
        <v>0</v>
      </c>
      <c r="DZ134" s="113">
        <v>0</v>
      </c>
      <c r="EA134" s="113">
        <v>0</v>
      </c>
      <c r="EB134" s="113">
        <v>0</v>
      </c>
      <c r="EC134" s="113">
        <v>0</v>
      </c>
      <c r="ED134" s="113">
        <v>0</v>
      </c>
      <c r="EE134" s="113">
        <v>0</v>
      </c>
      <c r="EF134" s="113">
        <v>0</v>
      </c>
      <c r="EG134" s="113">
        <v>0</v>
      </c>
      <c r="EH134" s="113">
        <v>0</v>
      </c>
      <c r="EI134" s="113">
        <v>0</v>
      </c>
      <c r="EJ134" s="113">
        <v>0</v>
      </c>
      <c r="EK134" s="113">
        <v>0</v>
      </c>
      <c r="EL134" s="113">
        <v>0</v>
      </c>
      <c r="EM134" s="113">
        <v>0</v>
      </c>
      <c r="EN134" s="113">
        <v>0</v>
      </c>
    </row>
    <row r="135" spans="1:144">
      <c r="A135" s="103" t="s">
        <v>1641</v>
      </c>
      <c r="B135" s="113">
        <v>51.779000000000003</v>
      </c>
      <c r="C135" s="113">
        <v>69</v>
      </c>
      <c r="D135" s="113">
        <v>95</v>
      </c>
      <c r="E135" s="113">
        <v>121</v>
      </c>
      <c r="F135" s="113">
        <v>289</v>
      </c>
      <c r="G135" s="113">
        <v>260</v>
      </c>
      <c r="H135" s="113">
        <v>427</v>
      </c>
      <c r="I135" s="113">
        <v>502</v>
      </c>
      <c r="J135" s="113">
        <v>752</v>
      </c>
      <c r="K135" s="113">
        <v>1552</v>
      </c>
      <c r="L135" s="113">
        <v>2334</v>
      </c>
      <c r="M135" s="113">
        <v>2010</v>
      </c>
      <c r="N135" s="113">
        <v>1583</v>
      </c>
      <c r="O135" s="113">
        <v>1566</v>
      </c>
      <c r="P135" s="113">
        <v>1614</v>
      </c>
      <c r="Q135" s="113">
        <v>5180</v>
      </c>
      <c r="R135" s="113">
        <v>4749</v>
      </c>
      <c r="S135" s="113">
        <v>5480</v>
      </c>
      <c r="T135" s="113">
        <v>5373</v>
      </c>
      <c r="U135" s="113">
        <v>3179</v>
      </c>
      <c r="V135" s="113">
        <v>4721</v>
      </c>
      <c r="W135" s="113">
        <v>4088</v>
      </c>
      <c r="X135" s="113">
        <v>4000</v>
      </c>
      <c r="Y135" s="113">
        <v>4955</v>
      </c>
      <c r="Z135" s="113">
        <v>5596</v>
      </c>
      <c r="AA135" s="113">
        <v>6091</v>
      </c>
      <c r="AB135" s="113">
        <v>5183</v>
      </c>
      <c r="AC135" s="113">
        <v>6855</v>
      </c>
      <c r="AD135" s="113">
        <v>10133</v>
      </c>
      <c r="AE135" s="113">
        <v>8520</v>
      </c>
      <c r="AG135" s="103" t="s">
        <v>1641</v>
      </c>
      <c r="AH135" s="113">
        <v>0</v>
      </c>
      <c r="AI135" s="113">
        <v>0</v>
      </c>
      <c r="AJ135" s="113">
        <v>0</v>
      </c>
      <c r="AK135" s="113">
        <v>95</v>
      </c>
      <c r="AL135" s="113">
        <v>0</v>
      </c>
      <c r="AM135" s="113">
        <v>96</v>
      </c>
      <c r="AN135" s="113">
        <v>116</v>
      </c>
      <c r="AO135" s="113">
        <v>121</v>
      </c>
      <c r="AP135" s="113">
        <v>143</v>
      </c>
      <c r="AQ135" s="113">
        <v>149</v>
      </c>
      <c r="AR135" s="113">
        <v>155</v>
      </c>
      <c r="AS135" s="113">
        <v>289</v>
      </c>
      <c r="AT135" s="113">
        <v>176</v>
      </c>
      <c r="AU135" s="113">
        <v>207</v>
      </c>
      <c r="AV135" s="113">
        <v>212</v>
      </c>
      <c r="AW135" s="113">
        <v>260</v>
      </c>
      <c r="AX135" s="113">
        <v>279</v>
      </c>
      <c r="AY135" s="113">
        <v>307</v>
      </c>
      <c r="AZ135" s="113">
        <v>272</v>
      </c>
      <c r="BA135" s="113">
        <v>427</v>
      </c>
      <c r="BB135" s="113">
        <v>416</v>
      </c>
      <c r="BC135" s="113">
        <v>450</v>
      </c>
      <c r="BD135" s="113">
        <v>358</v>
      </c>
      <c r="BE135" s="113">
        <v>502</v>
      </c>
      <c r="BF135" s="113">
        <v>569</v>
      </c>
      <c r="BG135" s="113">
        <v>543</v>
      </c>
      <c r="BH135" s="113">
        <v>608</v>
      </c>
      <c r="BI135" s="113">
        <v>752</v>
      </c>
      <c r="BJ135" s="113">
        <v>854</v>
      </c>
      <c r="BK135" s="113">
        <v>893</v>
      </c>
      <c r="BL135" s="113">
        <v>1110</v>
      </c>
      <c r="BM135" s="113">
        <v>1552</v>
      </c>
      <c r="BN135" s="113">
        <v>1776</v>
      </c>
      <c r="BO135" s="113">
        <v>2000</v>
      </c>
      <c r="BP135" s="113">
        <v>2398</v>
      </c>
      <c r="BQ135" s="113">
        <v>2334</v>
      </c>
      <c r="BR135" s="113">
        <v>2561</v>
      </c>
      <c r="BS135" s="113">
        <v>2692</v>
      </c>
      <c r="BT135" s="113">
        <v>2818</v>
      </c>
      <c r="BU135" s="113">
        <v>2010</v>
      </c>
      <c r="BV135" s="113">
        <v>1758</v>
      </c>
      <c r="BW135" s="113">
        <v>1616</v>
      </c>
      <c r="BX135" s="113">
        <v>1558</v>
      </c>
      <c r="BY135" s="113">
        <v>1583</v>
      </c>
      <c r="BZ135" s="113">
        <v>1450</v>
      </c>
      <c r="CA135" s="113">
        <v>1326</v>
      </c>
      <c r="CB135" s="113">
        <v>1636</v>
      </c>
      <c r="CC135" s="113">
        <v>1566</v>
      </c>
      <c r="CD135" s="113">
        <v>1245</v>
      </c>
      <c r="CE135" s="113">
        <v>1644</v>
      </c>
      <c r="CF135" s="113">
        <v>1269</v>
      </c>
      <c r="CG135" s="113">
        <v>1614</v>
      </c>
      <c r="CH135" s="113">
        <v>1770</v>
      </c>
      <c r="CI135" s="113">
        <v>1745</v>
      </c>
      <c r="CJ135" s="113">
        <v>3156</v>
      </c>
      <c r="CK135" s="113">
        <v>5180</v>
      </c>
      <c r="CL135" s="113">
        <v>5638</v>
      </c>
      <c r="CM135" s="113">
        <v>4553</v>
      </c>
      <c r="CN135" s="113">
        <v>5132</v>
      </c>
      <c r="CO135" s="113">
        <v>4749</v>
      </c>
      <c r="CP135" s="113">
        <v>5244</v>
      </c>
      <c r="CQ135" s="113">
        <v>4824</v>
      </c>
      <c r="CR135" s="113">
        <v>5100</v>
      </c>
      <c r="CS135" s="113">
        <v>5480</v>
      </c>
      <c r="CT135" s="113">
        <v>4342</v>
      </c>
      <c r="CU135" s="113">
        <v>4007</v>
      </c>
      <c r="CV135" s="113">
        <v>5241</v>
      </c>
      <c r="CW135" s="113">
        <v>5373</v>
      </c>
      <c r="CX135" s="113">
        <v>6722</v>
      </c>
      <c r="CY135" s="113">
        <v>5446</v>
      </c>
      <c r="CZ135" s="113">
        <v>5632</v>
      </c>
      <c r="DA135" s="113">
        <v>3179</v>
      </c>
      <c r="DB135" s="113">
        <v>3096</v>
      </c>
      <c r="DC135" s="113">
        <v>3425</v>
      </c>
      <c r="DD135" s="113">
        <v>3871</v>
      </c>
      <c r="DE135" s="113">
        <v>4721</v>
      </c>
      <c r="DF135" s="113">
        <v>4719</v>
      </c>
      <c r="DG135" s="113">
        <v>4659</v>
      </c>
      <c r="DH135" s="113">
        <v>3789</v>
      </c>
      <c r="DI135" s="113">
        <v>4088</v>
      </c>
      <c r="DJ135" s="113">
        <v>4432</v>
      </c>
      <c r="DK135" s="113">
        <v>3515</v>
      </c>
      <c r="DL135" s="113">
        <v>3936</v>
      </c>
      <c r="DM135" s="113">
        <v>4000</v>
      </c>
      <c r="DN135" s="113">
        <v>4638</v>
      </c>
      <c r="DO135" s="113">
        <v>4827</v>
      </c>
      <c r="DP135" s="113">
        <v>4491</v>
      </c>
      <c r="DQ135" s="113">
        <v>4955</v>
      </c>
      <c r="DR135" s="113">
        <v>5906</v>
      </c>
      <c r="DS135" s="113">
        <v>6853</v>
      </c>
      <c r="DT135" s="113">
        <v>6526</v>
      </c>
      <c r="DU135" s="113">
        <v>5596</v>
      </c>
      <c r="DV135" s="113">
        <v>5672</v>
      </c>
      <c r="DW135" s="113">
        <v>6671</v>
      </c>
      <c r="DX135" s="113">
        <v>6812</v>
      </c>
      <c r="DY135" s="113">
        <v>6091</v>
      </c>
      <c r="DZ135" s="113">
        <v>6869</v>
      </c>
      <c r="EA135" s="113">
        <v>7440</v>
      </c>
      <c r="EB135" s="113">
        <v>9876</v>
      </c>
      <c r="EC135" s="113">
        <v>5183</v>
      </c>
      <c r="ED135" s="113">
        <v>9648</v>
      </c>
      <c r="EE135" s="113">
        <v>8667</v>
      </c>
      <c r="EF135" s="113">
        <v>5094</v>
      </c>
      <c r="EG135" s="113">
        <v>6855</v>
      </c>
      <c r="EH135" s="113">
        <v>7420</v>
      </c>
      <c r="EI135" s="113">
        <v>7560</v>
      </c>
      <c r="EJ135" s="113">
        <v>7131</v>
      </c>
      <c r="EK135" s="113">
        <v>10133</v>
      </c>
      <c r="EL135" s="113">
        <v>7578</v>
      </c>
      <c r="EM135" s="113">
        <v>7495</v>
      </c>
      <c r="EN135" s="113">
        <v>8520</v>
      </c>
    </row>
    <row r="136" spans="1:144" ht="10.5">
      <c r="A136" s="112" t="s">
        <v>2374</v>
      </c>
      <c r="B136" s="114">
        <v>1028.5029999999999</v>
      </c>
      <c r="C136" s="114">
        <v>1770</v>
      </c>
      <c r="D136" s="114">
        <v>2850</v>
      </c>
      <c r="E136" s="114">
        <v>4312</v>
      </c>
      <c r="F136" s="114">
        <v>5620</v>
      </c>
      <c r="G136" s="114">
        <v>7839</v>
      </c>
      <c r="H136" s="114">
        <v>10373</v>
      </c>
      <c r="I136" s="114">
        <v>15889</v>
      </c>
      <c r="J136" s="114">
        <v>21702</v>
      </c>
      <c r="K136" s="114">
        <v>30308</v>
      </c>
      <c r="L136" s="114">
        <v>39210</v>
      </c>
      <c r="M136" s="114">
        <v>48576</v>
      </c>
      <c r="N136" s="114">
        <v>58973</v>
      </c>
      <c r="O136" s="114">
        <v>70566</v>
      </c>
      <c r="P136" s="114">
        <v>48737</v>
      </c>
      <c r="Q136" s="114">
        <v>49010</v>
      </c>
      <c r="R136" s="114">
        <v>40168</v>
      </c>
      <c r="S136" s="114">
        <v>43242</v>
      </c>
      <c r="T136" s="114">
        <v>49280</v>
      </c>
      <c r="U136" s="114">
        <v>55676</v>
      </c>
      <c r="V136" s="114">
        <v>74918</v>
      </c>
      <c r="W136" s="114">
        <v>85084</v>
      </c>
      <c r="X136" s="114">
        <v>101466</v>
      </c>
      <c r="Y136" s="114">
        <v>114246</v>
      </c>
      <c r="Z136" s="114">
        <v>122797</v>
      </c>
      <c r="AA136" s="114">
        <v>139660</v>
      </c>
      <c r="AB136" s="114">
        <v>162696</v>
      </c>
      <c r="AC136" s="114">
        <v>169662</v>
      </c>
      <c r="AD136" s="114">
        <v>175552</v>
      </c>
      <c r="AE136" s="114">
        <v>170505</v>
      </c>
      <c r="AG136" s="112" t="s">
        <v>2374</v>
      </c>
      <c r="AH136" s="114">
        <v>0</v>
      </c>
      <c r="AI136" s="114">
        <v>0</v>
      </c>
      <c r="AJ136" s="114">
        <v>0</v>
      </c>
      <c r="AK136" s="114">
        <v>2850</v>
      </c>
      <c r="AL136" s="114">
        <v>0</v>
      </c>
      <c r="AM136" s="114">
        <v>3482</v>
      </c>
      <c r="AN136" s="114">
        <v>3912</v>
      </c>
      <c r="AO136" s="114">
        <v>4312</v>
      </c>
      <c r="AP136" s="114">
        <v>4554</v>
      </c>
      <c r="AQ136" s="114">
        <v>4696</v>
      </c>
      <c r="AR136" s="114">
        <v>5287</v>
      </c>
      <c r="AS136" s="114">
        <v>5620</v>
      </c>
      <c r="AT136" s="114">
        <v>6417</v>
      </c>
      <c r="AU136" s="114">
        <v>7103</v>
      </c>
      <c r="AV136" s="114">
        <v>7696</v>
      </c>
      <c r="AW136" s="114">
        <v>7839</v>
      </c>
      <c r="AX136" s="114">
        <v>8232</v>
      </c>
      <c r="AY136" s="114">
        <v>10442</v>
      </c>
      <c r="AZ136" s="114">
        <v>10224</v>
      </c>
      <c r="BA136" s="114">
        <v>10373</v>
      </c>
      <c r="BB136" s="114">
        <v>10838</v>
      </c>
      <c r="BC136" s="114">
        <v>11636</v>
      </c>
      <c r="BD136" s="114">
        <v>13735</v>
      </c>
      <c r="BE136" s="114">
        <v>15889</v>
      </c>
      <c r="BF136" s="114">
        <v>18964</v>
      </c>
      <c r="BG136" s="114">
        <v>21809</v>
      </c>
      <c r="BH136" s="114">
        <v>24058</v>
      </c>
      <c r="BI136" s="114">
        <v>21702</v>
      </c>
      <c r="BJ136" s="114">
        <v>21963</v>
      </c>
      <c r="BK136" s="114">
        <v>22020</v>
      </c>
      <c r="BL136" s="114">
        <v>25217</v>
      </c>
      <c r="BM136" s="114">
        <v>30308</v>
      </c>
      <c r="BN136" s="114">
        <v>31393</v>
      </c>
      <c r="BO136" s="114">
        <v>35016</v>
      </c>
      <c r="BP136" s="114">
        <v>37789</v>
      </c>
      <c r="BQ136" s="114">
        <v>39210</v>
      </c>
      <c r="BR136" s="114">
        <v>44332</v>
      </c>
      <c r="BS136" s="114">
        <v>47988</v>
      </c>
      <c r="BT136" s="114">
        <v>47827</v>
      </c>
      <c r="BU136" s="114">
        <v>48576</v>
      </c>
      <c r="BV136" s="114">
        <v>50043</v>
      </c>
      <c r="BW136" s="114">
        <v>52931</v>
      </c>
      <c r="BX136" s="114">
        <v>54672</v>
      </c>
      <c r="BY136" s="114">
        <v>58973</v>
      </c>
      <c r="BZ136" s="114">
        <v>60910</v>
      </c>
      <c r="CA136" s="114">
        <v>62400</v>
      </c>
      <c r="CB136" s="114">
        <v>65270</v>
      </c>
      <c r="CC136" s="114">
        <v>70566</v>
      </c>
      <c r="CD136" s="114">
        <v>72896</v>
      </c>
      <c r="CE136" s="114">
        <v>44399</v>
      </c>
      <c r="CF136" s="114">
        <v>46593</v>
      </c>
      <c r="CG136" s="114">
        <v>48737</v>
      </c>
      <c r="CH136" s="114">
        <v>49831</v>
      </c>
      <c r="CI136" s="114">
        <v>46694</v>
      </c>
      <c r="CJ136" s="114">
        <v>46628</v>
      </c>
      <c r="CK136" s="114">
        <v>49010</v>
      </c>
      <c r="CL136" s="114">
        <v>45358</v>
      </c>
      <c r="CM136" s="114">
        <v>45180</v>
      </c>
      <c r="CN136" s="114">
        <v>42783</v>
      </c>
      <c r="CO136" s="114">
        <v>40168</v>
      </c>
      <c r="CP136" s="114">
        <v>35853</v>
      </c>
      <c r="CQ136" s="114">
        <v>37775</v>
      </c>
      <c r="CR136" s="114">
        <v>41489</v>
      </c>
      <c r="CS136" s="114">
        <v>43242</v>
      </c>
      <c r="CT136" s="114">
        <v>37202</v>
      </c>
      <c r="CU136" s="114">
        <v>37730</v>
      </c>
      <c r="CV136" s="114">
        <v>40724</v>
      </c>
      <c r="CW136" s="114">
        <v>49280</v>
      </c>
      <c r="CX136" s="114">
        <v>52231</v>
      </c>
      <c r="CY136" s="114">
        <v>52487</v>
      </c>
      <c r="CZ136" s="114">
        <v>54518</v>
      </c>
      <c r="DA136" s="114">
        <v>55676</v>
      </c>
      <c r="DB136" s="114">
        <v>59581</v>
      </c>
      <c r="DC136" s="114">
        <v>59684</v>
      </c>
      <c r="DD136" s="114">
        <v>66263</v>
      </c>
      <c r="DE136" s="114">
        <v>74918</v>
      </c>
      <c r="DF136" s="114">
        <v>75271</v>
      </c>
      <c r="DG136" s="114">
        <v>72513</v>
      </c>
      <c r="DH136" s="114">
        <v>76860</v>
      </c>
      <c r="DI136" s="114">
        <v>85084</v>
      </c>
      <c r="DJ136" s="114">
        <v>84051</v>
      </c>
      <c r="DK136" s="114">
        <v>89574</v>
      </c>
      <c r="DL136" s="114">
        <v>93524</v>
      </c>
      <c r="DM136" s="114">
        <v>101466</v>
      </c>
      <c r="DN136" s="114">
        <v>99450</v>
      </c>
      <c r="DO136" s="114">
        <v>106870</v>
      </c>
      <c r="DP136" s="114">
        <v>109006</v>
      </c>
      <c r="DQ136" s="114">
        <v>114246</v>
      </c>
      <c r="DR136" s="114">
        <v>112439</v>
      </c>
      <c r="DS136" s="114">
        <v>116362</v>
      </c>
      <c r="DT136" s="114">
        <v>118398</v>
      </c>
      <c r="DU136" s="114">
        <v>122797</v>
      </c>
      <c r="DV136" s="114">
        <v>121656</v>
      </c>
      <c r="DW136" s="114">
        <v>127812</v>
      </c>
      <c r="DX136" s="114">
        <v>128421</v>
      </c>
      <c r="DY136" s="114">
        <v>139660</v>
      </c>
      <c r="DZ136" s="114">
        <v>157909</v>
      </c>
      <c r="EA136" s="114">
        <v>144949</v>
      </c>
      <c r="EB136" s="114">
        <v>146313</v>
      </c>
      <c r="EC136" s="114">
        <v>162696</v>
      </c>
      <c r="ED136" s="114">
        <v>161031</v>
      </c>
      <c r="EE136" s="114">
        <v>167633</v>
      </c>
      <c r="EF136" s="114">
        <v>156659</v>
      </c>
      <c r="EG136" s="114">
        <v>169662</v>
      </c>
      <c r="EH136" s="114">
        <v>164195</v>
      </c>
      <c r="EI136" s="114">
        <v>156874</v>
      </c>
      <c r="EJ136" s="114">
        <v>159887</v>
      </c>
      <c r="EK136" s="114">
        <v>175552</v>
      </c>
      <c r="EL136" s="114">
        <v>165896</v>
      </c>
      <c r="EM136" s="114">
        <v>167074</v>
      </c>
      <c r="EN136" s="114">
        <v>170505</v>
      </c>
    </row>
    <row r="137" spans="1:144">
      <c r="A137" s="103"/>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c r="CD137" s="103"/>
      <c r="CE137" s="103"/>
      <c r="CF137" s="103"/>
      <c r="CG137" s="103"/>
      <c r="CH137" s="103"/>
      <c r="CI137" s="103"/>
      <c r="CJ137" s="103"/>
      <c r="CK137" s="103"/>
      <c r="CL137" s="103"/>
      <c r="CM137" s="103"/>
      <c r="CN137" s="103"/>
      <c r="CO137" s="103"/>
      <c r="CP137" s="103"/>
      <c r="CQ137" s="103"/>
      <c r="CR137" s="103"/>
      <c r="CS137" s="103"/>
      <c r="CT137" s="103"/>
      <c r="CU137" s="103"/>
      <c r="CV137" s="103"/>
      <c r="CW137" s="103"/>
      <c r="CX137" s="103"/>
      <c r="CY137" s="103"/>
      <c r="CZ137" s="103"/>
      <c r="DA137" s="103"/>
      <c r="DB137" s="103"/>
      <c r="DC137" s="103"/>
      <c r="DD137" s="103"/>
      <c r="DE137" s="103"/>
      <c r="DF137" s="103"/>
      <c r="DG137" s="103"/>
      <c r="DH137" s="103"/>
      <c r="DI137" s="103"/>
      <c r="DJ137" s="103"/>
      <c r="DK137" s="103"/>
      <c r="DL137" s="103"/>
      <c r="DM137" s="103"/>
      <c r="DN137" s="103"/>
      <c r="DO137" s="103"/>
      <c r="DP137" s="103"/>
      <c r="DQ137" s="103"/>
      <c r="DR137" s="103"/>
      <c r="DS137" s="103"/>
      <c r="DT137" s="103"/>
      <c r="DU137" s="103"/>
      <c r="DV137" s="103"/>
      <c r="DW137" s="103"/>
      <c r="DX137" s="103"/>
      <c r="DY137" s="103"/>
      <c r="DZ137" s="103"/>
      <c r="EA137" s="103"/>
      <c r="EB137" s="103"/>
      <c r="EC137" s="103"/>
      <c r="ED137" s="103"/>
      <c r="EE137" s="103"/>
      <c r="EF137" s="103"/>
      <c r="EG137" s="103"/>
      <c r="EH137" s="103"/>
      <c r="EI137" s="103"/>
      <c r="EJ137" s="103"/>
      <c r="EK137" s="103"/>
      <c r="EL137" s="103"/>
      <c r="EM137" s="103"/>
      <c r="EN137" s="103"/>
    </row>
    <row r="138" spans="1:144">
      <c r="A138" s="103" t="s">
        <v>2375</v>
      </c>
      <c r="B138" s="113">
        <v>648.649</v>
      </c>
      <c r="C138" s="113">
        <v>977</v>
      </c>
      <c r="D138" s="113">
        <v>1181</v>
      </c>
      <c r="E138" s="113">
        <v>1445</v>
      </c>
      <c r="F138" s="113">
        <v>1907</v>
      </c>
      <c r="G138" s="113">
        <v>2346</v>
      </c>
      <c r="H138" s="113">
        <v>2777</v>
      </c>
      <c r="I138" s="113">
        <v>3052</v>
      </c>
      <c r="J138" s="113">
        <v>3516</v>
      </c>
      <c r="K138" s="113">
        <v>4314</v>
      </c>
      <c r="L138" s="113">
        <v>5275</v>
      </c>
      <c r="M138" s="113">
        <v>5891</v>
      </c>
      <c r="N138" s="113">
        <v>6078</v>
      </c>
      <c r="O138" s="113">
        <v>6489</v>
      </c>
      <c r="P138" s="113">
        <v>6375</v>
      </c>
      <c r="Q138" s="113">
        <v>7223</v>
      </c>
      <c r="R138" s="113">
        <v>9366</v>
      </c>
      <c r="S138" s="113">
        <v>12544</v>
      </c>
      <c r="T138" s="113">
        <v>15082</v>
      </c>
      <c r="U138" s="113">
        <v>16259</v>
      </c>
      <c r="V138" s="113">
        <v>17991</v>
      </c>
      <c r="W138" s="113">
        <v>19231</v>
      </c>
      <c r="X138" s="113">
        <v>22504</v>
      </c>
      <c r="Y138" s="113">
        <v>27804</v>
      </c>
      <c r="Z138" s="113">
        <v>32337</v>
      </c>
      <c r="AA138" s="113">
        <v>38156</v>
      </c>
      <c r="AB138" s="113">
        <v>54468</v>
      </c>
      <c r="AC138" s="113">
        <v>65369</v>
      </c>
      <c r="AD138" s="113">
        <v>79186</v>
      </c>
      <c r="AE138" s="113">
        <v>91181</v>
      </c>
      <c r="AG138" s="103" t="s">
        <v>2375</v>
      </c>
      <c r="AH138" s="113">
        <v>0</v>
      </c>
      <c r="AI138" s="113">
        <v>0</v>
      </c>
      <c r="AJ138" s="113">
        <v>0</v>
      </c>
      <c r="AK138" s="113">
        <v>1181</v>
      </c>
      <c r="AL138" s="113">
        <v>0</v>
      </c>
      <c r="AM138" s="113">
        <v>0</v>
      </c>
      <c r="AN138" s="113">
        <v>0</v>
      </c>
      <c r="AO138" s="113">
        <v>1445</v>
      </c>
      <c r="AP138" s="113">
        <v>0</v>
      </c>
      <c r="AQ138" s="113">
        <v>0</v>
      </c>
      <c r="AR138" s="113">
        <v>0</v>
      </c>
      <c r="AS138" s="113">
        <v>1907</v>
      </c>
      <c r="AT138" s="113">
        <v>0</v>
      </c>
      <c r="AU138" s="113">
        <v>0</v>
      </c>
      <c r="AV138" s="113">
        <v>0</v>
      </c>
      <c r="AW138" s="113">
        <v>2346</v>
      </c>
      <c r="AX138" s="113">
        <v>0</v>
      </c>
      <c r="AY138" s="113">
        <v>0</v>
      </c>
      <c r="AZ138" s="113">
        <v>0</v>
      </c>
      <c r="BA138" s="113">
        <v>2777</v>
      </c>
      <c r="BB138" s="113">
        <v>0</v>
      </c>
      <c r="BC138" s="113">
        <v>0</v>
      </c>
      <c r="BD138" s="113">
        <v>0</v>
      </c>
      <c r="BE138" s="113">
        <v>3052</v>
      </c>
      <c r="BF138" s="113">
        <v>0</v>
      </c>
      <c r="BG138" s="113">
        <v>0</v>
      </c>
      <c r="BH138" s="113">
        <v>0</v>
      </c>
      <c r="BI138" s="113">
        <v>3516</v>
      </c>
      <c r="BJ138" s="113">
        <v>0</v>
      </c>
      <c r="BK138" s="113">
        <v>0</v>
      </c>
      <c r="BL138" s="113">
        <v>0</v>
      </c>
      <c r="BM138" s="113">
        <v>4314</v>
      </c>
      <c r="BN138" s="113">
        <v>0</v>
      </c>
      <c r="BO138" s="113">
        <v>0</v>
      </c>
      <c r="BP138" s="113">
        <v>0</v>
      </c>
      <c r="BQ138" s="113">
        <v>5275</v>
      </c>
      <c r="BR138" s="113">
        <v>0</v>
      </c>
      <c r="BS138" s="113">
        <v>0</v>
      </c>
      <c r="BT138" s="113">
        <v>0</v>
      </c>
      <c r="BU138" s="113">
        <v>5891</v>
      </c>
      <c r="BV138" s="113">
        <v>0</v>
      </c>
      <c r="BW138" s="113">
        <v>0</v>
      </c>
      <c r="BX138" s="113">
        <v>0</v>
      </c>
      <c r="BY138" s="113">
        <v>6078</v>
      </c>
      <c r="BZ138" s="113">
        <v>0</v>
      </c>
      <c r="CA138" s="113">
        <v>0</v>
      </c>
      <c r="CB138" s="113">
        <v>0</v>
      </c>
      <c r="CC138" s="113">
        <v>6489</v>
      </c>
      <c r="CD138" s="113">
        <v>0</v>
      </c>
      <c r="CE138" s="113">
        <v>0</v>
      </c>
      <c r="CF138" s="113">
        <v>0</v>
      </c>
      <c r="CG138" s="113">
        <v>6375</v>
      </c>
      <c r="CH138" s="113">
        <v>0</v>
      </c>
      <c r="CI138" s="113">
        <v>0</v>
      </c>
      <c r="CJ138" s="113">
        <v>0</v>
      </c>
      <c r="CK138" s="113">
        <v>7223</v>
      </c>
      <c r="CL138" s="113">
        <v>0</v>
      </c>
      <c r="CM138" s="113">
        <v>0</v>
      </c>
      <c r="CN138" s="113">
        <v>0</v>
      </c>
      <c r="CO138" s="113">
        <v>9366</v>
      </c>
      <c r="CP138" s="113">
        <v>0</v>
      </c>
      <c r="CQ138" s="113">
        <v>0</v>
      </c>
      <c r="CR138" s="113">
        <v>0</v>
      </c>
      <c r="CS138" s="113">
        <v>12544</v>
      </c>
      <c r="CT138" s="113">
        <v>13174</v>
      </c>
      <c r="CU138" s="113">
        <v>13955</v>
      </c>
      <c r="CV138" s="113">
        <v>14348</v>
      </c>
      <c r="CW138" s="113">
        <v>15082</v>
      </c>
      <c r="CX138" s="113">
        <v>15365</v>
      </c>
      <c r="CY138" s="113">
        <v>15572</v>
      </c>
      <c r="CZ138" s="113">
        <v>15765</v>
      </c>
      <c r="DA138" s="113">
        <v>16259</v>
      </c>
      <c r="DB138" s="113">
        <v>16713</v>
      </c>
      <c r="DC138" s="113">
        <v>17078</v>
      </c>
      <c r="DD138" s="113">
        <v>17533</v>
      </c>
      <c r="DE138" s="113">
        <v>17991</v>
      </c>
      <c r="DF138" s="113">
        <v>18242</v>
      </c>
      <c r="DG138" s="113">
        <v>18556</v>
      </c>
      <c r="DH138" s="113">
        <v>19177</v>
      </c>
      <c r="DI138" s="113">
        <v>19231</v>
      </c>
      <c r="DJ138" s="113">
        <v>19730</v>
      </c>
      <c r="DK138" s="113">
        <v>20471</v>
      </c>
      <c r="DL138" s="113">
        <v>21451</v>
      </c>
      <c r="DM138" s="113">
        <v>22504</v>
      </c>
      <c r="DN138" s="113">
        <v>23812</v>
      </c>
      <c r="DO138" s="113">
        <v>25253</v>
      </c>
      <c r="DP138" s="113">
        <v>26212</v>
      </c>
      <c r="DQ138" s="113">
        <v>27804</v>
      </c>
      <c r="DR138" s="113">
        <v>28602</v>
      </c>
      <c r="DS138" s="113">
        <v>29799</v>
      </c>
      <c r="DT138" s="113">
        <v>31214</v>
      </c>
      <c r="DU138" s="113">
        <v>32337</v>
      </c>
      <c r="DV138" s="113">
        <v>33055</v>
      </c>
      <c r="DW138" s="113">
        <v>33797</v>
      </c>
      <c r="DX138" s="113">
        <v>35716</v>
      </c>
      <c r="DY138" s="113">
        <v>38156</v>
      </c>
      <c r="DZ138" s="113">
        <v>40109</v>
      </c>
      <c r="EA138" s="113">
        <v>43267</v>
      </c>
      <c r="EB138" s="113">
        <v>44954</v>
      </c>
      <c r="EC138" s="113">
        <v>54468</v>
      </c>
      <c r="ED138" s="113">
        <v>57176</v>
      </c>
      <c r="EE138" s="113">
        <v>59902</v>
      </c>
      <c r="EF138" s="113">
        <v>63165</v>
      </c>
      <c r="EG138" s="113">
        <v>65369</v>
      </c>
      <c r="EH138" s="113">
        <v>69117</v>
      </c>
      <c r="EI138" s="113">
        <v>72605</v>
      </c>
      <c r="EJ138" s="113">
        <v>76200</v>
      </c>
      <c r="EK138" s="113">
        <v>79186</v>
      </c>
      <c r="EL138" s="113">
        <v>83270</v>
      </c>
      <c r="EM138" s="113">
        <v>88558</v>
      </c>
      <c r="EN138" s="113">
        <v>91181</v>
      </c>
    </row>
    <row r="139" spans="1:144">
      <c r="A139" s="103" t="s">
        <v>788</v>
      </c>
      <c r="B139" s="113">
        <v>-118.5</v>
      </c>
      <c r="C139" s="113">
        <v>-210</v>
      </c>
      <c r="D139" s="113">
        <v>-314</v>
      </c>
      <c r="E139" s="113">
        <v>-515</v>
      </c>
      <c r="F139" s="113">
        <v>-715</v>
      </c>
      <c r="G139" s="113">
        <v>-1020</v>
      </c>
      <c r="H139" s="113">
        <v>-1312</v>
      </c>
      <c r="I139" s="113">
        <v>-1547</v>
      </c>
      <c r="J139" s="113">
        <v>-1905</v>
      </c>
      <c r="K139" s="113">
        <v>-2411</v>
      </c>
      <c r="L139" s="113">
        <v>-2966</v>
      </c>
      <c r="M139" s="113">
        <v>-3623</v>
      </c>
      <c r="N139" s="113">
        <v>-3855</v>
      </c>
      <c r="O139" s="113">
        <v>-4163</v>
      </c>
      <c r="P139" s="113">
        <v>-4029</v>
      </c>
      <c r="Q139" s="113">
        <v>-4179</v>
      </c>
      <c r="R139" s="113">
        <v>-5016</v>
      </c>
      <c r="S139" s="113">
        <v>-6302</v>
      </c>
      <c r="T139" s="113">
        <v>-7547</v>
      </c>
      <c r="U139" s="113">
        <v>-8629</v>
      </c>
      <c r="V139" s="113">
        <v>-9829</v>
      </c>
      <c r="W139" s="113">
        <v>-10962</v>
      </c>
      <c r="X139" s="113">
        <v>-12513</v>
      </c>
      <c r="Y139" s="113">
        <v>-14793</v>
      </c>
      <c r="Z139" s="113">
        <v>-17606</v>
      </c>
      <c r="AA139" s="113">
        <v>-19800</v>
      </c>
      <c r="AB139" s="113">
        <v>-24179</v>
      </c>
      <c r="AC139" s="113">
        <v>-29223</v>
      </c>
      <c r="AD139" s="113">
        <v>-35330</v>
      </c>
      <c r="AE139" s="113">
        <v>-41512</v>
      </c>
      <c r="AG139" s="103" t="s">
        <v>788</v>
      </c>
      <c r="AH139" s="113">
        <v>0</v>
      </c>
      <c r="AI139" s="113">
        <v>0</v>
      </c>
      <c r="AJ139" s="113">
        <v>0</v>
      </c>
      <c r="AK139" s="113">
        <v>-314</v>
      </c>
      <c r="AL139" s="113">
        <v>0</v>
      </c>
      <c r="AM139" s="113">
        <v>0</v>
      </c>
      <c r="AN139" s="113">
        <v>0</v>
      </c>
      <c r="AO139" s="113">
        <v>-515</v>
      </c>
      <c r="AP139" s="113">
        <v>0</v>
      </c>
      <c r="AQ139" s="113">
        <v>0</v>
      </c>
      <c r="AR139" s="113">
        <v>0</v>
      </c>
      <c r="AS139" s="113">
        <v>-715</v>
      </c>
      <c r="AT139" s="113">
        <v>0</v>
      </c>
      <c r="AU139" s="113">
        <v>0</v>
      </c>
      <c r="AV139" s="113">
        <v>0</v>
      </c>
      <c r="AW139" s="113">
        <v>-1020</v>
      </c>
      <c r="AX139" s="113">
        <v>0</v>
      </c>
      <c r="AY139" s="113">
        <v>0</v>
      </c>
      <c r="AZ139" s="113">
        <v>0</v>
      </c>
      <c r="BA139" s="113">
        <v>-1312</v>
      </c>
      <c r="BB139" s="113">
        <v>0</v>
      </c>
      <c r="BC139" s="113">
        <v>0</v>
      </c>
      <c r="BD139" s="113">
        <v>0</v>
      </c>
      <c r="BE139" s="113">
        <v>-1547</v>
      </c>
      <c r="BF139" s="113">
        <v>0</v>
      </c>
      <c r="BG139" s="113">
        <v>0</v>
      </c>
      <c r="BH139" s="113">
        <v>0</v>
      </c>
      <c r="BI139" s="113">
        <v>-1905</v>
      </c>
      <c r="BJ139" s="113">
        <v>0</v>
      </c>
      <c r="BK139" s="113">
        <v>0</v>
      </c>
      <c r="BL139" s="113">
        <v>0</v>
      </c>
      <c r="BM139" s="113">
        <v>-2411</v>
      </c>
      <c r="BN139" s="113">
        <v>0</v>
      </c>
      <c r="BO139" s="113">
        <v>0</v>
      </c>
      <c r="BP139" s="113">
        <v>0</v>
      </c>
      <c r="BQ139" s="113">
        <v>-2966</v>
      </c>
      <c r="BR139" s="113">
        <v>0</v>
      </c>
      <c r="BS139" s="113">
        <v>0</v>
      </c>
      <c r="BT139" s="113">
        <v>0</v>
      </c>
      <c r="BU139" s="113">
        <v>-3623</v>
      </c>
      <c r="BV139" s="113">
        <v>0</v>
      </c>
      <c r="BW139" s="113">
        <v>0</v>
      </c>
      <c r="BX139" s="113">
        <v>0</v>
      </c>
      <c r="BY139" s="113">
        <v>-3855</v>
      </c>
      <c r="BZ139" s="113">
        <v>0</v>
      </c>
      <c r="CA139" s="113">
        <v>0</v>
      </c>
      <c r="CB139" s="113">
        <v>0</v>
      </c>
      <c r="CC139" s="113">
        <v>-4163</v>
      </c>
      <c r="CD139" s="113">
        <v>0</v>
      </c>
      <c r="CE139" s="113">
        <v>0</v>
      </c>
      <c r="CF139" s="113">
        <v>0</v>
      </c>
      <c r="CG139" s="113">
        <v>-4029</v>
      </c>
      <c r="CH139" s="113">
        <v>0</v>
      </c>
      <c r="CI139" s="113">
        <v>0</v>
      </c>
      <c r="CJ139" s="113">
        <v>0</v>
      </c>
      <c r="CK139" s="113">
        <v>-4179</v>
      </c>
      <c r="CL139" s="113">
        <v>0</v>
      </c>
      <c r="CM139" s="113">
        <v>0</v>
      </c>
      <c r="CN139" s="113">
        <v>0</v>
      </c>
      <c r="CO139" s="113">
        <v>-5016</v>
      </c>
      <c r="CP139" s="113">
        <v>0</v>
      </c>
      <c r="CQ139" s="113">
        <v>0</v>
      </c>
      <c r="CR139" s="113">
        <v>0</v>
      </c>
      <c r="CS139" s="113">
        <v>-6302</v>
      </c>
      <c r="CT139" s="113">
        <v>-6622</v>
      </c>
      <c r="CU139" s="113">
        <v>-6959</v>
      </c>
      <c r="CV139" s="113">
        <v>-7236</v>
      </c>
      <c r="CW139" s="113">
        <v>-7547</v>
      </c>
      <c r="CX139" s="113">
        <v>-7853</v>
      </c>
      <c r="CY139" s="113">
        <v>-8170</v>
      </c>
      <c r="CZ139" s="113">
        <v>-8393</v>
      </c>
      <c r="DA139" s="113">
        <v>-8629</v>
      </c>
      <c r="DB139" s="113">
        <v>-8942</v>
      </c>
      <c r="DC139" s="113">
        <v>-9279</v>
      </c>
      <c r="DD139" s="113">
        <v>-9564</v>
      </c>
      <c r="DE139" s="113">
        <v>-9829</v>
      </c>
      <c r="DF139" s="113">
        <v>-10209</v>
      </c>
      <c r="DG139" s="113">
        <v>-10546</v>
      </c>
      <c r="DH139" s="113">
        <v>-10952</v>
      </c>
      <c r="DI139" s="113">
        <v>-10962</v>
      </c>
      <c r="DJ139" s="113">
        <v>-11401</v>
      </c>
      <c r="DK139" s="113">
        <v>-11773</v>
      </c>
      <c r="DL139" s="113">
        <v>-12247</v>
      </c>
      <c r="DM139" s="113">
        <v>-12513</v>
      </c>
      <c r="DN139" s="113">
        <v>-13038</v>
      </c>
      <c r="DO139" s="113">
        <v>-13686</v>
      </c>
      <c r="DP139" s="113">
        <v>-14441</v>
      </c>
      <c r="DQ139" s="113">
        <v>-14793</v>
      </c>
      <c r="DR139" s="113">
        <v>-15373</v>
      </c>
      <c r="DS139" s="113">
        <v>-16192</v>
      </c>
      <c r="DT139" s="113">
        <v>-16839</v>
      </c>
      <c r="DU139" s="113">
        <v>-17606</v>
      </c>
      <c r="DV139" s="113">
        <v>-18009</v>
      </c>
      <c r="DW139" s="113">
        <v>-18008</v>
      </c>
      <c r="DX139" s="113">
        <v>-18885</v>
      </c>
      <c r="DY139" s="113">
        <v>-19800</v>
      </c>
      <c r="DZ139" s="113">
        <v>-20885</v>
      </c>
      <c r="EA139" s="113">
        <v>-21888</v>
      </c>
      <c r="EB139" s="113">
        <v>-22992</v>
      </c>
      <c r="EC139" s="113">
        <v>-24179</v>
      </c>
      <c r="ED139" s="113">
        <v>-25523</v>
      </c>
      <c r="EE139" s="113">
        <v>-26849</v>
      </c>
      <c r="EF139" s="113">
        <v>-28377</v>
      </c>
      <c r="EG139" s="113">
        <v>-29223</v>
      </c>
      <c r="EH139" s="113">
        <v>-30953</v>
      </c>
      <c r="EI139" s="113">
        <v>-33082</v>
      </c>
      <c r="EJ139" s="113">
        <v>-35431</v>
      </c>
      <c r="EK139" s="113">
        <v>-35330</v>
      </c>
      <c r="EL139" s="113">
        <v>-36971</v>
      </c>
      <c r="EM139" s="113">
        <v>-39597</v>
      </c>
      <c r="EN139" s="113">
        <v>-41512</v>
      </c>
    </row>
    <row r="140" spans="1:144" ht="10.5">
      <c r="A140" s="112" t="s">
        <v>2376</v>
      </c>
      <c r="B140" s="114">
        <v>530.19100000000003</v>
      </c>
      <c r="C140" s="114">
        <v>767</v>
      </c>
      <c r="D140" s="114">
        <v>867</v>
      </c>
      <c r="E140" s="114">
        <v>930</v>
      </c>
      <c r="F140" s="114">
        <v>1192</v>
      </c>
      <c r="G140" s="114">
        <v>1326</v>
      </c>
      <c r="H140" s="114">
        <v>1465</v>
      </c>
      <c r="I140" s="114">
        <v>1505</v>
      </c>
      <c r="J140" s="114">
        <v>1611</v>
      </c>
      <c r="K140" s="114">
        <v>1903</v>
      </c>
      <c r="L140" s="114">
        <v>2309</v>
      </c>
      <c r="M140" s="114">
        <v>2268</v>
      </c>
      <c r="N140" s="114">
        <v>2223</v>
      </c>
      <c r="O140" s="114">
        <v>2326</v>
      </c>
      <c r="P140" s="114">
        <v>2346</v>
      </c>
      <c r="Q140" s="114">
        <v>3044</v>
      </c>
      <c r="R140" s="114">
        <v>4350</v>
      </c>
      <c r="S140" s="114">
        <v>6242</v>
      </c>
      <c r="T140" s="114">
        <v>7535</v>
      </c>
      <c r="U140" s="114">
        <v>7630</v>
      </c>
      <c r="V140" s="114">
        <v>8162</v>
      </c>
      <c r="W140" s="114">
        <v>8269</v>
      </c>
      <c r="X140" s="114">
        <v>9991</v>
      </c>
      <c r="Y140" s="114">
        <v>13011</v>
      </c>
      <c r="Z140" s="114">
        <v>14731</v>
      </c>
      <c r="AA140" s="114">
        <v>18356</v>
      </c>
      <c r="AB140" s="114">
        <v>30289</v>
      </c>
      <c r="AC140" s="114">
        <v>36146</v>
      </c>
      <c r="AD140" s="114">
        <v>43856</v>
      </c>
      <c r="AE140" s="114">
        <v>49669</v>
      </c>
      <c r="AG140" s="112" t="s">
        <v>2376</v>
      </c>
      <c r="AH140" s="114">
        <v>0</v>
      </c>
      <c r="AI140" s="114">
        <v>0</v>
      </c>
      <c r="AJ140" s="114">
        <v>0</v>
      </c>
      <c r="AK140" s="114">
        <v>867</v>
      </c>
      <c r="AL140" s="114">
        <v>0</v>
      </c>
      <c r="AM140" s="114">
        <v>913</v>
      </c>
      <c r="AN140" s="114">
        <v>918</v>
      </c>
      <c r="AO140" s="114">
        <v>930</v>
      </c>
      <c r="AP140" s="114">
        <v>936</v>
      </c>
      <c r="AQ140" s="114">
        <v>977</v>
      </c>
      <c r="AR140" s="114">
        <v>1027</v>
      </c>
      <c r="AS140" s="114">
        <v>1192</v>
      </c>
      <c r="AT140" s="114">
        <v>1265</v>
      </c>
      <c r="AU140" s="114">
        <v>1297</v>
      </c>
      <c r="AV140" s="114">
        <v>1281</v>
      </c>
      <c r="AW140" s="114">
        <v>1326</v>
      </c>
      <c r="AX140" s="114">
        <v>1304</v>
      </c>
      <c r="AY140" s="114">
        <v>1322</v>
      </c>
      <c r="AZ140" s="114">
        <v>1371</v>
      </c>
      <c r="BA140" s="114">
        <v>1465</v>
      </c>
      <c r="BB140" s="114">
        <v>1484</v>
      </c>
      <c r="BC140" s="114">
        <v>1478</v>
      </c>
      <c r="BD140" s="114">
        <v>1416</v>
      </c>
      <c r="BE140" s="114">
        <v>1505</v>
      </c>
      <c r="BF140" s="114">
        <v>1466</v>
      </c>
      <c r="BG140" s="114">
        <v>1495</v>
      </c>
      <c r="BH140" s="114">
        <v>1445</v>
      </c>
      <c r="BI140" s="114">
        <v>1611</v>
      </c>
      <c r="BJ140" s="114">
        <v>1657</v>
      </c>
      <c r="BK140" s="114">
        <v>1739</v>
      </c>
      <c r="BL140" s="114">
        <v>1835</v>
      </c>
      <c r="BM140" s="114">
        <v>1903</v>
      </c>
      <c r="BN140" s="114">
        <v>1973</v>
      </c>
      <c r="BO140" s="114">
        <v>2098</v>
      </c>
      <c r="BP140" s="114">
        <v>2159</v>
      </c>
      <c r="BQ140" s="114">
        <v>2309</v>
      </c>
      <c r="BR140" s="114">
        <v>2261</v>
      </c>
      <c r="BS140" s="114">
        <v>2240</v>
      </c>
      <c r="BT140" s="114">
        <v>2182</v>
      </c>
      <c r="BU140" s="114">
        <v>2268</v>
      </c>
      <c r="BV140" s="114">
        <v>2189</v>
      </c>
      <c r="BW140" s="114">
        <v>2257</v>
      </c>
      <c r="BX140" s="114">
        <v>2208</v>
      </c>
      <c r="BY140" s="114">
        <v>2223</v>
      </c>
      <c r="BZ140" s="114">
        <v>2193</v>
      </c>
      <c r="CA140" s="114">
        <v>2178</v>
      </c>
      <c r="CB140" s="114">
        <v>2258</v>
      </c>
      <c r="CC140" s="114">
        <v>2326</v>
      </c>
      <c r="CD140" s="114">
        <v>2317</v>
      </c>
      <c r="CE140" s="114">
        <v>2336</v>
      </c>
      <c r="CF140" s="114">
        <v>2321</v>
      </c>
      <c r="CG140" s="114">
        <v>2346</v>
      </c>
      <c r="CH140" s="114">
        <v>2351</v>
      </c>
      <c r="CI140" s="114">
        <v>2452</v>
      </c>
      <c r="CJ140" s="114">
        <v>2543</v>
      </c>
      <c r="CK140" s="114">
        <v>3044</v>
      </c>
      <c r="CL140" s="114">
        <v>3193</v>
      </c>
      <c r="CM140" s="114">
        <v>3686</v>
      </c>
      <c r="CN140" s="114">
        <v>3923</v>
      </c>
      <c r="CO140" s="114">
        <v>4350</v>
      </c>
      <c r="CP140" s="114">
        <v>4615</v>
      </c>
      <c r="CQ140" s="114">
        <v>4965</v>
      </c>
      <c r="CR140" s="114">
        <v>5516</v>
      </c>
      <c r="CS140" s="114">
        <v>6242</v>
      </c>
      <c r="CT140" s="114">
        <v>6552</v>
      </c>
      <c r="CU140" s="114">
        <v>6996</v>
      </c>
      <c r="CV140" s="114">
        <v>7112</v>
      </c>
      <c r="CW140" s="114">
        <v>7535</v>
      </c>
      <c r="CX140" s="114">
        <v>7512</v>
      </c>
      <c r="CY140" s="114">
        <v>7402</v>
      </c>
      <c r="CZ140" s="114">
        <v>7372</v>
      </c>
      <c r="DA140" s="114">
        <v>7630</v>
      </c>
      <c r="DB140" s="114">
        <v>7771</v>
      </c>
      <c r="DC140" s="114">
        <v>7799</v>
      </c>
      <c r="DD140" s="114">
        <v>7969</v>
      </c>
      <c r="DE140" s="114">
        <v>8162</v>
      </c>
      <c r="DF140" s="114">
        <v>8033</v>
      </c>
      <c r="DG140" s="114">
        <v>8010</v>
      </c>
      <c r="DH140" s="114">
        <v>8225</v>
      </c>
      <c r="DI140" s="114">
        <v>8269</v>
      </c>
      <c r="DJ140" s="114">
        <v>8329</v>
      </c>
      <c r="DK140" s="114">
        <v>8698</v>
      </c>
      <c r="DL140" s="114">
        <v>9204</v>
      </c>
      <c r="DM140" s="114">
        <v>9991</v>
      </c>
      <c r="DN140" s="114">
        <v>10774</v>
      </c>
      <c r="DO140" s="114">
        <v>11567</v>
      </c>
      <c r="DP140" s="114">
        <v>11771</v>
      </c>
      <c r="DQ140" s="114">
        <v>13011</v>
      </c>
      <c r="DR140" s="114">
        <v>13229</v>
      </c>
      <c r="DS140" s="114">
        <v>13607</v>
      </c>
      <c r="DT140" s="114">
        <v>14375</v>
      </c>
      <c r="DU140" s="114">
        <v>14731</v>
      </c>
      <c r="DV140" s="114">
        <v>15046</v>
      </c>
      <c r="DW140" s="114">
        <v>15789</v>
      </c>
      <c r="DX140" s="114">
        <v>16831</v>
      </c>
      <c r="DY140" s="114">
        <v>18356</v>
      </c>
      <c r="DZ140" s="114">
        <v>19224</v>
      </c>
      <c r="EA140" s="114">
        <v>21379</v>
      </c>
      <c r="EB140" s="114">
        <v>21962</v>
      </c>
      <c r="EC140" s="114">
        <v>30289</v>
      </c>
      <c r="ED140" s="114">
        <v>31653</v>
      </c>
      <c r="EE140" s="114">
        <v>33053</v>
      </c>
      <c r="EF140" s="114">
        <v>34788</v>
      </c>
      <c r="EG140" s="114">
        <v>36146</v>
      </c>
      <c r="EH140" s="114">
        <v>38164</v>
      </c>
      <c r="EI140" s="114">
        <v>39523</v>
      </c>
      <c r="EJ140" s="114">
        <v>40769</v>
      </c>
      <c r="EK140" s="114">
        <v>43856</v>
      </c>
      <c r="EL140" s="114">
        <v>46299</v>
      </c>
      <c r="EM140" s="114">
        <v>48961</v>
      </c>
      <c r="EN140" s="114">
        <v>49669</v>
      </c>
    </row>
    <row r="141" spans="1:144">
      <c r="A141" s="103"/>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c r="CD141" s="103"/>
      <c r="CE141" s="103"/>
      <c r="CF141" s="103"/>
      <c r="CG141" s="103"/>
      <c r="CH141" s="103"/>
      <c r="CI141" s="103"/>
      <c r="CJ141" s="103"/>
      <c r="CK141" s="103"/>
      <c r="CL141" s="103"/>
      <c r="CM141" s="103"/>
      <c r="CN141" s="103"/>
      <c r="CO141" s="103"/>
      <c r="CP141" s="103"/>
      <c r="CQ141" s="103"/>
      <c r="CR141" s="103"/>
      <c r="CS141" s="103"/>
      <c r="CT141" s="103"/>
      <c r="CU141" s="103"/>
      <c r="CV141" s="103"/>
      <c r="CW141" s="103"/>
      <c r="CX141" s="103"/>
      <c r="CY141" s="103"/>
      <c r="CZ141" s="103"/>
      <c r="DA141" s="103"/>
      <c r="DB141" s="103"/>
      <c r="DC141" s="103"/>
      <c r="DD141" s="103"/>
      <c r="DE141" s="103"/>
      <c r="DF141" s="103"/>
      <c r="DG141" s="103"/>
      <c r="DH141" s="103"/>
      <c r="DI141" s="103"/>
      <c r="DJ141" s="103"/>
      <c r="DK141" s="103"/>
      <c r="DL141" s="103"/>
      <c r="DM141" s="103"/>
      <c r="DN141" s="103"/>
      <c r="DO141" s="103"/>
      <c r="DP141" s="103"/>
      <c r="DQ141" s="103"/>
      <c r="DR141" s="103"/>
      <c r="DS141" s="103"/>
      <c r="DT141" s="103"/>
      <c r="DU141" s="103"/>
      <c r="DV141" s="103"/>
      <c r="DW141" s="103"/>
      <c r="DX141" s="103"/>
      <c r="DY141" s="103"/>
      <c r="DZ141" s="103"/>
      <c r="EA141" s="103"/>
      <c r="EB141" s="103"/>
      <c r="EC141" s="103"/>
      <c r="ED141" s="103"/>
      <c r="EE141" s="103"/>
      <c r="EF141" s="103"/>
      <c r="EG141" s="103"/>
      <c r="EH141" s="103"/>
      <c r="EI141" s="103"/>
      <c r="EJ141" s="103"/>
      <c r="EK141" s="103"/>
      <c r="EL141" s="103"/>
      <c r="EM141" s="103"/>
      <c r="EN141" s="103"/>
    </row>
    <row r="142" spans="1:144">
      <c r="A142" s="103" t="s">
        <v>2377</v>
      </c>
      <c r="B142" s="113">
        <v>0</v>
      </c>
      <c r="C142" s="113">
        <v>0</v>
      </c>
      <c r="D142" s="113">
        <v>0</v>
      </c>
      <c r="E142" s="113">
        <v>0</v>
      </c>
      <c r="F142" s="113">
        <v>0</v>
      </c>
      <c r="G142" s="113">
        <v>675</v>
      </c>
      <c r="H142" s="113">
        <v>2346</v>
      </c>
      <c r="I142" s="113">
        <v>4703</v>
      </c>
      <c r="J142" s="113">
        <v>14372</v>
      </c>
      <c r="K142" s="113">
        <v>17726</v>
      </c>
      <c r="L142" s="113">
        <v>14361</v>
      </c>
      <c r="M142" s="113">
        <v>14191</v>
      </c>
      <c r="N142" s="113">
        <v>13692</v>
      </c>
      <c r="O142" s="113">
        <v>12210</v>
      </c>
      <c r="P142" s="113">
        <v>11004</v>
      </c>
      <c r="Q142" s="113">
        <v>9232</v>
      </c>
      <c r="R142" s="113">
        <v>10117</v>
      </c>
      <c r="S142" s="113">
        <v>6588</v>
      </c>
      <c r="T142" s="113">
        <v>4933</v>
      </c>
      <c r="U142" s="113">
        <v>7754</v>
      </c>
      <c r="V142" s="113">
        <v>10865</v>
      </c>
      <c r="W142" s="113">
        <v>9776</v>
      </c>
      <c r="X142" s="113">
        <v>10844</v>
      </c>
      <c r="Y142" s="113">
        <v>14597</v>
      </c>
      <c r="Z142" s="113">
        <v>12053</v>
      </c>
      <c r="AA142" s="113">
        <v>10438</v>
      </c>
      <c r="AB142" s="113">
        <v>6023</v>
      </c>
      <c r="AC142" s="113">
        <v>1862</v>
      </c>
      <c r="AD142" s="113">
        <v>2649</v>
      </c>
      <c r="AE142" s="113">
        <v>2660</v>
      </c>
      <c r="AG142" s="103" t="s">
        <v>2377</v>
      </c>
      <c r="AH142" s="113">
        <v>0</v>
      </c>
      <c r="AI142" s="113">
        <v>0</v>
      </c>
      <c r="AJ142" s="113">
        <v>0</v>
      </c>
      <c r="AK142" s="113">
        <v>0</v>
      </c>
      <c r="AL142" s="113">
        <v>0</v>
      </c>
      <c r="AM142" s="113">
        <v>0</v>
      </c>
      <c r="AN142" s="113">
        <v>0</v>
      </c>
      <c r="AO142" s="113">
        <v>0</v>
      </c>
      <c r="AP142" s="113">
        <v>0</v>
      </c>
      <c r="AQ142" s="113">
        <v>0</v>
      </c>
      <c r="AR142" s="113">
        <v>0</v>
      </c>
      <c r="AS142" s="113">
        <v>0</v>
      </c>
      <c r="AT142" s="113">
        <v>0</v>
      </c>
      <c r="AU142" s="113">
        <v>0</v>
      </c>
      <c r="AV142" s="113">
        <v>613</v>
      </c>
      <c r="AW142" s="113">
        <v>675</v>
      </c>
      <c r="AX142" s="113">
        <v>896</v>
      </c>
      <c r="AY142" s="113">
        <v>804</v>
      </c>
      <c r="AZ142" s="113">
        <v>819</v>
      </c>
      <c r="BA142" s="113">
        <v>2346</v>
      </c>
      <c r="BB142" s="113">
        <v>2733</v>
      </c>
      <c r="BC142" s="113">
        <v>3476</v>
      </c>
      <c r="BD142" s="113">
        <v>4122</v>
      </c>
      <c r="BE142" s="113">
        <v>4703</v>
      </c>
      <c r="BF142" s="113">
        <v>4905</v>
      </c>
      <c r="BG142" s="113">
        <v>6262</v>
      </c>
      <c r="BH142" s="113">
        <v>7474</v>
      </c>
      <c r="BI142" s="113">
        <v>14372</v>
      </c>
      <c r="BJ142" s="113">
        <v>14910</v>
      </c>
      <c r="BK142" s="113">
        <v>19801</v>
      </c>
      <c r="BL142" s="113">
        <v>21322</v>
      </c>
      <c r="BM142" s="113">
        <v>17726</v>
      </c>
      <c r="BN142" s="113">
        <v>20525</v>
      </c>
      <c r="BO142" s="113">
        <v>18281</v>
      </c>
      <c r="BP142" s="113">
        <v>17463</v>
      </c>
      <c r="BQ142" s="113">
        <v>14361</v>
      </c>
      <c r="BR142" s="113">
        <v>12035</v>
      </c>
      <c r="BS142" s="113">
        <v>12212</v>
      </c>
      <c r="BT142" s="113">
        <v>15694</v>
      </c>
      <c r="BU142" s="113">
        <v>14191</v>
      </c>
      <c r="BV142" s="113">
        <v>13580</v>
      </c>
      <c r="BW142" s="113">
        <v>12647</v>
      </c>
      <c r="BX142" s="113">
        <v>13052</v>
      </c>
      <c r="BY142" s="113">
        <v>13692</v>
      </c>
      <c r="BZ142" s="113">
        <v>13962</v>
      </c>
      <c r="CA142" s="113">
        <v>14901</v>
      </c>
      <c r="CB142" s="113">
        <v>15155</v>
      </c>
      <c r="CC142" s="113">
        <v>12210</v>
      </c>
      <c r="CD142" s="113">
        <v>12185</v>
      </c>
      <c r="CE142" s="113">
        <v>12160</v>
      </c>
      <c r="CF142" s="113">
        <v>11772</v>
      </c>
      <c r="CG142" s="113">
        <v>11004</v>
      </c>
      <c r="CH142" s="113">
        <v>10062</v>
      </c>
      <c r="CI142" s="113">
        <v>9095</v>
      </c>
      <c r="CJ142" s="113">
        <v>8888</v>
      </c>
      <c r="CK142" s="113">
        <v>9232</v>
      </c>
      <c r="CL142" s="113">
        <v>8762</v>
      </c>
      <c r="CM142" s="113">
        <v>9631</v>
      </c>
      <c r="CN142" s="113">
        <v>9624</v>
      </c>
      <c r="CO142" s="113">
        <v>10117</v>
      </c>
      <c r="CP142" s="113">
        <v>9707</v>
      </c>
      <c r="CQ142" s="113">
        <v>9413</v>
      </c>
      <c r="CR142" s="113">
        <v>8659</v>
      </c>
      <c r="CS142" s="113">
        <v>6588</v>
      </c>
      <c r="CT142" s="113">
        <v>4381</v>
      </c>
      <c r="CU142" s="113">
        <v>3922</v>
      </c>
      <c r="CV142" s="113">
        <v>4112</v>
      </c>
      <c r="CW142" s="113">
        <v>4933</v>
      </c>
      <c r="CX142" s="113">
        <v>6006</v>
      </c>
      <c r="CY142" s="113">
        <v>6976</v>
      </c>
      <c r="CZ142" s="113">
        <v>7797</v>
      </c>
      <c r="DA142" s="113">
        <v>7754</v>
      </c>
      <c r="DB142" s="113">
        <v>9211</v>
      </c>
      <c r="DC142" s="113">
        <v>10022</v>
      </c>
      <c r="DD142" s="113">
        <v>10748</v>
      </c>
      <c r="DE142" s="113">
        <v>10865</v>
      </c>
      <c r="DF142" s="113">
        <v>8576</v>
      </c>
      <c r="DG142" s="113">
        <v>7550</v>
      </c>
      <c r="DH142" s="113">
        <v>9068</v>
      </c>
      <c r="DI142" s="113">
        <v>9776</v>
      </c>
      <c r="DJ142" s="113">
        <v>10038</v>
      </c>
      <c r="DK142" s="113">
        <v>10707</v>
      </c>
      <c r="DL142" s="113">
        <v>11193</v>
      </c>
      <c r="DM142" s="113">
        <v>10844</v>
      </c>
      <c r="DN142" s="113">
        <v>11995</v>
      </c>
      <c r="DO142" s="113">
        <v>14607</v>
      </c>
      <c r="DP142" s="113">
        <v>14792</v>
      </c>
      <c r="DQ142" s="113">
        <v>14597</v>
      </c>
      <c r="DR142" s="113">
        <v>13943</v>
      </c>
      <c r="DS142" s="113">
        <v>12665</v>
      </c>
      <c r="DT142" s="113">
        <v>12019</v>
      </c>
      <c r="DU142" s="113">
        <v>12053</v>
      </c>
      <c r="DV142" s="113">
        <v>11427</v>
      </c>
      <c r="DW142" s="113">
        <v>11514</v>
      </c>
      <c r="DX142" s="113">
        <v>11319</v>
      </c>
      <c r="DY142" s="113">
        <v>10438</v>
      </c>
      <c r="DZ142" s="113">
        <v>10501</v>
      </c>
      <c r="EA142" s="113">
        <v>8936</v>
      </c>
      <c r="EB142" s="113">
        <v>7385</v>
      </c>
      <c r="EC142" s="113">
        <v>6023</v>
      </c>
      <c r="ED142" s="113">
        <v>5343</v>
      </c>
      <c r="EE142" s="113">
        <v>3961</v>
      </c>
      <c r="EF142" s="113">
        <v>2818</v>
      </c>
      <c r="EG142" s="113">
        <v>1862</v>
      </c>
      <c r="EH142" s="113">
        <v>2034</v>
      </c>
      <c r="EI142" s="113">
        <v>2274</v>
      </c>
      <c r="EJ142" s="113">
        <v>2403</v>
      </c>
      <c r="EK142" s="113">
        <v>2649</v>
      </c>
      <c r="EL142" s="113">
        <v>2684</v>
      </c>
      <c r="EM142" s="113">
        <v>2755</v>
      </c>
      <c r="EN142" s="113">
        <v>2660</v>
      </c>
    </row>
    <row r="143" spans="1:144">
      <c r="A143" s="103" t="s">
        <v>180</v>
      </c>
      <c r="B143" s="113">
        <v>0</v>
      </c>
      <c r="C143" s="113">
        <v>0</v>
      </c>
      <c r="D143" s="113">
        <v>0</v>
      </c>
      <c r="E143" s="113">
        <v>0</v>
      </c>
      <c r="F143" s="113">
        <v>0</v>
      </c>
      <c r="G143" s="113">
        <v>0</v>
      </c>
      <c r="H143" s="113">
        <v>0</v>
      </c>
      <c r="I143" s="113">
        <v>0</v>
      </c>
      <c r="J143" s="113">
        <v>0</v>
      </c>
      <c r="K143" s="113">
        <v>0</v>
      </c>
      <c r="L143" s="113">
        <v>1511</v>
      </c>
      <c r="M143" s="113">
        <v>1426</v>
      </c>
      <c r="N143" s="113">
        <v>3128</v>
      </c>
      <c r="O143" s="113">
        <v>3115</v>
      </c>
      <c r="P143" s="113">
        <v>3309</v>
      </c>
      <c r="Q143" s="113">
        <v>3866</v>
      </c>
      <c r="R143" s="113">
        <v>4760</v>
      </c>
      <c r="S143" s="113">
        <v>12108</v>
      </c>
      <c r="T143" s="113">
        <v>12503</v>
      </c>
      <c r="U143" s="113">
        <v>12394</v>
      </c>
      <c r="V143" s="113">
        <v>12581</v>
      </c>
      <c r="W143" s="113">
        <v>13452</v>
      </c>
      <c r="X143" s="113">
        <v>14655</v>
      </c>
      <c r="Y143" s="113">
        <v>20127</v>
      </c>
      <c r="Z143" s="113">
        <v>16939</v>
      </c>
      <c r="AA143" s="113">
        <v>17872</v>
      </c>
      <c r="AB143" s="113">
        <v>35122</v>
      </c>
      <c r="AC143" s="113">
        <v>35683</v>
      </c>
      <c r="AD143" s="113">
        <v>42026</v>
      </c>
      <c r="AE143" s="113">
        <v>42064</v>
      </c>
      <c r="AG143" s="103" t="s">
        <v>180</v>
      </c>
      <c r="AH143" s="113">
        <v>0</v>
      </c>
      <c r="AI143" s="113">
        <v>0</v>
      </c>
      <c r="AJ143" s="113">
        <v>0</v>
      </c>
      <c r="AK143" s="113">
        <v>0</v>
      </c>
      <c r="AL143" s="113">
        <v>0</v>
      </c>
      <c r="AM143" s="113">
        <v>0</v>
      </c>
      <c r="AN143" s="113">
        <v>0</v>
      </c>
      <c r="AO143" s="113">
        <v>0</v>
      </c>
      <c r="AP143" s="113">
        <v>0</v>
      </c>
      <c r="AQ143" s="113">
        <v>0</v>
      </c>
      <c r="AR143" s="113">
        <v>0</v>
      </c>
      <c r="AS143" s="113">
        <v>0</v>
      </c>
      <c r="AT143" s="113">
        <v>0</v>
      </c>
      <c r="AU143" s="113">
        <v>0</v>
      </c>
      <c r="AV143" s="113">
        <v>0</v>
      </c>
      <c r="AW143" s="113">
        <v>0</v>
      </c>
      <c r="AX143" s="113">
        <v>0</v>
      </c>
      <c r="AY143" s="113">
        <v>0</v>
      </c>
      <c r="AZ143" s="113">
        <v>0</v>
      </c>
      <c r="BA143" s="113">
        <v>0</v>
      </c>
      <c r="BB143" s="113">
        <v>0</v>
      </c>
      <c r="BC143" s="113">
        <v>0</v>
      </c>
      <c r="BD143" s="113">
        <v>0</v>
      </c>
      <c r="BE143" s="113">
        <v>0</v>
      </c>
      <c r="BF143" s="113">
        <v>0</v>
      </c>
      <c r="BG143" s="113">
        <v>0</v>
      </c>
      <c r="BH143" s="113">
        <v>0</v>
      </c>
      <c r="BI143" s="113">
        <v>0</v>
      </c>
      <c r="BJ143" s="113">
        <v>0</v>
      </c>
      <c r="BK143" s="113">
        <v>0</v>
      </c>
      <c r="BL143" s="113">
        <v>0</v>
      </c>
      <c r="BM143" s="113">
        <v>0</v>
      </c>
      <c r="BN143" s="113">
        <v>0</v>
      </c>
      <c r="BO143" s="113">
        <v>0</v>
      </c>
      <c r="BP143" s="113">
        <v>0</v>
      </c>
      <c r="BQ143" s="113">
        <v>1511</v>
      </c>
      <c r="BR143" s="113">
        <v>1511</v>
      </c>
      <c r="BS143" s="113">
        <v>1511</v>
      </c>
      <c r="BT143" s="113">
        <v>1433</v>
      </c>
      <c r="BU143" s="113">
        <v>1426</v>
      </c>
      <c r="BV143" s="113">
        <v>2855</v>
      </c>
      <c r="BW143" s="113">
        <v>2757</v>
      </c>
      <c r="BX143" s="113">
        <v>2782</v>
      </c>
      <c r="BY143" s="113">
        <v>3128</v>
      </c>
      <c r="BZ143" s="113">
        <v>3128</v>
      </c>
      <c r="CA143" s="113">
        <v>3110</v>
      </c>
      <c r="CB143" s="113">
        <v>3110</v>
      </c>
      <c r="CC143" s="113">
        <v>3115</v>
      </c>
      <c r="CD143" s="113">
        <v>3115</v>
      </c>
      <c r="CE143" s="113">
        <v>3105</v>
      </c>
      <c r="CF143" s="113">
        <v>3111</v>
      </c>
      <c r="CG143" s="113">
        <v>3309</v>
      </c>
      <c r="CH143" s="113">
        <v>3504</v>
      </c>
      <c r="CI143" s="113">
        <v>3553</v>
      </c>
      <c r="CJ143" s="113">
        <v>3609</v>
      </c>
      <c r="CK143" s="113">
        <v>3866</v>
      </c>
      <c r="CL143" s="113">
        <v>4153</v>
      </c>
      <c r="CM143" s="113">
        <v>4189</v>
      </c>
      <c r="CN143" s="113">
        <v>4217</v>
      </c>
      <c r="CO143" s="113">
        <v>4760</v>
      </c>
      <c r="CP143" s="113">
        <v>10151</v>
      </c>
      <c r="CQ143" s="113">
        <v>10309</v>
      </c>
      <c r="CR143" s="113">
        <v>10346</v>
      </c>
      <c r="CS143" s="113">
        <v>12108</v>
      </c>
      <c r="CT143" s="113">
        <v>12291</v>
      </c>
      <c r="CU143" s="113">
        <v>12490</v>
      </c>
      <c r="CV143" s="113">
        <v>12554</v>
      </c>
      <c r="CW143" s="113">
        <v>12503</v>
      </c>
      <c r="CX143" s="113">
        <v>12582</v>
      </c>
      <c r="CY143" s="113">
        <v>12368</v>
      </c>
      <c r="CZ143" s="113">
        <v>12463</v>
      </c>
      <c r="DA143" s="113">
        <v>12394</v>
      </c>
      <c r="DB143" s="113">
        <v>12471</v>
      </c>
      <c r="DC143" s="113">
        <v>12502</v>
      </c>
      <c r="DD143" s="113">
        <v>12554</v>
      </c>
      <c r="DE143" s="113">
        <v>12581</v>
      </c>
      <c r="DF143" s="113">
        <v>12537</v>
      </c>
      <c r="DG143" s="113">
        <v>19670</v>
      </c>
      <c r="DH143" s="113">
        <v>19698</v>
      </c>
      <c r="DI143" s="113">
        <v>13452</v>
      </c>
      <c r="DJ143" s="113">
        <v>14466</v>
      </c>
      <c r="DK143" s="113">
        <v>14727</v>
      </c>
      <c r="DL143" s="113">
        <v>14682</v>
      </c>
      <c r="DM143" s="113">
        <v>14655</v>
      </c>
      <c r="DN143" s="113">
        <v>14667</v>
      </c>
      <c r="DO143" s="113">
        <v>14680</v>
      </c>
      <c r="DP143" s="113">
        <v>14751</v>
      </c>
      <c r="DQ143" s="113">
        <v>20127</v>
      </c>
      <c r="DR143" s="113">
        <v>20081</v>
      </c>
      <c r="DS143" s="113">
        <v>21855</v>
      </c>
      <c r="DT143" s="113">
        <v>21728</v>
      </c>
      <c r="DU143" s="113">
        <v>16939</v>
      </c>
      <c r="DV143" s="113">
        <v>17142</v>
      </c>
      <c r="DW143" s="113">
        <v>17436</v>
      </c>
      <c r="DX143" s="113">
        <v>17948</v>
      </c>
      <c r="DY143" s="113">
        <v>17872</v>
      </c>
      <c r="DZ143" s="113">
        <v>17907</v>
      </c>
      <c r="EA143" s="113">
        <v>34524</v>
      </c>
      <c r="EB143" s="113">
        <v>34668</v>
      </c>
      <c r="EC143" s="113">
        <v>35122</v>
      </c>
      <c r="ED143" s="113">
        <v>35389</v>
      </c>
      <c r="EE143" s="113">
        <v>35355</v>
      </c>
      <c r="EF143" s="113">
        <v>35582</v>
      </c>
      <c r="EG143" s="113">
        <v>35683</v>
      </c>
      <c r="EH143" s="113">
        <v>35855</v>
      </c>
      <c r="EI143" s="113">
        <v>41577</v>
      </c>
      <c r="EJ143" s="113">
        <v>41861</v>
      </c>
      <c r="EK143" s="113">
        <v>42026</v>
      </c>
      <c r="EL143" s="113">
        <v>42113</v>
      </c>
      <c r="EM143" s="113">
        <v>42248</v>
      </c>
      <c r="EN143" s="113">
        <v>42064</v>
      </c>
    </row>
    <row r="144" spans="1:144">
      <c r="A144" s="103" t="s">
        <v>2378</v>
      </c>
      <c r="B144" s="113">
        <v>0</v>
      </c>
      <c r="C144" s="113">
        <v>0</v>
      </c>
      <c r="D144" s="113">
        <v>0</v>
      </c>
      <c r="E144" s="113">
        <v>0</v>
      </c>
      <c r="F144" s="113">
        <v>0</v>
      </c>
      <c r="G144" s="113">
        <v>0</v>
      </c>
      <c r="H144" s="113">
        <v>0</v>
      </c>
      <c r="I144" s="113">
        <v>0</v>
      </c>
      <c r="J144" s="113">
        <v>0</v>
      </c>
      <c r="K144" s="113">
        <v>0</v>
      </c>
      <c r="L144" s="113">
        <v>401</v>
      </c>
      <c r="M144" s="113">
        <v>243</v>
      </c>
      <c r="N144" s="113">
        <v>384</v>
      </c>
      <c r="O144" s="113">
        <v>569</v>
      </c>
      <c r="P144" s="113">
        <v>499</v>
      </c>
      <c r="Q144" s="113">
        <v>539</v>
      </c>
      <c r="R144" s="113">
        <v>878</v>
      </c>
      <c r="S144" s="113">
        <v>1973</v>
      </c>
      <c r="T144" s="113">
        <v>1759</v>
      </c>
      <c r="U144" s="113">
        <v>1158</v>
      </c>
      <c r="V144" s="113">
        <v>744</v>
      </c>
      <c r="W144" s="113">
        <v>3170</v>
      </c>
      <c r="X144" s="113">
        <v>3083</v>
      </c>
      <c r="Y144" s="113">
        <v>6981</v>
      </c>
      <c r="Z144" s="113">
        <v>4835</v>
      </c>
      <c r="AA144" s="113">
        <v>3733</v>
      </c>
      <c r="AB144" s="113">
        <v>10106</v>
      </c>
      <c r="AC144" s="113">
        <v>8053</v>
      </c>
      <c r="AD144" s="113">
        <v>7750</v>
      </c>
      <c r="AE144" s="113">
        <v>6855</v>
      </c>
      <c r="AG144" s="103" t="s">
        <v>2378</v>
      </c>
      <c r="AH144" s="113">
        <v>0</v>
      </c>
      <c r="AI144" s="113">
        <v>0</v>
      </c>
      <c r="AJ144" s="113">
        <v>0</v>
      </c>
      <c r="AK144" s="113">
        <v>0</v>
      </c>
      <c r="AL144" s="113">
        <v>0</v>
      </c>
      <c r="AM144" s="113">
        <v>0</v>
      </c>
      <c r="AN144" s="113">
        <v>0</v>
      </c>
      <c r="AO144" s="113">
        <v>0</v>
      </c>
      <c r="AP144" s="113">
        <v>0</v>
      </c>
      <c r="AQ144" s="113">
        <v>0</v>
      </c>
      <c r="AR144" s="113">
        <v>0</v>
      </c>
      <c r="AS144" s="113">
        <v>0</v>
      </c>
      <c r="AT144" s="113">
        <v>0</v>
      </c>
      <c r="AU144" s="113">
        <v>0</v>
      </c>
      <c r="AV144" s="113">
        <v>0</v>
      </c>
      <c r="AW144" s="113">
        <v>0</v>
      </c>
      <c r="AX144" s="113">
        <v>0</v>
      </c>
      <c r="AY144" s="113">
        <v>0</v>
      </c>
      <c r="AZ144" s="113">
        <v>0</v>
      </c>
      <c r="BA144" s="113">
        <v>0</v>
      </c>
      <c r="BB144" s="113">
        <v>0</v>
      </c>
      <c r="BC144" s="113">
        <v>0</v>
      </c>
      <c r="BD144" s="113">
        <v>0</v>
      </c>
      <c r="BE144" s="113">
        <v>0</v>
      </c>
      <c r="BF144" s="113">
        <v>0</v>
      </c>
      <c r="BG144" s="113">
        <v>0</v>
      </c>
      <c r="BH144" s="113">
        <v>0</v>
      </c>
      <c r="BI144" s="113">
        <v>0</v>
      </c>
      <c r="BJ144" s="113">
        <v>0</v>
      </c>
      <c r="BK144" s="113">
        <v>0</v>
      </c>
      <c r="BL144" s="113">
        <v>0</v>
      </c>
      <c r="BM144" s="113">
        <v>0</v>
      </c>
      <c r="BN144" s="113">
        <v>0</v>
      </c>
      <c r="BO144" s="113">
        <v>0</v>
      </c>
      <c r="BP144" s="113">
        <v>0</v>
      </c>
      <c r="BQ144" s="113">
        <v>401</v>
      </c>
      <c r="BR144" s="113">
        <v>394</v>
      </c>
      <c r="BS144" s="113">
        <v>344</v>
      </c>
      <c r="BT144" s="113">
        <v>277</v>
      </c>
      <c r="BU144" s="113">
        <v>243</v>
      </c>
      <c r="BV144" s="113">
        <v>642</v>
      </c>
      <c r="BW144" s="113">
        <v>607</v>
      </c>
      <c r="BX144" s="113">
        <v>575</v>
      </c>
      <c r="BY144" s="113">
        <v>384</v>
      </c>
      <c r="BZ144" s="113">
        <v>378</v>
      </c>
      <c r="CA144" s="113">
        <v>345</v>
      </c>
      <c r="CB144" s="113">
        <v>599</v>
      </c>
      <c r="CC144" s="113">
        <v>569</v>
      </c>
      <c r="CD144" s="113">
        <v>534</v>
      </c>
      <c r="CE144" s="113">
        <v>494</v>
      </c>
      <c r="CF144" s="113">
        <v>468</v>
      </c>
      <c r="CG144" s="113">
        <v>499</v>
      </c>
      <c r="CH144" s="113">
        <v>502</v>
      </c>
      <c r="CI144" s="113">
        <v>466</v>
      </c>
      <c r="CJ144" s="113">
        <v>461</v>
      </c>
      <c r="CK144" s="113">
        <v>539</v>
      </c>
      <c r="CL144" s="113">
        <v>720</v>
      </c>
      <c r="CM144" s="113">
        <v>745</v>
      </c>
      <c r="CN144" s="113">
        <v>699</v>
      </c>
      <c r="CO144" s="113">
        <v>878</v>
      </c>
      <c r="CP144" s="113">
        <v>1718</v>
      </c>
      <c r="CQ144" s="113">
        <v>1717</v>
      </c>
      <c r="CR144" s="113">
        <v>1639</v>
      </c>
      <c r="CS144" s="113">
        <v>1973</v>
      </c>
      <c r="CT144" s="113">
        <v>1899</v>
      </c>
      <c r="CU144" s="113">
        <v>1815</v>
      </c>
      <c r="CV144" s="113">
        <v>1756</v>
      </c>
      <c r="CW144" s="113">
        <v>1759</v>
      </c>
      <c r="CX144" s="113">
        <v>1653</v>
      </c>
      <c r="CY144" s="113">
        <v>1346</v>
      </c>
      <c r="CZ144" s="113">
        <v>1282</v>
      </c>
      <c r="DA144" s="113">
        <v>1158</v>
      </c>
      <c r="DB144" s="113">
        <v>1077</v>
      </c>
      <c r="DC144" s="113">
        <v>992</v>
      </c>
      <c r="DD144" s="113">
        <v>840</v>
      </c>
      <c r="DE144" s="113">
        <v>744</v>
      </c>
      <c r="DF144" s="113">
        <v>1026</v>
      </c>
      <c r="DG144" s="113">
        <v>2581</v>
      </c>
      <c r="DH144" s="113">
        <v>2756</v>
      </c>
      <c r="DI144" s="113">
        <v>3170</v>
      </c>
      <c r="DJ144" s="113">
        <v>3423</v>
      </c>
      <c r="DK144" s="113">
        <v>3341</v>
      </c>
      <c r="DL144" s="113">
        <v>3240</v>
      </c>
      <c r="DM144" s="113">
        <v>3083</v>
      </c>
      <c r="DN144" s="113">
        <v>2982</v>
      </c>
      <c r="DO144" s="113">
        <v>2945</v>
      </c>
      <c r="DP144" s="113">
        <v>2901</v>
      </c>
      <c r="DQ144" s="113">
        <v>6981</v>
      </c>
      <c r="DR144" s="113">
        <v>6693</v>
      </c>
      <c r="DS144" s="113">
        <v>7299</v>
      </c>
      <c r="DT144" s="113">
        <v>6963</v>
      </c>
      <c r="DU144" s="113">
        <v>4835</v>
      </c>
      <c r="DV144" s="113">
        <v>4745</v>
      </c>
      <c r="DW144" s="113">
        <v>4619</v>
      </c>
      <c r="DX144" s="113">
        <v>4459</v>
      </c>
      <c r="DY144" s="113">
        <v>3733</v>
      </c>
      <c r="DZ144" s="113">
        <v>3522</v>
      </c>
      <c r="EA144" s="113">
        <v>11001</v>
      </c>
      <c r="EB144" s="113">
        <v>10547</v>
      </c>
      <c r="EC144" s="113">
        <v>10106</v>
      </c>
      <c r="ED144" s="113">
        <v>9598</v>
      </c>
      <c r="EE144" s="113">
        <v>9034</v>
      </c>
      <c r="EF144" s="113">
        <v>8544</v>
      </c>
      <c r="EG144" s="113">
        <v>8053</v>
      </c>
      <c r="EH144" s="113">
        <v>7579</v>
      </c>
      <c r="EI144" s="113">
        <v>8482</v>
      </c>
      <c r="EJ144" s="113">
        <v>8103</v>
      </c>
      <c r="EK144" s="113">
        <v>7750</v>
      </c>
      <c r="EL144" s="113">
        <v>7508</v>
      </c>
      <c r="EM144" s="113">
        <v>7126</v>
      </c>
      <c r="EN144" s="113">
        <v>6855</v>
      </c>
    </row>
    <row r="145" spans="1:144">
      <c r="A145" s="103" t="s">
        <v>2379</v>
      </c>
      <c r="B145" s="113">
        <v>0</v>
      </c>
      <c r="C145" s="113">
        <v>0</v>
      </c>
      <c r="D145" s="113">
        <v>0</v>
      </c>
      <c r="E145" s="113">
        <v>0</v>
      </c>
      <c r="F145" s="113">
        <v>0</v>
      </c>
      <c r="G145" s="113">
        <v>0</v>
      </c>
      <c r="H145" s="113">
        <v>0</v>
      </c>
      <c r="I145" s="113">
        <v>0</v>
      </c>
      <c r="J145" s="113">
        <v>0</v>
      </c>
      <c r="K145" s="113">
        <v>0</v>
      </c>
      <c r="L145" s="113">
        <v>0</v>
      </c>
      <c r="M145" s="113">
        <v>0</v>
      </c>
      <c r="N145" s="113">
        <v>0</v>
      </c>
      <c r="O145" s="113">
        <v>0</v>
      </c>
      <c r="P145" s="113">
        <v>0</v>
      </c>
      <c r="Q145" s="113">
        <v>0</v>
      </c>
      <c r="R145" s="113">
        <v>0</v>
      </c>
      <c r="S145" s="113">
        <v>0</v>
      </c>
      <c r="T145" s="113">
        <v>0</v>
      </c>
      <c r="U145" s="113">
        <v>0</v>
      </c>
      <c r="V145" s="113">
        <v>0</v>
      </c>
      <c r="W145" s="113">
        <v>0</v>
      </c>
      <c r="X145" s="113">
        <v>0</v>
      </c>
      <c r="Y145" s="113">
        <v>0</v>
      </c>
      <c r="Z145" s="113">
        <v>0</v>
      </c>
      <c r="AA145" s="113">
        <v>0</v>
      </c>
      <c r="AB145" s="113">
        <v>1700</v>
      </c>
      <c r="AC145" s="113">
        <v>1800</v>
      </c>
      <c r="AD145" s="113">
        <v>2200</v>
      </c>
      <c r="AE145" s="113">
        <v>2500</v>
      </c>
      <c r="AG145" s="103" t="s">
        <v>2379</v>
      </c>
      <c r="AH145" s="113">
        <v>0</v>
      </c>
      <c r="AI145" s="113">
        <v>0</v>
      </c>
      <c r="AJ145" s="113">
        <v>0</v>
      </c>
      <c r="AK145" s="113">
        <v>0</v>
      </c>
      <c r="AL145" s="113">
        <v>0</v>
      </c>
      <c r="AM145" s="113">
        <v>0</v>
      </c>
      <c r="AN145" s="113">
        <v>0</v>
      </c>
      <c r="AO145" s="113">
        <v>0</v>
      </c>
      <c r="AP145" s="113">
        <v>0</v>
      </c>
      <c r="AQ145" s="113">
        <v>0</v>
      </c>
      <c r="AR145" s="113">
        <v>0</v>
      </c>
      <c r="AS145" s="113">
        <v>0</v>
      </c>
      <c r="AT145" s="113">
        <v>0</v>
      </c>
      <c r="AU145" s="113">
        <v>0</v>
      </c>
      <c r="AV145" s="113">
        <v>0</v>
      </c>
      <c r="AW145" s="113">
        <v>0</v>
      </c>
      <c r="AX145" s="113">
        <v>0</v>
      </c>
      <c r="AY145" s="113">
        <v>0</v>
      </c>
      <c r="AZ145" s="113">
        <v>0</v>
      </c>
      <c r="BA145" s="113">
        <v>0</v>
      </c>
      <c r="BB145" s="113">
        <v>0</v>
      </c>
      <c r="BC145" s="113">
        <v>0</v>
      </c>
      <c r="BD145" s="113">
        <v>0</v>
      </c>
      <c r="BE145" s="113">
        <v>0</v>
      </c>
      <c r="BF145" s="113">
        <v>0</v>
      </c>
      <c r="BG145" s="113">
        <v>0</v>
      </c>
      <c r="BH145" s="113">
        <v>0</v>
      </c>
      <c r="BI145" s="113">
        <v>0</v>
      </c>
      <c r="BJ145" s="113">
        <v>0</v>
      </c>
      <c r="BK145" s="113">
        <v>0</v>
      </c>
      <c r="BL145" s="113">
        <v>0</v>
      </c>
      <c r="BM145" s="113">
        <v>0</v>
      </c>
      <c r="BN145" s="113">
        <v>0</v>
      </c>
      <c r="BO145" s="113">
        <v>0</v>
      </c>
      <c r="BP145" s="113">
        <v>0</v>
      </c>
      <c r="BQ145" s="113">
        <v>0</v>
      </c>
      <c r="BR145" s="113">
        <v>0</v>
      </c>
      <c r="BS145" s="113">
        <v>0</v>
      </c>
      <c r="BT145" s="113">
        <v>0</v>
      </c>
      <c r="BU145" s="113">
        <v>0</v>
      </c>
      <c r="BV145" s="113">
        <v>0</v>
      </c>
      <c r="BW145" s="113">
        <v>0</v>
      </c>
      <c r="BX145" s="113">
        <v>0</v>
      </c>
      <c r="BY145" s="113">
        <v>0</v>
      </c>
      <c r="BZ145" s="113">
        <v>0</v>
      </c>
      <c r="CA145" s="113">
        <v>0</v>
      </c>
      <c r="CB145" s="113">
        <v>0</v>
      </c>
      <c r="CC145" s="113">
        <v>0</v>
      </c>
      <c r="CD145" s="113">
        <v>0</v>
      </c>
      <c r="CE145" s="113">
        <v>0</v>
      </c>
      <c r="CF145" s="113">
        <v>0</v>
      </c>
      <c r="CG145" s="113">
        <v>0</v>
      </c>
      <c r="CH145" s="113">
        <v>0</v>
      </c>
      <c r="CI145" s="113">
        <v>0</v>
      </c>
      <c r="CJ145" s="113">
        <v>0</v>
      </c>
      <c r="CK145" s="113">
        <v>0</v>
      </c>
      <c r="CL145" s="113">
        <v>0</v>
      </c>
      <c r="CM145" s="113">
        <v>0</v>
      </c>
      <c r="CN145" s="113">
        <v>0</v>
      </c>
      <c r="CO145" s="113">
        <v>0</v>
      </c>
      <c r="CP145" s="113">
        <v>0</v>
      </c>
      <c r="CQ145" s="113">
        <v>0</v>
      </c>
      <c r="CR145" s="113">
        <v>0</v>
      </c>
      <c r="CS145" s="113">
        <v>0</v>
      </c>
      <c r="CT145" s="113">
        <v>0</v>
      </c>
      <c r="CU145" s="113">
        <v>0</v>
      </c>
      <c r="CV145" s="113">
        <v>0</v>
      </c>
      <c r="CW145" s="113">
        <v>0</v>
      </c>
      <c r="CX145" s="113">
        <v>0</v>
      </c>
      <c r="CY145" s="113">
        <v>0</v>
      </c>
      <c r="CZ145" s="113">
        <v>0</v>
      </c>
      <c r="DA145" s="113">
        <v>0</v>
      </c>
      <c r="DB145" s="113">
        <v>0</v>
      </c>
      <c r="DC145" s="113">
        <v>0</v>
      </c>
      <c r="DD145" s="113">
        <v>0</v>
      </c>
      <c r="DE145" s="113">
        <v>0</v>
      </c>
      <c r="DF145" s="113">
        <v>0</v>
      </c>
      <c r="DG145" s="113">
        <v>0</v>
      </c>
      <c r="DH145" s="113">
        <v>0</v>
      </c>
      <c r="DI145" s="113">
        <v>0</v>
      </c>
      <c r="DJ145" s="113">
        <v>0</v>
      </c>
      <c r="DK145" s="113">
        <v>0</v>
      </c>
      <c r="DL145" s="113">
        <v>0</v>
      </c>
      <c r="DM145" s="113">
        <v>0</v>
      </c>
      <c r="DN145" s="113">
        <v>0</v>
      </c>
      <c r="DO145" s="113">
        <v>0</v>
      </c>
      <c r="DP145" s="113">
        <v>0</v>
      </c>
      <c r="DQ145" s="113">
        <v>0</v>
      </c>
      <c r="DR145" s="113">
        <v>0</v>
      </c>
      <c r="DS145" s="113">
        <v>0</v>
      </c>
      <c r="DT145" s="113">
        <v>0</v>
      </c>
      <c r="DU145" s="113">
        <v>0</v>
      </c>
      <c r="DV145" s="113">
        <v>0</v>
      </c>
      <c r="DW145" s="113">
        <v>0</v>
      </c>
      <c r="DX145" s="113">
        <v>0</v>
      </c>
      <c r="DY145" s="113">
        <v>0</v>
      </c>
      <c r="DZ145" s="113">
        <v>0</v>
      </c>
      <c r="EA145" s="113">
        <v>0</v>
      </c>
      <c r="EB145" s="113">
        <v>0</v>
      </c>
      <c r="EC145" s="113">
        <v>1700</v>
      </c>
      <c r="ED145" s="113">
        <v>1600</v>
      </c>
      <c r="EE145" s="113">
        <v>1600</v>
      </c>
      <c r="EF145" s="113">
        <v>1600</v>
      </c>
      <c r="EG145" s="113">
        <v>1800</v>
      </c>
      <c r="EH145" s="113">
        <v>1800</v>
      </c>
      <c r="EI145" s="113">
        <v>1900</v>
      </c>
      <c r="EJ145" s="113">
        <v>2000</v>
      </c>
      <c r="EK145" s="113">
        <v>2200</v>
      </c>
      <c r="EL145" s="113">
        <v>2300</v>
      </c>
      <c r="EM145" s="113">
        <v>2400</v>
      </c>
      <c r="EN145" s="113">
        <v>2500</v>
      </c>
    </row>
    <row r="146" spans="1:144">
      <c r="A146" s="103" t="s">
        <v>2380</v>
      </c>
      <c r="B146" s="113">
        <v>0</v>
      </c>
      <c r="C146" s="113">
        <v>0</v>
      </c>
      <c r="D146" s="113">
        <v>0</v>
      </c>
      <c r="E146" s="113">
        <v>0</v>
      </c>
      <c r="F146" s="113">
        <v>0</v>
      </c>
      <c r="G146" s="113">
        <v>0</v>
      </c>
      <c r="H146" s="113">
        <v>0</v>
      </c>
      <c r="I146" s="113">
        <v>0</v>
      </c>
      <c r="J146" s="113">
        <v>0</v>
      </c>
      <c r="K146" s="113">
        <v>0</v>
      </c>
      <c r="L146" s="113">
        <v>0</v>
      </c>
      <c r="M146" s="113">
        <v>0</v>
      </c>
      <c r="N146" s="113">
        <v>2161</v>
      </c>
      <c r="O146" s="113">
        <v>3808</v>
      </c>
      <c r="P146" s="113">
        <v>3621</v>
      </c>
      <c r="Q146" s="113">
        <v>2611</v>
      </c>
      <c r="R146" s="113">
        <v>1389</v>
      </c>
      <c r="S146" s="113">
        <v>949</v>
      </c>
      <c r="T146" s="113">
        <v>279</v>
      </c>
      <c r="U146" s="113">
        <v>0</v>
      </c>
      <c r="V146" s="113">
        <v>0</v>
      </c>
      <c r="W146" s="113">
        <v>0</v>
      </c>
      <c r="X146" s="113">
        <v>0</v>
      </c>
      <c r="Y146" s="113">
        <v>131</v>
      </c>
      <c r="Z146" s="113">
        <v>228</v>
      </c>
      <c r="AA146" s="113">
        <v>219</v>
      </c>
      <c r="AB146" s="113">
        <v>248</v>
      </c>
      <c r="AC146" s="113">
        <v>1369</v>
      </c>
      <c r="AD146" s="113">
        <v>7536</v>
      </c>
      <c r="AE146" s="113">
        <v>0</v>
      </c>
      <c r="AG146" s="103" t="s">
        <v>2380</v>
      </c>
      <c r="AH146" s="113">
        <v>0</v>
      </c>
      <c r="AI146" s="113">
        <v>0</v>
      </c>
      <c r="AJ146" s="113">
        <v>0</v>
      </c>
      <c r="AK146" s="113">
        <v>0</v>
      </c>
      <c r="AL146" s="113">
        <v>0</v>
      </c>
      <c r="AM146" s="113">
        <v>0</v>
      </c>
      <c r="AN146" s="113">
        <v>0</v>
      </c>
      <c r="AO146" s="113">
        <v>0</v>
      </c>
      <c r="AP146" s="113">
        <v>0</v>
      </c>
      <c r="AQ146" s="113">
        <v>0</v>
      </c>
      <c r="AR146" s="113">
        <v>0</v>
      </c>
      <c r="AS146" s="113">
        <v>0</v>
      </c>
      <c r="AT146" s="113">
        <v>0</v>
      </c>
      <c r="AU146" s="113">
        <v>0</v>
      </c>
      <c r="AV146" s="113">
        <v>0</v>
      </c>
      <c r="AW146" s="113">
        <v>0</v>
      </c>
      <c r="AX146" s="113">
        <v>0</v>
      </c>
      <c r="AY146" s="113">
        <v>0</v>
      </c>
      <c r="AZ146" s="113">
        <v>0</v>
      </c>
      <c r="BA146" s="113">
        <v>0</v>
      </c>
      <c r="BB146" s="113">
        <v>0</v>
      </c>
      <c r="BC146" s="113">
        <v>0</v>
      </c>
      <c r="BD146" s="113">
        <v>0</v>
      </c>
      <c r="BE146" s="113">
        <v>0</v>
      </c>
      <c r="BF146" s="113">
        <v>0</v>
      </c>
      <c r="BG146" s="113">
        <v>0</v>
      </c>
      <c r="BH146" s="113">
        <v>0</v>
      </c>
      <c r="BI146" s="113">
        <v>0</v>
      </c>
      <c r="BJ146" s="113">
        <v>0</v>
      </c>
      <c r="BK146" s="113">
        <v>0</v>
      </c>
      <c r="BL146" s="113">
        <v>0</v>
      </c>
      <c r="BM146" s="113">
        <v>0</v>
      </c>
      <c r="BN146" s="113">
        <v>0</v>
      </c>
      <c r="BO146" s="113">
        <v>0</v>
      </c>
      <c r="BP146" s="113">
        <v>0</v>
      </c>
      <c r="BQ146" s="113">
        <v>0</v>
      </c>
      <c r="BR146" s="113">
        <v>0</v>
      </c>
      <c r="BS146" s="113">
        <v>141</v>
      </c>
      <c r="BT146" s="113">
        <v>0</v>
      </c>
      <c r="BU146" s="113">
        <v>0</v>
      </c>
      <c r="BV146" s="113">
        <v>0</v>
      </c>
      <c r="BW146" s="113">
        <v>265</v>
      </c>
      <c r="BX146" s="113">
        <v>0</v>
      </c>
      <c r="BY146" s="113">
        <v>2161</v>
      </c>
      <c r="BZ146" s="113">
        <v>2507</v>
      </c>
      <c r="CA146" s="113">
        <v>1259</v>
      </c>
      <c r="CB146" s="113">
        <v>1583</v>
      </c>
      <c r="CC146" s="113">
        <v>3808</v>
      </c>
      <c r="CD146" s="113">
        <v>1545</v>
      </c>
      <c r="CE146" s="113">
        <v>1127</v>
      </c>
      <c r="CF146" s="113">
        <v>714</v>
      </c>
      <c r="CG146" s="113">
        <v>3621</v>
      </c>
      <c r="CH146" s="113">
        <v>3920</v>
      </c>
      <c r="CI146" s="113">
        <v>3713</v>
      </c>
      <c r="CJ146" s="113">
        <v>3436</v>
      </c>
      <c r="CK146" s="113">
        <v>2611</v>
      </c>
      <c r="CL146" s="113">
        <v>1881</v>
      </c>
      <c r="CM146" s="113">
        <v>1656</v>
      </c>
      <c r="CN146" s="113">
        <v>1417</v>
      </c>
      <c r="CO146" s="113">
        <v>1389</v>
      </c>
      <c r="CP146" s="113">
        <v>1587</v>
      </c>
      <c r="CQ146" s="113">
        <v>1200</v>
      </c>
      <c r="CR146" s="113">
        <v>1367</v>
      </c>
      <c r="CS146" s="113">
        <v>949</v>
      </c>
      <c r="CT146" s="113">
        <v>1041</v>
      </c>
      <c r="CU146" s="113">
        <v>1109</v>
      </c>
      <c r="CV146" s="113">
        <v>956</v>
      </c>
      <c r="CW146" s="113">
        <v>279</v>
      </c>
      <c r="CX146" s="113">
        <v>0</v>
      </c>
      <c r="CY146" s="113">
        <v>0</v>
      </c>
      <c r="CZ146" s="113">
        <v>0</v>
      </c>
      <c r="DA146" s="113">
        <v>0</v>
      </c>
      <c r="DB146" s="113">
        <v>0</v>
      </c>
      <c r="DC146" s="113">
        <v>0</v>
      </c>
      <c r="DD146" s="113">
        <v>0</v>
      </c>
      <c r="DE146" s="113">
        <v>0</v>
      </c>
      <c r="DF146" s="113">
        <v>0</v>
      </c>
      <c r="DG146" s="113">
        <v>0</v>
      </c>
      <c r="DH146" s="113">
        <v>0</v>
      </c>
      <c r="DI146" s="113">
        <v>0</v>
      </c>
      <c r="DJ146" s="113">
        <v>0</v>
      </c>
      <c r="DK146" s="113">
        <v>0</v>
      </c>
      <c r="DL146" s="113">
        <v>0</v>
      </c>
      <c r="DM146" s="113">
        <v>0</v>
      </c>
      <c r="DN146" s="113">
        <v>0</v>
      </c>
      <c r="DO146" s="113">
        <v>0</v>
      </c>
      <c r="DP146" s="113">
        <v>0</v>
      </c>
      <c r="DQ146" s="113">
        <v>131</v>
      </c>
      <c r="DR146" s="113">
        <v>0</v>
      </c>
      <c r="DS146" s="113">
        <v>0</v>
      </c>
      <c r="DT146" s="113">
        <v>0</v>
      </c>
      <c r="DU146" s="113">
        <v>228</v>
      </c>
      <c r="DV146" s="113">
        <v>0</v>
      </c>
      <c r="DW146" s="113">
        <v>0</v>
      </c>
      <c r="DX146" s="113">
        <v>0</v>
      </c>
      <c r="DY146" s="113">
        <v>219</v>
      </c>
      <c r="DZ146" s="113">
        <v>0</v>
      </c>
      <c r="EA146" s="113">
        <v>0</v>
      </c>
      <c r="EB146" s="113">
        <v>0</v>
      </c>
      <c r="EC146" s="113">
        <v>248</v>
      </c>
      <c r="ED146" s="113">
        <v>0</v>
      </c>
      <c r="EE146" s="113">
        <v>0</v>
      </c>
      <c r="EF146" s="113">
        <v>0</v>
      </c>
      <c r="EG146" s="113">
        <v>1369</v>
      </c>
      <c r="EH146" s="113">
        <v>0</v>
      </c>
      <c r="EI146" s="113">
        <v>0</v>
      </c>
      <c r="EJ146" s="113">
        <v>0</v>
      </c>
      <c r="EK146" s="113">
        <v>7536</v>
      </c>
      <c r="EL146" s="113">
        <v>0</v>
      </c>
      <c r="EM146" s="113">
        <v>0</v>
      </c>
      <c r="EN146" s="113">
        <v>0</v>
      </c>
    </row>
    <row r="147" spans="1:144">
      <c r="A147" s="103" t="s">
        <v>2381</v>
      </c>
      <c r="B147" s="113">
        <v>85.49</v>
      </c>
      <c r="C147" s="113">
        <v>103</v>
      </c>
      <c r="D147" s="113">
        <v>88</v>
      </c>
      <c r="E147" s="113">
        <v>121</v>
      </c>
      <c r="F147" s="113">
        <v>398</v>
      </c>
      <c r="G147" s="113">
        <v>253</v>
      </c>
      <c r="H147" s="113">
        <v>203</v>
      </c>
      <c r="I147" s="113">
        <v>260</v>
      </c>
      <c r="J147" s="113">
        <v>940</v>
      </c>
      <c r="K147" s="113">
        <v>2213</v>
      </c>
      <c r="L147" s="113">
        <v>1038</v>
      </c>
      <c r="M147" s="113">
        <v>942</v>
      </c>
      <c r="N147" s="113">
        <v>1171</v>
      </c>
      <c r="O147" s="113">
        <v>1774</v>
      </c>
      <c r="P147" s="113">
        <v>1299</v>
      </c>
      <c r="Q147" s="113">
        <v>1295</v>
      </c>
      <c r="R147" s="113">
        <v>1509</v>
      </c>
      <c r="S147" s="113">
        <v>1691</v>
      </c>
      <c r="T147" s="113">
        <v>1599</v>
      </c>
      <c r="U147" s="113">
        <v>1501</v>
      </c>
      <c r="V147" s="113">
        <v>1434</v>
      </c>
      <c r="W147" s="113">
        <v>1520</v>
      </c>
      <c r="X147" s="113">
        <v>2392</v>
      </c>
      <c r="Y147" s="113">
        <v>3291</v>
      </c>
      <c r="Z147" s="113">
        <v>2889</v>
      </c>
      <c r="AA147" s="113">
        <v>3190</v>
      </c>
      <c r="AB147" s="113">
        <v>4128</v>
      </c>
      <c r="AC147" s="113">
        <v>4273</v>
      </c>
      <c r="AD147" s="113">
        <v>4987</v>
      </c>
      <c r="AE147" s="113">
        <v>11196</v>
      </c>
      <c r="AG147" s="103" t="s">
        <v>2381</v>
      </c>
      <c r="AH147" s="113">
        <v>0</v>
      </c>
      <c r="AI147" s="113">
        <v>0</v>
      </c>
      <c r="AJ147" s="113">
        <v>0</v>
      </c>
      <c r="AK147" s="113">
        <v>88</v>
      </c>
      <c r="AL147" s="113">
        <v>0</v>
      </c>
      <c r="AM147" s="113">
        <v>91</v>
      </c>
      <c r="AN147" s="113">
        <v>96</v>
      </c>
      <c r="AO147" s="113">
        <v>121</v>
      </c>
      <c r="AP147" s="113">
        <v>147</v>
      </c>
      <c r="AQ147" s="113">
        <v>288</v>
      </c>
      <c r="AR147" s="113">
        <v>278</v>
      </c>
      <c r="AS147" s="113">
        <v>398</v>
      </c>
      <c r="AT147" s="113">
        <v>478</v>
      </c>
      <c r="AU147" s="113">
        <v>706</v>
      </c>
      <c r="AV147" s="113">
        <v>0</v>
      </c>
      <c r="AW147" s="113">
        <v>253</v>
      </c>
      <c r="AX147" s="113">
        <v>308</v>
      </c>
      <c r="AY147" s="113">
        <v>218</v>
      </c>
      <c r="AZ147" s="113">
        <v>199</v>
      </c>
      <c r="BA147" s="113">
        <v>203</v>
      </c>
      <c r="BB147" s="113">
        <v>311</v>
      </c>
      <c r="BC147" s="113">
        <v>250</v>
      </c>
      <c r="BD147" s="113">
        <v>272</v>
      </c>
      <c r="BE147" s="113">
        <v>260</v>
      </c>
      <c r="BF147" s="113">
        <v>234</v>
      </c>
      <c r="BG147" s="113">
        <v>483</v>
      </c>
      <c r="BH147" s="113">
        <v>584</v>
      </c>
      <c r="BI147" s="113">
        <v>940</v>
      </c>
      <c r="BJ147" s="113">
        <v>1142</v>
      </c>
      <c r="BK147" s="113">
        <v>1533</v>
      </c>
      <c r="BL147" s="113">
        <v>2521</v>
      </c>
      <c r="BM147" s="113">
        <v>2213</v>
      </c>
      <c r="BN147" s="113">
        <v>2198</v>
      </c>
      <c r="BO147" s="113">
        <v>2296</v>
      </c>
      <c r="BP147" s="113">
        <v>2194</v>
      </c>
      <c r="BQ147" s="113">
        <v>1038</v>
      </c>
      <c r="BR147" s="113">
        <v>834</v>
      </c>
      <c r="BS147" s="113">
        <v>951</v>
      </c>
      <c r="BT147" s="113">
        <v>966</v>
      </c>
      <c r="BU147" s="113">
        <v>942</v>
      </c>
      <c r="BV147" s="113">
        <v>926</v>
      </c>
      <c r="BW147" s="113">
        <v>895</v>
      </c>
      <c r="BX147" s="113">
        <v>1193</v>
      </c>
      <c r="BY147" s="113">
        <v>1171</v>
      </c>
      <c r="BZ147" s="113">
        <v>1203</v>
      </c>
      <c r="CA147" s="113">
        <v>1744</v>
      </c>
      <c r="CB147" s="113">
        <v>1792</v>
      </c>
      <c r="CC147" s="113">
        <v>1774</v>
      </c>
      <c r="CD147" s="113">
        <v>1676</v>
      </c>
      <c r="CE147" s="113">
        <v>1320</v>
      </c>
      <c r="CF147" s="113">
        <v>1296</v>
      </c>
      <c r="CG147" s="113">
        <v>1299</v>
      </c>
      <c r="CH147" s="113">
        <v>1292</v>
      </c>
      <c r="CI147" s="113">
        <v>1284</v>
      </c>
      <c r="CJ147" s="113">
        <v>1289</v>
      </c>
      <c r="CK147" s="113">
        <v>1295</v>
      </c>
      <c r="CL147" s="113">
        <v>1287</v>
      </c>
      <c r="CM147" s="113">
        <v>1284</v>
      </c>
      <c r="CN147" s="113">
        <v>1228</v>
      </c>
      <c r="CO147" s="113">
        <v>1509</v>
      </c>
      <c r="CP147" s="113">
        <v>2014</v>
      </c>
      <c r="CQ147" s="113">
        <v>1960</v>
      </c>
      <c r="CR147" s="113">
        <v>1731</v>
      </c>
      <c r="CS147" s="113">
        <v>1691</v>
      </c>
      <c r="CT147" s="113">
        <v>1751</v>
      </c>
      <c r="CU147" s="113">
        <v>1724</v>
      </c>
      <c r="CV147" s="113">
        <v>1639</v>
      </c>
      <c r="CW147" s="113">
        <v>1599</v>
      </c>
      <c r="CX147" s="113">
        <v>1628</v>
      </c>
      <c r="CY147" s="113">
        <v>1517</v>
      </c>
      <c r="CZ147" s="113">
        <v>1478</v>
      </c>
      <c r="DA147" s="113">
        <v>1501</v>
      </c>
      <c r="DB147" s="113">
        <v>1429</v>
      </c>
      <c r="DC147" s="113">
        <v>1307</v>
      </c>
      <c r="DD147" s="113">
        <v>1353</v>
      </c>
      <c r="DE147" s="113">
        <v>1434</v>
      </c>
      <c r="DF147" s="113">
        <v>1972</v>
      </c>
      <c r="DG147" s="113">
        <v>1919</v>
      </c>
      <c r="DH147" s="113">
        <v>1403</v>
      </c>
      <c r="DI147" s="113">
        <v>1520</v>
      </c>
      <c r="DJ147" s="113">
        <v>1569</v>
      </c>
      <c r="DK147" s="113">
        <v>1636</v>
      </c>
      <c r="DL147" s="113">
        <v>2262</v>
      </c>
      <c r="DM147" s="113">
        <v>2392</v>
      </c>
      <c r="DN147" s="113">
        <v>2480</v>
      </c>
      <c r="DO147" s="113">
        <v>2874</v>
      </c>
      <c r="DP147" s="113">
        <v>2898</v>
      </c>
      <c r="DQ147" s="113">
        <v>3291</v>
      </c>
      <c r="DR147" s="113">
        <v>3271</v>
      </c>
      <c r="DS147" s="113">
        <v>3060</v>
      </c>
      <c r="DT147" s="113">
        <v>3200</v>
      </c>
      <c r="DU147" s="113">
        <v>2889</v>
      </c>
      <c r="DV147" s="113">
        <v>2880</v>
      </c>
      <c r="DW147" s="113">
        <v>2928</v>
      </c>
      <c r="DX147" s="113">
        <v>2891</v>
      </c>
      <c r="DY147" s="113">
        <v>3190</v>
      </c>
      <c r="DZ147" s="113">
        <v>3461</v>
      </c>
      <c r="EA147" s="113">
        <v>3821</v>
      </c>
      <c r="EB147" s="113">
        <v>4142</v>
      </c>
      <c r="EC147" s="113">
        <v>4128</v>
      </c>
      <c r="ED147" s="113">
        <v>4483</v>
      </c>
      <c r="EE147" s="113">
        <v>5367</v>
      </c>
      <c r="EF147" s="113">
        <v>5506</v>
      </c>
      <c r="EG147" s="113">
        <v>4273</v>
      </c>
      <c r="EH147" s="113">
        <v>7992</v>
      </c>
      <c r="EI147" s="113">
        <v>8229</v>
      </c>
      <c r="EJ147" s="113">
        <v>8258</v>
      </c>
      <c r="EK147" s="113">
        <v>4987</v>
      </c>
      <c r="EL147" s="113">
        <v>12155</v>
      </c>
      <c r="EM147" s="113">
        <v>12230</v>
      </c>
      <c r="EN147" s="113">
        <v>11196</v>
      </c>
    </row>
    <row r="148" spans="1:144" ht="10.5">
      <c r="A148" s="112" t="s">
        <v>1046</v>
      </c>
      <c r="B148" s="116">
        <v>1644.184</v>
      </c>
      <c r="C148" s="116">
        <v>2640</v>
      </c>
      <c r="D148" s="116">
        <v>3805</v>
      </c>
      <c r="E148" s="116">
        <v>5363</v>
      </c>
      <c r="F148" s="116">
        <v>7210</v>
      </c>
      <c r="G148" s="116">
        <v>10093</v>
      </c>
      <c r="H148" s="116">
        <v>14387</v>
      </c>
      <c r="I148" s="116">
        <v>22357</v>
      </c>
      <c r="J148" s="116">
        <v>38625</v>
      </c>
      <c r="K148" s="116">
        <v>52150</v>
      </c>
      <c r="L148" s="116">
        <v>58830</v>
      </c>
      <c r="M148" s="116">
        <v>67646</v>
      </c>
      <c r="N148" s="116">
        <v>81732</v>
      </c>
      <c r="O148" s="116">
        <v>94368</v>
      </c>
      <c r="P148" s="116">
        <v>70815</v>
      </c>
      <c r="Q148" s="116">
        <v>69597</v>
      </c>
      <c r="R148" s="116">
        <v>63171</v>
      </c>
      <c r="S148" s="116">
        <v>72793</v>
      </c>
      <c r="T148" s="116">
        <v>77888</v>
      </c>
      <c r="U148" s="116">
        <v>86113</v>
      </c>
      <c r="V148" s="116">
        <v>108704</v>
      </c>
      <c r="W148" s="116">
        <v>121271</v>
      </c>
      <c r="X148" s="116">
        <v>142431</v>
      </c>
      <c r="Y148" s="116">
        <v>172384</v>
      </c>
      <c r="Z148" s="116">
        <v>174472</v>
      </c>
      <c r="AA148" s="116">
        <v>193468</v>
      </c>
      <c r="AB148" s="116">
        <v>250312</v>
      </c>
      <c r="AC148" s="116">
        <v>258848</v>
      </c>
      <c r="AD148" s="116">
        <v>286556</v>
      </c>
      <c r="AE148" s="116">
        <v>285449</v>
      </c>
      <c r="AG148" s="112" t="s">
        <v>1046</v>
      </c>
      <c r="AH148" s="116">
        <v>0</v>
      </c>
      <c r="AI148" s="116">
        <v>0</v>
      </c>
      <c r="AJ148" s="116">
        <v>0</v>
      </c>
      <c r="AK148" s="116">
        <v>3805</v>
      </c>
      <c r="AL148" s="116">
        <v>0</v>
      </c>
      <c r="AM148" s="116">
        <v>4486</v>
      </c>
      <c r="AN148" s="116">
        <v>4926</v>
      </c>
      <c r="AO148" s="116">
        <v>5363</v>
      </c>
      <c r="AP148" s="116">
        <v>5637</v>
      </c>
      <c r="AQ148" s="116">
        <v>5961</v>
      </c>
      <c r="AR148" s="116">
        <v>6592</v>
      </c>
      <c r="AS148" s="116">
        <v>7210</v>
      </c>
      <c r="AT148" s="116">
        <v>8160</v>
      </c>
      <c r="AU148" s="116">
        <v>9106</v>
      </c>
      <c r="AV148" s="116">
        <v>9590</v>
      </c>
      <c r="AW148" s="116">
        <v>10093</v>
      </c>
      <c r="AX148" s="116">
        <v>10740</v>
      </c>
      <c r="AY148" s="116">
        <v>12786</v>
      </c>
      <c r="AZ148" s="116">
        <v>12613</v>
      </c>
      <c r="BA148" s="116">
        <v>14387</v>
      </c>
      <c r="BB148" s="116">
        <v>15366</v>
      </c>
      <c r="BC148" s="116">
        <v>16840</v>
      </c>
      <c r="BD148" s="116">
        <v>19545</v>
      </c>
      <c r="BE148" s="116">
        <v>22357</v>
      </c>
      <c r="BF148" s="116">
        <v>25569</v>
      </c>
      <c r="BG148" s="116">
        <v>30049</v>
      </c>
      <c r="BH148" s="116">
        <v>33561</v>
      </c>
      <c r="BI148" s="116">
        <v>38625</v>
      </c>
      <c r="BJ148" s="116">
        <v>39672</v>
      </c>
      <c r="BK148" s="116">
        <v>45093</v>
      </c>
      <c r="BL148" s="116">
        <v>50895</v>
      </c>
      <c r="BM148" s="116">
        <v>52150</v>
      </c>
      <c r="BN148" s="116">
        <v>56089</v>
      </c>
      <c r="BO148" s="116">
        <v>57691</v>
      </c>
      <c r="BP148" s="116">
        <v>59605</v>
      </c>
      <c r="BQ148" s="116">
        <v>58830</v>
      </c>
      <c r="BR148" s="116">
        <v>61367</v>
      </c>
      <c r="BS148" s="116">
        <v>65387</v>
      </c>
      <c r="BT148" s="116">
        <v>68379</v>
      </c>
      <c r="BU148" s="116">
        <v>67646</v>
      </c>
      <c r="BV148" s="116">
        <v>70235</v>
      </c>
      <c r="BW148" s="116">
        <v>72359</v>
      </c>
      <c r="BX148" s="116">
        <v>74482</v>
      </c>
      <c r="BY148" s="116">
        <v>81732</v>
      </c>
      <c r="BZ148" s="116">
        <v>84281</v>
      </c>
      <c r="CA148" s="116">
        <v>85937</v>
      </c>
      <c r="CB148" s="116">
        <v>89767</v>
      </c>
      <c r="CC148" s="116">
        <v>94368</v>
      </c>
      <c r="CD148" s="116">
        <v>94268</v>
      </c>
      <c r="CE148" s="116">
        <v>64941</v>
      </c>
      <c r="CF148" s="116">
        <v>66275</v>
      </c>
      <c r="CG148" s="116">
        <v>70815</v>
      </c>
      <c r="CH148" s="116">
        <v>71462</v>
      </c>
      <c r="CI148" s="116">
        <v>67257</v>
      </c>
      <c r="CJ148" s="116">
        <v>66854</v>
      </c>
      <c r="CK148" s="116">
        <v>69597</v>
      </c>
      <c r="CL148" s="116">
        <v>65354</v>
      </c>
      <c r="CM148" s="116">
        <v>66371</v>
      </c>
      <c r="CN148" s="116">
        <v>63891</v>
      </c>
      <c r="CO148" s="116">
        <v>63171</v>
      </c>
      <c r="CP148" s="116">
        <v>65645</v>
      </c>
      <c r="CQ148" s="116">
        <v>67339</v>
      </c>
      <c r="CR148" s="116">
        <v>70747</v>
      </c>
      <c r="CS148" s="116">
        <v>72793</v>
      </c>
      <c r="CT148" s="116">
        <v>65117</v>
      </c>
      <c r="CU148" s="116">
        <v>65786</v>
      </c>
      <c r="CV148" s="116">
        <v>68853</v>
      </c>
      <c r="CW148" s="116">
        <v>77888</v>
      </c>
      <c r="CX148" s="116">
        <v>81612</v>
      </c>
      <c r="CY148" s="116">
        <v>82096</v>
      </c>
      <c r="CZ148" s="116">
        <v>84910</v>
      </c>
      <c r="DA148" s="116">
        <v>86113</v>
      </c>
      <c r="DB148" s="116">
        <v>91540</v>
      </c>
      <c r="DC148" s="116">
        <v>92306</v>
      </c>
      <c r="DD148" s="116">
        <v>99727</v>
      </c>
      <c r="DE148" s="116">
        <v>108704</v>
      </c>
      <c r="DF148" s="116">
        <v>107415</v>
      </c>
      <c r="DG148" s="116">
        <v>112243</v>
      </c>
      <c r="DH148" s="116">
        <v>118010</v>
      </c>
      <c r="DI148" s="116">
        <v>121271</v>
      </c>
      <c r="DJ148" s="116">
        <v>121876</v>
      </c>
      <c r="DK148" s="116">
        <v>128683</v>
      </c>
      <c r="DL148" s="116">
        <v>134105</v>
      </c>
      <c r="DM148" s="116">
        <v>142431</v>
      </c>
      <c r="DN148" s="116">
        <v>142348</v>
      </c>
      <c r="DO148" s="116">
        <v>153543</v>
      </c>
      <c r="DP148" s="116">
        <v>156119</v>
      </c>
      <c r="DQ148" s="116">
        <v>172384</v>
      </c>
      <c r="DR148" s="116">
        <v>169656</v>
      </c>
      <c r="DS148" s="116">
        <v>174848</v>
      </c>
      <c r="DT148" s="116">
        <v>176683</v>
      </c>
      <c r="DU148" s="116">
        <v>174472</v>
      </c>
      <c r="DV148" s="116">
        <v>172896</v>
      </c>
      <c r="DW148" s="116">
        <v>180098</v>
      </c>
      <c r="DX148" s="116">
        <v>181869</v>
      </c>
      <c r="DY148" s="116">
        <v>193468</v>
      </c>
      <c r="DZ148" s="116">
        <v>212524</v>
      </c>
      <c r="EA148" s="116">
        <v>224610</v>
      </c>
      <c r="EB148" s="116">
        <v>225017</v>
      </c>
      <c r="EC148" s="116">
        <v>250312</v>
      </c>
      <c r="ED148" s="116">
        <v>249097</v>
      </c>
      <c r="EE148" s="116">
        <v>256003</v>
      </c>
      <c r="EF148" s="116">
        <v>245497</v>
      </c>
      <c r="EG148" s="116">
        <v>258848</v>
      </c>
      <c r="EH148" s="116">
        <v>257619</v>
      </c>
      <c r="EI148" s="116">
        <v>258859</v>
      </c>
      <c r="EJ148" s="116">
        <v>263281</v>
      </c>
      <c r="EK148" s="116">
        <v>286556</v>
      </c>
      <c r="EL148" s="116">
        <v>278955</v>
      </c>
      <c r="EM148" s="116">
        <v>282794</v>
      </c>
      <c r="EN148" s="116">
        <v>285449</v>
      </c>
    </row>
    <row r="149" spans="1:144">
      <c r="A149" s="103"/>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c r="CJ149" s="103"/>
      <c r="CK149" s="103"/>
      <c r="CL149" s="103"/>
      <c r="CM149" s="103"/>
      <c r="CN149" s="103"/>
      <c r="CO149" s="103"/>
      <c r="CP149" s="103"/>
      <c r="CQ149" s="103"/>
      <c r="CR149" s="103"/>
      <c r="CS149" s="103"/>
      <c r="CT149" s="103"/>
      <c r="CU149" s="103"/>
      <c r="CV149" s="103"/>
      <c r="CW149" s="103"/>
      <c r="CX149" s="103"/>
      <c r="CY149" s="103"/>
      <c r="CZ149" s="103"/>
      <c r="DA149" s="103"/>
      <c r="DB149" s="103"/>
      <c r="DC149" s="103"/>
      <c r="DD149" s="103"/>
      <c r="DE149" s="103"/>
      <c r="DF149" s="103"/>
      <c r="DG149" s="103"/>
      <c r="DH149" s="103"/>
      <c r="DI149" s="103"/>
      <c r="DJ149" s="103"/>
      <c r="DK149" s="103"/>
      <c r="DL149" s="103"/>
      <c r="DM149" s="103"/>
      <c r="DN149" s="103"/>
      <c r="DO149" s="103"/>
      <c r="DP149" s="103"/>
      <c r="DQ149" s="103"/>
      <c r="DR149" s="103"/>
      <c r="DS149" s="103"/>
      <c r="DT149" s="103"/>
      <c r="DU149" s="103"/>
      <c r="DV149" s="103"/>
      <c r="DW149" s="103"/>
      <c r="DX149" s="103"/>
      <c r="DY149" s="103"/>
      <c r="DZ149" s="103"/>
      <c r="EA149" s="103"/>
      <c r="EB149" s="103"/>
      <c r="EC149" s="103"/>
      <c r="ED149" s="103"/>
      <c r="EE149" s="103"/>
      <c r="EF149" s="103"/>
      <c r="EG149" s="103"/>
      <c r="EH149" s="103"/>
      <c r="EI149" s="103"/>
      <c r="EJ149" s="103"/>
      <c r="EK149" s="103"/>
      <c r="EL149" s="103"/>
      <c r="EM149" s="103"/>
      <c r="EN149" s="103"/>
    </row>
    <row r="150" spans="1:144" ht="10.5">
      <c r="A150" s="112" t="s">
        <v>2382</v>
      </c>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G150" s="112" t="s">
        <v>2382</v>
      </c>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c r="CD150" s="103"/>
      <c r="CE150" s="103"/>
      <c r="CF150" s="103"/>
      <c r="CG150" s="103"/>
      <c r="CH150" s="103"/>
      <c r="CI150" s="103"/>
      <c r="CJ150" s="103"/>
      <c r="CK150" s="103"/>
      <c r="CL150" s="103"/>
      <c r="CM150" s="103"/>
      <c r="CN150" s="103"/>
      <c r="CO150" s="103"/>
      <c r="CP150" s="103"/>
      <c r="CQ150" s="103"/>
      <c r="CR150" s="103"/>
      <c r="CS150" s="103"/>
      <c r="CT150" s="103"/>
      <c r="CU150" s="103"/>
      <c r="CV150" s="103"/>
      <c r="CW150" s="103"/>
      <c r="CX150" s="103"/>
      <c r="CY150" s="103"/>
      <c r="CZ150" s="103"/>
      <c r="DA150" s="103"/>
      <c r="DB150" s="103"/>
      <c r="DC150" s="103"/>
      <c r="DD150" s="103"/>
      <c r="DE150" s="103"/>
      <c r="DF150" s="103"/>
      <c r="DG150" s="103"/>
      <c r="DH150" s="103"/>
      <c r="DI150" s="103"/>
      <c r="DJ150" s="103"/>
      <c r="DK150" s="103"/>
      <c r="DL150" s="103"/>
      <c r="DM150" s="103"/>
      <c r="DN150" s="103"/>
      <c r="DO150" s="103"/>
      <c r="DP150" s="103"/>
      <c r="DQ150" s="103"/>
      <c r="DR150" s="103"/>
      <c r="DS150" s="103"/>
      <c r="DT150" s="103"/>
      <c r="DU150" s="103"/>
      <c r="DV150" s="103"/>
      <c r="DW150" s="103"/>
      <c r="DX150" s="103"/>
      <c r="DY150" s="103"/>
      <c r="DZ150" s="103"/>
      <c r="EA150" s="103"/>
      <c r="EB150" s="103"/>
      <c r="EC150" s="103"/>
      <c r="ED150" s="103"/>
      <c r="EE150" s="103"/>
      <c r="EF150" s="103"/>
      <c r="EG150" s="103"/>
      <c r="EH150" s="103"/>
      <c r="EI150" s="103"/>
      <c r="EJ150" s="103"/>
      <c r="EK150" s="103"/>
      <c r="EL150" s="103"/>
      <c r="EM150" s="103"/>
      <c r="EN150" s="103"/>
    </row>
    <row r="151" spans="1:144">
      <c r="A151" s="103" t="s">
        <v>1650</v>
      </c>
      <c r="B151" s="113">
        <v>85.923000000000002</v>
      </c>
      <c r="C151" s="113">
        <v>196</v>
      </c>
      <c r="D151" s="113">
        <v>239</v>
      </c>
      <c r="E151" s="113">
        <v>324</v>
      </c>
      <c r="F151" s="113">
        <v>563</v>
      </c>
      <c r="G151" s="113">
        <v>808</v>
      </c>
      <c r="H151" s="113">
        <v>721</v>
      </c>
      <c r="I151" s="113">
        <v>759</v>
      </c>
      <c r="J151" s="113">
        <v>874</v>
      </c>
      <c r="K151" s="113">
        <v>1083</v>
      </c>
      <c r="L151" s="113">
        <v>1188</v>
      </c>
      <c r="M151" s="113">
        <v>1208</v>
      </c>
      <c r="N151" s="113">
        <v>1573</v>
      </c>
      <c r="O151" s="113">
        <v>1717</v>
      </c>
      <c r="P151" s="113">
        <v>2086</v>
      </c>
      <c r="Q151" s="113">
        <v>2909</v>
      </c>
      <c r="R151" s="113">
        <v>3247</v>
      </c>
      <c r="S151" s="113">
        <v>4034</v>
      </c>
      <c r="T151" s="113">
        <v>3324</v>
      </c>
      <c r="U151" s="113">
        <v>4025</v>
      </c>
      <c r="V151" s="113">
        <v>4197</v>
      </c>
      <c r="W151" s="113">
        <v>4175</v>
      </c>
      <c r="X151" s="113">
        <v>4828</v>
      </c>
      <c r="Y151" s="113">
        <v>7432</v>
      </c>
      <c r="Z151" s="113">
        <v>6591</v>
      </c>
      <c r="AA151" s="113">
        <v>6898</v>
      </c>
      <c r="AB151" s="113">
        <v>7390</v>
      </c>
      <c r="AC151" s="113">
        <v>8617</v>
      </c>
      <c r="AD151" s="113">
        <v>9382</v>
      </c>
      <c r="AE151" s="113">
        <v>9246</v>
      </c>
      <c r="AG151" s="103" t="s">
        <v>1650</v>
      </c>
      <c r="AH151" s="113">
        <v>0</v>
      </c>
      <c r="AI151" s="113">
        <v>0</v>
      </c>
      <c r="AJ151" s="113">
        <v>0</v>
      </c>
      <c r="AK151" s="113">
        <v>239</v>
      </c>
      <c r="AL151" s="113">
        <v>0</v>
      </c>
      <c r="AM151" s="113">
        <v>242</v>
      </c>
      <c r="AN151" s="113">
        <v>296</v>
      </c>
      <c r="AO151" s="113">
        <v>324</v>
      </c>
      <c r="AP151" s="113">
        <v>354</v>
      </c>
      <c r="AQ151" s="113">
        <v>431</v>
      </c>
      <c r="AR151" s="113">
        <v>524</v>
      </c>
      <c r="AS151" s="113">
        <v>563</v>
      </c>
      <c r="AT151" s="113">
        <v>621</v>
      </c>
      <c r="AU151" s="113">
        <v>651</v>
      </c>
      <c r="AV151" s="113">
        <v>652</v>
      </c>
      <c r="AW151" s="113">
        <v>808</v>
      </c>
      <c r="AX151" s="113">
        <v>887</v>
      </c>
      <c r="AY151" s="113">
        <v>848</v>
      </c>
      <c r="AZ151" s="113">
        <v>864</v>
      </c>
      <c r="BA151" s="113">
        <v>721</v>
      </c>
      <c r="BB151" s="113">
        <v>761</v>
      </c>
      <c r="BC151" s="113">
        <v>867</v>
      </c>
      <c r="BD151" s="113">
        <v>908</v>
      </c>
      <c r="BE151" s="113">
        <v>759</v>
      </c>
      <c r="BF151" s="113">
        <v>845</v>
      </c>
      <c r="BG151" s="113">
        <v>989</v>
      </c>
      <c r="BH151" s="113">
        <v>1016</v>
      </c>
      <c r="BI151" s="113">
        <v>874</v>
      </c>
      <c r="BJ151" s="113">
        <v>997</v>
      </c>
      <c r="BK151" s="113">
        <v>1233</v>
      </c>
      <c r="BL151" s="113">
        <v>1073</v>
      </c>
      <c r="BM151" s="113">
        <v>1083</v>
      </c>
      <c r="BN151" s="113">
        <v>1101</v>
      </c>
      <c r="BO151" s="113">
        <v>1262</v>
      </c>
      <c r="BP151" s="113">
        <v>1246</v>
      </c>
      <c r="BQ151" s="113">
        <v>1188</v>
      </c>
      <c r="BR151" s="113">
        <v>1143</v>
      </c>
      <c r="BS151" s="113">
        <v>1229</v>
      </c>
      <c r="BT151" s="113">
        <v>1136</v>
      </c>
      <c r="BU151" s="113">
        <v>1208</v>
      </c>
      <c r="BV151" s="113">
        <v>1189</v>
      </c>
      <c r="BW151" s="113">
        <v>1342</v>
      </c>
      <c r="BX151" s="113">
        <v>1310</v>
      </c>
      <c r="BY151" s="113">
        <v>1573</v>
      </c>
      <c r="BZ151" s="113">
        <v>1341</v>
      </c>
      <c r="CA151" s="113">
        <v>1360</v>
      </c>
      <c r="CB151" s="113">
        <v>1412</v>
      </c>
      <c r="CC151" s="113">
        <v>1717</v>
      </c>
      <c r="CD151" s="113">
        <v>1439</v>
      </c>
      <c r="CE151" s="113">
        <v>1573</v>
      </c>
      <c r="CF151" s="113">
        <v>1636</v>
      </c>
      <c r="CG151" s="113">
        <v>2086</v>
      </c>
      <c r="CH151" s="113">
        <v>1852</v>
      </c>
      <c r="CI151" s="113">
        <v>2477</v>
      </c>
      <c r="CJ151" s="113">
        <v>2354</v>
      </c>
      <c r="CK151" s="113">
        <v>2909</v>
      </c>
      <c r="CL151" s="113">
        <v>2406</v>
      </c>
      <c r="CM151" s="113">
        <v>2944</v>
      </c>
      <c r="CN151" s="113">
        <v>2843</v>
      </c>
      <c r="CO151" s="113">
        <v>3247</v>
      </c>
      <c r="CP151" s="113">
        <v>3206</v>
      </c>
      <c r="CQ151" s="113">
        <v>3612</v>
      </c>
      <c r="CR151" s="113">
        <v>3600</v>
      </c>
      <c r="CS151" s="113">
        <v>4034</v>
      </c>
      <c r="CT151" s="113">
        <v>3351</v>
      </c>
      <c r="CU151" s="113">
        <v>3533</v>
      </c>
      <c r="CV151" s="113">
        <v>3017</v>
      </c>
      <c r="CW151" s="113">
        <v>3324</v>
      </c>
      <c r="CX151" s="113">
        <v>3287</v>
      </c>
      <c r="CY151" s="113">
        <v>3171</v>
      </c>
      <c r="CZ151" s="113">
        <v>3279</v>
      </c>
      <c r="DA151" s="113">
        <v>4025</v>
      </c>
      <c r="DB151" s="113">
        <v>3654</v>
      </c>
      <c r="DC151" s="113">
        <v>3863</v>
      </c>
      <c r="DD151" s="113">
        <v>3829</v>
      </c>
      <c r="DE151" s="113">
        <v>4197</v>
      </c>
      <c r="DF151" s="113">
        <v>3719</v>
      </c>
      <c r="DG151" s="113">
        <v>3884</v>
      </c>
      <c r="DH151" s="113">
        <v>3790</v>
      </c>
      <c r="DI151" s="113">
        <v>4175</v>
      </c>
      <c r="DJ151" s="113">
        <v>3631</v>
      </c>
      <c r="DK151" s="113">
        <v>4356</v>
      </c>
      <c r="DL151" s="113">
        <v>4532</v>
      </c>
      <c r="DM151" s="113">
        <v>4828</v>
      </c>
      <c r="DN151" s="113">
        <v>4841</v>
      </c>
      <c r="DO151" s="113">
        <v>5398</v>
      </c>
      <c r="DP151" s="113">
        <v>4583</v>
      </c>
      <c r="DQ151" s="113">
        <v>7432</v>
      </c>
      <c r="DR151" s="113">
        <v>6769</v>
      </c>
      <c r="DS151" s="113">
        <v>6932</v>
      </c>
      <c r="DT151" s="113">
        <v>6690</v>
      </c>
      <c r="DU151" s="113">
        <v>6591</v>
      </c>
      <c r="DV151" s="113">
        <v>6630</v>
      </c>
      <c r="DW151" s="113">
        <v>6936</v>
      </c>
      <c r="DX151" s="113">
        <v>6759</v>
      </c>
      <c r="DY151" s="113">
        <v>6898</v>
      </c>
      <c r="DZ151" s="113">
        <v>6296</v>
      </c>
      <c r="EA151" s="113">
        <v>6580</v>
      </c>
      <c r="EB151" s="113">
        <v>6217</v>
      </c>
      <c r="EC151" s="113">
        <v>7390</v>
      </c>
      <c r="ED151" s="113">
        <v>6866</v>
      </c>
      <c r="EE151" s="113">
        <v>7850</v>
      </c>
      <c r="EF151" s="113">
        <v>7623</v>
      </c>
      <c r="EG151" s="113">
        <v>8617</v>
      </c>
      <c r="EH151" s="113">
        <v>8511</v>
      </c>
      <c r="EI151" s="113">
        <v>7563</v>
      </c>
      <c r="EJ151" s="113">
        <v>7544</v>
      </c>
      <c r="EK151" s="113">
        <v>9382</v>
      </c>
      <c r="EL151" s="113">
        <v>8574</v>
      </c>
      <c r="EM151" s="113">
        <v>8811</v>
      </c>
      <c r="EN151" s="113">
        <v>9246</v>
      </c>
    </row>
    <row r="152" spans="1:144">
      <c r="A152" s="103" t="s">
        <v>2383</v>
      </c>
      <c r="B152" s="113">
        <v>41.643000000000001</v>
      </c>
      <c r="C152" s="113">
        <v>62</v>
      </c>
      <c r="D152" s="113">
        <v>86</v>
      </c>
      <c r="E152" s="113">
        <v>96</v>
      </c>
      <c r="F152" s="113">
        <v>130</v>
      </c>
      <c r="G152" s="113">
        <v>202</v>
      </c>
      <c r="H152" s="113">
        <v>336</v>
      </c>
      <c r="I152" s="113">
        <v>359</v>
      </c>
      <c r="J152" s="113">
        <v>396</v>
      </c>
      <c r="K152" s="113">
        <v>557</v>
      </c>
      <c r="L152" s="113">
        <v>742</v>
      </c>
      <c r="M152" s="113">
        <v>1145</v>
      </c>
      <c r="N152" s="113">
        <v>1416</v>
      </c>
      <c r="O152" s="113">
        <v>1339</v>
      </c>
      <c r="P152" s="113">
        <v>1662</v>
      </c>
      <c r="Q152" s="113">
        <v>1938</v>
      </c>
      <c r="R152" s="113">
        <v>2325</v>
      </c>
      <c r="S152" s="113">
        <v>2934</v>
      </c>
      <c r="T152" s="113">
        <v>3156</v>
      </c>
      <c r="U152" s="113">
        <v>3283</v>
      </c>
      <c r="V152" s="113">
        <v>3575</v>
      </c>
      <c r="W152" s="113">
        <v>3875</v>
      </c>
      <c r="X152" s="113">
        <v>4117</v>
      </c>
      <c r="Y152" s="113">
        <v>4797</v>
      </c>
      <c r="Z152" s="113">
        <v>5096</v>
      </c>
      <c r="AA152" s="113">
        <v>5264</v>
      </c>
      <c r="AB152" s="113">
        <v>5819</v>
      </c>
      <c r="AC152" s="113">
        <v>6103</v>
      </c>
      <c r="AD152" s="113">
        <v>6830</v>
      </c>
      <c r="AE152" s="113">
        <v>6254</v>
      </c>
      <c r="AG152" s="103" t="s">
        <v>2383</v>
      </c>
      <c r="AH152" s="113">
        <v>0</v>
      </c>
      <c r="AI152" s="113">
        <v>0</v>
      </c>
      <c r="AJ152" s="113">
        <v>0</v>
      </c>
      <c r="AK152" s="113">
        <v>86</v>
      </c>
      <c r="AL152" s="113">
        <v>0</v>
      </c>
      <c r="AM152" s="113">
        <v>99</v>
      </c>
      <c r="AN152" s="113">
        <v>71</v>
      </c>
      <c r="AO152" s="113">
        <v>96</v>
      </c>
      <c r="AP152" s="113">
        <v>81</v>
      </c>
      <c r="AQ152" s="113">
        <v>110</v>
      </c>
      <c r="AR152" s="113">
        <v>89</v>
      </c>
      <c r="AS152" s="113">
        <v>130</v>
      </c>
      <c r="AT152" s="113">
        <v>103</v>
      </c>
      <c r="AU152" s="113">
        <v>148</v>
      </c>
      <c r="AV152" s="113">
        <v>142</v>
      </c>
      <c r="AW152" s="113">
        <v>202</v>
      </c>
      <c r="AX152" s="113">
        <v>196</v>
      </c>
      <c r="AY152" s="113">
        <v>289</v>
      </c>
      <c r="AZ152" s="113">
        <v>209</v>
      </c>
      <c r="BA152" s="113">
        <v>336</v>
      </c>
      <c r="BB152" s="113">
        <v>193</v>
      </c>
      <c r="BC152" s="113">
        <v>248</v>
      </c>
      <c r="BD152" s="113">
        <v>225</v>
      </c>
      <c r="BE152" s="113">
        <v>359</v>
      </c>
      <c r="BF152" s="113">
        <v>307</v>
      </c>
      <c r="BG152" s="113">
        <v>392</v>
      </c>
      <c r="BH152" s="113">
        <v>289</v>
      </c>
      <c r="BI152" s="113">
        <v>396</v>
      </c>
      <c r="BJ152" s="113">
        <v>313</v>
      </c>
      <c r="BK152" s="113">
        <v>533</v>
      </c>
      <c r="BL152" s="113">
        <v>373</v>
      </c>
      <c r="BM152" s="113">
        <v>557</v>
      </c>
      <c r="BN152" s="113">
        <v>420</v>
      </c>
      <c r="BO152" s="113">
        <v>564</v>
      </c>
      <c r="BP152" s="113">
        <v>501</v>
      </c>
      <c r="BQ152" s="113">
        <v>742</v>
      </c>
      <c r="BR152" s="113">
        <v>586</v>
      </c>
      <c r="BS152" s="113">
        <v>899</v>
      </c>
      <c r="BT152" s="113">
        <v>822</v>
      </c>
      <c r="BU152" s="113">
        <v>1145</v>
      </c>
      <c r="BV152" s="113">
        <v>851</v>
      </c>
      <c r="BW152" s="113">
        <v>1060</v>
      </c>
      <c r="BX152" s="113">
        <v>1129</v>
      </c>
      <c r="BY152" s="113">
        <v>1416</v>
      </c>
      <c r="BZ152" s="113">
        <v>869</v>
      </c>
      <c r="CA152" s="113">
        <v>1143</v>
      </c>
      <c r="CB152" s="113">
        <v>1224</v>
      </c>
      <c r="CC152" s="113">
        <v>1339</v>
      </c>
      <c r="CD152" s="113">
        <v>918</v>
      </c>
      <c r="CE152" s="113">
        <v>1098</v>
      </c>
      <c r="CF152" s="113">
        <v>1289</v>
      </c>
      <c r="CG152" s="113">
        <v>1662</v>
      </c>
      <c r="CH152" s="113">
        <v>1196</v>
      </c>
      <c r="CI152" s="113">
        <v>1249</v>
      </c>
      <c r="CJ152" s="113">
        <v>1516</v>
      </c>
      <c r="CK152" s="113">
        <v>1938</v>
      </c>
      <c r="CL152" s="113">
        <v>1401</v>
      </c>
      <c r="CM152" s="113">
        <v>1559</v>
      </c>
      <c r="CN152" s="113">
        <v>1878</v>
      </c>
      <c r="CO152" s="113">
        <v>2325</v>
      </c>
      <c r="CP152" s="113">
        <v>1796</v>
      </c>
      <c r="CQ152" s="113">
        <v>1977</v>
      </c>
      <c r="CR152" s="113">
        <v>2427</v>
      </c>
      <c r="CS152" s="113">
        <v>2934</v>
      </c>
      <c r="CT152" s="113">
        <v>2138</v>
      </c>
      <c r="CU152" s="113">
        <v>2239</v>
      </c>
      <c r="CV152" s="113">
        <v>2644</v>
      </c>
      <c r="CW152" s="113">
        <v>3156</v>
      </c>
      <c r="CX152" s="113">
        <v>2224</v>
      </c>
      <c r="CY152" s="113">
        <v>2417</v>
      </c>
      <c r="CZ152" s="113">
        <v>2885</v>
      </c>
      <c r="DA152" s="113">
        <v>3283</v>
      </c>
      <c r="DB152" s="113">
        <v>2252</v>
      </c>
      <c r="DC152" s="113">
        <v>2402</v>
      </c>
      <c r="DD152" s="113">
        <v>2917</v>
      </c>
      <c r="DE152" s="113">
        <v>3575</v>
      </c>
      <c r="DF152" s="113">
        <v>2388</v>
      </c>
      <c r="DG152" s="113">
        <v>2677</v>
      </c>
      <c r="DH152" s="113">
        <v>3272</v>
      </c>
      <c r="DI152" s="113">
        <v>3875</v>
      </c>
      <c r="DJ152" s="113">
        <v>2666</v>
      </c>
      <c r="DK152" s="113">
        <v>2942</v>
      </c>
      <c r="DL152" s="113">
        <v>3474</v>
      </c>
      <c r="DM152" s="113">
        <v>4117</v>
      </c>
      <c r="DN152" s="113">
        <v>2856</v>
      </c>
      <c r="DO152" s="113">
        <v>3169</v>
      </c>
      <c r="DP152" s="113">
        <v>3887</v>
      </c>
      <c r="DQ152" s="113">
        <v>4797</v>
      </c>
      <c r="DR152" s="113">
        <v>3740</v>
      </c>
      <c r="DS152" s="113">
        <v>3479</v>
      </c>
      <c r="DT152" s="113">
        <v>3902</v>
      </c>
      <c r="DU152" s="113">
        <v>5096</v>
      </c>
      <c r="DV152" s="113">
        <v>3450</v>
      </c>
      <c r="DW152" s="113">
        <v>3649</v>
      </c>
      <c r="DX152" s="113">
        <v>4276</v>
      </c>
      <c r="DY152" s="113">
        <v>5264</v>
      </c>
      <c r="DZ152" s="113">
        <v>3621</v>
      </c>
      <c r="EA152" s="113">
        <v>3982</v>
      </c>
      <c r="EB152" s="113">
        <v>4604</v>
      </c>
      <c r="EC152" s="113">
        <v>5819</v>
      </c>
      <c r="ED152" s="113">
        <v>4108</v>
      </c>
      <c r="EE152" s="113">
        <v>4427</v>
      </c>
      <c r="EF152" s="113">
        <v>5149</v>
      </c>
      <c r="EG152" s="113">
        <v>6103</v>
      </c>
      <c r="EH152" s="113">
        <v>4271</v>
      </c>
      <c r="EI152" s="113">
        <v>4624</v>
      </c>
      <c r="EJ152" s="113">
        <v>5764</v>
      </c>
      <c r="EK152" s="113">
        <v>6830</v>
      </c>
      <c r="EL152" s="113">
        <v>4676</v>
      </c>
      <c r="EM152" s="113">
        <v>5421</v>
      </c>
      <c r="EN152" s="113">
        <v>6254</v>
      </c>
    </row>
    <row r="153" spans="1:144">
      <c r="A153" s="103" t="s">
        <v>2384</v>
      </c>
      <c r="B153" s="113">
        <v>19.456</v>
      </c>
      <c r="C153" s="113">
        <v>0</v>
      </c>
      <c r="D153" s="113">
        <v>0</v>
      </c>
      <c r="E153" s="113">
        <v>0</v>
      </c>
      <c r="F153" s="113">
        <v>0</v>
      </c>
      <c r="G153" s="113">
        <v>0</v>
      </c>
      <c r="H153" s="113">
        <v>0</v>
      </c>
      <c r="I153" s="113">
        <v>0</v>
      </c>
      <c r="J153" s="113">
        <v>0</v>
      </c>
      <c r="K153" s="113">
        <v>0</v>
      </c>
      <c r="L153" s="113">
        <v>0</v>
      </c>
      <c r="M153" s="113">
        <v>0</v>
      </c>
      <c r="N153" s="113">
        <v>0</v>
      </c>
      <c r="O153" s="113">
        <v>0</v>
      </c>
      <c r="P153" s="113">
        <v>0</v>
      </c>
      <c r="Q153" s="113">
        <v>0</v>
      </c>
      <c r="R153" s="113">
        <v>2741</v>
      </c>
      <c r="S153" s="113">
        <v>2614</v>
      </c>
      <c r="T153" s="113">
        <v>3684</v>
      </c>
      <c r="U153" s="113">
        <v>1182</v>
      </c>
      <c r="V153" s="113">
        <v>1208</v>
      </c>
      <c r="W153" s="113">
        <v>814</v>
      </c>
      <c r="X153" s="113">
        <v>645</v>
      </c>
      <c r="Y153" s="113">
        <v>2558</v>
      </c>
      <c r="Z153" s="113">
        <v>5077</v>
      </c>
      <c r="AA153" s="113">
        <v>13198</v>
      </c>
      <c r="AB153" s="113">
        <v>9072</v>
      </c>
      <c r="AC153" s="113">
        <v>0</v>
      </c>
      <c r="AD153" s="113">
        <v>0</v>
      </c>
      <c r="AE153" s="113">
        <v>0</v>
      </c>
      <c r="AG153" s="103" t="s">
        <v>2384</v>
      </c>
      <c r="AH153" s="113">
        <v>0</v>
      </c>
      <c r="AI153" s="113">
        <v>0</v>
      </c>
      <c r="AJ153" s="113">
        <v>0</v>
      </c>
      <c r="AK153" s="113">
        <v>0</v>
      </c>
      <c r="AL153" s="113">
        <v>0</v>
      </c>
      <c r="AM153" s="113">
        <v>0</v>
      </c>
      <c r="AN153" s="113">
        <v>0</v>
      </c>
      <c r="AO153" s="113">
        <v>0</v>
      </c>
      <c r="AP153" s="113">
        <v>0</v>
      </c>
      <c r="AQ153" s="113">
        <v>0</v>
      </c>
      <c r="AR153" s="113">
        <v>0</v>
      </c>
      <c r="AS153" s="113">
        <v>0</v>
      </c>
      <c r="AT153" s="113">
        <v>0</v>
      </c>
      <c r="AU153" s="113">
        <v>0</v>
      </c>
      <c r="AV153" s="113">
        <v>0</v>
      </c>
      <c r="AW153" s="113">
        <v>0</v>
      </c>
      <c r="AX153" s="113">
        <v>0</v>
      </c>
      <c r="AY153" s="113">
        <v>0</v>
      </c>
      <c r="AZ153" s="113">
        <v>0</v>
      </c>
      <c r="BA153" s="113">
        <v>0</v>
      </c>
      <c r="BB153" s="113">
        <v>0</v>
      </c>
      <c r="BC153" s="113">
        <v>0</v>
      </c>
      <c r="BD153" s="113">
        <v>0</v>
      </c>
      <c r="BE153" s="113">
        <v>0</v>
      </c>
      <c r="BF153" s="113">
        <v>0</v>
      </c>
      <c r="BG153" s="113">
        <v>0</v>
      </c>
      <c r="BH153" s="113">
        <v>0</v>
      </c>
      <c r="BI153" s="113">
        <v>0</v>
      </c>
      <c r="BJ153" s="113">
        <v>0</v>
      </c>
      <c r="BK153" s="113">
        <v>0</v>
      </c>
      <c r="BL153" s="113">
        <v>0</v>
      </c>
      <c r="BM153" s="113">
        <v>0</v>
      </c>
      <c r="BN153" s="113">
        <v>0</v>
      </c>
      <c r="BO153" s="113">
        <v>0</v>
      </c>
      <c r="BP153" s="113">
        <v>0</v>
      </c>
      <c r="BQ153" s="113">
        <v>0</v>
      </c>
      <c r="BR153" s="113">
        <v>0</v>
      </c>
      <c r="BS153" s="113">
        <v>0</v>
      </c>
      <c r="BT153" s="113">
        <v>0</v>
      </c>
      <c r="BU153" s="113">
        <v>0</v>
      </c>
      <c r="BV153" s="113">
        <v>0</v>
      </c>
      <c r="BW153" s="113">
        <v>0</v>
      </c>
      <c r="BX153" s="113">
        <v>0</v>
      </c>
      <c r="BY153" s="113">
        <v>0</v>
      </c>
      <c r="BZ153" s="113">
        <v>0</v>
      </c>
      <c r="CA153" s="113">
        <v>0</v>
      </c>
      <c r="CB153" s="113">
        <v>0</v>
      </c>
      <c r="CC153" s="113">
        <v>0</v>
      </c>
      <c r="CD153" s="113">
        <v>0</v>
      </c>
      <c r="CE153" s="113">
        <v>0</v>
      </c>
      <c r="CF153" s="113">
        <v>0</v>
      </c>
      <c r="CG153" s="113">
        <v>0</v>
      </c>
      <c r="CH153" s="113">
        <v>0</v>
      </c>
      <c r="CI153" s="113">
        <v>0</v>
      </c>
      <c r="CJ153" s="113">
        <v>0</v>
      </c>
      <c r="CK153" s="113">
        <v>0</v>
      </c>
      <c r="CL153" s="113">
        <v>0</v>
      </c>
      <c r="CM153" s="113">
        <v>0</v>
      </c>
      <c r="CN153" s="113">
        <v>0</v>
      </c>
      <c r="CO153" s="113">
        <v>2741</v>
      </c>
      <c r="CP153" s="113">
        <v>0</v>
      </c>
      <c r="CQ153" s="113">
        <v>0</v>
      </c>
      <c r="CR153" s="113">
        <v>0</v>
      </c>
      <c r="CS153" s="113">
        <v>2614</v>
      </c>
      <c r="CT153" s="113">
        <v>3045</v>
      </c>
      <c r="CU153" s="113">
        <v>2000</v>
      </c>
      <c r="CV153" s="113">
        <v>3532</v>
      </c>
      <c r="CW153" s="113">
        <v>3684</v>
      </c>
      <c r="CX153" s="113">
        <v>5784</v>
      </c>
      <c r="CY153" s="113">
        <v>5160</v>
      </c>
      <c r="CZ153" s="113">
        <v>5043</v>
      </c>
      <c r="DA153" s="113">
        <v>1182</v>
      </c>
      <c r="DB153" s="113">
        <v>1909</v>
      </c>
      <c r="DC153" s="113">
        <v>1355</v>
      </c>
      <c r="DD153" s="113">
        <v>1245</v>
      </c>
      <c r="DE153" s="113">
        <v>1208</v>
      </c>
      <c r="DF153" s="113">
        <v>1141</v>
      </c>
      <c r="DG153" s="113">
        <v>849</v>
      </c>
      <c r="DH153" s="113">
        <v>1210</v>
      </c>
      <c r="DI153" s="113">
        <v>814</v>
      </c>
      <c r="DJ153" s="113">
        <v>415</v>
      </c>
      <c r="DK153" s="113">
        <v>21</v>
      </c>
      <c r="DL153" s="113">
        <v>564</v>
      </c>
      <c r="DM153" s="113">
        <v>645</v>
      </c>
      <c r="DN153" s="113">
        <v>1882</v>
      </c>
      <c r="DO153" s="113">
        <v>1048</v>
      </c>
      <c r="DP153" s="113">
        <v>794</v>
      </c>
      <c r="DQ153" s="113">
        <v>2558</v>
      </c>
      <c r="DR153" s="113">
        <v>3691</v>
      </c>
      <c r="DS153" s="113">
        <v>8729</v>
      </c>
      <c r="DT153" s="113">
        <v>1821</v>
      </c>
      <c r="DU153" s="113">
        <v>5077</v>
      </c>
      <c r="DV153" s="113">
        <v>10152</v>
      </c>
      <c r="DW153" s="113">
        <v>3439</v>
      </c>
      <c r="DX153" s="113">
        <v>5871</v>
      </c>
      <c r="DY153" s="113">
        <v>13198</v>
      </c>
      <c r="DZ153" s="113">
        <v>14746</v>
      </c>
      <c r="EA153" s="113">
        <v>26345</v>
      </c>
      <c r="EB153" s="113">
        <v>7388</v>
      </c>
      <c r="EC153" s="113">
        <v>9072</v>
      </c>
      <c r="ED153" s="113">
        <v>8373</v>
      </c>
      <c r="EE153" s="113">
        <v>12492</v>
      </c>
      <c r="EF153" s="113">
        <v>230</v>
      </c>
      <c r="EG153" s="113">
        <v>0</v>
      </c>
      <c r="EH153" s="113">
        <v>0</v>
      </c>
      <c r="EI153" s="113">
        <v>0</v>
      </c>
      <c r="EJ153" s="113">
        <v>0</v>
      </c>
      <c r="EK153" s="113">
        <v>0</v>
      </c>
      <c r="EL153" s="113">
        <v>0</v>
      </c>
      <c r="EM153" s="113">
        <v>0</v>
      </c>
      <c r="EN153" s="113">
        <v>0</v>
      </c>
    </row>
    <row r="154" spans="1:144">
      <c r="A154" s="103" t="s">
        <v>2385</v>
      </c>
      <c r="B154" s="113">
        <v>0</v>
      </c>
      <c r="C154" s="113">
        <v>0</v>
      </c>
      <c r="D154" s="113">
        <v>0</v>
      </c>
      <c r="E154" s="113">
        <v>0</v>
      </c>
      <c r="F154" s="113">
        <v>0</v>
      </c>
      <c r="G154" s="113">
        <v>0</v>
      </c>
      <c r="H154" s="113">
        <v>0</v>
      </c>
      <c r="I154" s="113">
        <v>0</v>
      </c>
      <c r="J154" s="113">
        <v>0</v>
      </c>
      <c r="K154" s="113">
        <v>0</v>
      </c>
      <c r="L154" s="113">
        <v>0</v>
      </c>
      <c r="M154" s="113">
        <v>0</v>
      </c>
      <c r="N154" s="113">
        <v>0</v>
      </c>
      <c r="O154" s="113">
        <v>0</v>
      </c>
      <c r="P154" s="113">
        <v>0</v>
      </c>
      <c r="Q154" s="113">
        <v>0</v>
      </c>
      <c r="R154" s="113">
        <v>0</v>
      </c>
      <c r="S154" s="113">
        <v>0</v>
      </c>
      <c r="T154" s="113">
        <v>20</v>
      </c>
      <c r="U154" s="113">
        <v>33</v>
      </c>
      <c r="V154" s="113">
        <v>9</v>
      </c>
      <c r="W154" s="113">
        <v>1248</v>
      </c>
      <c r="X154" s="113">
        <v>3044</v>
      </c>
      <c r="Y154" s="113">
        <v>0</v>
      </c>
      <c r="Z154" s="113">
        <v>2499</v>
      </c>
      <c r="AA154" s="113">
        <v>0</v>
      </c>
      <c r="AB154" s="113">
        <v>1049</v>
      </c>
      <c r="AC154" s="113">
        <v>3998</v>
      </c>
      <c r="AD154" s="113">
        <v>5516</v>
      </c>
      <c r="AE154" s="113">
        <v>3748</v>
      </c>
      <c r="AG154" s="103" t="s">
        <v>2385</v>
      </c>
      <c r="AH154" s="113">
        <v>0</v>
      </c>
      <c r="AI154" s="113">
        <v>0</v>
      </c>
      <c r="AJ154" s="113">
        <v>0</v>
      </c>
      <c r="AK154" s="113">
        <v>0</v>
      </c>
      <c r="AL154" s="113">
        <v>0</v>
      </c>
      <c r="AM154" s="113">
        <v>0</v>
      </c>
      <c r="AN154" s="113">
        <v>0</v>
      </c>
      <c r="AO154" s="113">
        <v>0</v>
      </c>
      <c r="AP154" s="113">
        <v>0</v>
      </c>
      <c r="AQ154" s="113">
        <v>0</v>
      </c>
      <c r="AR154" s="113">
        <v>0</v>
      </c>
      <c r="AS154" s="113">
        <v>0</v>
      </c>
      <c r="AT154" s="113">
        <v>0</v>
      </c>
      <c r="AU154" s="113">
        <v>0</v>
      </c>
      <c r="AV154" s="113">
        <v>0</v>
      </c>
      <c r="AW154" s="113">
        <v>0</v>
      </c>
      <c r="AX154" s="113">
        <v>0</v>
      </c>
      <c r="AY154" s="113">
        <v>0</v>
      </c>
      <c r="AZ154" s="113">
        <v>0</v>
      </c>
      <c r="BA154" s="113">
        <v>0</v>
      </c>
      <c r="BB154" s="113">
        <v>0</v>
      </c>
      <c r="BC154" s="113">
        <v>0</v>
      </c>
      <c r="BD154" s="113">
        <v>0</v>
      </c>
      <c r="BE154" s="113">
        <v>0</v>
      </c>
      <c r="BF154" s="113">
        <v>0</v>
      </c>
      <c r="BG154" s="113">
        <v>0</v>
      </c>
      <c r="BH154" s="113">
        <v>0</v>
      </c>
      <c r="BI154" s="113">
        <v>0</v>
      </c>
      <c r="BJ154" s="113">
        <v>0</v>
      </c>
      <c r="BK154" s="113">
        <v>0</v>
      </c>
      <c r="BL154" s="113">
        <v>0</v>
      </c>
      <c r="BM154" s="113">
        <v>0</v>
      </c>
      <c r="BN154" s="113">
        <v>0</v>
      </c>
      <c r="BO154" s="113">
        <v>0</v>
      </c>
      <c r="BP154" s="113">
        <v>0</v>
      </c>
      <c r="BQ154" s="113">
        <v>0</v>
      </c>
      <c r="BR154" s="113">
        <v>0</v>
      </c>
      <c r="BS154" s="113">
        <v>0</v>
      </c>
      <c r="BT154" s="113">
        <v>0</v>
      </c>
      <c r="BU154" s="113">
        <v>0</v>
      </c>
      <c r="BV154" s="113">
        <v>0</v>
      </c>
      <c r="BW154" s="113">
        <v>0</v>
      </c>
      <c r="BX154" s="113">
        <v>0</v>
      </c>
      <c r="BY154" s="113">
        <v>0</v>
      </c>
      <c r="BZ154" s="113">
        <v>0</v>
      </c>
      <c r="CA154" s="113">
        <v>0</v>
      </c>
      <c r="CB154" s="113">
        <v>0</v>
      </c>
      <c r="CC154" s="113">
        <v>0</v>
      </c>
      <c r="CD154" s="113">
        <v>0</v>
      </c>
      <c r="CE154" s="113">
        <v>0</v>
      </c>
      <c r="CF154" s="113">
        <v>0</v>
      </c>
      <c r="CG154" s="113">
        <v>0</v>
      </c>
      <c r="CH154" s="113">
        <v>0</v>
      </c>
      <c r="CI154" s="113">
        <v>0</v>
      </c>
      <c r="CJ154" s="113">
        <v>0</v>
      </c>
      <c r="CK154" s="113">
        <v>0</v>
      </c>
      <c r="CL154" s="113">
        <v>0</v>
      </c>
      <c r="CM154" s="113">
        <v>0</v>
      </c>
      <c r="CN154" s="113">
        <v>0</v>
      </c>
      <c r="CO154" s="113">
        <v>0</v>
      </c>
      <c r="CP154" s="113">
        <v>0</v>
      </c>
      <c r="CQ154" s="113">
        <v>0</v>
      </c>
      <c r="CR154" s="113">
        <v>0</v>
      </c>
      <c r="CS154" s="113">
        <v>0</v>
      </c>
      <c r="CT154" s="113">
        <v>0</v>
      </c>
      <c r="CU154" s="113">
        <v>0</v>
      </c>
      <c r="CV154" s="113">
        <v>0</v>
      </c>
      <c r="CW154" s="113">
        <v>20</v>
      </c>
      <c r="CX154" s="113">
        <v>0</v>
      </c>
      <c r="CY154" s="113">
        <v>6</v>
      </c>
      <c r="CZ154" s="113">
        <v>6</v>
      </c>
      <c r="DA154" s="113">
        <v>33</v>
      </c>
      <c r="DB154" s="113">
        <v>0</v>
      </c>
      <c r="DC154" s="113">
        <v>6</v>
      </c>
      <c r="DD154" s="113">
        <v>5</v>
      </c>
      <c r="DE154" s="113">
        <v>9</v>
      </c>
      <c r="DF154" s="113">
        <v>29</v>
      </c>
      <c r="DG154" s="113">
        <v>22</v>
      </c>
      <c r="DH154" s="113">
        <v>0</v>
      </c>
      <c r="DI154" s="113">
        <v>1248</v>
      </c>
      <c r="DJ154" s="113">
        <v>2245</v>
      </c>
      <c r="DK154" s="113">
        <v>2250</v>
      </c>
      <c r="DL154" s="113">
        <v>2252</v>
      </c>
      <c r="DM154" s="113">
        <v>3044</v>
      </c>
      <c r="DN154" s="113">
        <v>2011</v>
      </c>
      <c r="DO154" s="113">
        <v>2000</v>
      </c>
      <c r="DP154" s="113">
        <v>2000</v>
      </c>
      <c r="DQ154" s="113">
        <v>0</v>
      </c>
      <c r="DR154" s="113">
        <v>1748</v>
      </c>
      <c r="DS154" s="113">
        <v>1749</v>
      </c>
      <c r="DT154" s="113">
        <v>2499</v>
      </c>
      <c r="DU154" s="113">
        <v>2499</v>
      </c>
      <c r="DV154" s="113">
        <v>750</v>
      </c>
      <c r="DW154" s="113">
        <v>750</v>
      </c>
      <c r="DX154" s="113">
        <v>0</v>
      </c>
      <c r="DY154" s="113">
        <v>0</v>
      </c>
      <c r="DZ154" s="113">
        <v>0</v>
      </c>
      <c r="EA154" s="113">
        <v>599</v>
      </c>
      <c r="EB154" s="113">
        <v>599</v>
      </c>
      <c r="EC154" s="113">
        <v>1049</v>
      </c>
      <c r="ED154" s="113">
        <v>1050</v>
      </c>
      <c r="EE154" s="113">
        <v>3446</v>
      </c>
      <c r="EF154" s="113">
        <v>3447</v>
      </c>
      <c r="EG154" s="113">
        <v>3998</v>
      </c>
      <c r="EH154" s="113">
        <v>6497</v>
      </c>
      <c r="EI154" s="113">
        <v>3516</v>
      </c>
      <c r="EJ154" s="113">
        <v>6515</v>
      </c>
      <c r="EK154" s="113">
        <v>5516</v>
      </c>
      <c r="EL154" s="113">
        <v>3017</v>
      </c>
      <c r="EM154" s="113">
        <v>6247</v>
      </c>
      <c r="EN154" s="113">
        <v>3748</v>
      </c>
    </row>
    <row r="155" spans="1:144">
      <c r="A155" s="103" t="s">
        <v>2386</v>
      </c>
      <c r="B155" s="113">
        <v>0</v>
      </c>
      <c r="C155" s="113">
        <v>0</v>
      </c>
      <c r="D155" s="113">
        <v>0</v>
      </c>
      <c r="E155" s="113">
        <v>0</v>
      </c>
      <c r="F155" s="113">
        <v>0</v>
      </c>
      <c r="G155" s="113">
        <v>0</v>
      </c>
      <c r="H155" s="113">
        <v>0</v>
      </c>
      <c r="I155" s="113">
        <v>0</v>
      </c>
      <c r="J155" s="113">
        <v>0</v>
      </c>
      <c r="K155" s="113">
        <v>0</v>
      </c>
      <c r="L155" s="113">
        <v>0</v>
      </c>
      <c r="M155" s="113">
        <v>0</v>
      </c>
      <c r="N155" s="113">
        <v>0</v>
      </c>
      <c r="O155" s="113">
        <v>0</v>
      </c>
      <c r="P155" s="113">
        <v>0</v>
      </c>
      <c r="Q155" s="113">
        <v>0</v>
      </c>
      <c r="R155" s="113">
        <v>0</v>
      </c>
      <c r="S155" s="113">
        <v>0</v>
      </c>
      <c r="T155" s="113">
        <v>0</v>
      </c>
      <c r="U155" s="113">
        <v>0</v>
      </c>
      <c r="V155" s="113">
        <v>0</v>
      </c>
      <c r="W155" s="113">
        <v>0</v>
      </c>
      <c r="X155" s="113">
        <v>0</v>
      </c>
      <c r="Y155" s="113">
        <v>0</v>
      </c>
      <c r="Z155" s="113">
        <v>0</v>
      </c>
      <c r="AA155" s="113">
        <v>25</v>
      </c>
      <c r="AB155" s="113">
        <v>1536</v>
      </c>
      <c r="AC155" s="113">
        <v>1575</v>
      </c>
      <c r="AD155" s="113">
        <v>1832</v>
      </c>
      <c r="AE155" s="113">
        <v>2027</v>
      </c>
      <c r="AG155" s="103" t="s">
        <v>2386</v>
      </c>
      <c r="AH155" s="113">
        <v>0</v>
      </c>
      <c r="AI155" s="113">
        <v>0</v>
      </c>
      <c r="AJ155" s="113">
        <v>0</v>
      </c>
      <c r="AK155" s="113">
        <v>0</v>
      </c>
      <c r="AL155" s="113">
        <v>0</v>
      </c>
      <c r="AM155" s="113">
        <v>0</v>
      </c>
      <c r="AN155" s="113">
        <v>0</v>
      </c>
      <c r="AO155" s="113">
        <v>0</v>
      </c>
      <c r="AP155" s="113">
        <v>0</v>
      </c>
      <c r="AQ155" s="113">
        <v>0</v>
      </c>
      <c r="AR155" s="113">
        <v>0</v>
      </c>
      <c r="AS155" s="113">
        <v>0</v>
      </c>
      <c r="AT155" s="113">
        <v>0</v>
      </c>
      <c r="AU155" s="113">
        <v>0</v>
      </c>
      <c r="AV155" s="113">
        <v>0</v>
      </c>
      <c r="AW155" s="113">
        <v>0</v>
      </c>
      <c r="AX155" s="113">
        <v>0</v>
      </c>
      <c r="AY155" s="113">
        <v>0</v>
      </c>
      <c r="AZ155" s="113">
        <v>0</v>
      </c>
      <c r="BA155" s="113">
        <v>0</v>
      </c>
      <c r="BB155" s="113">
        <v>0</v>
      </c>
      <c r="BC155" s="113">
        <v>0</v>
      </c>
      <c r="BD155" s="113">
        <v>0</v>
      </c>
      <c r="BE155" s="113">
        <v>0</v>
      </c>
      <c r="BF155" s="113">
        <v>0</v>
      </c>
      <c r="BG155" s="113">
        <v>0</v>
      </c>
      <c r="BH155" s="113">
        <v>0</v>
      </c>
      <c r="BI155" s="113">
        <v>0</v>
      </c>
      <c r="BJ155" s="113">
        <v>0</v>
      </c>
      <c r="BK155" s="113">
        <v>0</v>
      </c>
      <c r="BL155" s="113">
        <v>0</v>
      </c>
      <c r="BM155" s="113">
        <v>0</v>
      </c>
      <c r="BN155" s="113">
        <v>0</v>
      </c>
      <c r="BO155" s="113">
        <v>0</v>
      </c>
      <c r="BP155" s="113">
        <v>0</v>
      </c>
      <c r="BQ155" s="113">
        <v>0</v>
      </c>
      <c r="BR155" s="113">
        <v>0</v>
      </c>
      <c r="BS155" s="113">
        <v>0</v>
      </c>
      <c r="BT155" s="113">
        <v>0</v>
      </c>
      <c r="BU155" s="113">
        <v>0</v>
      </c>
      <c r="BV155" s="113">
        <v>0</v>
      </c>
      <c r="BW155" s="113">
        <v>0</v>
      </c>
      <c r="BX155" s="113">
        <v>0</v>
      </c>
      <c r="BY155" s="113">
        <v>0</v>
      </c>
      <c r="BZ155" s="113">
        <v>0</v>
      </c>
      <c r="CA155" s="113">
        <v>0</v>
      </c>
      <c r="CB155" s="113">
        <v>0</v>
      </c>
      <c r="CC155" s="113">
        <v>0</v>
      </c>
      <c r="CD155" s="113">
        <v>0</v>
      </c>
      <c r="CE155" s="113">
        <v>0</v>
      </c>
      <c r="CF155" s="113">
        <v>0</v>
      </c>
      <c r="CG155" s="113">
        <v>0</v>
      </c>
      <c r="CH155" s="113">
        <v>0</v>
      </c>
      <c r="CI155" s="113">
        <v>0</v>
      </c>
      <c r="CJ155" s="113">
        <v>0</v>
      </c>
      <c r="CK155" s="113">
        <v>0</v>
      </c>
      <c r="CL155" s="113">
        <v>0</v>
      </c>
      <c r="CM155" s="113">
        <v>0</v>
      </c>
      <c r="CN155" s="113">
        <v>0</v>
      </c>
      <c r="CO155" s="113">
        <v>0</v>
      </c>
      <c r="CP155" s="113">
        <v>0</v>
      </c>
      <c r="CQ155" s="113">
        <v>0</v>
      </c>
      <c r="CR155" s="113">
        <v>0</v>
      </c>
      <c r="CS155" s="113">
        <v>0</v>
      </c>
      <c r="CT155" s="113">
        <v>0</v>
      </c>
      <c r="CU155" s="113">
        <v>0</v>
      </c>
      <c r="CV155" s="113">
        <v>0</v>
      </c>
      <c r="CW155" s="113">
        <v>0</v>
      </c>
      <c r="CX155" s="113">
        <v>0</v>
      </c>
      <c r="CY155" s="113">
        <v>0</v>
      </c>
      <c r="CZ155" s="113">
        <v>0</v>
      </c>
      <c r="DA155" s="113">
        <v>0</v>
      </c>
      <c r="DB155" s="113">
        <v>0</v>
      </c>
      <c r="DC155" s="113">
        <v>0</v>
      </c>
      <c r="DD155" s="113">
        <v>0</v>
      </c>
      <c r="DE155" s="113">
        <v>0</v>
      </c>
      <c r="DF155" s="113">
        <v>0</v>
      </c>
      <c r="DG155" s="113">
        <v>0</v>
      </c>
      <c r="DH155" s="113">
        <v>0</v>
      </c>
      <c r="DI155" s="113">
        <v>0</v>
      </c>
      <c r="DJ155" s="113">
        <v>0</v>
      </c>
      <c r="DK155" s="113">
        <v>0</v>
      </c>
      <c r="DL155" s="113">
        <v>0</v>
      </c>
      <c r="DM155" s="113">
        <v>0</v>
      </c>
      <c r="DN155" s="113">
        <v>0</v>
      </c>
      <c r="DO155" s="113">
        <v>0</v>
      </c>
      <c r="DP155" s="113">
        <v>0</v>
      </c>
      <c r="DQ155" s="113">
        <v>0</v>
      </c>
      <c r="DR155" s="113">
        <v>0</v>
      </c>
      <c r="DS155" s="113">
        <v>0</v>
      </c>
      <c r="DT155" s="113">
        <v>0</v>
      </c>
      <c r="DU155" s="113">
        <v>0</v>
      </c>
      <c r="DV155" s="113">
        <v>0</v>
      </c>
      <c r="DW155" s="113">
        <v>0</v>
      </c>
      <c r="DX155" s="113">
        <v>0</v>
      </c>
      <c r="DY155" s="113">
        <v>25</v>
      </c>
      <c r="DZ155" s="113">
        <v>32</v>
      </c>
      <c r="EA155" s="113">
        <v>56</v>
      </c>
      <c r="EB155" s="113">
        <v>86</v>
      </c>
      <c r="EC155" s="113">
        <v>1536</v>
      </c>
      <c r="ED155" s="113">
        <v>1398</v>
      </c>
      <c r="EE155" s="113">
        <v>1499</v>
      </c>
      <c r="EF155" s="113">
        <v>1563</v>
      </c>
      <c r="EG155" s="113">
        <v>1575</v>
      </c>
      <c r="EH155" s="113">
        <v>1575</v>
      </c>
      <c r="EI155" s="113">
        <v>1666</v>
      </c>
      <c r="EJ155" s="113">
        <v>1743</v>
      </c>
      <c r="EK155" s="113">
        <v>1832</v>
      </c>
      <c r="EL155" s="113">
        <v>1955</v>
      </c>
      <c r="EM155" s="113">
        <v>2080</v>
      </c>
      <c r="EN155" s="113">
        <v>2027</v>
      </c>
    </row>
    <row r="156" spans="1:144">
      <c r="A156" s="103" t="s">
        <v>2387</v>
      </c>
      <c r="B156" s="113">
        <v>44.445</v>
      </c>
      <c r="C156" s="113">
        <v>73</v>
      </c>
      <c r="D156" s="113">
        <v>127</v>
      </c>
      <c r="E156" s="113">
        <v>305</v>
      </c>
      <c r="F156" s="113">
        <v>410</v>
      </c>
      <c r="G156" s="113">
        <v>484</v>
      </c>
      <c r="H156" s="113">
        <v>466</v>
      </c>
      <c r="I156" s="113">
        <v>915</v>
      </c>
      <c r="J156" s="113">
        <v>1691</v>
      </c>
      <c r="K156" s="113">
        <v>585</v>
      </c>
      <c r="L156" s="113">
        <v>1468</v>
      </c>
      <c r="M156" s="113">
        <v>2022</v>
      </c>
      <c r="N156" s="113">
        <v>2044</v>
      </c>
      <c r="O156" s="113">
        <v>3478</v>
      </c>
      <c r="P156" s="113">
        <v>2020</v>
      </c>
      <c r="Q156" s="113">
        <v>1557</v>
      </c>
      <c r="R156" s="113">
        <v>1040</v>
      </c>
      <c r="S156" s="113">
        <v>3248</v>
      </c>
      <c r="T156" s="113">
        <v>725</v>
      </c>
      <c r="U156" s="113">
        <v>1074</v>
      </c>
      <c r="V156" s="113">
        <v>580</v>
      </c>
      <c r="W156" s="113">
        <v>789</v>
      </c>
      <c r="X156" s="113">
        <v>592</v>
      </c>
      <c r="Y156" s="113">
        <v>782</v>
      </c>
      <c r="Z156" s="113">
        <v>606</v>
      </c>
      <c r="AA156" s="113">
        <v>580</v>
      </c>
      <c r="AB156" s="113">
        <v>718</v>
      </c>
      <c r="AC156" s="113">
        <v>2121</v>
      </c>
      <c r="AD156" s="113">
        <v>5665</v>
      </c>
      <c r="AE156" s="113">
        <v>3296</v>
      </c>
      <c r="AG156" s="103" t="s">
        <v>2387</v>
      </c>
      <c r="AH156" s="113">
        <v>0</v>
      </c>
      <c r="AI156" s="113">
        <v>0</v>
      </c>
      <c r="AJ156" s="113">
        <v>0</v>
      </c>
      <c r="AK156" s="113">
        <v>127</v>
      </c>
      <c r="AL156" s="113">
        <v>0</v>
      </c>
      <c r="AM156" s="113">
        <v>211</v>
      </c>
      <c r="AN156" s="113">
        <v>219</v>
      </c>
      <c r="AO156" s="113">
        <v>305</v>
      </c>
      <c r="AP156" s="113">
        <v>369</v>
      </c>
      <c r="AQ156" s="113">
        <v>364</v>
      </c>
      <c r="AR156" s="113">
        <v>385</v>
      </c>
      <c r="AS156" s="113">
        <v>410</v>
      </c>
      <c r="AT156" s="113">
        <v>522</v>
      </c>
      <c r="AU156" s="113">
        <v>680</v>
      </c>
      <c r="AV156" s="113">
        <v>616</v>
      </c>
      <c r="AW156" s="113">
        <v>484</v>
      </c>
      <c r="AX156" s="113">
        <v>514</v>
      </c>
      <c r="AY156" s="113">
        <v>480</v>
      </c>
      <c r="AZ156" s="113">
        <v>463</v>
      </c>
      <c r="BA156" s="113">
        <v>466</v>
      </c>
      <c r="BB156" s="113">
        <v>554</v>
      </c>
      <c r="BC156" s="113">
        <v>631</v>
      </c>
      <c r="BD156" s="113">
        <v>527</v>
      </c>
      <c r="BE156" s="113">
        <v>915</v>
      </c>
      <c r="BF156" s="113">
        <v>1244</v>
      </c>
      <c r="BG156" s="113">
        <v>1642</v>
      </c>
      <c r="BH156" s="113">
        <v>1347</v>
      </c>
      <c r="BI156" s="113">
        <v>1691</v>
      </c>
      <c r="BJ156" s="113">
        <v>1136</v>
      </c>
      <c r="BK156" s="113">
        <v>2103</v>
      </c>
      <c r="BL156" s="113">
        <v>1931</v>
      </c>
      <c r="BM156" s="113">
        <v>585</v>
      </c>
      <c r="BN156" s="113">
        <v>442</v>
      </c>
      <c r="BO156" s="113">
        <v>656</v>
      </c>
      <c r="BP156" s="113">
        <v>753</v>
      </c>
      <c r="BQ156" s="113">
        <v>1468</v>
      </c>
      <c r="BR156" s="113">
        <v>2131</v>
      </c>
      <c r="BS156" s="113">
        <v>2396</v>
      </c>
      <c r="BT156" s="113">
        <v>2477</v>
      </c>
      <c r="BU156" s="113">
        <v>2022</v>
      </c>
      <c r="BV156" s="113">
        <v>3307</v>
      </c>
      <c r="BW156" s="113">
        <v>2954</v>
      </c>
      <c r="BX156" s="113">
        <v>2546</v>
      </c>
      <c r="BY156" s="113">
        <v>2044</v>
      </c>
      <c r="BZ156" s="113">
        <v>2600</v>
      </c>
      <c r="CA156" s="113">
        <v>3500</v>
      </c>
      <c r="CB156" s="113">
        <v>3175</v>
      </c>
      <c r="CC156" s="113">
        <v>3478</v>
      </c>
      <c r="CD156" s="113">
        <v>3456</v>
      </c>
      <c r="CE156" s="113">
        <v>3506</v>
      </c>
      <c r="CF156" s="113">
        <v>3479</v>
      </c>
      <c r="CG156" s="113">
        <v>2020</v>
      </c>
      <c r="CH156" s="113">
        <v>3123</v>
      </c>
      <c r="CI156" s="113">
        <v>2787</v>
      </c>
      <c r="CJ156" s="113">
        <v>2805</v>
      </c>
      <c r="CK156" s="113">
        <v>1557</v>
      </c>
      <c r="CL156" s="113">
        <v>1994</v>
      </c>
      <c r="CM156" s="113">
        <v>1337</v>
      </c>
      <c r="CN156" s="113">
        <v>1930</v>
      </c>
      <c r="CO156" s="113">
        <v>1040</v>
      </c>
      <c r="CP156" s="113">
        <v>1410</v>
      </c>
      <c r="CQ156" s="113">
        <v>863</v>
      </c>
      <c r="CR156" s="113">
        <v>3765</v>
      </c>
      <c r="CS156" s="113">
        <v>3248</v>
      </c>
      <c r="CT156" s="113">
        <v>514</v>
      </c>
      <c r="CU156" s="113">
        <v>848</v>
      </c>
      <c r="CV156" s="113">
        <v>773</v>
      </c>
      <c r="CW156" s="113">
        <v>725</v>
      </c>
      <c r="CX156" s="113">
        <v>847</v>
      </c>
      <c r="CY156" s="113">
        <v>721</v>
      </c>
      <c r="CZ156" s="113">
        <v>901</v>
      </c>
      <c r="DA156" s="113">
        <v>1074</v>
      </c>
      <c r="DB156" s="113">
        <v>2136</v>
      </c>
      <c r="DC156" s="113">
        <v>1439</v>
      </c>
      <c r="DD156" s="113">
        <v>839</v>
      </c>
      <c r="DE156" s="113">
        <v>580</v>
      </c>
      <c r="DF156" s="113">
        <v>705</v>
      </c>
      <c r="DG156" s="113">
        <v>921</v>
      </c>
      <c r="DH156" s="113">
        <v>958</v>
      </c>
      <c r="DI156" s="113">
        <v>789</v>
      </c>
      <c r="DJ156" s="113">
        <v>847</v>
      </c>
      <c r="DK156" s="113">
        <v>630</v>
      </c>
      <c r="DL156" s="113">
        <v>689</v>
      </c>
      <c r="DM156" s="113">
        <v>592</v>
      </c>
      <c r="DN156" s="113">
        <v>834</v>
      </c>
      <c r="DO156" s="113">
        <v>591</v>
      </c>
      <c r="DP156" s="113">
        <v>694</v>
      </c>
      <c r="DQ156" s="113">
        <v>782</v>
      </c>
      <c r="DR156" s="113">
        <v>903</v>
      </c>
      <c r="DS156" s="113">
        <v>711</v>
      </c>
      <c r="DT156" s="113">
        <v>758</v>
      </c>
      <c r="DU156" s="113">
        <v>606</v>
      </c>
      <c r="DV156" s="113">
        <v>607</v>
      </c>
      <c r="DW156" s="113">
        <v>493</v>
      </c>
      <c r="DX156" s="113">
        <v>685</v>
      </c>
      <c r="DY156" s="113">
        <v>580</v>
      </c>
      <c r="DZ156" s="113">
        <v>720</v>
      </c>
      <c r="EA156" s="113">
        <v>508</v>
      </c>
      <c r="EB156" s="113">
        <v>654</v>
      </c>
      <c r="EC156" s="113">
        <v>718</v>
      </c>
      <c r="ED156" s="113">
        <v>920</v>
      </c>
      <c r="EE156" s="113">
        <v>788</v>
      </c>
      <c r="EF156" s="113">
        <v>814</v>
      </c>
      <c r="EG156" s="113">
        <v>2121</v>
      </c>
      <c r="EH156" s="113">
        <v>2341</v>
      </c>
      <c r="EI156" s="113">
        <v>2033</v>
      </c>
      <c r="EJ156" s="113">
        <v>1950</v>
      </c>
      <c r="EK156" s="113">
        <v>5665</v>
      </c>
      <c r="EL156" s="113">
        <v>3440</v>
      </c>
      <c r="EM156" s="113">
        <v>2687</v>
      </c>
      <c r="EN156" s="113">
        <v>3296</v>
      </c>
    </row>
    <row r="157" spans="1:144">
      <c r="A157" s="103" t="s">
        <v>2388</v>
      </c>
      <c r="B157" s="113">
        <v>0</v>
      </c>
      <c r="C157" s="113">
        <v>0</v>
      </c>
      <c r="D157" s="113">
        <v>0</v>
      </c>
      <c r="E157" s="113">
        <v>0</v>
      </c>
      <c r="F157" s="113">
        <v>54</v>
      </c>
      <c r="G157" s="113">
        <v>560</v>
      </c>
      <c r="H157" s="113">
        <v>1418</v>
      </c>
      <c r="I157" s="113">
        <v>2888</v>
      </c>
      <c r="J157" s="113">
        <v>4239</v>
      </c>
      <c r="K157" s="113">
        <v>4816</v>
      </c>
      <c r="L157" s="113">
        <v>4395</v>
      </c>
      <c r="M157" s="113">
        <v>5920</v>
      </c>
      <c r="N157" s="113">
        <v>7225</v>
      </c>
      <c r="O157" s="113">
        <v>6514</v>
      </c>
      <c r="P157" s="113">
        <v>7502</v>
      </c>
      <c r="Q157" s="113">
        <v>9138</v>
      </c>
      <c r="R157" s="113">
        <v>10779</v>
      </c>
      <c r="S157" s="113">
        <v>13397</v>
      </c>
      <c r="T157" s="113">
        <v>13003</v>
      </c>
      <c r="U157" s="113">
        <v>13652</v>
      </c>
      <c r="V157" s="113">
        <v>15722</v>
      </c>
      <c r="W157" s="113">
        <v>18653</v>
      </c>
      <c r="X157" s="113">
        <v>20639</v>
      </c>
      <c r="Y157" s="113">
        <v>23150</v>
      </c>
      <c r="Z157" s="113">
        <v>23223</v>
      </c>
      <c r="AA157" s="113">
        <v>27468</v>
      </c>
      <c r="AB157" s="113">
        <v>24013</v>
      </c>
      <c r="AC157" s="113">
        <v>28905</v>
      </c>
      <c r="AD157" s="113">
        <v>32676</v>
      </c>
      <c r="AE157" s="113">
        <v>27012</v>
      </c>
      <c r="AG157" s="103" t="s">
        <v>2388</v>
      </c>
      <c r="AH157" s="113">
        <v>0</v>
      </c>
      <c r="AI157" s="113">
        <v>0</v>
      </c>
      <c r="AJ157" s="113">
        <v>0</v>
      </c>
      <c r="AK157" s="113">
        <v>0</v>
      </c>
      <c r="AL157" s="113">
        <v>0</v>
      </c>
      <c r="AM157" s="113">
        <v>0</v>
      </c>
      <c r="AN157" s="113">
        <v>0</v>
      </c>
      <c r="AO157" s="113">
        <v>0</v>
      </c>
      <c r="AP157" s="113">
        <v>0</v>
      </c>
      <c r="AQ157" s="113">
        <v>0</v>
      </c>
      <c r="AR157" s="113">
        <v>0</v>
      </c>
      <c r="AS157" s="113">
        <v>54</v>
      </c>
      <c r="AT157" s="113">
        <v>307</v>
      </c>
      <c r="AU157" s="113">
        <v>495</v>
      </c>
      <c r="AV157" s="113">
        <v>545</v>
      </c>
      <c r="AW157" s="113">
        <v>560</v>
      </c>
      <c r="AX157" s="113">
        <v>651</v>
      </c>
      <c r="AY157" s="113">
        <v>1013</v>
      </c>
      <c r="AZ157" s="113">
        <v>1285</v>
      </c>
      <c r="BA157" s="113">
        <v>1418</v>
      </c>
      <c r="BB157" s="113">
        <v>1671</v>
      </c>
      <c r="BC157" s="113">
        <v>2038</v>
      </c>
      <c r="BD157" s="113">
        <v>2463</v>
      </c>
      <c r="BE157" s="113">
        <v>2888</v>
      </c>
      <c r="BF157" s="113">
        <v>3133</v>
      </c>
      <c r="BG157" s="113">
        <v>3552</v>
      </c>
      <c r="BH157" s="113">
        <v>4195</v>
      </c>
      <c r="BI157" s="113">
        <v>4239</v>
      </c>
      <c r="BJ157" s="113">
        <v>4129</v>
      </c>
      <c r="BK157" s="113">
        <v>4259</v>
      </c>
      <c r="BL157" s="113">
        <v>4459</v>
      </c>
      <c r="BM157" s="113">
        <v>4816</v>
      </c>
      <c r="BN157" s="113">
        <v>4766</v>
      </c>
      <c r="BO157" s="113">
        <v>5124</v>
      </c>
      <c r="BP157" s="113">
        <v>5305</v>
      </c>
      <c r="BQ157" s="113">
        <v>4395</v>
      </c>
      <c r="BR157" s="113">
        <v>5849</v>
      </c>
      <c r="BS157" s="113">
        <v>5300</v>
      </c>
      <c r="BT157" s="113">
        <v>5568</v>
      </c>
      <c r="BU157" s="113">
        <v>5920</v>
      </c>
      <c r="BV157" s="113">
        <v>6841</v>
      </c>
      <c r="BW157" s="113">
        <v>6810</v>
      </c>
      <c r="BX157" s="113">
        <v>6798</v>
      </c>
      <c r="BY157" s="113">
        <v>7225</v>
      </c>
      <c r="BZ157" s="113">
        <v>6620</v>
      </c>
      <c r="CA157" s="113">
        <v>6229</v>
      </c>
      <c r="CB157" s="113">
        <v>5949</v>
      </c>
      <c r="CC157" s="113">
        <v>6514</v>
      </c>
      <c r="CD157" s="113">
        <v>6149</v>
      </c>
      <c r="CE157" s="113">
        <v>6267</v>
      </c>
      <c r="CF157" s="113">
        <v>6275</v>
      </c>
      <c r="CG157" s="113">
        <v>7502</v>
      </c>
      <c r="CH157" s="113">
        <v>7148</v>
      </c>
      <c r="CI157" s="113">
        <v>7118</v>
      </c>
      <c r="CJ157" s="113">
        <v>7215</v>
      </c>
      <c r="CK157" s="113">
        <v>9138</v>
      </c>
      <c r="CL157" s="113">
        <v>8310</v>
      </c>
      <c r="CM157" s="113">
        <v>10023</v>
      </c>
      <c r="CN157" s="113">
        <v>8551</v>
      </c>
      <c r="CO157" s="113">
        <v>10779</v>
      </c>
      <c r="CP157" s="113">
        <v>9787</v>
      </c>
      <c r="CQ157" s="113">
        <v>10221</v>
      </c>
      <c r="CR157" s="113">
        <v>10385</v>
      </c>
      <c r="CS157" s="113">
        <v>13397</v>
      </c>
      <c r="CT157" s="113">
        <v>11815</v>
      </c>
      <c r="CU157" s="113">
        <v>11532</v>
      </c>
      <c r="CV157" s="113">
        <v>10924</v>
      </c>
      <c r="CW157" s="113">
        <v>13003</v>
      </c>
      <c r="CX157" s="113">
        <v>13567</v>
      </c>
      <c r="CY157" s="113">
        <v>11361</v>
      </c>
      <c r="CZ157" s="113">
        <v>11171</v>
      </c>
      <c r="DA157" s="113">
        <v>13652</v>
      </c>
      <c r="DB157" s="113">
        <v>12767</v>
      </c>
      <c r="DC157" s="113">
        <v>12063</v>
      </c>
      <c r="DD157" s="113">
        <v>11887</v>
      </c>
      <c r="DE157" s="113">
        <v>15722</v>
      </c>
      <c r="DF157" s="113">
        <v>14345</v>
      </c>
      <c r="DG157" s="113">
        <v>13985</v>
      </c>
      <c r="DH157" s="113">
        <v>13929</v>
      </c>
      <c r="DI157" s="113">
        <v>18653</v>
      </c>
      <c r="DJ157" s="113">
        <v>18295</v>
      </c>
      <c r="DK157" s="113">
        <v>18354</v>
      </c>
      <c r="DL157" s="113">
        <v>16511</v>
      </c>
      <c r="DM157" s="113">
        <v>20639</v>
      </c>
      <c r="DN157" s="113">
        <v>18585</v>
      </c>
      <c r="DO157" s="113">
        <v>17616</v>
      </c>
      <c r="DP157" s="113">
        <v>17670</v>
      </c>
      <c r="DQ157" s="113">
        <v>23150</v>
      </c>
      <c r="DR157" s="113">
        <v>20713</v>
      </c>
      <c r="DS157" s="113">
        <v>19192</v>
      </c>
      <c r="DT157" s="113">
        <v>18232</v>
      </c>
      <c r="DU157" s="113">
        <v>23223</v>
      </c>
      <c r="DV157" s="113">
        <v>21603</v>
      </c>
      <c r="DW157" s="113">
        <v>20929</v>
      </c>
      <c r="DX157" s="113">
        <v>20876</v>
      </c>
      <c r="DY157" s="113">
        <v>27468</v>
      </c>
      <c r="DZ157" s="113">
        <v>26304</v>
      </c>
      <c r="EA157" s="113">
        <v>26085</v>
      </c>
      <c r="EB157" s="113">
        <v>26518</v>
      </c>
      <c r="EC157" s="113">
        <v>24013</v>
      </c>
      <c r="ED157" s="113">
        <v>22778</v>
      </c>
      <c r="EE157" s="113">
        <v>21309</v>
      </c>
      <c r="EF157" s="113">
        <v>21370</v>
      </c>
      <c r="EG157" s="113">
        <v>28905</v>
      </c>
      <c r="EH157" s="113">
        <v>26704</v>
      </c>
      <c r="EI157" s="113">
        <v>24285</v>
      </c>
      <c r="EJ157" s="113">
        <v>24251</v>
      </c>
      <c r="EK157" s="113">
        <v>32676</v>
      </c>
      <c r="EL157" s="113">
        <v>29904</v>
      </c>
      <c r="EM157" s="113">
        <v>27343</v>
      </c>
      <c r="EN157" s="113">
        <v>27012</v>
      </c>
    </row>
    <row r="158" spans="1:144">
      <c r="A158" s="103" t="s">
        <v>2389</v>
      </c>
      <c r="B158" s="113">
        <v>0</v>
      </c>
      <c r="C158" s="113">
        <v>0</v>
      </c>
      <c r="D158" s="113">
        <v>0</v>
      </c>
      <c r="E158" s="113">
        <v>0</v>
      </c>
      <c r="F158" s="113">
        <v>0</v>
      </c>
      <c r="G158" s="113">
        <v>0</v>
      </c>
      <c r="H158" s="113">
        <v>0</v>
      </c>
      <c r="I158" s="113">
        <v>0</v>
      </c>
      <c r="J158" s="113">
        <v>0</v>
      </c>
      <c r="K158" s="113">
        <v>0</v>
      </c>
      <c r="L158" s="113">
        <v>0</v>
      </c>
      <c r="M158" s="113">
        <v>0</v>
      </c>
      <c r="N158" s="113">
        <v>0</v>
      </c>
      <c r="O158" s="113">
        <v>0</v>
      </c>
      <c r="P158" s="113">
        <v>0</v>
      </c>
      <c r="Q158" s="113">
        <v>0</v>
      </c>
      <c r="R158" s="113">
        <v>0</v>
      </c>
      <c r="S158" s="113">
        <v>0</v>
      </c>
      <c r="T158" s="113">
        <v>0</v>
      </c>
      <c r="U158" s="113">
        <v>0</v>
      </c>
      <c r="V158" s="113">
        <v>0</v>
      </c>
      <c r="W158" s="113">
        <v>0</v>
      </c>
      <c r="X158" s="113">
        <v>0</v>
      </c>
      <c r="Y158" s="113">
        <v>125</v>
      </c>
      <c r="Z158" s="113">
        <v>0</v>
      </c>
      <c r="AA158" s="113">
        <v>0</v>
      </c>
      <c r="AB158" s="113">
        <v>0</v>
      </c>
      <c r="AC158" s="113">
        <v>0</v>
      </c>
      <c r="AD158" s="113">
        <v>0</v>
      </c>
      <c r="AE158" s="113">
        <v>0</v>
      </c>
      <c r="AG158" s="103" t="s">
        <v>2389</v>
      </c>
      <c r="AH158" s="113">
        <v>0</v>
      </c>
      <c r="AI158" s="113">
        <v>0</v>
      </c>
      <c r="AJ158" s="113">
        <v>0</v>
      </c>
      <c r="AK158" s="113">
        <v>0</v>
      </c>
      <c r="AL158" s="113">
        <v>0</v>
      </c>
      <c r="AM158" s="113">
        <v>0</v>
      </c>
      <c r="AN158" s="113">
        <v>0</v>
      </c>
      <c r="AO158" s="113">
        <v>0</v>
      </c>
      <c r="AP158" s="113">
        <v>0</v>
      </c>
      <c r="AQ158" s="113">
        <v>0</v>
      </c>
      <c r="AR158" s="113">
        <v>0</v>
      </c>
      <c r="AS158" s="113">
        <v>0</v>
      </c>
      <c r="AT158" s="113">
        <v>0</v>
      </c>
      <c r="AU158" s="113">
        <v>0</v>
      </c>
      <c r="AV158" s="113">
        <v>0</v>
      </c>
      <c r="AW158" s="113">
        <v>0</v>
      </c>
      <c r="AX158" s="113">
        <v>0</v>
      </c>
      <c r="AY158" s="113">
        <v>0</v>
      </c>
      <c r="AZ158" s="113">
        <v>0</v>
      </c>
      <c r="BA158" s="113">
        <v>0</v>
      </c>
      <c r="BB158" s="113">
        <v>0</v>
      </c>
      <c r="BC158" s="113">
        <v>0</v>
      </c>
      <c r="BD158" s="113">
        <v>0</v>
      </c>
      <c r="BE158" s="113">
        <v>0</v>
      </c>
      <c r="BF158" s="113">
        <v>0</v>
      </c>
      <c r="BG158" s="113">
        <v>0</v>
      </c>
      <c r="BH158" s="113">
        <v>0</v>
      </c>
      <c r="BI158" s="113">
        <v>0</v>
      </c>
      <c r="BJ158" s="113">
        <v>0</v>
      </c>
      <c r="BK158" s="113">
        <v>0</v>
      </c>
      <c r="BL158" s="113">
        <v>0</v>
      </c>
      <c r="BM158" s="113">
        <v>0</v>
      </c>
      <c r="BN158" s="113">
        <v>0</v>
      </c>
      <c r="BO158" s="113">
        <v>0</v>
      </c>
      <c r="BP158" s="113">
        <v>0</v>
      </c>
      <c r="BQ158" s="113">
        <v>0</v>
      </c>
      <c r="BR158" s="113">
        <v>0</v>
      </c>
      <c r="BS158" s="113">
        <v>0</v>
      </c>
      <c r="BT158" s="113">
        <v>0</v>
      </c>
      <c r="BU158" s="113">
        <v>0</v>
      </c>
      <c r="BV158" s="113">
        <v>0</v>
      </c>
      <c r="BW158" s="113">
        <v>0</v>
      </c>
      <c r="BX158" s="113">
        <v>0</v>
      </c>
      <c r="BY158" s="113">
        <v>0</v>
      </c>
      <c r="BZ158" s="113">
        <v>0</v>
      </c>
      <c r="CA158" s="113">
        <v>0</v>
      </c>
      <c r="CB158" s="113">
        <v>0</v>
      </c>
      <c r="CC158" s="113">
        <v>0</v>
      </c>
      <c r="CD158" s="113">
        <v>0</v>
      </c>
      <c r="CE158" s="113">
        <v>0</v>
      </c>
      <c r="CF158" s="113">
        <v>0</v>
      </c>
      <c r="CG158" s="113">
        <v>0</v>
      </c>
      <c r="CH158" s="113">
        <v>0</v>
      </c>
      <c r="CI158" s="113">
        <v>0</v>
      </c>
      <c r="CJ158" s="113">
        <v>0</v>
      </c>
      <c r="CK158" s="113">
        <v>0</v>
      </c>
      <c r="CL158" s="113">
        <v>0</v>
      </c>
      <c r="CM158" s="113">
        <v>0</v>
      </c>
      <c r="CN158" s="113">
        <v>0</v>
      </c>
      <c r="CO158" s="113">
        <v>0</v>
      </c>
      <c r="CP158" s="113">
        <v>0</v>
      </c>
      <c r="CQ158" s="113">
        <v>0</v>
      </c>
      <c r="CR158" s="113">
        <v>0</v>
      </c>
      <c r="CS158" s="113">
        <v>0</v>
      </c>
      <c r="CT158" s="113">
        <v>0</v>
      </c>
      <c r="CU158" s="113">
        <v>0</v>
      </c>
      <c r="CV158" s="113">
        <v>0</v>
      </c>
      <c r="CW158" s="113">
        <v>0</v>
      </c>
      <c r="CX158" s="113">
        <v>0</v>
      </c>
      <c r="CY158" s="113">
        <v>0</v>
      </c>
      <c r="CZ158" s="113">
        <v>0</v>
      </c>
      <c r="DA158" s="113">
        <v>0</v>
      </c>
      <c r="DB158" s="113">
        <v>0</v>
      </c>
      <c r="DC158" s="113">
        <v>0</v>
      </c>
      <c r="DD158" s="113">
        <v>0</v>
      </c>
      <c r="DE158" s="113">
        <v>0</v>
      </c>
      <c r="DF158" s="113">
        <v>0</v>
      </c>
      <c r="DG158" s="113">
        <v>0</v>
      </c>
      <c r="DH158" s="113">
        <v>0</v>
      </c>
      <c r="DI158" s="113">
        <v>0</v>
      </c>
      <c r="DJ158" s="113">
        <v>0</v>
      </c>
      <c r="DK158" s="113">
        <v>0</v>
      </c>
      <c r="DL158" s="113">
        <v>0</v>
      </c>
      <c r="DM158" s="113">
        <v>0</v>
      </c>
      <c r="DN158" s="113">
        <v>0</v>
      </c>
      <c r="DO158" s="113">
        <v>0</v>
      </c>
      <c r="DP158" s="113">
        <v>0</v>
      </c>
      <c r="DQ158" s="113">
        <v>125</v>
      </c>
      <c r="DR158" s="113">
        <v>0</v>
      </c>
      <c r="DS158" s="113">
        <v>0</v>
      </c>
      <c r="DT158" s="113">
        <v>0</v>
      </c>
      <c r="DU158" s="113">
        <v>0</v>
      </c>
      <c r="DV158" s="113">
        <v>0</v>
      </c>
      <c r="DW158" s="113">
        <v>0</v>
      </c>
      <c r="DX158" s="113">
        <v>0</v>
      </c>
      <c r="DY158" s="113">
        <v>0</v>
      </c>
      <c r="DZ158" s="113">
        <v>0</v>
      </c>
      <c r="EA158" s="113">
        <v>0</v>
      </c>
      <c r="EB158" s="113">
        <v>0</v>
      </c>
      <c r="EC158" s="113">
        <v>0</v>
      </c>
      <c r="ED158" s="113">
        <v>0</v>
      </c>
      <c r="EE158" s="113">
        <v>0</v>
      </c>
      <c r="EF158" s="113">
        <v>0</v>
      </c>
      <c r="EG158" s="113">
        <v>0</v>
      </c>
      <c r="EH158" s="113">
        <v>0</v>
      </c>
      <c r="EI158" s="113">
        <v>0</v>
      </c>
      <c r="EJ158" s="113">
        <v>0</v>
      </c>
      <c r="EK158" s="113">
        <v>0</v>
      </c>
      <c r="EL158" s="113">
        <v>0</v>
      </c>
      <c r="EM158" s="113">
        <v>0</v>
      </c>
      <c r="EN158" s="113">
        <v>0</v>
      </c>
    </row>
    <row r="159" spans="1:144">
      <c r="A159" s="103" t="s">
        <v>2390</v>
      </c>
      <c r="B159" s="113">
        <v>101.886</v>
      </c>
      <c r="C159" s="113">
        <v>116</v>
      </c>
      <c r="D159" s="113">
        <v>111</v>
      </c>
      <c r="E159" s="113">
        <v>188</v>
      </c>
      <c r="F159" s="113">
        <v>190</v>
      </c>
      <c r="G159" s="113">
        <v>371</v>
      </c>
      <c r="H159" s="113">
        <v>669</v>
      </c>
      <c r="I159" s="113">
        <v>809</v>
      </c>
      <c r="J159" s="113">
        <v>1602</v>
      </c>
      <c r="K159" s="113">
        <v>2714</v>
      </c>
      <c r="L159" s="113">
        <v>1461</v>
      </c>
      <c r="M159" s="113">
        <v>2449</v>
      </c>
      <c r="N159" s="113">
        <v>1716</v>
      </c>
      <c r="O159" s="113">
        <v>1921</v>
      </c>
      <c r="P159" s="113">
        <v>3607</v>
      </c>
      <c r="Q159" s="113">
        <v>6900</v>
      </c>
      <c r="R159" s="113">
        <v>3622</v>
      </c>
      <c r="S159" s="113">
        <v>3659</v>
      </c>
      <c r="T159" s="113">
        <v>3122</v>
      </c>
      <c r="U159" s="113">
        <v>2898</v>
      </c>
      <c r="V159" s="113">
        <v>3483</v>
      </c>
      <c r="W159" s="113">
        <v>3134</v>
      </c>
      <c r="X159" s="113">
        <v>3552</v>
      </c>
      <c r="Y159" s="113">
        <v>6781</v>
      </c>
      <c r="Z159" s="113">
        <v>6555</v>
      </c>
      <c r="AA159" s="113">
        <v>5924</v>
      </c>
      <c r="AB159" s="113">
        <v>6148</v>
      </c>
      <c r="AC159" s="113">
        <v>7169</v>
      </c>
      <c r="AD159" s="113">
        <v>7519</v>
      </c>
      <c r="AE159" s="113">
        <v>7124</v>
      </c>
      <c r="AG159" s="103" t="s">
        <v>2390</v>
      </c>
      <c r="AH159" s="113">
        <v>0</v>
      </c>
      <c r="AI159" s="113">
        <v>0</v>
      </c>
      <c r="AJ159" s="113">
        <v>0</v>
      </c>
      <c r="AK159" s="113">
        <v>111</v>
      </c>
      <c r="AL159" s="113">
        <v>0</v>
      </c>
      <c r="AM159" s="113">
        <v>188</v>
      </c>
      <c r="AN159" s="113">
        <v>328</v>
      </c>
      <c r="AO159" s="113">
        <v>188</v>
      </c>
      <c r="AP159" s="113">
        <v>200</v>
      </c>
      <c r="AQ159" s="113">
        <v>191</v>
      </c>
      <c r="AR159" s="113">
        <v>187</v>
      </c>
      <c r="AS159" s="113">
        <v>190</v>
      </c>
      <c r="AT159" s="113">
        <v>206</v>
      </c>
      <c r="AU159" s="113">
        <v>267</v>
      </c>
      <c r="AV159" s="113">
        <v>309</v>
      </c>
      <c r="AW159" s="113">
        <v>371</v>
      </c>
      <c r="AX159" s="113">
        <v>415</v>
      </c>
      <c r="AY159" s="113">
        <v>514</v>
      </c>
      <c r="AZ159" s="113">
        <v>658</v>
      </c>
      <c r="BA159" s="113">
        <v>669</v>
      </c>
      <c r="BB159" s="113">
        <v>723</v>
      </c>
      <c r="BC159" s="113">
        <v>712</v>
      </c>
      <c r="BD159" s="113">
        <v>746</v>
      </c>
      <c r="BE159" s="113">
        <v>809</v>
      </c>
      <c r="BF159" s="113">
        <v>916</v>
      </c>
      <c r="BG159" s="113">
        <v>896</v>
      </c>
      <c r="BH159" s="113">
        <v>992</v>
      </c>
      <c r="BI159" s="113">
        <v>1602</v>
      </c>
      <c r="BJ159" s="113">
        <v>1757</v>
      </c>
      <c r="BK159" s="113">
        <v>2376</v>
      </c>
      <c r="BL159" s="113">
        <v>3267</v>
      </c>
      <c r="BM159" s="113">
        <v>2714</v>
      </c>
      <c r="BN159" s="113">
        <v>2577</v>
      </c>
      <c r="BO159" s="113">
        <v>2019</v>
      </c>
      <c r="BP159" s="113">
        <v>1935</v>
      </c>
      <c r="BQ159" s="113">
        <v>1461</v>
      </c>
      <c r="BR159" s="113">
        <v>3153</v>
      </c>
      <c r="BS159" s="113">
        <v>1743</v>
      </c>
      <c r="BT159" s="113">
        <v>1839</v>
      </c>
      <c r="BU159" s="113">
        <v>2449</v>
      </c>
      <c r="BV159" s="113">
        <v>1569</v>
      </c>
      <c r="BW159" s="113">
        <v>1451</v>
      </c>
      <c r="BX159" s="113">
        <v>1378</v>
      </c>
      <c r="BY159" s="113">
        <v>1716</v>
      </c>
      <c r="BZ159" s="113">
        <v>3668</v>
      </c>
      <c r="CA159" s="113">
        <v>1695</v>
      </c>
      <c r="CB159" s="113">
        <v>4224</v>
      </c>
      <c r="CC159" s="113">
        <v>1921</v>
      </c>
      <c r="CD159" s="113">
        <v>3849</v>
      </c>
      <c r="CE159" s="113">
        <v>2601</v>
      </c>
      <c r="CF159" s="113">
        <v>3460</v>
      </c>
      <c r="CG159" s="113">
        <v>3607</v>
      </c>
      <c r="CH159" s="113">
        <v>3703</v>
      </c>
      <c r="CI159" s="113">
        <v>3116</v>
      </c>
      <c r="CJ159" s="113">
        <v>4477</v>
      </c>
      <c r="CK159" s="113">
        <v>6900</v>
      </c>
      <c r="CL159" s="113">
        <v>7861</v>
      </c>
      <c r="CM159" s="113">
        <v>6352</v>
      </c>
      <c r="CN159" s="113">
        <v>6425</v>
      </c>
      <c r="CO159" s="113">
        <v>3622</v>
      </c>
      <c r="CP159" s="113">
        <v>6545</v>
      </c>
      <c r="CQ159" s="113">
        <v>5385</v>
      </c>
      <c r="CR159" s="113">
        <v>6851</v>
      </c>
      <c r="CS159" s="113">
        <v>3659</v>
      </c>
      <c r="CT159" s="113">
        <v>3520</v>
      </c>
      <c r="CU159" s="113">
        <v>3558</v>
      </c>
      <c r="CV159" s="113">
        <v>2933</v>
      </c>
      <c r="CW159" s="113">
        <v>3122</v>
      </c>
      <c r="CX159" s="113">
        <v>3052</v>
      </c>
      <c r="CY159" s="113">
        <v>2879</v>
      </c>
      <c r="CZ159" s="113">
        <v>3139</v>
      </c>
      <c r="DA159" s="113">
        <v>2898</v>
      </c>
      <c r="DB159" s="113">
        <v>3139</v>
      </c>
      <c r="DC159" s="113">
        <v>3184</v>
      </c>
      <c r="DD159" s="113">
        <v>3320</v>
      </c>
      <c r="DE159" s="113">
        <v>3483</v>
      </c>
      <c r="DF159" s="113">
        <v>3216</v>
      </c>
      <c r="DG159" s="113">
        <v>3035</v>
      </c>
      <c r="DH159" s="113">
        <v>3011</v>
      </c>
      <c r="DI159" s="113">
        <v>3134</v>
      </c>
      <c r="DJ159" s="113">
        <v>3303</v>
      </c>
      <c r="DK159" s="113">
        <v>3357</v>
      </c>
      <c r="DL159" s="113">
        <v>3907</v>
      </c>
      <c r="DM159" s="113">
        <v>3552</v>
      </c>
      <c r="DN159" s="113">
        <v>3614</v>
      </c>
      <c r="DO159" s="113">
        <v>3920</v>
      </c>
      <c r="DP159" s="113">
        <v>4275</v>
      </c>
      <c r="DQ159" s="113">
        <v>6781</v>
      </c>
      <c r="DR159" s="113">
        <v>7130</v>
      </c>
      <c r="DS159" s="113">
        <v>6623</v>
      </c>
      <c r="DT159" s="113">
        <v>6846</v>
      </c>
      <c r="DU159" s="113">
        <v>6555</v>
      </c>
      <c r="DV159" s="113">
        <v>6207</v>
      </c>
      <c r="DW159" s="113">
        <v>6447</v>
      </c>
      <c r="DX159" s="113">
        <v>5887</v>
      </c>
      <c r="DY159" s="113">
        <v>5924</v>
      </c>
      <c r="DZ159" s="113">
        <v>7091</v>
      </c>
      <c r="EA159" s="113">
        <v>6632</v>
      </c>
      <c r="EB159" s="113">
        <v>5939</v>
      </c>
      <c r="EC159" s="113">
        <v>6148</v>
      </c>
      <c r="ED159" s="113">
        <v>6122</v>
      </c>
      <c r="EE159" s="113">
        <v>6288</v>
      </c>
      <c r="EF159" s="113">
        <v>5937</v>
      </c>
      <c r="EG159" s="113">
        <v>7169</v>
      </c>
      <c r="EH159" s="113">
        <v>6378</v>
      </c>
      <c r="EI159" s="113">
        <v>6631</v>
      </c>
      <c r="EJ159" s="113">
        <v>6094</v>
      </c>
      <c r="EK159" s="113">
        <v>7519</v>
      </c>
      <c r="EL159" s="113">
        <v>6552</v>
      </c>
      <c r="EM159" s="113">
        <v>7051</v>
      </c>
      <c r="EN159" s="113">
        <v>7124</v>
      </c>
    </row>
    <row r="160" spans="1:144" ht="10.5">
      <c r="A160" s="112" t="s">
        <v>2391</v>
      </c>
      <c r="B160" s="114">
        <v>293.35300000000001</v>
      </c>
      <c r="C160" s="114">
        <v>447</v>
      </c>
      <c r="D160" s="114">
        <v>563</v>
      </c>
      <c r="E160" s="114">
        <v>913</v>
      </c>
      <c r="F160" s="114">
        <v>1347</v>
      </c>
      <c r="G160" s="114">
        <v>2425</v>
      </c>
      <c r="H160" s="114">
        <v>3610</v>
      </c>
      <c r="I160" s="114">
        <v>5730</v>
      </c>
      <c r="J160" s="114">
        <v>8802</v>
      </c>
      <c r="K160" s="114">
        <v>9755</v>
      </c>
      <c r="L160" s="114">
        <v>9254</v>
      </c>
      <c r="M160" s="114">
        <v>12744</v>
      </c>
      <c r="N160" s="114">
        <v>13974</v>
      </c>
      <c r="O160" s="114">
        <v>14969</v>
      </c>
      <c r="P160" s="114">
        <v>16877</v>
      </c>
      <c r="Q160" s="114">
        <v>22442</v>
      </c>
      <c r="R160" s="114">
        <v>23754</v>
      </c>
      <c r="S160" s="114">
        <v>29886</v>
      </c>
      <c r="T160" s="114">
        <v>27034</v>
      </c>
      <c r="U160" s="114">
        <v>26147</v>
      </c>
      <c r="V160" s="114">
        <v>28774</v>
      </c>
      <c r="W160" s="114">
        <v>32688</v>
      </c>
      <c r="X160" s="114">
        <v>37417</v>
      </c>
      <c r="Y160" s="114">
        <v>45625</v>
      </c>
      <c r="Z160" s="114">
        <v>49647</v>
      </c>
      <c r="AA160" s="114">
        <v>59357</v>
      </c>
      <c r="AB160" s="114">
        <v>55745</v>
      </c>
      <c r="AC160" s="114">
        <v>58488</v>
      </c>
      <c r="AD160" s="114">
        <v>69420</v>
      </c>
      <c r="AE160" s="114">
        <v>58707</v>
      </c>
      <c r="AG160" s="112" t="s">
        <v>2391</v>
      </c>
      <c r="AH160" s="114">
        <v>0</v>
      </c>
      <c r="AI160" s="114">
        <v>0</v>
      </c>
      <c r="AJ160" s="114">
        <v>0</v>
      </c>
      <c r="AK160" s="114">
        <v>563</v>
      </c>
      <c r="AL160" s="114">
        <v>0</v>
      </c>
      <c r="AM160" s="114">
        <v>740</v>
      </c>
      <c r="AN160" s="114">
        <v>914</v>
      </c>
      <c r="AO160" s="114">
        <v>913</v>
      </c>
      <c r="AP160" s="114">
        <v>1004</v>
      </c>
      <c r="AQ160" s="114">
        <v>1096</v>
      </c>
      <c r="AR160" s="114">
        <v>1185</v>
      </c>
      <c r="AS160" s="114">
        <v>1347</v>
      </c>
      <c r="AT160" s="114">
        <v>1759</v>
      </c>
      <c r="AU160" s="114">
        <v>2241</v>
      </c>
      <c r="AV160" s="114">
        <v>2264</v>
      </c>
      <c r="AW160" s="114">
        <v>2425</v>
      </c>
      <c r="AX160" s="114">
        <v>2663</v>
      </c>
      <c r="AY160" s="114">
        <v>3144</v>
      </c>
      <c r="AZ160" s="114">
        <v>3479</v>
      </c>
      <c r="BA160" s="114">
        <v>3610</v>
      </c>
      <c r="BB160" s="114">
        <v>3902</v>
      </c>
      <c r="BC160" s="114">
        <v>4496</v>
      </c>
      <c r="BD160" s="114">
        <v>4869</v>
      </c>
      <c r="BE160" s="114">
        <v>5730</v>
      </c>
      <c r="BF160" s="114">
        <v>6445</v>
      </c>
      <c r="BG160" s="114">
        <v>7471</v>
      </c>
      <c r="BH160" s="114">
        <v>7839</v>
      </c>
      <c r="BI160" s="114">
        <v>8802</v>
      </c>
      <c r="BJ160" s="114">
        <v>8332</v>
      </c>
      <c r="BK160" s="114">
        <v>10504</v>
      </c>
      <c r="BL160" s="114">
        <v>11103</v>
      </c>
      <c r="BM160" s="114">
        <v>9755</v>
      </c>
      <c r="BN160" s="114">
        <v>9306</v>
      </c>
      <c r="BO160" s="114">
        <v>9625</v>
      </c>
      <c r="BP160" s="114">
        <v>9740</v>
      </c>
      <c r="BQ160" s="114">
        <v>9254</v>
      </c>
      <c r="BR160" s="114">
        <v>12862</v>
      </c>
      <c r="BS160" s="114">
        <v>11567</v>
      </c>
      <c r="BT160" s="114">
        <v>11842</v>
      </c>
      <c r="BU160" s="114">
        <v>12744</v>
      </c>
      <c r="BV160" s="114">
        <v>13757</v>
      </c>
      <c r="BW160" s="114">
        <v>13617</v>
      </c>
      <c r="BX160" s="114">
        <v>13161</v>
      </c>
      <c r="BY160" s="114">
        <v>13974</v>
      </c>
      <c r="BZ160" s="114">
        <v>15098</v>
      </c>
      <c r="CA160" s="114">
        <v>13927</v>
      </c>
      <c r="CB160" s="114">
        <v>15984</v>
      </c>
      <c r="CC160" s="114">
        <v>14969</v>
      </c>
      <c r="CD160" s="114">
        <v>15811</v>
      </c>
      <c r="CE160" s="114">
        <v>15045</v>
      </c>
      <c r="CF160" s="114">
        <v>16139</v>
      </c>
      <c r="CG160" s="114">
        <v>16877</v>
      </c>
      <c r="CH160" s="114">
        <v>17022</v>
      </c>
      <c r="CI160" s="114">
        <v>16747</v>
      </c>
      <c r="CJ160" s="114">
        <v>18367</v>
      </c>
      <c r="CK160" s="114">
        <v>22442</v>
      </c>
      <c r="CL160" s="114">
        <v>21972</v>
      </c>
      <c r="CM160" s="114">
        <v>22215</v>
      </c>
      <c r="CN160" s="114">
        <v>21627</v>
      </c>
      <c r="CO160" s="114">
        <v>23754</v>
      </c>
      <c r="CP160" s="114">
        <v>22744</v>
      </c>
      <c r="CQ160" s="114">
        <v>22058</v>
      </c>
      <c r="CR160" s="114">
        <v>27028</v>
      </c>
      <c r="CS160" s="114">
        <v>29886</v>
      </c>
      <c r="CT160" s="114">
        <v>24383</v>
      </c>
      <c r="CU160" s="114">
        <v>23710</v>
      </c>
      <c r="CV160" s="114">
        <v>23823</v>
      </c>
      <c r="CW160" s="114">
        <v>27034</v>
      </c>
      <c r="CX160" s="114">
        <v>28761</v>
      </c>
      <c r="CY160" s="114">
        <v>25715</v>
      </c>
      <c r="CZ160" s="114">
        <v>26424</v>
      </c>
      <c r="DA160" s="114">
        <v>26147</v>
      </c>
      <c r="DB160" s="114">
        <v>25857</v>
      </c>
      <c r="DC160" s="114">
        <v>24312</v>
      </c>
      <c r="DD160" s="114">
        <v>24042</v>
      </c>
      <c r="DE160" s="114">
        <v>28774</v>
      </c>
      <c r="DF160" s="114">
        <v>25543</v>
      </c>
      <c r="DG160" s="114">
        <v>25373</v>
      </c>
      <c r="DH160" s="114">
        <v>26170</v>
      </c>
      <c r="DI160" s="114">
        <v>32688</v>
      </c>
      <c r="DJ160" s="114">
        <v>31402</v>
      </c>
      <c r="DK160" s="114">
        <v>31910</v>
      </c>
      <c r="DL160" s="114">
        <v>31929</v>
      </c>
      <c r="DM160" s="114">
        <v>37417</v>
      </c>
      <c r="DN160" s="114">
        <v>34623</v>
      </c>
      <c r="DO160" s="114">
        <v>33742</v>
      </c>
      <c r="DP160" s="114">
        <v>33903</v>
      </c>
      <c r="DQ160" s="114">
        <v>45625</v>
      </c>
      <c r="DR160" s="114">
        <v>44694</v>
      </c>
      <c r="DS160" s="114">
        <v>47415</v>
      </c>
      <c r="DT160" s="114">
        <v>40748</v>
      </c>
      <c r="DU160" s="114">
        <v>49647</v>
      </c>
      <c r="DV160" s="114">
        <v>49399</v>
      </c>
      <c r="DW160" s="114">
        <v>42643</v>
      </c>
      <c r="DX160" s="114">
        <v>44354</v>
      </c>
      <c r="DY160" s="114">
        <v>59357</v>
      </c>
      <c r="DZ160" s="114">
        <v>58810</v>
      </c>
      <c r="EA160" s="114">
        <v>70787</v>
      </c>
      <c r="EB160" s="114">
        <v>52005</v>
      </c>
      <c r="EC160" s="114">
        <v>55745</v>
      </c>
      <c r="ED160" s="114">
        <v>51615</v>
      </c>
      <c r="EE160" s="114">
        <v>58099</v>
      </c>
      <c r="EF160" s="114">
        <v>46133</v>
      </c>
      <c r="EG160" s="114">
        <v>58488</v>
      </c>
      <c r="EH160" s="114">
        <v>56277</v>
      </c>
      <c r="EI160" s="114">
        <v>50318</v>
      </c>
      <c r="EJ160" s="114">
        <v>53861</v>
      </c>
      <c r="EK160" s="114">
        <v>69420</v>
      </c>
      <c r="EL160" s="114">
        <v>58118</v>
      </c>
      <c r="EM160" s="114">
        <v>59640</v>
      </c>
      <c r="EN160" s="114">
        <v>58707</v>
      </c>
    </row>
    <row r="161" spans="1:144">
      <c r="A161" s="103"/>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G161" s="103"/>
      <c r="AH161" s="103"/>
      <c r="AI161" s="103"/>
      <c r="AJ161" s="103"/>
      <c r="AK161" s="103"/>
      <c r="AL161" s="103"/>
      <c r="AM161" s="103"/>
      <c r="AN161" s="103"/>
      <c r="AO161" s="103"/>
      <c r="AP161" s="103"/>
      <c r="AQ161" s="103"/>
      <c r="AR161" s="103"/>
      <c r="AS161" s="103"/>
      <c r="AT161" s="103"/>
      <c r="AU161" s="103"/>
      <c r="AV161" s="103"/>
      <c r="AW161" s="103"/>
      <c r="AX161" s="103"/>
      <c r="AY161" s="103"/>
      <c r="AZ161" s="103"/>
      <c r="BA161" s="103"/>
      <c r="BB161" s="103"/>
      <c r="BC161" s="103"/>
      <c r="BD161" s="103"/>
      <c r="BE161" s="103"/>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c r="CD161" s="103"/>
      <c r="CE161" s="103"/>
      <c r="CF161" s="103"/>
      <c r="CG161" s="103"/>
      <c r="CH161" s="103"/>
      <c r="CI161" s="103"/>
      <c r="CJ161" s="103"/>
      <c r="CK161" s="103"/>
      <c r="CL161" s="103"/>
      <c r="CM161" s="103"/>
      <c r="CN161" s="103"/>
      <c r="CO161" s="103"/>
      <c r="CP161" s="103"/>
      <c r="CQ161" s="103"/>
      <c r="CR161" s="103"/>
      <c r="CS161" s="103"/>
      <c r="CT161" s="103"/>
      <c r="CU161" s="103"/>
      <c r="CV161" s="103"/>
      <c r="CW161" s="103"/>
      <c r="CX161" s="103"/>
      <c r="CY161" s="103"/>
      <c r="CZ161" s="103"/>
      <c r="DA161" s="103"/>
      <c r="DB161" s="103"/>
      <c r="DC161" s="103"/>
      <c r="DD161" s="103"/>
      <c r="DE161" s="103"/>
      <c r="DF161" s="103"/>
      <c r="DG161" s="103"/>
      <c r="DH161" s="103"/>
      <c r="DI161" s="103"/>
      <c r="DJ161" s="103"/>
      <c r="DK161" s="103"/>
      <c r="DL161" s="103"/>
      <c r="DM161" s="103"/>
      <c r="DN161" s="103"/>
      <c r="DO161" s="103"/>
      <c r="DP161" s="103"/>
      <c r="DQ161" s="103"/>
      <c r="DR161" s="103"/>
      <c r="DS161" s="103"/>
      <c r="DT161" s="103"/>
      <c r="DU161" s="103"/>
      <c r="DV161" s="103"/>
      <c r="DW161" s="103"/>
      <c r="DX161" s="103"/>
      <c r="DY161" s="103"/>
      <c r="DZ161" s="103"/>
      <c r="EA161" s="103"/>
      <c r="EB161" s="103"/>
      <c r="EC161" s="103"/>
      <c r="ED161" s="103"/>
      <c r="EE161" s="103"/>
      <c r="EF161" s="103"/>
      <c r="EG161" s="103"/>
      <c r="EH161" s="103"/>
      <c r="EI161" s="103"/>
      <c r="EJ161" s="103"/>
      <c r="EK161" s="103"/>
      <c r="EL161" s="103"/>
      <c r="EM161" s="103"/>
      <c r="EN161" s="103"/>
    </row>
    <row r="162" spans="1:144">
      <c r="A162" s="103" t="s">
        <v>2392</v>
      </c>
      <c r="B162" s="113">
        <v>0</v>
      </c>
      <c r="C162" s="113">
        <v>0</v>
      </c>
      <c r="D162" s="113">
        <v>0</v>
      </c>
      <c r="E162" s="113">
        <v>0</v>
      </c>
      <c r="F162" s="113">
        <v>0</v>
      </c>
      <c r="G162" s="113">
        <v>0</v>
      </c>
      <c r="H162" s="113">
        <v>0</v>
      </c>
      <c r="I162" s="113">
        <v>0</v>
      </c>
      <c r="J162" s="113">
        <v>0</v>
      </c>
      <c r="K162" s="113">
        <v>0</v>
      </c>
      <c r="L162" s="113">
        <v>0</v>
      </c>
      <c r="M162" s="113">
        <v>0</v>
      </c>
      <c r="N162" s="113">
        <v>0</v>
      </c>
      <c r="O162" s="113">
        <v>0</v>
      </c>
      <c r="P162" s="113">
        <v>0</v>
      </c>
      <c r="Q162" s="113">
        <v>0</v>
      </c>
      <c r="R162" s="113">
        <v>0</v>
      </c>
      <c r="S162" s="113">
        <v>0</v>
      </c>
      <c r="T162" s="113">
        <v>3746</v>
      </c>
      <c r="U162" s="113">
        <v>4939</v>
      </c>
      <c r="V162" s="113">
        <v>11921</v>
      </c>
      <c r="W162" s="113">
        <v>10713</v>
      </c>
      <c r="X162" s="113">
        <v>12601</v>
      </c>
      <c r="Y162" s="113">
        <v>20645</v>
      </c>
      <c r="Z162" s="113">
        <v>27808</v>
      </c>
      <c r="AA162" s="113">
        <v>40557</v>
      </c>
      <c r="AB162" s="113">
        <v>76073</v>
      </c>
      <c r="AC162" s="113">
        <v>72242</v>
      </c>
      <c r="AD162" s="113">
        <v>66662</v>
      </c>
      <c r="AE162" s="113">
        <v>62862</v>
      </c>
      <c r="AG162" s="103" t="s">
        <v>2392</v>
      </c>
      <c r="AH162" s="113">
        <v>0</v>
      </c>
      <c r="AI162" s="113">
        <v>0</v>
      </c>
      <c r="AJ162" s="113">
        <v>0</v>
      </c>
      <c r="AK162" s="113">
        <v>0</v>
      </c>
      <c r="AL162" s="113">
        <v>0</v>
      </c>
      <c r="AM162" s="113">
        <v>0</v>
      </c>
      <c r="AN162" s="113">
        <v>0</v>
      </c>
      <c r="AO162" s="113">
        <v>0</v>
      </c>
      <c r="AP162" s="113">
        <v>0</v>
      </c>
      <c r="AQ162" s="113">
        <v>0</v>
      </c>
      <c r="AR162" s="113">
        <v>0</v>
      </c>
      <c r="AS162" s="113">
        <v>0</v>
      </c>
      <c r="AT162" s="113">
        <v>0</v>
      </c>
      <c r="AU162" s="113">
        <v>0</v>
      </c>
      <c r="AV162" s="113">
        <v>0</v>
      </c>
      <c r="AW162" s="113">
        <v>0</v>
      </c>
      <c r="AX162" s="113">
        <v>0</v>
      </c>
      <c r="AY162" s="113">
        <v>0</v>
      </c>
      <c r="AZ162" s="113">
        <v>0</v>
      </c>
      <c r="BA162" s="113">
        <v>0</v>
      </c>
      <c r="BB162" s="113">
        <v>0</v>
      </c>
      <c r="BC162" s="113">
        <v>0</v>
      </c>
      <c r="BD162" s="113">
        <v>0</v>
      </c>
      <c r="BE162" s="113">
        <v>0</v>
      </c>
      <c r="BF162" s="113">
        <v>0</v>
      </c>
      <c r="BG162" s="113">
        <v>0</v>
      </c>
      <c r="BH162" s="113">
        <v>0</v>
      </c>
      <c r="BI162" s="113">
        <v>0</v>
      </c>
      <c r="BJ162" s="113">
        <v>0</v>
      </c>
      <c r="BK162" s="113">
        <v>0</v>
      </c>
      <c r="BL162" s="113">
        <v>0</v>
      </c>
      <c r="BM162" s="113">
        <v>0</v>
      </c>
      <c r="BN162" s="113">
        <v>0</v>
      </c>
      <c r="BO162" s="113">
        <v>0</v>
      </c>
      <c r="BP162" s="113">
        <v>0</v>
      </c>
      <c r="BQ162" s="113">
        <v>0</v>
      </c>
      <c r="BR162" s="113">
        <v>0</v>
      </c>
      <c r="BS162" s="113">
        <v>0</v>
      </c>
      <c r="BT162" s="113">
        <v>0</v>
      </c>
      <c r="BU162" s="113">
        <v>0</v>
      </c>
      <c r="BV162" s="113">
        <v>0</v>
      </c>
      <c r="BW162" s="113">
        <v>0</v>
      </c>
      <c r="BX162" s="113">
        <v>0</v>
      </c>
      <c r="BY162" s="113">
        <v>0</v>
      </c>
      <c r="BZ162" s="113">
        <v>0</v>
      </c>
      <c r="CA162" s="113">
        <v>0</v>
      </c>
      <c r="CB162" s="113">
        <v>0</v>
      </c>
      <c r="CC162" s="113">
        <v>0</v>
      </c>
      <c r="CD162" s="113">
        <v>0</v>
      </c>
      <c r="CE162" s="113">
        <v>0</v>
      </c>
      <c r="CF162" s="113">
        <v>0</v>
      </c>
      <c r="CG162" s="113">
        <v>0</v>
      </c>
      <c r="CH162" s="113">
        <v>0</v>
      </c>
      <c r="CI162" s="113">
        <v>0</v>
      </c>
      <c r="CJ162" s="113">
        <v>0</v>
      </c>
      <c r="CK162" s="113">
        <v>0</v>
      </c>
      <c r="CL162" s="113">
        <v>0</v>
      </c>
      <c r="CM162" s="113">
        <v>0</v>
      </c>
      <c r="CN162" s="113">
        <v>0</v>
      </c>
      <c r="CO162" s="113">
        <v>0</v>
      </c>
      <c r="CP162" s="113">
        <v>0</v>
      </c>
      <c r="CQ162" s="113">
        <v>0</v>
      </c>
      <c r="CR162" s="113">
        <v>0</v>
      </c>
      <c r="CS162" s="113">
        <v>0</v>
      </c>
      <c r="CT162" s="113">
        <v>0</v>
      </c>
      <c r="CU162" s="113">
        <v>0</v>
      </c>
      <c r="CV162" s="113">
        <v>0</v>
      </c>
      <c r="CW162" s="113">
        <v>3746</v>
      </c>
      <c r="CX162" s="113">
        <v>3746</v>
      </c>
      <c r="CY162" s="113">
        <v>3746</v>
      </c>
      <c r="CZ162" s="113">
        <v>3746</v>
      </c>
      <c r="DA162" s="113">
        <v>4939</v>
      </c>
      <c r="DB162" s="113">
        <v>9665</v>
      </c>
      <c r="DC162" s="113">
        <v>9671</v>
      </c>
      <c r="DD162" s="113">
        <v>11915</v>
      </c>
      <c r="DE162" s="113">
        <v>11921</v>
      </c>
      <c r="DF162" s="113">
        <v>11927</v>
      </c>
      <c r="DG162" s="113">
        <v>11932</v>
      </c>
      <c r="DH162" s="113">
        <v>11938</v>
      </c>
      <c r="DI162" s="113">
        <v>10713</v>
      </c>
      <c r="DJ162" s="113">
        <v>9714</v>
      </c>
      <c r="DK162" s="113">
        <v>11947</v>
      </c>
      <c r="DL162" s="113">
        <v>11949</v>
      </c>
      <c r="DM162" s="113">
        <v>12601</v>
      </c>
      <c r="DN162" s="113">
        <v>12632</v>
      </c>
      <c r="DO162" s="113">
        <v>20676</v>
      </c>
      <c r="DP162" s="113">
        <v>20679</v>
      </c>
      <c r="DQ162" s="113">
        <v>20645</v>
      </c>
      <c r="DR162" s="113">
        <v>18472</v>
      </c>
      <c r="DS162" s="113">
        <v>18260</v>
      </c>
      <c r="DT162" s="113">
        <v>27644</v>
      </c>
      <c r="DU162" s="113">
        <v>27808</v>
      </c>
      <c r="DV162" s="113">
        <v>27819</v>
      </c>
      <c r="DW162" s="113">
        <v>40679</v>
      </c>
      <c r="DX162" s="113">
        <v>40896</v>
      </c>
      <c r="DY162" s="113">
        <v>40557</v>
      </c>
      <c r="DZ162" s="113">
        <v>60154</v>
      </c>
      <c r="EA162" s="113">
        <v>59306</v>
      </c>
      <c r="EB162" s="113">
        <v>76222</v>
      </c>
      <c r="EC162" s="113">
        <v>76073</v>
      </c>
      <c r="ED162" s="113">
        <v>76255</v>
      </c>
      <c r="EE162" s="113">
        <v>73348</v>
      </c>
      <c r="EF162" s="113">
        <v>73480</v>
      </c>
      <c r="EG162" s="113">
        <v>72242</v>
      </c>
      <c r="EH162" s="113">
        <v>69733</v>
      </c>
      <c r="EI162" s="113">
        <v>69653</v>
      </c>
      <c r="EJ162" s="113">
        <v>66585</v>
      </c>
      <c r="EK162" s="113">
        <v>66662</v>
      </c>
      <c r="EL162" s="113">
        <v>66478</v>
      </c>
      <c r="EM162" s="113">
        <v>63361</v>
      </c>
      <c r="EN162" s="113">
        <v>62862</v>
      </c>
    </row>
    <row r="163" spans="1:144">
      <c r="A163" s="103" t="s">
        <v>2393</v>
      </c>
      <c r="B163" s="113">
        <v>0</v>
      </c>
      <c r="C163" s="113">
        <v>0</v>
      </c>
      <c r="D163" s="113">
        <v>0</v>
      </c>
      <c r="E163" s="113">
        <v>0</v>
      </c>
      <c r="F163" s="113">
        <v>0</v>
      </c>
      <c r="G163" s="113">
        <v>0</v>
      </c>
      <c r="H163" s="113">
        <v>0</v>
      </c>
      <c r="I163" s="113">
        <v>0</v>
      </c>
      <c r="J163" s="113">
        <v>0</v>
      </c>
      <c r="K163" s="113">
        <v>0</v>
      </c>
      <c r="L163" s="113">
        <v>0</v>
      </c>
      <c r="M163" s="113">
        <v>0</v>
      </c>
      <c r="N163" s="113">
        <v>0</v>
      </c>
      <c r="O163" s="113">
        <v>0</v>
      </c>
      <c r="P163" s="113">
        <v>0</v>
      </c>
      <c r="Q163" s="113">
        <v>0</v>
      </c>
      <c r="R163" s="113">
        <v>0</v>
      </c>
      <c r="S163" s="113">
        <v>0</v>
      </c>
      <c r="T163" s="113">
        <v>0</v>
      </c>
      <c r="U163" s="113">
        <v>0</v>
      </c>
      <c r="V163" s="113">
        <v>0</v>
      </c>
      <c r="W163" s="113">
        <v>0</v>
      </c>
      <c r="X163" s="113">
        <v>0</v>
      </c>
      <c r="Y163" s="113">
        <v>0</v>
      </c>
      <c r="Z163" s="113">
        <v>0</v>
      </c>
      <c r="AA163" s="113">
        <v>761</v>
      </c>
      <c r="AB163" s="113">
        <v>7797</v>
      </c>
      <c r="AC163" s="113">
        <v>9693</v>
      </c>
      <c r="AD163" s="113">
        <v>12445</v>
      </c>
      <c r="AE163" s="113">
        <v>15388</v>
      </c>
      <c r="AG163" s="103" t="s">
        <v>2393</v>
      </c>
      <c r="AH163" s="113">
        <v>0</v>
      </c>
      <c r="AI163" s="113">
        <v>0</v>
      </c>
      <c r="AJ163" s="113">
        <v>0</v>
      </c>
      <c r="AK163" s="113">
        <v>0</v>
      </c>
      <c r="AL163" s="113">
        <v>0</v>
      </c>
      <c r="AM163" s="113">
        <v>0</v>
      </c>
      <c r="AN163" s="113">
        <v>0</v>
      </c>
      <c r="AO163" s="113">
        <v>0</v>
      </c>
      <c r="AP163" s="113">
        <v>0</v>
      </c>
      <c r="AQ163" s="113">
        <v>0</v>
      </c>
      <c r="AR163" s="113">
        <v>0</v>
      </c>
      <c r="AS163" s="113">
        <v>0</v>
      </c>
      <c r="AT163" s="113">
        <v>0</v>
      </c>
      <c r="AU163" s="113">
        <v>0</v>
      </c>
      <c r="AV163" s="113">
        <v>0</v>
      </c>
      <c r="AW163" s="113">
        <v>0</v>
      </c>
      <c r="AX163" s="113">
        <v>0</v>
      </c>
      <c r="AY163" s="113">
        <v>0</v>
      </c>
      <c r="AZ163" s="113">
        <v>0</v>
      </c>
      <c r="BA163" s="113">
        <v>0</v>
      </c>
      <c r="BB163" s="113">
        <v>0</v>
      </c>
      <c r="BC163" s="113">
        <v>0</v>
      </c>
      <c r="BD163" s="113">
        <v>0</v>
      </c>
      <c r="BE163" s="113">
        <v>0</v>
      </c>
      <c r="BF163" s="113">
        <v>0</v>
      </c>
      <c r="BG163" s="113">
        <v>0</v>
      </c>
      <c r="BH163" s="113">
        <v>0</v>
      </c>
      <c r="BI163" s="113">
        <v>0</v>
      </c>
      <c r="BJ163" s="113">
        <v>0</v>
      </c>
      <c r="BK163" s="113">
        <v>0</v>
      </c>
      <c r="BL163" s="113">
        <v>0</v>
      </c>
      <c r="BM163" s="113">
        <v>0</v>
      </c>
      <c r="BN163" s="113">
        <v>0</v>
      </c>
      <c r="BO163" s="113">
        <v>0</v>
      </c>
      <c r="BP163" s="113">
        <v>0</v>
      </c>
      <c r="BQ163" s="113">
        <v>0</v>
      </c>
      <c r="BR163" s="113">
        <v>0</v>
      </c>
      <c r="BS163" s="113">
        <v>0</v>
      </c>
      <c r="BT163" s="113">
        <v>0</v>
      </c>
      <c r="BU163" s="113">
        <v>0</v>
      </c>
      <c r="BV163" s="113">
        <v>0</v>
      </c>
      <c r="BW163" s="113">
        <v>0</v>
      </c>
      <c r="BX163" s="113">
        <v>0</v>
      </c>
      <c r="BY163" s="113">
        <v>0</v>
      </c>
      <c r="BZ163" s="113">
        <v>0</v>
      </c>
      <c r="CA163" s="113">
        <v>0</v>
      </c>
      <c r="CB163" s="113">
        <v>0</v>
      </c>
      <c r="CC163" s="113">
        <v>0</v>
      </c>
      <c r="CD163" s="113">
        <v>0</v>
      </c>
      <c r="CE163" s="113">
        <v>0</v>
      </c>
      <c r="CF163" s="113">
        <v>0</v>
      </c>
      <c r="CG163" s="113">
        <v>0</v>
      </c>
      <c r="CH163" s="113">
        <v>0</v>
      </c>
      <c r="CI163" s="113">
        <v>0</v>
      </c>
      <c r="CJ163" s="113">
        <v>0</v>
      </c>
      <c r="CK163" s="113">
        <v>0</v>
      </c>
      <c r="CL163" s="113">
        <v>0</v>
      </c>
      <c r="CM163" s="113">
        <v>0</v>
      </c>
      <c r="CN163" s="113">
        <v>0</v>
      </c>
      <c r="CO163" s="113">
        <v>0</v>
      </c>
      <c r="CP163" s="113">
        <v>0</v>
      </c>
      <c r="CQ163" s="113">
        <v>0</v>
      </c>
      <c r="CR163" s="113">
        <v>0</v>
      </c>
      <c r="CS163" s="113">
        <v>0</v>
      </c>
      <c r="CT163" s="113">
        <v>0</v>
      </c>
      <c r="CU163" s="113">
        <v>0</v>
      </c>
      <c r="CV163" s="113">
        <v>0</v>
      </c>
      <c r="CW163" s="113">
        <v>0</v>
      </c>
      <c r="CX163" s="113">
        <v>0</v>
      </c>
      <c r="CY163" s="113">
        <v>0</v>
      </c>
      <c r="CZ163" s="113">
        <v>0</v>
      </c>
      <c r="DA163" s="113">
        <v>0</v>
      </c>
      <c r="DB163" s="113">
        <v>0</v>
      </c>
      <c r="DC163" s="113">
        <v>0</v>
      </c>
      <c r="DD163" s="113">
        <v>0</v>
      </c>
      <c r="DE163" s="113">
        <v>0</v>
      </c>
      <c r="DF163" s="113">
        <v>0</v>
      </c>
      <c r="DG163" s="113">
        <v>0</v>
      </c>
      <c r="DH163" s="113">
        <v>0</v>
      </c>
      <c r="DI163" s="113">
        <v>0</v>
      </c>
      <c r="DJ163" s="113">
        <v>0</v>
      </c>
      <c r="DK163" s="113">
        <v>0</v>
      </c>
      <c r="DL163" s="113">
        <v>0</v>
      </c>
      <c r="DM163" s="113">
        <v>0</v>
      </c>
      <c r="DN163" s="113">
        <v>0</v>
      </c>
      <c r="DO163" s="113">
        <v>0</v>
      </c>
      <c r="DP163" s="113">
        <v>0</v>
      </c>
      <c r="DQ163" s="113">
        <v>0</v>
      </c>
      <c r="DR163" s="113">
        <v>0</v>
      </c>
      <c r="DS163" s="113">
        <v>0</v>
      </c>
      <c r="DT163" s="113">
        <v>0</v>
      </c>
      <c r="DU163" s="113">
        <v>0</v>
      </c>
      <c r="DV163" s="113">
        <v>0</v>
      </c>
      <c r="DW163" s="113">
        <v>0</v>
      </c>
      <c r="DX163" s="113">
        <v>0</v>
      </c>
      <c r="DY163" s="113">
        <v>761</v>
      </c>
      <c r="DZ163" s="113">
        <v>1000</v>
      </c>
      <c r="EA163" s="113">
        <v>1500</v>
      </c>
      <c r="EB163" s="113">
        <v>1700</v>
      </c>
      <c r="EC163" s="113">
        <v>7797</v>
      </c>
      <c r="ED163" s="113">
        <v>8895</v>
      </c>
      <c r="EE163" s="113">
        <v>9386</v>
      </c>
      <c r="EF163" s="113">
        <v>9901</v>
      </c>
      <c r="EG163" s="113">
        <v>9693</v>
      </c>
      <c r="EH163" s="113">
        <v>10123</v>
      </c>
      <c r="EI163" s="113">
        <v>10648</v>
      </c>
      <c r="EJ163" s="113">
        <v>11500</v>
      </c>
      <c r="EK163" s="113">
        <v>12445</v>
      </c>
      <c r="EL163" s="113">
        <v>14120</v>
      </c>
      <c r="EM163" s="113">
        <v>15459</v>
      </c>
      <c r="EN163" s="113">
        <v>15388</v>
      </c>
    </row>
    <row r="164" spans="1:144">
      <c r="A164" s="103" t="s">
        <v>2394</v>
      </c>
      <c r="B164" s="113">
        <v>0</v>
      </c>
      <c r="C164" s="113">
        <v>0</v>
      </c>
      <c r="D164" s="113">
        <v>0</v>
      </c>
      <c r="E164" s="113">
        <v>0</v>
      </c>
      <c r="F164" s="113">
        <v>0</v>
      </c>
      <c r="G164" s="113">
        <v>0</v>
      </c>
      <c r="H164" s="113">
        <v>0</v>
      </c>
      <c r="I164" s="113">
        <v>0</v>
      </c>
      <c r="J164" s="113">
        <v>0</v>
      </c>
      <c r="K164" s="113">
        <v>0</v>
      </c>
      <c r="L164" s="113">
        <v>1219</v>
      </c>
      <c r="M164" s="113">
        <v>1823</v>
      </c>
      <c r="N164" s="113">
        <v>1790</v>
      </c>
      <c r="O164" s="113">
        <v>1663</v>
      </c>
      <c r="P164" s="113">
        <v>1665</v>
      </c>
      <c r="Q164" s="113">
        <v>1764</v>
      </c>
      <c r="R164" s="113">
        <v>1867</v>
      </c>
      <c r="S164" s="113">
        <v>1900</v>
      </c>
      <c r="T164" s="113">
        <v>1281</v>
      </c>
      <c r="U164" s="113">
        <v>1178</v>
      </c>
      <c r="V164" s="113">
        <v>1398</v>
      </c>
      <c r="W164" s="113">
        <v>1406</v>
      </c>
      <c r="X164" s="113">
        <v>1760</v>
      </c>
      <c r="Y164" s="113">
        <v>2008</v>
      </c>
      <c r="Z164" s="113">
        <v>2095</v>
      </c>
      <c r="AA164" s="113">
        <v>6441</v>
      </c>
      <c r="AB164" s="113">
        <v>2643</v>
      </c>
      <c r="AC164" s="113">
        <v>3815</v>
      </c>
      <c r="AD164" s="113">
        <v>4530</v>
      </c>
      <c r="AE164" s="113">
        <v>3385</v>
      </c>
      <c r="AG164" s="103" t="s">
        <v>2394</v>
      </c>
      <c r="AH164" s="113">
        <v>0</v>
      </c>
      <c r="AI164" s="113">
        <v>0</v>
      </c>
      <c r="AJ164" s="113">
        <v>0</v>
      </c>
      <c r="AK164" s="113">
        <v>0</v>
      </c>
      <c r="AL164" s="113">
        <v>0</v>
      </c>
      <c r="AM164" s="113">
        <v>0</v>
      </c>
      <c r="AN164" s="113">
        <v>0</v>
      </c>
      <c r="AO164" s="113">
        <v>0</v>
      </c>
      <c r="AP164" s="113">
        <v>0</v>
      </c>
      <c r="AQ164" s="113">
        <v>0</v>
      </c>
      <c r="AR164" s="113">
        <v>0</v>
      </c>
      <c r="AS164" s="113">
        <v>0</v>
      </c>
      <c r="AT164" s="113">
        <v>0</v>
      </c>
      <c r="AU164" s="113">
        <v>0</v>
      </c>
      <c r="AV164" s="113">
        <v>0</v>
      </c>
      <c r="AW164" s="113">
        <v>0</v>
      </c>
      <c r="AX164" s="113">
        <v>0</v>
      </c>
      <c r="AY164" s="113">
        <v>0</v>
      </c>
      <c r="AZ164" s="113">
        <v>0</v>
      </c>
      <c r="BA164" s="113">
        <v>0</v>
      </c>
      <c r="BB164" s="113">
        <v>0</v>
      </c>
      <c r="BC164" s="113">
        <v>0</v>
      </c>
      <c r="BD164" s="113">
        <v>0</v>
      </c>
      <c r="BE164" s="113">
        <v>0</v>
      </c>
      <c r="BF164" s="113">
        <v>0</v>
      </c>
      <c r="BG164" s="113">
        <v>0</v>
      </c>
      <c r="BH164" s="113">
        <v>0</v>
      </c>
      <c r="BI164" s="113">
        <v>0</v>
      </c>
      <c r="BJ164" s="113">
        <v>0</v>
      </c>
      <c r="BK164" s="113">
        <v>0</v>
      </c>
      <c r="BL164" s="113">
        <v>0</v>
      </c>
      <c r="BM164" s="113">
        <v>0</v>
      </c>
      <c r="BN164" s="113">
        <v>0</v>
      </c>
      <c r="BO164" s="113">
        <v>0</v>
      </c>
      <c r="BP164" s="113">
        <v>0</v>
      </c>
      <c r="BQ164" s="113">
        <v>1219</v>
      </c>
      <c r="BR164" s="113">
        <v>0</v>
      </c>
      <c r="BS164" s="113">
        <v>1321</v>
      </c>
      <c r="BT164" s="113">
        <v>1346</v>
      </c>
      <c r="BU164" s="113">
        <v>1823</v>
      </c>
      <c r="BV164" s="113">
        <v>2290</v>
      </c>
      <c r="BW164" s="113">
        <v>2026</v>
      </c>
      <c r="BX164" s="113">
        <v>1734</v>
      </c>
      <c r="BY164" s="113">
        <v>1790</v>
      </c>
      <c r="BZ164" s="113">
        <v>1627</v>
      </c>
      <c r="CA164" s="113">
        <v>1623</v>
      </c>
      <c r="CB164" s="113">
        <v>1577</v>
      </c>
      <c r="CC164" s="113">
        <v>1663</v>
      </c>
      <c r="CD164" s="113">
        <v>1633</v>
      </c>
      <c r="CE164" s="113">
        <v>1699</v>
      </c>
      <c r="CF164" s="113">
        <v>1666</v>
      </c>
      <c r="CG164" s="113">
        <v>1665</v>
      </c>
      <c r="CH164" s="113">
        <v>1658</v>
      </c>
      <c r="CI164" s="113">
        <v>1720</v>
      </c>
      <c r="CJ164" s="113">
        <v>1686</v>
      </c>
      <c r="CK164" s="113">
        <v>1764</v>
      </c>
      <c r="CL164" s="113">
        <v>1787</v>
      </c>
      <c r="CM164" s="113">
        <v>1838</v>
      </c>
      <c r="CN164" s="113">
        <v>1732</v>
      </c>
      <c r="CO164" s="113">
        <v>1867</v>
      </c>
      <c r="CP164" s="113">
        <v>1785</v>
      </c>
      <c r="CQ164" s="113">
        <v>1957</v>
      </c>
      <c r="CR164" s="113">
        <v>1754</v>
      </c>
      <c r="CS164" s="113">
        <v>1900</v>
      </c>
      <c r="CT164" s="113">
        <v>1662</v>
      </c>
      <c r="CU164" s="113">
        <v>1534</v>
      </c>
      <c r="CV164" s="113">
        <v>1388</v>
      </c>
      <c r="CW164" s="113">
        <v>1281</v>
      </c>
      <c r="CX164" s="113">
        <v>1201</v>
      </c>
      <c r="CY164" s="113">
        <v>1167</v>
      </c>
      <c r="CZ164" s="113">
        <v>1089</v>
      </c>
      <c r="DA164" s="113">
        <v>1178</v>
      </c>
      <c r="DB164" s="113">
        <v>1152</v>
      </c>
      <c r="DC164" s="113">
        <v>1354</v>
      </c>
      <c r="DD164" s="113">
        <v>1132</v>
      </c>
      <c r="DE164" s="113">
        <v>1398</v>
      </c>
      <c r="DF164" s="113">
        <v>1313</v>
      </c>
      <c r="DG164" s="113">
        <v>1349</v>
      </c>
      <c r="DH164" s="113">
        <v>1262</v>
      </c>
      <c r="DI164" s="113">
        <v>1406</v>
      </c>
      <c r="DJ164" s="113">
        <v>1292</v>
      </c>
      <c r="DK164" s="113">
        <v>1459</v>
      </c>
      <c r="DL164" s="113">
        <v>1394</v>
      </c>
      <c r="DM164" s="113">
        <v>1760</v>
      </c>
      <c r="DN164" s="113">
        <v>1629</v>
      </c>
      <c r="DO164" s="113">
        <v>1858</v>
      </c>
      <c r="DP164" s="113">
        <v>1842</v>
      </c>
      <c r="DQ164" s="113">
        <v>2008</v>
      </c>
      <c r="DR164" s="113">
        <v>1825</v>
      </c>
      <c r="DS164" s="113">
        <v>2051</v>
      </c>
      <c r="DT164" s="113">
        <v>1966</v>
      </c>
      <c r="DU164" s="113">
        <v>2095</v>
      </c>
      <c r="DV164" s="113">
        <v>2784</v>
      </c>
      <c r="DW164" s="113">
        <v>4102</v>
      </c>
      <c r="DX164" s="113">
        <v>5017</v>
      </c>
      <c r="DY164" s="113">
        <v>6441</v>
      </c>
      <c r="DZ164" s="113">
        <v>7284</v>
      </c>
      <c r="EA164" s="113">
        <v>8595</v>
      </c>
      <c r="EB164" s="113">
        <v>9215</v>
      </c>
      <c r="EC164" s="113">
        <v>2643</v>
      </c>
      <c r="ED164" s="113">
        <v>2126</v>
      </c>
      <c r="EE164" s="113">
        <v>2500</v>
      </c>
      <c r="EF164" s="113">
        <v>2585</v>
      </c>
      <c r="EG164" s="113">
        <v>3815</v>
      </c>
      <c r="EH164" s="113">
        <v>3538</v>
      </c>
      <c r="EI164" s="113">
        <v>3799</v>
      </c>
      <c r="EJ164" s="113">
        <v>3884</v>
      </c>
      <c r="EK164" s="113">
        <v>4530</v>
      </c>
      <c r="EL164" s="113">
        <v>4122</v>
      </c>
      <c r="EM164" s="113">
        <v>3878</v>
      </c>
      <c r="EN164" s="113">
        <v>3385</v>
      </c>
    </row>
    <row r="165" spans="1:144">
      <c r="A165" s="103" t="s">
        <v>2395</v>
      </c>
      <c r="B165" s="113">
        <v>0</v>
      </c>
      <c r="C165" s="113">
        <v>0</v>
      </c>
      <c r="D165" s="113">
        <v>0</v>
      </c>
      <c r="E165" s="113">
        <v>0</v>
      </c>
      <c r="F165" s="113">
        <v>0</v>
      </c>
      <c r="G165" s="113">
        <v>0</v>
      </c>
      <c r="H165" s="113">
        <v>0</v>
      </c>
      <c r="I165" s="113">
        <v>0</v>
      </c>
      <c r="J165" s="113">
        <v>1385</v>
      </c>
      <c r="K165" s="113">
        <v>1027</v>
      </c>
      <c r="L165" s="113">
        <v>409</v>
      </c>
      <c r="M165" s="113">
        <v>398</v>
      </c>
      <c r="N165" s="113">
        <v>0</v>
      </c>
      <c r="O165" s="113">
        <v>0</v>
      </c>
      <c r="P165" s="113">
        <v>0</v>
      </c>
      <c r="Q165" s="113">
        <v>0</v>
      </c>
      <c r="R165" s="113">
        <v>0</v>
      </c>
      <c r="S165" s="113">
        <v>0</v>
      </c>
      <c r="T165" s="113">
        <v>0</v>
      </c>
      <c r="U165" s="113">
        <v>229</v>
      </c>
      <c r="V165" s="113">
        <v>1456</v>
      </c>
      <c r="W165" s="113">
        <v>1893</v>
      </c>
      <c r="X165" s="113">
        <v>1709</v>
      </c>
      <c r="Y165" s="113">
        <v>2728</v>
      </c>
      <c r="Z165" s="113">
        <v>1295</v>
      </c>
      <c r="AA165" s="113">
        <v>1476</v>
      </c>
      <c r="AB165" s="113">
        <v>5734</v>
      </c>
      <c r="AC165" s="113">
        <v>541</v>
      </c>
      <c r="AD165" s="113">
        <v>233</v>
      </c>
      <c r="AE165" s="113">
        <v>185</v>
      </c>
      <c r="AG165" s="103" t="s">
        <v>2395</v>
      </c>
      <c r="AH165" s="113">
        <v>0</v>
      </c>
      <c r="AI165" s="113">
        <v>0</v>
      </c>
      <c r="AJ165" s="113">
        <v>0</v>
      </c>
      <c r="AK165" s="113">
        <v>0</v>
      </c>
      <c r="AL165" s="113">
        <v>0</v>
      </c>
      <c r="AM165" s="113">
        <v>0</v>
      </c>
      <c r="AN165" s="113">
        <v>0</v>
      </c>
      <c r="AO165" s="113">
        <v>0</v>
      </c>
      <c r="AP165" s="113">
        <v>0</v>
      </c>
      <c r="AQ165" s="113">
        <v>0</v>
      </c>
      <c r="AR165" s="113">
        <v>0</v>
      </c>
      <c r="AS165" s="113">
        <v>0</v>
      </c>
      <c r="AT165" s="113">
        <v>0</v>
      </c>
      <c r="AU165" s="113">
        <v>0</v>
      </c>
      <c r="AV165" s="113">
        <v>0</v>
      </c>
      <c r="AW165" s="113">
        <v>0</v>
      </c>
      <c r="AX165" s="113">
        <v>0</v>
      </c>
      <c r="AY165" s="113">
        <v>0</v>
      </c>
      <c r="AZ165" s="113">
        <v>0</v>
      </c>
      <c r="BA165" s="113">
        <v>0</v>
      </c>
      <c r="BB165" s="113">
        <v>0</v>
      </c>
      <c r="BC165" s="113">
        <v>0</v>
      </c>
      <c r="BD165" s="113">
        <v>0</v>
      </c>
      <c r="BE165" s="113">
        <v>0</v>
      </c>
      <c r="BF165" s="113">
        <v>0</v>
      </c>
      <c r="BG165" s="113">
        <v>0</v>
      </c>
      <c r="BH165" s="113">
        <v>0</v>
      </c>
      <c r="BI165" s="113">
        <v>1385</v>
      </c>
      <c r="BJ165" s="113">
        <v>0</v>
      </c>
      <c r="BK165" s="113">
        <v>0</v>
      </c>
      <c r="BL165" s="113">
        <v>0</v>
      </c>
      <c r="BM165" s="113">
        <v>1027</v>
      </c>
      <c r="BN165" s="113">
        <v>1440</v>
      </c>
      <c r="BO165" s="113">
        <v>1644</v>
      </c>
      <c r="BP165" s="113">
        <v>1775</v>
      </c>
      <c r="BQ165" s="113">
        <v>409</v>
      </c>
      <c r="BR165" s="113">
        <v>0</v>
      </c>
      <c r="BS165" s="113">
        <v>0</v>
      </c>
      <c r="BT165" s="113">
        <v>59</v>
      </c>
      <c r="BU165" s="113">
        <v>398</v>
      </c>
      <c r="BV165" s="113">
        <v>152</v>
      </c>
      <c r="BW165" s="113">
        <v>0</v>
      </c>
      <c r="BX165" s="113">
        <v>369</v>
      </c>
      <c r="BY165" s="113">
        <v>0</v>
      </c>
      <c r="BZ165" s="113">
        <v>0</v>
      </c>
      <c r="CA165" s="113">
        <v>0</v>
      </c>
      <c r="CB165" s="113">
        <v>0</v>
      </c>
      <c r="CC165" s="113">
        <v>0</v>
      </c>
      <c r="CD165" s="113">
        <v>0</v>
      </c>
      <c r="CE165" s="113">
        <v>0</v>
      </c>
      <c r="CF165" s="113">
        <v>0</v>
      </c>
      <c r="CG165" s="113">
        <v>0</v>
      </c>
      <c r="CH165" s="113">
        <v>0</v>
      </c>
      <c r="CI165" s="113">
        <v>0</v>
      </c>
      <c r="CJ165" s="113">
        <v>0</v>
      </c>
      <c r="CK165" s="113">
        <v>0</v>
      </c>
      <c r="CL165" s="113">
        <v>0</v>
      </c>
      <c r="CM165" s="113">
        <v>0</v>
      </c>
      <c r="CN165" s="113">
        <v>0</v>
      </c>
      <c r="CO165" s="113">
        <v>0</v>
      </c>
      <c r="CP165" s="113">
        <v>0</v>
      </c>
      <c r="CQ165" s="113">
        <v>0</v>
      </c>
      <c r="CR165" s="113">
        <v>0</v>
      </c>
      <c r="CS165" s="113">
        <v>0</v>
      </c>
      <c r="CT165" s="113">
        <v>0</v>
      </c>
      <c r="CU165" s="113">
        <v>0</v>
      </c>
      <c r="CV165" s="113">
        <v>0</v>
      </c>
      <c r="CW165" s="113">
        <v>0</v>
      </c>
      <c r="CX165" s="113">
        <v>155</v>
      </c>
      <c r="CY165" s="113">
        <v>377</v>
      </c>
      <c r="CZ165" s="113">
        <v>828</v>
      </c>
      <c r="DA165" s="113">
        <v>229</v>
      </c>
      <c r="DB165" s="113">
        <v>540</v>
      </c>
      <c r="DC165" s="113">
        <v>826</v>
      </c>
      <c r="DD165" s="113">
        <v>1185</v>
      </c>
      <c r="DE165" s="113">
        <v>1456</v>
      </c>
      <c r="DF165" s="113">
        <v>1040</v>
      </c>
      <c r="DG165" s="113">
        <v>1082</v>
      </c>
      <c r="DH165" s="113">
        <v>1456</v>
      </c>
      <c r="DI165" s="113">
        <v>1893</v>
      </c>
      <c r="DJ165" s="113">
        <v>2209</v>
      </c>
      <c r="DK165" s="113">
        <v>2394</v>
      </c>
      <c r="DL165" s="113">
        <v>2424</v>
      </c>
      <c r="DM165" s="113">
        <v>1709</v>
      </c>
      <c r="DN165" s="113">
        <v>2236</v>
      </c>
      <c r="DO165" s="113">
        <v>2377</v>
      </c>
      <c r="DP165" s="113">
        <v>2318</v>
      </c>
      <c r="DQ165" s="113">
        <v>2728</v>
      </c>
      <c r="DR165" s="113">
        <v>2714</v>
      </c>
      <c r="DS165" s="113">
        <v>2820</v>
      </c>
      <c r="DT165" s="113">
        <v>2919</v>
      </c>
      <c r="DU165" s="113">
        <v>1295</v>
      </c>
      <c r="DV165" s="113">
        <v>2169</v>
      </c>
      <c r="DW165" s="113">
        <v>2194</v>
      </c>
      <c r="DX165" s="113">
        <v>2674</v>
      </c>
      <c r="DY165" s="113">
        <v>1476</v>
      </c>
      <c r="DZ165" s="113">
        <v>1564</v>
      </c>
      <c r="EA165" s="113">
        <v>1133</v>
      </c>
      <c r="EB165" s="113">
        <v>465</v>
      </c>
      <c r="EC165" s="113">
        <v>5734</v>
      </c>
      <c r="ED165" s="113">
        <v>5513</v>
      </c>
      <c r="EE165" s="113">
        <v>3186</v>
      </c>
      <c r="EF165" s="113">
        <v>2417</v>
      </c>
      <c r="EG165" s="113">
        <v>541</v>
      </c>
      <c r="EH165" s="113">
        <v>1977</v>
      </c>
      <c r="EI165" s="113">
        <v>2062</v>
      </c>
      <c r="EJ165" s="113">
        <v>1838</v>
      </c>
      <c r="EK165" s="113">
        <v>233</v>
      </c>
      <c r="EL165" s="113">
        <v>234</v>
      </c>
      <c r="EM165" s="113">
        <v>222</v>
      </c>
      <c r="EN165" s="113">
        <v>185</v>
      </c>
    </row>
    <row r="166" spans="1:144">
      <c r="A166" s="103" t="s">
        <v>2396</v>
      </c>
      <c r="B166" s="113">
        <v>0</v>
      </c>
      <c r="C166" s="113">
        <v>0</v>
      </c>
      <c r="D166" s="113">
        <v>0</v>
      </c>
      <c r="E166" s="113">
        <v>0</v>
      </c>
      <c r="F166" s="113">
        <v>405</v>
      </c>
      <c r="G166" s="113">
        <v>635</v>
      </c>
      <c r="H166" s="113">
        <v>0</v>
      </c>
      <c r="I166" s="113">
        <v>0</v>
      </c>
      <c r="J166" s="113">
        <v>0</v>
      </c>
      <c r="K166" s="113">
        <v>0</v>
      </c>
      <c r="L166" s="113">
        <v>659</v>
      </c>
      <c r="M166" s="113">
        <v>501</v>
      </c>
      <c r="N166" s="113">
        <v>1056</v>
      </c>
      <c r="O166" s="113">
        <v>2911</v>
      </c>
      <c r="P166" s="113">
        <v>4158</v>
      </c>
      <c r="Q166" s="113">
        <v>5287</v>
      </c>
      <c r="R166" s="113">
        <v>6453</v>
      </c>
      <c r="S166" s="113">
        <v>4721</v>
      </c>
      <c r="T166" s="113">
        <v>6269</v>
      </c>
      <c r="U166" s="113">
        <v>7445</v>
      </c>
      <c r="V166" s="113">
        <v>8072</v>
      </c>
      <c r="W166" s="113">
        <v>8208</v>
      </c>
      <c r="X166" s="113">
        <v>10000</v>
      </c>
      <c r="Y166" s="113">
        <v>11594</v>
      </c>
      <c r="Z166" s="113">
        <v>13544</v>
      </c>
      <c r="AA166" s="113">
        <v>12879</v>
      </c>
      <c r="AB166" s="113">
        <v>14609</v>
      </c>
      <c r="AC166" s="113">
        <v>31351</v>
      </c>
      <c r="AD166" s="113">
        <v>30936</v>
      </c>
      <c r="AE166" s="113">
        <v>30421</v>
      </c>
      <c r="AG166" s="103" t="s">
        <v>2396</v>
      </c>
      <c r="AH166" s="113">
        <v>0</v>
      </c>
      <c r="AI166" s="113">
        <v>0</v>
      </c>
      <c r="AJ166" s="113">
        <v>0</v>
      </c>
      <c r="AK166" s="113">
        <v>0</v>
      </c>
      <c r="AL166" s="113">
        <v>0</v>
      </c>
      <c r="AM166" s="113">
        <v>0</v>
      </c>
      <c r="AN166" s="113">
        <v>0</v>
      </c>
      <c r="AO166" s="113">
        <v>0</v>
      </c>
      <c r="AP166" s="113">
        <v>203</v>
      </c>
      <c r="AQ166" s="113">
        <v>0</v>
      </c>
      <c r="AR166" s="113">
        <v>0</v>
      </c>
      <c r="AS166" s="113">
        <v>405</v>
      </c>
      <c r="AT166" s="113">
        <v>0</v>
      </c>
      <c r="AU166" s="113">
        <v>0</v>
      </c>
      <c r="AV166" s="113">
        <v>0</v>
      </c>
      <c r="AW166" s="113">
        <v>635</v>
      </c>
      <c r="AX166" s="113">
        <v>0</v>
      </c>
      <c r="AY166" s="113">
        <v>0</v>
      </c>
      <c r="AZ166" s="113">
        <v>0</v>
      </c>
      <c r="BA166" s="113">
        <v>0</v>
      </c>
      <c r="BB166" s="113">
        <v>0</v>
      </c>
      <c r="BC166" s="113">
        <v>0</v>
      </c>
      <c r="BD166" s="113">
        <v>0</v>
      </c>
      <c r="BE166" s="113">
        <v>0</v>
      </c>
      <c r="BF166" s="113">
        <v>0</v>
      </c>
      <c r="BG166" s="113">
        <v>0</v>
      </c>
      <c r="BH166" s="113">
        <v>0</v>
      </c>
      <c r="BI166" s="113">
        <v>0</v>
      </c>
      <c r="BJ166" s="113">
        <v>0</v>
      </c>
      <c r="BK166" s="113">
        <v>0</v>
      </c>
      <c r="BL166" s="113">
        <v>0</v>
      </c>
      <c r="BM166" s="113">
        <v>0</v>
      </c>
      <c r="BN166" s="113">
        <v>0</v>
      </c>
      <c r="BO166" s="113">
        <v>0</v>
      </c>
      <c r="BP166" s="113">
        <v>0</v>
      </c>
      <c r="BQ166" s="113">
        <v>659</v>
      </c>
      <c r="BR166" s="113">
        <v>0</v>
      </c>
      <c r="BS166" s="113">
        <v>951</v>
      </c>
      <c r="BT166" s="113">
        <v>832</v>
      </c>
      <c r="BU166" s="113">
        <v>501</v>
      </c>
      <c r="BV166" s="113">
        <v>520</v>
      </c>
      <c r="BW166" s="113">
        <v>904</v>
      </c>
      <c r="BX166" s="113">
        <v>936</v>
      </c>
      <c r="BY166" s="113">
        <v>1056</v>
      </c>
      <c r="BZ166" s="113">
        <v>876</v>
      </c>
      <c r="CA166" s="113">
        <v>1044</v>
      </c>
      <c r="CB166" s="113">
        <v>1626</v>
      </c>
      <c r="CC166" s="113">
        <v>2911</v>
      </c>
      <c r="CD166" s="113">
        <v>878</v>
      </c>
      <c r="CE166" s="113">
        <v>965</v>
      </c>
      <c r="CF166" s="113">
        <v>1097</v>
      </c>
      <c r="CG166" s="113">
        <v>4158</v>
      </c>
      <c r="CH166" s="113">
        <v>4455</v>
      </c>
      <c r="CI166" s="113">
        <v>4582</v>
      </c>
      <c r="CJ166" s="113">
        <v>4763</v>
      </c>
      <c r="CK166" s="113">
        <v>5287</v>
      </c>
      <c r="CL166" s="113">
        <v>5494</v>
      </c>
      <c r="CM166" s="113">
        <v>5684</v>
      </c>
      <c r="CN166" s="113">
        <v>5559</v>
      </c>
      <c r="CO166" s="113">
        <v>6453</v>
      </c>
      <c r="CP166" s="113">
        <v>8981</v>
      </c>
      <c r="CQ166" s="113">
        <v>8893</v>
      </c>
      <c r="CR166" s="113">
        <v>4411</v>
      </c>
      <c r="CS166" s="113">
        <v>4721</v>
      </c>
      <c r="CT166" s="113">
        <v>5478</v>
      </c>
      <c r="CU166" s="113">
        <v>6064</v>
      </c>
      <c r="CV166" s="113">
        <v>6699</v>
      </c>
      <c r="CW166" s="113">
        <v>6269</v>
      </c>
      <c r="CX166" s="113">
        <v>6537</v>
      </c>
      <c r="CY166" s="113">
        <v>6808</v>
      </c>
      <c r="CZ166" s="113">
        <v>7113</v>
      </c>
      <c r="DA166" s="113">
        <v>7445</v>
      </c>
      <c r="DB166" s="113">
        <v>7384</v>
      </c>
      <c r="DC166" s="113">
        <v>7662</v>
      </c>
      <c r="DD166" s="113">
        <v>8001</v>
      </c>
      <c r="DE166" s="113">
        <v>8072</v>
      </c>
      <c r="DF166" s="113">
        <v>8201</v>
      </c>
      <c r="DG166" s="113">
        <v>8386</v>
      </c>
      <c r="DH166" s="113">
        <v>8525</v>
      </c>
      <c r="DI166" s="113">
        <v>8208</v>
      </c>
      <c r="DJ166" s="113">
        <v>8423</v>
      </c>
      <c r="DK166" s="113">
        <v>8397</v>
      </c>
      <c r="DL166" s="113">
        <v>9721</v>
      </c>
      <c r="DM166" s="113">
        <v>10000</v>
      </c>
      <c r="DN166" s="113">
        <v>9587</v>
      </c>
      <c r="DO166" s="113">
        <v>9790</v>
      </c>
      <c r="DP166" s="113">
        <v>9953</v>
      </c>
      <c r="DQ166" s="113">
        <v>11594</v>
      </c>
      <c r="DR166" s="113">
        <v>11781</v>
      </c>
      <c r="DS166" s="113">
        <v>12423</v>
      </c>
      <c r="DT166" s="113">
        <v>13274</v>
      </c>
      <c r="DU166" s="113">
        <v>13544</v>
      </c>
      <c r="DV166" s="113">
        <v>13280</v>
      </c>
      <c r="DW166" s="113">
        <v>13700</v>
      </c>
      <c r="DX166" s="113">
        <v>14122</v>
      </c>
      <c r="DY166" s="113">
        <v>12879</v>
      </c>
      <c r="DZ166" s="113">
        <v>13340</v>
      </c>
      <c r="EA166" s="113">
        <v>14480</v>
      </c>
      <c r="EB166" s="113">
        <v>15681</v>
      </c>
      <c r="EC166" s="113">
        <v>14609</v>
      </c>
      <c r="ED166" s="113">
        <v>15046</v>
      </c>
      <c r="EE166" s="113">
        <v>31124</v>
      </c>
      <c r="EF166" s="113">
        <v>31742</v>
      </c>
      <c r="EG166" s="113">
        <v>31351</v>
      </c>
      <c r="EH166" s="113">
        <v>30004</v>
      </c>
      <c r="EI166" s="113">
        <v>30251</v>
      </c>
      <c r="EJ166" s="113">
        <v>30749</v>
      </c>
      <c r="EK166" s="113">
        <v>30936</v>
      </c>
      <c r="EL166" s="113">
        <v>29822</v>
      </c>
      <c r="EM166" s="113">
        <v>30125</v>
      </c>
      <c r="EN166" s="113">
        <v>30421</v>
      </c>
    </row>
    <row r="167" spans="1:144" ht="10.5">
      <c r="A167" s="112" t="s">
        <v>1657</v>
      </c>
      <c r="B167" s="114">
        <v>293.35300000000001</v>
      </c>
      <c r="C167" s="114">
        <v>447</v>
      </c>
      <c r="D167" s="114">
        <v>563</v>
      </c>
      <c r="E167" s="114">
        <v>913</v>
      </c>
      <c r="F167" s="114">
        <v>1752</v>
      </c>
      <c r="G167" s="114">
        <v>3060</v>
      </c>
      <c r="H167" s="114">
        <v>3610</v>
      </c>
      <c r="I167" s="114">
        <v>5730</v>
      </c>
      <c r="J167" s="114">
        <v>10187</v>
      </c>
      <c r="K167" s="114">
        <v>10782</v>
      </c>
      <c r="L167" s="114">
        <v>11541</v>
      </c>
      <c r="M167" s="114">
        <v>15466</v>
      </c>
      <c r="N167" s="114">
        <v>16820</v>
      </c>
      <c r="O167" s="114">
        <v>19543</v>
      </c>
      <c r="P167" s="114">
        <v>22700</v>
      </c>
      <c r="Q167" s="114">
        <v>29493</v>
      </c>
      <c r="R167" s="114">
        <v>32074</v>
      </c>
      <c r="S167" s="114">
        <v>36507</v>
      </c>
      <c r="T167" s="114">
        <v>38330</v>
      </c>
      <c r="U167" s="114">
        <v>39938</v>
      </c>
      <c r="V167" s="114">
        <v>51621</v>
      </c>
      <c r="W167" s="114">
        <v>54908</v>
      </c>
      <c r="X167" s="114">
        <v>63487</v>
      </c>
      <c r="Y167" s="114">
        <v>82600</v>
      </c>
      <c r="Z167" s="114">
        <v>94389</v>
      </c>
      <c r="AA167" s="114">
        <v>121471</v>
      </c>
      <c r="AB167" s="114">
        <v>162601</v>
      </c>
      <c r="AC167" s="114">
        <v>176130</v>
      </c>
      <c r="AD167" s="114">
        <v>184226</v>
      </c>
      <c r="AE167" s="114">
        <v>170948</v>
      </c>
      <c r="AG167" s="112" t="s">
        <v>1657</v>
      </c>
      <c r="AH167" s="114">
        <v>0</v>
      </c>
      <c r="AI167" s="114">
        <v>0</v>
      </c>
      <c r="AJ167" s="114">
        <v>0</v>
      </c>
      <c r="AK167" s="114">
        <v>563</v>
      </c>
      <c r="AL167" s="114">
        <v>0</v>
      </c>
      <c r="AM167" s="114">
        <v>740</v>
      </c>
      <c r="AN167" s="114">
        <v>914</v>
      </c>
      <c r="AO167" s="114">
        <v>913</v>
      </c>
      <c r="AP167" s="114">
        <v>1207</v>
      </c>
      <c r="AQ167" s="114">
        <v>1096</v>
      </c>
      <c r="AR167" s="114">
        <v>1185</v>
      </c>
      <c r="AS167" s="114">
        <v>1752</v>
      </c>
      <c r="AT167" s="114">
        <v>1759</v>
      </c>
      <c r="AU167" s="114">
        <v>2241</v>
      </c>
      <c r="AV167" s="114">
        <v>2264</v>
      </c>
      <c r="AW167" s="114">
        <v>3060</v>
      </c>
      <c r="AX167" s="114">
        <v>2663</v>
      </c>
      <c r="AY167" s="114">
        <v>3144</v>
      </c>
      <c r="AZ167" s="114">
        <v>3479</v>
      </c>
      <c r="BA167" s="114">
        <v>3610</v>
      </c>
      <c r="BB167" s="114">
        <v>3902</v>
      </c>
      <c r="BC167" s="114">
        <v>4496</v>
      </c>
      <c r="BD167" s="114">
        <v>4869</v>
      </c>
      <c r="BE167" s="114">
        <v>5730</v>
      </c>
      <c r="BF167" s="114">
        <v>6445</v>
      </c>
      <c r="BG167" s="114">
        <v>7471</v>
      </c>
      <c r="BH167" s="114">
        <v>7839</v>
      </c>
      <c r="BI167" s="114">
        <v>10187</v>
      </c>
      <c r="BJ167" s="114">
        <v>8332</v>
      </c>
      <c r="BK167" s="114">
        <v>10504</v>
      </c>
      <c r="BL167" s="114">
        <v>11103</v>
      </c>
      <c r="BM167" s="114">
        <v>10782</v>
      </c>
      <c r="BN167" s="114">
        <v>10746</v>
      </c>
      <c r="BO167" s="114">
        <v>11269</v>
      </c>
      <c r="BP167" s="114">
        <v>11515</v>
      </c>
      <c r="BQ167" s="114">
        <v>11541</v>
      </c>
      <c r="BR167" s="114">
        <v>12862</v>
      </c>
      <c r="BS167" s="114">
        <v>13839</v>
      </c>
      <c r="BT167" s="114">
        <v>14079</v>
      </c>
      <c r="BU167" s="114">
        <v>15466</v>
      </c>
      <c r="BV167" s="114">
        <v>16719</v>
      </c>
      <c r="BW167" s="114">
        <v>16547</v>
      </c>
      <c r="BX167" s="114">
        <v>16200</v>
      </c>
      <c r="BY167" s="114">
        <v>16820</v>
      </c>
      <c r="BZ167" s="114">
        <v>17601</v>
      </c>
      <c r="CA167" s="114">
        <v>16594</v>
      </c>
      <c r="CB167" s="114">
        <v>19187</v>
      </c>
      <c r="CC167" s="114">
        <v>19543</v>
      </c>
      <c r="CD167" s="114">
        <v>18322</v>
      </c>
      <c r="CE167" s="114">
        <v>17709</v>
      </c>
      <c r="CF167" s="114">
        <v>18902</v>
      </c>
      <c r="CG167" s="114">
        <v>22700</v>
      </c>
      <c r="CH167" s="114">
        <v>23135</v>
      </c>
      <c r="CI167" s="114">
        <v>23049</v>
      </c>
      <c r="CJ167" s="114">
        <v>24816</v>
      </c>
      <c r="CK167" s="114">
        <v>29493</v>
      </c>
      <c r="CL167" s="114">
        <v>29253</v>
      </c>
      <c r="CM167" s="114">
        <v>29737</v>
      </c>
      <c r="CN167" s="114">
        <v>28918</v>
      </c>
      <c r="CO167" s="114">
        <v>32074</v>
      </c>
      <c r="CP167" s="114">
        <v>33510</v>
      </c>
      <c r="CQ167" s="114">
        <v>32908</v>
      </c>
      <c r="CR167" s="114">
        <v>33193</v>
      </c>
      <c r="CS167" s="114">
        <v>36507</v>
      </c>
      <c r="CT167" s="114">
        <v>31523</v>
      </c>
      <c r="CU167" s="114">
        <v>31308</v>
      </c>
      <c r="CV167" s="114">
        <v>31910</v>
      </c>
      <c r="CW167" s="114">
        <v>38330</v>
      </c>
      <c r="CX167" s="114">
        <v>40400</v>
      </c>
      <c r="CY167" s="114">
        <v>37813</v>
      </c>
      <c r="CZ167" s="114">
        <v>39200</v>
      </c>
      <c r="DA167" s="114">
        <v>39938</v>
      </c>
      <c r="DB167" s="114">
        <v>44598</v>
      </c>
      <c r="DC167" s="114">
        <v>43825</v>
      </c>
      <c r="DD167" s="114">
        <v>46275</v>
      </c>
      <c r="DE167" s="114">
        <v>51621</v>
      </c>
      <c r="DF167" s="114">
        <v>48024</v>
      </c>
      <c r="DG167" s="114">
        <v>48122</v>
      </c>
      <c r="DH167" s="114">
        <v>49351</v>
      </c>
      <c r="DI167" s="114">
        <v>54908</v>
      </c>
      <c r="DJ167" s="114">
        <v>53040</v>
      </c>
      <c r="DK167" s="114">
        <v>56107</v>
      </c>
      <c r="DL167" s="114">
        <v>57417</v>
      </c>
      <c r="DM167" s="114">
        <v>63487</v>
      </c>
      <c r="DN167" s="114">
        <v>60707</v>
      </c>
      <c r="DO167" s="114">
        <v>68443</v>
      </c>
      <c r="DP167" s="114">
        <v>68695</v>
      </c>
      <c r="DQ167" s="114">
        <v>82600</v>
      </c>
      <c r="DR167" s="114">
        <v>79486</v>
      </c>
      <c r="DS167" s="114">
        <v>82969</v>
      </c>
      <c r="DT167" s="114">
        <v>86551</v>
      </c>
      <c r="DU167" s="114">
        <v>94389</v>
      </c>
      <c r="DV167" s="114">
        <v>95451</v>
      </c>
      <c r="DW167" s="114">
        <v>103318</v>
      </c>
      <c r="DX167" s="114">
        <v>107063</v>
      </c>
      <c r="DY167" s="114">
        <v>121471</v>
      </c>
      <c r="DZ167" s="114">
        <v>142152</v>
      </c>
      <c r="EA167" s="114">
        <v>155801</v>
      </c>
      <c r="EB167" s="114">
        <v>155288</v>
      </c>
      <c r="EC167" s="114">
        <v>162601</v>
      </c>
      <c r="ED167" s="114">
        <v>159450</v>
      </c>
      <c r="EE167" s="114">
        <v>177643</v>
      </c>
      <c r="EF167" s="114">
        <v>166258</v>
      </c>
      <c r="EG167" s="114">
        <v>176130</v>
      </c>
      <c r="EH167" s="114">
        <v>171652</v>
      </c>
      <c r="EI167" s="114">
        <v>166731</v>
      </c>
      <c r="EJ167" s="114">
        <v>168417</v>
      </c>
      <c r="EK167" s="114">
        <v>184226</v>
      </c>
      <c r="EL167" s="114">
        <v>172894</v>
      </c>
      <c r="EM167" s="114">
        <v>172685</v>
      </c>
      <c r="EN167" s="114">
        <v>170948</v>
      </c>
    </row>
    <row r="168" spans="1:144">
      <c r="A168" s="103"/>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G168" s="103"/>
      <c r="AH168" s="103"/>
      <c r="AI168" s="103"/>
      <c r="AJ168" s="103"/>
      <c r="AK168" s="103"/>
      <c r="AL168" s="103"/>
      <c r="AM168" s="103"/>
      <c r="AN168" s="103"/>
      <c r="AO168" s="103"/>
      <c r="AP168" s="103"/>
      <c r="AQ168" s="103"/>
      <c r="AR168" s="103"/>
      <c r="AS168" s="103"/>
      <c r="AT168" s="103"/>
      <c r="AU168" s="103"/>
      <c r="AV168" s="103"/>
      <c r="AW168" s="103"/>
      <c r="AX168" s="103"/>
      <c r="AY168" s="103"/>
      <c r="AZ168" s="103"/>
      <c r="BA168" s="103"/>
      <c r="BB168" s="103"/>
      <c r="BC168" s="103"/>
      <c r="BD168" s="103"/>
      <c r="BE168" s="103"/>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c r="CR168" s="103"/>
      <c r="CS168" s="103"/>
      <c r="CT168" s="103"/>
      <c r="CU168" s="103"/>
      <c r="CV168" s="103"/>
      <c r="CW168" s="103"/>
      <c r="CX168" s="103"/>
      <c r="CY168" s="103"/>
      <c r="CZ168" s="103"/>
      <c r="DA168" s="103"/>
      <c r="DB168" s="103"/>
      <c r="DC168" s="103"/>
      <c r="DD168" s="103"/>
      <c r="DE168" s="103"/>
      <c r="DF168" s="103"/>
      <c r="DG168" s="103"/>
      <c r="DH168" s="103"/>
      <c r="DI168" s="103"/>
      <c r="DJ168" s="103"/>
      <c r="DK168" s="103"/>
      <c r="DL168" s="103"/>
      <c r="DM168" s="103"/>
      <c r="DN168" s="103"/>
      <c r="DO168" s="103"/>
      <c r="DP168" s="103"/>
      <c r="DQ168" s="103"/>
      <c r="DR168" s="103"/>
      <c r="DS168" s="103"/>
      <c r="DT168" s="103"/>
      <c r="DU168" s="103"/>
      <c r="DV168" s="103"/>
      <c r="DW168" s="103"/>
      <c r="DX168" s="103"/>
      <c r="DY168" s="103"/>
      <c r="DZ168" s="103"/>
      <c r="EA168" s="103"/>
      <c r="EB168" s="103"/>
      <c r="EC168" s="103"/>
      <c r="ED168" s="103"/>
      <c r="EE168" s="103"/>
      <c r="EF168" s="103"/>
      <c r="EG168" s="103"/>
      <c r="EH168" s="103"/>
      <c r="EI168" s="103"/>
      <c r="EJ168" s="103"/>
      <c r="EK168" s="103"/>
      <c r="EL168" s="103"/>
      <c r="EM168" s="103"/>
      <c r="EN168" s="103"/>
    </row>
    <row r="169" spans="1:144">
      <c r="A169" s="103" t="s">
        <v>2397</v>
      </c>
      <c r="B169" s="113">
        <v>0</v>
      </c>
      <c r="C169" s="113">
        <v>0</v>
      </c>
      <c r="D169" s="113">
        <v>0</v>
      </c>
      <c r="E169" s="113">
        <v>0</v>
      </c>
      <c r="F169" s="113">
        <v>0</v>
      </c>
      <c r="G169" s="113">
        <v>0</v>
      </c>
      <c r="H169" s="113">
        <v>980</v>
      </c>
      <c r="I169" s="113">
        <v>980</v>
      </c>
      <c r="J169" s="113">
        <v>980</v>
      </c>
      <c r="K169" s="113">
        <v>0</v>
      </c>
      <c r="L169" s="113">
        <v>0</v>
      </c>
      <c r="M169" s="113">
        <v>0</v>
      </c>
      <c r="N169" s="113">
        <v>0</v>
      </c>
      <c r="O169" s="113">
        <v>0</v>
      </c>
      <c r="P169" s="113">
        <v>0</v>
      </c>
      <c r="Q169" s="113">
        <v>0</v>
      </c>
      <c r="R169" s="113">
        <v>0</v>
      </c>
      <c r="S169" s="113">
        <v>0</v>
      </c>
      <c r="T169" s="113">
        <v>0</v>
      </c>
      <c r="U169" s="113">
        <v>0</v>
      </c>
      <c r="V169" s="113">
        <v>0</v>
      </c>
      <c r="W169" s="113">
        <v>0</v>
      </c>
      <c r="X169" s="113">
        <v>0</v>
      </c>
      <c r="Y169" s="113">
        <v>0</v>
      </c>
      <c r="Z169" s="113">
        <v>0</v>
      </c>
      <c r="AA169" s="113">
        <v>0</v>
      </c>
      <c r="AB169" s="113">
        <v>0</v>
      </c>
      <c r="AC169" s="113">
        <v>0</v>
      </c>
      <c r="AD169" s="113">
        <v>0</v>
      </c>
      <c r="AE169" s="113">
        <v>0</v>
      </c>
      <c r="AG169" s="103" t="s">
        <v>2397</v>
      </c>
      <c r="AH169" s="113">
        <v>0</v>
      </c>
      <c r="AI169" s="113">
        <v>0</v>
      </c>
      <c r="AJ169" s="113">
        <v>0</v>
      </c>
      <c r="AK169" s="113">
        <v>0</v>
      </c>
      <c r="AL169" s="113">
        <v>0</v>
      </c>
      <c r="AM169" s="113">
        <v>0</v>
      </c>
      <c r="AN169" s="113">
        <v>0</v>
      </c>
      <c r="AO169" s="113">
        <v>0</v>
      </c>
      <c r="AP169" s="113">
        <v>0</v>
      </c>
      <c r="AQ169" s="113">
        <v>0</v>
      </c>
      <c r="AR169" s="113">
        <v>0</v>
      </c>
      <c r="AS169" s="113">
        <v>0</v>
      </c>
      <c r="AT169" s="113">
        <v>0</v>
      </c>
      <c r="AU169" s="113">
        <v>0</v>
      </c>
      <c r="AV169" s="113">
        <v>0</v>
      </c>
      <c r="AW169" s="113">
        <v>0</v>
      </c>
      <c r="AX169" s="113">
        <v>0</v>
      </c>
      <c r="AY169" s="113">
        <v>980</v>
      </c>
      <c r="AZ169" s="113">
        <v>980</v>
      </c>
      <c r="BA169" s="113">
        <v>980</v>
      </c>
      <c r="BB169" s="113">
        <v>980</v>
      </c>
      <c r="BC169" s="113">
        <v>980</v>
      </c>
      <c r="BD169" s="113">
        <v>980</v>
      </c>
      <c r="BE169" s="113">
        <v>980</v>
      </c>
      <c r="BF169" s="113">
        <v>980</v>
      </c>
      <c r="BG169" s="113">
        <v>980</v>
      </c>
      <c r="BH169" s="113">
        <v>980</v>
      </c>
      <c r="BI169" s="113">
        <v>980</v>
      </c>
      <c r="BJ169" s="113">
        <v>980</v>
      </c>
      <c r="BK169" s="113">
        <v>0</v>
      </c>
      <c r="BL169" s="113">
        <v>0</v>
      </c>
      <c r="BM169" s="113">
        <v>0</v>
      </c>
      <c r="BN169" s="113">
        <v>0</v>
      </c>
      <c r="BO169" s="113">
        <v>0</v>
      </c>
      <c r="BP169" s="113">
        <v>0</v>
      </c>
      <c r="BQ169" s="113">
        <v>0</v>
      </c>
      <c r="BR169" s="113">
        <v>0</v>
      </c>
      <c r="BS169" s="113">
        <v>0</v>
      </c>
      <c r="BT169" s="113">
        <v>0</v>
      </c>
      <c r="BU169" s="113">
        <v>0</v>
      </c>
      <c r="BV169" s="113">
        <v>0</v>
      </c>
      <c r="BW169" s="113">
        <v>0</v>
      </c>
      <c r="BX169" s="113">
        <v>0</v>
      </c>
      <c r="BY169" s="113">
        <v>0</v>
      </c>
      <c r="BZ169" s="113">
        <v>0</v>
      </c>
      <c r="CA169" s="113">
        <v>0</v>
      </c>
      <c r="CB169" s="113">
        <v>0</v>
      </c>
      <c r="CC169" s="113">
        <v>0</v>
      </c>
      <c r="CD169" s="113">
        <v>0</v>
      </c>
      <c r="CE169" s="113">
        <v>0</v>
      </c>
      <c r="CF169" s="113">
        <v>0</v>
      </c>
      <c r="CG169" s="113">
        <v>0</v>
      </c>
      <c r="CH169" s="113">
        <v>0</v>
      </c>
      <c r="CI169" s="113">
        <v>0</v>
      </c>
      <c r="CJ169" s="113">
        <v>0</v>
      </c>
      <c r="CK169" s="113">
        <v>0</v>
      </c>
      <c r="CL169" s="113">
        <v>0</v>
      </c>
      <c r="CM169" s="113">
        <v>0</v>
      </c>
      <c r="CN169" s="113">
        <v>0</v>
      </c>
      <c r="CO169" s="113">
        <v>0</v>
      </c>
      <c r="CP169" s="113">
        <v>0</v>
      </c>
      <c r="CQ169" s="113">
        <v>0</v>
      </c>
      <c r="CR169" s="113">
        <v>0</v>
      </c>
      <c r="CS169" s="113">
        <v>0</v>
      </c>
      <c r="CT169" s="113">
        <v>0</v>
      </c>
      <c r="CU169" s="113">
        <v>0</v>
      </c>
      <c r="CV169" s="113">
        <v>0</v>
      </c>
      <c r="CW169" s="113">
        <v>0</v>
      </c>
      <c r="CX169" s="113">
        <v>0</v>
      </c>
      <c r="CY169" s="113">
        <v>0</v>
      </c>
      <c r="CZ169" s="113">
        <v>0</v>
      </c>
      <c r="DA169" s="113">
        <v>0</v>
      </c>
      <c r="DB169" s="113">
        <v>0</v>
      </c>
      <c r="DC169" s="113">
        <v>0</v>
      </c>
      <c r="DD169" s="113">
        <v>0</v>
      </c>
      <c r="DE169" s="113">
        <v>0</v>
      </c>
      <c r="DF169" s="113">
        <v>0</v>
      </c>
      <c r="DG169" s="113">
        <v>0</v>
      </c>
      <c r="DH169" s="113">
        <v>0</v>
      </c>
      <c r="DI169" s="113">
        <v>0</v>
      </c>
      <c r="DJ169" s="113">
        <v>0</v>
      </c>
      <c r="DK169" s="113">
        <v>0</v>
      </c>
      <c r="DL169" s="113">
        <v>0</v>
      </c>
      <c r="DM169" s="113">
        <v>0</v>
      </c>
      <c r="DN169" s="113">
        <v>0</v>
      </c>
      <c r="DO169" s="113">
        <v>0</v>
      </c>
      <c r="DP169" s="113">
        <v>0</v>
      </c>
      <c r="DQ169" s="113">
        <v>0</v>
      </c>
      <c r="DR169" s="113">
        <v>0</v>
      </c>
      <c r="DS169" s="113">
        <v>0</v>
      </c>
      <c r="DT169" s="113">
        <v>0</v>
      </c>
      <c r="DU169" s="113">
        <v>0</v>
      </c>
      <c r="DV169" s="113">
        <v>0</v>
      </c>
      <c r="DW169" s="113">
        <v>0</v>
      </c>
      <c r="DX169" s="113">
        <v>0</v>
      </c>
      <c r="DY169" s="113">
        <v>0</v>
      </c>
      <c r="DZ169" s="113">
        <v>0</v>
      </c>
      <c r="EA169" s="113">
        <v>0</v>
      </c>
      <c r="EB169" s="113">
        <v>0</v>
      </c>
      <c r="EC169" s="113">
        <v>0</v>
      </c>
      <c r="ED169" s="113">
        <v>0</v>
      </c>
      <c r="EE169" s="113">
        <v>0</v>
      </c>
      <c r="EF169" s="113">
        <v>0</v>
      </c>
      <c r="EG169" s="113">
        <v>0</v>
      </c>
      <c r="EH169" s="113">
        <v>0</v>
      </c>
      <c r="EI169" s="113">
        <v>0</v>
      </c>
      <c r="EJ169" s="113">
        <v>0</v>
      </c>
      <c r="EK169" s="113">
        <v>0</v>
      </c>
      <c r="EL169" s="113">
        <v>0</v>
      </c>
      <c r="EM169" s="113">
        <v>0</v>
      </c>
      <c r="EN169" s="113">
        <v>0</v>
      </c>
    </row>
    <row r="170" spans="1:144" ht="10.5">
      <c r="A170" s="112" t="s">
        <v>2398</v>
      </c>
      <c r="B170" s="114">
        <v>0</v>
      </c>
      <c r="C170" s="114">
        <v>0</v>
      </c>
      <c r="D170" s="114">
        <v>0</v>
      </c>
      <c r="E170" s="114">
        <v>0</v>
      </c>
      <c r="F170" s="114">
        <v>0</v>
      </c>
      <c r="G170" s="114">
        <v>0</v>
      </c>
      <c r="H170" s="114">
        <v>980</v>
      </c>
      <c r="I170" s="114">
        <v>980</v>
      </c>
      <c r="J170" s="114">
        <v>980</v>
      </c>
      <c r="K170" s="114">
        <v>0</v>
      </c>
      <c r="L170" s="114">
        <v>0</v>
      </c>
      <c r="M170" s="114">
        <v>0</v>
      </c>
      <c r="N170" s="114">
        <v>0</v>
      </c>
      <c r="O170" s="114">
        <v>0</v>
      </c>
      <c r="P170" s="114">
        <v>0</v>
      </c>
      <c r="Q170" s="114">
        <v>0</v>
      </c>
      <c r="R170" s="114">
        <v>0</v>
      </c>
      <c r="S170" s="114">
        <v>0</v>
      </c>
      <c r="T170" s="114">
        <v>0</v>
      </c>
      <c r="U170" s="114">
        <v>0</v>
      </c>
      <c r="V170" s="114">
        <v>0</v>
      </c>
      <c r="W170" s="114">
        <v>0</v>
      </c>
      <c r="X170" s="114">
        <v>0</v>
      </c>
      <c r="Y170" s="114">
        <v>0</v>
      </c>
      <c r="Z170" s="114">
        <v>0</v>
      </c>
      <c r="AA170" s="114">
        <v>0</v>
      </c>
      <c r="AB170" s="114">
        <v>0</v>
      </c>
      <c r="AC170" s="114">
        <v>0</v>
      </c>
      <c r="AD170" s="114">
        <v>0</v>
      </c>
      <c r="AE170" s="114">
        <v>0</v>
      </c>
      <c r="AG170" s="112" t="s">
        <v>2398</v>
      </c>
      <c r="AH170" s="114">
        <v>0</v>
      </c>
      <c r="AI170" s="114">
        <v>0</v>
      </c>
      <c r="AJ170" s="114">
        <v>0</v>
      </c>
      <c r="AK170" s="114">
        <v>0</v>
      </c>
      <c r="AL170" s="114">
        <v>0</v>
      </c>
      <c r="AM170" s="114">
        <v>0</v>
      </c>
      <c r="AN170" s="114">
        <v>0</v>
      </c>
      <c r="AO170" s="114">
        <v>0</v>
      </c>
      <c r="AP170" s="114">
        <v>0</v>
      </c>
      <c r="AQ170" s="114">
        <v>0</v>
      </c>
      <c r="AR170" s="114">
        <v>0</v>
      </c>
      <c r="AS170" s="114">
        <v>0</v>
      </c>
      <c r="AT170" s="114">
        <v>0</v>
      </c>
      <c r="AU170" s="114">
        <v>0</v>
      </c>
      <c r="AV170" s="114">
        <v>0</v>
      </c>
      <c r="AW170" s="114">
        <v>0</v>
      </c>
      <c r="AX170" s="114">
        <v>0</v>
      </c>
      <c r="AY170" s="114">
        <v>980</v>
      </c>
      <c r="AZ170" s="114">
        <v>980</v>
      </c>
      <c r="BA170" s="114">
        <v>980</v>
      </c>
      <c r="BB170" s="114">
        <v>980</v>
      </c>
      <c r="BC170" s="114">
        <v>980</v>
      </c>
      <c r="BD170" s="114">
        <v>980</v>
      </c>
      <c r="BE170" s="114">
        <v>980</v>
      </c>
      <c r="BF170" s="114">
        <v>980</v>
      </c>
      <c r="BG170" s="114">
        <v>980</v>
      </c>
      <c r="BH170" s="114">
        <v>980</v>
      </c>
      <c r="BI170" s="114">
        <v>980</v>
      </c>
      <c r="BJ170" s="114">
        <v>980</v>
      </c>
      <c r="BK170" s="114">
        <v>0</v>
      </c>
      <c r="BL170" s="114">
        <v>0</v>
      </c>
      <c r="BM170" s="114">
        <v>0</v>
      </c>
      <c r="BN170" s="114">
        <v>0</v>
      </c>
      <c r="BO170" s="114">
        <v>0</v>
      </c>
      <c r="BP170" s="114">
        <v>0</v>
      </c>
      <c r="BQ170" s="114">
        <v>0</v>
      </c>
      <c r="BR170" s="114">
        <v>0</v>
      </c>
      <c r="BS170" s="114">
        <v>0</v>
      </c>
      <c r="BT170" s="114">
        <v>0</v>
      </c>
      <c r="BU170" s="114">
        <v>0</v>
      </c>
      <c r="BV170" s="114">
        <v>0</v>
      </c>
      <c r="BW170" s="114">
        <v>0</v>
      </c>
      <c r="BX170" s="114">
        <v>0</v>
      </c>
      <c r="BY170" s="114">
        <v>0</v>
      </c>
      <c r="BZ170" s="114">
        <v>0</v>
      </c>
      <c r="CA170" s="114">
        <v>0</v>
      </c>
      <c r="CB170" s="114">
        <v>0</v>
      </c>
      <c r="CC170" s="114">
        <v>0</v>
      </c>
      <c r="CD170" s="114">
        <v>0</v>
      </c>
      <c r="CE170" s="114">
        <v>0</v>
      </c>
      <c r="CF170" s="114">
        <v>0</v>
      </c>
      <c r="CG170" s="114">
        <v>0</v>
      </c>
      <c r="CH170" s="114">
        <v>0</v>
      </c>
      <c r="CI170" s="114">
        <v>0</v>
      </c>
      <c r="CJ170" s="114">
        <v>0</v>
      </c>
      <c r="CK170" s="114">
        <v>0</v>
      </c>
      <c r="CL170" s="114">
        <v>0</v>
      </c>
      <c r="CM170" s="114">
        <v>0</v>
      </c>
      <c r="CN170" s="114">
        <v>0</v>
      </c>
      <c r="CO170" s="114">
        <v>0</v>
      </c>
      <c r="CP170" s="114">
        <v>0</v>
      </c>
      <c r="CQ170" s="114">
        <v>0</v>
      </c>
      <c r="CR170" s="114">
        <v>0</v>
      </c>
      <c r="CS170" s="114">
        <v>0</v>
      </c>
      <c r="CT170" s="114">
        <v>0</v>
      </c>
      <c r="CU170" s="114">
        <v>0</v>
      </c>
      <c r="CV170" s="114">
        <v>0</v>
      </c>
      <c r="CW170" s="114">
        <v>0</v>
      </c>
      <c r="CX170" s="114">
        <v>0</v>
      </c>
      <c r="CY170" s="114">
        <v>0</v>
      </c>
      <c r="CZ170" s="114">
        <v>0</v>
      </c>
      <c r="DA170" s="114">
        <v>0</v>
      </c>
      <c r="DB170" s="114">
        <v>0</v>
      </c>
      <c r="DC170" s="114">
        <v>0</v>
      </c>
      <c r="DD170" s="114">
        <v>0</v>
      </c>
      <c r="DE170" s="114">
        <v>0</v>
      </c>
      <c r="DF170" s="114">
        <v>0</v>
      </c>
      <c r="DG170" s="114">
        <v>0</v>
      </c>
      <c r="DH170" s="114">
        <v>0</v>
      </c>
      <c r="DI170" s="114">
        <v>0</v>
      </c>
      <c r="DJ170" s="114">
        <v>0</v>
      </c>
      <c r="DK170" s="114">
        <v>0</v>
      </c>
      <c r="DL170" s="114">
        <v>0</v>
      </c>
      <c r="DM170" s="114">
        <v>0</v>
      </c>
      <c r="DN170" s="114">
        <v>0</v>
      </c>
      <c r="DO170" s="114">
        <v>0</v>
      </c>
      <c r="DP170" s="114">
        <v>0</v>
      </c>
      <c r="DQ170" s="114">
        <v>0</v>
      </c>
      <c r="DR170" s="114">
        <v>0</v>
      </c>
      <c r="DS170" s="114">
        <v>0</v>
      </c>
      <c r="DT170" s="114">
        <v>0</v>
      </c>
      <c r="DU170" s="114">
        <v>0</v>
      </c>
      <c r="DV170" s="114">
        <v>0</v>
      </c>
      <c r="DW170" s="114">
        <v>0</v>
      </c>
      <c r="DX170" s="114">
        <v>0</v>
      </c>
      <c r="DY170" s="114">
        <v>0</v>
      </c>
      <c r="DZ170" s="114">
        <v>0</v>
      </c>
      <c r="EA170" s="114">
        <v>0</v>
      </c>
      <c r="EB170" s="114">
        <v>0</v>
      </c>
      <c r="EC170" s="114">
        <v>0</v>
      </c>
      <c r="ED170" s="114">
        <v>0</v>
      </c>
      <c r="EE170" s="114">
        <v>0</v>
      </c>
      <c r="EF170" s="114">
        <v>0</v>
      </c>
      <c r="EG170" s="114">
        <v>0</v>
      </c>
      <c r="EH170" s="114">
        <v>0</v>
      </c>
      <c r="EI170" s="114">
        <v>0</v>
      </c>
      <c r="EJ170" s="114">
        <v>0</v>
      </c>
      <c r="EK170" s="114">
        <v>0</v>
      </c>
      <c r="EL170" s="114">
        <v>0</v>
      </c>
      <c r="EM170" s="114">
        <v>0</v>
      </c>
      <c r="EN170" s="114">
        <v>0</v>
      </c>
    </row>
    <row r="171" spans="1:144">
      <c r="A171" s="103"/>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G171" s="103"/>
      <c r="AH171" s="103"/>
      <c r="AI171" s="103"/>
      <c r="AJ171" s="103"/>
      <c r="AK171" s="103"/>
      <c r="AL171" s="103"/>
      <c r="AM171" s="103"/>
      <c r="AN171" s="103"/>
      <c r="AO171" s="103"/>
      <c r="AP171" s="103"/>
      <c r="AQ171" s="103"/>
      <c r="AR171" s="103"/>
      <c r="AS171" s="103"/>
      <c r="AT171" s="103"/>
      <c r="AU171" s="103"/>
      <c r="AV171" s="103"/>
      <c r="AW171" s="103"/>
      <c r="AX171" s="103"/>
      <c r="AY171" s="103"/>
      <c r="AZ171" s="103"/>
      <c r="BA171" s="103"/>
      <c r="BB171" s="103"/>
      <c r="BC171" s="103"/>
      <c r="BD171" s="103"/>
      <c r="BE171" s="103"/>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03"/>
      <c r="CR171" s="103"/>
      <c r="CS171" s="103"/>
      <c r="CT171" s="103"/>
      <c r="CU171" s="103"/>
      <c r="CV171" s="103"/>
      <c r="CW171" s="103"/>
      <c r="CX171" s="103"/>
      <c r="CY171" s="103"/>
      <c r="CZ171" s="103"/>
      <c r="DA171" s="103"/>
      <c r="DB171" s="103"/>
      <c r="DC171" s="103"/>
      <c r="DD171" s="103"/>
      <c r="DE171" s="103"/>
      <c r="DF171" s="103"/>
      <c r="DG171" s="103"/>
      <c r="DH171" s="103"/>
      <c r="DI171" s="103"/>
      <c r="DJ171" s="103"/>
      <c r="DK171" s="103"/>
      <c r="DL171" s="103"/>
      <c r="DM171" s="103"/>
      <c r="DN171" s="103"/>
      <c r="DO171" s="103"/>
      <c r="DP171" s="103"/>
      <c r="DQ171" s="103"/>
      <c r="DR171" s="103"/>
      <c r="DS171" s="103"/>
      <c r="DT171" s="103"/>
      <c r="DU171" s="103"/>
      <c r="DV171" s="103"/>
      <c r="DW171" s="103"/>
      <c r="DX171" s="103"/>
      <c r="DY171" s="103"/>
      <c r="DZ171" s="103"/>
      <c r="EA171" s="103"/>
      <c r="EB171" s="103"/>
      <c r="EC171" s="103"/>
      <c r="ED171" s="103"/>
      <c r="EE171" s="103"/>
      <c r="EF171" s="103"/>
      <c r="EG171" s="103"/>
      <c r="EH171" s="103"/>
      <c r="EI171" s="103"/>
      <c r="EJ171" s="103"/>
      <c r="EK171" s="103"/>
      <c r="EL171" s="103"/>
      <c r="EM171" s="103"/>
      <c r="EN171" s="103"/>
    </row>
    <row r="172" spans="1:144">
      <c r="A172" s="103" t="s">
        <v>1659</v>
      </c>
      <c r="B172" s="113">
        <v>394.54199999999997</v>
      </c>
      <c r="C172" s="113">
        <v>657</v>
      </c>
      <c r="D172" s="113">
        <v>1086</v>
      </c>
      <c r="E172" s="113">
        <v>1500</v>
      </c>
      <c r="F172" s="113">
        <v>2005</v>
      </c>
      <c r="G172" s="113">
        <v>2924</v>
      </c>
      <c r="H172" s="113">
        <v>4509</v>
      </c>
      <c r="I172" s="113">
        <v>8025</v>
      </c>
      <c r="J172" s="113">
        <v>13844</v>
      </c>
      <c r="K172" s="113">
        <v>23195</v>
      </c>
      <c r="L172" s="113">
        <v>28390</v>
      </c>
      <c r="M172" s="113">
        <v>31647</v>
      </c>
      <c r="N172" s="113">
        <v>49234</v>
      </c>
      <c r="O172" s="113">
        <v>56396</v>
      </c>
      <c r="P172" s="113">
        <v>60413</v>
      </c>
      <c r="Q172" s="113">
        <v>59005</v>
      </c>
      <c r="R172" s="113">
        <v>60557</v>
      </c>
      <c r="S172" s="113">
        <v>62849</v>
      </c>
      <c r="T172" s="113">
        <v>62382</v>
      </c>
      <c r="U172" s="113">
        <v>62856</v>
      </c>
      <c r="V172" s="113">
        <v>63415</v>
      </c>
      <c r="W172" s="113">
        <v>65797</v>
      </c>
      <c r="X172" s="113">
        <v>67306</v>
      </c>
      <c r="Y172" s="113">
        <v>68366</v>
      </c>
      <c r="Z172" s="113">
        <v>68465</v>
      </c>
      <c r="AA172" s="113">
        <v>68178</v>
      </c>
      <c r="AB172" s="113">
        <v>69315</v>
      </c>
      <c r="AC172" s="113">
        <v>71223</v>
      </c>
      <c r="AD172" s="113">
        <v>78520</v>
      </c>
      <c r="AE172" s="113">
        <v>79813</v>
      </c>
      <c r="AG172" s="103" t="s">
        <v>1659</v>
      </c>
      <c r="AH172" s="113">
        <v>0</v>
      </c>
      <c r="AI172" s="113">
        <v>0</v>
      </c>
      <c r="AJ172" s="113">
        <v>0</v>
      </c>
      <c r="AK172" s="113">
        <v>1086</v>
      </c>
      <c r="AL172" s="113">
        <v>0</v>
      </c>
      <c r="AM172" s="113">
        <v>1232</v>
      </c>
      <c r="AN172" s="113">
        <v>1373</v>
      </c>
      <c r="AO172" s="113">
        <v>1500</v>
      </c>
      <c r="AP172" s="113">
        <v>1606</v>
      </c>
      <c r="AQ172" s="113">
        <v>1699</v>
      </c>
      <c r="AR172" s="113">
        <v>1862</v>
      </c>
      <c r="AS172" s="113">
        <v>2005</v>
      </c>
      <c r="AT172" s="113">
        <v>2172</v>
      </c>
      <c r="AU172" s="113">
        <v>2285</v>
      </c>
      <c r="AV172" s="113">
        <v>2678</v>
      </c>
      <c r="AW172" s="113">
        <v>2924</v>
      </c>
      <c r="AX172" s="113">
        <v>3220</v>
      </c>
      <c r="AY172" s="113">
        <v>3541</v>
      </c>
      <c r="AZ172" s="113">
        <v>4036</v>
      </c>
      <c r="BA172" s="113">
        <v>4509</v>
      </c>
      <c r="BB172" s="113">
        <v>5630</v>
      </c>
      <c r="BC172" s="113">
        <v>6104</v>
      </c>
      <c r="BD172" s="113">
        <v>6984</v>
      </c>
      <c r="BE172" s="113">
        <v>8025</v>
      </c>
      <c r="BF172" s="113">
        <v>9161</v>
      </c>
      <c r="BG172" s="113">
        <v>10443</v>
      </c>
      <c r="BH172" s="113">
        <v>12418</v>
      </c>
      <c r="BI172" s="113">
        <v>13844</v>
      </c>
      <c r="BJ172" s="113">
        <v>15878</v>
      </c>
      <c r="BK172" s="113">
        <v>18878</v>
      </c>
      <c r="BL172" s="113">
        <v>20975</v>
      </c>
      <c r="BM172" s="113">
        <v>23195</v>
      </c>
      <c r="BN172" s="113">
        <v>26661</v>
      </c>
      <c r="BO172" s="113">
        <v>27178</v>
      </c>
      <c r="BP172" s="113">
        <v>27647</v>
      </c>
      <c r="BQ172" s="113">
        <v>28390</v>
      </c>
      <c r="BR172" s="113">
        <v>29296</v>
      </c>
      <c r="BS172" s="113">
        <v>30175</v>
      </c>
      <c r="BT172" s="113">
        <v>30904</v>
      </c>
      <c r="BU172" s="113">
        <v>31647</v>
      </c>
      <c r="BV172" s="113">
        <v>33013</v>
      </c>
      <c r="BW172" s="113">
        <v>33605</v>
      </c>
      <c r="BX172" s="113">
        <v>34332</v>
      </c>
      <c r="BY172" s="113">
        <v>49234</v>
      </c>
      <c r="BZ172" s="113">
        <v>51298</v>
      </c>
      <c r="CA172" s="113">
        <v>52676</v>
      </c>
      <c r="CB172" s="113">
        <v>53975</v>
      </c>
      <c r="CC172" s="113">
        <v>56396</v>
      </c>
      <c r="CD172" s="113">
        <v>57147</v>
      </c>
      <c r="CE172" s="113">
        <v>58403</v>
      </c>
      <c r="CF172" s="113">
        <v>58829</v>
      </c>
      <c r="CG172" s="113">
        <v>60413</v>
      </c>
      <c r="CH172" s="113">
        <v>60862</v>
      </c>
      <c r="CI172" s="113">
        <v>60140</v>
      </c>
      <c r="CJ172" s="113">
        <v>59850</v>
      </c>
      <c r="CK172" s="113">
        <v>59005</v>
      </c>
      <c r="CL172" s="113">
        <v>57657</v>
      </c>
      <c r="CM172" s="113">
        <v>61152</v>
      </c>
      <c r="CN172" s="113">
        <v>60827</v>
      </c>
      <c r="CO172" s="113">
        <v>60557</v>
      </c>
      <c r="CP172" s="113">
        <v>60699</v>
      </c>
      <c r="CQ172" s="113">
        <v>62528</v>
      </c>
      <c r="CR172" s="113">
        <v>63375</v>
      </c>
      <c r="CS172" s="113">
        <v>62849</v>
      </c>
      <c r="CT172" s="113">
        <v>61655</v>
      </c>
      <c r="CU172" s="113">
        <v>61392</v>
      </c>
      <c r="CV172" s="113">
        <v>61896</v>
      </c>
      <c r="CW172" s="113">
        <v>62382</v>
      </c>
      <c r="CX172" s="113">
        <v>62293</v>
      </c>
      <c r="CY172" s="113">
        <v>62566</v>
      </c>
      <c r="CZ172" s="113">
        <v>62517</v>
      </c>
      <c r="DA172" s="113">
        <v>62856</v>
      </c>
      <c r="DB172" s="113">
        <v>61935</v>
      </c>
      <c r="DC172" s="113">
        <v>61646</v>
      </c>
      <c r="DD172" s="113">
        <v>63234</v>
      </c>
      <c r="DE172" s="113">
        <v>63415</v>
      </c>
      <c r="DF172" s="113">
        <v>63492</v>
      </c>
      <c r="DG172" s="113">
        <v>63902</v>
      </c>
      <c r="DH172" s="113">
        <v>65273</v>
      </c>
      <c r="DI172" s="113">
        <v>65797</v>
      </c>
      <c r="DJ172" s="113">
        <v>66084</v>
      </c>
      <c r="DK172" s="113">
        <v>66334</v>
      </c>
      <c r="DL172" s="113">
        <v>66826</v>
      </c>
      <c r="DM172" s="113">
        <v>67306</v>
      </c>
      <c r="DN172" s="113">
        <v>67230</v>
      </c>
      <c r="DO172" s="113">
        <v>67476</v>
      </c>
      <c r="DP172" s="113">
        <v>67803</v>
      </c>
      <c r="DQ172" s="113">
        <v>68366</v>
      </c>
      <c r="DR172" s="113">
        <v>68362</v>
      </c>
      <c r="DS172" s="113">
        <v>68765</v>
      </c>
      <c r="DT172" s="113">
        <v>68475</v>
      </c>
      <c r="DU172" s="113">
        <v>68465</v>
      </c>
      <c r="DV172" s="113">
        <v>68093</v>
      </c>
      <c r="DW172" s="113">
        <v>68279</v>
      </c>
      <c r="DX172" s="113">
        <v>68012</v>
      </c>
      <c r="DY172" s="113">
        <v>68178</v>
      </c>
      <c r="DZ172" s="113">
        <v>67747</v>
      </c>
      <c r="EA172" s="113">
        <v>68177</v>
      </c>
      <c r="EB172" s="113">
        <v>68554</v>
      </c>
      <c r="EC172" s="113">
        <v>69315</v>
      </c>
      <c r="ED172" s="113">
        <v>69419</v>
      </c>
      <c r="EE172" s="113">
        <v>70192</v>
      </c>
      <c r="EF172" s="113">
        <v>70418</v>
      </c>
      <c r="EG172" s="113">
        <v>71223</v>
      </c>
      <c r="EH172" s="113">
        <v>71303</v>
      </c>
      <c r="EI172" s="113">
        <v>77556</v>
      </c>
      <c r="EJ172" s="113">
        <v>77791</v>
      </c>
      <c r="EK172" s="113">
        <v>78520</v>
      </c>
      <c r="EL172" s="113">
        <v>78882</v>
      </c>
      <c r="EM172" s="113">
        <v>79625</v>
      </c>
      <c r="EN172" s="113">
        <v>79813</v>
      </c>
    </row>
    <row r="173" spans="1:144">
      <c r="A173" s="103" t="s">
        <v>2399</v>
      </c>
      <c r="B173" s="113">
        <v>0</v>
      </c>
      <c r="C173" s="113">
        <v>0</v>
      </c>
      <c r="D173" s="113">
        <v>0</v>
      </c>
      <c r="E173" s="113">
        <v>0</v>
      </c>
      <c r="F173" s="113">
        <v>0</v>
      </c>
      <c r="G173" s="113">
        <v>0</v>
      </c>
      <c r="H173" s="113">
        <v>0</v>
      </c>
      <c r="I173" s="113">
        <v>0</v>
      </c>
      <c r="J173" s="113">
        <v>0</v>
      </c>
      <c r="K173" s="113">
        <v>0</v>
      </c>
      <c r="L173" s="113">
        <v>0</v>
      </c>
      <c r="M173" s="113">
        <v>0</v>
      </c>
      <c r="N173" s="113">
        <v>0</v>
      </c>
      <c r="O173" s="113">
        <v>0</v>
      </c>
      <c r="P173" s="113">
        <v>0</v>
      </c>
      <c r="Q173" s="113">
        <v>0</v>
      </c>
      <c r="R173" s="113">
        <v>0</v>
      </c>
      <c r="S173" s="113">
        <v>0</v>
      </c>
      <c r="T173" s="113">
        <v>0</v>
      </c>
      <c r="U173" s="113">
        <v>0</v>
      </c>
      <c r="V173" s="113">
        <v>0</v>
      </c>
      <c r="W173" s="113">
        <v>0</v>
      </c>
      <c r="X173" s="113">
        <v>0</v>
      </c>
      <c r="Y173" s="113">
        <v>0</v>
      </c>
      <c r="Z173" s="113">
        <v>0</v>
      </c>
      <c r="AA173" s="113">
        <v>0</v>
      </c>
      <c r="AB173" s="113">
        <v>0</v>
      </c>
      <c r="AC173" s="113">
        <v>0</v>
      </c>
      <c r="AD173" s="113">
        <v>0</v>
      </c>
      <c r="AE173" s="113">
        <v>0</v>
      </c>
      <c r="AG173" s="103" t="s">
        <v>2399</v>
      </c>
      <c r="AH173" s="113">
        <v>0</v>
      </c>
      <c r="AI173" s="113">
        <v>0</v>
      </c>
      <c r="AJ173" s="113">
        <v>0</v>
      </c>
      <c r="AK173" s="113">
        <v>0</v>
      </c>
      <c r="AL173" s="113">
        <v>0</v>
      </c>
      <c r="AM173" s="113">
        <v>0</v>
      </c>
      <c r="AN173" s="113">
        <v>0</v>
      </c>
      <c r="AO173" s="113">
        <v>0</v>
      </c>
      <c r="AP173" s="113">
        <v>0</v>
      </c>
      <c r="AQ173" s="113">
        <v>0</v>
      </c>
      <c r="AR173" s="113">
        <v>0</v>
      </c>
      <c r="AS173" s="113">
        <v>0</v>
      </c>
      <c r="AT173" s="113">
        <v>0</v>
      </c>
      <c r="AU173" s="113">
        <v>0</v>
      </c>
      <c r="AV173" s="113">
        <v>0</v>
      </c>
      <c r="AW173" s="113">
        <v>0</v>
      </c>
      <c r="AX173" s="113">
        <v>0</v>
      </c>
      <c r="AY173" s="113">
        <v>0</v>
      </c>
      <c r="AZ173" s="113">
        <v>0</v>
      </c>
      <c r="BA173" s="113">
        <v>0</v>
      </c>
      <c r="BB173" s="113">
        <v>0</v>
      </c>
      <c r="BC173" s="113">
        <v>0</v>
      </c>
      <c r="BD173" s="113">
        <v>0</v>
      </c>
      <c r="BE173" s="113">
        <v>0</v>
      </c>
      <c r="BF173" s="113">
        <v>0</v>
      </c>
      <c r="BG173" s="113">
        <v>0</v>
      </c>
      <c r="BH173" s="113">
        <v>0</v>
      </c>
      <c r="BI173" s="113">
        <v>0</v>
      </c>
      <c r="BJ173" s="113">
        <v>0</v>
      </c>
      <c r="BK173" s="113">
        <v>0</v>
      </c>
      <c r="BL173" s="113">
        <v>0</v>
      </c>
      <c r="BM173" s="113">
        <v>0</v>
      </c>
      <c r="BN173" s="113">
        <v>0</v>
      </c>
      <c r="BO173" s="113">
        <v>0</v>
      </c>
      <c r="BP173" s="113">
        <v>0</v>
      </c>
      <c r="BQ173" s="113">
        <v>0</v>
      </c>
      <c r="BR173" s="113">
        <v>0</v>
      </c>
      <c r="BS173" s="113">
        <v>0</v>
      </c>
      <c r="BT173" s="113">
        <v>0</v>
      </c>
      <c r="BU173" s="113">
        <v>0</v>
      </c>
      <c r="BV173" s="113">
        <v>0</v>
      </c>
      <c r="BW173" s="113">
        <v>0</v>
      </c>
      <c r="BX173" s="113">
        <v>0</v>
      </c>
      <c r="BY173" s="113">
        <v>0</v>
      </c>
      <c r="BZ173" s="113">
        <v>0</v>
      </c>
      <c r="CA173" s="113">
        <v>0</v>
      </c>
      <c r="CB173" s="113">
        <v>0</v>
      </c>
      <c r="CC173" s="113">
        <v>0</v>
      </c>
      <c r="CD173" s="113">
        <v>0</v>
      </c>
      <c r="CE173" s="113">
        <v>0</v>
      </c>
      <c r="CF173" s="113">
        <v>0</v>
      </c>
      <c r="CG173" s="113">
        <v>0</v>
      </c>
      <c r="CH173" s="113">
        <v>0</v>
      </c>
      <c r="CI173" s="113">
        <v>0</v>
      </c>
      <c r="CJ173" s="113">
        <v>0</v>
      </c>
      <c r="CK173" s="113">
        <v>0</v>
      </c>
      <c r="CL173" s="113">
        <v>0</v>
      </c>
      <c r="CM173" s="113">
        <v>0</v>
      </c>
      <c r="CN173" s="113">
        <v>0</v>
      </c>
      <c r="CO173" s="113">
        <v>0</v>
      </c>
      <c r="CP173" s="113">
        <v>0</v>
      </c>
      <c r="CQ173" s="113">
        <v>0</v>
      </c>
      <c r="CR173" s="113">
        <v>0</v>
      </c>
      <c r="CS173" s="113">
        <v>0</v>
      </c>
      <c r="CT173" s="113">
        <v>0</v>
      </c>
      <c r="CU173" s="113">
        <v>0</v>
      </c>
      <c r="CV173" s="113">
        <v>0</v>
      </c>
      <c r="CW173" s="113">
        <v>0</v>
      </c>
      <c r="CX173" s="113">
        <v>0</v>
      </c>
      <c r="CY173" s="113">
        <v>0</v>
      </c>
      <c r="CZ173" s="113">
        <v>0</v>
      </c>
      <c r="DA173" s="113">
        <v>0</v>
      </c>
      <c r="DB173" s="113">
        <v>0</v>
      </c>
      <c r="DC173" s="113">
        <v>0</v>
      </c>
      <c r="DD173" s="113">
        <v>0</v>
      </c>
      <c r="DE173" s="113">
        <v>0</v>
      </c>
      <c r="DF173" s="113">
        <v>0</v>
      </c>
      <c r="DG173" s="113">
        <v>0</v>
      </c>
      <c r="DH173" s="113">
        <v>0</v>
      </c>
      <c r="DI173" s="113">
        <v>0</v>
      </c>
      <c r="DJ173" s="113">
        <v>0</v>
      </c>
      <c r="DK173" s="113">
        <v>0</v>
      </c>
      <c r="DL173" s="113">
        <v>0</v>
      </c>
      <c r="DM173" s="113">
        <v>0</v>
      </c>
      <c r="DN173" s="113">
        <v>0</v>
      </c>
      <c r="DO173" s="113">
        <v>0</v>
      </c>
      <c r="DP173" s="113">
        <v>0</v>
      </c>
      <c r="DQ173" s="113">
        <v>0</v>
      </c>
      <c r="DR173" s="113">
        <v>0</v>
      </c>
      <c r="DS173" s="113">
        <v>0</v>
      </c>
      <c r="DT173" s="113">
        <v>0</v>
      </c>
      <c r="DU173" s="113">
        <v>0</v>
      </c>
      <c r="DV173" s="113">
        <v>0</v>
      </c>
      <c r="DW173" s="113">
        <v>0</v>
      </c>
      <c r="DX173" s="113">
        <v>0</v>
      </c>
      <c r="DY173" s="113">
        <v>0</v>
      </c>
      <c r="DZ173" s="113">
        <v>0</v>
      </c>
      <c r="EA173" s="113">
        <v>0</v>
      </c>
      <c r="EB173" s="113">
        <v>0</v>
      </c>
      <c r="EC173" s="113">
        <v>0</v>
      </c>
      <c r="ED173" s="113">
        <v>0</v>
      </c>
      <c r="EE173" s="113">
        <v>0</v>
      </c>
      <c r="EF173" s="113">
        <v>0</v>
      </c>
      <c r="EG173" s="113">
        <v>0</v>
      </c>
      <c r="EH173" s="113">
        <v>0</v>
      </c>
      <c r="EI173" s="113">
        <v>0</v>
      </c>
      <c r="EJ173" s="113">
        <v>0</v>
      </c>
      <c r="EK173" s="113">
        <v>0</v>
      </c>
      <c r="EL173" s="113">
        <v>0</v>
      </c>
      <c r="EM173" s="113">
        <v>0</v>
      </c>
      <c r="EN173" s="113">
        <v>0</v>
      </c>
    </row>
    <row r="174" spans="1:144">
      <c r="A174" s="103" t="s">
        <v>2400</v>
      </c>
      <c r="B174" s="113">
        <v>956.28899999999999</v>
      </c>
      <c r="C174" s="113">
        <v>1536</v>
      </c>
      <c r="D174" s="113">
        <v>2156</v>
      </c>
      <c r="E174" s="113">
        <v>2950</v>
      </c>
      <c r="F174" s="113">
        <v>3328</v>
      </c>
      <c r="G174" s="113">
        <v>3984</v>
      </c>
      <c r="H174" s="113">
        <v>5288</v>
      </c>
      <c r="I174" s="113">
        <v>6956</v>
      </c>
      <c r="J174" s="113">
        <v>11827</v>
      </c>
      <c r="K174" s="113">
        <v>16646</v>
      </c>
      <c r="L174" s="113">
        <v>18312</v>
      </c>
      <c r="M174" s="113">
        <v>19950</v>
      </c>
      <c r="N174" s="113">
        <v>13838</v>
      </c>
      <c r="O174" s="113">
        <v>17310</v>
      </c>
      <c r="P174" s="113">
        <v>-13724</v>
      </c>
      <c r="Q174" s="113">
        <v>-20130</v>
      </c>
      <c r="R174" s="113">
        <v>-31114</v>
      </c>
      <c r="S174" s="113">
        <v>-27703</v>
      </c>
      <c r="T174" s="113">
        <v>-23793</v>
      </c>
      <c r="U174" s="113">
        <v>-17736</v>
      </c>
      <c r="V174" s="113">
        <v>-8195</v>
      </c>
      <c r="W174" s="113">
        <v>-856</v>
      </c>
      <c r="X174" s="113">
        <v>9895</v>
      </c>
      <c r="Y174" s="113">
        <v>17710</v>
      </c>
      <c r="Z174" s="113">
        <v>9096</v>
      </c>
      <c r="AA174" s="113">
        <v>2282</v>
      </c>
      <c r="AB174" s="113">
        <v>17769</v>
      </c>
      <c r="AC174" s="113">
        <v>13682</v>
      </c>
      <c r="AD174" s="113">
        <v>24150</v>
      </c>
      <c r="AE174" s="113">
        <v>32012</v>
      </c>
      <c r="AG174" s="103" t="s">
        <v>2400</v>
      </c>
      <c r="AH174" s="113">
        <v>0</v>
      </c>
      <c r="AI174" s="113">
        <v>0</v>
      </c>
      <c r="AJ174" s="113">
        <v>0</v>
      </c>
      <c r="AK174" s="113">
        <v>2156</v>
      </c>
      <c r="AL174" s="113">
        <v>0</v>
      </c>
      <c r="AM174" s="113">
        <v>2514</v>
      </c>
      <c r="AN174" s="113">
        <v>2639</v>
      </c>
      <c r="AO174" s="113">
        <v>2950</v>
      </c>
      <c r="AP174" s="113">
        <v>2824</v>
      </c>
      <c r="AQ174" s="113">
        <v>2744</v>
      </c>
      <c r="AR174" s="113">
        <v>3068</v>
      </c>
      <c r="AS174" s="113">
        <v>3328</v>
      </c>
      <c r="AT174" s="113">
        <v>3567</v>
      </c>
      <c r="AU174" s="113">
        <v>3895</v>
      </c>
      <c r="AV174" s="113">
        <v>3917</v>
      </c>
      <c r="AW174" s="113">
        <v>3984</v>
      </c>
      <c r="AX174" s="113">
        <v>4057</v>
      </c>
      <c r="AY174" s="113">
        <v>5121</v>
      </c>
      <c r="AZ174" s="113">
        <v>4118</v>
      </c>
      <c r="BA174" s="113">
        <v>5288</v>
      </c>
      <c r="BB174" s="113">
        <v>4854</v>
      </c>
      <c r="BC174" s="113">
        <v>5260</v>
      </c>
      <c r="BD174" s="113">
        <v>6712</v>
      </c>
      <c r="BE174" s="113">
        <v>6956</v>
      </c>
      <c r="BF174" s="113">
        <v>8983</v>
      </c>
      <c r="BG174" s="113">
        <v>11155</v>
      </c>
      <c r="BH174" s="113">
        <v>12324</v>
      </c>
      <c r="BI174" s="113">
        <v>11827</v>
      </c>
      <c r="BJ174" s="113">
        <v>14482</v>
      </c>
      <c r="BK174" s="113">
        <v>15711</v>
      </c>
      <c r="BL174" s="113">
        <v>18817</v>
      </c>
      <c r="BM174" s="113">
        <v>16646</v>
      </c>
      <c r="BN174" s="113">
        <v>17223</v>
      </c>
      <c r="BO174" s="113">
        <v>18471</v>
      </c>
      <c r="BP174" s="113">
        <v>19839</v>
      </c>
      <c r="BQ174" s="113">
        <v>18312</v>
      </c>
      <c r="BR174" s="113">
        <v>18588</v>
      </c>
      <c r="BS174" s="113">
        <v>20619</v>
      </c>
      <c r="BT174" s="113">
        <v>22742</v>
      </c>
      <c r="BU174" s="113">
        <v>19950</v>
      </c>
      <c r="BV174" s="113">
        <v>20021</v>
      </c>
      <c r="BW174" s="113">
        <v>21687</v>
      </c>
      <c r="BX174" s="113">
        <v>22975</v>
      </c>
      <c r="BY174" s="113">
        <v>13838</v>
      </c>
      <c r="BZ174" s="113">
        <v>13663</v>
      </c>
      <c r="CA174" s="113">
        <v>14472</v>
      </c>
      <c r="CB174" s="113">
        <v>14580</v>
      </c>
      <c r="CC174" s="113">
        <v>17310</v>
      </c>
      <c r="CD174" s="113">
        <v>17591</v>
      </c>
      <c r="CE174" s="113">
        <v>-12974</v>
      </c>
      <c r="CF174" s="113">
        <v>-13200</v>
      </c>
      <c r="CG174" s="113">
        <v>-13724</v>
      </c>
      <c r="CH174" s="113">
        <v>-13820</v>
      </c>
      <c r="CI174" s="113">
        <v>-17052</v>
      </c>
      <c r="CJ174" s="113">
        <v>-18909</v>
      </c>
      <c r="CK174" s="113">
        <v>-20130</v>
      </c>
      <c r="CL174" s="113">
        <v>-22920</v>
      </c>
      <c r="CM174" s="113">
        <v>-26100</v>
      </c>
      <c r="CN174" s="113">
        <v>-27389</v>
      </c>
      <c r="CO174" s="113">
        <v>-31114</v>
      </c>
      <c r="CP174" s="113">
        <v>-30094</v>
      </c>
      <c r="CQ174" s="113">
        <v>-29725</v>
      </c>
      <c r="CR174" s="113">
        <v>-27176</v>
      </c>
      <c r="CS174" s="113">
        <v>-27703</v>
      </c>
      <c r="CT174" s="113">
        <v>-28938</v>
      </c>
      <c r="CU174" s="113">
        <v>-27499</v>
      </c>
      <c r="CV174" s="113">
        <v>-25679</v>
      </c>
      <c r="CW174" s="113">
        <v>-23793</v>
      </c>
      <c r="CX174" s="113">
        <v>-22415</v>
      </c>
      <c r="CY174" s="113">
        <v>-19605</v>
      </c>
      <c r="CZ174" s="113">
        <v>-18260</v>
      </c>
      <c r="DA174" s="113">
        <v>-17736</v>
      </c>
      <c r="DB174" s="113">
        <v>-16512</v>
      </c>
      <c r="DC174" s="113">
        <v>-14862</v>
      </c>
      <c r="DD174" s="113">
        <v>-11592</v>
      </c>
      <c r="DE174" s="113">
        <v>-8195</v>
      </c>
      <c r="DF174" s="113">
        <v>-4852</v>
      </c>
      <c r="DG174" s="113">
        <v>-607</v>
      </c>
      <c r="DH174" s="113">
        <v>2054</v>
      </c>
      <c r="DI174" s="113">
        <v>-856</v>
      </c>
      <c r="DJ174" s="113">
        <v>932</v>
      </c>
      <c r="DK174" s="113">
        <v>4236</v>
      </c>
      <c r="DL174" s="113">
        <v>7657</v>
      </c>
      <c r="DM174" s="113">
        <v>9895</v>
      </c>
      <c r="DN174" s="113">
        <v>11680</v>
      </c>
      <c r="DO174" s="113">
        <v>14347</v>
      </c>
      <c r="DP174" s="113">
        <v>16289</v>
      </c>
      <c r="DQ174" s="113">
        <v>17710</v>
      </c>
      <c r="DR174" s="113">
        <v>18051</v>
      </c>
      <c r="DS174" s="113">
        <v>19731</v>
      </c>
      <c r="DT174" s="113">
        <v>18186</v>
      </c>
      <c r="DU174" s="113">
        <v>9096</v>
      </c>
      <c r="DV174" s="113">
        <v>7614</v>
      </c>
      <c r="DW174" s="113">
        <v>6728</v>
      </c>
      <c r="DX174" s="113">
        <v>4954</v>
      </c>
      <c r="DY174" s="113">
        <v>2282</v>
      </c>
      <c r="DZ174" s="113">
        <v>944</v>
      </c>
      <c r="EA174" s="113">
        <v>120</v>
      </c>
      <c r="EB174" s="113">
        <v>531</v>
      </c>
      <c r="EC174" s="113">
        <v>17769</v>
      </c>
      <c r="ED174" s="113">
        <v>19702</v>
      </c>
      <c r="EE174" s="113">
        <v>8567</v>
      </c>
      <c r="EF174" s="113">
        <v>9974</v>
      </c>
      <c r="EG174" s="113">
        <v>13682</v>
      </c>
      <c r="EH174" s="113">
        <v>17279</v>
      </c>
      <c r="EI174" s="113">
        <v>16585</v>
      </c>
      <c r="EJ174" s="113">
        <v>18338</v>
      </c>
      <c r="EK174" s="113">
        <v>24150</v>
      </c>
      <c r="EL174" s="113">
        <v>27240</v>
      </c>
      <c r="EM174" s="113">
        <v>30739</v>
      </c>
      <c r="EN174" s="113">
        <v>32012</v>
      </c>
    </row>
    <row r="175" spans="1:144">
      <c r="A175" s="103" t="s">
        <v>2401</v>
      </c>
      <c r="B175" s="113">
        <v>0</v>
      </c>
      <c r="C175" s="113">
        <v>0</v>
      </c>
      <c r="D175" s="113">
        <v>0</v>
      </c>
      <c r="E175" s="113">
        <v>0</v>
      </c>
      <c r="F175" s="113">
        <v>0</v>
      </c>
      <c r="G175" s="113">
        <v>0</v>
      </c>
      <c r="H175" s="113">
        <v>0</v>
      </c>
      <c r="I175" s="113">
        <v>0</v>
      </c>
      <c r="J175" s="113">
        <v>0</v>
      </c>
      <c r="K175" s="113">
        <v>0</v>
      </c>
      <c r="L175" s="113">
        <v>0</v>
      </c>
      <c r="M175" s="113">
        <v>0</v>
      </c>
      <c r="N175" s="113">
        <v>0</v>
      </c>
      <c r="O175" s="113">
        <v>0</v>
      </c>
      <c r="P175" s="113">
        <v>0</v>
      </c>
      <c r="Q175" s="113">
        <v>0</v>
      </c>
      <c r="R175" s="113">
        <v>0</v>
      </c>
      <c r="S175" s="113">
        <v>0</v>
      </c>
      <c r="T175" s="113">
        <v>0</v>
      </c>
      <c r="U175" s="113">
        <v>0</v>
      </c>
      <c r="V175" s="113">
        <v>0</v>
      </c>
      <c r="W175" s="113">
        <v>0</v>
      </c>
      <c r="X175" s="113">
        <v>0</v>
      </c>
      <c r="Y175" s="113">
        <v>0</v>
      </c>
      <c r="Z175" s="113">
        <v>0</v>
      </c>
      <c r="AA175" s="113">
        <v>0</v>
      </c>
      <c r="AB175" s="113">
        <v>0</v>
      </c>
      <c r="AC175" s="113">
        <v>0</v>
      </c>
      <c r="AD175" s="113">
        <v>0</v>
      </c>
      <c r="AE175" s="113">
        <v>0</v>
      </c>
      <c r="AG175" s="103" t="s">
        <v>2401</v>
      </c>
      <c r="AH175" s="113">
        <v>0</v>
      </c>
      <c r="AI175" s="113">
        <v>0</v>
      </c>
      <c r="AJ175" s="113">
        <v>0</v>
      </c>
      <c r="AK175" s="113">
        <v>0</v>
      </c>
      <c r="AL175" s="113">
        <v>0</v>
      </c>
      <c r="AM175" s="113">
        <v>0</v>
      </c>
      <c r="AN175" s="113">
        <v>0</v>
      </c>
      <c r="AO175" s="113">
        <v>0</v>
      </c>
      <c r="AP175" s="113">
        <v>0</v>
      </c>
      <c r="AQ175" s="113">
        <v>0</v>
      </c>
      <c r="AR175" s="113">
        <v>0</v>
      </c>
      <c r="AS175" s="113">
        <v>0</v>
      </c>
      <c r="AT175" s="113">
        <v>0</v>
      </c>
      <c r="AU175" s="113">
        <v>0</v>
      </c>
      <c r="AV175" s="113">
        <v>0</v>
      </c>
      <c r="AW175" s="113">
        <v>0</v>
      </c>
      <c r="AX175" s="113">
        <v>0</v>
      </c>
      <c r="AY175" s="113">
        <v>0</v>
      </c>
      <c r="AZ175" s="113">
        <v>0</v>
      </c>
      <c r="BA175" s="113">
        <v>0</v>
      </c>
      <c r="BB175" s="113">
        <v>0</v>
      </c>
      <c r="BC175" s="113">
        <v>0</v>
      </c>
      <c r="BD175" s="113">
        <v>0</v>
      </c>
      <c r="BE175" s="113">
        <v>0</v>
      </c>
      <c r="BF175" s="113">
        <v>0</v>
      </c>
      <c r="BG175" s="113">
        <v>0</v>
      </c>
      <c r="BH175" s="113">
        <v>0</v>
      </c>
      <c r="BI175" s="113">
        <v>0</v>
      </c>
      <c r="BJ175" s="113">
        <v>0</v>
      </c>
      <c r="BK175" s="113">
        <v>0</v>
      </c>
      <c r="BL175" s="113">
        <v>0</v>
      </c>
      <c r="BM175" s="113">
        <v>0</v>
      </c>
      <c r="BN175" s="113">
        <v>0</v>
      </c>
      <c r="BO175" s="113">
        <v>0</v>
      </c>
      <c r="BP175" s="113">
        <v>0</v>
      </c>
      <c r="BQ175" s="113">
        <v>0</v>
      </c>
      <c r="BR175" s="113">
        <v>0</v>
      </c>
      <c r="BS175" s="113">
        <v>0</v>
      </c>
      <c r="BT175" s="113">
        <v>0</v>
      </c>
      <c r="BU175" s="113">
        <v>0</v>
      </c>
      <c r="BV175" s="113">
        <v>0</v>
      </c>
      <c r="BW175" s="113">
        <v>0</v>
      </c>
      <c r="BX175" s="113">
        <v>0</v>
      </c>
      <c r="BY175" s="113">
        <v>0</v>
      </c>
      <c r="BZ175" s="113">
        <v>0</v>
      </c>
      <c r="CA175" s="113">
        <v>0</v>
      </c>
      <c r="CB175" s="113">
        <v>0</v>
      </c>
      <c r="CC175" s="113">
        <v>0</v>
      </c>
      <c r="CD175" s="113">
        <v>0</v>
      </c>
      <c r="CE175" s="113">
        <v>0</v>
      </c>
      <c r="CF175" s="113">
        <v>0</v>
      </c>
      <c r="CG175" s="113">
        <v>0</v>
      </c>
      <c r="CH175" s="113">
        <v>0</v>
      </c>
      <c r="CI175" s="113">
        <v>0</v>
      </c>
      <c r="CJ175" s="113">
        <v>0</v>
      </c>
      <c r="CK175" s="113">
        <v>0</v>
      </c>
      <c r="CL175" s="113">
        <v>0</v>
      </c>
      <c r="CM175" s="113">
        <v>0</v>
      </c>
      <c r="CN175" s="113">
        <v>0</v>
      </c>
      <c r="CO175" s="113">
        <v>0</v>
      </c>
      <c r="CP175" s="113">
        <v>0</v>
      </c>
      <c r="CQ175" s="113">
        <v>0</v>
      </c>
      <c r="CR175" s="113">
        <v>0</v>
      </c>
      <c r="CS175" s="113">
        <v>0</v>
      </c>
      <c r="CT175" s="113">
        <v>0</v>
      </c>
      <c r="CU175" s="113">
        <v>0</v>
      </c>
      <c r="CV175" s="113">
        <v>0</v>
      </c>
      <c r="CW175" s="113">
        <v>0</v>
      </c>
      <c r="CX175" s="113">
        <v>0</v>
      </c>
      <c r="CY175" s="113">
        <v>0</v>
      </c>
      <c r="CZ175" s="113">
        <v>0</v>
      </c>
      <c r="DA175" s="113">
        <v>0</v>
      </c>
      <c r="DB175" s="113">
        <v>0</v>
      </c>
      <c r="DC175" s="113">
        <v>0</v>
      </c>
      <c r="DD175" s="113">
        <v>0</v>
      </c>
      <c r="DE175" s="113">
        <v>0</v>
      </c>
      <c r="DF175" s="113">
        <v>0</v>
      </c>
      <c r="DG175" s="113">
        <v>0</v>
      </c>
      <c r="DH175" s="113">
        <v>0</v>
      </c>
      <c r="DI175" s="113">
        <v>0</v>
      </c>
      <c r="DJ175" s="113">
        <v>0</v>
      </c>
      <c r="DK175" s="113">
        <v>0</v>
      </c>
      <c r="DL175" s="113">
        <v>0</v>
      </c>
      <c r="DM175" s="113">
        <v>0</v>
      </c>
      <c r="DN175" s="113">
        <v>0</v>
      </c>
      <c r="DO175" s="113">
        <v>0</v>
      </c>
      <c r="DP175" s="113">
        <v>0</v>
      </c>
      <c r="DQ175" s="113">
        <v>0</v>
      </c>
      <c r="DR175" s="113">
        <v>0</v>
      </c>
      <c r="DS175" s="113">
        <v>0</v>
      </c>
      <c r="DT175" s="113">
        <v>0</v>
      </c>
      <c r="DU175" s="113">
        <v>0</v>
      </c>
      <c r="DV175" s="113">
        <v>0</v>
      </c>
      <c r="DW175" s="113">
        <v>0</v>
      </c>
      <c r="DX175" s="113">
        <v>0</v>
      </c>
      <c r="DY175" s="113">
        <v>0</v>
      </c>
      <c r="DZ175" s="113">
        <v>0</v>
      </c>
      <c r="EA175" s="113">
        <v>0</v>
      </c>
      <c r="EB175" s="113">
        <v>0</v>
      </c>
      <c r="EC175" s="113">
        <v>0</v>
      </c>
      <c r="ED175" s="113">
        <v>0</v>
      </c>
      <c r="EE175" s="113">
        <v>0</v>
      </c>
      <c r="EF175" s="113">
        <v>0</v>
      </c>
      <c r="EG175" s="113">
        <v>0</v>
      </c>
      <c r="EH175" s="113">
        <v>0</v>
      </c>
      <c r="EI175" s="113">
        <v>0</v>
      </c>
      <c r="EJ175" s="113">
        <v>0</v>
      </c>
      <c r="EK175" s="113">
        <v>0</v>
      </c>
      <c r="EL175" s="113">
        <v>0</v>
      </c>
      <c r="EM175" s="113">
        <v>0</v>
      </c>
      <c r="EN175" s="113">
        <v>0</v>
      </c>
    </row>
    <row r="176" spans="1:144">
      <c r="A176" s="103" t="s">
        <v>2402</v>
      </c>
      <c r="B176" s="113">
        <v>0</v>
      </c>
      <c r="C176" s="113">
        <v>0</v>
      </c>
      <c r="D176" s="113">
        <v>0</v>
      </c>
      <c r="E176" s="113">
        <v>0</v>
      </c>
      <c r="F176" s="113">
        <v>0</v>
      </c>
      <c r="G176" s="113">
        <v>0</v>
      </c>
      <c r="H176" s="113">
        <v>0</v>
      </c>
      <c r="I176" s="113">
        <v>666</v>
      </c>
      <c r="J176" s="113">
        <v>1787</v>
      </c>
      <c r="K176" s="113">
        <v>1527</v>
      </c>
      <c r="L176" s="113">
        <v>587</v>
      </c>
      <c r="M176" s="113">
        <v>583</v>
      </c>
      <c r="N176" s="113">
        <v>1840</v>
      </c>
      <c r="O176" s="113">
        <v>1119</v>
      </c>
      <c r="P176" s="113">
        <v>1426</v>
      </c>
      <c r="Q176" s="113">
        <v>1229</v>
      </c>
      <c r="R176" s="113">
        <v>1654</v>
      </c>
      <c r="S176" s="113">
        <v>1140</v>
      </c>
      <c r="T176" s="113">
        <v>969</v>
      </c>
      <c r="U176" s="113">
        <v>1055</v>
      </c>
      <c r="V176" s="113">
        <v>1863</v>
      </c>
      <c r="W176" s="113">
        <v>1422</v>
      </c>
      <c r="X176" s="113">
        <v>1743</v>
      </c>
      <c r="Y176" s="113">
        <v>3708</v>
      </c>
      <c r="Z176" s="113">
        <v>2522</v>
      </c>
      <c r="AA176" s="113">
        <v>1537</v>
      </c>
      <c r="AB176" s="113">
        <v>627</v>
      </c>
      <c r="AC176" s="113">
        <v>-2187</v>
      </c>
      <c r="AD176" s="113">
        <v>-340</v>
      </c>
      <c r="AE176" s="113">
        <v>2676</v>
      </c>
      <c r="AG176" s="103" t="s">
        <v>2402</v>
      </c>
      <c r="AH176" s="113">
        <v>0</v>
      </c>
      <c r="AI176" s="113">
        <v>0</v>
      </c>
      <c r="AJ176" s="113">
        <v>0</v>
      </c>
      <c r="AK176" s="113">
        <v>0</v>
      </c>
      <c r="AL176" s="113">
        <v>0</v>
      </c>
      <c r="AM176" s="113">
        <v>0</v>
      </c>
      <c r="AN176" s="113">
        <v>0</v>
      </c>
      <c r="AO176" s="113">
        <v>0</v>
      </c>
      <c r="AP176" s="113">
        <v>0</v>
      </c>
      <c r="AQ176" s="113">
        <v>297</v>
      </c>
      <c r="AR176" s="113">
        <v>352</v>
      </c>
      <c r="AS176" s="113">
        <v>0</v>
      </c>
      <c r="AT176" s="113">
        <v>537</v>
      </c>
      <c r="AU176" s="113">
        <v>560</v>
      </c>
      <c r="AV176" s="113">
        <v>606</v>
      </c>
      <c r="AW176" s="113">
        <v>0</v>
      </c>
      <c r="AX176" s="113">
        <v>675</v>
      </c>
      <c r="AY176" s="113">
        <v>0</v>
      </c>
      <c r="AZ176" s="113">
        <v>0</v>
      </c>
      <c r="BA176" s="113">
        <v>0</v>
      </c>
      <c r="BB176" s="113">
        <v>0</v>
      </c>
      <c r="BC176" s="113">
        <v>0</v>
      </c>
      <c r="BD176" s="113">
        <v>0</v>
      </c>
      <c r="BE176" s="113">
        <v>666</v>
      </c>
      <c r="BF176" s="113">
        <v>0</v>
      </c>
      <c r="BG176" s="113">
        <v>0</v>
      </c>
      <c r="BH176" s="113">
        <v>0</v>
      </c>
      <c r="BI176" s="113">
        <v>1787</v>
      </c>
      <c r="BJ176" s="113">
        <v>0</v>
      </c>
      <c r="BK176" s="113">
        <v>0</v>
      </c>
      <c r="BL176" s="113">
        <v>0</v>
      </c>
      <c r="BM176" s="113">
        <v>1527</v>
      </c>
      <c r="BN176" s="113">
        <v>1459</v>
      </c>
      <c r="BO176" s="113">
        <v>773</v>
      </c>
      <c r="BP176" s="113">
        <v>604</v>
      </c>
      <c r="BQ176" s="113">
        <v>587</v>
      </c>
      <c r="BR176" s="113">
        <v>621</v>
      </c>
      <c r="BS176" s="113">
        <v>754</v>
      </c>
      <c r="BT176" s="113">
        <v>654</v>
      </c>
      <c r="BU176" s="113">
        <v>583</v>
      </c>
      <c r="BV176" s="113">
        <v>482</v>
      </c>
      <c r="BW176" s="113">
        <v>520</v>
      </c>
      <c r="BX176" s="113">
        <v>975</v>
      </c>
      <c r="BY176" s="113">
        <v>1840</v>
      </c>
      <c r="BZ176" s="113">
        <v>1719</v>
      </c>
      <c r="CA176" s="113">
        <v>2195</v>
      </c>
      <c r="CB176" s="113">
        <v>2025</v>
      </c>
      <c r="CC176" s="113">
        <v>1119</v>
      </c>
      <c r="CD176" s="113">
        <v>1208</v>
      </c>
      <c r="CE176" s="113">
        <v>1803</v>
      </c>
      <c r="CF176" s="113">
        <v>1744</v>
      </c>
      <c r="CG176" s="113">
        <v>1426</v>
      </c>
      <c r="CH176" s="113">
        <v>1285</v>
      </c>
      <c r="CI176" s="113">
        <v>1120</v>
      </c>
      <c r="CJ176" s="113">
        <v>1097</v>
      </c>
      <c r="CK176" s="113">
        <v>1229</v>
      </c>
      <c r="CL176" s="113">
        <v>1364</v>
      </c>
      <c r="CM176" s="113">
        <v>1582</v>
      </c>
      <c r="CN176" s="113">
        <v>1535</v>
      </c>
      <c r="CO176" s="113">
        <v>1654</v>
      </c>
      <c r="CP176" s="113">
        <v>1530</v>
      </c>
      <c r="CQ176" s="113">
        <v>1628</v>
      </c>
      <c r="CR176" s="113">
        <v>1355</v>
      </c>
      <c r="CS176" s="113">
        <v>1140</v>
      </c>
      <c r="CT176" s="113">
        <v>877</v>
      </c>
      <c r="CU176" s="113">
        <v>585</v>
      </c>
      <c r="CV176" s="113">
        <v>726</v>
      </c>
      <c r="CW176" s="113">
        <v>969</v>
      </c>
      <c r="CX176" s="113">
        <v>1334</v>
      </c>
      <c r="CY176" s="113">
        <v>1322</v>
      </c>
      <c r="CZ176" s="113">
        <v>1453</v>
      </c>
      <c r="DA176" s="113">
        <v>1055</v>
      </c>
      <c r="DB176" s="113">
        <v>1519</v>
      </c>
      <c r="DC176" s="113">
        <v>1697</v>
      </c>
      <c r="DD176" s="113">
        <v>1810</v>
      </c>
      <c r="DE176" s="113">
        <v>1863</v>
      </c>
      <c r="DF176" s="113">
        <v>751</v>
      </c>
      <c r="DG176" s="113">
        <v>826</v>
      </c>
      <c r="DH176" s="113">
        <v>1332</v>
      </c>
      <c r="DI176" s="113">
        <v>1422</v>
      </c>
      <c r="DJ176" s="113">
        <v>1820</v>
      </c>
      <c r="DK176" s="113">
        <v>2006</v>
      </c>
      <c r="DL176" s="113">
        <v>2205</v>
      </c>
      <c r="DM176" s="113">
        <v>1743</v>
      </c>
      <c r="DN176" s="113">
        <v>2731</v>
      </c>
      <c r="DO176" s="113">
        <v>3277</v>
      </c>
      <c r="DP176" s="113">
        <v>3332</v>
      </c>
      <c r="DQ176" s="113">
        <v>3708</v>
      </c>
      <c r="DR176" s="113">
        <v>3757</v>
      </c>
      <c r="DS176" s="113">
        <v>3383</v>
      </c>
      <c r="DT176" s="113">
        <v>3471</v>
      </c>
      <c r="DU176" s="113">
        <v>2522</v>
      </c>
      <c r="DV176" s="113">
        <v>1738</v>
      </c>
      <c r="DW176" s="113">
        <v>1773</v>
      </c>
      <c r="DX176" s="113">
        <v>1840</v>
      </c>
      <c r="DY176" s="113">
        <v>1537</v>
      </c>
      <c r="DZ176" s="113">
        <v>1681</v>
      </c>
      <c r="EA176" s="113">
        <v>512</v>
      </c>
      <c r="EB176" s="113">
        <v>644</v>
      </c>
      <c r="EC176" s="113">
        <v>627</v>
      </c>
      <c r="ED176" s="113">
        <v>526</v>
      </c>
      <c r="EE176" s="113">
        <v>-399</v>
      </c>
      <c r="EF176" s="113">
        <v>-1153</v>
      </c>
      <c r="EG176" s="113">
        <v>-2187</v>
      </c>
      <c r="EH176" s="113">
        <v>-2615</v>
      </c>
      <c r="EI176" s="113">
        <v>-2013</v>
      </c>
      <c r="EJ176" s="113">
        <v>-1265</v>
      </c>
      <c r="EK176" s="113">
        <v>-340</v>
      </c>
      <c r="EL176" s="113">
        <v>-61</v>
      </c>
      <c r="EM176" s="113">
        <v>-255</v>
      </c>
      <c r="EN176" s="113">
        <v>2676</v>
      </c>
    </row>
    <row r="177" spans="1:144" ht="10.5">
      <c r="A177" s="112" t="s">
        <v>2403</v>
      </c>
      <c r="B177" s="114">
        <v>1350.8309999999999</v>
      </c>
      <c r="C177" s="114">
        <v>2193</v>
      </c>
      <c r="D177" s="114">
        <v>3242</v>
      </c>
      <c r="E177" s="114">
        <v>4450</v>
      </c>
      <c r="F177" s="114">
        <v>5333</v>
      </c>
      <c r="G177" s="114">
        <v>6908</v>
      </c>
      <c r="H177" s="114">
        <v>9797</v>
      </c>
      <c r="I177" s="114">
        <v>15647</v>
      </c>
      <c r="J177" s="114">
        <v>27458</v>
      </c>
      <c r="K177" s="114">
        <v>41368</v>
      </c>
      <c r="L177" s="114">
        <v>47289</v>
      </c>
      <c r="M177" s="114">
        <v>52180</v>
      </c>
      <c r="N177" s="114">
        <v>64912</v>
      </c>
      <c r="O177" s="114">
        <v>74825</v>
      </c>
      <c r="P177" s="114">
        <v>48115</v>
      </c>
      <c r="Q177" s="114">
        <v>40104</v>
      </c>
      <c r="R177" s="114">
        <v>31097</v>
      </c>
      <c r="S177" s="114">
        <v>36286</v>
      </c>
      <c r="T177" s="114">
        <v>39558</v>
      </c>
      <c r="U177" s="114">
        <v>46175</v>
      </c>
      <c r="V177" s="114">
        <v>57083</v>
      </c>
      <c r="W177" s="114">
        <v>66363</v>
      </c>
      <c r="X177" s="114">
        <v>78944</v>
      </c>
      <c r="Y177" s="114">
        <v>89784</v>
      </c>
      <c r="Z177" s="114">
        <v>80083</v>
      </c>
      <c r="AA177" s="114">
        <v>71997</v>
      </c>
      <c r="AB177" s="114">
        <v>87711</v>
      </c>
      <c r="AC177" s="114">
        <v>82718</v>
      </c>
      <c r="AD177" s="114">
        <v>102330</v>
      </c>
      <c r="AE177" s="114">
        <v>114501</v>
      </c>
      <c r="AG177" s="112" t="s">
        <v>2403</v>
      </c>
      <c r="AH177" s="114">
        <v>2193</v>
      </c>
      <c r="AI177" s="114">
        <v>0</v>
      </c>
      <c r="AJ177" s="114">
        <v>0</v>
      </c>
      <c r="AK177" s="114">
        <v>3242</v>
      </c>
      <c r="AL177" s="114">
        <v>3242</v>
      </c>
      <c r="AM177" s="114">
        <v>3746</v>
      </c>
      <c r="AN177" s="114">
        <v>4012</v>
      </c>
      <c r="AO177" s="114">
        <v>4450</v>
      </c>
      <c r="AP177" s="114">
        <v>4430</v>
      </c>
      <c r="AQ177" s="114">
        <v>4740</v>
      </c>
      <c r="AR177" s="114">
        <v>5282</v>
      </c>
      <c r="AS177" s="114">
        <v>5333</v>
      </c>
      <c r="AT177" s="114">
        <v>6276</v>
      </c>
      <c r="AU177" s="114">
        <v>6740</v>
      </c>
      <c r="AV177" s="114">
        <v>7201</v>
      </c>
      <c r="AW177" s="114">
        <v>6908</v>
      </c>
      <c r="AX177" s="114">
        <v>7952</v>
      </c>
      <c r="AY177" s="114">
        <v>8662</v>
      </c>
      <c r="AZ177" s="114">
        <v>8154</v>
      </c>
      <c r="BA177" s="114">
        <v>9797</v>
      </c>
      <c r="BB177" s="114">
        <v>10484</v>
      </c>
      <c r="BC177" s="114">
        <v>11364</v>
      </c>
      <c r="BD177" s="114">
        <v>13696</v>
      </c>
      <c r="BE177" s="114">
        <v>15647</v>
      </c>
      <c r="BF177" s="114">
        <v>18144</v>
      </c>
      <c r="BG177" s="114">
        <v>21598</v>
      </c>
      <c r="BH177" s="114">
        <v>24742</v>
      </c>
      <c r="BI177" s="114">
        <v>27458</v>
      </c>
      <c r="BJ177" s="114">
        <v>30360</v>
      </c>
      <c r="BK177" s="114">
        <v>34589</v>
      </c>
      <c r="BL177" s="114">
        <v>39792</v>
      </c>
      <c r="BM177" s="114">
        <v>41368</v>
      </c>
      <c r="BN177" s="114">
        <v>45343</v>
      </c>
      <c r="BO177" s="114">
        <v>46422</v>
      </c>
      <c r="BP177" s="114">
        <v>48090</v>
      </c>
      <c r="BQ177" s="114">
        <v>47289</v>
      </c>
      <c r="BR177" s="114">
        <v>48505</v>
      </c>
      <c r="BS177" s="114">
        <v>51548</v>
      </c>
      <c r="BT177" s="114">
        <v>54300</v>
      </c>
      <c r="BU177" s="114">
        <v>52180</v>
      </c>
      <c r="BV177" s="114">
        <v>53516</v>
      </c>
      <c r="BW177" s="114">
        <v>55812</v>
      </c>
      <c r="BX177" s="114">
        <v>58282</v>
      </c>
      <c r="BY177" s="114">
        <v>64912</v>
      </c>
      <c r="BZ177" s="114">
        <v>66680</v>
      </c>
      <c r="CA177" s="114">
        <v>69343</v>
      </c>
      <c r="CB177" s="114">
        <v>70580</v>
      </c>
      <c r="CC177" s="114">
        <v>74825</v>
      </c>
      <c r="CD177" s="114">
        <v>75946</v>
      </c>
      <c r="CE177" s="114">
        <v>47232</v>
      </c>
      <c r="CF177" s="114">
        <v>47373</v>
      </c>
      <c r="CG177" s="114">
        <v>48115</v>
      </c>
      <c r="CH177" s="114">
        <v>48327</v>
      </c>
      <c r="CI177" s="114">
        <v>44208</v>
      </c>
      <c r="CJ177" s="114">
        <v>42038</v>
      </c>
      <c r="CK177" s="114">
        <v>40104</v>
      </c>
      <c r="CL177" s="114">
        <v>36101</v>
      </c>
      <c r="CM177" s="114">
        <v>36634</v>
      </c>
      <c r="CN177" s="114">
        <v>34973</v>
      </c>
      <c r="CO177" s="114">
        <v>31097</v>
      </c>
      <c r="CP177" s="114">
        <v>32135</v>
      </c>
      <c r="CQ177" s="114">
        <v>34431</v>
      </c>
      <c r="CR177" s="114">
        <v>37554</v>
      </c>
      <c r="CS177" s="114">
        <v>36286</v>
      </c>
      <c r="CT177" s="114">
        <v>33594</v>
      </c>
      <c r="CU177" s="114">
        <v>34478</v>
      </c>
      <c r="CV177" s="114">
        <v>36943</v>
      </c>
      <c r="CW177" s="114">
        <v>39558</v>
      </c>
      <c r="CX177" s="114">
        <v>41212</v>
      </c>
      <c r="CY177" s="114">
        <v>44283</v>
      </c>
      <c r="CZ177" s="114">
        <v>45710</v>
      </c>
      <c r="DA177" s="114">
        <v>46175</v>
      </c>
      <c r="DB177" s="114">
        <v>46942</v>
      </c>
      <c r="DC177" s="114">
        <v>48481</v>
      </c>
      <c r="DD177" s="114">
        <v>53452</v>
      </c>
      <c r="DE177" s="114">
        <v>57083</v>
      </c>
      <c r="DF177" s="114">
        <v>59391</v>
      </c>
      <c r="DG177" s="114">
        <v>64121</v>
      </c>
      <c r="DH177" s="114">
        <v>68659</v>
      </c>
      <c r="DI177" s="114">
        <v>66363</v>
      </c>
      <c r="DJ177" s="114">
        <v>68836</v>
      </c>
      <c r="DK177" s="114">
        <v>72576</v>
      </c>
      <c r="DL177" s="114">
        <v>76688</v>
      </c>
      <c r="DM177" s="114">
        <v>78944</v>
      </c>
      <c r="DN177" s="114">
        <v>81641</v>
      </c>
      <c r="DO177" s="114">
        <v>85100</v>
      </c>
      <c r="DP177" s="114">
        <v>87424</v>
      </c>
      <c r="DQ177" s="114">
        <v>89784</v>
      </c>
      <c r="DR177" s="114">
        <v>90170</v>
      </c>
      <c r="DS177" s="114">
        <v>91879</v>
      </c>
      <c r="DT177" s="114">
        <v>90132</v>
      </c>
      <c r="DU177" s="114">
        <v>80083</v>
      </c>
      <c r="DV177" s="114">
        <v>77445</v>
      </c>
      <c r="DW177" s="114">
        <v>76780</v>
      </c>
      <c r="DX177" s="114">
        <v>74806</v>
      </c>
      <c r="DY177" s="114">
        <v>71997</v>
      </c>
      <c r="DZ177" s="114">
        <v>70372</v>
      </c>
      <c r="EA177" s="114">
        <v>68809</v>
      </c>
      <c r="EB177" s="114">
        <v>69729</v>
      </c>
      <c r="EC177" s="114">
        <v>87711</v>
      </c>
      <c r="ED177" s="114">
        <v>89647</v>
      </c>
      <c r="EE177" s="114">
        <v>78360</v>
      </c>
      <c r="EF177" s="114">
        <v>79239</v>
      </c>
      <c r="EG177" s="114">
        <v>82718</v>
      </c>
      <c r="EH177" s="114">
        <v>85967</v>
      </c>
      <c r="EI177" s="114">
        <v>92128</v>
      </c>
      <c r="EJ177" s="114">
        <v>94864</v>
      </c>
      <c r="EK177" s="114">
        <v>102330</v>
      </c>
      <c r="EL177" s="114">
        <v>106061</v>
      </c>
      <c r="EM177" s="114">
        <v>110109</v>
      </c>
      <c r="EN177" s="114">
        <v>114501</v>
      </c>
    </row>
    <row r="178" spans="1:144">
      <c r="A178" s="103"/>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G178" s="103"/>
      <c r="AH178" s="103"/>
      <c r="AI178" s="103"/>
      <c r="AJ178" s="103"/>
      <c r="AK178" s="103"/>
      <c r="AL178" s="103"/>
      <c r="AM178" s="103"/>
      <c r="AN178" s="103"/>
      <c r="AO178" s="103"/>
      <c r="AP178" s="103"/>
      <c r="AQ178" s="103"/>
      <c r="AR178" s="103"/>
      <c r="AS178" s="103"/>
      <c r="AT178" s="103"/>
      <c r="AU178" s="103"/>
      <c r="AV178" s="103"/>
      <c r="AW178" s="103"/>
      <c r="AX178" s="103"/>
      <c r="AY178" s="103"/>
      <c r="AZ178" s="103"/>
      <c r="BA178" s="103"/>
      <c r="BB178" s="103"/>
      <c r="BC178" s="103"/>
      <c r="BD178" s="103"/>
      <c r="BE178" s="103"/>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c r="CD178" s="103"/>
      <c r="CE178" s="103"/>
      <c r="CF178" s="103"/>
      <c r="CG178" s="103"/>
      <c r="CH178" s="103"/>
      <c r="CI178" s="103"/>
      <c r="CJ178" s="103"/>
      <c r="CK178" s="103"/>
      <c r="CL178" s="103"/>
      <c r="CM178" s="103"/>
      <c r="CN178" s="103"/>
      <c r="CO178" s="103"/>
      <c r="CP178" s="103"/>
      <c r="CQ178" s="103"/>
      <c r="CR178" s="103"/>
      <c r="CS178" s="103"/>
      <c r="CT178" s="103"/>
      <c r="CU178" s="103"/>
      <c r="CV178" s="103"/>
      <c r="CW178" s="103"/>
      <c r="CX178" s="103"/>
      <c r="CY178" s="103"/>
      <c r="CZ178" s="103"/>
      <c r="DA178" s="103"/>
      <c r="DB178" s="103"/>
      <c r="DC178" s="103"/>
      <c r="DD178" s="103"/>
      <c r="DE178" s="103"/>
      <c r="DF178" s="103"/>
      <c r="DG178" s="103"/>
      <c r="DH178" s="103"/>
      <c r="DI178" s="103"/>
      <c r="DJ178" s="103"/>
      <c r="DK178" s="103"/>
      <c r="DL178" s="103"/>
      <c r="DM178" s="103"/>
      <c r="DN178" s="103"/>
      <c r="DO178" s="103"/>
      <c r="DP178" s="103"/>
      <c r="DQ178" s="103"/>
      <c r="DR178" s="103"/>
      <c r="DS178" s="103"/>
      <c r="DT178" s="103"/>
      <c r="DU178" s="103"/>
      <c r="DV178" s="103"/>
      <c r="DW178" s="103"/>
      <c r="DX178" s="103"/>
      <c r="DY178" s="103"/>
      <c r="DZ178" s="103"/>
      <c r="EA178" s="103"/>
      <c r="EB178" s="103"/>
      <c r="EC178" s="103"/>
      <c r="ED178" s="103"/>
      <c r="EE178" s="103"/>
      <c r="EF178" s="103"/>
      <c r="EG178" s="103"/>
      <c r="EH178" s="103"/>
      <c r="EI178" s="103"/>
      <c r="EJ178" s="103"/>
      <c r="EK178" s="103"/>
      <c r="EL178" s="103"/>
      <c r="EM178" s="103"/>
      <c r="EN178" s="103"/>
    </row>
    <row r="179" spans="1:144">
      <c r="A179" s="103" t="s">
        <v>2404</v>
      </c>
      <c r="B179" s="113">
        <v>0</v>
      </c>
      <c r="C179" s="113">
        <v>0</v>
      </c>
      <c r="D179" s="113">
        <v>0</v>
      </c>
      <c r="E179" s="113">
        <v>0</v>
      </c>
      <c r="F179" s="113">
        <v>125</v>
      </c>
      <c r="G179" s="113">
        <v>125</v>
      </c>
      <c r="H179" s="113">
        <v>0</v>
      </c>
      <c r="I179" s="113">
        <v>0</v>
      </c>
      <c r="J179" s="113">
        <v>0</v>
      </c>
      <c r="K179" s="113">
        <v>0</v>
      </c>
      <c r="L179" s="113">
        <v>0</v>
      </c>
      <c r="M179" s="113">
        <v>0</v>
      </c>
      <c r="N179" s="113">
        <v>0</v>
      </c>
      <c r="O179" s="113">
        <v>0</v>
      </c>
      <c r="P179" s="113">
        <v>0</v>
      </c>
      <c r="Q179" s="113">
        <v>0</v>
      </c>
      <c r="R179" s="113">
        <v>0</v>
      </c>
      <c r="S179" s="113">
        <v>0</v>
      </c>
      <c r="T179" s="113">
        <v>0</v>
      </c>
      <c r="U179" s="113">
        <v>0</v>
      </c>
      <c r="V179" s="113">
        <v>0</v>
      </c>
      <c r="W179" s="113">
        <v>0</v>
      </c>
      <c r="X179" s="113">
        <v>0</v>
      </c>
      <c r="Y179" s="113">
        <v>0</v>
      </c>
      <c r="Z179" s="113">
        <v>0</v>
      </c>
      <c r="AA179" s="113">
        <v>0</v>
      </c>
      <c r="AB179" s="113">
        <v>0</v>
      </c>
      <c r="AC179" s="113">
        <v>0</v>
      </c>
      <c r="AD179" s="113">
        <v>0</v>
      </c>
      <c r="AE179" s="113">
        <v>0</v>
      </c>
      <c r="AG179" s="103" t="s">
        <v>2404</v>
      </c>
      <c r="AH179" s="113">
        <v>0</v>
      </c>
      <c r="AI179" s="113">
        <v>0</v>
      </c>
      <c r="AJ179" s="113">
        <v>0</v>
      </c>
      <c r="AK179" s="113">
        <v>0</v>
      </c>
      <c r="AL179" s="113">
        <v>0</v>
      </c>
      <c r="AM179" s="113">
        <v>0</v>
      </c>
      <c r="AN179" s="113">
        <v>0</v>
      </c>
      <c r="AO179" s="113">
        <v>0</v>
      </c>
      <c r="AP179" s="113">
        <v>0</v>
      </c>
      <c r="AQ179" s="113">
        <v>125</v>
      </c>
      <c r="AR179" s="113">
        <v>125</v>
      </c>
      <c r="AS179" s="113">
        <v>125</v>
      </c>
      <c r="AT179" s="113">
        <v>125</v>
      </c>
      <c r="AU179" s="113">
        <v>125</v>
      </c>
      <c r="AV179" s="113">
        <v>125</v>
      </c>
      <c r="AW179" s="113">
        <v>125</v>
      </c>
      <c r="AX179" s="113">
        <v>125</v>
      </c>
      <c r="AY179" s="113">
        <v>0</v>
      </c>
      <c r="AZ179" s="113">
        <v>0</v>
      </c>
      <c r="BA179" s="113">
        <v>0</v>
      </c>
      <c r="BB179" s="113">
        <v>0</v>
      </c>
      <c r="BC179" s="113">
        <v>0</v>
      </c>
      <c r="BD179" s="113">
        <v>0</v>
      </c>
      <c r="BE179" s="113">
        <v>0</v>
      </c>
      <c r="BF179" s="113">
        <v>0</v>
      </c>
      <c r="BG179" s="113">
        <v>0</v>
      </c>
      <c r="BH179" s="113">
        <v>0</v>
      </c>
      <c r="BI179" s="113">
        <v>0</v>
      </c>
      <c r="BJ179" s="113">
        <v>0</v>
      </c>
      <c r="BK179" s="113">
        <v>0</v>
      </c>
      <c r="BL179" s="113">
        <v>0</v>
      </c>
      <c r="BM179" s="113">
        <v>0</v>
      </c>
      <c r="BN179" s="113">
        <v>0</v>
      </c>
      <c r="BO179" s="113">
        <v>0</v>
      </c>
      <c r="BP179" s="113">
        <v>0</v>
      </c>
      <c r="BQ179" s="113">
        <v>0</v>
      </c>
      <c r="BR179" s="113">
        <v>0</v>
      </c>
      <c r="BS179" s="113">
        <v>0</v>
      </c>
      <c r="BT179" s="113">
        <v>0</v>
      </c>
      <c r="BU179" s="113">
        <v>0</v>
      </c>
      <c r="BV179" s="113">
        <v>0</v>
      </c>
      <c r="BW179" s="113">
        <v>0</v>
      </c>
      <c r="BX179" s="113">
        <v>0</v>
      </c>
      <c r="BY179" s="113">
        <v>0</v>
      </c>
      <c r="BZ179" s="113">
        <v>0</v>
      </c>
      <c r="CA179" s="113">
        <v>0</v>
      </c>
      <c r="CB179" s="113">
        <v>0</v>
      </c>
      <c r="CC179" s="113">
        <v>0</v>
      </c>
      <c r="CD179" s="113">
        <v>0</v>
      </c>
      <c r="CE179" s="113">
        <v>0</v>
      </c>
      <c r="CF179" s="113">
        <v>0</v>
      </c>
      <c r="CG179" s="113">
        <v>0</v>
      </c>
      <c r="CH179" s="113">
        <v>0</v>
      </c>
      <c r="CI179" s="113">
        <v>0</v>
      </c>
      <c r="CJ179" s="113">
        <v>0</v>
      </c>
      <c r="CK179" s="113">
        <v>0</v>
      </c>
      <c r="CL179" s="113">
        <v>0</v>
      </c>
      <c r="CM179" s="113">
        <v>0</v>
      </c>
      <c r="CN179" s="113">
        <v>0</v>
      </c>
      <c r="CO179" s="113">
        <v>0</v>
      </c>
      <c r="CP179" s="113">
        <v>0</v>
      </c>
      <c r="CQ179" s="113">
        <v>0</v>
      </c>
      <c r="CR179" s="113">
        <v>0</v>
      </c>
      <c r="CS179" s="113">
        <v>0</v>
      </c>
      <c r="CT179" s="113">
        <v>0</v>
      </c>
      <c r="CU179" s="113">
        <v>0</v>
      </c>
      <c r="CV179" s="113">
        <v>0</v>
      </c>
      <c r="CW179" s="113">
        <v>0</v>
      </c>
      <c r="CX179" s="113">
        <v>0</v>
      </c>
      <c r="CY179" s="113">
        <v>0</v>
      </c>
      <c r="CZ179" s="113">
        <v>0</v>
      </c>
      <c r="DA179" s="113">
        <v>0</v>
      </c>
      <c r="DB179" s="113">
        <v>0</v>
      </c>
      <c r="DC179" s="113">
        <v>0</v>
      </c>
      <c r="DD179" s="113">
        <v>0</v>
      </c>
      <c r="DE179" s="113">
        <v>0</v>
      </c>
      <c r="DF179" s="113">
        <v>0</v>
      </c>
      <c r="DG179" s="113">
        <v>0</v>
      </c>
      <c r="DH179" s="113">
        <v>0</v>
      </c>
      <c r="DI179" s="113">
        <v>0</v>
      </c>
      <c r="DJ179" s="113">
        <v>0</v>
      </c>
      <c r="DK179" s="113">
        <v>0</v>
      </c>
      <c r="DL179" s="113">
        <v>0</v>
      </c>
      <c r="DM179" s="113">
        <v>0</v>
      </c>
      <c r="DN179" s="113">
        <v>0</v>
      </c>
      <c r="DO179" s="113">
        <v>0</v>
      </c>
      <c r="DP179" s="113">
        <v>0</v>
      </c>
      <c r="DQ179" s="113">
        <v>0</v>
      </c>
      <c r="DR179" s="113">
        <v>0</v>
      </c>
      <c r="DS179" s="113">
        <v>0</v>
      </c>
      <c r="DT179" s="113">
        <v>0</v>
      </c>
      <c r="DU179" s="113">
        <v>0</v>
      </c>
      <c r="DV179" s="113">
        <v>0</v>
      </c>
      <c r="DW179" s="113">
        <v>0</v>
      </c>
      <c r="DX179" s="113">
        <v>0</v>
      </c>
      <c r="DY179" s="113">
        <v>0</v>
      </c>
      <c r="DZ179" s="113">
        <v>0</v>
      </c>
      <c r="EA179" s="113">
        <v>0</v>
      </c>
      <c r="EB179" s="113">
        <v>0</v>
      </c>
      <c r="EC179" s="113">
        <v>0</v>
      </c>
      <c r="ED179" s="113">
        <v>0</v>
      </c>
      <c r="EE179" s="113">
        <v>0</v>
      </c>
      <c r="EF179" s="113">
        <v>0</v>
      </c>
      <c r="EG179" s="113">
        <v>0</v>
      </c>
      <c r="EH179" s="113">
        <v>0</v>
      </c>
      <c r="EI179" s="113">
        <v>0</v>
      </c>
      <c r="EJ179" s="113">
        <v>0</v>
      </c>
      <c r="EK179" s="113">
        <v>0</v>
      </c>
      <c r="EL179" s="113">
        <v>0</v>
      </c>
      <c r="EM179" s="113">
        <v>0</v>
      </c>
      <c r="EN179" s="113">
        <v>0</v>
      </c>
    </row>
    <row r="180" spans="1:144">
      <c r="A180" s="103"/>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G180" s="103"/>
      <c r="AH180" s="103"/>
      <c r="AI180" s="103"/>
      <c r="AJ180" s="103"/>
      <c r="AK180" s="103"/>
      <c r="AL180" s="103"/>
      <c r="AM180" s="103"/>
      <c r="AN180" s="103"/>
      <c r="AO180" s="103"/>
      <c r="AP180" s="103"/>
      <c r="AQ180" s="103"/>
      <c r="AR180" s="103"/>
      <c r="AS180" s="103"/>
      <c r="AT180" s="103"/>
      <c r="AU180" s="103"/>
      <c r="AV180" s="103"/>
      <c r="AW180" s="103"/>
      <c r="AX180" s="103"/>
      <c r="AY180" s="103"/>
      <c r="AZ180" s="103"/>
      <c r="BA180" s="103"/>
      <c r="BB180" s="103"/>
      <c r="BC180" s="103"/>
      <c r="BD180" s="103"/>
      <c r="BE180" s="103"/>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c r="CD180" s="103"/>
      <c r="CE180" s="103"/>
      <c r="CF180" s="103"/>
      <c r="CG180" s="103"/>
      <c r="CH180" s="103"/>
      <c r="CI180" s="103"/>
      <c r="CJ180" s="103"/>
      <c r="CK180" s="103"/>
      <c r="CL180" s="103"/>
      <c r="CM180" s="103"/>
      <c r="CN180" s="103"/>
      <c r="CO180" s="103"/>
      <c r="CP180" s="103"/>
      <c r="CQ180" s="103"/>
      <c r="CR180" s="103"/>
      <c r="CS180" s="103"/>
      <c r="CT180" s="103"/>
      <c r="CU180" s="103"/>
      <c r="CV180" s="103"/>
      <c r="CW180" s="103"/>
      <c r="CX180" s="103"/>
      <c r="CY180" s="103"/>
      <c r="CZ180" s="103"/>
      <c r="DA180" s="103"/>
      <c r="DB180" s="103"/>
      <c r="DC180" s="103"/>
      <c r="DD180" s="103"/>
      <c r="DE180" s="103"/>
      <c r="DF180" s="103"/>
      <c r="DG180" s="103"/>
      <c r="DH180" s="103"/>
      <c r="DI180" s="103"/>
      <c r="DJ180" s="103"/>
      <c r="DK180" s="103"/>
      <c r="DL180" s="103"/>
      <c r="DM180" s="103"/>
      <c r="DN180" s="103"/>
      <c r="DO180" s="103"/>
      <c r="DP180" s="103"/>
      <c r="DQ180" s="103"/>
      <c r="DR180" s="103"/>
      <c r="DS180" s="103"/>
      <c r="DT180" s="103"/>
      <c r="DU180" s="103"/>
      <c r="DV180" s="103"/>
      <c r="DW180" s="103"/>
      <c r="DX180" s="103"/>
      <c r="DY180" s="103"/>
      <c r="DZ180" s="103"/>
      <c r="EA180" s="103"/>
      <c r="EB180" s="103"/>
      <c r="EC180" s="103"/>
      <c r="ED180" s="103"/>
      <c r="EE180" s="103"/>
      <c r="EF180" s="103"/>
      <c r="EG180" s="103"/>
      <c r="EH180" s="103"/>
      <c r="EI180" s="103"/>
      <c r="EJ180" s="103"/>
      <c r="EK180" s="103"/>
      <c r="EL180" s="103"/>
      <c r="EM180" s="103"/>
      <c r="EN180" s="103"/>
    </row>
    <row r="181" spans="1:144" ht="10.5">
      <c r="A181" s="112" t="s">
        <v>2405</v>
      </c>
      <c r="B181" s="124">
        <v>1350.8309999999999</v>
      </c>
      <c r="C181" s="124">
        <v>2193</v>
      </c>
      <c r="D181" s="124">
        <v>3242</v>
      </c>
      <c r="E181" s="124">
        <v>4450</v>
      </c>
      <c r="F181" s="124">
        <v>5458</v>
      </c>
      <c r="G181" s="124">
        <v>7033</v>
      </c>
      <c r="H181" s="124">
        <v>10777</v>
      </c>
      <c r="I181" s="124">
        <v>16627</v>
      </c>
      <c r="J181" s="124">
        <v>28438</v>
      </c>
      <c r="K181" s="124">
        <v>41368</v>
      </c>
      <c r="L181" s="124">
        <v>47289</v>
      </c>
      <c r="M181" s="124">
        <v>52180</v>
      </c>
      <c r="N181" s="124">
        <v>64912</v>
      </c>
      <c r="O181" s="124">
        <v>74825</v>
      </c>
      <c r="P181" s="124">
        <v>48115</v>
      </c>
      <c r="Q181" s="124">
        <v>40104</v>
      </c>
      <c r="R181" s="124">
        <v>31097</v>
      </c>
      <c r="S181" s="124">
        <v>36286</v>
      </c>
      <c r="T181" s="124">
        <v>39558</v>
      </c>
      <c r="U181" s="124">
        <v>46175</v>
      </c>
      <c r="V181" s="124">
        <v>57083</v>
      </c>
      <c r="W181" s="124">
        <v>66363</v>
      </c>
      <c r="X181" s="124">
        <v>78944</v>
      </c>
      <c r="Y181" s="124">
        <v>89784</v>
      </c>
      <c r="Z181" s="124">
        <v>80083</v>
      </c>
      <c r="AA181" s="124">
        <v>71997</v>
      </c>
      <c r="AB181" s="124">
        <v>87711</v>
      </c>
      <c r="AC181" s="124">
        <v>82718</v>
      </c>
      <c r="AD181" s="124">
        <v>102330</v>
      </c>
      <c r="AE181" s="124">
        <v>114501</v>
      </c>
      <c r="AG181" s="112" t="s">
        <v>2405</v>
      </c>
      <c r="AH181" s="124">
        <v>2193</v>
      </c>
      <c r="AI181" s="124">
        <v>0</v>
      </c>
      <c r="AJ181" s="124">
        <v>0</v>
      </c>
      <c r="AK181" s="124">
        <v>3242</v>
      </c>
      <c r="AL181" s="124">
        <v>3242</v>
      </c>
      <c r="AM181" s="124">
        <v>3746</v>
      </c>
      <c r="AN181" s="124">
        <v>4012</v>
      </c>
      <c r="AO181" s="124">
        <v>4450</v>
      </c>
      <c r="AP181" s="124">
        <v>4430</v>
      </c>
      <c r="AQ181" s="124">
        <v>4865</v>
      </c>
      <c r="AR181" s="124">
        <v>5407</v>
      </c>
      <c r="AS181" s="124">
        <v>5458</v>
      </c>
      <c r="AT181" s="124">
        <v>6401</v>
      </c>
      <c r="AU181" s="124">
        <v>6865</v>
      </c>
      <c r="AV181" s="124">
        <v>7326</v>
      </c>
      <c r="AW181" s="124">
        <v>7033</v>
      </c>
      <c r="AX181" s="124">
        <v>8077</v>
      </c>
      <c r="AY181" s="124">
        <v>9642</v>
      </c>
      <c r="AZ181" s="124">
        <v>9134</v>
      </c>
      <c r="BA181" s="124">
        <v>10777</v>
      </c>
      <c r="BB181" s="124">
        <v>11464</v>
      </c>
      <c r="BC181" s="124">
        <v>12344</v>
      </c>
      <c r="BD181" s="124">
        <v>14676</v>
      </c>
      <c r="BE181" s="124">
        <v>16627</v>
      </c>
      <c r="BF181" s="124">
        <v>19124</v>
      </c>
      <c r="BG181" s="124">
        <v>22578</v>
      </c>
      <c r="BH181" s="124">
        <v>25722</v>
      </c>
      <c r="BI181" s="124">
        <v>28438</v>
      </c>
      <c r="BJ181" s="124">
        <v>31340</v>
      </c>
      <c r="BK181" s="124">
        <v>34589</v>
      </c>
      <c r="BL181" s="124">
        <v>39792</v>
      </c>
      <c r="BM181" s="124">
        <v>41368</v>
      </c>
      <c r="BN181" s="124">
        <v>45343</v>
      </c>
      <c r="BO181" s="124">
        <v>46422</v>
      </c>
      <c r="BP181" s="124">
        <v>48090</v>
      </c>
      <c r="BQ181" s="124">
        <v>47289</v>
      </c>
      <c r="BR181" s="124">
        <v>48505</v>
      </c>
      <c r="BS181" s="124">
        <v>51548</v>
      </c>
      <c r="BT181" s="124">
        <v>54300</v>
      </c>
      <c r="BU181" s="124">
        <v>52180</v>
      </c>
      <c r="BV181" s="124">
        <v>53516</v>
      </c>
      <c r="BW181" s="124">
        <v>55812</v>
      </c>
      <c r="BX181" s="124">
        <v>58282</v>
      </c>
      <c r="BY181" s="124">
        <v>64912</v>
      </c>
      <c r="BZ181" s="124">
        <v>66680</v>
      </c>
      <c r="CA181" s="124">
        <v>69343</v>
      </c>
      <c r="CB181" s="124">
        <v>70580</v>
      </c>
      <c r="CC181" s="124">
        <v>74825</v>
      </c>
      <c r="CD181" s="124">
        <v>75946</v>
      </c>
      <c r="CE181" s="124">
        <v>47232</v>
      </c>
      <c r="CF181" s="124">
        <v>47373</v>
      </c>
      <c r="CG181" s="124">
        <v>48115</v>
      </c>
      <c r="CH181" s="124">
        <v>48327</v>
      </c>
      <c r="CI181" s="124">
        <v>44208</v>
      </c>
      <c r="CJ181" s="124">
        <v>42038</v>
      </c>
      <c r="CK181" s="124">
        <v>40104</v>
      </c>
      <c r="CL181" s="124">
        <v>36101</v>
      </c>
      <c r="CM181" s="124">
        <v>36634</v>
      </c>
      <c r="CN181" s="124">
        <v>34973</v>
      </c>
      <c r="CO181" s="124">
        <v>31097</v>
      </c>
      <c r="CP181" s="124">
        <v>32135</v>
      </c>
      <c r="CQ181" s="124">
        <v>34431</v>
      </c>
      <c r="CR181" s="124">
        <v>37554</v>
      </c>
      <c r="CS181" s="124">
        <v>36286</v>
      </c>
      <c r="CT181" s="124">
        <v>33594</v>
      </c>
      <c r="CU181" s="124">
        <v>34478</v>
      </c>
      <c r="CV181" s="124">
        <v>36943</v>
      </c>
      <c r="CW181" s="124">
        <v>39558</v>
      </c>
      <c r="CX181" s="124">
        <v>41212</v>
      </c>
      <c r="CY181" s="124">
        <v>44283</v>
      </c>
      <c r="CZ181" s="124">
        <v>45710</v>
      </c>
      <c r="DA181" s="124">
        <v>46175</v>
      </c>
      <c r="DB181" s="124">
        <v>46942</v>
      </c>
      <c r="DC181" s="124">
        <v>48481</v>
      </c>
      <c r="DD181" s="124">
        <v>53452</v>
      </c>
      <c r="DE181" s="124">
        <v>57083</v>
      </c>
      <c r="DF181" s="124">
        <v>59391</v>
      </c>
      <c r="DG181" s="124">
        <v>64121</v>
      </c>
      <c r="DH181" s="124">
        <v>68659</v>
      </c>
      <c r="DI181" s="124">
        <v>66363</v>
      </c>
      <c r="DJ181" s="124">
        <v>68836</v>
      </c>
      <c r="DK181" s="124">
        <v>72576</v>
      </c>
      <c r="DL181" s="124">
        <v>76688</v>
      </c>
      <c r="DM181" s="124">
        <v>78944</v>
      </c>
      <c r="DN181" s="124">
        <v>81641</v>
      </c>
      <c r="DO181" s="124">
        <v>85100</v>
      </c>
      <c r="DP181" s="124">
        <v>87424</v>
      </c>
      <c r="DQ181" s="124">
        <v>89784</v>
      </c>
      <c r="DR181" s="124">
        <v>90170</v>
      </c>
      <c r="DS181" s="124">
        <v>91879</v>
      </c>
      <c r="DT181" s="124">
        <v>90132</v>
      </c>
      <c r="DU181" s="124">
        <v>80083</v>
      </c>
      <c r="DV181" s="124">
        <v>77445</v>
      </c>
      <c r="DW181" s="124">
        <v>76780</v>
      </c>
      <c r="DX181" s="124">
        <v>74806</v>
      </c>
      <c r="DY181" s="124">
        <v>71997</v>
      </c>
      <c r="DZ181" s="124">
        <v>70372</v>
      </c>
      <c r="EA181" s="124">
        <v>68809</v>
      </c>
      <c r="EB181" s="124">
        <v>69729</v>
      </c>
      <c r="EC181" s="124">
        <v>87711</v>
      </c>
      <c r="ED181" s="124">
        <v>89647</v>
      </c>
      <c r="EE181" s="124">
        <v>78360</v>
      </c>
      <c r="EF181" s="124">
        <v>79239</v>
      </c>
      <c r="EG181" s="124">
        <v>82718</v>
      </c>
      <c r="EH181" s="124">
        <v>85967</v>
      </c>
      <c r="EI181" s="124">
        <v>92128</v>
      </c>
      <c r="EJ181" s="124">
        <v>94864</v>
      </c>
      <c r="EK181" s="124">
        <v>102330</v>
      </c>
      <c r="EL181" s="124">
        <v>106061</v>
      </c>
      <c r="EM181" s="124">
        <v>110109</v>
      </c>
      <c r="EN181" s="124">
        <v>114501</v>
      </c>
    </row>
    <row r="182" spans="1:144">
      <c r="A182" s="103"/>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G182" s="103"/>
      <c r="AH182" s="103"/>
      <c r="AI182" s="103"/>
      <c r="AJ182" s="103"/>
      <c r="AK182" s="103"/>
      <c r="AL182" s="103"/>
      <c r="AM182" s="103"/>
      <c r="AN182" s="103"/>
      <c r="AO182" s="103"/>
      <c r="AP182" s="103"/>
      <c r="AQ182" s="103"/>
      <c r="AR182" s="103"/>
      <c r="AS182" s="103"/>
      <c r="AT182" s="103"/>
      <c r="AU182" s="103"/>
      <c r="AV182" s="103"/>
      <c r="AW182" s="103"/>
      <c r="AX182" s="103"/>
      <c r="AY182" s="103"/>
      <c r="AZ182" s="103"/>
      <c r="BA182" s="103"/>
      <c r="BB182" s="103"/>
      <c r="BC182" s="103"/>
      <c r="BD182" s="103"/>
      <c r="BE182" s="103"/>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c r="CJ182" s="103"/>
      <c r="CK182" s="103"/>
      <c r="CL182" s="103"/>
      <c r="CM182" s="103"/>
      <c r="CN182" s="103"/>
      <c r="CO182" s="103"/>
      <c r="CP182" s="103"/>
      <c r="CQ182" s="103"/>
      <c r="CR182" s="103"/>
      <c r="CS182" s="103"/>
      <c r="CT182" s="103"/>
      <c r="CU182" s="103"/>
      <c r="CV182" s="103"/>
      <c r="CW182" s="103"/>
      <c r="CX182" s="103"/>
      <c r="CY182" s="103"/>
      <c r="CZ182" s="103"/>
      <c r="DA182" s="103"/>
      <c r="DB182" s="103"/>
      <c r="DC182" s="103"/>
      <c r="DD182" s="103"/>
      <c r="DE182" s="103"/>
      <c r="DF182" s="103"/>
      <c r="DG182" s="103"/>
      <c r="DH182" s="103"/>
      <c r="DI182" s="103"/>
      <c r="DJ182" s="103"/>
      <c r="DK182" s="103"/>
      <c r="DL182" s="103"/>
      <c r="DM182" s="103"/>
      <c r="DN182" s="103"/>
      <c r="DO182" s="103"/>
      <c r="DP182" s="103"/>
      <c r="DQ182" s="103"/>
      <c r="DR182" s="103"/>
      <c r="DS182" s="103"/>
      <c r="DT182" s="103"/>
      <c r="DU182" s="103"/>
      <c r="DV182" s="103"/>
      <c r="DW182" s="103"/>
      <c r="DX182" s="103"/>
      <c r="DY182" s="103"/>
      <c r="DZ182" s="103"/>
      <c r="EA182" s="103"/>
      <c r="EB182" s="103"/>
      <c r="EC182" s="103"/>
      <c r="ED182" s="103"/>
      <c r="EE182" s="103"/>
      <c r="EF182" s="103"/>
      <c r="EG182" s="103"/>
      <c r="EH182" s="103"/>
      <c r="EI182" s="103"/>
      <c r="EJ182" s="103"/>
      <c r="EK182" s="103"/>
      <c r="EL182" s="103"/>
      <c r="EM182" s="103"/>
      <c r="EN182" s="103"/>
    </row>
    <row r="183" spans="1:144" ht="10.5">
      <c r="A183" s="112" t="s">
        <v>2406</v>
      </c>
      <c r="B183" s="125">
        <v>1644.184</v>
      </c>
      <c r="C183" s="125">
        <v>2640</v>
      </c>
      <c r="D183" s="125">
        <v>3805</v>
      </c>
      <c r="E183" s="125">
        <v>5363</v>
      </c>
      <c r="F183" s="125">
        <v>7210</v>
      </c>
      <c r="G183" s="125">
        <v>10093</v>
      </c>
      <c r="H183" s="125">
        <v>14387</v>
      </c>
      <c r="I183" s="125">
        <v>22357</v>
      </c>
      <c r="J183" s="125">
        <v>38625</v>
      </c>
      <c r="K183" s="125">
        <v>52150</v>
      </c>
      <c r="L183" s="125">
        <v>58830</v>
      </c>
      <c r="M183" s="125">
        <v>67646</v>
      </c>
      <c r="N183" s="125">
        <v>81732</v>
      </c>
      <c r="O183" s="125">
        <v>94368</v>
      </c>
      <c r="P183" s="125">
        <v>70815</v>
      </c>
      <c r="Q183" s="125">
        <v>69597</v>
      </c>
      <c r="R183" s="125">
        <v>63171</v>
      </c>
      <c r="S183" s="125">
        <v>72793</v>
      </c>
      <c r="T183" s="125">
        <v>77888</v>
      </c>
      <c r="U183" s="125">
        <v>86113</v>
      </c>
      <c r="V183" s="125">
        <v>108704</v>
      </c>
      <c r="W183" s="125">
        <v>121271</v>
      </c>
      <c r="X183" s="125">
        <v>142431</v>
      </c>
      <c r="Y183" s="125">
        <v>172384</v>
      </c>
      <c r="Z183" s="125">
        <v>174472</v>
      </c>
      <c r="AA183" s="125">
        <v>193468</v>
      </c>
      <c r="AB183" s="125">
        <v>250312</v>
      </c>
      <c r="AC183" s="125">
        <v>258848</v>
      </c>
      <c r="AD183" s="125">
        <v>286556</v>
      </c>
      <c r="AE183" s="125">
        <v>285449</v>
      </c>
      <c r="AG183" s="112" t="s">
        <v>2406</v>
      </c>
      <c r="AH183" s="125">
        <v>0</v>
      </c>
      <c r="AI183" s="125">
        <v>0</v>
      </c>
      <c r="AJ183" s="125">
        <v>0</v>
      </c>
      <c r="AK183" s="125">
        <v>3805</v>
      </c>
      <c r="AL183" s="125">
        <v>0</v>
      </c>
      <c r="AM183" s="125">
        <v>4486</v>
      </c>
      <c r="AN183" s="125">
        <v>4926</v>
      </c>
      <c r="AO183" s="125">
        <v>5363</v>
      </c>
      <c r="AP183" s="125">
        <v>5637</v>
      </c>
      <c r="AQ183" s="125">
        <v>5961</v>
      </c>
      <c r="AR183" s="125">
        <v>6592</v>
      </c>
      <c r="AS183" s="125">
        <v>7210</v>
      </c>
      <c r="AT183" s="125">
        <v>8160</v>
      </c>
      <c r="AU183" s="125">
        <v>9106</v>
      </c>
      <c r="AV183" s="125">
        <v>9590</v>
      </c>
      <c r="AW183" s="125">
        <v>10093</v>
      </c>
      <c r="AX183" s="125">
        <v>10740</v>
      </c>
      <c r="AY183" s="125">
        <v>12786</v>
      </c>
      <c r="AZ183" s="125">
        <v>12613</v>
      </c>
      <c r="BA183" s="125">
        <v>14387</v>
      </c>
      <c r="BB183" s="125">
        <v>15366</v>
      </c>
      <c r="BC183" s="125">
        <v>16840</v>
      </c>
      <c r="BD183" s="125">
        <v>19545</v>
      </c>
      <c r="BE183" s="125">
        <v>22357</v>
      </c>
      <c r="BF183" s="125">
        <v>25569</v>
      </c>
      <c r="BG183" s="125">
        <v>30049</v>
      </c>
      <c r="BH183" s="125">
        <v>33561</v>
      </c>
      <c r="BI183" s="125">
        <v>38625</v>
      </c>
      <c r="BJ183" s="125">
        <v>39672</v>
      </c>
      <c r="BK183" s="125">
        <v>45093</v>
      </c>
      <c r="BL183" s="125">
        <v>50895</v>
      </c>
      <c r="BM183" s="125">
        <v>52150</v>
      </c>
      <c r="BN183" s="125">
        <v>56089</v>
      </c>
      <c r="BO183" s="125">
        <v>57691</v>
      </c>
      <c r="BP183" s="125">
        <v>59605</v>
      </c>
      <c r="BQ183" s="125">
        <v>58830</v>
      </c>
      <c r="BR183" s="125">
        <v>61367</v>
      </c>
      <c r="BS183" s="125">
        <v>65387</v>
      </c>
      <c r="BT183" s="125">
        <v>68379</v>
      </c>
      <c r="BU183" s="125">
        <v>67646</v>
      </c>
      <c r="BV183" s="125">
        <v>70235</v>
      </c>
      <c r="BW183" s="125">
        <v>72359</v>
      </c>
      <c r="BX183" s="125">
        <v>74482</v>
      </c>
      <c r="BY183" s="125">
        <v>81732</v>
      </c>
      <c r="BZ183" s="125">
        <v>84281</v>
      </c>
      <c r="CA183" s="125">
        <v>85937</v>
      </c>
      <c r="CB183" s="125">
        <v>89767</v>
      </c>
      <c r="CC183" s="125">
        <v>94368</v>
      </c>
      <c r="CD183" s="125">
        <v>94268</v>
      </c>
      <c r="CE183" s="125">
        <v>64941</v>
      </c>
      <c r="CF183" s="125">
        <v>66275</v>
      </c>
      <c r="CG183" s="125">
        <v>70815</v>
      </c>
      <c r="CH183" s="125">
        <v>71462</v>
      </c>
      <c r="CI183" s="125">
        <v>67257</v>
      </c>
      <c r="CJ183" s="125">
        <v>66854</v>
      </c>
      <c r="CK183" s="125">
        <v>69597</v>
      </c>
      <c r="CL183" s="125">
        <v>65354</v>
      </c>
      <c r="CM183" s="125">
        <v>66371</v>
      </c>
      <c r="CN183" s="125">
        <v>63891</v>
      </c>
      <c r="CO183" s="125">
        <v>63171</v>
      </c>
      <c r="CP183" s="125">
        <v>65645</v>
      </c>
      <c r="CQ183" s="125">
        <v>67339</v>
      </c>
      <c r="CR183" s="125">
        <v>70747</v>
      </c>
      <c r="CS183" s="125">
        <v>72793</v>
      </c>
      <c r="CT183" s="125">
        <v>65117</v>
      </c>
      <c r="CU183" s="125">
        <v>65786</v>
      </c>
      <c r="CV183" s="125">
        <v>68853</v>
      </c>
      <c r="CW183" s="125">
        <v>77888</v>
      </c>
      <c r="CX183" s="125">
        <v>81612</v>
      </c>
      <c r="CY183" s="125">
        <v>82096</v>
      </c>
      <c r="CZ183" s="125">
        <v>84910</v>
      </c>
      <c r="DA183" s="125">
        <v>86113</v>
      </c>
      <c r="DB183" s="125">
        <v>91540</v>
      </c>
      <c r="DC183" s="125">
        <v>92306</v>
      </c>
      <c r="DD183" s="125">
        <v>99727</v>
      </c>
      <c r="DE183" s="125">
        <v>108704</v>
      </c>
      <c r="DF183" s="125">
        <v>107415</v>
      </c>
      <c r="DG183" s="125">
        <v>112243</v>
      </c>
      <c r="DH183" s="125">
        <v>118010</v>
      </c>
      <c r="DI183" s="125">
        <v>121271</v>
      </c>
      <c r="DJ183" s="125">
        <v>121876</v>
      </c>
      <c r="DK183" s="125">
        <v>128683</v>
      </c>
      <c r="DL183" s="125">
        <v>134105</v>
      </c>
      <c r="DM183" s="125">
        <v>142431</v>
      </c>
      <c r="DN183" s="125">
        <v>142348</v>
      </c>
      <c r="DO183" s="125">
        <v>153543</v>
      </c>
      <c r="DP183" s="125">
        <v>156119</v>
      </c>
      <c r="DQ183" s="125">
        <v>172384</v>
      </c>
      <c r="DR183" s="125">
        <v>169656</v>
      </c>
      <c r="DS183" s="125">
        <v>174848</v>
      </c>
      <c r="DT183" s="125">
        <v>176683</v>
      </c>
      <c r="DU183" s="125">
        <v>174472</v>
      </c>
      <c r="DV183" s="125">
        <v>172896</v>
      </c>
      <c r="DW183" s="125">
        <v>180098</v>
      </c>
      <c r="DX183" s="125">
        <v>181869</v>
      </c>
      <c r="DY183" s="125">
        <v>193468</v>
      </c>
      <c r="DZ183" s="125">
        <v>212524</v>
      </c>
      <c r="EA183" s="125">
        <v>224610</v>
      </c>
      <c r="EB183" s="125">
        <v>225017</v>
      </c>
      <c r="EC183" s="125">
        <v>250312</v>
      </c>
      <c r="ED183" s="125">
        <v>249097</v>
      </c>
      <c r="EE183" s="125">
        <v>256003</v>
      </c>
      <c r="EF183" s="125">
        <v>245497</v>
      </c>
      <c r="EG183" s="125">
        <v>258848</v>
      </c>
      <c r="EH183" s="125">
        <v>257619</v>
      </c>
      <c r="EI183" s="125">
        <v>258859</v>
      </c>
      <c r="EJ183" s="125">
        <v>263281</v>
      </c>
      <c r="EK183" s="125">
        <v>286556</v>
      </c>
      <c r="EL183" s="125">
        <v>278955</v>
      </c>
      <c r="EM183" s="125">
        <v>282794</v>
      </c>
      <c r="EN183" s="125">
        <v>285449</v>
      </c>
    </row>
    <row r="184" spans="1:144">
      <c r="A184" s="103"/>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G184" s="103"/>
      <c r="AH184" s="103"/>
      <c r="AI184" s="103"/>
      <c r="AJ184" s="103"/>
      <c r="AK184" s="103"/>
      <c r="AL184" s="103"/>
      <c r="AM184" s="103"/>
      <c r="AN184" s="103"/>
      <c r="AO184" s="103"/>
      <c r="AP184" s="103"/>
      <c r="AQ184" s="103"/>
      <c r="AR184" s="103"/>
      <c r="AS184" s="103"/>
      <c r="AT184" s="103"/>
      <c r="AU184" s="103"/>
      <c r="AV184" s="103"/>
      <c r="AW184" s="103"/>
      <c r="AX184" s="103"/>
      <c r="AY184" s="103"/>
      <c r="AZ184" s="103"/>
      <c r="BA184" s="103"/>
      <c r="BB184" s="103"/>
      <c r="BC184" s="103"/>
      <c r="BD184" s="103"/>
      <c r="BE184" s="103"/>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c r="CD184" s="103"/>
      <c r="CE184" s="103"/>
      <c r="CF184" s="103"/>
      <c r="CG184" s="103"/>
      <c r="CH184" s="103"/>
      <c r="CI184" s="103"/>
      <c r="CJ184" s="103"/>
      <c r="CK184" s="103"/>
      <c r="CL184" s="103"/>
      <c r="CM184" s="103"/>
      <c r="CN184" s="103"/>
      <c r="CO184" s="103"/>
      <c r="CP184" s="103"/>
      <c r="CQ184" s="103"/>
      <c r="CR184" s="103"/>
      <c r="CS184" s="103"/>
      <c r="CT184" s="103"/>
      <c r="CU184" s="103"/>
      <c r="CV184" s="103"/>
      <c r="CW184" s="103"/>
      <c r="CX184" s="103"/>
      <c r="CY184" s="103"/>
      <c r="CZ184" s="103"/>
      <c r="DA184" s="103"/>
      <c r="DB184" s="103"/>
      <c r="DC184" s="103"/>
      <c r="DD184" s="103"/>
      <c r="DE184" s="103"/>
      <c r="DF184" s="103"/>
      <c r="DG184" s="103"/>
      <c r="DH184" s="103"/>
      <c r="DI184" s="103"/>
      <c r="DJ184" s="103"/>
      <c r="DK184" s="103"/>
      <c r="DL184" s="103"/>
      <c r="DM184" s="103"/>
      <c r="DN184" s="103"/>
      <c r="DO184" s="103"/>
      <c r="DP184" s="103"/>
      <c r="DQ184" s="103"/>
      <c r="DR184" s="103"/>
      <c r="DS184" s="103"/>
      <c r="DT184" s="103"/>
      <c r="DU184" s="103"/>
      <c r="DV184" s="103"/>
      <c r="DW184" s="103"/>
      <c r="DX184" s="103"/>
      <c r="DY184" s="103"/>
      <c r="DZ184" s="103"/>
      <c r="EA184" s="103"/>
      <c r="EB184" s="103"/>
      <c r="EC184" s="103"/>
      <c r="ED184" s="103"/>
      <c r="EE184" s="103"/>
      <c r="EF184" s="103"/>
      <c r="EG184" s="103"/>
      <c r="EH184" s="103"/>
      <c r="EI184" s="103"/>
      <c r="EJ184" s="103"/>
      <c r="EK184" s="103"/>
      <c r="EL184" s="103"/>
      <c r="EM184" s="103"/>
      <c r="EN184" s="103"/>
    </row>
    <row r="185" spans="1:144" ht="10.5">
      <c r="A185" s="112" t="s">
        <v>2208</v>
      </c>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G185" s="112" t="s">
        <v>2208</v>
      </c>
      <c r="AH185" s="103"/>
      <c r="AI185" s="103"/>
      <c r="AJ185" s="103"/>
      <c r="AK185" s="103"/>
      <c r="AL185" s="103"/>
      <c r="AM185" s="103"/>
      <c r="AN185" s="103"/>
      <c r="AO185" s="103"/>
      <c r="AP185" s="103"/>
      <c r="AQ185" s="103"/>
      <c r="AR185" s="103"/>
      <c r="AS185" s="103"/>
      <c r="AT185" s="103"/>
      <c r="AU185" s="103"/>
      <c r="AV185" s="103"/>
      <c r="AW185" s="103"/>
      <c r="AX185" s="103"/>
      <c r="AY185" s="103"/>
      <c r="AZ185" s="103"/>
      <c r="BA185" s="103"/>
      <c r="BB185" s="103"/>
      <c r="BC185" s="103"/>
      <c r="BD185" s="103"/>
      <c r="BE185" s="103"/>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c r="CI185" s="103"/>
      <c r="CJ185" s="103"/>
      <c r="CK185" s="103"/>
      <c r="CL185" s="103"/>
      <c r="CM185" s="103"/>
      <c r="CN185" s="103"/>
      <c r="CO185" s="103"/>
      <c r="CP185" s="103"/>
      <c r="CQ185" s="103"/>
      <c r="CR185" s="103"/>
      <c r="CS185" s="103"/>
      <c r="CT185" s="103"/>
      <c r="CU185" s="103"/>
      <c r="CV185" s="103"/>
      <c r="CW185" s="103"/>
      <c r="CX185" s="103"/>
      <c r="CY185" s="103"/>
      <c r="CZ185" s="103"/>
      <c r="DA185" s="103"/>
      <c r="DB185" s="103"/>
      <c r="DC185" s="103"/>
      <c r="DD185" s="103"/>
      <c r="DE185" s="103"/>
      <c r="DF185" s="103"/>
      <c r="DG185" s="103"/>
      <c r="DH185" s="103"/>
      <c r="DI185" s="103"/>
      <c r="DJ185" s="103"/>
      <c r="DK185" s="103"/>
      <c r="DL185" s="103"/>
      <c r="DM185" s="103"/>
      <c r="DN185" s="103"/>
      <c r="DO185" s="103"/>
      <c r="DP185" s="103"/>
      <c r="DQ185" s="103"/>
      <c r="DR185" s="103"/>
      <c r="DS185" s="103"/>
      <c r="DT185" s="103"/>
      <c r="DU185" s="103"/>
      <c r="DV185" s="103"/>
      <c r="DW185" s="103"/>
      <c r="DX185" s="103"/>
      <c r="DY185" s="103"/>
      <c r="DZ185" s="103"/>
      <c r="EA185" s="103"/>
      <c r="EB185" s="103"/>
      <c r="EC185" s="103"/>
      <c r="ED185" s="103"/>
      <c r="EE185" s="103"/>
      <c r="EF185" s="103"/>
      <c r="EG185" s="103"/>
      <c r="EH185" s="103"/>
      <c r="EI185" s="103"/>
      <c r="EJ185" s="103"/>
      <c r="EK185" s="103"/>
      <c r="EL185" s="103"/>
      <c r="EM185" s="103"/>
      <c r="EN185" s="103"/>
    </row>
    <row r="186" spans="1:144">
      <c r="A186" s="103" t="s">
        <v>2407</v>
      </c>
      <c r="B186" s="113">
        <v>8363.232</v>
      </c>
      <c r="C186" s="113">
        <v>8704</v>
      </c>
      <c r="D186" s="113">
        <v>9048.3221439999998</v>
      </c>
      <c r="E186" s="113">
        <v>9285.5337760000002</v>
      </c>
      <c r="F186" s="113">
        <v>9439.2341120000001</v>
      </c>
      <c r="G186" s="113">
        <v>9539.6311519999999</v>
      </c>
      <c r="H186" s="113">
        <v>9700.5417359999992</v>
      </c>
      <c r="I186" s="113">
        <v>9938.5426800000005</v>
      </c>
      <c r="J186" s="113">
        <v>10283.016248</v>
      </c>
      <c r="K186" s="113">
        <v>10710.753632</v>
      </c>
      <c r="L186" s="113">
        <v>10803.889902000001</v>
      </c>
      <c r="M186" s="113">
        <v>10757.493705999999</v>
      </c>
      <c r="N186" s="113">
        <v>10813.984831</v>
      </c>
      <c r="O186" s="113">
        <v>10872.704667</v>
      </c>
      <c r="P186" s="113">
        <v>10712.706028000001</v>
      </c>
      <c r="Q186" s="113">
        <v>9969.9917999999998</v>
      </c>
      <c r="R186" s="113">
        <v>9375.4924960000008</v>
      </c>
      <c r="S186" s="113">
        <v>9130.2930739999993</v>
      </c>
      <c r="T186" s="113">
        <v>8910.6738170000008</v>
      </c>
      <c r="U186" s="113">
        <v>8653.5673310000002</v>
      </c>
      <c r="V186" s="113">
        <v>8378.2657820000004</v>
      </c>
      <c r="W186" s="113">
        <v>8383.3965750000007</v>
      </c>
      <c r="X186" s="113">
        <v>8329.9564019999998</v>
      </c>
      <c r="Y186" s="113">
        <v>8239.8487889999997</v>
      </c>
      <c r="Z186" s="113">
        <v>7997.9809690000002</v>
      </c>
      <c r="AA186" s="113">
        <v>7792.5155729999997</v>
      </c>
      <c r="AB186" s="113">
        <v>7702.2439789999999</v>
      </c>
      <c r="AC186" s="113">
        <v>7677</v>
      </c>
      <c r="AD186" s="113">
        <v>7635.4093999999996</v>
      </c>
      <c r="AE186" s="113">
        <v>7583.4402470000005</v>
      </c>
      <c r="AG186" s="103" t="s">
        <v>2407</v>
      </c>
      <c r="AH186" s="113">
        <v>9632</v>
      </c>
      <c r="AI186" s="113">
        <v>9696</v>
      </c>
      <c r="AJ186" s="113">
        <v>9728</v>
      </c>
      <c r="AK186" s="113">
        <v>9040</v>
      </c>
      <c r="AL186" s="113">
        <v>9696</v>
      </c>
      <c r="AM186" s="113">
        <v>9150.5694079999994</v>
      </c>
      <c r="AN186" s="113">
        <v>9214.3359999999993</v>
      </c>
      <c r="AO186" s="113">
        <v>9296</v>
      </c>
      <c r="AP186" s="113">
        <v>9318.1452000000008</v>
      </c>
      <c r="AQ186" s="113">
        <v>9299.6542239999999</v>
      </c>
      <c r="AR186" s="113">
        <v>9370.2434720000001</v>
      </c>
      <c r="AS186" s="113">
        <v>9408</v>
      </c>
      <c r="AT186" s="113">
        <v>9476.8944159999992</v>
      </c>
      <c r="AU186" s="113">
        <v>9504.0584479999998</v>
      </c>
      <c r="AV186" s="113">
        <v>9571.9881760000007</v>
      </c>
      <c r="AW186" s="113">
        <v>9552</v>
      </c>
      <c r="AX186" s="113">
        <v>9561.5035040000002</v>
      </c>
      <c r="AY186" s="113">
        <v>9625.2441999999992</v>
      </c>
      <c r="AZ186" s="113">
        <v>9586.6181519999991</v>
      </c>
      <c r="BA186" s="113">
        <v>9632</v>
      </c>
      <c r="BB186" s="113">
        <v>9653.5315360000004</v>
      </c>
      <c r="BC186" s="113">
        <v>9856.2890200000002</v>
      </c>
      <c r="BD186" s="113">
        <v>9856.2890200000002</v>
      </c>
      <c r="BE186" s="113">
        <v>9880</v>
      </c>
      <c r="BF186" s="113">
        <v>9974.2677960000001</v>
      </c>
      <c r="BG186" s="113">
        <v>10093.837928000001</v>
      </c>
      <c r="BH186" s="113">
        <v>10207.718464</v>
      </c>
      <c r="BI186" s="113">
        <v>10218</v>
      </c>
      <c r="BJ186" s="113">
        <v>10320.049186</v>
      </c>
      <c r="BK186" s="113">
        <v>10409.706666</v>
      </c>
      <c r="BL186" s="113">
        <v>10524.810818</v>
      </c>
      <c r="BM186" s="113">
        <v>10566</v>
      </c>
      <c r="BN186" s="113">
        <v>10664.675848000001</v>
      </c>
      <c r="BO186" s="113">
        <v>10670.781728</v>
      </c>
      <c r="BP186" s="113">
        <v>10764.203812</v>
      </c>
      <c r="BQ186" s="113">
        <v>10766</v>
      </c>
      <c r="BR186" s="113">
        <v>10832.013086000001</v>
      </c>
      <c r="BS186" s="113">
        <v>10832.013086000001</v>
      </c>
      <c r="BT186" s="113">
        <v>10830.925504000001</v>
      </c>
      <c r="BU186" s="113">
        <v>10718</v>
      </c>
      <c r="BV186" s="113">
        <v>10692.899744</v>
      </c>
      <c r="BW186" s="113">
        <v>10701.385302000001</v>
      </c>
      <c r="BX186" s="113">
        <v>10736.261053</v>
      </c>
      <c r="BY186" s="113">
        <v>10771</v>
      </c>
      <c r="BZ186" s="113">
        <v>10812.468881000001</v>
      </c>
      <c r="CA186" s="113">
        <v>10794.392603</v>
      </c>
      <c r="CB186" s="113">
        <v>10794.69269</v>
      </c>
      <c r="CC186" s="113">
        <v>10862</v>
      </c>
      <c r="CD186" s="113">
        <v>10871.589882</v>
      </c>
      <c r="CE186" s="113">
        <v>10880.222153000001</v>
      </c>
      <c r="CF186" s="113">
        <v>10804.353235</v>
      </c>
      <c r="CG186" s="113">
        <v>10710</v>
      </c>
      <c r="CH186" s="113">
        <v>10644.674213</v>
      </c>
      <c r="CI186" s="113">
        <v>10333.368967</v>
      </c>
      <c r="CJ186" s="113">
        <v>10201.202877</v>
      </c>
      <c r="CK186" s="113">
        <v>10062</v>
      </c>
      <c r="CL186" s="113">
        <v>9830.4600929999997</v>
      </c>
      <c r="CM186" s="113">
        <v>9792.3144049999992</v>
      </c>
      <c r="CN186" s="113">
        <v>9566.8083829999996</v>
      </c>
      <c r="CO186" s="113">
        <v>9380</v>
      </c>
      <c r="CP186" s="113">
        <v>9355.4389119999996</v>
      </c>
      <c r="CQ186" s="113">
        <v>9306.9797460000009</v>
      </c>
      <c r="CR186" s="113">
        <v>9313.2928329999995</v>
      </c>
      <c r="CS186" s="113">
        <v>9151</v>
      </c>
      <c r="CT186" s="113">
        <v>8895.5727200000001</v>
      </c>
      <c r="CU186" s="113">
        <v>8890.5628730000008</v>
      </c>
      <c r="CV186" s="113">
        <v>8899.7200219999995</v>
      </c>
      <c r="CW186" s="113">
        <v>8908</v>
      </c>
      <c r="CX186" s="113">
        <v>8879.1213779999998</v>
      </c>
      <c r="CY186" s="113">
        <v>8770.4609220000002</v>
      </c>
      <c r="CZ186" s="113">
        <v>8763.8393290000004</v>
      </c>
      <c r="DA186" s="113">
        <v>8668</v>
      </c>
      <c r="DB186" s="113">
        <v>8555.5232419999993</v>
      </c>
      <c r="DC186" s="113">
        <v>8402.3820309999992</v>
      </c>
      <c r="DD186" s="113">
        <v>8432.7673070000001</v>
      </c>
      <c r="DE186" s="113">
        <v>8376</v>
      </c>
      <c r="DF186" s="113">
        <v>8412.1822769999999</v>
      </c>
      <c r="DG186" s="113">
        <v>8390.7713879999992</v>
      </c>
      <c r="DH186" s="113">
        <v>8400.8661030000003</v>
      </c>
      <c r="DI186" s="113">
        <v>8381</v>
      </c>
      <c r="DJ186" s="113">
        <v>8416.4624910000002</v>
      </c>
      <c r="DK186" s="113">
        <v>8376.2449099999994</v>
      </c>
      <c r="DL186" s="113">
        <v>8351.1065899999994</v>
      </c>
      <c r="DM186" s="113">
        <v>8328</v>
      </c>
      <c r="DN186" s="113">
        <v>8347.9683480000003</v>
      </c>
      <c r="DO186" s="113">
        <v>8300.7237249999998</v>
      </c>
      <c r="DP186" s="113">
        <v>8260.411967</v>
      </c>
      <c r="DQ186" s="113">
        <v>8239</v>
      </c>
      <c r="DR186" s="113">
        <v>8242.8528270000006</v>
      </c>
      <c r="DS186" s="113">
        <v>8203.7853410000007</v>
      </c>
      <c r="DT186" s="113">
        <v>8089.5752769999999</v>
      </c>
      <c r="DU186" s="113">
        <v>8027</v>
      </c>
      <c r="DV186" s="113">
        <v>7987.9131520000001</v>
      </c>
      <c r="DW186" s="113">
        <v>7909.3027739999998</v>
      </c>
      <c r="DX186" s="113">
        <v>7860.466856</v>
      </c>
      <c r="DY186" s="113">
        <v>7808</v>
      </c>
      <c r="DZ186" s="113">
        <v>7775.3505009999999</v>
      </c>
      <c r="EA186" s="113">
        <v>7727.5298199999997</v>
      </c>
      <c r="EB186" s="113">
        <v>7720.5147310000002</v>
      </c>
      <c r="EC186" s="113">
        <v>7708</v>
      </c>
      <c r="ED186" s="113">
        <v>7714.5901949999998</v>
      </c>
      <c r="EE186" s="113">
        <v>7699.7928519999996</v>
      </c>
      <c r="EF186" s="113">
        <v>7683.1975030000003</v>
      </c>
      <c r="EG186" s="113">
        <v>7677</v>
      </c>
      <c r="EH186" s="113">
        <v>7676.2187359999998</v>
      </c>
      <c r="EI186" s="113">
        <v>7672.2134459999997</v>
      </c>
      <c r="EJ186" s="113">
        <v>7662.8179200000004</v>
      </c>
      <c r="EK186" s="113">
        <v>7635.4093999999996</v>
      </c>
      <c r="EL186" s="113">
        <v>7628.8056180000003</v>
      </c>
      <c r="EM186" s="113">
        <v>7606.0470100000002</v>
      </c>
      <c r="EN186" s="113">
        <v>7583.4402470000005</v>
      </c>
    </row>
    <row r="187" spans="1:144">
      <c r="A187" s="103" t="s">
        <v>2408</v>
      </c>
      <c r="B187" s="113">
        <v>8363.232</v>
      </c>
      <c r="C187" s="113">
        <v>8704</v>
      </c>
      <c r="D187" s="113">
        <v>9040</v>
      </c>
      <c r="E187" s="113">
        <v>9296</v>
      </c>
      <c r="F187" s="113">
        <v>9408</v>
      </c>
      <c r="G187" s="113">
        <v>9552</v>
      </c>
      <c r="H187" s="113">
        <v>9632</v>
      </c>
      <c r="I187" s="113">
        <v>9880</v>
      </c>
      <c r="J187" s="113">
        <v>10218</v>
      </c>
      <c r="K187" s="113">
        <v>10566</v>
      </c>
      <c r="L187" s="113">
        <v>10766</v>
      </c>
      <c r="M187" s="113">
        <v>10718</v>
      </c>
      <c r="N187" s="113">
        <v>10771</v>
      </c>
      <c r="O187" s="113">
        <v>10862</v>
      </c>
      <c r="P187" s="113">
        <v>10710</v>
      </c>
      <c r="Q187" s="113">
        <v>10062</v>
      </c>
      <c r="R187" s="113">
        <v>9380</v>
      </c>
      <c r="S187" s="113">
        <v>9151</v>
      </c>
      <c r="T187" s="113">
        <v>8908</v>
      </c>
      <c r="U187" s="113">
        <v>8668</v>
      </c>
      <c r="V187" s="113">
        <v>8376</v>
      </c>
      <c r="W187" s="113">
        <v>8381</v>
      </c>
      <c r="X187" s="113">
        <v>8328</v>
      </c>
      <c r="Y187" s="113">
        <v>8239</v>
      </c>
      <c r="Z187" s="113">
        <v>8027</v>
      </c>
      <c r="AA187" s="113">
        <v>7808</v>
      </c>
      <c r="AB187" s="113">
        <v>7708</v>
      </c>
      <c r="AC187" s="113">
        <v>7677</v>
      </c>
      <c r="AD187" s="113">
        <v>7643</v>
      </c>
      <c r="AE187" s="113">
        <v>7590</v>
      </c>
      <c r="AG187" s="103" t="s">
        <v>2408</v>
      </c>
      <c r="AH187" s="113">
        <v>9632</v>
      </c>
      <c r="AI187" s="113">
        <v>9696</v>
      </c>
      <c r="AJ187" s="113">
        <v>9728</v>
      </c>
      <c r="AK187" s="113">
        <v>9040</v>
      </c>
      <c r="AL187" s="113">
        <v>9696</v>
      </c>
      <c r="AM187" s="113">
        <v>9088</v>
      </c>
      <c r="AN187" s="113">
        <v>9152</v>
      </c>
      <c r="AO187" s="113">
        <v>9296</v>
      </c>
      <c r="AP187" s="113">
        <v>9296</v>
      </c>
      <c r="AQ187" s="113">
        <v>9296</v>
      </c>
      <c r="AR187" s="113">
        <v>9344</v>
      </c>
      <c r="AS187" s="113">
        <v>9408</v>
      </c>
      <c r="AT187" s="113">
        <v>9440</v>
      </c>
      <c r="AU187" s="113">
        <v>9440</v>
      </c>
      <c r="AV187" s="113">
        <v>9520</v>
      </c>
      <c r="AW187" s="113">
        <v>9552</v>
      </c>
      <c r="AX187" s="113">
        <v>9552</v>
      </c>
      <c r="AY187" s="113">
        <v>9584</v>
      </c>
      <c r="AZ187" s="113">
        <v>9528</v>
      </c>
      <c r="BA187" s="113">
        <v>9632</v>
      </c>
      <c r="BB187" s="113">
        <v>9656</v>
      </c>
      <c r="BC187" s="113">
        <v>9692</v>
      </c>
      <c r="BD187" s="113">
        <v>9816</v>
      </c>
      <c r="BE187" s="113">
        <v>9880</v>
      </c>
      <c r="BF187" s="113">
        <v>9952</v>
      </c>
      <c r="BG187" s="113">
        <v>10040</v>
      </c>
      <c r="BH187" s="113">
        <v>10182</v>
      </c>
      <c r="BI187" s="113">
        <v>10218</v>
      </c>
      <c r="BJ187" s="113">
        <v>10296</v>
      </c>
      <c r="BK187" s="113">
        <v>10354</v>
      </c>
      <c r="BL187" s="113">
        <v>10484</v>
      </c>
      <c r="BM187" s="113">
        <v>10566</v>
      </c>
      <c r="BN187" s="113">
        <v>10632</v>
      </c>
      <c r="BO187" s="113">
        <v>10642</v>
      </c>
      <c r="BP187" s="113">
        <v>10672</v>
      </c>
      <c r="BQ187" s="113">
        <v>10766</v>
      </c>
      <c r="BR187" s="113">
        <v>10772</v>
      </c>
      <c r="BS187" s="113">
        <v>10806</v>
      </c>
      <c r="BT187" s="113">
        <v>10830</v>
      </c>
      <c r="BU187" s="113">
        <v>10718</v>
      </c>
      <c r="BV187" s="113">
        <v>10692</v>
      </c>
      <c r="BW187" s="113">
        <v>10701.385302000001</v>
      </c>
      <c r="BX187" s="113">
        <v>10722</v>
      </c>
      <c r="BY187" s="113">
        <v>10771</v>
      </c>
      <c r="BZ187" s="113">
        <v>10805</v>
      </c>
      <c r="CA187" s="113">
        <v>10789</v>
      </c>
      <c r="CB187" s="113">
        <v>10777</v>
      </c>
      <c r="CC187" s="113">
        <v>10862</v>
      </c>
      <c r="CD187" s="113">
        <v>10865</v>
      </c>
      <c r="CE187" s="113">
        <v>10880.222153000001</v>
      </c>
      <c r="CF187" s="113">
        <v>10804.353235</v>
      </c>
      <c r="CG187" s="113">
        <v>10710</v>
      </c>
      <c r="CH187" s="113">
        <v>10645</v>
      </c>
      <c r="CI187" s="113">
        <v>10384</v>
      </c>
      <c r="CJ187" s="113">
        <v>10225</v>
      </c>
      <c r="CK187" s="113">
        <v>10062</v>
      </c>
      <c r="CL187" s="113">
        <v>9820</v>
      </c>
      <c r="CM187" s="113">
        <v>9777</v>
      </c>
      <c r="CN187" s="113">
        <v>9572</v>
      </c>
      <c r="CO187" s="113">
        <v>9380</v>
      </c>
      <c r="CP187" s="113">
        <v>9355</v>
      </c>
      <c r="CQ187" s="113">
        <v>9329</v>
      </c>
      <c r="CR187" s="113">
        <v>9310</v>
      </c>
      <c r="CS187" s="113">
        <v>9151</v>
      </c>
      <c r="CT187" s="113">
        <v>8977</v>
      </c>
      <c r="CU187" s="113">
        <v>8889</v>
      </c>
      <c r="CV187" s="113">
        <v>8898</v>
      </c>
      <c r="CW187" s="113">
        <v>8908</v>
      </c>
      <c r="CX187" s="113">
        <v>8900</v>
      </c>
      <c r="CY187" s="113">
        <v>8811</v>
      </c>
      <c r="CZ187" s="113">
        <v>8762</v>
      </c>
      <c r="DA187" s="113">
        <v>8668</v>
      </c>
      <c r="DB187" s="113">
        <v>8562</v>
      </c>
      <c r="DC187" s="113">
        <v>8403</v>
      </c>
      <c r="DD187" s="113">
        <v>8431</v>
      </c>
      <c r="DE187" s="113">
        <v>8376</v>
      </c>
      <c r="DF187" s="113">
        <v>8410</v>
      </c>
      <c r="DG187" s="113">
        <v>8382</v>
      </c>
      <c r="DH187" s="113">
        <v>8400</v>
      </c>
      <c r="DI187" s="113">
        <v>8381</v>
      </c>
      <c r="DJ187" s="113">
        <v>8422</v>
      </c>
      <c r="DK187" s="113">
        <v>8374</v>
      </c>
      <c r="DL187" s="113">
        <v>8349</v>
      </c>
      <c r="DM187" s="113">
        <v>8328</v>
      </c>
      <c r="DN187" s="113">
        <v>8346</v>
      </c>
      <c r="DO187" s="113">
        <v>8300</v>
      </c>
      <c r="DP187" s="113">
        <v>8260</v>
      </c>
      <c r="DQ187" s="113">
        <v>8239</v>
      </c>
      <c r="DR187" s="113">
        <v>8255</v>
      </c>
      <c r="DS187" s="113">
        <v>8218</v>
      </c>
      <c r="DT187" s="113">
        <v>8113</v>
      </c>
      <c r="DU187" s="113">
        <v>8027</v>
      </c>
      <c r="DV187" s="113">
        <v>7986</v>
      </c>
      <c r="DW187" s="113">
        <v>7925</v>
      </c>
      <c r="DX187" s="113">
        <v>7870</v>
      </c>
      <c r="DY187" s="113">
        <v>7808</v>
      </c>
      <c r="DZ187" s="113">
        <v>7784</v>
      </c>
      <c r="EA187" s="113">
        <v>7730</v>
      </c>
      <c r="EB187" s="113">
        <v>7723</v>
      </c>
      <c r="EC187" s="113">
        <v>7708</v>
      </c>
      <c r="ED187" s="113">
        <v>7720</v>
      </c>
      <c r="EE187" s="113">
        <v>7705</v>
      </c>
      <c r="EF187" s="113">
        <v>7690</v>
      </c>
      <c r="EG187" s="113">
        <v>7677</v>
      </c>
      <c r="EH187" s="113">
        <v>7680</v>
      </c>
      <c r="EI187" s="113">
        <v>7683</v>
      </c>
      <c r="EJ187" s="113">
        <v>7666</v>
      </c>
      <c r="EK187" s="113">
        <v>7643</v>
      </c>
      <c r="EL187" s="113">
        <v>7634</v>
      </c>
      <c r="EM187" s="113">
        <v>7611</v>
      </c>
      <c r="EN187" s="113">
        <v>7590</v>
      </c>
    </row>
    <row r="188" spans="1:144">
      <c r="A188" s="103" t="s">
        <v>2409</v>
      </c>
      <c r="B188" s="117">
        <v>0.16</v>
      </c>
      <c r="C188" s="117">
        <v>0.25</v>
      </c>
      <c r="D188" s="117">
        <v>0.36</v>
      </c>
      <c r="E188" s="117">
        <v>0.48</v>
      </c>
      <c r="F188" s="117">
        <v>0.56999999999999995</v>
      </c>
      <c r="G188" s="117">
        <v>0.72</v>
      </c>
      <c r="H188" s="117">
        <v>1.02</v>
      </c>
      <c r="I188" s="117">
        <v>1.58</v>
      </c>
      <c r="J188" s="117">
        <v>2.69</v>
      </c>
      <c r="K188" s="117">
        <v>3.92</v>
      </c>
      <c r="L188" s="117">
        <v>4.3899999999999997</v>
      </c>
      <c r="M188" s="117">
        <v>4.87</v>
      </c>
      <c r="N188" s="117">
        <v>6.03</v>
      </c>
      <c r="O188" s="117">
        <v>6.89</v>
      </c>
      <c r="P188" s="117">
        <v>4.49</v>
      </c>
      <c r="Q188" s="117">
        <v>3.99</v>
      </c>
      <c r="R188" s="117">
        <v>3.32</v>
      </c>
      <c r="S188" s="117">
        <v>3.97</v>
      </c>
      <c r="T188" s="117">
        <v>4.4400000000000004</v>
      </c>
      <c r="U188" s="117">
        <v>5.33</v>
      </c>
      <c r="V188" s="117">
        <v>6.82</v>
      </c>
      <c r="W188" s="117">
        <v>7.92</v>
      </c>
      <c r="X188" s="117">
        <v>9.48</v>
      </c>
      <c r="Y188" s="117">
        <v>10.9</v>
      </c>
      <c r="Z188" s="117">
        <v>9.98</v>
      </c>
      <c r="AA188" s="117">
        <v>9.2200000000000006</v>
      </c>
      <c r="AB188" s="117">
        <v>11.38</v>
      </c>
      <c r="AC188" s="117">
        <v>10.77</v>
      </c>
      <c r="AD188" s="117">
        <v>13.39</v>
      </c>
      <c r="AE188" s="117">
        <v>15.09</v>
      </c>
      <c r="AG188" s="103" t="s">
        <v>2409</v>
      </c>
      <c r="AH188" s="117">
        <v>0.25</v>
      </c>
      <c r="AI188" s="118" t="s">
        <v>273</v>
      </c>
      <c r="AJ188" s="118" t="s">
        <v>273</v>
      </c>
      <c r="AK188" s="117">
        <v>0.36</v>
      </c>
      <c r="AL188" s="117">
        <v>0.36</v>
      </c>
      <c r="AM188" s="117">
        <v>0.41</v>
      </c>
      <c r="AN188" s="117">
        <v>0.44</v>
      </c>
      <c r="AO188" s="117">
        <v>0.48</v>
      </c>
      <c r="AP188" s="117">
        <v>0.48</v>
      </c>
      <c r="AQ188" s="117">
        <v>0.51</v>
      </c>
      <c r="AR188" s="117">
        <v>0.56999999999999995</v>
      </c>
      <c r="AS188" s="117">
        <v>0.56999999999999995</v>
      </c>
      <c r="AT188" s="117">
        <v>0.66</v>
      </c>
      <c r="AU188" s="117">
        <v>0.71</v>
      </c>
      <c r="AV188" s="117">
        <v>0.76</v>
      </c>
      <c r="AW188" s="117">
        <v>0.72</v>
      </c>
      <c r="AX188" s="117">
        <v>0.83</v>
      </c>
      <c r="AY188" s="117">
        <v>0.9</v>
      </c>
      <c r="AZ188" s="117">
        <v>0.86</v>
      </c>
      <c r="BA188" s="117">
        <v>1.02</v>
      </c>
      <c r="BB188" s="117">
        <v>1.0900000000000001</v>
      </c>
      <c r="BC188" s="117">
        <v>1.17</v>
      </c>
      <c r="BD188" s="117">
        <v>1.4</v>
      </c>
      <c r="BE188" s="117">
        <v>1.58</v>
      </c>
      <c r="BF188" s="117">
        <v>1.82</v>
      </c>
      <c r="BG188" s="117">
        <v>2.15</v>
      </c>
      <c r="BH188" s="117">
        <v>2.4300000000000002</v>
      </c>
      <c r="BI188" s="117">
        <v>2.69</v>
      </c>
      <c r="BJ188" s="117">
        <v>2.95</v>
      </c>
      <c r="BK188" s="117">
        <v>3.34</v>
      </c>
      <c r="BL188" s="117">
        <v>3.8</v>
      </c>
      <c r="BM188" s="117">
        <v>3.92</v>
      </c>
      <c r="BN188" s="117">
        <v>4.26</v>
      </c>
      <c r="BO188" s="117">
        <v>4.3600000000000003</v>
      </c>
      <c r="BP188" s="117">
        <v>4.51</v>
      </c>
      <c r="BQ188" s="117">
        <v>4.3899999999999997</v>
      </c>
      <c r="BR188" s="117">
        <v>4.5</v>
      </c>
      <c r="BS188" s="117">
        <v>4.7699999999999996</v>
      </c>
      <c r="BT188" s="117">
        <v>5.01</v>
      </c>
      <c r="BU188" s="117">
        <v>4.87</v>
      </c>
      <c r="BV188" s="117">
        <v>5.01</v>
      </c>
      <c r="BW188" s="117">
        <v>5.22</v>
      </c>
      <c r="BX188" s="117">
        <v>5.44</v>
      </c>
      <c r="BY188" s="117">
        <v>6.03</v>
      </c>
      <c r="BZ188" s="117">
        <v>6.17</v>
      </c>
      <c r="CA188" s="117">
        <v>6.43</v>
      </c>
      <c r="CB188" s="117">
        <v>6.55</v>
      </c>
      <c r="CC188" s="117">
        <v>6.89</v>
      </c>
      <c r="CD188" s="117">
        <v>6.99</v>
      </c>
      <c r="CE188" s="117">
        <v>4.34</v>
      </c>
      <c r="CF188" s="117">
        <v>4.38</v>
      </c>
      <c r="CG188" s="117">
        <v>4.49</v>
      </c>
      <c r="CH188" s="117">
        <v>4.54</v>
      </c>
      <c r="CI188" s="117">
        <v>4.26</v>
      </c>
      <c r="CJ188" s="117">
        <v>4.1100000000000003</v>
      </c>
      <c r="CK188" s="117">
        <v>3.99</v>
      </c>
      <c r="CL188" s="117">
        <v>3.68</v>
      </c>
      <c r="CM188" s="117">
        <v>3.75</v>
      </c>
      <c r="CN188" s="117">
        <v>3.65</v>
      </c>
      <c r="CO188" s="117">
        <v>3.32</v>
      </c>
      <c r="CP188" s="117">
        <v>3.44</v>
      </c>
      <c r="CQ188" s="117">
        <v>3.69</v>
      </c>
      <c r="CR188" s="117">
        <v>4.03</v>
      </c>
      <c r="CS188" s="117">
        <v>3.97</v>
      </c>
      <c r="CT188" s="117">
        <v>3.74</v>
      </c>
      <c r="CU188" s="117">
        <v>3.88</v>
      </c>
      <c r="CV188" s="117">
        <v>4.1500000000000004</v>
      </c>
      <c r="CW188" s="117">
        <v>4.4400000000000004</v>
      </c>
      <c r="CX188" s="117">
        <v>4.63</v>
      </c>
      <c r="CY188" s="117">
        <v>5.03</v>
      </c>
      <c r="CZ188" s="117">
        <v>5.22</v>
      </c>
      <c r="DA188" s="117">
        <v>5.33</v>
      </c>
      <c r="DB188" s="117">
        <v>5.48</v>
      </c>
      <c r="DC188" s="117">
        <v>5.77</v>
      </c>
      <c r="DD188" s="117">
        <v>6.34</v>
      </c>
      <c r="DE188" s="117">
        <v>6.82</v>
      </c>
      <c r="DF188" s="117">
        <v>7.06</v>
      </c>
      <c r="DG188" s="117">
        <v>7.65</v>
      </c>
      <c r="DH188" s="117">
        <v>8.17</v>
      </c>
      <c r="DI188" s="117">
        <v>7.92</v>
      </c>
      <c r="DJ188" s="117">
        <v>8.17</v>
      </c>
      <c r="DK188" s="117">
        <v>8.67</v>
      </c>
      <c r="DL188" s="117">
        <v>9.19</v>
      </c>
      <c r="DM188" s="117">
        <v>9.48</v>
      </c>
      <c r="DN188" s="117">
        <v>9.7799999999999994</v>
      </c>
      <c r="DO188" s="117">
        <v>10.25</v>
      </c>
      <c r="DP188" s="117">
        <v>10.58</v>
      </c>
      <c r="DQ188" s="117">
        <v>10.9</v>
      </c>
      <c r="DR188" s="117">
        <v>10.92</v>
      </c>
      <c r="DS188" s="117">
        <v>11.18</v>
      </c>
      <c r="DT188" s="117">
        <v>11.11</v>
      </c>
      <c r="DU188" s="117">
        <v>9.98</v>
      </c>
      <c r="DV188" s="117">
        <v>9.6999999999999993</v>
      </c>
      <c r="DW188" s="117">
        <v>9.69</v>
      </c>
      <c r="DX188" s="117">
        <v>9.51</v>
      </c>
      <c r="DY188" s="117">
        <v>9.2200000000000006</v>
      </c>
      <c r="DZ188" s="117">
        <v>9.0399999999999991</v>
      </c>
      <c r="EA188" s="117">
        <v>8.9</v>
      </c>
      <c r="EB188" s="117">
        <v>9.0299999999999994</v>
      </c>
      <c r="EC188" s="117">
        <v>11.38</v>
      </c>
      <c r="ED188" s="117">
        <v>11.61</v>
      </c>
      <c r="EE188" s="117">
        <v>10.17</v>
      </c>
      <c r="EF188" s="117">
        <v>10.3</v>
      </c>
      <c r="EG188" s="117">
        <v>10.77</v>
      </c>
      <c r="EH188" s="117">
        <v>11.19</v>
      </c>
      <c r="EI188" s="117">
        <v>11.99</v>
      </c>
      <c r="EJ188" s="117">
        <v>12.37</v>
      </c>
      <c r="EK188" s="117">
        <v>13.39</v>
      </c>
      <c r="EL188" s="117">
        <v>13.89</v>
      </c>
      <c r="EM188" s="117">
        <v>14.47</v>
      </c>
      <c r="EN188" s="117">
        <v>15.09</v>
      </c>
    </row>
    <row r="189" spans="1:144">
      <c r="A189" s="103" t="s">
        <v>2410</v>
      </c>
      <c r="B189" s="113">
        <v>1350.8309999999999</v>
      </c>
      <c r="C189" s="113">
        <v>2193</v>
      </c>
      <c r="D189" s="113">
        <v>3242</v>
      </c>
      <c r="E189" s="113">
        <v>4450</v>
      </c>
      <c r="F189" s="113">
        <v>5333</v>
      </c>
      <c r="G189" s="113">
        <v>6908</v>
      </c>
      <c r="H189" s="113">
        <v>9797</v>
      </c>
      <c r="I189" s="113">
        <v>15647</v>
      </c>
      <c r="J189" s="113">
        <v>27458</v>
      </c>
      <c r="K189" s="113">
        <v>41368</v>
      </c>
      <c r="L189" s="113">
        <v>45377</v>
      </c>
      <c r="M189" s="113">
        <v>50511</v>
      </c>
      <c r="N189" s="113">
        <v>61400</v>
      </c>
      <c r="O189" s="113">
        <v>71141</v>
      </c>
      <c r="P189" s="113">
        <v>44307</v>
      </c>
      <c r="Q189" s="113">
        <v>35699</v>
      </c>
      <c r="R189" s="113">
        <v>25459</v>
      </c>
      <c r="S189" s="113">
        <v>22205</v>
      </c>
      <c r="T189" s="113">
        <v>25296</v>
      </c>
      <c r="U189" s="113">
        <v>32623</v>
      </c>
      <c r="V189" s="113">
        <v>43758</v>
      </c>
      <c r="W189" s="113">
        <v>49741</v>
      </c>
      <c r="X189" s="113">
        <v>61206</v>
      </c>
      <c r="Y189" s="113">
        <v>62676</v>
      </c>
      <c r="Z189" s="113">
        <v>58309</v>
      </c>
      <c r="AA189" s="113">
        <v>50392</v>
      </c>
      <c r="AB189" s="113">
        <v>42483</v>
      </c>
      <c r="AC189" s="113">
        <v>38982</v>
      </c>
      <c r="AD189" s="113">
        <v>52554</v>
      </c>
      <c r="AE189" s="113">
        <v>65582</v>
      </c>
      <c r="AG189" s="103" t="s">
        <v>2410</v>
      </c>
      <c r="AH189" s="113">
        <v>2193</v>
      </c>
      <c r="AI189" s="113" t="s">
        <v>273</v>
      </c>
      <c r="AJ189" s="113" t="s">
        <v>273</v>
      </c>
      <c r="AK189" s="113">
        <v>3242</v>
      </c>
      <c r="AL189" s="113">
        <v>3242</v>
      </c>
      <c r="AM189" s="113">
        <v>3746</v>
      </c>
      <c r="AN189" s="113">
        <v>4012</v>
      </c>
      <c r="AO189" s="113">
        <v>4450</v>
      </c>
      <c r="AP189" s="113">
        <v>4430</v>
      </c>
      <c r="AQ189" s="113">
        <v>4740</v>
      </c>
      <c r="AR189" s="113">
        <v>5282</v>
      </c>
      <c r="AS189" s="113">
        <v>5333</v>
      </c>
      <c r="AT189" s="113">
        <v>6276</v>
      </c>
      <c r="AU189" s="113">
        <v>6740</v>
      </c>
      <c r="AV189" s="113">
        <v>7201</v>
      </c>
      <c r="AW189" s="113">
        <v>6908</v>
      </c>
      <c r="AX189" s="113">
        <v>7952</v>
      </c>
      <c r="AY189" s="113">
        <v>8662</v>
      </c>
      <c r="AZ189" s="113">
        <v>8154</v>
      </c>
      <c r="BA189" s="113">
        <v>9797</v>
      </c>
      <c r="BB189" s="113">
        <v>10484</v>
      </c>
      <c r="BC189" s="113">
        <v>11364</v>
      </c>
      <c r="BD189" s="113">
        <v>13696</v>
      </c>
      <c r="BE189" s="113">
        <v>15647</v>
      </c>
      <c r="BF189" s="113">
        <v>18144</v>
      </c>
      <c r="BG189" s="113">
        <v>21598</v>
      </c>
      <c r="BH189" s="113">
        <v>24742</v>
      </c>
      <c r="BI189" s="113">
        <v>27458</v>
      </c>
      <c r="BJ189" s="113">
        <v>30360</v>
      </c>
      <c r="BK189" s="113">
        <v>34589</v>
      </c>
      <c r="BL189" s="113">
        <v>39792</v>
      </c>
      <c r="BM189" s="113">
        <v>41368</v>
      </c>
      <c r="BN189" s="113">
        <v>45343</v>
      </c>
      <c r="BO189" s="113">
        <v>46422</v>
      </c>
      <c r="BP189" s="113">
        <v>48090</v>
      </c>
      <c r="BQ189" s="113">
        <v>45377</v>
      </c>
      <c r="BR189" s="113">
        <v>46600</v>
      </c>
      <c r="BS189" s="113">
        <v>49693</v>
      </c>
      <c r="BT189" s="113">
        <v>52590</v>
      </c>
      <c r="BU189" s="113">
        <v>50511</v>
      </c>
      <c r="BV189" s="113">
        <v>50019</v>
      </c>
      <c r="BW189" s="113">
        <v>52448</v>
      </c>
      <c r="BX189" s="113">
        <v>54925</v>
      </c>
      <c r="BY189" s="113">
        <v>61400</v>
      </c>
      <c r="BZ189" s="113">
        <v>63174</v>
      </c>
      <c r="CA189" s="113">
        <v>65888</v>
      </c>
      <c r="CB189" s="113">
        <v>66871</v>
      </c>
      <c r="CC189" s="113">
        <v>71141</v>
      </c>
      <c r="CD189" s="113">
        <v>72297</v>
      </c>
      <c r="CE189" s="113">
        <v>43633</v>
      </c>
      <c r="CF189" s="113">
        <v>43794</v>
      </c>
      <c r="CG189" s="113">
        <v>44307</v>
      </c>
      <c r="CH189" s="113">
        <v>44321</v>
      </c>
      <c r="CI189" s="113">
        <v>40189</v>
      </c>
      <c r="CJ189" s="113">
        <v>37968</v>
      </c>
      <c r="CK189" s="113">
        <v>35699</v>
      </c>
      <c r="CL189" s="113">
        <v>31228</v>
      </c>
      <c r="CM189" s="113">
        <v>31700</v>
      </c>
      <c r="CN189" s="113">
        <v>30057</v>
      </c>
      <c r="CO189" s="113">
        <v>25459</v>
      </c>
      <c r="CP189" s="113">
        <v>20266</v>
      </c>
      <c r="CQ189" s="113">
        <v>22405</v>
      </c>
      <c r="CR189" s="113">
        <v>25569</v>
      </c>
      <c r="CS189" s="113">
        <v>22205</v>
      </c>
      <c r="CT189" s="113">
        <v>19404</v>
      </c>
      <c r="CU189" s="113">
        <v>20173</v>
      </c>
      <c r="CV189" s="113">
        <v>22633</v>
      </c>
      <c r="CW189" s="113">
        <v>25296</v>
      </c>
      <c r="CX189" s="113">
        <v>26977</v>
      </c>
      <c r="CY189" s="113">
        <v>30569</v>
      </c>
      <c r="CZ189" s="113">
        <v>31965</v>
      </c>
      <c r="DA189" s="113">
        <v>32623</v>
      </c>
      <c r="DB189" s="113">
        <v>33394</v>
      </c>
      <c r="DC189" s="113">
        <v>34987</v>
      </c>
      <c r="DD189" s="113">
        <v>40058</v>
      </c>
      <c r="DE189" s="113">
        <v>43758</v>
      </c>
      <c r="DF189" s="113">
        <v>45828</v>
      </c>
      <c r="DG189" s="113">
        <v>41870</v>
      </c>
      <c r="DH189" s="113">
        <v>46205</v>
      </c>
      <c r="DI189" s="113">
        <v>49741</v>
      </c>
      <c r="DJ189" s="113">
        <v>50947</v>
      </c>
      <c r="DK189" s="113">
        <v>54508</v>
      </c>
      <c r="DL189" s="113">
        <v>58766</v>
      </c>
      <c r="DM189" s="113">
        <v>61206</v>
      </c>
      <c r="DN189" s="113">
        <v>63992</v>
      </c>
      <c r="DO189" s="113">
        <v>67475</v>
      </c>
      <c r="DP189" s="113">
        <v>69772</v>
      </c>
      <c r="DQ189" s="113">
        <v>62676</v>
      </c>
      <c r="DR189" s="113">
        <v>63396</v>
      </c>
      <c r="DS189" s="113">
        <v>62725</v>
      </c>
      <c r="DT189" s="113">
        <v>61441</v>
      </c>
      <c r="DU189" s="113">
        <v>58309</v>
      </c>
      <c r="DV189" s="113">
        <v>55558</v>
      </c>
      <c r="DW189" s="113">
        <v>54725</v>
      </c>
      <c r="DX189" s="113">
        <v>52399</v>
      </c>
      <c r="DY189" s="113">
        <v>50392</v>
      </c>
      <c r="DZ189" s="113">
        <v>48943</v>
      </c>
      <c r="EA189" s="113">
        <v>23284</v>
      </c>
      <c r="EB189" s="113">
        <v>24514</v>
      </c>
      <c r="EC189" s="113">
        <v>42483</v>
      </c>
      <c r="ED189" s="113">
        <v>44660</v>
      </c>
      <c r="EE189" s="113">
        <v>33971</v>
      </c>
      <c r="EF189" s="113">
        <v>35113</v>
      </c>
      <c r="EG189" s="113">
        <v>38982</v>
      </c>
      <c r="EH189" s="113">
        <v>42533</v>
      </c>
      <c r="EI189" s="113">
        <v>42069</v>
      </c>
      <c r="EJ189" s="113">
        <v>44900</v>
      </c>
      <c r="EK189" s="113">
        <v>52554</v>
      </c>
      <c r="EL189" s="113">
        <v>56440</v>
      </c>
      <c r="EM189" s="113">
        <v>60735</v>
      </c>
      <c r="EN189" s="113">
        <v>65582</v>
      </c>
    </row>
    <row r="190" spans="1:144">
      <c r="A190" s="103" t="s">
        <v>2411</v>
      </c>
      <c r="B190" s="117">
        <v>0.16</v>
      </c>
      <c r="C190" s="117">
        <v>0.25</v>
      </c>
      <c r="D190" s="117">
        <v>0.36</v>
      </c>
      <c r="E190" s="117">
        <v>0.48</v>
      </c>
      <c r="F190" s="117">
        <v>0.56999999999999995</v>
      </c>
      <c r="G190" s="117">
        <v>0.72</v>
      </c>
      <c r="H190" s="117">
        <v>1.02</v>
      </c>
      <c r="I190" s="117">
        <v>1.58</v>
      </c>
      <c r="J190" s="117">
        <v>2.69</v>
      </c>
      <c r="K190" s="117">
        <v>3.92</v>
      </c>
      <c r="L190" s="117">
        <v>4.21</v>
      </c>
      <c r="M190" s="117">
        <v>4.71</v>
      </c>
      <c r="N190" s="117">
        <v>5.7</v>
      </c>
      <c r="O190" s="117">
        <v>6.55</v>
      </c>
      <c r="P190" s="117">
        <v>4.1399999999999997</v>
      </c>
      <c r="Q190" s="117">
        <v>3.55</v>
      </c>
      <c r="R190" s="117">
        <v>2.71</v>
      </c>
      <c r="S190" s="117">
        <v>2.4300000000000002</v>
      </c>
      <c r="T190" s="117">
        <v>2.84</v>
      </c>
      <c r="U190" s="117">
        <v>3.76</v>
      </c>
      <c r="V190" s="117">
        <v>5.22</v>
      </c>
      <c r="W190" s="117">
        <v>5.93</v>
      </c>
      <c r="X190" s="117">
        <v>7.35</v>
      </c>
      <c r="Y190" s="117">
        <v>7.61</v>
      </c>
      <c r="Z190" s="117">
        <v>7.26</v>
      </c>
      <c r="AA190" s="117">
        <v>6.45</v>
      </c>
      <c r="AB190" s="117">
        <v>5.51</v>
      </c>
      <c r="AC190" s="117">
        <v>5.08</v>
      </c>
      <c r="AD190" s="117">
        <v>6.88</v>
      </c>
      <c r="AE190" s="117">
        <v>8.64</v>
      </c>
      <c r="AG190" s="103" t="s">
        <v>2411</v>
      </c>
      <c r="AH190" s="117">
        <v>0.25</v>
      </c>
      <c r="AI190" s="118" t="s">
        <v>273</v>
      </c>
      <c r="AJ190" s="118" t="s">
        <v>273</v>
      </c>
      <c r="AK190" s="117">
        <v>0.36</v>
      </c>
      <c r="AL190" s="117">
        <v>0.36</v>
      </c>
      <c r="AM190" s="117">
        <v>0.41</v>
      </c>
      <c r="AN190" s="117">
        <v>0.44</v>
      </c>
      <c r="AO190" s="117">
        <v>0.48</v>
      </c>
      <c r="AP190" s="117">
        <v>0.48</v>
      </c>
      <c r="AQ190" s="117">
        <v>0.51</v>
      </c>
      <c r="AR190" s="117">
        <v>0.56999999999999995</v>
      </c>
      <c r="AS190" s="117">
        <v>0.56999999999999995</v>
      </c>
      <c r="AT190" s="117">
        <v>0.66</v>
      </c>
      <c r="AU190" s="117">
        <v>0.71</v>
      </c>
      <c r="AV190" s="117">
        <v>0.76</v>
      </c>
      <c r="AW190" s="117">
        <v>0.72</v>
      </c>
      <c r="AX190" s="117">
        <v>0.83</v>
      </c>
      <c r="AY190" s="117">
        <v>0.9</v>
      </c>
      <c r="AZ190" s="117">
        <v>0.86</v>
      </c>
      <c r="BA190" s="117">
        <v>1.02</v>
      </c>
      <c r="BB190" s="117">
        <v>1.0900000000000001</v>
      </c>
      <c r="BC190" s="117">
        <v>1.17</v>
      </c>
      <c r="BD190" s="117">
        <v>1.4</v>
      </c>
      <c r="BE190" s="117">
        <v>1.58</v>
      </c>
      <c r="BF190" s="117">
        <v>1.82</v>
      </c>
      <c r="BG190" s="117">
        <v>2.15</v>
      </c>
      <c r="BH190" s="117">
        <v>2.4300000000000002</v>
      </c>
      <c r="BI190" s="117">
        <v>2.69</v>
      </c>
      <c r="BJ190" s="117">
        <v>2.95</v>
      </c>
      <c r="BK190" s="117">
        <v>3.34</v>
      </c>
      <c r="BL190" s="117">
        <v>3.8</v>
      </c>
      <c r="BM190" s="117">
        <v>3.92</v>
      </c>
      <c r="BN190" s="117">
        <v>4.26</v>
      </c>
      <c r="BO190" s="117">
        <v>4.3600000000000003</v>
      </c>
      <c r="BP190" s="117">
        <v>4.51</v>
      </c>
      <c r="BQ190" s="117">
        <v>4.21</v>
      </c>
      <c r="BR190" s="117">
        <v>4.33</v>
      </c>
      <c r="BS190" s="117">
        <v>4.5999999999999996</v>
      </c>
      <c r="BT190" s="117">
        <v>4.8600000000000003</v>
      </c>
      <c r="BU190" s="117">
        <v>4.71</v>
      </c>
      <c r="BV190" s="117">
        <v>4.68</v>
      </c>
      <c r="BW190" s="117">
        <v>4.9000000000000004</v>
      </c>
      <c r="BX190" s="117">
        <v>5.12</v>
      </c>
      <c r="BY190" s="117">
        <v>5.7</v>
      </c>
      <c r="BZ190" s="117">
        <v>5.85</v>
      </c>
      <c r="CA190" s="117">
        <v>6.11</v>
      </c>
      <c r="CB190" s="117">
        <v>6.2</v>
      </c>
      <c r="CC190" s="117">
        <v>6.55</v>
      </c>
      <c r="CD190" s="117">
        <v>6.65</v>
      </c>
      <c r="CE190" s="117">
        <v>4.01</v>
      </c>
      <c r="CF190" s="117">
        <v>4.05</v>
      </c>
      <c r="CG190" s="117">
        <v>4.1399999999999997</v>
      </c>
      <c r="CH190" s="117">
        <v>4.16</v>
      </c>
      <c r="CI190" s="117">
        <v>3.87</v>
      </c>
      <c r="CJ190" s="117">
        <v>3.71</v>
      </c>
      <c r="CK190" s="117">
        <v>3.55</v>
      </c>
      <c r="CL190" s="117">
        <v>3.18</v>
      </c>
      <c r="CM190" s="117">
        <v>3.24</v>
      </c>
      <c r="CN190" s="117">
        <v>3.14</v>
      </c>
      <c r="CO190" s="117">
        <v>2.71</v>
      </c>
      <c r="CP190" s="117">
        <v>2.17</v>
      </c>
      <c r="CQ190" s="117">
        <v>2.4</v>
      </c>
      <c r="CR190" s="117">
        <v>2.75</v>
      </c>
      <c r="CS190" s="117">
        <v>2.4300000000000002</v>
      </c>
      <c r="CT190" s="117">
        <v>2.16</v>
      </c>
      <c r="CU190" s="117">
        <v>2.27</v>
      </c>
      <c r="CV190" s="117">
        <v>2.54</v>
      </c>
      <c r="CW190" s="117">
        <v>2.84</v>
      </c>
      <c r="CX190" s="117">
        <v>3.03</v>
      </c>
      <c r="CY190" s="117">
        <v>3.47</v>
      </c>
      <c r="CZ190" s="117">
        <v>3.65</v>
      </c>
      <c r="DA190" s="117">
        <v>3.76</v>
      </c>
      <c r="DB190" s="117">
        <v>3.9</v>
      </c>
      <c r="DC190" s="117">
        <v>4.16</v>
      </c>
      <c r="DD190" s="117">
        <v>4.75</v>
      </c>
      <c r="DE190" s="117">
        <v>5.22</v>
      </c>
      <c r="DF190" s="117">
        <v>5.45</v>
      </c>
      <c r="DG190" s="117">
        <v>5</v>
      </c>
      <c r="DH190" s="117">
        <v>5.5</v>
      </c>
      <c r="DI190" s="117">
        <v>5.93</v>
      </c>
      <c r="DJ190" s="117">
        <v>6.05</v>
      </c>
      <c r="DK190" s="117">
        <v>6.51</v>
      </c>
      <c r="DL190" s="117">
        <v>7.04</v>
      </c>
      <c r="DM190" s="117">
        <v>7.35</v>
      </c>
      <c r="DN190" s="117">
        <v>7.67</v>
      </c>
      <c r="DO190" s="117">
        <v>8.1300000000000008</v>
      </c>
      <c r="DP190" s="117">
        <v>8.4499999999999993</v>
      </c>
      <c r="DQ190" s="117">
        <v>7.61</v>
      </c>
      <c r="DR190" s="117">
        <v>7.68</v>
      </c>
      <c r="DS190" s="117">
        <v>7.63</v>
      </c>
      <c r="DT190" s="117">
        <v>7.57</v>
      </c>
      <c r="DU190" s="117">
        <v>7.26</v>
      </c>
      <c r="DV190" s="117">
        <v>6.96</v>
      </c>
      <c r="DW190" s="117">
        <v>6.91</v>
      </c>
      <c r="DX190" s="117">
        <v>6.66</v>
      </c>
      <c r="DY190" s="117">
        <v>6.45</v>
      </c>
      <c r="DZ190" s="117">
        <v>6.29</v>
      </c>
      <c r="EA190" s="117">
        <v>3.01</v>
      </c>
      <c r="EB190" s="117">
        <v>3.17</v>
      </c>
      <c r="EC190" s="117">
        <v>5.51</v>
      </c>
      <c r="ED190" s="117">
        <v>5.78</v>
      </c>
      <c r="EE190" s="117">
        <v>4.41</v>
      </c>
      <c r="EF190" s="117">
        <v>4.57</v>
      </c>
      <c r="EG190" s="117">
        <v>5.08</v>
      </c>
      <c r="EH190" s="117">
        <v>5.54</v>
      </c>
      <c r="EI190" s="117">
        <v>5.48</v>
      </c>
      <c r="EJ190" s="117">
        <v>5.86</v>
      </c>
      <c r="EK190" s="117">
        <v>6.88</v>
      </c>
      <c r="EL190" s="117">
        <v>7.39</v>
      </c>
      <c r="EM190" s="117">
        <v>7.98</v>
      </c>
      <c r="EN190" s="117">
        <v>8.64</v>
      </c>
    </row>
    <row r="191" spans="1:144">
      <c r="A191" s="103" t="s">
        <v>1281</v>
      </c>
      <c r="B191" s="113">
        <v>19.456</v>
      </c>
      <c r="C191" s="113">
        <v>0</v>
      </c>
      <c r="D191" s="113">
        <v>0</v>
      </c>
      <c r="E191" s="113">
        <v>0</v>
      </c>
      <c r="F191" s="113">
        <v>0</v>
      </c>
      <c r="G191" s="113">
        <v>0</v>
      </c>
      <c r="H191" s="113">
        <v>0</v>
      </c>
      <c r="I191" s="113">
        <v>0</v>
      </c>
      <c r="J191" s="113">
        <v>0</v>
      </c>
      <c r="K191" s="113">
        <v>0</v>
      </c>
      <c r="L191" s="113">
        <v>0</v>
      </c>
      <c r="M191" s="113">
        <v>0</v>
      </c>
      <c r="N191" s="113">
        <v>0</v>
      </c>
      <c r="O191" s="113">
        <v>0</v>
      </c>
      <c r="P191" s="113">
        <v>0</v>
      </c>
      <c r="Q191" s="113">
        <v>0</v>
      </c>
      <c r="R191" s="113">
        <v>2741</v>
      </c>
      <c r="S191" s="113">
        <v>2614</v>
      </c>
      <c r="T191" s="113">
        <v>7450</v>
      </c>
      <c r="U191" s="113">
        <v>6154</v>
      </c>
      <c r="V191" s="113">
        <v>13138</v>
      </c>
      <c r="W191" s="113">
        <v>12775</v>
      </c>
      <c r="X191" s="113">
        <v>16290</v>
      </c>
      <c r="Y191" s="113">
        <v>23203</v>
      </c>
      <c r="Z191" s="113">
        <v>35384</v>
      </c>
      <c r="AA191" s="113">
        <v>54541</v>
      </c>
      <c r="AB191" s="113">
        <v>95527</v>
      </c>
      <c r="AC191" s="113">
        <v>87508</v>
      </c>
      <c r="AD191" s="113">
        <v>86455</v>
      </c>
      <c r="AE191" s="113">
        <v>84025</v>
      </c>
      <c r="AG191" s="103" t="s">
        <v>1281</v>
      </c>
      <c r="AH191" s="113">
        <v>0</v>
      </c>
      <c r="AI191" s="113" t="s">
        <v>273</v>
      </c>
      <c r="AJ191" s="113" t="s">
        <v>273</v>
      </c>
      <c r="AK191" s="113">
        <v>0</v>
      </c>
      <c r="AL191" s="113">
        <v>0</v>
      </c>
      <c r="AM191" s="113">
        <v>0</v>
      </c>
      <c r="AN191" s="113">
        <v>0</v>
      </c>
      <c r="AO191" s="113">
        <v>0</v>
      </c>
      <c r="AP191" s="113">
        <v>0</v>
      </c>
      <c r="AQ191" s="113">
        <v>0</v>
      </c>
      <c r="AR191" s="113">
        <v>0</v>
      </c>
      <c r="AS191" s="113">
        <v>0</v>
      </c>
      <c r="AT191" s="113">
        <v>0</v>
      </c>
      <c r="AU191" s="113">
        <v>0</v>
      </c>
      <c r="AV191" s="113">
        <v>0</v>
      </c>
      <c r="AW191" s="113">
        <v>0</v>
      </c>
      <c r="AX191" s="113">
        <v>0</v>
      </c>
      <c r="AY191" s="113">
        <v>0</v>
      </c>
      <c r="AZ191" s="113">
        <v>0</v>
      </c>
      <c r="BA191" s="113">
        <v>0</v>
      </c>
      <c r="BB191" s="113">
        <v>0</v>
      </c>
      <c r="BC191" s="113">
        <v>0</v>
      </c>
      <c r="BD191" s="113">
        <v>0</v>
      </c>
      <c r="BE191" s="113">
        <v>0</v>
      </c>
      <c r="BF191" s="113">
        <v>0</v>
      </c>
      <c r="BG191" s="113">
        <v>0</v>
      </c>
      <c r="BH191" s="113">
        <v>0</v>
      </c>
      <c r="BI191" s="113">
        <v>0</v>
      </c>
      <c r="BJ191" s="113">
        <v>0</v>
      </c>
      <c r="BK191" s="113">
        <v>0</v>
      </c>
      <c r="BL191" s="113">
        <v>0</v>
      </c>
      <c r="BM191" s="113">
        <v>0</v>
      </c>
      <c r="BN191" s="113">
        <v>0</v>
      </c>
      <c r="BO191" s="113">
        <v>0</v>
      </c>
      <c r="BP191" s="113">
        <v>0</v>
      </c>
      <c r="BQ191" s="113">
        <v>0</v>
      </c>
      <c r="BR191" s="113">
        <v>0</v>
      </c>
      <c r="BS191" s="113">
        <v>0</v>
      </c>
      <c r="BT191" s="113">
        <v>0</v>
      </c>
      <c r="BU191" s="113">
        <v>0</v>
      </c>
      <c r="BV191" s="113">
        <v>0</v>
      </c>
      <c r="BW191" s="113">
        <v>0</v>
      </c>
      <c r="BX191" s="113">
        <v>0</v>
      </c>
      <c r="BY191" s="113">
        <v>0</v>
      </c>
      <c r="BZ191" s="113">
        <v>0</v>
      </c>
      <c r="CA191" s="113">
        <v>0</v>
      </c>
      <c r="CB191" s="113">
        <v>0</v>
      </c>
      <c r="CC191" s="113">
        <v>0</v>
      </c>
      <c r="CD191" s="113">
        <v>0</v>
      </c>
      <c r="CE191" s="113">
        <v>0</v>
      </c>
      <c r="CF191" s="113">
        <v>0</v>
      </c>
      <c r="CG191" s="113">
        <v>0</v>
      </c>
      <c r="CH191" s="113">
        <v>0</v>
      </c>
      <c r="CI191" s="113">
        <v>0</v>
      </c>
      <c r="CJ191" s="113">
        <v>0</v>
      </c>
      <c r="CK191" s="113">
        <v>0</v>
      </c>
      <c r="CL191" s="113">
        <v>0</v>
      </c>
      <c r="CM191" s="113">
        <v>0</v>
      </c>
      <c r="CN191" s="113">
        <v>0</v>
      </c>
      <c r="CO191" s="113">
        <v>2741</v>
      </c>
      <c r="CP191" s="113">
        <v>0</v>
      </c>
      <c r="CQ191" s="113">
        <v>0</v>
      </c>
      <c r="CR191" s="113">
        <v>0</v>
      </c>
      <c r="CS191" s="113">
        <v>2614</v>
      </c>
      <c r="CT191" s="113">
        <v>3045</v>
      </c>
      <c r="CU191" s="113">
        <v>2000</v>
      </c>
      <c r="CV191" s="113">
        <v>3532</v>
      </c>
      <c r="CW191" s="113">
        <v>7450</v>
      </c>
      <c r="CX191" s="113">
        <v>9530</v>
      </c>
      <c r="CY191" s="113">
        <v>8912</v>
      </c>
      <c r="CZ191" s="113">
        <v>8795</v>
      </c>
      <c r="DA191" s="113">
        <v>6154</v>
      </c>
      <c r="DB191" s="113">
        <v>11574</v>
      </c>
      <c r="DC191" s="113">
        <v>11032</v>
      </c>
      <c r="DD191" s="113">
        <v>13165</v>
      </c>
      <c r="DE191" s="113">
        <v>13138</v>
      </c>
      <c r="DF191" s="113">
        <v>13097</v>
      </c>
      <c r="DG191" s="113">
        <v>12803</v>
      </c>
      <c r="DH191" s="113">
        <v>13148</v>
      </c>
      <c r="DI191" s="113">
        <v>12775</v>
      </c>
      <c r="DJ191" s="113">
        <v>12374</v>
      </c>
      <c r="DK191" s="113">
        <v>14218</v>
      </c>
      <c r="DL191" s="113">
        <v>14765</v>
      </c>
      <c r="DM191" s="113">
        <v>16290</v>
      </c>
      <c r="DN191" s="113">
        <v>16525</v>
      </c>
      <c r="DO191" s="113">
        <v>23724</v>
      </c>
      <c r="DP191" s="113">
        <v>23473</v>
      </c>
      <c r="DQ191" s="113">
        <v>23203</v>
      </c>
      <c r="DR191" s="113">
        <v>23911</v>
      </c>
      <c r="DS191" s="113">
        <v>28738</v>
      </c>
      <c r="DT191" s="113">
        <v>31964</v>
      </c>
      <c r="DU191" s="113">
        <v>35384</v>
      </c>
      <c r="DV191" s="113">
        <v>38721</v>
      </c>
      <c r="DW191" s="113">
        <v>44868</v>
      </c>
      <c r="DX191" s="113">
        <v>46767</v>
      </c>
      <c r="DY191" s="113">
        <v>54541</v>
      </c>
      <c r="DZ191" s="113">
        <v>75932</v>
      </c>
      <c r="EA191" s="113">
        <v>87806</v>
      </c>
      <c r="EB191" s="113">
        <v>85995</v>
      </c>
      <c r="EC191" s="113">
        <v>95527</v>
      </c>
      <c r="ED191" s="113">
        <v>95971</v>
      </c>
      <c r="EE191" s="113">
        <v>100171</v>
      </c>
      <c r="EF191" s="113">
        <v>88621</v>
      </c>
      <c r="EG191" s="113">
        <v>87508</v>
      </c>
      <c r="EH191" s="113">
        <v>87928</v>
      </c>
      <c r="EI191" s="113">
        <v>85483</v>
      </c>
      <c r="EJ191" s="113">
        <v>86343</v>
      </c>
      <c r="EK191" s="113">
        <v>86455</v>
      </c>
      <c r="EL191" s="113">
        <v>85570</v>
      </c>
      <c r="EM191" s="113">
        <v>87147</v>
      </c>
      <c r="EN191" s="113">
        <v>84025</v>
      </c>
    </row>
    <row r="192" spans="1:144">
      <c r="A192" s="103" t="s">
        <v>148</v>
      </c>
      <c r="B192" s="113">
        <v>-666.9</v>
      </c>
      <c r="C192" s="113">
        <v>-1345</v>
      </c>
      <c r="D192" s="113">
        <v>-2290</v>
      </c>
      <c r="E192" s="113">
        <v>-3614</v>
      </c>
      <c r="F192" s="113">
        <v>-4750</v>
      </c>
      <c r="G192" s="113">
        <v>-6940</v>
      </c>
      <c r="H192" s="113">
        <v>-8966</v>
      </c>
      <c r="I192" s="113">
        <v>-13927</v>
      </c>
      <c r="J192" s="113">
        <v>-17236</v>
      </c>
      <c r="K192" s="113">
        <v>-23798</v>
      </c>
      <c r="L192" s="113">
        <v>-31600</v>
      </c>
      <c r="M192" s="113">
        <v>-38652</v>
      </c>
      <c r="N192" s="113">
        <v>-49048</v>
      </c>
      <c r="O192" s="113">
        <v>-60592</v>
      </c>
      <c r="P192" s="113">
        <v>-37751</v>
      </c>
      <c r="Q192" s="113">
        <v>-31096</v>
      </c>
      <c r="R192" s="113">
        <v>-18314</v>
      </c>
      <c r="S192" s="113">
        <v>-18557</v>
      </c>
      <c r="T192" s="113">
        <v>-22335</v>
      </c>
      <c r="U192" s="113">
        <v>-30405</v>
      </c>
      <c r="V192" s="113">
        <v>-38233</v>
      </c>
      <c r="W192" s="113">
        <v>-49269</v>
      </c>
      <c r="X192" s="113">
        <v>-60120</v>
      </c>
      <c r="Y192" s="113">
        <v>-61943</v>
      </c>
      <c r="Z192" s="113">
        <v>-61007</v>
      </c>
      <c r="AA192" s="113">
        <v>-58500</v>
      </c>
      <c r="AB192" s="113">
        <v>-37374</v>
      </c>
      <c r="AC192" s="113">
        <v>-46156</v>
      </c>
      <c r="AD192" s="113">
        <v>-47377</v>
      </c>
      <c r="AE192" s="113">
        <v>-53617</v>
      </c>
      <c r="AG192" s="103" t="s">
        <v>148</v>
      </c>
      <c r="AH192" s="113">
        <v>-1345</v>
      </c>
      <c r="AI192" s="113" t="s">
        <v>273</v>
      </c>
      <c r="AJ192" s="113" t="s">
        <v>273</v>
      </c>
      <c r="AK192" s="113">
        <v>-2290</v>
      </c>
      <c r="AL192" s="113">
        <v>-2290</v>
      </c>
      <c r="AM192" s="113">
        <v>-2796</v>
      </c>
      <c r="AN192" s="113">
        <v>-3143</v>
      </c>
      <c r="AO192" s="113">
        <v>-3614</v>
      </c>
      <c r="AP192" s="113">
        <v>-3776</v>
      </c>
      <c r="AQ192" s="113">
        <v>-3839</v>
      </c>
      <c r="AR192" s="113">
        <v>-4465</v>
      </c>
      <c r="AS192" s="113">
        <v>-4750</v>
      </c>
      <c r="AT192" s="113">
        <v>-5064</v>
      </c>
      <c r="AU192" s="113">
        <v>-6017</v>
      </c>
      <c r="AV192" s="113">
        <v>-6770</v>
      </c>
      <c r="AW192" s="113">
        <v>-6940</v>
      </c>
      <c r="AX192" s="113">
        <v>-7098</v>
      </c>
      <c r="AY192" s="113">
        <v>-9160</v>
      </c>
      <c r="AZ192" s="113">
        <v>-9086</v>
      </c>
      <c r="BA192" s="113">
        <v>-8966</v>
      </c>
      <c r="BB192" s="113">
        <v>-9634</v>
      </c>
      <c r="BC192" s="113">
        <v>-10105</v>
      </c>
      <c r="BD192" s="113">
        <v>-12322</v>
      </c>
      <c r="BE192" s="113">
        <v>-13927</v>
      </c>
      <c r="BF192" s="113">
        <v>-17242</v>
      </c>
      <c r="BG192" s="113">
        <v>-19237</v>
      </c>
      <c r="BH192" s="113">
        <v>-21761</v>
      </c>
      <c r="BI192" s="113">
        <v>-17236</v>
      </c>
      <c r="BJ192" s="113">
        <v>-18902</v>
      </c>
      <c r="BK192" s="113">
        <v>-17843</v>
      </c>
      <c r="BL192" s="113">
        <v>-21205</v>
      </c>
      <c r="BM192" s="113">
        <v>-23798</v>
      </c>
      <c r="BN192" s="113">
        <v>-24711</v>
      </c>
      <c r="BO192" s="113">
        <v>-26889</v>
      </c>
      <c r="BP192" s="113">
        <v>-30018</v>
      </c>
      <c r="BQ192" s="113">
        <v>-31600</v>
      </c>
      <c r="BR192" s="113">
        <v>-36163</v>
      </c>
      <c r="BS192" s="113">
        <v>-38229</v>
      </c>
      <c r="BT192" s="113">
        <v>-38693</v>
      </c>
      <c r="BU192" s="113">
        <v>-38652</v>
      </c>
      <c r="BV192" s="113">
        <v>-40475</v>
      </c>
      <c r="BW192" s="113">
        <v>-43424</v>
      </c>
      <c r="BX192" s="113">
        <v>-46178</v>
      </c>
      <c r="BY192" s="113">
        <v>-49048</v>
      </c>
      <c r="BZ192" s="113">
        <v>-51622</v>
      </c>
      <c r="CA192" s="113">
        <v>-52777</v>
      </c>
      <c r="CB192" s="113">
        <v>-56407</v>
      </c>
      <c r="CC192" s="113">
        <v>-60592</v>
      </c>
      <c r="CD192" s="113">
        <v>-64415</v>
      </c>
      <c r="CE192" s="113">
        <v>-34504</v>
      </c>
      <c r="CF192" s="113">
        <v>-37594</v>
      </c>
      <c r="CG192" s="113">
        <v>-37751</v>
      </c>
      <c r="CH192" s="113">
        <v>-40056</v>
      </c>
      <c r="CI192" s="113">
        <v>-34701</v>
      </c>
      <c r="CJ192" s="113">
        <v>-33505</v>
      </c>
      <c r="CK192" s="113">
        <v>-31096</v>
      </c>
      <c r="CL192" s="113">
        <v>-28252</v>
      </c>
      <c r="CM192" s="113">
        <v>-26400</v>
      </c>
      <c r="CN192" s="113">
        <v>-25478</v>
      </c>
      <c r="CO192" s="113">
        <v>-18314</v>
      </c>
      <c r="CP192" s="113">
        <v>-18878</v>
      </c>
      <c r="CQ192" s="113">
        <v>-19092</v>
      </c>
      <c r="CR192" s="113">
        <v>-24023</v>
      </c>
      <c r="CS192" s="113">
        <v>-18557</v>
      </c>
      <c r="CT192" s="113">
        <v>-16666</v>
      </c>
      <c r="CU192" s="113">
        <v>-18298</v>
      </c>
      <c r="CV192" s="113">
        <v>-20186</v>
      </c>
      <c r="CW192" s="113">
        <v>-22335</v>
      </c>
      <c r="CX192" s="113">
        <v>-23801</v>
      </c>
      <c r="CY192" s="113">
        <v>-24288</v>
      </c>
      <c r="CZ192" s="113">
        <v>-28231</v>
      </c>
      <c r="DA192" s="113">
        <v>-30405</v>
      </c>
      <c r="DB192" s="113">
        <v>-31679</v>
      </c>
      <c r="DC192" s="113">
        <v>-28944</v>
      </c>
      <c r="DD192" s="113">
        <v>-35552</v>
      </c>
      <c r="DE192" s="113">
        <v>-38233</v>
      </c>
      <c r="DF192" s="113">
        <v>-42842</v>
      </c>
      <c r="DG192" s="113">
        <v>-37888</v>
      </c>
      <c r="DH192" s="113">
        <v>-45200</v>
      </c>
      <c r="DI192" s="113">
        <v>-49269</v>
      </c>
      <c r="DJ192" s="113">
        <v>-53698</v>
      </c>
      <c r="DK192" s="113">
        <v>-53880</v>
      </c>
      <c r="DL192" s="113">
        <v>-59023</v>
      </c>
      <c r="DM192" s="113">
        <v>-60120</v>
      </c>
      <c r="DN192" s="113">
        <v>-63409</v>
      </c>
      <c r="DO192" s="113">
        <v>-59411</v>
      </c>
      <c r="DP192" s="113">
        <v>-64201</v>
      </c>
      <c r="DQ192" s="113">
        <v>-61943</v>
      </c>
      <c r="DR192" s="113">
        <v>-64810</v>
      </c>
      <c r="DS192" s="113">
        <v>-60831</v>
      </c>
      <c r="DT192" s="113">
        <v>-63324</v>
      </c>
      <c r="DU192" s="113">
        <v>-61007</v>
      </c>
      <c r="DV192" s="113">
        <v>-60556</v>
      </c>
      <c r="DW192" s="113">
        <v>-57446</v>
      </c>
      <c r="DX192" s="113">
        <v>-58571</v>
      </c>
      <c r="DY192" s="113">
        <v>-58500</v>
      </c>
      <c r="DZ192" s="113">
        <v>-60857</v>
      </c>
      <c r="EA192" s="113">
        <v>-33399</v>
      </c>
      <c r="EB192" s="113">
        <v>-35581</v>
      </c>
      <c r="EC192" s="113">
        <v>-37374</v>
      </c>
      <c r="ED192" s="113">
        <v>-37640</v>
      </c>
      <c r="EE192" s="113">
        <v>-38364</v>
      </c>
      <c r="EF192" s="113">
        <v>-43652</v>
      </c>
      <c r="EG192" s="113">
        <v>-46156</v>
      </c>
      <c r="EH192" s="113">
        <v>-47843</v>
      </c>
      <c r="EI192" s="113">
        <v>-42190</v>
      </c>
      <c r="EJ192" s="113">
        <v>-45193</v>
      </c>
      <c r="EK192" s="113">
        <v>-47377</v>
      </c>
      <c r="EL192" s="113">
        <v>-51039</v>
      </c>
      <c r="EM192" s="113">
        <v>-47084</v>
      </c>
      <c r="EN192" s="113">
        <v>-53617</v>
      </c>
    </row>
    <row r="193" spans="1:144">
      <c r="A193" s="103" t="s">
        <v>2412</v>
      </c>
      <c r="B193" s="113">
        <v>224</v>
      </c>
      <c r="C193" s="113">
        <v>352</v>
      </c>
      <c r="D193" s="113">
        <v>432</v>
      </c>
      <c r="E193" s="113">
        <v>544</v>
      </c>
      <c r="F193" s="113">
        <v>688</v>
      </c>
      <c r="G193" s="113">
        <v>736</v>
      </c>
      <c r="H193" s="113">
        <v>736</v>
      </c>
      <c r="I193" s="113">
        <v>760</v>
      </c>
      <c r="J193" s="113">
        <v>1080</v>
      </c>
      <c r="K193" s="113">
        <v>1608</v>
      </c>
      <c r="L193" s="113">
        <v>2248</v>
      </c>
      <c r="M193" s="113">
        <v>2544</v>
      </c>
      <c r="N193" s="113">
        <v>2320</v>
      </c>
      <c r="O193" s="113">
        <v>2648</v>
      </c>
      <c r="P193" s="113">
        <v>2392</v>
      </c>
      <c r="Q193" s="113">
        <v>2168</v>
      </c>
      <c r="R193" s="113">
        <v>2600</v>
      </c>
      <c r="S193" s="113">
        <v>3184</v>
      </c>
      <c r="T193" s="113">
        <v>3800</v>
      </c>
      <c r="U193" s="113">
        <v>4240</v>
      </c>
      <c r="V193" s="113">
        <v>4200</v>
      </c>
      <c r="W193" s="113">
        <v>5112</v>
      </c>
      <c r="X193" s="113">
        <v>5688</v>
      </c>
      <c r="Y193" s="113">
        <v>6992</v>
      </c>
      <c r="Z193" s="113">
        <v>7912</v>
      </c>
      <c r="AA193" s="113">
        <v>7488</v>
      </c>
      <c r="AB193" s="113">
        <v>11296</v>
      </c>
      <c r="AC193" s="113">
        <v>12680</v>
      </c>
      <c r="AD193" s="113">
        <v>13656</v>
      </c>
      <c r="AE193" s="113" t="s">
        <v>273</v>
      </c>
      <c r="AG193" s="103"/>
      <c r="AH193" s="113"/>
      <c r="AI193" s="113"/>
      <c r="AJ193" s="113"/>
      <c r="AK193" s="113"/>
      <c r="AL193" s="113"/>
      <c r="AM193" s="113"/>
      <c r="AN193" s="113"/>
      <c r="AO193" s="113"/>
      <c r="AP193" s="113"/>
      <c r="AQ193" s="113"/>
      <c r="AR193" s="113"/>
      <c r="AS193" s="113"/>
      <c r="AT193" s="113"/>
      <c r="AU193" s="113"/>
      <c r="AV193" s="113"/>
      <c r="AW193" s="113"/>
      <c r="AX193" s="113"/>
      <c r="AY193" s="113"/>
      <c r="AZ193" s="113"/>
      <c r="BA193" s="113"/>
      <c r="BB193" s="113"/>
      <c r="BC193" s="113"/>
      <c r="BD193" s="113"/>
      <c r="BE193" s="113"/>
      <c r="BF193" s="113"/>
      <c r="BG193" s="113"/>
      <c r="BH193" s="113"/>
      <c r="BI193" s="113"/>
      <c r="BJ193" s="113"/>
      <c r="BK193" s="113"/>
      <c r="BL193" s="113"/>
      <c r="BM193" s="113"/>
      <c r="BN193" s="113"/>
      <c r="BO193" s="113"/>
      <c r="BP193" s="113"/>
      <c r="BQ193" s="113"/>
      <c r="BR193" s="113"/>
      <c r="BS193" s="113"/>
      <c r="BT193" s="113"/>
      <c r="BU193" s="113"/>
      <c r="BV193" s="113"/>
      <c r="BW193" s="113"/>
      <c r="BX193" s="113"/>
      <c r="BY193" s="113"/>
      <c r="BZ193" s="113"/>
      <c r="CA193" s="113"/>
      <c r="CB193" s="113"/>
      <c r="CC193" s="113"/>
      <c r="CD193" s="113"/>
      <c r="CE193" s="113"/>
      <c r="CF193" s="113"/>
      <c r="CG193" s="113"/>
      <c r="CH193" s="113"/>
      <c r="CI193" s="113"/>
      <c r="CJ193" s="113"/>
      <c r="CK193" s="113"/>
      <c r="CL193" s="113"/>
      <c r="CM193" s="113"/>
      <c r="CN193" s="113"/>
      <c r="CO193" s="113"/>
      <c r="CP193" s="113"/>
      <c r="CQ193" s="113"/>
      <c r="CR193" s="113"/>
      <c r="CS193" s="113"/>
      <c r="CT193" s="113"/>
      <c r="CU193" s="113"/>
      <c r="CV193" s="113"/>
      <c r="CW193" s="113"/>
      <c r="CX193" s="113"/>
      <c r="CY193" s="113"/>
      <c r="CZ193" s="113"/>
      <c r="DA193" s="113"/>
      <c r="DB193" s="113"/>
      <c r="DC193" s="113"/>
      <c r="DD193" s="113"/>
      <c r="DE193" s="113"/>
      <c r="DF193" s="113"/>
      <c r="DG193" s="113"/>
      <c r="DH193" s="113"/>
      <c r="DI193" s="113"/>
      <c r="DJ193" s="113"/>
      <c r="DK193" s="113"/>
      <c r="DL193" s="113"/>
      <c r="DM193" s="113"/>
      <c r="DN193" s="113"/>
      <c r="DO193" s="113"/>
      <c r="DP193" s="113"/>
      <c r="DQ193" s="113"/>
      <c r="DR193" s="113"/>
      <c r="DS193" s="113"/>
      <c r="DT193" s="113"/>
      <c r="DU193" s="113"/>
      <c r="DV193" s="113"/>
      <c r="DW193" s="113"/>
      <c r="DX193" s="113"/>
      <c r="DY193" s="113"/>
      <c r="DZ193" s="113"/>
      <c r="EA193" s="113"/>
      <c r="EB193" s="113"/>
      <c r="EC193" s="113"/>
      <c r="ED193" s="113"/>
      <c r="EE193" s="113"/>
      <c r="EF193" s="113"/>
      <c r="EG193" s="113"/>
      <c r="EH193" s="113"/>
      <c r="EI193" s="113"/>
      <c r="EJ193" s="113"/>
      <c r="EK193" s="113"/>
      <c r="EL193" s="113"/>
      <c r="EM193" s="113"/>
      <c r="EN193" s="113"/>
    </row>
    <row r="194" spans="1:144">
      <c r="A194" s="103" t="s">
        <v>2413</v>
      </c>
      <c r="B194" s="113" t="s">
        <v>273</v>
      </c>
      <c r="C194" s="113" t="s">
        <v>273</v>
      </c>
      <c r="D194" s="113" t="s">
        <v>273</v>
      </c>
      <c r="E194" s="113" t="s">
        <v>273</v>
      </c>
      <c r="F194" s="113">
        <v>125</v>
      </c>
      <c r="G194" s="113">
        <v>125</v>
      </c>
      <c r="H194" s="113" t="s">
        <v>273</v>
      </c>
      <c r="I194" s="113" t="s">
        <v>273</v>
      </c>
      <c r="J194" s="113" t="s">
        <v>273</v>
      </c>
      <c r="K194" s="113" t="s">
        <v>273</v>
      </c>
      <c r="L194" s="113" t="s">
        <v>273</v>
      </c>
      <c r="M194" s="113" t="s">
        <v>273</v>
      </c>
      <c r="N194" s="113" t="s">
        <v>273</v>
      </c>
      <c r="O194" s="113" t="s">
        <v>273</v>
      </c>
      <c r="P194" s="113" t="s">
        <v>273</v>
      </c>
      <c r="Q194" s="113" t="s">
        <v>273</v>
      </c>
      <c r="R194" s="113" t="s">
        <v>273</v>
      </c>
      <c r="S194" s="113" t="s">
        <v>273</v>
      </c>
      <c r="T194" s="113" t="s">
        <v>273</v>
      </c>
      <c r="U194" s="113" t="s">
        <v>273</v>
      </c>
      <c r="V194" s="113" t="s">
        <v>273</v>
      </c>
      <c r="W194" s="113" t="s">
        <v>273</v>
      </c>
      <c r="X194" s="113" t="s">
        <v>273</v>
      </c>
      <c r="Y194" s="113" t="s">
        <v>273</v>
      </c>
      <c r="Z194" s="113" t="s">
        <v>273</v>
      </c>
      <c r="AA194" s="113" t="s">
        <v>273</v>
      </c>
      <c r="AB194" s="113" t="s">
        <v>273</v>
      </c>
      <c r="AC194" s="113" t="s">
        <v>273</v>
      </c>
      <c r="AD194" s="113" t="s">
        <v>273</v>
      </c>
      <c r="AE194" s="113" t="s">
        <v>273</v>
      </c>
      <c r="AG194" s="103" t="s">
        <v>2413</v>
      </c>
      <c r="AH194" s="113" t="s">
        <v>273</v>
      </c>
      <c r="AI194" s="113" t="s">
        <v>273</v>
      </c>
      <c r="AJ194" s="113" t="s">
        <v>273</v>
      </c>
      <c r="AK194" s="113" t="s">
        <v>273</v>
      </c>
      <c r="AL194" s="113" t="s">
        <v>273</v>
      </c>
      <c r="AM194" s="113" t="s">
        <v>273</v>
      </c>
      <c r="AN194" s="113" t="s">
        <v>273</v>
      </c>
      <c r="AO194" s="113" t="s">
        <v>273</v>
      </c>
      <c r="AP194" s="113" t="s">
        <v>273</v>
      </c>
      <c r="AQ194" s="113">
        <v>125</v>
      </c>
      <c r="AR194" s="113">
        <v>125</v>
      </c>
      <c r="AS194" s="113">
        <v>125</v>
      </c>
      <c r="AT194" s="113">
        <v>125</v>
      </c>
      <c r="AU194" s="113">
        <v>125</v>
      </c>
      <c r="AV194" s="113">
        <v>125</v>
      </c>
      <c r="AW194" s="113">
        <v>125</v>
      </c>
      <c r="AX194" s="113">
        <v>125</v>
      </c>
      <c r="AY194" s="113" t="s">
        <v>273</v>
      </c>
      <c r="AZ194" s="113" t="s">
        <v>273</v>
      </c>
      <c r="BA194" s="113" t="s">
        <v>273</v>
      </c>
      <c r="BB194" s="113" t="s">
        <v>273</v>
      </c>
      <c r="BC194" s="113" t="s">
        <v>273</v>
      </c>
      <c r="BD194" s="113" t="s">
        <v>273</v>
      </c>
      <c r="BE194" s="113" t="s">
        <v>273</v>
      </c>
      <c r="BF194" s="113" t="s">
        <v>273</v>
      </c>
      <c r="BG194" s="113" t="s">
        <v>273</v>
      </c>
      <c r="BH194" s="113" t="s">
        <v>273</v>
      </c>
      <c r="BI194" s="113" t="s">
        <v>273</v>
      </c>
      <c r="BJ194" s="113" t="s">
        <v>273</v>
      </c>
      <c r="BK194" s="113" t="s">
        <v>273</v>
      </c>
      <c r="BL194" s="113" t="s">
        <v>273</v>
      </c>
      <c r="BM194" s="113" t="s">
        <v>273</v>
      </c>
      <c r="BN194" s="113" t="s">
        <v>273</v>
      </c>
      <c r="BO194" s="113" t="s">
        <v>273</v>
      </c>
      <c r="BP194" s="113" t="s">
        <v>273</v>
      </c>
      <c r="BQ194" s="113" t="s">
        <v>273</v>
      </c>
      <c r="BR194" s="113" t="s">
        <v>273</v>
      </c>
      <c r="BS194" s="113" t="s">
        <v>273</v>
      </c>
      <c r="BT194" s="113" t="s">
        <v>273</v>
      </c>
      <c r="BU194" s="113" t="s">
        <v>273</v>
      </c>
      <c r="BV194" s="113" t="s">
        <v>273</v>
      </c>
      <c r="BW194" s="113" t="s">
        <v>273</v>
      </c>
      <c r="BX194" s="113" t="s">
        <v>273</v>
      </c>
      <c r="BY194" s="113" t="s">
        <v>273</v>
      </c>
      <c r="BZ194" s="113" t="s">
        <v>273</v>
      </c>
      <c r="CA194" s="113" t="s">
        <v>273</v>
      </c>
      <c r="CB194" s="113" t="s">
        <v>273</v>
      </c>
      <c r="CC194" s="113" t="s">
        <v>273</v>
      </c>
      <c r="CD194" s="113" t="s">
        <v>273</v>
      </c>
      <c r="CE194" s="113" t="s">
        <v>273</v>
      </c>
      <c r="CF194" s="113" t="s">
        <v>273</v>
      </c>
      <c r="CG194" s="113" t="s">
        <v>273</v>
      </c>
      <c r="CH194" s="113" t="s">
        <v>273</v>
      </c>
      <c r="CI194" s="113" t="s">
        <v>273</v>
      </c>
      <c r="CJ194" s="113" t="s">
        <v>273</v>
      </c>
      <c r="CK194" s="113" t="s">
        <v>273</v>
      </c>
      <c r="CL194" s="113" t="s">
        <v>273</v>
      </c>
      <c r="CM194" s="113" t="s">
        <v>273</v>
      </c>
      <c r="CN194" s="113" t="s">
        <v>273</v>
      </c>
      <c r="CO194" s="113" t="s">
        <v>273</v>
      </c>
      <c r="CP194" s="113" t="s">
        <v>273</v>
      </c>
      <c r="CQ194" s="113" t="s">
        <v>273</v>
      </c>
      <c r="CR194" s="113" t="s">
        <v>273</v>
      </c>
      <c r="CS194" s="113" t="s">
        <v>273</v>
      </c>
      <c r="CT194" s="113" t="s">
        <v>273</v>
      </c>
      <c r="CU194" s="113" t="s">
        <v>273</v>
      </c>
      <c r="CV194" s="113" t="s">
        <v>273</v>
      </c>
      <c r="CW194" s="113" t="s">
        <v>273</v>
      </c>
      <c r="CX194" s="113" t="s">
        <v>273</v>
      </c>
      <c r="CY194" s="113" t="s">
        <v>273</v>
      </c>
      <c r="CZ194" s="113" t="s">
        <v>273</v>
      </c>
      <c r="DA194" s="113" t="s">
        <v>273</v>
      </c>
      <c r="DB194" s="113" t="s">
        <v>273</v>
      </c>
      <c r="DC194" s="113" t="s">
        <v>273</v>
      </c>
      <c r="DD194" s="113" t="s">
        <v>273</v>
      </c>
      <c r="DE194" s="113" t="s">
        <v>273</v>
      </c>
      <c r="DF194" s="113" t="s">
        <v>273</v>
      </c>
      <c r="DG194" s="113" t="s">
        <v>273</v>
      </c>
      <c r="DH194" s="113" t="s">
        <v>273</v>
      </c>
      <c r="DI194" s="113" t="s">
        <v>273</v>
      </c>
      <c r="DJ194" s="113" t="s">
        <v>273</v>
      </c>
      <c r="DK194" s="113" t="s">
        <v>273</v>
      </c>
      <c r="DL194" s="113" t="s">
        <v>273</v>
      </c>
      <c r="DM194" s="113" t="s">
        <v>273</v>
      </c>
      <c r="DN194" s="113" t="s">
        <v>273</v>
      </c>
      <c r="DO194" s="113" t="s">
        <v>273</v>
      </c>
      <c r="DP194" s="113" t="s">
        <v>273</v>
      </c>
      <c r="DQ194" s="113" t="s">
        <v>273</v>
      </c>
      <c r="DR194" s="113" t="s">
        <v>273</v>
      </c>
      <c r="DS194" s="113" t="s">
        <v>273</v>
      </c>
      <c r="DT194" s="113" t="s">
        <v>273</v>
      </c>
      <c r="DU194" s="113" t="s">
        <v>273</v>
      </c>
      <c r="DV194" s="113" t="s">
        <v>273</v>
      </c>
      <c r="DW194" s="113" t="s">
        <v>273</v>
      </c>
      <c r="DX194" s="113" t="s">
        <v>273</v>
      </c>
      <c r="DY194" s="113" t="s">
        <v>273</v>
      </c>
      <c r="DZ194" s="113" t="s">
        <v>273</v>
      </c>
      <c r="EA194" s="113" t="s">
        <v>273</v>
      </c>
      <c r="EB194" s="113" t="s">
        <v>273</v>
      </c>
      <c r="EC194" s="113" t="s">
        <v>273</v>
      </c>
      <c r="ED194" s="113" t="s">
        <v>273</v>
      </c>
      <c r="EE194" s="113" t="s">
        <v>273</v>
      </c>
      <c r="EF194" s="113" t="s">
        <v>273</v>
      </c>
      <c r="EG194" s="113" t="s">
        <v>273</v>
      </c>
      <c r="EH194" s="113" t="s">
        <v>273</v>
      </c>
      <c r="EI194" s="113" t="s">
        <v>273</v>
      </c>
      <c r="EJ194" s="113" t="s">
        <v>273</v>
      </c>
      <c r="EK194" s="113" t="s">
        <v>273</v>
      </c>
      <c r="EL194" s="113" t="s">
        <v>273</v>
      </c>
      <c r="EM194" s="113" t="s">
        <v>273</v>
      </c>
      <c r="EN194" s="113" t="s">
        <v>273</v>
      </c>
    </row>
    <row r="195" spans="1:144">
      <c r="A195" s="103" t="s">
        <v>2414</v>
      </c>
      <c r="B195" s="119" t="s">
        <v>273</v>
      </c>
      <c r="C195" s="119" t="s">
        <v>273</v>
      </c>
      <c r="D195" s="119" t="s">
        <v>2415</v>
      </c>
      <c r="E195" s="119" t="s">
        <v>2415</v>
      </c>
      <c r="F195" s="119" t="s">
        <v>2415</v>
      </c>
      <c r="G195" s="119" t="s">
        <v>273</v>
      </c>
      <c r="H195" s="119" t="s">
        <v>273</v>
      </c>
      <c r="I195" s="119" t="s">
        <v>273</v>
      </c>
      <c r="J195" s="119" t="s">
        <v>273</v>
      </c>
      <c r="K195" s="119" t="s">
        <v>273</v>
      </c>
      <c r="L195" s="119" t="s">
        <v>273</v>
      </c>
      <c r="M195" s="119" t="s">
        <v>2416</v>
      </c>
      <c r="N195" s="119" t="s">
        <v>2416</v>
      </c>
      <c r="O195" s="119" t="s">
        <v>2416</v>
      </c>
      <c r="P195" s="119" t="s">
        <v>2416</v>
      </c>
      <c r="Q195" s="119" t="s">
        <v>2416</v>
      </c>
      <c r="R195" s="119" t="s">
        <v>2416</v>
      </c>
      <c r="S195" s="119" t="s">
        <v>2416</v>
      </c>
      <c r="T195" s="119" t="s">
        <v>2416</v>
      </c>
      <c r="U195" s="119" t="s">
        <v>2416</v>
      </c>
      <c r="V195" s="119" t="s">
        <v>2416</v>
      </c>
      <c r="W195" s="119" t="s">
        <v>2416</v>
      </c>
      <c r="X195" s="119" t="s">
        <v>2416</v>
      </c>
      <c r="Y195" s="119" t="s">
        <v>2416</v>
      </c>
      <c r="Z195" s="119" t="s">
        <v>2416</v>
      </c>
      <c r="AA195" s="119" t="s">
        <v>2416</v>
      </c>
      <c r="AB195" s="119" t="s">
        <v>2416</v>
      </c>
      <c r="AC195" s="119" t="s">
        <v>2416</v>
      </c>
      <c r="AD195" s="119" t="s">
        <v>2416</v>
      </c>
      <c r="AE195" s="119" t="s">
        <v>273</v>
      </c>
      <c r="AG195" s="103" t="s">
        <v>2414</v>
      </c>
      <c r="AH195" s="119" t="s">
        <v>273</v>
      </c>
      <c r="AI195" s="119" t="s">
        <v>273</v>
      </c>
      <c r="AJ195" s="119" t="s">
        <v>273</v>
      </c>
      <c r="AK195" s="119" t="s">
        <v>273</v>
      </c>
      <c r="AL195" s="119" t="s">
        <v>273</v>
      </c>
      <c r="AM195" s="119" t="s">
        <v>273</v>
      </c>
      <c r="AN195" s="119" t="s">
        <v>273</v>
      </c>
      <c r="AO195" s="119" t="s">
        <v>273</v>
      </c>
      <c r="AP195" s="119" t="s">
        <v>273</v>
      </c>
      <c r="AQ195" s="119" t="s">
        <v>273</v>
      </c>
      <c r="AR195" s="119" t="s">
        <v>273</v>
      </c>
      <c r="AS195" s="119" t="s">
        <v>273</v>
      </c>
      <c r="AT195" s="119" t="s">
        <v>273</v>
      </c>
      <c r="AU195" s="119" t="s">
        <v>273</v>
      </c>
      <c r="AV195" s="119" t="s">
        <v>273</v>
      </c>
      <c r="AW195" s="119" t="s">
        <v>273</v>
      </c>
      <c r="AX195" s="119" t="s">
        <v>273</v>
      </c>
      <c r="AY195" s="119" t="s">
        <v>273</v>
      </c>
      <c r="AZ195" s="119" t="s">
        <v>273</v>
      </c>
      <c r="BA195" s="119" t="s">
        <v>273</v>
      </c>
      <c r="BB195" s="119" t="s">
        <v>273</v>
      </c>
      <c r="BC195" s="119" t="s">
        <v>273</v>
      </c>
      <c r="BD195" s="119" t="s">
        <v>273</v>
      </c>
      <c r="BE195" s="119" t="s">
        <v>273</v>
      </c>
      <c r="BF195" s="119" t="s">
        <v>273</v>
      </c>
      <c r="BG195" s="119" t="s">
        <v>273</v>
      </c>
      <c r="BH195" s="119" t="s">
        <v>273</v>
      </c>
      <c r="BI195" s="119" t="s">
        <v>273</v>
      </c>
      <c r="BJ195" s="119" t="s">
        <v>273</v>
      </c>
      <c r="BK195" s="119" t="s">
        <v>273</v>
      </c>
      <c r="BL195" s="119" t="s">
        <v>273</v>
      </c>
      <c r="BM195" s="119" t="s">
        <v>273</v>
      </c>
      <c r="BN195" s="119" t="s">
        <v>273</v>
      </c>
      <c r="BO195" s="119" t="s">
        <v>273</v>
      </c>
      <c r="BP195" s="119" t="s">
        <v>273</v>
      </c>
      <c r="BQ195" s="119" t="s">
        <v>273</v>
      </c>
      <c r="BR195" s="119" t="s">
        <v>273</v>
      </c>
      <c r="BS195" s="119" t="s">
        <v>273</v>
      </c>
      <c r="BT195" s="119" t="s">
        <v>273</v>
      </c>
      <c r="BU195" s="119" t="s">
        <v>273</v>
      </c>
      <c r="BV195" s="119" t="s">
        <v>273</v>
      </c>
      <c r="BW195" s="119" t="s">
        <v>273</v>
      </c>
      <c r="BX195" s="119" t="s">
        <v>273</v>
      </c>
      <c r="BY195" s="119" t="s">
        <v>273</v>
      </c>
      <c r="BZ195" s="119" t="s">
        <v>273</v>
      </c>
      <c r="CA195" s="119" t="s">
        <v>273</v>
      </c>
      <c r="CB195" s="119" t="s">
        <v>273</v>
      </c>
      <c r="CC195" s="119" t="s">
        <v>273</v>
      </c>
      <c r="CD195" s="119" t="s">
        <v>273</v>
      </c>
      <c r="CE195" s="119" t="s">
        <v>273</v>
      </c>
      <c r="CF195" s="119" t="s">
        <v>273</v>
      </c>
      <c r="CG195" s="119" t="s">
        <v>273</v>
      </c>
      <c r="CH195" s="119" t="s">
        <v>273</v>
      </c>
      <c r="CI195" s="119" t="s">
        <v>273</v>
      </c>
      <c r="CJ195" s="119" t="s">
        <v>273</v>
      </c>
      <c r="CK195" s="119" t="s">
        <v>273</v>
      </c>
      <c r="CL195" s="119" t="s">
        <v>273</v>
      </c>
      <c r="CM195" s="119" t="s">
        <v>273</v>
      </c>
      <c r="CN195" s="119" t="s">
        <v>273</v>
      </c>
      <c r="CO195" s="119" t="s">
        <v>273</v>
      </c>
      <c r="CP195" s="119" t="s">
        <v>273</v>
      </c>
      <c r="CQ195" s="119" t="s">
        <v>273</v>
      </c>
      <c r="CR195" s="119" t="s">
        <v>273</v>
      </c>
      <c r="CS195" s="119" t="s">
        <v>273</v>
      </c>
      <c r="CT195" s="119" t="s">
        <v>273</v>
      </c>
      <c r="CU195" s="119" t="s">
        <v>273</v>
      </c>
      <c r="CV195" s="119" t="s">
        <v>273</v>
      </c>
      <c r="CW195" s="119" t="s">
        <v>273</v>
      </c>
      <c r="CX195" s="119" t="s">
        <v>273</v>
      </c>
      <c r="CY195" s="119" t="s">
        <v>273</v>
      </c>
      <c r="CZ195" s="119" t="s">
        <v>273</v>
      </c>
      <c r="DA195" s="119" t="s">
        <v>273</v>
      </c>
      <c r="DB195" s="119" t="s">
        <v>273</v>
      </c>
      <c r="DC195" s="119" t="s">
        <v>273</v>
      </c>
      <c r="DD195" s="119" t="s">
        <v>273</v>
      </c>
      <c r="DE195" s="119" t="s">
        <v>273</v>
      </c>
      <c r="DF195" s="119" t="s">
        <v>273</v>
      </c>
      <c r="DG195" s="119" t="s">
        <v>273</v>
      </c>
      <c r="DH195" s="119" t="s">
        <v>273</v>
      </c>
      <c r="DI195" s="119" t="s">
        <v>273</v>
      </c>
      <c r="DJ195" s="119" t="s">
        <v>273</v>
      </c>
      <c r="DK195" s="119" t="s">
        <v>273</v>
      </c>
      <c r="DL195" s="119" t="s">
        <v>273</v>
      </c>
      <c r="DM195" s="119" t="s">
        <v>273</v>
      </c>
      <c r="DN195" s="119" t="s">
        <v>273</v>
      </c>
      <c r="DO195" s="119" t="s">
        <v>273</v>
      </c>
      <c r="DP195" s="119" t="s">
        <v>273</v>
      </c>
      <c r="DQ195" s="119" t="s">
        <v>273</v>
      </c>
      <c r="DR195" s="119" t="s">
        <v>273</v>
      </c>
      <c r="DS195" s="119" t="s">
        <v>273</v>
      </c>
      <c r="DT195" s="119" t="s">
        <v>273</v>
      </c>
      <c r="DU195" s="119" t="s">
        <v>273</v>
      </c>
      <c r="DV195" s="119" t="s">
        <v>273</v>
      </c>
      <c r="DW195" s="119" t="s">
        <v>273</v>
      </c>
      <c r="DX195" s="119" t="s">
        <v>273</v>
      </c>
      <c r="DY195" s="119" t="s">
        <v>273</v>
      </c>
      <c r="DZ195" s="119" t="s">
        <v>273</v>
      </c>
      <c r="EA195" s="119" t="s">
        <v>273</v>
      </c>
      <c r="EB195" s="119" t="s">
        <v>273</v>
      </c>
      <c r="EC195" s="119" t="s">
        <v>273</v>
      </c>
      <c r="ED195" s="119" t="s">
        <v>273</v>
      </c>
      <c r="EE195" s="119" t="s">
        <v>273</v>
      </c>
      <c r="EF195" s="119" t="s">
        <v>273</v>
      </c>
      <c r="EG195" s="119" t="s">
        <v>273</v>
      </c>
      <c r="EH195" s="119" t="s">
        <v>273</v>
      </c>
      <c r="EI195" s="119" t="s">
        <v>273</v>
      </c>
      <c r="EJ195" s="119" t="s">
        <v>273</v>
      </c>
      <c r="EK195" s="119" t="s">
        <v>273</v>
      </c>
      <c r="EL195" s="119" t="s">
        <v>273</v>
      </c>
      <c r="EM195" s="119" t="s">
        <v>273</v>
      </c>
      <c r="EN195" s="119" t="s">
        <v>273</v>
      </c>
    </row>
    <row r="196" spans="1:144">
      <c r="A196" s="103" t="s">
        <v>2417</v>
      </c>
      <c r="B196" s="113" t="s">
        <v>273</v>
      </c>
      <c r="C196" s="113" t="s">
        <v>273</v>
      </c>
      <c r="D196" s="113" t="s">
        <v>273</v>
      </c>
      <c r="E196" s="113" t="s">
        <v>273</v>
      </c>
      <c r="F196" s="113" t="s">
        <v>273</v>
      </c>
      <c r="G196" s="113" t="s">
        <v>273</v>
      </c>
      <c r="H196" s="113" t="s">
        <v>273</v>
      </c>
      <c r="I196" s="113" t="s">
        <v>273</v>
      </c>
      <c r="J196" s="113" t="s">
        <v>273</v>
      </c>
      <c r="K196" s="113" t="s">
        <v>273</v>
      </c>
      <c r="L196" s="113">
        <v>5</v>
      </c>
      <c r="M196" s="113">
        <v>168</v>
      </c>
      <c r="N196" s="113">
        <v>247</v>
      </c>
      <c r="O196" s="113">
        <v>150</v>
      </c>
      <c r="P196" s="113">
        <v>69</v>
      </c>
      <c r="Q196" s="113">
        <v>465</v>
      </c>
      <c r="R196" s="113">
        <v>435</v>
      </c>
      <c r="S196" s="113">
        <v>417</v>
      </c>
      <c r="T196" s="113">
        <v>170</v>
      </c>
      <c r="U196" s="113">
        <v>172</v>
      </c>
      <c r="V196" s="113">
        <v>232</v>
      </c>
      <c r="W196" s="113">
        <v>210</v>
      </c>
      <c r="X196" s="113">
        <v>328</v>
      </c>
      <c r="Y196" s="113">
        <v>944</v>
      </c>
      <c r="Z196" s="113">
        <v>1100</v>
      </c>
      <c r="AA196" s="113">
        <v>612</v>
      </c>
      <c r="AB196" s="113">
        <v>797</v>
      </c>
      <c r="AC196" s="113">
        <v>655</v>
      </c>
      <c r="AD196" s="113">
        <v>399</v>
      </c>
      <c r="AE196" s="113">
        <v>655</v>
      </c>
      <c r="AG196" s="103" t="s">
        <v>2417</v>
      </c>
      <c r="AH196" s="113" t="s">
        <v>273</v>
      </c>
      <c r="AI196" s="113" t="s">
        <v>273</v>
      </c>
      <c r="AJ196" s="113" t="s">
        <v>273</v>
      </c>
      <c r="AK196" s="113" t="s">
        <v>273</v>
      </c>
      <c r="AL196" s="113" t="s">
        <v>273</v>
      </c>
      <c r="AM196" s="113" t="s">
        <v>273</v>
      </c>
      <c r="AN196" s="113" t="s">
        <v>273</v>
      </c>
      <c r="AO196" s="113" t="s">
        <v>273</v>
      </c>
      <c r="AP196" s="113" t="s">
        <v>273</v>
      </c>
      <c r="AQ196" s="113" t="s">
        <v>273</v>
      </c>
      <c r="AR196" s="113" t="s">
        <v>273</v>
      </c>
      <c r="AS196" s="113" t="s">
        <v>273</v>
      </c>
      <c r="AT196" s="113" t="s">
        <v>273</v>
      </c>
      <c r="AU196" s="113" t="s">
        <v>273</v>
      </c>
      <c r="AV196" s="113" t="s">
        <v>273</v>
      </c>
      <c r="AW196" s="113" t="s">
        <v>273</v>
      </c>
      <c r="AX196" s="113" t="s">
        <v>273</v>
      </c>
      <c r="AY196" s="113" t="s">
        <v>273</v>
      </c>
      <c r="AZ196" s="113" t="s">
        <v>273</v>
      </c>
      <c r="BA196" s="113" t="s">
        <v>273</v>
      </c>
      <c r="BB196" s="113" t="s">
        <v>273</v>
      </c>
      <c r="BC196" s="113" t="s">
        <v>273</v>
      </c>
      <c r="BD196" s="113" t="s">
        <v>273</v>
      </c>
      <c r="BE196" s="113" t="s">
        <v>273</v>
      </c>
      <c r="BF196" s="113" t="s">
        <v>273</v>
      </c>
      <c r="BG196" s="113" t="s">
        <v>273</v>
      </c>
      <c r="BH196" s="113" t="s">
        <v>273</v>
      </c>
      <c r="BI196" s="113" t="s">
        <v>273</v>
      </c>
      <c r="BJ196" s="113" t="s">
        <v>273</v>
      </c>
      <c r="BK196" s="113" t="s">
        <v>273</v>
      </c>
      <c r="BL196" s="113" t="s">
        <v>273</v>
      </c>
      <c r="BM196" s="113" t="s">
        <v>273</v>
      </c>
      <c r="BN196" s="113" t="s">
        <v>273</v>
      </c>
      <c r="BO196" s="113" t="s">
        <v>273</v>
      </c>
      <c r="BP196" s="113" t="s">
        <v>273</v>
      </c>
      <c r="BQ196" s="113">
        <v>5</v>
      </c>
      <c r="BR196" s="113" t="s">
        <v>273</v>
      </c>
      <c r="BS196" s="113" t="s">
        <v>273</v>
      </c>
      <c r="BT196" s="113" t="s">
        <v>273</v>
      </c>
      <c r="BU196" s="113">
        <v>168</v>
      </c>
      <c r="BV196" s="113" t="s">
        <v>273</v>
      </c>
      <c r="BW196" s="113" t="s">
        <v>273</v>
      </c>
      <c r="BX196" s="113" t="s">
        <v>273</v>
      </c>
      <c r="BY196" s="113">
        <v>247</v>
      </c>
      <c r="BZ196" s="113" t="s">
        <v>273</v>
      </c>
      <c r="CA196" s="113" t="s">
        <v>273</v>
      </c>
      <c r="CB196" s="113" t="s">
        <v>273</v>
      </c>
      <c r="CC196" s="113">
        <v>150</v>
      </c>
      <c r="CD196" s="113" t="s">
        <v>273</v>
      </c>
      <c r="CE196" s="113" t="s">
        <v>273</v>
      </c>
      <c r="CF196" s="113" t="s">
        <v>273</v>
      </c>
      <c r="CG196" s="113">
        <v>69</v>
      </c>
      <c r="CH196" s="113" t="s">
        <v>273</v>
      </c>
      <c r="CI196" s="113">
        <v>496</v>
      </c>
      <c r="CJ196" s="113">
        <v>465</v>
      </c>
      <c r="CK196" s="113">
        <v>465</v>
      </c>
      <c r="CL196" s="113">
        <v>405</v>
      </c>
      <c r="CM196" s="113">
        <v>294</v>
      </c>
      <c r="CN196" s="113">
        <v>420</v>
      </c>
      <c r="CO196" s="113">
        <v>435</v>
      </c>
      <c r="CP196" s="113">
        <v>290</v>
      </c>
      <c r="CQ196" s="113">
        <v>241</v>
      </c>
      <c r="CR196" s="113">
        <v>444</v>
      </c>
      <c r="CS196" s="113">
        <v>417</v>
      </c>
      <c r="CT196" s="113">
        <v>402</v>
      </c>
      <c r="CU196" s="113">
        <v>263</v>
      </c>
      <c r="CV196" s="113">
        <v>173</v>
      </c>
      <c r="CW196" s="113">
        <v>170</v>
      </c>
      <c r="CX196" s="113">
        <v>165</v>
      </c>
      <c r="CY196" s="113">
        <v>100</v>
      </c>
      <c r="CZ196" s="113">
        <v>120</v>
      </c>
      <c r="DA196" s="113">
        <v>172</v>
      </c>
      <c r="DB196" s="113">
        <v>189</v>
      </c>
      <c r="DC196" s="113">
        <v>151</v>
      </c>
      <c r="DD196" s="113">
        <v>175</v>
      </c>
      <c r="DE196" s="113">
        <v>232</v>
      </c>
      <c r="DF196" s="113">
        <v>235</v>
      </c>
      <c r="DG196" s="113">
        <v>243</v>
      </c>
      <c r="DH196" s="113" t="s">
        <v>273</v>
      </c>
      <c r="DI196" s="113">
        <v>210</v>
      </c>
      <c r="DJ196" s="113">
        <v>461</v>
      </c>
      <c r="DK196" s="113">
        <v>646</v>
      </c>
      <c r="DL196" s="113">
        <v>802</v>
      </c>
      <c r="DM196" s="113">
        <v>328</v>
      </c>
      <c r="DN196" s="113">
        <v>673</v>
      </c>
      <c r="DO196" s="113">
        <v>389</v>
      </c>
      <c r="DP196" s="113">
        <v>508</v>
      </c>
      <c r="DQ196" s="113">
        <v>944</v>
      </c>
      <c r="DR196" s="113">
        <v>840</v>
      </c>
      <c r="DS196" s="113">
        <v>681</v>
      </c>
      <c r="DT196" s="113">
        <v>1019</v>
      </c>
      <c r="DU196" s="113">
        <v>1100</v>
      </c>
      <c r="DV196" s="113">
        <v>1192</v>
      </c>
      <c r="DW196" s="113">
        <v>1791</v>
      </c>
      <c r="DX196" s="113">
        <v>636</v>
      </c>
      <c r="DY196" s="113">
        <v>612</v>
      </c>
      <c r="DZ196" s="113">
        <v>582</v>
      </c>
      <c r="EA196" s="113">
        <v>363</v>
      </c>
      <c r="EB196" s="113">
        <v>555</v>
      </c>
      <c r="EC196" s="113">
        <v>797</v>
      </c>
      <c r="ED196" s="113">
        <v>766</v>
      </c>
      <c r="EE196" s="113">
        <v>491</v>
      </c>
      <c r="EF196" s="113">
        <v>627</v>
      </c>
      <c r="EG196" s="113">
        <v>655</v>
      </c>
      <c r="EH196" s="113">
        <v>690</v>
      </c>
      <c r="EI196" s="113">
        <v>455</v>
      </c>
      <c r="EJ196" s="113">
        <v>450</v>
      </c>
      <c r="EK196" s="113">
        <v>399</v>
      </c>
      <c r="EL196" s="113">
        <v>653</v>
      </c>
      <c r="EM196" s="113">
        <v>409</v>
      </c>
      <c r="EN196" s="113">
        <v>655</v>
      </c>
    </row>
    <row r="197" spans="1:144">
      <c r="A197" s="103" t="s">
        <v>2418</v>
      </c>
      <c r="B197" s="113" t="s">
        <v>273</v>
      </c>
      <c r="C197" s="113" t="s">
        <v>273</v>
      </c>
      <c r="D197" s="113" t="s">
        <v>273</v>
      </c>
      <c r="E197" s="113" t="s">
        <v>273</v>
      </c>
      <c r="F197" s="113" t="s">
        <v>273</v>
      </c>
      <c r="G197" s="113" t="s">
        <v>273</v>
      </c>
      <c r="H197" s="113" t="s">
        <v>273</v>
      </c>
      <c r="I197" s="113" t="s">
        <v>273</v>
      </c>
      <c r="J197" s="113" t="s">
        <v>273</v>
      </c>
      <c r="K197" s="113" t="s">
        <v>273</v>
      </c>
      <c r="L197" s="113" t="s">
        <v>273</v>
      </c>
      <c r="M197" s="113" t="s">
        <v>273</v>
      </c>
      <c r="N197" s="113" t="s">
        <v>273</v>
      </c>
      <c r="O197" s="113" t="s">
        <v>273</v>
      </c>
      <c r="P197" s="113" t="s">
        <v>273</v>
      </c>
      <c r="Q197" s="113" t="s">
        <v>273</v>
      </c>
      <c r="R197" s="113">
        <v>148</v>
      </c>
      <c r="S197" s="113">
        <v>31</v>
      </c>
      <c r="T197" s="113">
        <v>45</v>
      </c>
      <c r="U197" s="113">
        <v>16</v>
      </c>
      <c r="V197" s="113">
        <v>56</v>
      </c>
      <c r="W197" s="113">
        <v>96</v>
      </c>
      <c r="X197" s="113">
        <v>201</v>
      </c>
      <c r="Y197" s="113">
        <v>266</v>
      </c>
      <c r="Z197" s="113">
        <v>202</v>
      </c>
      <c r="AA197" s="113">
        <v>158</v>
      </c>
      <c r="AB197" s="113">
        <v>145</v>
      </c>
      <c r="AC197" s="113">
        <v>54</v>
      </c>
      <c r="AD197" s="113">
        <v>53</v>
      </c>
      <c r="AE197" s="113">
        <v>86</v>
      </c>
      <c r="AG197" s="103" t="s">
        <v>2418</v>
      </c>
      <c r="AH197" s="113" t="s">
        <v>273</v>
      </c>
      <c r="AI197" s="113" t="s">
        <v>273</v>
      </c>
      <c r="AJ197" s="113" t="s">
        <v>273</v>
      </c>
      <c r="AK197" s="113" t="s">
        <v>273</v>
      </c>
      <c r="AL197" s="113" t="s">
        <v>273</v>
      </c>
      <c r="AM197" s="113" t="s">
        <v>273</v>
      </c>
      <c r="AN197" s="113" t="s">
        <v>273</v>
      </c>
      <c r="AO197" s="113" t="s">
        <v>273</v>
      </c>
      <c r="AP197" s="113" t="s">
        <v>273</v>
      </c>
      <c r="AQ197" s="113" t="s">
        <v>273</v>
      </c>
      <c r="AR197" s="113" t="s">
        <v>273</v>
      </c>
      <c r="AS197" s="113" t="s">
        <v>273</v>
      </c>
      <c r="AT197" s="113" t="s">
        <v>273</v>
      </c>
      <c r="AU197" s="113" t="s">
        <v>273</v>
      </c>
      <c r="AV197" s="113" t="s">
        <v>273</v>
      </c>
      <c r="AW197" s="113" t="s">
        <v>273</v>
      </c>
      <c r="AX197" s="113" t="s">
        <v>273</v>
      </c>
      <c r="AY197" s="113" t="s">
        <v>273</v>
      </c>
      <c r="AZ197" s="113" t="s">
        <v>273</v>
      </c>
      <c r="BA197" s="113" t="s">
        <v>273</v>
      </c>
      <c r="BB197" s="113" t="s">
        <v>273</v>
      </c>
      <c r="BC197" s="113" t="s">
        <v>273</v>
      </c>
      <c r="BD197" s="113" t="s">
        <v>273</v>
      </c>
      <c r="BE197" s="113" t="s">
        <v>273</v>
      </c>
      <c r="BF197" s="113" t="s">
        <v>273</v>
      </c>
      <c r="BG197" s="113" t="s">
        <v>273</v>
      </c>
      <c r="BH197" s="113" t="s">
        <v>273</v>
      </c>
      <c r="BI197" s="113" t="s">
        <v>273</v>
      </c>
      <c r="BJ197" s="113" t="s">
        <v>273</v>
      </c>
      <c r="BK197" s="113" t="s">
        <v>273</v>
      </c>
      <c r="BL197" s="113" t="s">
        <v>273</v>
      </c>
      <c r="BM197" s="113" t="s">
        <v>273</v>
      </c>
      <c r="BN197" s="113" t="s">
        <v>273</v>
      </c>
      <c r="BO197" s="113" t="s">
        <v>273</v>
      </c>
      <c r="BP197" s="113" t="s">
        <v>273</v>
      </c>
      <c r="BQ197" s="113" t="s">
        <v>273</v>
      </c>
      <c r="BR197" s="113" t="s">
        <v>273</v>
      </c>
      <c r="BS197" s="113" t="s">
        <v>273</v>
      </c>
      <c r="BT197" s="113" t="s">
        <v>273</v>
      </c>
      <c r="BU197" s="113" t="s">
        <v>273</v>
      </c>
      <c r="BV197" s="113" t="s">
        <v>273</v>
      </c>
      <c r="BW197" s="113" t="s">
        <v>273</v>
      </c>
      <c r="BX197" s="113" t="s">
        <v>273</v>
      </c>
      <c r="BY197" s="113" t="s">
        <v>273</v>
      </c>
      <c r="BZ197" s="113" t="s">
        <v>273</v>
      </c>
      <c r="CA197" s="113" t="s">
        <v>273</v>
      </c>
      <c r="CB197" s="113" t="s">
        <v>273</v>
      </c>
      <c r="CC197" s="113" t="s">
        <v>273</v>
      </c>
      <c r="CD197" s="113" t="s">
        <v>273</v>
      </c>
      <c r="CE197" s="113" t="s">
        <v>273</v>
      </c>
      <c r="CF197" s="113" t="s">
        <v>273</v>
      </c>
      <c r="CG197" s="113" t="s">
        <v>273</v>
      </c>
      <c r="CH197" s="113" t="s">
        <v>273</v>
      </c>
      <c r="CI197" s="113" t="s">
        <v>273</v>
      </c>
      <c r="CJ197" s="113" t="s">
        <v>273</v>
      </c>
      <c r="CK197" s="113" t="s">
        <v>273</v>
      </c>
      <c r="CL197" s="113" t="s">
        <v>273</v>
      </c>
      <c r="CM197" s="113" t="s">
        <v>273</v>
      </c>
      <c r="CN197" s="113" t="s">
        <v>273</v>
      </c>
      <c r="CO197" s="113">
        <v>148</v>
      </c>
      <c r="CP197" s="113">
        <v>252</v>
      </c>
      <c r="CQ197" s="113">
        <v>77</v>
      </c>
      <c r="CR197" s="113">
        <v>66</v>
      </c>
      <c r="CS197" s="113">
        <v>31</v>
      </c>
      <c r="CT197" s="113">
        <v>58</v>
      </c>
      <c r="CU197" s="113">
        <v>57</v>
      </c>
      <c r="CV197" s="113">
        <v>58</v>
      </c>
      <c r="CW197" s="113">
        <v>45</v>
      </c>
      <c r="CX197" s="113">
        <v>30</v>
      </c>
      <c r="CY197" s="113">
        <v>11</v>
      </c>
      <c r="CZ197" s="113">
        <v>4</v>
      </c>
      <c r="DA197" s="113">
        <v>16</v>
      </c>
      <c r="DB197" s="113">
        <v>10</v>
      </c>
      <c r="DC197" s="113">
        <v>54</v>
      </c>
      <c r="DD197" s="113">
        <v>54</v>
      </c>
      <c r="DE197" s="113">
        <v>56</v>
      </c>
      <c r="DF197" s="113">
        <v>56</v>
      </c>
      <c r="DG197" s="113">
        <v>81</v>
      </c>
      <c r="DH197" s="113" t="s">
        <v>273</v>
      </c>
      <c r="DI197" s="113">
        <v>96</v>
      </c>
      <c r="DJ197" s="113">
        <v>48</v>
      </c>
      <c r="DK197" s="113">
        <v>76</v>
      </c>
      <c r="DL197" s="113">
        <v>11</v>
      </c>
      <c r="DM197" s="113">
        <v>201</v>
      </c>
      <c r="DN197" s="113">
        <v>166</v>
      </c>
      <c r="DO197" s="113">
        <v>80</v>
      </c>
      <c r="DP197" s="113">
        <v>60</v>
      </c>
      <c r="DQ197" s="113">
        <v>266</v>
      </c>
      <c r="DR197" s="113">
        <v>286</v>
      </c>
      <c r="DS197" s="113">
        <v>260</v>
      </c>
      <c r="DT197" s="113">
        <v>293</v>
      </c>
      <c r="DU197" s="113">
        <v>202</v>
      </c>
      <c r="DV197" s="113">
        <v>155</v>
      </c>
      <c r="DW197" s="113">
        <v>120</v>
      </c>
      <c r="DX197" s="113">
        <v>122</v>
      </c>
      <c r="DY197" s="113">
        <v>158</v>
      </c>
      <c r="DZ197" s="113">
        <v>110</v>
      </c>
      <c r="EA197" s="113">
        <v>98</v>
      </c>
      <c r="EB197" s="113">
        <v>127</v>
      </c>
      <c r="EC197" s="113">
        <v>145</v>
      </c>
      <c r="ED197" s="113">
        <v>112</v>
      </c>
      <c r="EE197" s="113">
        <v>91</v>
      </c>
      <c r="EF197" s="113">
        <v>67</v>
      </c>
      <c r="EG197" s="113">
        <v>54</v>
      </c>
      <c r="EH197" s="113">
        <v>58</v>
      </c>
      <c r="EI197" s="113">
        <v>61</v>
      </c>
      <c r="EJ197" s="113">
        <v>71</v>
      </c>
      <c r="EK197" s="113">
        <v>53</v>
      </c>
      <c r="EL197" s="113">
        <v>47</v>
      </c>
      <c r="EM197" s="113">
        <v>49</v>
      </c>
      <c r="EN197" s="113">
        <v>86</v>
      </c>
    </row>
    <row r="198" spans="1:144">
      <c r="A198" s="103" t="s">
        <v>2419</v>
      </c>
      <c r="B198" s="113" t="s">
        <v>273</v>
      </c>
      <c r="C198" s="113" t="s">
        <v>273</v>
      </c>
      <c r="D198" s="113" t="s">
        <v>273</v>
      </c>
      <c r="E198" s="113" t="s">
        <v>273</v>
      </c>
      <c r="F198" s="113" t="s">
        <v>273</v>
      </c>
      <c r="G198" s="113" t="s">
        <v>273</v>
      </c>
      <c r="H198" s="113" t="s">
        <v>273</v>
      </c>
      <c r="I198" s="113" t="s">
        <v>273</v>
      </c>
      <c r="J198" s="113" t="s">
        <v>273</v>
      </c>
      <c r="K198" s="113" t="s">
        <v>273</v>
      </c>
      <c r="L198" s="113">
        <v>78</v>
      </c>
      <c r="M198" s="113">
        <v>505</v>
      </c>
      <c r="N198" s="113">
        <v>393</v>
      </c>
      <c r="O198" s="113">
        <v>271</v>
      </c>
      <c r="P198" s="113">
        <v>422</v>
      </c>
      <c r="Q198" s="113">
        <v>1013</v>
      </c>
      <c r="R198" s="113">
        <v>544</v>
      </c>
      <c r="S198" s="113">
        <v>537</v>
      </c>
      <c r="T198" s="113">
        <v>502</v>
      </c>
      <c r="U198" s="113">
        <v>552</v>
      </c>
      <c r="V198" s="113">
        <v>1084</v>
      </c>
      <c r="W198" s="113">
        <v>831</v>
      </c>
      <c r="X198" s="113">
        <v>1409</v>
      </c>
      <c r="Y198" s="113">
        <v>1450</v>
      </c>
      <c r="Z198" s="113">
        <v>1600</v>
      </c>
      <c r="AA198" s="113">
        <v>1481</v>
      </c>
      <c r="AB198" s="113">
        <v>1239</v>
      </c>
      <c r="AC198" s="113">
        <v>1953</v>
      </c>
      <c r="AD198" s="113">
        <v>1611</v>
      </c>
      <c r="AE198" s="113">
        <v>903</v>
      </c>
      <c r="AG198" s="103" t="s">
        <v>2419</v>
      </c>
      <c r="AH198" s="113" t="s">
        <v>273</v>
      </c>
      <c r="AI198" s="113" t="s">
        <v>273</v>
      </c>
      <c r="AJ198" s="113" t="s">
        <v>273</v>
      </c>
      <c r="AK198" s="113" t="s">
        <v>273</v>
      </c>
      <c r="AL198" s="113" t="s">
        <v>273</v>
      </c>
      <c r="AM198" s="113" t="s">
        <v>273</v>
      </c>
      <c r="AN198" s="113" t="s">
        <v>273</v>
      </c>
      <c r="AO198" s="113" t="s">
        <v>273</v>
      </c>
      <c r="AP198" s="113" t="s">
        <v>273</v>
      </c>
      <c r="AQ198" s="113" t="s">
        <v>273</v>
      </c>
      <c r="AR198" s="113" t="s">
        <v>273</v>
      </c>
      <c r="AS198" s="113" t="s">
        <v>273</v>
      </c>
      <c r="AT198" s="113" t="s">
        <v>273</v>
      </c>
      <c r="AU198" s="113" t="s">
        <v>273</v>
      </c>
      <c r="AV198" s="113" t="s">
        <v>273</v>
      </c>
      <c r="AW198" s="113" t="s">
        <v>273</v>
      </c>
      <c r="AX198" s="113" t="s">
        <v>273</v>
      </c>
      <c r="AY198" s="113" t="s">
        <v>273</v>
      </c>
      <c r="AZ198" s="113" t="s">
        <v>273</v>
      </c>
      <c r="BA198" s="113" t="s">
        <v>273</v>
      </c>
      <c r="BB198" s="113" t="s">
        <v>273</v>
      </c>
      <c r="BC198" s="113" t="s">
        <v>273</v>
      </c>
      <c r="BD198" s="113" t="s">
        <v>273</v>
      </c>
      <c r="BE198" s="113" t="s">
        <v>273</v>
      </c>
      <c r="BF198" s="113" t="s">
        <v>273</v>
      </c>
      <c r="BG198" s="113" t="s">
        <v>273</v>
      </c>
      <c r="BH198" s="113" t="s">
        <v>273</v>
      </c>
      <c r="BI198" s="113" t="s">
        <v>273</v>
      </c>
      <c r="BJ198" s="113" t="s">
        <v>273</v>
      </c>
      <c r="BK198" s="113" t="s">
        <v>273</v>
      </c>
      <c r="BL198" s="113" t="s">
        <v>273</v>
      </c>
      <c r="BM198" s="113" t="s">
        <v>273</v>
      </c>
      <c r="BN198" s="113" t="s">
        <v>273</v>
      </c>
      <c r="BO198" s="113" t="s">
        <v>273</v>
      </c>
      <c r="BP198" s="113" t="s">
        <v>273</v>
      </c>
      <c r="BQ198" s="113">
        <v>78</v>
      </c>
      <c r="BR198" s="113" t="s">
        <v>273</v>
      </c>
      <c r="BS198" s="113" t="s">
        <v>273</v>
      </c>
      <c r="BT198" s="113" t="s">
        <v>273</v>
      </c>
      <c r="BU198" s="113">
        <v>505</v>
      </c>
      <c r="BV198" s="113" t="s">
        <v>273</v>
      </c>
      <c r="BW198" s="113" t="s">
        <v>273</v>
      </c>
      <c r="BX198" s="113" t="s">
        <v>273</v>
      </c>
      <c r="BY198" s="113">
        <v>393</v>
      </c>
      <c r="BZ198" s="113" t="s">
        <v>273</v>
      </c>
      <c r="CA198" s="113" t="s">
        <v>273</v>
      </c>
      <c r="CB198" s="113" t="s">
        <v>273</v>
      </c>
      <c r="CC198" s="113">
        <v>271</v>
      </c>
      <c r="CD198" s="113" t="s">
        <v>273</v>
      </c>
      <c r="CE198" s="113" t="s">
        <v>273</v>
      </c>
      <c r="CF198" s="113" t="s">
        <v>273</v>
      </c>
      <c r="CG198" s="113">
        <v>422</v>
      </c>
      <c r="CH198" s="113" t="s">
        <v>273</v>
      </c>
      <c r="CI198" s="113">
        <v>507</v>
      </c>
      <c r="CJ198" s="113">
        <v>648</v>
      </c>
      <c r="CK198" s="113">
        <v>1013</v>
      </c>
      <c r="CL198" s="113">
        <v>2116</v>
      </c>
      <c r="CM198" s="113">
        <v>1431</v>
      </c>
      <c r="CN198" s="113">
        <v>1330</v>
      </c>
      <c r="CO198" s="113">
        <v>544</v>
      </c>
      <c r="CP198" s="113">
        <v>636</v>
      </c>
      <c r="CQ198" s="113">
        <v>437</v>
      </c>
      <c r="CR198" s="113">
        <v>264</v>
      </c>
      <c r="CS198" s="113">
        <v>537</v>
      </c>
      <c r="CT198" s="113">
        <v>1180</v>
      </c>
      <c r="CU198" s="113">
        <v>648</v>
      </c>
      <c r="CV198" s="113">
        <v>426</v>
      </c>
      <c r="CW198" s="113">
        <v>502</v>
      </c>
      <c r="CX198" s="113">
        <v>955</v>
      </c>
      <c r="CY198" s="113">
        <v>478</v>
      </c>
      <c r="CZ198" s="113">
        <v>377</v>
      </c>
      <c r="DA198" s="113">
        <v>552</v>
      </c>
      <c r="DB198" s="113">
        <v>1043</v>
      </c>
      <c r="DC198" s="113">
        <v>656</v>
      </c>
      <c r="DD198" s="113">
        <v>827</v>
      </c>
      <c r="DE198" s="113">
        <v>1084</v>
      </c>
      <c r="DF198" s="113">
        <v>1979</v>
      </c>
      <c r="DG198" s="113">
        <v>1027</v>
      </c>
      <c r="DH198" s="113" t="s">
        <v>273</v>
      </c>
      <c r="DI198" s="113">
        <v>831</v>
      </c>
      <c r="DJ198" s="113">
        <v>1115</v>
      </c>
      <c r="DK198" s="113">
        <v>939</v>
      </c>
      <c r="DL198" s="113">
        <v>1320</v>
      </c>
      <c r="DM198" s="113">
        <v>1409</v>
      </c>
      <c r="DN198" s="113">
        <v>1774</v>
      </c>
      <c r="DO198" s="113">
        <v>1125</v>
      </c>
      <c r="DP198" s="113">
        <v>1352</v>
      </c>
      <c r="DQ198" s="113">
        <v>1450</v>
      </c>
      <c r="DR198" s="113">
        <v>2015</v>
      </c>
      <c r="DS198" s="113">
        <v>1112</v>
      </c>
      <c r="DT198" s="113">
        <v>1157</v>
      </c>
      <c r="DU198" s="113">
        <v>1600</v>
      </c>
      <c r="DV198" s="113">
        <v>2469</v>
      </c>
      <c r="DW198" s="113">
        <v>791</v>
      </c>
      <c r="DX198" s="113">
        <v>1692</v>
      </c>
      <c r="DY198" s="113">
        <v>1481</v>
      </c>
      <c r="DZ198" s="113">
        <v>2430</v>
      </c>
      <c r="EA198" s="113">
        <v>1500</v>
      </c>
      <c r="EB198" s="113">
        <v>1297</v>
      </c>
      <c r="EC198" s="113">
        <v>1239</v>
      </c>
      <c r="ED198" s="113">
        <v>2333</v>
      </c>
      <c r="EE198" s="113">
        <v>1421</v>
      </c>
      <c r="EF198" s="113">
        <v>1390</v>
      </c>
      <c r="EG198" s="113">
        <v>1953</v>
      </c>
      <c r="EH198" s="113">
        <v>2866</v>
      </c>
      <c r="EI198" s="113">
        <v>1445</v>
      </c>
      <c r="EJ198" s="113">
        <v>1430</v>
      </c>
      <c r="EK198" s="113">
        <v>1611</v>
      </c>
      <c r="EL198" s="113">
        <v>1922</v>
      </c>
      <c r="EM198" s="113">
        <v>1365</v>
      </c>
      <c r="EN198" s="113">
        <v>903</v>
      </c>
    </row>
    <row r="199" spans="1:144">
      <c r="A199" s="103" t="s">
        <v>779</v>
      </c>
      <c r="B199" s="113" t="s">
        <v>273</v>
      </c>
      <c r="C199" s="113">
        <v>142</v>
      </c>
      <c r="D199" s="113">
        <v>144</v>
      </c>
      <c r="E199" s="113">
        <v>162</v>
      </c>
      <c r="F199" s="113">
        <v>206</v>
      </c>
      <c r="G199" s="113">
        <v>183</v>
      </c>
      <c r="H199" s="113">
        <v>183</v>
      </c>
      <c r="I199" s="113">
        <v>183</v>
      </c>
      <c r="J199" s="113">
        <v>158</v>
      </c>
      <c r="K199" s="113">
        <v>176</v>
      </c>
      <c r="L199" s="113">
        <v>185</v>
      </c>
      <c r="M199" s="113">
        <v>197</v>
      </c>
      <c r="N199" s="113">
        <v>248</v>
      </c>
      <c r="O199" s="113">
        <v>274</v>
      </c>
      <c r="P199" s="113">
        <v>313</v>
      </c>
      <c r="Q199" s="113">
        <v>362</v>
      </c>
      <c r="R199" s="113">
        <v>428</v>
      </c>
      <c r="S199" s="113">
        <v>518</v>
      </c>
      <c r="T199" s="113">
        <v>526</v>
      </c>
      <c r="U199" s="113">
        <v>526</v>
      </c>
      <c r="V199" s="113">
        <v>533</v>
      </c>
      <c r="W199" s="113">
        <v>528</v>
      </c>
      <c r="X199" s="113">
        <v>525</v>
      </c>
      <c r="Y199" s="113">
        <v>541</v>
      </c>
      <c r="Z199" s="113">
        <v>769</v>
      </c>
      <c r="AA199" s="113">
        <v>824</v>
      </c>
      <c r="AB199" s="113">
        <v>1107</v>
      </c>
      <c r="AC199" s="113">
        <v>1254</v>
      </c>
      <c r="AD199" s="113">
        <v>1540</v>
      </c>
      <c r="AE199" s="113" t="s">
        <v>273</v>
      </c>
      <c r="AG199" s="103" t="s">
        <v>779</v>
      </c>
      <c r="AH199" s="113" t="s">
        <v>273</v>
      </c>
      <c r="AI199" s="113" t="s">
        <v>273</v>
      </c>
      <c r="AJ199" s="113" t="s">
        <v>273</v>
      </c>
      <c r="AK199" s="113">
        <v>144</v>
      </c>
      <c r="AL199" s="113" t="s">
        <v>273</v>
      </c>
      <c r="AM199" s="113" t="s">
        <v>273</v>
      </c>
      <c r="AN199" s="113" t="s">
        <v>273</v>
      </c>
      <c r="AO199" s="113">
        <v>162</v>
      </c>
      <c r="AP199" s="113" t="s">
        <v>273</v>
      </c>
      <c r="AQ199" s="113" t="s">
        <v>273</v>
      </c>
      <c r="AR199" s="113" t="s">
        <v>273</v>
      </c>
      <c r="AS199" s="113">
        <v>206</v>
      </c>
      <c r="AT199" s="113" t="s">
        <v>273</v>
      </c>
      <c r="AU199" s="113" t="s">
        <v>273</v>
      </c>
      <c r="AV199" s="113" t="s">
        <v>273</v>
      </c>
      <c r="AW199" s="113">
        <v>183</v>
      </c>
      <c r="AX199" s="113" t="s">
        <v>273</v>
      </c>
      <c r="AY199" s="113" t="s">
        <v>273</v>
      </c>
      <c r="AZ199" s="113" t="s">
        <v>273</v>
      </c>
      <c r="BA199" s="113">
        <v>183</v>
      </c>
      <c r="BB199" s="113" t="s">
        <v>273</v>
      </c>
      <c r="BC199" s="113" t="s">
        <v>273</v>
      </c>
      <c r="BD199" s="113" t="s">
        <v>273</v>
      </c>
      <c r="BE199" s="113">
        <v>183</v>
      </c>
      <c r="BF199" s="113" t="s">
        <v>273</v>
      </c>
      <c r="BG199" s="113" t="s">
        <v>273</v>
      </c>
      <c r="BH199" s="113" t="s">
        <v>273</v>
      </c>
      <c r="BI199" s="113">
        <v>158</v>
      </c>
      <c r="BJ199" s="113" t="s">
        <v>273</v>
      </c>
      <c r="BK199" s="113" t="s">
        <v>273</v>
      </c>
      <c r="BL199" s="113" t="s">
        <v>273</v>
      </c>
      <c r="BM199" s="113">
        <v>176</v>
      </c>
      <c r="BN199" s="113" t="s">
        <v>273</v>
      </c>
      <c r="BO199" s="113" t="s">
        <v>273</v>
      </c>
      <c r="BP199" s="113" t="s">
        <v>273</v>
      </c>
      <c r="BQ199" s="113">
        <v>185</v>
      </c>
      <c r="BR199" s="113" t="s">
        <v>273</v>
      </c>
      <c r="BS199" s="113" t="s">
        <v>273</v>
      </c>
      <c r="BT199" s="113" t="s">
        <v>273</v>
      </c>
      <c r="BU199" s="113">
        <v>197</v>
      </c>
      <c r="BV199" s="113" t="s">
        <v>273</v>
      </c>
      <c r="BW199" s="113" t="s">
        <v>273</v>
      </c>
      <c r="BX199" s="113" t="s">
        <v>273</v>
      </c>
      <c r="BY199" s="113">
        <v>248</v>
      </c>
      <c r="BZ199" s="113" t="s">
        <v>273</v>
      </c>
      <c r="CA199" s="113" t="s">
        <v>273</v>
      </c>
      <c r="CB199" s="113" t="s">
        <v>273</v>
      </c>
      <c r="CC199" s="113">
        <v>274</v>
      </c>
      <c r="CD199" s="113" t="s">
        <v>273</v>
      </c>
      <c r="CE199" s="113" t="s">
        <v>273</v>
      </c>
      <c r="CF199" s="113" t="s">
        <v>273</v>
      </c>
      <c r="CG199" s="113">
        <v>313</v>
      </c>
      <c r="CH199" s="113" t="s">
        <v>273</v>
      </c>
      <c r="CI199" s="113" t="s">
        <v>273</v>
      </c>
      <c r="CJ199" s="113" t="s">
        <v>273</v>
      </c>
      <c r="CK199" s="113">
        <v>362</v>
      </c>
      <c r="CL199" s="113" t="s">
        <v>273</v>
      </c>
      <c r="CM199" s="113" t="s">
        <v>273</v>
      </c>
      <c r="CN199" s="113" t="s">
        <v>273</v>
      </c>
      <c r="CO199" s="113">
        <v>428</v>
      </c>
      <c r="CP199" s="113" t="s">
        <v>273</v>
      </c>
      <c r="CQ199" s="113" t="s">
        <v>273</v>
      </c>
      <c r="CR199" s="113" t="s">
        <v>273</v>
      </c>
      <c r="CS199" s="113">
        <v>518</v>
      </c>
      <c r="CT199" s="113" t="s">
        <v>273</v>
      </c>
      <c r="CU199" s="113" t="s">
        <v>273</v>
      </c>
      <c r="CV199" s="113" t="s">
        <v>273</v>
      </c>
      <c r="CW199" s="113">
        <v>526</v>
      </c>
      <c r="CX199" s="113" t="s">
        <v>273</v>
      </c>
      <c r="CY199" s="113" t="s">
        <v>273</v>
      </c>
      <c r="CZ199" s="113" t="s">
        <v>273</v>
      </c>
      <c r="DA199" s="113">
        <v>526</v>
      </c>
      <c r="DB199" s="113" t="s">
        <v>273</v>
      </c>
      <c r="DC199" s="113" t="s">
        <v>273</v>
      </c>
      <c r="DD199" s="113" t="s">
        <v>273</v>
      </c>
      <c r="DE199" s="113">
        <v>533</v>
      </c>
      <c r="DF199" s="113" t="s">
        <v>273</v>
      </c>
      <c r="DG199" s="113" t="s">
        <v>273</v>
      </c>
      <c r="DH199" s="113" t="s">
        <v>273</v>
      </c>
      <c r="DI199" s="113">
        <v>528</v>
      </c>
      <c r="DJ199" s="113" t="s">
        <v>273</v>
      </c>
      <c r="DK199" s="113" t="s">
        <v>273</v>
      </c>
      <c r="DL199" s="113" t="s">
        <v>273</v>
      </c>
      <c r="DM199" s="113">
        <v>525</v>
      </c>
      <c r="DN199" s="113" t="s">
        <v>273</v>
      </c>
      <c r="DO199" s="113" t="s">
        <v>273</v>
      </c>
      <c r="DP199" s="113" t="s">
        <v>273</v>
      </c>
      <c r="DQ199" s="113">
        <v>541</v>
      </c>
      <c r="DR199" s="113" t="s">
        <v>273</v>
      </c>
      <c r="DS199" s="113" t="s">
        <v>273</v>
      </c>
      <c r="DT199" s="113" t="s">
        <v>273</v>
      </c>
      <c r="DU199" s="113">
        <v>769</v>
      </c>
      <c r="DV199" s="113" t="s">
        <v>273</v>
      </c>
      <c r="DW199" s="113" t="s">
        <v>273</v>
      </c>
      <c r="DX199" s="113" t="s">
        <v>273</v>
      </c>
      <c r="DY199" s="113">
        <v>824</v>
      </c>
      <c r="DZ199" s="113" t="s">
        <v>273</v>
      </c>
      <c r="EA199" s="113" t="s">
        <v>273</v>
      </c>
      <c r="EB199" s="113" t="s">
        <v>273</v>
      </c>
      <c r="EC199" s="113">
        <v>1107</v>
      </c>
      <c r="ED199" s="113" t="s">
        <v>273</v>
      </c>
      <c r="EE199" s="113" t="s">
        <v>273</v>
      </c>
      <c r="EF199" s="113" t="s">
        <v>273</v>
      </c>
      <c r="EG199" s="113">
        <v>1254</v>
      </c>
      <c r="EH199" s="113" t="s">
        <v>273</v>
      </c>
      <c r="EI199" s="113" t="s">
        <v>273</v>
      </c>
      <c r="EJ199" s="113" t="s">
        <v>273</v>
      </c>
      <c r="EK199" s="113">
        <v>1540</v>
      </c>
      <c r="EL199" s="113" t="s">
        <v>273</v>
      </c>
      <c r="EM199" s="113" t="s">
        <v>273</v>
      </c>
      <c r="EN199" s="113" t="s">
        <v>273</v>
      </c>
    </row>
    <row r="200" spans="1:144">
      <c r="A200" s="103" t="s">
        <v>2420</v>
      </c>
      <c r="B200" s="113" t="s">
        <v>273</v>
      </c>
      <c r="C200" s="113">
        <v>345</v>
      </c>
      <c r="D200" s="113">
        <v>389</v>
      </c>
      <c r="E200" s="113">
        <v>440</v>
      </c>
      <c r="F200" s="113">
        <v>607</v>
      </c>
      <c r="G200" s="113">
        <v>787</v>
      </c>
      <c r="H200" s="113">
        <v>1027</v>
      </c>
      <c r="I200" s="113">
        <v>1259</v>
      </c>
      <c r="J200" s="113">
        <v>1347</v>
      </c>
      <c r="K200" s="113">
        <v>1387</v>
      </c>
      <c r="L200" s="113">
        <v>1584</v>
      </c>
      <c r="M200" s="113">
        <v>1701</v>
      </c>
      <c r="N200" s="113">
        <v>1854</v>
      </c>
      <c r="O200" s="113">
        <v>1981</v>
      </c>
      <c r="P200" s="113">
        <v>2014</v>
      </c>
      <c r="Q200" s="113">
        <v>2228</v>
      </c>
      <c r="R200" s="113">
        <v>3170</v>
      </c>
      <c r="S200" s="113">
        <v>4302</v>
      </c>
      <c r="T200" s="113">
        <v>5886</v>
      </c>
      <c r="U200" s="113">
        <v>6087</v>
      </c>
      <c r="V200" s="113">
        <v>6521</v>
      </c>
      <c r="W200" s="113">
        <v>6768</v>
      </c>
      <c r="X200" s="113">
        <v>7326</v>
      </c>
      <c r="Y200" s="113">
        <v>8867</v>
      </c>
      <c r="Z200" s="113">
        <v>10800</v>
      </c>
      <c r="AA200" s="113">
        <v>12393</v>
      </c>
      <c r="AB200" s="113">
        <v>16284</v>
      </c>
      <c r="AC200" s="113">
        <v>20604</v>
      </c>
      <c r="AD200" s="113">
        <v>26288</v>
      </c>
      <c r="AE200" s="113" t="s">
        <v>273</v>
      </c>
      <c r="AG200" s="103" t="s">
        <v>2420</v>
      </c>
      <c r="AH200" s="113" t="s">
        <v>273</v>
      </c>
      <c r="AI200" s="113" t="s">
        <v>273</v>
      </c>
      <c r="AJ200" s="113" t="s">
        <v>273</v>
      </c>
      <c r="AK200" s="113">
        <v>389</v>
      </c>
      <c r="AL200" s="113" t="s">
        <v>273</v>
      </c>
      <c r="AM200" s="113" t="s">
        <v>273</v>
      </c>
      <c r="AN200" s="113" t="s">
        <v>273</v>
      </c>
      <c r="AO200" s="113">
        <v>440</v>
      </c>
      <c r="AP200" s="113" t="s">
        <v>273</v>
      </c>
      <c r="AQ200" s="113" t="s">
        <v>273</v>
      </c>
      <c r="AR200" s="113" t="s">
        <v>273</v>
      </c>
      <c r="AS200" s="113">
        <v>607</v>
      </c>
      <c r="AT200" s="113" t="s">
        <v>273</v>
      </c>
      <c r="AU200" s="113" t="s">
        <v>273</v>
      </c>
      <c r="AV200" s="113" t="s">
        <v>273</v>
      </c>
      <c r="AW200" s="113">
        <v>787</v>
      </c>
      <c r="AX200" s="113" t="s">
        <v>273</v>
      </c>
      <c r="AY200" s="113" t="s">
        <v>273</v>
      </c>
      <c r="AZ200" s="113" t="s">
        <v>273</v>
      </c>
      <c r="BA200" s="113">
        <v>1027</v>
      </c>
      <c r="BB200" s="113" t="s">
        <v>273</v>
      </c>
      <c r="BC200" s="113" t="s">
        <v>273</v>
      </c>
      <c r="BD200" s="113" t="s">
        <v>273</v>
      </c>
      <c r="BE200" s="113">
        <v>1259</v>
      </c>
      <c r="BF200" s="113" t="s">
        <v>273</v>
      </c>
      <c r="BG200" s="113" t="s">
        <v>273</v>
      </c>
      <c r="BH200" s="113" t="s">
        <v>273</v>
      </c>
      <c r="BI200" s="113">
        <v>1347</v>
      </c>
      <c r="BJ200" s="113" t="s">
        <v>273</v>
      </c>
      <c r="BK200" s="113" t="s">
        <v>273</v>
      </c>
      <c r="BL200" s="113" t="s">
        <v>273</v>
      </c>
      <c r="BM200" s="113">
        <v>1387</v>
      </c>
      <c r="BN200" s="113" t="s">
        <v>273</v>
      </c>
      <c r="BO200" s="113" t="s">
        <v>273</v>
      </c>
      <c r="BP200" s="113" t="s">
        <v>273</v>
      </c>
      <c r="BQ200" s="113">
        <v>1584</v>
      </c>
      <c r="BR200" s="113" t="s">
        <v>273</v>
      </c>
      <c r="BS200" s="113" t="s">
        <v>273</v>
      </c>
      <c r="BT200" s="113" t="s">
        <v>273</v>
      </c>
      <c r="BU200" s="113">
        <v>1701</v>
      </c>
      <c r="BV200" s="113" t="s">
        <v>273</v>
      </c>
      <c r="BW200" s="113" t="s">
        <v>273</v>
      </c>
      <c r="BX200" s="113" t="s">
        <v>273</v>
      </c>
      <c r="BY200" s="113">
        <v>1854</v>
      </c>
      <c r="BZ200" s="113" t="s">
        <v>273</v>
      </c>
      <c r="CA200" s="113" t="s">
        <v>273</v>
      </c>
      <c r="CB200" s="113" t="s">
        <v>273</v>
      </c>
      <c r="CC200" s="113">
        <v>1981</v>
      </c>
      <c r="CD200" s="113" t="s">
        <v>273</v>
      </c>
      <c r="CE200" s="113" t="s">
        <v>273</v>
      </c>
      <c r="CF200" s="113" t="s">
        <v>273</v>
      </c>
      <c r="CG200" s="113">
        <v>2014</v>
      </c>
      <c r="CH200" s="113" t="s">
        <v>273</v>
      </c>
      <c r="CI200" s="113" t="s">
        <v>273</v>
      </c>
      <c r="CJ200" s="113" t="s">
        <v>273</v>
      </c>
      <c r="CK200" s="113">
        <v>2228</v>
      </c>
      <c r="CL200" s="113" t="s">
        <v>273</v>
      </c>
      <c r="CM200" s="113" t="s">
        <v>273</v>
      </c>
      <c r="CN200" s="113" t="s">
        <v>273</v>
      </c>
      <c r="CO200" s="113">
        <v>3170</v>
      </c>
      <c r="CP200" s="113" t="s">
        <v>273</v>
      </c>
      <c r="CQ200" s="113" t="s">
        <v>273</v>
      </c>
      <c r="CR200" s="113" t="s">
        <v>273</v>
      </c>
      <c r="CS200" s="113">
        <v>4302</v>
      </c>
      <c r="CT200" s="113" t="s">
        <v>273</v>
      </c>
      <c r="CU200" s="113" t="s">
        <v>273</v>
      </c>
      <c r="CV200" s="113" t="s">
        <v>273</v>
      </c>
      <c r="CW200" s="113">
        <v>5886</v>
      </c>
      <c r="CX200" s="113" t="s">
        <v>273</v>
      </c>
      <c r="CY200" s="113" t="s">
        <v>273</v>
      </c>
      <c r="CZ200" s="113" t="s">
        <v>273</v>
      </c>
      <c r="DA200" s="113">
        <v>6087</v>
      </c>
      <c r="DB200" s="113" t="s">
        <v>273</v>
      </c>
      <c r="DC200" s="113" t="s">
        <v>273</v>
      </c>
      <c r="DD200" s="113" t="s">
        <v>273</v>
      </c>
      <c r="DE200" s="113">
        <v>6521</v>
      </c>
      <c r="DF200" s="113" t="s">
        <v>273</v>
      </c>
      <c r="DG200" s="113" t="s">
        <v>273</v>
      </c>
      <c r="DH200" s="113" t="s">
        <v>273</v>
      </c>
      <c r="DI200" s="113">
        <v>6768</v>
      </c>
      <c r="DJ200" s="113" t="s">
        <v>273</v>
      </c>
      <c r="DK200" s="113" t="s">
        <v>273</v>
      </c>
      <c r="DL200" s="113" t="s">
        <v>273</v>
      </c>
      <c r="DM200" s="113">
        <v>7326</v>
      </c>
      <c r="DN200" s="113" t="s">
        <v>273</v>
      </c>
      <c r="DO200" s="113" t="s">
        <v>273</v>
      </c>
      <c r="DP200" s="113" t="s">
        <v>273</v>
      </c>
      <c r="DQ200" s="113">
        <v>8867</v>
      </c>
      <c r="DR200" s="113" t="s">
        <v>273</v>
      </c>
      <c r="DS200" s="113" t="s">
        <v>273</v>
      </c>
      <c r="DT200" s="113" t="s">
        <v>273</v>
      </c>
      <c r="DU200" s="113">
        <v>10800</v>
      </c>
      <c r="DV200" s="113" t="s">
        <v>273</v>
      </c>
      <c r="DW200" s="113" t="s">
        <v>273</v>
      </c>
      <c r="DX200" s="113" t="s">
        <v>273</v>
      </c>
      <c r="DY200" s="113">
        <v>12393</v>
      </c>
      <c r="DZ200" s="113" t="s">
        <v>273</v>
      </c>
      <c r="EA200" s="113" t="s">
        <v>273</v>
      </c>
      <c r="EB200" s="113" t="s">
        <v>273</v>
      </c>
      <c r="EC200" s="113">
        <v>16284</v>
      </c>
      <c r="ED200" s="113" t="s">
        <v>273</v>
      </c>
      <c r="EE200" s="113" t="s">
        <v>273</v>
      </c>
      <c r="EF200" s="113" t="s">
        <v>273</v>
      </c>
      <c r="EG200" s="113">
        <v>20604</v>
      </c>
      <c r="EH200" s="113" t="s">
        <v>273</v>
      </c>
      <c r="EI200" s="113" t="s">
        <v>273</v>
      </c>
      <c r="EJ200" s="113" t="s">
        <v>273</v>
      </c>
      <c r="EK200" s="113">
        <v>26288</v>
      </c>
      <c r="EL200" s="113" t="s">
        <v>273</v>
      </c>
      <c r="EM200" s="113" t="s">
        <v>273</v>
      </c>
      <c r="EN200" s="113" t="s">
        <v>273</v>
      </c>
    </row>
    <row r="201" spans="1:144">
      <c r="A201" s="103" t="s">
        <v>2421</v>
      </c>
      <c r="B201" s="113" t="s">
        <v>273</v>
      </c>
      <c r="C201" s="113">
        <v>490</v>
      </c>
      <c r="D201" s="113">
        <v>415</v>
      </c>
      <c r="E201" s="113">
        <v>532</v>
      </c>
      <c r="F201" s="113">
        <v>1094</v>
      </c>
      <c r="G201" s="113">
        <v>885</v>
      </c>
      <c r="H201" s="113">
        <v>1064</v>
      </c>
      <c r="I201" s="113">
        <v>1182</v>
      </c>
      <c r="J201" s="113">
        <v>1433</v>
      </c>
      <c r="K201" s="113">
        <v>1909</v>
      </c>
      <c r="L201" s="113">
        <v>2292</v>
      </c>
      <c r="M201" s="113">
        <v>2621</v>
      </c>
      <c r="N201" s="113">
        <v>3208</v>
      </c>
      <c r="O201" s="113">
        <v>3429</v>
      </c>
      <c r="P201" s="113">
        <v>3197</v>
      </c>
      <c r="Q201" s="113">
        <v>3715</v>
      </c>
      <c r="R201" s="113">
        <v>4691</v>
      </c>
      <c r="S201" s="113">
        <v>5996</v>
      </c>
      <c r="T201" s="113">
        <v>6732</v>
      </c>
      <c r="U201" s="113">
        <v>7546</v>
      </c>
      <c r="V201" s="113">
        <v>8592</v>
      </c>
      <c r="W201" s="113">
        <v>9385</v>
      </c>
      <c r="X201" s="113">
        <v>11707</v>
      </c>
      <c r="Y201" s="113">
        <v>14836</v>
      </c>
      <c r="Z201" s="113">
        <v>17191</v>
      </c>
      <c r="AA201" s="113">
        <v>21280</v>
      </c>
      <c r="AB201" s="113">
        <v>25458</v>
      </c>
      <c r="AC201" s="113">
        <v>32090</v>
      </c>
      <c r="AD201" s="113">
        <v>38663</v>
      </c>
      <c r="AE201" s="113" t="s">
        <v>273</v>
      </c>
      <c r="AG201" s="103" t="s">
        <v>2421</v>
      </c>
      <c r="AH201" s="113" t="s">
        <v>273</v>
      </c>
      <c r="AI201" s="113" t="s">
        <v>273</v>
      </c>
      <c r="AJ201" s="113" t="s">
        <v>273</v>
      </c>
      <c r="AK201" s="113">
        <v>415</v>
      </c>
      <c r="AL201" s="113" t="s">
        <v>273</v>
      </c>
      <c r="AM201" s="113" t="s">
        <v>273</v>
      </c>
      <c r="AN201" s="113" t="s">
        <v>273</v>
      </c>
      <c r="AO201" s="113">
        <v>532</v>
      </c>
      <c r="AP201" s="113" t="s">
        <v>273</v>
      </c>
      <c r="AQ201" s="113" t="s">
        <v>273</v>
      </c>
      <c r="AR201" s="113" t="s">
        <v>273</v>
      </c>
      <c r="AS201" s="113">
        <v>1094</v>
      </c>
      <c r="AT201" s="113" t="s">
        <v>273</v>
      </c>
      <c r="AU201" s="113" t="s">
        <v>273</v>
      </c>
      <c r="AV201" s="113" t="s">
        <v>273</v>
      </c>
      <c r="AW201" s="113">
        <v>885</v>
      </c>
      <c r="AX201" s="113" t="s">
        <v>273</v>
      </c>
      <c r="AY201" s="113" t="s">
        <v>273</v>
      </c>
      <c r="AZ201" s="113" t="s">
        <v>273</v>
      </c>
      <c r="BA201" s="113">
        <v>1064</v>
      </c>
      <c r="BB201" s="113" t="s">
        <v>273</v>
      </c>
      <c r="BC201" s="113" t="s">
        <v>273</v>
      </c>
      <c r="BD201" s="113" t="s">
        <v>273</v>
      </c>
      <c r="BE201" s="113">
        <v>1182</v>
      </c>
      <c r="BF201" s="113" t="s">
        <v>273</v>
      </c>
      <c r="BG201" s="113" t="s">
        <v>273</v>
      </c>
      <c r="BH201" s="113" t="s">
        <v>273</v>
      </c>
      <c r="BI201" s="113">
        <v>1433</v>
      </c>
      <c r="BJ201" s="113" t="s">
        <v>273</v>
      </c>
      <c r="BK201" s="113" t="s">
        <v>273</v>
      </c>
      <c r="BL201" s="113" t="s">
        <v>273</v>
      </c>
      <c r="BM201" s="113">
        <v>1909</v>
      </c>
      <c r="BN201" s="113" t="s">
        <v>273</v>
      </c>
      <c r="BO201" s="113" t="s">
        <v>273</v>
      </c>
      <c r="BP201" s="113" t="s">
        <v>273</v>
      </c>
      <c r="BQ201" s="113">
        <v>2292</v>
      </c>
      <c r="BR201" s="113" t="s">
        <v>273</v>
      </c>
      <c r="BS201" s="113" t="s">
        <v>273</v>
      </c>
      <c r="BT201" s="113" t="s">
        <v>273</v>
      </c>
      <c r="BU201" s="113">
        <v>2621</v>
      </c>
      <c r="BV201" s="113" t="s">
        <v>273</v>
      </c>
      <c r="BW201" s="113" t="s">
        <v>273</v>
      </c>
      <c r="BX201" s="113" t="s">
        <v>273</v>
      </c>
      <c r="BY201" s="113">
        <v>3208</v>
      </c>
      <c r="BZ201" s="113" t="s">
        <v>273</v>
      </c>
      <c r="CA201" s="113" t="s">
        <v>273</v>
      </c>
      <c r="CB201" s="113" t="s">
        <v>273</v>
      </c>
      <c r="CC201" s="113">
        <v>3429</v>
      </c>
      <c r="CD201" s="113" t="s">
        <v>273</v>
      </c>
      <c r="CE201" s="113" t="s">
        <v>273</v>
      </c>
      <c r="CF201" s="113" t="s">
        <v>273</v>
      </c>
      <c r="CG201" s="113">
        <v>3197</v>
      </c>
      <c r="CH201" s="113" t="s">
        <v>273</v>
      </c>
      <c r="CI201" s="113" t="s">
        <v>273</v>
      </c>
      <c r="CJ201" s="113" t="s">
        <v>273</v>
      </c>
      <c r="CK201" s="113">
        <v>3715</v>
      </c>
      <c r="CL201" s="113" t="s">
        <v>273</v>
      </c>
      <c r="CM201" s="113" t="s">
        <v>273</v>
      </c>
      <c r="CN201" s="113" t="s">
        <v>273</v>
      </c>
      <c r="CO201" s="113">
        <v>4691</v>
      </c>
      <c r="CP201" s="113" t="s">
        <v>273</v>
      </c>
      <c r="CQ201" s="113" t="s">
        <v>273</v>
      </c>
      <c r="CR201" s="113" t="s">
        <v>273</v>
      </c>
      <c r="CS201" s="113">
        <v>5996</v>
      </c>
      <c r="CT201" s="113" t="s">
        <v>273</v>
      </c>
      <c r="CU201" s="113" t="s">
        <v>273</v>
      </c>
      <c r="CV201" s="113" t="s">
        <v>273</v>
      </c>
      <c r="CW201" s="113">
        <v>6732</v>
      </c>
      <c r="CX201" s="113" t="s">
        <v>273</v>
      </c>
      <c r="CY201" s="113" t="s">
        <v>273</v>
      </c>
      <c r="CZ201" s="113" t="s">
        <v>273</v>
      </c>
      <c r="DA201" s="113">
        <v>7546</v>
      </c>
      <c r="DB201" s="113" t="s">
        <v>273</v>
      </c>
      <c r="DC201" s="113" t="s">
        <v>273</v>
      </c>
      <c r="DD201" s="113" t="s">
        <v>273</v>
      </c>
      <c r="DE201" s="113">
        <v>8592</v>
      </c>
      <c r="DF201" s="113" t="s">
        <v>273</v>
      </c>
      <c r="DG201" s="113" t="s">
        <v>273</v>
      </c>
      <c r="DH201" s="113" t="s">
        <v>273</v>
      </c>
      <c r="DI201" s="113">
        <v>9385</v>
      </c>
      <c r="DJ201" s="113" t="s">
        <v>273</v>
      </c>
      <c r="DK201" s="113" t="s">
        <v>273</v>
      </c>
      <c r="DL201" s="113" t="s">
        <v>273</v>
      </c>
      <c r="DM201" s="113">
        <v>11707</v>
      </c>
      <c r="DN201" s="113" t="s">
        <v>273</v>
      </c>
      <c r="DO201" s="113" t="s">
        <v>273</v>
      </c>
      <c r="DP201" s="113" t="s">
        <v>273</v>
      </c>
      <c r="DQ201" s="113">
        <v>14836</v>
      </c>
      <c r="DR201" s="113" t="s">
        <v>273</v>
      </c>
      <c r="DS201" s="113" t="s">
        <v>273</v>
      </c>
      <c r="DT201" s="113" t="s">
        <v>273</v>
      </c>
      <c r="DU201" s="113">
        <v>17191</v>
      </c>
      <c r="DV201" s="113" t="s">
        <v>273</v>
      </c>
      <c r="DW201" s="113" t="s">
        <v>273</v>
      </c>
      <c r="DX201" s="113" t="s">
        <v>273</v>
      </c>
      <c r="DY201" s="113">
        <v>21280</v>
      </c>
      <c r="DZ201" s="113" t="s">
        <v>273</v>
      </c>
      <c r="EA201" s="113" t="s">
        <v>273</v>
      </c>
      <c r="EB201" s="113" t="s">
        <v>273</v>
      </c>
      <c r="EC201" s="113">
        <v>25458</v>
      </c>
      <c r="ED201" s="113" t="s">
        <v>273</v>
      </c>
      <c r="EE201" s="113" t="s">
        <v>273</v>
      </c>
      <c r="EF201" s="113" t="s">
        <v>273</v>
      </c>
      <c r="EG201" s="113">
        <v>32090</v>
      </c>
      <c r="EH201" s="113" t="s">
        <v>273</v>
      </c>
      <c r="EI201" s="113" t="s">
        <v>273</v>
      </c>
      <c r="EJ201" s="113" t="s">
        <v>273</v>
      </c>
      <c r="EK201" s="113">
        <v>38663</v>
      </c>
      <c r="EL201" s="113" t="s">
        <v>273</v>
      </c>
      <c r="EM201" s="113" t="s">
        <v>273</v>
      </c>
      <c r="EN201" s="113" t="s">
        <v>273</v>
      </c>
    </row>
    <row r="202" spans="1:144">
      <c r="A202" s="103" t="s">
        <v>2422</v>
      </c>
      <c r="B202" s="113">
        <v>0</v>
      </c>
      <c r="C202" s="113">
        <v>0</v>
      </c>
      <c r="D202" s="113">
        <v>0</v>
      </c>
      <c r="E202" s="113">
        <v>0</v>
      </c>
      <c r="F202" s="113">
        <v>0</v>
      </c>
      <c r="G202" s="113">
        <v>0</v>
      </c>
      <c r="H202" s="113">
        <v>0</v>
      </c>
      <c r="I202" s="113">
        <v>0</v>
      </c>
      <c r="J202" s="113">
        <v>0</v>
      </c>
      <c r="K202" s="113">
        <v>0</v>
      </c>
      <c r="L202" s="113">
        <v>0</v>
      </c>
      <c r="M202" s="113">
        <v>0</v>
      </c>
      <c r="N202" s="113">
        <v>768</v>
      </c>
      <c r="O202" s="113">
        <v>805</v>
      </c>
      <c r="P202" s="113">
        <v>851</v>
      </c>
      <c r="Q202" s="113">
        <v>918</v>
      </c>
      <c r="R202" s="113">
        <v>1077</v>
      </c>
      <c r="S202" s="113">
        <v>1728</v>
      </c>
      <c r="T202" s="113">
        <v>1938</v>
      </c>
      <c r="U202" s="113">
        <v>2100</v>
      </c>
      <c r="V202" s="113">
        <v>2345</v>
      </c>
      <c r="W202" s="113">
        <v>2550</v>
      </c>
      <c r="X202" s="113">
        <v>2946</v>
      </c>
      <c r="Y202" s="113">
        <v>3560</v>
      </c>
      <c r="Z202" s="113">
        <v>3577</v>
      </c>
      <c r="AA202" s="113">
        <v>3659</v>
      </c>
      <c r="AB202" s="113">
        <v>5064</v>
      </c>
      <c r="AC202" s="113">
        <v>4735</v>
      </c>
      <c r="AD202" s="113">
        <v>5316</v>
      </c>
      <c r="AE202" s="113">
        <v>0</v>
      </c>
      <c r="AG202" s="103" t="s">
        <v>2422</v>
      </c>
      <c r="AH202" s="113">
        <v>0</v>
      </c>
      <c r="AI202" s="113">
        <v>0</v>
      </c>
      <c r="AJ202" s="113">
        <v>0</v>
      </c>
      <c r="AK202" s="113">
        <v>0</v>
      </c>
      <c r="AL202" s="113">
        <v>0</v>
      </c>
      <c r="AM202" s="113">
        <v>0</v>
      </c>
      <c r="AN202" s="113">
        <v>0</v>
      </c>
      <c r="AO202" s="113">
        <v>0</v>
      </c>
      <c r="AP202" s="113">
        <v>0</v>
      </c>
      <c r="AQ202" s="113">
        <v>0</v>
      </c>
      <c r="AR202" s="113">
        <v>0</v>
      </c>
      <c r="AS202" s="113">
        <v>0</v>
      </c>
      <c r="AT202" s="113">
        <v>0</v>
      </c>
      <c r="AU202" s="113">
        <v>0</v>
      </c>
      <c r="AV202" s="113">
        <v>0</v>
      </c>
      <c r="AW202" s="113">
        <v>0</v>
      </c>
      <c r="AX202" s="113">
        <v>0</v>
      </c>
      <c r="AY202" s="113">
        <v>0</v>
      </c>
      <c r="AZ202" s="113">
        <v>0</v>
      </c>
      <c r="BA202" s="113">
        <v>0</v>
      </c>
      <c r="BB202" s="113">
        <v>0</v>
      </c>
      <c r="BC202" s="113">
        <v>0</v>
      </c>
      <c r="BD202" s="113">
        <v>0</v>
      </c>
      <c r="BE202" s="113">
        <v>0</v>
      </c>
      <c r="BF202" s="113">
        <v>0</v>
      </c>
      <c r="BG202" s="113">
        <v>0</v>
      </c>
      <c r="BH202" s="113">
        <v>0</v>
      </c>
      <c r="BI202" s="113">
        <v>0</v>
      </c>
      <c r="BJ202" s="113">
        <v>0</v>
      </c>
      <c r="BK202" s="113">
        <v>0</v>
      </c>
      <c r="BL202" s="113">
        <v>0</v>
      </c>
      <c r="BM202" s="113">
        <v>0</v>
      </c>
      <c r="BN202" s="113">
        <v>0</v>
      </c>
      <c r="BO202" s="113">
        <v>0</v>
      </c>
      <c r="BP202" s="113">
        <v>0</v>
      </c>
      <c r="BQ202" s="113">
        <v>0</v>
      </c>
      <c r="BR202" s="113">
        <v>0</v>
      </c>
      <c r="BS202" s="113">
        <v>0</v>
      </c>
      <c r="BT202" s="113">
        <v>0</v>
      </c>
      <c r="BU202" s="113">
        <v>0</v>
      </c>
      <c r="BV202" s="113">
        <v>0</v>
      </c>
      <c r="BW202" s="113">
        <v>0</v>
      </c>
      <c r="BX202" s="113">
        <v>0</v>
      </c>
      <c r="BY202" s="113">
        <v>768</v>
      </c>
      <c r="BZ202" s="113">
        <v>0</v>
      </c>
      <c r="CA202" s="113">
        <v>0</v>
      </c>
      <c r="CB202" s="113">
        <v>0</v>
      </c>
      <c r="CC202" s="113">
        <v>805</v>
      </c>
      <c r="CD202" s="113">
        <v>0</v>
      </c>
      <c r="CE202" s="113">
        <v>0</v>
      </c>
      <c r="CF202" s="113">
        <v>0</v>
      </c>
      <c r="CG202" s="113">
        <v>851</v>
      </c>
      <c r="CH202" s="113">
        <v>0</v>
      </c>
      <c r="CI202" s="113">
        <v>0</v>
      </c>
      <c r="CJ202" s="113">
        <v>0</v>
      </c>
      <c r="CK202" s="113">
        <v>918</v>
      </c>
      <c r="CL202" s="113">
        <v>0</v>
      </c>
      <c r="CM202" s="113">
        <v>0</v>
      </c>
      <c r="CN202" s="113">
        <v>0</v>
      </c>
      <c r="CO202" s="113">
        <v>1077</v>
      </c>
      <c r="CP202" s="113">
        <v>0</v>
      </c>
      <c r="CQ202" s="113">
        <v>0</v>
      </c>
      <c r="CR202" s="113">
        <v>0</v>
      </c>
      <c r="CS202" s="113">
        <v>1728</v>
      </c>
      <c r="CT202" s="113">
        <v>0</v>
      </c>
      <c r="CU202" s="113">
        <v>0</v>
      </c>
      <c r="CV202" s="113">
        <v>0</v>
      </c>
      <c r="CW202" s="113">
        <v>1938</v>
      </c>
      <c r="CX202" s="113">
        <v>0</v>
      </c>
      <c r="CY202" s="113">
        <v>0</v>
      </c>
      <c r="CZ202" s="113">
        <v>0</v>
      </c>
      <c r="DA202" s="113">
        <v>2100</v>
      </c>
      <c r="DB202" s="113">
        <v>0</v>
      </c>
      <c r="DC202" s="113">
        <v>0</v>
      </c>
      <c r="DD202" s="113">
        <v>0</v>
      </c>
      <c r="DE202" s="113">
        <v>2345</v>
      </c>
      <c r="DF202" s="113">
        <v>0</v>
      </c>
      <c r="DG202" s="113">
        <v>0</v>
      </c>
      <c r="DH202" s="113">
        <v>0</v>
      </c>
      <c r="DI202" s="113">
        <v>2550</v>
      </c>
      <c r="DJ202" s="113">
        <v>0</v>
      </c>
      <c r="DK202" s="113">
        <v>0</v>
      </c>
      <c r="DL202" s="113">
        <v>0</v>
      </c>
      <c r="DM202" s="113">
        <v>2946</v>
      </c>
      <c r="DN202" s="113">
        <v>0</v>
      </c>
      <c r="DO202" s="113">
        <v>0</v>
      </c>
      <c r="DP202" s="113">
        <v>0</v>
      </c>
      <c r="DQ202" s="113">
        <v>3560</v>
      </c>
      <c r="DR202" s="113">
        <v>0</v>
      </c>
      <c r="DS202" s="113">
        <v>0</v>
      </c>
      <c r="DT202" s="113">
        <v>0</v>
      </c>
      <c r="DU202" s="113">
        <v>3577</v>
      </c>
      <c r="DV202" s="113">
        <v>0</v>
      </c>
      <c r="DW202" s="113">
        <v>0</v>
      </c>
      <c r="DX202" s="113">
        <v>0</v>
      </c>
      <c r="DY202" s="113">
        <v>3659</v>
      </c>
      <c r="DZ202" s="113">
        <v>0</v>
      </c>
      <c r="EA202" s="113">
        <v>0</v>
      </c>
      <c r="EB202" s="113">
        <v>0</v>
      </c>
      <c r="EC202" s="113">
        <v>5064</v>
      </c>
      <c r="ED202" s="113">
        <v>0</v>
      </c>
      <c r="EE202" s="113">
        <v>0</v>
      </c>
      <c r="EF202" s="113">
        <v>0</v>
      </c>
      <c r="EG202" s="113">
        <v>4735</v>
      </c>
      <c r="EH202" s="113">
        <v>0</v>
      </c>
      <c r="EI202" s="113">
        <v>0</v>
      </c>
      <c r="EJ202" s="113">
        <v>0</v>
      </c>
      <c r="EK202" s="113">
        <v>5316</v>
      </c>
      <c r="EL202" s="113">
        <v>0</v>
      </c>
      <c r="EM202" s="113">
        <v>0</v>
      </c>
      <c r="EN202" s="113">
        <v>0</v>
      </c>
    </row>
    <row r="203" spans="1:144">
      <c r="A203" s="103" t="s">
        <v>2423</v>
      </c>
      <c r="B203" s="126" t="s">
        <v>273</v>
      </c>
      <c r="C203" s="126" t="s">
        <v>273</v>
      </c>
      <c r="D203" s="126">
        <v>14430</v>
      </c>
      <c r="E203" s="126">
        <v>15257</v>
      </c>
      <c r="F203" s="126">
        <v>17801</v>
      </c>
      <c r="G203" s="126">
        <v>20561</v>
      </c>
      <c r="H203" s="126">
        <v>22232</v>
      </c>
      <c r="I203" s="126">
        <v>27055</v>
      </c>
      <c r="J203" s="126">
        <v>31396</v>
      </c>
      <c r="K203" s="126">
        <v>39100</v>
      </c>
      <c r="L203" s="126">
        <v>47600</v>
      </c>
      <c r="M203" s="126">
        <v>50500</v>
      </c>
      <c r="N203" s="126">
        <v>55000</v>
      </c>
      <c r="O203" s="126">
        <v>57000</v>
      </c>
      <c r="P203" s="126">
        <v>61000</v>
      </c>
      <c r="Q203" s="126">
        <v>71000</v>
      </c>
      <c r="R203" s="126">
        <v>79000</v>
      </c>
      <c r="S203" s="126">
        <v>91000</v>
      </c>
      <c r="T203" s="126">
        <v>93000</v>
      </c>
      <c r="U203" s="126">
        <v>89000</v>
      </c>
      <c r="V203" s="126">
        <v>90000</v>
      </c>
      <c r="W203" s="126">
        <v>94000</v>
      </c>
      <c r="X203" s="126">
        <v>99000</v>
      </c>
      <c r="Y203" s="126">
        <v>128000</v>
      </c>
      <c r="Z203" s="126">
        <v>118000</v>
      </c>
      <c r="AA203" s="126">
        <v>114000</v>
      </c>
      <c r="AB203" s="126">
        <v>124000</v>
      </c>
      <c r="AC203" s="126">
        <v>131000</v>
      </c>
      <c r="AD203" s="126">
        <v>144000</v>
      </c>
      <c r="AE203" s="126" t="s">
        <v>273</v>
      </c>
      <c r="AG203" s="103" t="s">
        <v>2423</v>
      </c>
      <c r="AH203" s="126" t="s">
        <v>273</v>
      </c>
      <c r="AI203" s="126" t="s">
        <v>273</v>
      </c>
      <c r="AJ203" s="126" t="s">
        <v>273</v>
      </c>
      <c r="AK203" s="126">
        <v>14430</v>
      </c>
      <c r="AL203" s="126" t="s">
        <v>273</v>
      </c>
      <c r="AM203" s="126" t="s">
        <v>273</v>
      </c>
      <c r="AN203" s="126" t="s">
        <v>273</v>
      </c>
      <c r="AO203" s="126">
        <v>15257</v>
      </c>
      <c r="AP203" s="126" t="s">
        <v>273</v>
      </c>
      <c r="AQ203" s="126" t="s">
        <v>273</v>
      </c>
      <c r="AR203" s="126" t="s">
        <v>273</v>
      </c>
      <c r="AS203" s="126">
        <v>17801</v>
      </c>
      <c r="AT203" s="126" t="s">
        <v>273</v>
      </c>
      <c r="AU203" s="126" t="s">
        <v>273</v>
      </c>
      <c r="AV203" s="126" t="s">
        <v>273</v>
      </c>
      <c r="AW203" s="126">
        <v>20561</v>
      </c>
      <c r="AX203" s="126" t="s">
        <v>273</v>
      </c>
      <c r="AY203" s="126" t="s">
        <v>273</v>
      </c>
      <c r="AZ203" s="126" t="s">
        <v>273</v>
      </c>
      <c r="BA203" s="126">
        <v>22232</v>
      </c>
      <c r="BB203" s="126" t="s">
        <v>273</v>
      </c>
      <c r="BC203" s="126" t="s">
        <v>273</v>
      </c>
      <c r="BD203" s="126" t="s">
        <v>273</v>
      </c>
      <c r="BE203" s="126">
        <v>27055</v>
      </c>
      <c r="BF203" s="126" t="s">
        <v>273</v>
      </c>
      <c r="BG203" s="126" t="s">
        <v>273</v>
      </c>
      <c r="BH203" s="126" t="s">
        <v>273</v>
      </c>
      <c r="BI203" s="126">
        <v>31396</v>
      </c>
      <c r="BJ203" s="126" t="s">
        <v>273</v>
      </c>
      <c r="BK203" s="126" t="s">
        <v>273</v>
      </c>
      <c r="BL203" s="126" t="s">
        <v>273</v>
      </c>
      <c r="BM203" s="126">
        <v>39100</v>
      </c>
      <c r="BN203" s="126" t="s">
        <v>273</v>
      </c>
      <c r="BO203" s="126" t="s">
        <v>273</v>
      </c>
      <c r="BP203" s="126" t="s">
        <v>273</v>
      </c>
      <c r="BQ203" s="126">
        <v>47600</v>
      </c>
      <c r="BR203" s="126" t="s">
        <v>273</v>
      </c>
      <c r="BS203" s="126" t="s">
        <v>273</v>
      </c>
      <c r="BT203" s="126" t="s">
        <v>273</v>
      </c>
      <c r="BU203" s="126">
        <v>50500</v>
      </c>
      <c r="BV203" s="126" t="s">
        <v>273</v>
      </c>
      <c r="BW203" s="126" t="s">
        <v>273</v>
      </c>
      <c r="BX203" s="126" t="s">
        <v>273</v>
      </c>
      <c r="BY203" s="126">
        <v>55000</v>
      </c>
      <c r="BZ203" s="126" t="s">
        <v>273</v>
      </c>
      <c r="CA203" s="126" t="s">
        <v>273</v>
      </c>
      <c r="CB203" s="126" t="s">
        <v>273</v>
      </c>
      <c r="CC203" s="126">
        <v>57000</v>
      </c>
      <c r="CD203" s="126" t="s">
        <v>273</v>
      </c>
      <c r="CE203" s="126" t="s">
        <v>273</v>
      </c>
      <c r="CF203" s="126" t="s">
        <v>273</v>
      </c>
      <c r="CG203" s="126">
        <v>61000</v>
      </c>
      <c r="CH203" s="126" t="s">
        <v>273</v>
      </c>
      <c r="CI203" s="126" t="s">
        <v>273</v>
      </c>
      <c r="CJ203" s="126" t="s">
        <v>273</v>
      </c>
      <c r="CK203" s="126">
        <v>71000</v>
      </c>
      <c r="CL203" s="126" t="s">
        <v>273</v>
      </c>
      <c r="CM203" s="126" t="s">
        <v>273</v>
      </c>
      <c r="CN203" s="126" t="s">
        <v>273</v>
      </c>
      <c r="CO203" s="126">
        <v>79000</v>
      </c>
      <c r="CP203" s="126" t="s">
        <v>273</v>
      </c>
      <c r="CQ203" s="126" t="s">
        <v>273</v>
      </c>
      <c r="CR203" s="126" t="s">
        <v>273</v>
      </c>
      <c r="CS203" s="126">
        <v>91000</v>
      </c>
      <c r="CT203" s="126" t="s">
        <v>273</v>
      </c>
      <c r="CU203" s="126" t="s">
        <v>273</v>
      </c>
      <c r="CV203" s="126" t="s">
        <v>273</v>
      </c>
      <c r="CW203" s="126">
        <v>93000</v>
      </c>
      <c r="CX203" s="126" t="s">
        <v>273</v>
      </c>
      <c r="CY203" s="126" t="s">
        <v>273</v>
      </c>
      <c r="CZ203" s="126" t="s">
        <v>273</v>
      </c>
      <c r="DA203" s="126">
        <v>89000</v>
      </c>
      <c r="DB203" s="126" t="s">
        <v>273</v>
      </c>
      <c r="DC203" s="126" t="s">
        <v>273</v>
      </c>
      <c r="DD203" s="126" t="s">
        <v>273</v>
      </c>
      <c r="DE203" s="126">
        <v>90000</v>
      </c>
      <c r="DF203" s="126" t="s">
        <v>273</v>
      </c>
      <c r="DG203" s="126" t="s">
        <v>273</v>
      </c>
      <c r="DH203" s="126" t="s">
        <v>273</v>
      </c>
      <c r="DI203" s="126">
        <v>94000</v>
      </c>
      <c r="DJ203" s="126" t="s">
        <v>273</v>
      </c>
      <c r="DK203" s="126" t="s">
        <v>273</v>
      </c>
      <c r="DL203" s="126" t="s">
        <v>273</v>
      </c>
      <c r="DM203" s="126">
        <v>99000</v>
      </c>
      <c r="DN203" s="126" t="s">
        <v>273</v>
      </c>
      <c r="DO203" s="126" t="s">
        <v>273</v>
      </c>
      <c r="DP203" s="126" t="s">
        <v>273</v>
      </c>
      <c r="DQ203" s="126">
        <v>128000</v>
      </c>
      <c r="DR203" s="126" t="s">
        <v>273</v>
      </c>
      <c r="DS203" s="126" t="s">
        <v>273</v>
      </c>
      <c r="DT203" s="126" t="s">
        <v>273</v>
      </c>
      <c r="DU203" s="126">
        <v>118000</v>
      </c>
      <c r="DV203" s="126" t="s">
        <v>273</v>
      </c>
      <c r="DW203" s="126" t="s">
        <v>273</v>
      </c>
      <c r="DX203" s="126" t="s">
        <v>273</v>
      </c>
      <c r="DY203" s="126">
        <v>114000</v>
      </c>
      <c r="DZ203" s="126" t="s">
        <v>273</v>
      </c>
      <c r="EA203" s="126" t="s">
        <v>273</v>
      </c>
      <c r="EB203" s="126" t="s">
        <v>273</v>
      </c>
      <c r="EC203" s="126">
        <v>124000</v>
      </c>
      <c r="ED203" s="126" t="s">
        <v>273</v>
      </c>
      <c r="EE203" s="126" t="s">
        <v>273</v>
      </c>
      <c r="EF203" s="126" t="s">
        <v>273</v>
      </c>
      <c r="EG203" s="126">
        <v>131000</v>
      </c>
      <c r="EH203" s="126" t="s">
        <v>273</v>
      </c>
      <c r="EI203" s="126" t="s">
        <v>273</v>
      </c>
      <c r="EJ203" s="126" t="s">
        <v>273</v>
      </c>
      <c r="EK203" s="126">
        <v>144000</v>
      </c>
      <c r="EL203" s="126" t="s">
        <v>273</v>
      </c>
      <c r="EM203" s="126" t="s">
        <v>273</v>
      </c>
      <c r="EN203" s="126" t="s">
        <v>273</v>
      </c>
    </row>
    <row r="204" spans="1:144">
      <c r="A204" s="103"/>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c r="AC204" s="126"/>
      <c r="AD204" s="126"/>
      <c r="AE204" s="126"/>
      <c r="AG204" s="103" t="s">
        <v>2424</v>
      </c>
      <c r="AH204" s="113" t="s">
        <v>273</v>
      </c>
      <c r="AI204" s="113" t="s">
        <v>273</v>
      </c>
      <c r="AJ204" s="113" t="s">
        <v>273</v>
      </c>
      <c r="AK204" s="113" t="s">
        <v>273</v>
      </c>
      <c r="AL204" s="113" t="s">
        <v>273</v>
      </c>
      <c r="AM204" s="113" t="s">
        <v>273</v>
      </c>
      <c r="AN204" s="113" t="s">
        <v>273</v>
      </c>
      <c r="AO204" s="113" t="s">
        <v>273</v>
      </c>
      <c r="AP204" s="113" t="s">
        <v>273</v>
      </c>
      <c r="AQ204" s="113" t="s">
        <v>273</v>
      </c>
      <c r="AR204" s="113" t="s">
        <v>273</v>
      </c>
      <c r="AS204" s="113" t="s">
        <v>273</v>
      </c>
      <c r="AT204" s="113" t="s">
        <v>273</v>
      </c>
      <c r="AU204" s="113" t="s">
        <v>273</v>
      </c>
      <c r="AV204" s="113" t="s">
        <v>273</v>
      </c>
      <c r="AW204" s="113" t="s">
        <v>273</v>
      </c>
      <c r="AX204" s="113" t="s">
        <v>273</v>
      </c>
      <c r="AY204" s="113" t="s">
        <v>273</v>
      </c>
      <c r="AZ204" s="113" t="s">
        <v>273</v>
      </c>
      <c r="BA204" s="113" t="s">
        <v>273</v>
      </c>
      <c r="BB204" s="113" t="s">
        <v>273</v>
      </c>
      <c r="BC204" s="113" t="s">
        <v>273</v>
      </c>
      <c r="BD204" s="113" t="s">
        <v>273</v>
      </c>
      <c r="BE204" s="113" t="s">
        <v>273</v>
      </c>
      <c r="BF204" s="113" t="s">
        <v>273</v>
      </c>
      <c r="BG204" s="113" t="s">
        <v>273</v>
      </c>
      <c r="BH204" s="113" t="s">
        <v>273</v>
      </c>
      <c r="BI204" s="113" t="s">
        <v>273</v>
      </c>
      <c r="BJ204" s="113" t="s">
        <v>273</v>
      </c>
      <c r="BK204" s="113" t="s">
        <v>273</v>
      </c>
      <c r="BL204" s="113" t="s">
        <v>273</v>
      </c>
      <c r="BM204" s="113" t="s">
        <v>273</v>
      </c>
      <c r="BN204" s="113" t="s">
        <v>273</v>
      </c>
      <c r="BO204" s="113" t="s">
        <v>273</v>
      </c>
      <c r="BP204" s="113" t="s">
        <v>273</v>
      </c>
      <c r="BQ204" s="113" t="s">
        <v>273</v>
      </c>
      <c r="BR204" s="113" t="s">
        <v>273</v>
      </c>
      <c r="BS204" s="113" t="s">
        <v>273</v>
      </c>
      <c r="BT204" s="113" t="s">
        <v>273</v>
      </c>
      <c r="BU204" s="113" t="s">
        <v>273</v>
      </c>
      <c r="BV204" s="113" t="s">
        <v>273</v>
      </c>
      <c r="BW204" s="113" t="s">
        <v>273</v>
      </c>
      <c r="BX204" s="113" t="s">
        <v>273</v>
      </c>
      <c r="BY204" s="113" t="s">
        <v>273</v>
      </c>
      <c r="BZ204" s="113" t="s">
        <v>273</v>
      </c>
      <c r="CA204" s="113" t="s">
        <v>273</v>
      </c>
      <c r="CB204" s="113" t="s">
        <v>273</v>
      </c>
      <c r="CC204" s="113" t="s">
        <v>273</v>
      </c>
      <c r="CD204" s="113" t="s">
        <v>273</v>
      </c>
      <c r="CE204" s="113" t="s">
        <v>273</v>
      </c>
      <c r="CF204" s="113" t="s">
        <v>273</v>
      </c>
      <c r="CG204" s="113" t="s">
        <v>273</v>
      </c>
      <c r="CH204" s="113" t="s">
        <v>273</v>
      </c>
      <c r="CI204" s="113" t="s">
        <v>273</v>
      </c>
      <c r="CJ204" s="113" t="s">
        <v>273</v>
      </c>
      <c r="CK204" s="113" t="s">
        <v>273</v>
      </c>
      <c r="CL204" s="113" t="s">
        <v>273</v>
      </c>
      <c r="CM204" s="113" t="s">
        <v>273</v>
      </c>
      <c r="CN204" s="113" t="s">
        <v>273</v>
      </c>
      <c r="CO204" s="113" t="s">
        <v>273</v>
      </c>
      <c r="CP204" s="113" t="s">
        <v>273</v>
      </c>
      <c r="CQ204" s="113" t="s">
        <v>273</v>
      </c>
      <c r="CR204" s="113" t="s">
        <v>273</v>
      </c>
      <c r="CS204" s="113" t="s">
        <v>273</v>
      </c>
      <c r="CT204" s="113" t="s">
        <v>273</v>
      </c>
      <c r="CU204" s="113" t="s">
        <v>273</v>
      </c>
      <c r="CV204" s="113" t="s">
        <v>273</v>
      </c>
      <c r="CW204" s="113" t="s">
        <v>273</v>
      </c>
      <c r="CX204" s="113" t="s">
        <v>273</v>
      </c>
      <c r="CY204" s="113" t="s">
        <v>273</v>
      </c>
      <c r="CZ204" s="113" t="s">
        <v>273</v>
      </c>
      <c r="DA204" s="113" t="s">
        <v>273</v>
      </c>
      <c r="DB204" s="113" t="s">
        <v>273</v>
      </c>
      <c r="DC204" s="113" t="s">
        <v>273</v>
      </c>
      <c r="DD204" s="113" t="s">
        <v>273</v>
      </c>
      <c r="DE204" s="113" t="s">
        <v>273</v>
      </c>
      <c r="DF204" s="113" t="s">
        <v>273</v>
      </c>
      <c r="DG204" s="113" t="s">
        <v>273</v>
      </c>
      <c r="DH204" s="113" t="s">
        <v>273</v>
      </c>
      <c r="DI204" s="113" t="s">
        <v>273</v>
      </c>
      <c r="DJ204" s="113" t="s">
        <v>273</v>
      </c>
      <c r="DK204" s="113" t="s">
        <v>273</v>
      </c>
      <c r="DL204" s="113" t="s">
        <v>273</v>
      </c>
      <c r="DM204" s="113" t="s">
        <v>273</v>
      </c>
      <c r="DN204" s="113" t="s">
        <v>273</v>
      </c>
      <c r="DO204" s="113" t="s">
        <v>273</v>
      </c>
      <c r="DP204" s="113" t="s">
        <v>273</v>
      </c>
      <c r="DQ204" s="113" t="s">
        <v>273</v>
      </c>
      <c r="DR204" s="113" t="s">
        <v>273</v>
      </c>
      <c r="DS204" s="113" t="s">
        <v>273</v>
      </c>
      <c r="DT204" s="113" t="s">
        <v>273</v>
      </c>
      <c r="DU204" s="113" t="s">
        <v>273</v>
      </c>
      <c r="DV204" s="113" t="s">
        <v>273</v>
      </c>
      <c r="DW204" s="113" t="s">
        <v>273</v>
      </c>
      <c r="DX204" s="113" t="s">
        <v>273</v>
      </c>
      <c r="DY204" s="113" t="s">
        <v>273</v>
      </c>
      <c r="DZ204" s="113">
        <v>1100</v>
      </c>
      <c r="EA204" s="113">
        <v>1600</v>
      </c>
      <c r="EB204" s="113">
        <v>1900</v>
      </c>
      <c r="EC204" s="113" t="s">
        <v>273</v>
      </c>
      <c r="ED204" s="113">
        <v>3400</v>
      </c>
      <c r="EE204" s="113">
        <v>4062</v>
      </c>
      <c r="EF204" s="113">
        <v>4507</v>
      </c>
      <c r="EG204" s="113" t="s">
        <v>273</v>
      </c>
      <c r="EH204" s="113">
        <v>4955</v>
      </c>
      <c r="EI204" s="113">
        <v>5554</v>
      </c>
      <c r="EJ204" s="113" t="s">
        <v>273</v>
      </c>
      <c r="EK204" s="113" t="s">
        <v>273</v>
      </c>
      <c r="EL204" s="113" t="s">
        <v>273</v>
      </c>
      <c r="EM204" s="113" t="s">
        <v>273</v>
      </c>
      <c r="EN204" s="113" t="s">
        <v>273</v>
      </c>
    </row>
    <row r="205" spans="1:144">
      <c r="A205" s="103"/>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c r="AC205" s="126"/>
      <c r="AD205" s="126"/>
      <c r="AE205" s="126"/>
      <c r="AG205" s="103" t="s">
        <v>2425</v>
      </c>
      <c r="AH205" s="113" t="s">
        <v>273</v>
      </c>
      <c r="AI205" s="113" t="s">
        <v>273</v>
      </c>
      <c r="AJ205" s="113" t="s">
        <v>273</v>
      </c>
      <c r="AK205" s="113" t="s">
        <v>273</v>
      </c>
      <c r="AL205" s="113" t="s">
        <v>273</v>
      </c>
      <c r="AM205" s="113" t="s">
        <v>273</v>
      </c>
      <c r="AN205" s="113" t="s">
        <v>273</v>
      </c>
      <c r="AO205" s="113" t="s">
        <v>273</v>
      </c>
      <c r="AP205" s="113" t="s">
        <v>273</v>
      </c>
      <c r="AQ205" s="113" t="s">
        <v>273</v>
      </c>
      <c r="AR205" s="113" t="s">
        <v>273</v>
      </c>
      <c r="AS205" s="113" t="s">
        <v>273</v>
      </c>
      <c r="AT205" s="113" t="s">
        <v>273</v>
      </c>
      <c r="AU205" s="113" t="s">
        <v>273</v>
      </c>
      <c r="AV205" s="113" t="s">
        <v>273</v>
      </c>
      <c r="AW205" s="113" t="s">
        <v>273</v>
      </c>
      <c r="AX205" s="113" t="s">
        <v>273</v>
      </c>
      <c r="AY205" s="113" t="s">
        <v>273</v>
      </c>
      <c r="AZ205" s="113" t="s">
        <v>273</v>
      </c>
      <c r="BA205" s="113" t="s">
        <v>273</v>
      </c>
      <c r="BB205" s="113" t="s">
        <v>273</v>
      </c>
      <c r="BC205" s="113" t="s">
        <v>273</v>
      </c>
      <c r="BD205" s="113" t="s">
        <v>273</v>
      </c>
      <c r="BE205" s="113" t="s">
        <v>273</v>
      </c>
      <c r="BF205" s="113" t="s">
        <v>273</v>
      </c>
      <c r="BG205" s="113" t="s">
        <v>273</v>
      </c>
      <c r="BH205" s="113" t="s">
        <v>273</v>
      </c>
      <c r="BI205" s="113" t="s">
        <v>273</v>
      </c>
      <c r="BJ205" s="113" t="s">
        <v>273</v>
      </c>
      <c r="BK205" s="113" t="s">
        <v>273</v>
      </c>
      <c r="BL205" s="113" t="s">
        <v>273</v>
      </c>
      <c r="BM205" s="113" t="s">
        <v>273</v>
      </c>
      <c r="BN205" s="113" t="s">
        <v>273</v>
      </c>
      <c r="BO205" s="113" t="s">
        <v>273</v>
      </c>
      <c r="BP205" s="113" t="s">
        <v>273</v>
      </c>
      <c r="BQ205" s="113" t="s">
        <v>273</v>
      </c>
      <c r="BR205" s="113" t="s">
        <v>273</v>
      </c>
      <c r="BS205" s="113" t="s">
        <v>273</v>
      </c>
      <c r="BT205" s="113" t="s">
        <v>273</v>
      </c>
      <c r="BU205" s="113" t="s">
        <v>273</v>
      </c>
      <c r="BV205" s="113" t="s">
        <v>273</v>
      </c>
      <c r="BW205" s="113" t="s">
        <v>273</v>
      </c>
      <c r="BX205" s="113" t="s">
        <v>273</v>
      </c>
      <c r="BY205" s="113" t="s">
        <v>273</v>
      </c>
      <c r="BZ205" s="113" t="s">
        <v>273</v>
      </c>
      <c r="CA205" s="113" t="s">
        <v>273</v>
      </c>
      <c r="CB205" s="113" t="s">
        <v>273</v>
      </c>
      <c r="CC205" s="113" t="s">
        <v>273</v>
      </c>
      <c r="CD205" s="113" t="s">
        <v>273</v>
      </c>
      <c r="CE205" s="113" t="s">
        <v>273</v>
      </c>
      <c r="CF205" s="113" t="s">
        <v>273</v>
      </c>
      <c r="CG205" s="113" t="s">
        <v>273</v>
      </c>
      <c r="CH205" s="113" t="s">
        <v>273</v>
      </c>
      <c r="CI205" s="113" t="s">
        <v>273</v>
      </c>
      <c r="CJ205" s="113" t="s">
        <v>273</v>
      </c>
      <c r="CK205" s="113" t="s">
        <v>273</v>
      </c>
      <c r="CL205" s="113" t="s">
        <v>273</v>
      </c>
      <c r="CM205" s="113" t="s">
        <v>273</v>
      </c>
      <c r="CN205" s="113" t="s">
        <v>273</v>
      </c>
      <c r="CO205" s="113" t="s">
        <v>273</v>
      </c>
      <c r="CP205" s="113" t="s">
        <v>273</v>
      </c>
      <c r="CQ205" s="113" t="s">
        <v>273</v>
      </c>
      <c r="CR205" s="113" t="s">
        <v>273</v>
      </c>
      <c r="CS205" s="113" t="s">
        <v>273</v>
      </c>
      <c r="CT205" s="113" t="s">
        <v>273</v>
      </c>
      <c r="CU205" s="113" t="s">
        <v>273</v>
      </c>
      <c r="CV205" s="113" t="s">
        <v>273</v>
      </c>
      <c r="CW205" s="113" t="s">
        <v>273</v>
      </c>
      <c r="CX205" s="113" t="s">
        <v>273</v>
      </c>
      <c r="CY205" s="113" t="s">
        <v>273</v>
      </c>
      <c r="CZ205" s="113" t="s">
        <v>273</v>
      </c>
      <c r="DA205" s="113" t="s">
        <v>273</v>
      </c>
      <c r="DB205" s="113" t="s">
        <v>273</v>
      </c>
      <c r="DC205" s="113" t="s">
        <v>273</v>
      </c>
      <c r="DD205" s="113" t="s">
        <v>273</v>
      </c>
      <c r="DE205" s="113" t="s">
        <v>273</v>
      </c>
      <c r="DF205" s="113" t="s">
        <v>273</v>
      </c>
      <c r="DG205" s="113" t="s">
        <v>273</v>
      </c>
      <c r="DH205" s="113" t="s">
        <v>273</v>
      </c>
      <c r="DI205" s="113" t="s">
        <v>273</v>
      </c>
      <c r="DJ205" s="113" t="s">
        <v>273</v>
      </c>
      <c r="DK205" s="113" t="s">
        <v>273</v>
      </c>
      <c r="DL205" s="113" t="s">
        <v>273</v>
      </c>
      <c r="DM205" s="113" t="s">
        <v>273</v>
      </c>
      <c r="DN205" s="113" t="s">
        <v>273</v>
      </c>
      <c r="DO205" s="113" t="s">
        <v>273</v>
      </c>
      <c r="DP205" s="113" t="s">
        <v>273</v>
      </c>
      <c r="DQ205" s="113" t="s">
        <v>273</v>
      </c>
      <c r="DR205" s="113" t="s">
        <v>273</v>
      </c>
      <c r="DS205" s="113" t="s">
        <v>273</v>
      </c>
      <c r="DT205" s="113" t="s">
        <v>273</v>
      </c>
      <c r="DU205" s="113" t="s">
        <v>273</v>
      </c>
      <c r="DV205" s="113" t="s">
        <v>273</v>
      </c>
      <c r="DW205" s="113" t="s">
        <v>273</v>
      </c>
      <c r="DX205" s="113" t="s">
        <v>273</v>
      </c>
      <c r="DY205" s="113" t="s">
        <v>273</v>
      </c>
      <c r="DZ205" s="113">
        <v>-72</v>
      </c>
      <c r="EA205" s="113">
        <v>-95</v>
      </c>
      <c r="EB205" s="113">
        <v>-124</v>
      </c>
      <c r="EC205" s="113" t="s">
        <v>273</v>
      </c>
      <c r="ED205" s="113">
        <v>-209</v>
      </c>
      <c r="EE205" s="113">
        <v>-266</v>
      </c>
      <c r="EF205" s="113">
        <v>-336</v>
      </c>
      <c r="EG205" s="113" t="s">
        <v>273</v>
      </c>
      <c r="EH205" s="113">
        <v>-481</v>
      </c>
      <c r="EI205" s="113">
        <v>-566</v>
      </c>
      <c r="EJ205" s="113" t="s">
        <v>273</v>
      </c>
      <c r="EK205" s="113" t="s">
        <v>273</v>
      </c>
      <c r="EL205" s="113" t="s">
        <v>273</v>
      </c>
      <c r="EM205" s="113" t="s">
        <v>273</v>
      </c>
      <c r="EN205" s="113" t="s">
        <v>273</v>
      </c>
    </row>
    <row r="206" spans="1:144">
      <c r="A206" s="103" t="s">
        <v>2426</v>
      </c>
      <c r="B206" s="113" t="s">
        <v>273</v>
      </c>
      <c r="C206" s="113">
        <v>57</v>
      </c>
      <c r="D206" s="113">
        <v>76</v>
      </c>
      <c r="E206" s="113">
        <v>92</v>
      </c>
      <c r="F206" s="113" t="s">
        <v>273</v>
      </c>
      <c r="G206" s="113" t="s">
        <v>273</v>
      </c>
      <c r="H206" s="113" t="s">
        <v>273</v>
      </c>
      <c r="I206" s="113" t="s">
        <v>273</v>
      </c>
      <c r="J206" s="113" t="s">
        <v>273</v>
      </c>
      <c r="K206" s="113" t="s">
        <v>273</v>
      </c>
      <c r="L206" s="113">
        <v>174</v>
      </c>
      <c r="M206" s="113" t="s">
        <v>273</v>
      </c>
      <c r="N206" s="113">
        <v>242</v>
      </c>
      <c r="O206" s="113">
        <v>166</v>
      </c>
      <c r="P206" s="113">
        <v>171</v>
      </c>
      <c r="Q206" s="113">
        <v>142</v>
      </c>
      <c r="R206" s="113">
        <v>117</v>
      </c>
      <c r="S206" s="113">
        <v>153</v>
      </c>
      <c r="T206" s="113">
        <v>451</v>
      </c>
      <c r="U206" s="113">
        <v>375</v>
      </c>
      <c r="V206" s="113">
        <v>333</v>
      </c>
      <c r="W206" s="113">
        <v>389</v>
      </c>
      <c r="X206" s="113">
        <v>336</v>
      </c>
      <c r="Y206" s="113">
        <v>301</v>
      </c>
      <c r="Z206" s="113">
        <v>335</v>
      </c>
      <c r="AA206" s="113">
        <v>426</v>
      </c>
      <c r="AB206" s="113">
        <v>345</v>
      </c>
      <c r="AC206" s="113">
        <v>377</v>
      </c>
      <c r="AD206" s="113">
        <v>411</v>
      </c>
      <c r="AE206" s="113">
        <v>446</v>
      </c>
      <c r="AG206" s="103" t="s">
        <v>2426</v>
      </c>
      <c r="AH206" s="113" t="s">
        <v>273</v>
      </c>
      <c r="AI206" s="113" t="s">
        <v>273</v>
      </c>
      <c r="AJ206" s="113" t="s">
        <v>273</v>
      </c>
      <c r="AK206" s="113">
        <v>76</v>
      </c>
      <c r="AL206" s="113" t="s">
        <v>273</v>
      </c>
      <c r="AM206" s="113" t="s">
        <v>273</v>
      </c>
      <c r="AN206" s="113" t="s">
        <v>273</v>
      </c>
      <c r="AO206" s="113">
        <v>92</v>
      </c>
      <c r="AP206" s="113" t="s">
        <v>273</v>
      </c>
      <c r="AQ206" s="113">
        <v>115</v>
      </c>
      <c r="AR206" s="113">
        <v>131</v>
      </c>
      <c r="AS206" s="113" t="s">
        <v>273</v>
      </c>
      <c r="AT206" s="113">
        <v>156</v>
      </c>
      <c r="AU206" s="113" t="s">
        <v>273</v>
      </c>
      <c r="AV206" s="113" t="s">
        <v>273</v>
      </c>
      <c r="AW206" s="113" t="s">
        <v>273</v>
      </c>
      <c r="AX206" s="113" t="s">
        <v>273</v>
      </c>
      <c r="AY206" s="113" t="s">
        <v>273</v>
      </c>
      <c r="AZ206" s="113" t="s">
        <v>273</v>
      </c>
      <c r="BA206" s="113" t="s">
        <v>273</v>
      </c>
      <c r="BB206" s="113" t="s">
        <v>273</v>
      </c>
      <c r="BC206" s="113" t="s">
        <v>273</v>
      </c>
      <c r="BD206" s="113" t="s">
        <v>273</v>
      </c>
      <c r="BE206" s="113" t="s">
        <v>273</v>
      </c>
      <c r="BF206" s="113" t="s">
        <v>273</v>
      </c>
      <c r="BG206" s="113" t="s">
        <v>273</v>
      </c>
      <c r="BH206" s="113" t="s">
        <v>273</v>
      </c>
      <c r="BI206" s="113" t="s">
        <v>273</v>
      </c>
      <c r="BJ206" s="113" t="s">
        <v>273</v>
      </c>
      <c r="BK206" s="113" t="s">
        <v>273</v>
      </c>
      <c r="BL206" s="113" t="s">
        <v>273</v>
      </c>
      <c r="BM206" s="113" t="s">
        <v>273</v>
      </c>
      <c r="BN206" s="113" t="s">
        <v>273</v>
      </c>
      <c r="BO206" s="113" t="s">
        <v>273</v>
      </c>
      <c r="BP206" s="113" t="s">
        <v>273</v>
      </c>
      <c r="BQ206" s="113">
        <v>174</v>
      </c>
      <c r="BR206" s="113" t="s">
        <v>273</v>
      </c>
      <c r="BS206" s="113">
        <v>204</v>
      </c>
      <c r="BT206" s="113">
        <v>216</v>
      </c>
      <c r="BU206" s="113" t="s">
        <v>273</v>
      </c>
      <c r="BV206" s="113">
        <v>218</v>
      </c>
      <c r="BW206" s="113">
        <v>254</v>
      </c>
      <c r="BX206" s="113">
        <v>206</v>
      </c>
      <c r="BY206" s="113">
        <v>242</v>
      </c>
      <c r="BZ206" s="113">
        <v>193</v>
      </c>
      <c r="CA206" s="113">
        <v>187</v>
      </c>
      <c r="CB206" s="113">
        <v>157</v>
      </c>
      <c r="CC206" s="113">
        <v>166</v>
      </c>
      <c r="CD206" s="113">
        <v>176</v>
      </c>
      <c r="CE206" s="113">
        <v>211</v>
      </c>
      <c r="CF206" s="113">
        <v>177</v>
      </c>
      <c r="CG206" s="113">
        <v>171</v>
      </c>
      <c r="CH206" s="113">
        <v>151</v>
      </c>
      <c r="CI206" s="113">
        <v>208</v>
      </c>
      <c r="CJ206" s="113">
        <v>172</v>
      </c>
      <c r="CK206" s="113">
        <v>142</v>
      </c>
      <c r="CL206" s="113">
        <v>143</v>
      </c>
      <c r="CM206" s="113">
        <v>136</v>
      </c>
      <c r="CN206" s="113">
        <v>141</v>
      </c>
      <c r="CO206" s="113">
        <v>117</v>
      </c>
      <c r="CP206" s="113">
        <v>133</v>
      </c>
      <c r="CQ206" s="113">
        <v>149</v>
      </c>
      <c r="CR206" s="113">
        <v>147</v>
      </c>
      <c r="CS206" s="113">
        <v>153</v>
      </c>
      <c r="CT206" s="113">
        <v>168</v>
      </c>
      <c r="CU206" s="113">
        <v>254</v>
      </c>
      <c r="CV206" s="113">
        <v>242</v>
      </c>
      <c r="CW206" s="113">
        <v>451</v>
      </c>
      <c r="CX206" s="113">
        <v>436</v>
      </c>
      <c r="CY206" s="113">
        <v>506</v>
      </c>
      <c r="CZ206" s="113">
        <v>381</v>
      </c>
      <c r="DA206" s="113">
        <v>375</v>
      </c>
      <c r="DB206" s="113">
        <v>312</v>
      </c>
      <c r="DC206" s="113">
        <v>317</v>
      </c>
      <c r="DD206" s="113">
        <v>304</v>
      </c>
      <c r="DE206" s="113">
        <v>333</v>
      </c>
      <c r="DF206" s="113">
        <v>297</v>
      </c>
      <c r="DG206" s="113">
        <v>321</v>
      </c>
      <c r="DH206" s="113">
        <v>322</v>
      </c>
      <c r="DI206" s="113">
        <v>389</v>
      </c>
      <c r="DJ206" s="113">
        <v>265</v>
      </c>
      <c r="DK206" s="113">
        <v>292</v>
      </c>
      <c r="DL206" s="113">
        <v>267</v>
      </c>
      <c r="DM206" s="113">
        <v>336</v>
      </c>
      <c r="DN206" s="113">
        <v>294</v>
      </c>
      <c r="DO206" s="113">
        <v>316</v>
      </c>
      <c r="DP206" s="113">
        <v>255</v>
      </c>
      <c r="DQ206" s="113">
        <v>301</v>
      </c>
      <c r="DR206" s="113">
        <v>269</v>
      </c>
      <c r="DS206" s="113">
        <v>288</v>
      </c>
      <c r="DT206" s="113">
        <v>268</v>
      </c>
      <c r="DU206" s="113">
        <v>335</v>
      </c>
      <c r="DV206" s="113">
        <v>250</v>
      </c>
      <c r="DW206" s="113">
        <v>384</v>
      </c>
      <c r="DX206" s="113">
        <v>361</v>
      </c>
      <c r="DY206" s="113">
        <v>426</v>
      </c>
      <c r="DZ206" s="113">
        <v>284</v>
      </c>
      <c r="EA206" s="113">
        <v>340</v>
      </c>
      <c r="EB206" s="113">
        <v>302</v>
      </c>
      <c r="EC206" s="113">
        <v>345</v>
      </c>
      <c r="ED206" s="113">
        <v>285</v>
      </c>
      <c r="EE206" s="113">
        <v>337</v>
      </c>
      <c r="EF206" s="113">
        <v>311</v>
      </c>
      <c r="EG206" s="113">
        <v>377</v>
      </c>
      <c r="EH206" s="113">
        <v>319</v>
      </c>
      <c r="EI206" s="113">
        <v>354</v>
      </c>
      <c r="EJ206" s="113">
        <v>336</v>
      </c>
      <c r="EK206" s="113">
        <v>411</v>
      </c>
      <c r="EL206" s="113">
        <v>303</v>
      </c>
      <c r="EM206" s="113">
        <v>384</v>
      </c>
      <c r="EN206" s="113">
        <v>446</v>
      </c>
    </row>
    <row r="207" spans="1:144">
      <c r="A207" s="103" t="s">
        <v>2223</v>
      </c>
      <c r="B207" s="122">
        <v>34243</v>
      </c>
      <c r="C207" s="122">
        <v>34604</v>
      </c>
      <c r="D207" s="122">
        <v>34967</v>
      </c>
      <c r="E207" s="122">
        <v>35335</v>
      </c>
      <c r="F207" s="122">
        <v>35702</v>
      </c>
      <c r="G207" s="122">
        <v>36063</v>
      </c>
      <c r="H207" s="122">
        <v>36431</v>
      </c>
      <c r="I207" s="122">
        <v>36797</v>
      </c>
      <c r="J207" s="122">
        <v>37152</v>
      </c>
      <c r="K207" s="122">
        <v>37505</v>
      </c>
      <c r="L207" s="122">
        <v>37869</v>
      </c>
      <c r="M207" s="122">
        <v>38231</v>
      </c>
      <c r="N207" s="122">
        <v>38590</v>
      </c>
      <c r="O207" s="122">
        <v>38954</v>
      </c>
      <c r="P207" s="122">
        <v>39297</v>
      </c>
      <c r="Q207" s="122">
        <v>39660</v>
      </c>
      <c r="R207" s="122">
        <v>40024</v>
      </c>
      <c r="S207" s="122">
        <v>40389</v>
      </c>
      <c r="T207" s="122">
        <v>40752</v>
      </c>
      <c r="U207" s="122">
        <v>41116</v>
      </c>
      <c r="V207" s="122">
        <v>41485</v>
      </c>
      <c r="W207" s="122">
        <v>41851</v>
      </c>
      <c r="X207" s="122">
        <v>42216</v>
      </c>
      <c r="Y207" s="122">
        <v>42579</v>
      </c>
      <c r="Z207" s="122">
        <v>42949</v>
      </c>
      <c r="AA207" s="122">
        <v>43315</v>
      </c>
      <c r="AB207" s="122">
        <v>43678</v>
      </c>
      <c r="AC207" s="122">
        <v>43678</v>
      </c>
      <c r="AD207" s="122">
        <v>43678</v>
      </c>
      <c r="AE207" s="122">
        <v>43950</v>
      </c>
      <c r="AG207" s="103" t="s">
        <v>2223</v>
      </c>
      <c r="AH207" s="119" t="s">
        <v>273</v>
      </c>
      <c r="AI207" s="119" t="s">
        <v>273</v>
      </c>
      <c r="AJ207" s="119" t="s">
        <v>273</v>
      </c>
      <c r="AK207" s="122">
        <v>34604</v>
      </c>
      <c r="AL207" s="119" t="s">
        <v>273</v>
      </c>
      <c r="AM207" s="122">
        <v>34744</v>
      </c>
      <c r="AN207" s="122">
        <v>34831</v>
      </c>
      <c r="AO207" s="122">
        <v>34967</v>
      </c>
      <c r="AP207" s="122">
        <v>35017</v>
      </c>
      <c r="AQ207" s="122">
        <v>35108</v>
      </c>
      <c r="AR207" s="122">
        <v>35200</v>
      </c>
      <c r="AS207" s="122">
        <v>35335</v>
      </c>
      <c r="AT207" s="122">
        <v>35383</v>
      </c>
      <c r="AU207" s="122">
        <v>35475</v>
      </c>
      <c r="AV207" s="122">
        <v>35565</v>
      </c>
      <c r="AW207" s="122">
        <v>35702</v>
      </c>
      <c r="AX207" s="122">
        <v>35732</v>
      </c>
      <c r="AY207" s="122">
        <v>35949</v>
      </c>
      <c r="AZ207" s="122">
        <v>35930</v>
      </c>
      <c r="BA207" s="122">
        <v>36063</v>
      </c>
      <c r="BB207" s="122">
        <v>36111</v>
      </c>
      <c r="BC207" s="122">
        <v>36203</v>
      </c>
      <c r="BD207" s="122">
        <v>36294</v>
      </c>
      <c r="BE207" s="122">
        <v>36431</v>
      </c>
      <c r="BF207" s="122">
        <v>36469</v>
      </c>
      <c r="BG207" s="122">
        <v>36567</v>
      </c>
      <c r="BH207" s="122">
        <v>36658</v>
      </c>
      <c r="BI207" s="122">
        <v>36797</v>
      </c>
      <c r="BJ207" s="122">
        <v>36844</v>
      </c>
      <c r="BK207" s="122">
        <v>36936</v>
      </c>
      <c r="BL207" s="122">
        <v>37026</v>
      </c>
      <c r="BM207" s="122">
        <v>37152</v>
      </c>
      <c r="BN207" s="122">
        <v>37340</v>
      </c>
      <c r="BO207" s="122">
        <v>37340</v>
      </c>
      <c r="BP207" s="122">
        <v>37376</v>
      </c>
      <c r="BQ207" s="122">
        <v>37505</v>
      </c>
      <c r="BR207" s="122">
        <v>37574</v>
      </c>
      <c r="BS207" s="122">
        <v>37652</v>
      </c>
      <c r="BT207" s="122">
        <v>37753</v>
      </c>
      <c r="BU207" s="122">
        <v>37869</v>
      </c>
      <c r="BV207" s="122">
        <v>37938</v>
      </c>
      <c r="BW207" s="122">
        <v>38023</v>
      </c>
      <c r="BX207" s="122">
        <v>38110</v>
      </c>
      <c r="BY207" s="122">
        <v>38231</v>
      </c>
      <c r="BZ207" s="122">
        <v>38300</v>
      </c>
      <c r="CA207" s="122">
        <v>38379</v>
      </c>
      <c r="CB207" s="122">
        <v>38470</v>
      </c>
      <c r="CC207" s="122">
        <v>38590</v>
      </c>
      <c r="CD207" s="122">
        <v>38652</v>
      </c>
      <c r="CE207" s="122">
        <v>38743</v>
      </c>
      <c r="CF207" s="122">
        <v>38834</v>
      </c>
      <c r="CG207" s="122">
        <v>38954</v>
      </c>
      <c r="CH207" s="122">
        <v>39016</v>
      </c>
      <c r="CI207" s="122">
        <v>39107</v>
      </c>
      <c r="CJ207" s="122">
        <v>39198</v>
      </c>
      <c r="CK207" s="122">
        <v>39297</v>
      </c>
      <c r="CL207" s="122">
        <v>39380</v>
      </c>
      <c r="CM207" s="122">
        <v>39471</v>
      </c>
      <c r="CN207" s="122">
        <v>39562</v>
      </c>
      <c r="CO207" s="122">
        <v>39660</v>
      </c>
      <c r="CP207" s="122">
        <v>39744</v>
      </c>
      <c r="CQ207" s="122">
        <v>39835</v>
      </c>
      <c r="CR207" s="122">
        <v>39926</v>
      </c>
      <c r="CS207" s="122">
        <v>40024</v>
      </c>
      <c r="CT207" s="122">
        <v>40109</v>
      </c>
      <c r="CU207" s="122">
        <v>40206</v>
      </c>
      <c r="CV207" s="122">
        <v>40290</v>
      </c>
      <c r="CW207" s="122">
        <v>40389</v>
      </c>
      <c r="CX207" s="122">
        <v>40479</v>
      </c>
      <c r="CY207" s="122">
        <v>40570</v>
      </c>
      <c r="CZ207" s="122">
        <v>40661</v>
      </c>
      <c r="DA207" s="122">
        <v>40752</v>
      </c>
      <c r="DB207" s="122">
        <v>40836</v>
      </c>
      <c r="DC207" s="122">
        <v>40927</v>
      </c>
      <c r="DD207" s="122">
        <v>41089</v>
      </c>
      <c r="DE207" s="122">
        <v>41116</v>
      </c>
      <c r="DF207" s="122">
        <v>41200</v>
      </c>
      <c r="DG207" s="122">
        <v>41298</v>
      </c>
      <c r="DH207" s="122">
        <v>41382</v>
      </c>
      <c r="DI207" s="122">
        <v>41485</v>
      </c>
      <c r="DJ207" s="122">
        <v>41571</v>
      </c>
      <c r="DK207" s="122">
        <v>41662</v>
      </c>
      <c r="DL207" s="122">
        <v>41753</v>
      </c>
      <c r="DM207" s="122">
        <v>41851</v>
      </c>
      <c r="DN207" s="122">
        <v>41935</v>
      </c>
      <c r="DO207" s="122">
        <v>42030</v>
      </c>
      <c r="DP207" s="122">
        <v>42117</v>
      </c>
      <c r="DQ207" s="122">
        <v>42216</v>
      </c>
      <c r="DR207" s="122">
        <v>42299</v>
      </c>
      <c r="DS207" s="122">
        <v>42397</v>
      </c>
      <c r="DT207" s="122">
        <v>42481</v>
      </c>
      <c r="DU207" s="122">
        <v>42579</v>
      </c>
      <c r="DV207" s="122">
        <v>42663</v>
      </c>
      <c r="DW207" s="122">
        <v>42761</v>
      </c>
      <c r="DX207" s="122">
        <v>42852</v>
      </c>
      <c r="DY207" s="122">
        <v>42949</v>
      </c>
      <c r="DZ207" s="122">
        <v>43034</v>
      </c>
      <c r="EA207" s="122">
        <v>43131</v>
      </c>
      <c r="EB207" s="122">
        <v>43216</v>
      </c>
      <c r="EC207" s="122">
        <v>43315</v>
      </c>
      <c r="ED207" s="122">
        <v>43397</v>
      </c>
      <c r="EE207" s="122">
        <v>43495</v>
      </c>
      <c r="EF207" s="122">
        <v>43579</v>
      </c>
      <c r="EG207" s="122">
        <v>43678</v>
      </c>
      <c r="EH207" s="122">
        <v>43761</v>
      </c>
      <c r="EI207" s="122">
        <v>43859</v>
      </c>
      <c r="EJ207" s="122">
        <v>43950</v>
      </c>
      <c r="EK207" s="122">
        <v>43678</v>
      </c>
      <c r="EL207" s="122">
        <v>43761</v>
      </c>
      <c r="EM207" s="122">
        <v>43859</v>
      </c>
      <c r="EN207" s="122">
        <v>43950</v>
      </c>
    </row>
    <row r="208" spans="1:144">
      <c r="A208" s="103" t="s">
        <v>2224</v>
      </c>
      <c r="B208" s="119" t="s">
        <v>2226</v>
      </c>
      <c r="C208" s="119" t="s">
        <v>2225</v>
      </c>
      <c r="D208" s="119" t="s">
        <v>2226</v>
      </c>
      <c r="E208" s="119" t="s">
        <v>2226</v>
      </c>
      <c r="F208" s="119" t="s">
        <v>2226</v>
      </c>
      <c r="G208" s="119" t="s">
        <v>2226</v>
      </c>
      <c r="H208" s="119" t="s">
        <v>2226</v>
      </c>
      <c r="I208" s="119" t="s">
        <v>2225</v>
      </c>
      <c r="J208" s="119" t="s">
        <v>2225</v>
      </c>
      <c r="K208" s="119" t="s">
        <v>2226</v>
      </c>
      <c r="L208" s="119" t="s">
        <v>2225</v>
      </c>
      <c r="M208" s="119" t="s">
        <v>2226</v>
      </c>
      <c r="N208" s="119" t="s">
        <v>2225</v>
      </c>
      <c r="O208" s="119" t="s">
        <v>2225</v>
      </c>
      <c r="P208" s="119" t="s">
        <v>2226</v>
      </c>
      <c r="Q208" s="119" t="s">
        <v>2226</v>
      </c>
      <c r="R208" s="119" t="s">
        <v>2226</v>
      </c>
      <c r="S208" s="119" t="s">
        <v>2226</v>
      </c>
      <c r="T208" s="119" t="s">
        <v>2226</v>
      </c>
      <c r="U208" s="119" t="s">
        <v>2226</v>
      </c>
      <c r="V208" s="119" t="s">
        <v>2226</v>
      </c>
      <c r="W208" s="119" t="s">
        <v>2226</v>
      </c>
      <c r="X208" s="119" t="s">
        <v>2226</v>
      </c>
      <c r="Y208" s="119" t="s">
        <v>2226</v>
      </c>
      <c r="Z208" s="119" t="s">
        <v>2225</v>
      </c>
      <c r="AA208" s="119" t="s">
        <v>2225</v>
      </c>
      <c r="AB208" s="119" t="s">
        <v>2225</v>
      </c>
      <c r="AC208" s="119" t="s">
        <v>2226</v>
      </c>
      <c r="AD208" s="119" t="s">
        <v>2228</v>
      </c>
      <c r="AE208" s="119" t="s">
        <v>2228</v>
      </c>
      <c r="AG208" s="103" t="s">
        <v>2224</v>
      </c>
      <c r="AH208" s="119" t="s">
        <v>2427</v>
      </c>
      <c r="AI208" s="119" t="s">
        <v>2427</v>
      </c>
      <c r="AJ208" s="119" t="s">
        <v>2427</v>
      </c>
      <c r="AK208" s="119" t="s">
        <v>2228</v>
      </c>
      <c r="AL208" s="119" t="s">
        <v>2427</v>
      </c>
      <c r="AM208" s="119" t="s">
        <v>2226</v>
      </c>
      <c r="AN208" s="119" t="s">
        <v>2226</v>
      </c>
      <c r="AO208" s="119" t="s">
        <v>2226</v>
      </c>
      <c r="AP208" s="119" t="s">
        <v>2226</v>
      </c>
      <c r="AQ208" s="119" t="s">
        <v>2226</v>
      </c>
      <c r="AR208" s="119" t="s">
        <v>2226</v>
      </c>
      <c r="AS208" s="119" t="s">
        <v>2226</v>
      </c>
      <c r="AT208" s="119" t="s">
        <v>2226</v>
      </c>
      <c r="AU208" s="119" t="s">
        <v>2226</v>
      </c>
      <c r="AV208" s="119" t="s">
        <v>2226</v>
      </c>
      <c r="AW208" s="119" t="s">
        <v>2226</v>
      </c>
      <c r="AX208" s="119" t="s">
        <v>2226</v>
      </c>
      <c r="AY208" s="119" t="s">
        <v>2229</v>
      </c>
      <c r="AZ208" s="119" t="s">
        <v>2226</v>
      </c>
      <c r="BA208" s="119" t="s">
        <v>2226</v>
      </c>
      <c r="BB208" s="119" t="s">
        <v>2226</v>
      </c>
      <c r="BC208" s="119" t="s">
        <v>2226</v>
      </c>
      <c r="BD208" s="119" t="s">
        <v>2226</v>
      </c>
      <c r="BE208" s="119" t="s">
        <v>2225</v>
      </c>
      <c r="BF208" s="119" t="s">
        <v>2226</v>
      </c>
      <c r="BG208" s="119" t="s">
        <v>2226</v>
      </c>
      <c r="BH208" s="119" t="s">
        <v>2226</v>
      </c>
      <c r="BI208" s="119" t="s">
        <v>2225</v>
      </c>
      <c r="BJ208" s="119" t="s">
        <v>2226</v>
      </c>
      <c r="BK208" s="119" t="s">
        <v>2226</v>
      </c>
      <c r="BL208" s="119" t="s">
        <v>2226</v>
      </c>
      <c r="BM208" s="119" t="s">
        <v>2226</v>
      </c>
      <c r="BN208" s="119" t="s">
        <v>2229</v>
      </c>
      <c r="BO208" s="119" t="s">
        <v>2229</v>
      </c>
      <c r="BP208" s="119" t="s">
        <v>2226</v>
      </c>
      <c r="BQ208" s="119" t="s">
        <v>2225</v>
      </c>
      <c r="BR208" s="119" t="s">
        <v>2226</v>
      </c>
      <c r="BS208" s="119" t="s">
        <v>2226</v>
      </c>
      <c r="BT208" s="119" t="s">
        <v>2226</v>
      </c>
      <c r="BU208" s="119" t="s">
        <v>2226</v>
      </c>
      <c r="BV208" s="119" t="s">
        <v>2226</v>
      </c>
      <c r="BW208" s="119" t="s">
        <v>2226</v>
      </c>
      <c r="BX208" s="119" t="s">
        <v>2226</v>
      </c>
      <c r="BY208" s="119" t="s">
        <v>2225</v>
      </c>
      <c r="BZ208" s="119" t="s">
        <v>2226</v>
      </c>
      <c r="CA208" s="119" t="s">
        <v>2226</v>
      </c>
      <c r="CB208" s="119" t="s">
        <v>2226</v>
      </c>
      <c r="CC208" s="119" t="s">
        <v>2225</v>
      </c>
      <c r="CD208" s="119" t="s">
        <v>2226</v>
      </c>
      <c r="CE208" s="119" t="s">
        <v>2226</v>
      </c>
      <c r="CF208" s="119" t="s">
        <v>2226</v>
      </c>
      <c r="CG208" s="119" t="s">
        <v>2226</v>
      </c>
      <c r="CH208" s="119" t="s">
        <v>2226</v>
      </c>
      <c r="CI208" s="119" t="s">
        <v>2226</v>
      </c>
      <c r="CJ208" s="119" t="s">
        <v>2226</v>
      </c>
      <c r="CK208" s="119" t="s">
        <v>2226</v>
      </c>
      <c r="CL208" s="119" t="s">
        <v>2226</v>
      </c>
      <c r="CM208" s="119" t="s">
        <v>2226</v>
      </c>
      <c r="CN208" s="119" t="s">
        <v>2226</v>
      </c>
      <c r="CO208" s="119" t="s">
        <v>2226</v>
      </c>
      <c r="CP208" s="119" t="s">
        <v>2226</v>
      </c>
      <c r="CQ208" s="119" t="s">
        <v>2226</v>
      </c>
      <c r="CR208" s="119" t="s">
        <v>2226</v>
      </c>
      <c r="CS208" s="119" t="s">
        <v>2226</v>
      </c>
      <c r="CT208" s="119" t="s">
        <v>2226</v>
      </c>
      <c r="CU208" s="119" t="s">
        <v>2226</v>
      </c>
      <c r="CV208" s="119" t="s">
        <v>2226</v>
      </c>
      <c r="CW208" s="119" t="s">
        <v>2226</v>
      </c>
      <c r="CX208" s="119" t="s">
        <v>2226</v>
      </c>
      <c r="CY208" s="119" t="s">
        <v>2226</v>
      </c>
      <c r="CZ208" s="119" t="s">
        <v>2226</v>
      </c>
      <c r="DA208" s="119" t="s">
        <v>2226</v>
      </c>
      <c r="DB208" s="119" t="s">
        <v>2226</v>
      </c>
      <c r="DC208" s="119" t="s">
        <v>2226</v>
      </c>
      <c r="DD208" s="119" t="s">
        <v>2229</v>
      </c>
      <c r="DE208" s="119" t="s">
        <v>2226</v>
      </c>
      <c r="DF208" s="119" t="s">
        <v>2226</v>
      </c>
      <c r="DG208" s="119" t="s">
        <v>2226</v>
      </c>
      <c r="DH208" s="119" t="s">
        <v>2226</v>
      </c>
      <c r="DI208" s="119" t="s">
        <v>2226</v>
      </c>
      <c r="DJ208" s="119" t="s">
        <v>2226</v>
      </c>
      <c r="DK208" s="119" t="s">
        <v>2226</v>
      </c>
      <c r="DL208" s="119" t="s">
        <v>2226</v>
      </c>
      <c r="DM208" s="119" t="s">
        <v>2226</v>
      </c>
      <c r="DN208" s="119" t="s">
        <v>2226</v>
      </c>
      <c r="DO208" s="119" t="s">
        <v>2226</v>
      </c>
      <c r="DP208" s="119" t="s">
        <v>2226</v>
      </c>
      <c r="DQ208" s="119" t="s">
        <v>2226</v>
      </c>
      <c r="DR208" s="119" t="s">
        <v>2226</v>
      </c>
      <c r="DS208" s="119" t="s">
        <v>2226</v>
      </c>
      <c r="DT208" s="119" t="s">
        <v>2226</v>
      </c>
      <c r="DU208" s="119" t="s">
        <v>2225</v>
      </c>
      <c r="DV208" s="119" t="s">
        <v>2226</v>
      </c>
      <c r="DW208" s="119" t="s">
        <v>2226</v>
      </c>
      <c r="DX208" s="119" t="s">
        <v>2226</v>
      </c>
      <c r="DY208" s="119" t="s">
        <v>2225</v>
      </c>
      <c r="DZ208" s="119" t="s">
        <v>2226</v>
      </c>
      <c r="EA208" s="119" t="s">
        <v>2226</v>
      </c>
      <c r="EB208" s="119" t="s">
        <v>2226</v>
      </c>
      <c r="EC208" s="119" t="s">
        <v>2225</v>
      </c>
      <c r="ED208" s="119" t="s">
        <v>2226</v>
      </c>
      <c r="EE208" s="119" t="s">
        <v>2226</v>
      </c>
      <c r="EF208" s="119" t="s">
        <v>2226</v>
      </c>
      <c r="EG208" s="119" t="s">
        <v>2226</v>
      </c>
      <c r="EH208" s="119" t="s">
        <v>2226</v>
      </c>
      <c r="EI208" s="119" t="s">
        <v>2226</v>
      </c>
      <c r="EJ208" s="119" t="s">
        <v>2226</v>
      </c>
      <c r="EK208" s="119" t="s">
        <v>2228</v>
      </c>
      <c r="EL208" s="119" t="s">
        <v>2228</v>
      </c>
      <c r="EM208" s="119" t="s">
        <v>2228</v>
      </c>
      <c r="EN208" s="119" t="s">
        <v>2228</v>
      </c>
    </row>
    <row r="209" spans="1:255">
      <c r="A209" s="103" t="s">
        <v>2231</v>
      </c>
      <c r="B209" s="119" t="s">
        <v>2428</v>
      </c>
      <c r="C209" s="119" t="s">
        <v>2428</v>
      </c>
      <c r="D209" s="119" t="s">
        <v>2428</v>
      </c>
      <c r="E209" s="119" t="s">
        <v>2428</v>
      </c>
      <c r="F209" s="119" t="s">
        <v>2428</v>
      </c>
      <c r="G209" s="119" t="s">
        <v>2428</v>
      </c>
      <c r="H209" s="119" t="s">
        <v>2428</v>
      </c>
      <c r="I209" s="119" t="s">
        <v>2428</v>
      </c>
      <c r="J209" s="119" t="s">
        <v>2428</v>
      </c>
      <c r="K209" s="119" t="s">
        <v>2428</v>
      </c>
      <c r="L209" s="119" t="s">
        <v>2428</v>
      </c>
      <c r="M209" s="119" t="s">
        <v>2428</v>
      </c>
      <c r="N209" s="119" t="s">
        <v>2428</v>
      </c>
      <c r="O209" s="119" t="s">
        <v>2428</v>
      </c>
      <c r="P209" s="119" t="s">
        <v>2428</v>
      </c>
      <c r="Q209" s="119" t="s">
        <v>2428</v>
      </c>
      <c r="R209" s="119" t="s">
        <v>2428</v>
      </c>
      <c r="S209" s="119" t="s">
        <v>2428</v>
      </c>
      <c r="T209" s="119" t="s">
        <v>2428</v>
      </c>
      <c r="U209" s="119" t="s">
        <v>2428</v>
      </c>
      <c r="V209" s="119" t="s">
        <v>2428</v>
      </c>
      <c r="W209" s="119" t="s">
        <v>2428</v>
      </c>
      <c r="X209" s="119" t="s">
        <v>2428</v>
      </c>
      <c r="Y209" s="119" t="s">
        <v>2428</v>
      </c>
      <c r="Z209" s="119" t="s">
        <v>2428</v>
      </c>
      <c r="AA209" s="119" t="s">
        <v>2428</v>
      </c>
      <c r="AB209" s="119" t="s">
        <v>2428</v>
      </c>
      <c r="AC209" s="119" t="s">
        <v>2232</v>
      </c>
      <c r="AD209" s="119" t="s">
        <v>2232</v>
      </c>
      <c r="AE209" s="119" t="s">
        <v>2232</v>
      </c>
      <c r="AG209" s="103" t="s">
        <v>2231</v>
      </c>
      <c r="AH209" s="119" t="s">
        <v>2429</v>
      </c>
      <c r="AI209" s="119" t="s">
        <v>273</v>
      </c>
      <c r="AJ209" s="119" t="s">
        <v>273</v>
      </c>
      <c r="AK209" s="119" t="s">
        <v>2234</v>
      </c>
      <c r="AL209" s="119" t="s">
        <v>2429</v>
      </c>
      <c r="AM209" s="119" t="s">
        <v>2428</v>
      </c>
      <c r="AN209" s="119" t="s">
        <v>2428</v>
      </c>
      <c r="AO209" s="119" t="s">
        <v>2234</v>
      </c>
      <c r="AP209" s="119" t="s">
        <v>2428</v>
      </c>
      <c r="AQ209" s="119" t="s">
        <v>2428</v>
      </c>
      <c r="AR209" s="119" t="s">
        <v>2428</v>
      </c>
      <c r="AS209" s="119" t="s">
        <v>2234</v>
      </c>
      <c r="AT209" s="119" t="s">
        <v>2428</v>
      </c>
      <c r="AU209" s="119" t="s">
        <v>2428</v>
      </c>
      <c r="AV209" s="119" t="s">
        <v>2428</v>
      </c>
      <c r="AW209" s="119" t="s">
        <v>2234</v>
      </c>
      <c r="AX209" s="119" t="s">
        <v>2428</v>
      </c>
      <c r="AY209" s="119" t="s">
        <v>2428</v>
      </c>
      <c r="AZ209" s="119" t="s">
        <v>2428</v>
      </c>
      <c r="BA209" s="119" t="s">
        <v>2234</v>
      </c>
      <c r="BB209" s="119" t="s">
        <v>2428</v>
      </c>
      <c r="BC209" s="119" t="s">
        <v>2428</v>
      </c>
      <c r="BD209" s="119" t="s">
        <v>2428</v>
      </c>
      <c r="BE209" s="119" t="s">
        <v>2234</v>
      </c>
      <c r="BF209" s="119" t="s">
        <v>2428</v>
      </c>
      <c r="BG209" s="119" t="s">
        <v>2428</v>
      </c>
      <c r="BH209" s="119" t="s">
        <v>2428</v>
      </c>
      <c r="BI209" s="119" t="s">
        <v>2234</v>
      </c>
      <c r="BJ209" s="119" t="s">
        <v>2428</v>
      </c>
      <c r="BK209" s="119" t="s">
        <v>2428</v>
      </c>
      <c r="BL209" s="119" t="s">
        <v>2428</v>
      </c>
      <c r="BM209" s="119" t="s">
        <v>2234</v>
      </c>
      <c r="BN209" s="119" t="s">
        <v>2428</v>
      </c>
      <c r="BO209" s="119" t="s">
        <v>2428</v>
      </c>
      <c r="BP209" s="119" t="s">
        <v>2428</v>
      </c>
      <c r="BQ209" s="119" t="s">
        <v>2234</v>
      </c>
      <c r="BR209" s="119" t="s">
        <v>2428</v>
      </c>
      <c r="BS209" s="119" t="s">
        <v>2428</v>
      </c>
      <c r="BT209" s="119" t="s">
        <v>2428</v>
      </c>
      <c r="BU209" s="119" t="s">
        <v>2234</v>
      </c>
      <c r="BV209" s="119" t="s">
        <v>2428</v>
      </c>
      <c r="BW209" s="119" t="s">
        <v>2428</v>
      </c>
      <c r="BX209" s="119" t="s">
        <v>2428</v>
      </c>
      <c r="BY209" s="119" t="s">
        <v>2234</v>
      </c>
      <c r="BZ209" s="119" t="s">
        <v>2428</v>
      </c>
      <c r="CA209" s="119" t="s">
        <v>2428</v>
      </c>
      <c r="CB209" s="119" t="s">
        <v>2428</v>
      </c>
      <c r="CC209" s="119" t="s">
        <v>2234</v>
      </c>
      <c r="CD209" s="119" t="s">
        <v>2428</v>
      </c>
      <c r="CE209" s="119" t="s">
        <v>2428</v>
      </c>
      <c r="CF209" s="119" t="s">
        <v>2428</v>
      </c>
      <c r="CG209" s="119" t="s">
        <v>2234</v>
      </c>
      <c r="CH209" s="119" t="s">
        <v>2428</v>
      </c>
      <c r="CI209" s="119" t="s">
        <v>2428</v>
      </c>
      <c r="CJ209" s="119" t="s">
        <v>2428</v>
      </c>
      <c r="CK209" s="119" t="s">
        <v>2234</v>
      </c>
      <c r="CL209" s="119" t="s">
        <v>2428</v>
      </c>
      <c r="CM209" s="119" t="s">
        <v>2428</v>
      </c>
      <c r="CN209" s="119" t="s">
        <v>2428</v>
      </c>
      <c r="CO209" s="119" t="s">
        <v>2234</v>
      </c>
      <c r="CP209" s="119" t="s">
        <v>2428</v>
      </c>
      <c r="CQ209" s="119" t="s">
        <v>2428</v>
      </c>
      <c r="CR209" s="119" t="s">
        <v>2428</v>
      </c>
      <c r="CS209" s="119" t="s">
        <v>2234</v>
      </c>
      <c r="CT209" s="119" t="s">
        <v>2428</v>
      </c>
      <c r="CU209" s="119" t="s">
        <v>2428</v>
      </c>
      <c r="CV209" s="119" t="s">
        <v>2428</v>
      </c>
      <c r="CW209" s="119" t="s">
        <v>2234</v>
      </c>
      <c r="CX209" s="119" t="s">
        <v>2428</v>
      </c>
      <c r="CY209" s="119" t="s">
        <v>2428</v>
      </c>
      <c r="CZ209" s="119" t="s">
        <v>2428</v>
      </c>
      <c r="DA209" s="119" t="s">
        <v>2234</v>
      </c>
      <c r="DB209" s="119" t="s">
        <v>2428</v>
      </c>
      <c r="DC209" s="119" t="s">
        <v>2428</v>
      </c>
      <c r="DD209" s="119" t="s">
        <v>2428</v>
      </c>
      <c r="DE209" s="119" t="s">
        <v>2234</v>
      </c>
      <c r="DF209" s="119" t="s">
        <v>2428</v>
      </c>
      <c r="DG209" s="119" t="s">
        <v>2428</v>
      </c>
      <c r="DH209" s="119" t="s">
        <v>2428</v>
      </c>
      <c r="DI209" s="119" t="s">
        <v>2234</v>
      </c>
      <c r="DJ209" s="119" t="s">
        <v>2428</v>
      </c>
      <c r="DK209" s="119" t="s">
        <v>2428</v>
      </c>
      <c r="DL209" s="119" t="s">
        <v>2428</v>
      </c>
      <c r="DM209" s="119" t="s">
        <v>2234</v>
      </c>
      <c r="DN209" s="119" t="s">
        <v>2428</v>
      </c>
      <c r="DO209" s="119" t="s">
        <v>2428</v>
      </c>
      <c r="DP209" s="119" t="s">
        <v>2428</v>
      </c>
      <c r="DQ209" s="119" t="s">
        <v>2234</v>
      </c>
      <c r="DR209" s="119" t="s">
        <v>2428</v>
      </c>
      <c r="DS209" s="119" t="s">
        <v>2428</v>
      </c>
      <c r="DT209" s="119" t="s">
        <v>2428</v>
      </c>
      <c r="DU209" s="119" t="s">
        <v>2234</v>
      </c>
      <c r="DV209" s="119" t="s">
        <v>2428</v>
      </c>
      <c r="DW209" s="119" t="s">
        <v>2428</v>
      </c>
      <c r="DX209" s="119" t="s">
        <v>2428</v>
      </c>
      <c r="DY209" s="119" t="s">
        <v>2234</v>
      </c>
      <c r="DZ209" s="119" t="s">
        <v>2428</v>
      </c>
      <c r="EA209" s="119" t="s">
        <v>2428</v>
      </c>
      <c r="EB209" s="119" t="s">
        <v>2428</v>
      </c>
      <c r="EC209" s="119" t="s">
        <v>2234</v>
      </c>
      <c r="ED209" s="119" t="s">
        <v>2428</v>
      </c>
      <c r="EE209" s="119" t="s">
        <v>2428</v>
      </c>
      <c r="EF209" s="119" t="s">
        <v>2428</v>
      </c>
      <c r="EG209" s="119" t="s">
        <v>2234</v>
      </c>
      <c r="EH209" s="119" t="s">
        <v>2428</v>
      </c>
      <c r="EI209" s="119" t="s">
        <v>2428</v>
      </c>
      <c r="EJ209" s="119" t="s">
        <v>2428</v>
      </c>
      <c r="EK209" s="119" t="s">
        <v>2234</v>
      </c>
      <c r="EL209" s="119" t="s">
        <v>2232</v>
      </c>
      <c r="EM209" s="119" t="s">
        <v>2232</v>
      </c>
      <c r="EN209" s="119" t="s">
        <v>2232</v>
      </c>
      <c r="EP209" s="107"/>
      <c r="EQ209" s="107"/>
      <c r="ER209" s="107"/>
      <c r="ES209" s="107"/>
      <c r="ET209" s="107"/>
      <c r="EU209" s="107"/>
      <c r="EV209" s="107"/>
      <c r="EW209" s="107"/>
      <c r="EX209" s="107"/>
      <c r="EY209" s="107"/>
      <c r="EZ209" s="107"/>
      <c r="FA209" s="107"/>
      <c r="FB209" s="107"/>
      <c r="FC209" s="107"/>
      <c r="FD209" s="107"/>
      <c r="FE209" s="107"/>
      <c r="FF209" s="107"/>
      <c r="FG209" s="107"/>
      <c r="FH209" s="107"/>
      <c r="FI209" s="107"/>
      <c r="FJ209" s="107"/>
      <c r="FK209" s="107"/>
      <c r="FL209" s="107"/>
      <c r="FM209" s="107"/>
      <c r="FN209" s="107"/>
      <c r="FO209" s="107"/>
      <c r="FP209" s="107"/>
      <c r="FQ209" s="107"/>
      <c r="FR209" s="107"/>
      <c r="FS209" s="107"/>
      <c r="FT209" s="107"/>
      <c r="FU209" s="107"/>
      <c r="FV209" s="107"/>
      <c r="FW209" s="107"/>
      <c r="FX209" s="107"/>
      <c r="FY209" s="107"/>
      <c r="FZ209" s="107"/>
      <c r="GA209" s="107"/>
      <c r="GB209" s="107"/>
      <c r="GC209" s="107"/>
      <c r="GD209" s="107"/>
      <c r="GE209" s="107"/>
      <c r="GF209" s="107"/>
      <c r="GG209" s="107"/>
      <c r="GH209" s="107"/>
      <c r="GI209" s="107"/>
      <c r="GJ209" s="107"/>
      <c r="GK209" s="107"/>
      <c r="GL209" s="107"/>
      <c r="GM209" s="107"/>
      <c r="GN209" s="107"/>
      <c r="GO209" s="107"/>
      <c r="GP209" s="107"/>
      <c r="GQ209" s="107"/>
      <c r="GR209" s="107"/>
      <c r="GS209" s="107"/>
      <c r="GT209" s="107"/>
      <c r="GU209" s="107"/>
      <c r="GV209" s="107"/>
      <c r="GW209" s="107"/>
      <c r="GX209" s="107"/>
      <c r="GY209" s="107"/>
      <c r="GZ209" s="107"/>
      <c r="HA209" s="107"/>
      <c r="HB209" s="107"/>
      <c r="HC209" s="107"/>
      <c r="HD209" s="107"/>
      <c r="HE209" s="107"/>
      <c r="HF209" s="107"/>
      <c r="HG209" s="107"/>
      <c r="HH209" s="107"/>
      <c r="HI209" s="107"/>
      <c r="HJ209" s="107"/>
      <c r="HK209" s="107"/>
      <c r="HL209" s="107"/>
      <c r="HM209" s="107"/>
      <c r="HN209" s="107"/>
      <c r="HO209" s="107"/>
      <c r="HP209" s="107"/>
      <c r="HQ209" s="107"/>
      <c r="HR209" s="107"/>
      <c r="HS209" s="107"/>
      <c r="HT209" s="107"/>
      <c r="HU209" s="107"/>
      <c r="HV209" s="107"/>
      <c r="HW209" s="107"/>
      <c r="HX209" s="107"/>
      <c r="HY209" s="107"/>
      <c r="HZ209" s="107"/>
      <c r="IA209" s="107"/>
      <c r="IB209" s="107"/>
      <c r="IC209" s="107"/>
      <c r="ID209" s="107"/>
      <c r="IE209" s="107"/>
      <c r="IF209" s="107"/>
      <c r="IG209" s="107"/>
      <c r="IH209" s="107"/>
      <c r="II209" s="107"/>
      <c r="IJ209" s="107"/>
      <c r="IK209" s="107"/>
      <c r="IL209" s="107"/>
      <c r="IM209" s="107"/>
      <c r="IN209" s="107"/>
      <c r="IO209" s="107"/>
      <c r="IP209" s="107"/>
      <c r="IQ209" s="107"/>
      <c r="IR209" s="107"/>
      <c r="IS209" s="107"/>
      <c r="IT209" s="107"/>
      <c r="IU209" s="107"/>
    </row>
    <row r="210" spans="1:255">
      <c r="A210" s="103"/>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G210" s="103"/>
      <c r="AH210" s="103"/>
      <c r="AI210" s="103"/>
      <c r="AJ210" s="103"/>
      <c r="AK210" s="103"/>
      <c r="AL210" s="103"/>
      <c r="AM210" s="103"/>
      <c r="AN210" s="103"/>
      <c r="AO210" s="103"/>
      <c r="AP210" s="103"/>
      <c r="AQ210" s="103"/>
      <c r="AR210" s="103"/>
      <c r="AS210" s="103"/>
      <c r="AT210" s="103"/>
      <c r="AU210" s="103"/>
      <c r="AV210" s="103"/>
      <c r="AW210" s="103"/>
      <c r="AX210" s="103"/>
      <c r="AY210" s="103"/>
      <c r="AZ210" s="103"/>
      <c r="BA210" s="103"/>
      <c r="BB210" s="103"/>
      <c r="BC210" s="103"/>
      <c r="BD210" s="103"/>
      <c r="BE210" s="103"/>
      <c r="BF210" s="103"/>
      <c r="BG210" s="103"/>
      <c r="BH210" s="103"/>
      <c r="BI210" s="103"/>
      <c r="BJ210" s="103"/>
      <c r="BK210" s="103"/>
      <c r="BL210" s="103"/>
      <c r="BM210" s="103"/>
      <c r="BN210" s="103"/>
      <c r="BO210" s="103"/>
      <c r="BP210" s="103"/>
      <c r="BQ210" s="103"/>
      <c r="BR210" s="103"/>
      <c r="BS210" s="103"/>
      <c r="BT210" s="103"/>
      <c r="BU210" s="103"/>
      <c r="BV210" s="103"/>
      <c r="BW210" s="103"/>
      <c r="BX210" s="103"/>
      <c r="BY210" s="103"/>
      <c r="BZ210" s="103"/>
      <c r="CA210" s="103"/>
      <c r="CB210" s="103"/>
      <c r="CC210" s="103"/>
      <c r="CD210" s="103"/>
      <c r="CE210" s="103"/>
      <c r="CF210" s="103"/>
      <c r="CG210" s="103"/>
      <c r="CH210" s="103"/>
      <c r="CI210" s="103"/>
      <c r="CJ210" s="103"/>
      <c r="CK210" s="103"/>
      <c r="CL210" s="103"/>
      <c r="CM210" s="103"/>
      <c r="CN210" s="103"/>
      <c r="CO210" s="103"/>
      <c r="CP210" s="103"/>
      <c r="CQ210" s="103"/>
      <c r="CR210" s="103"/>
      <c r="CS210" s="103"/>
      <c r="CT210" s="103"/>
      <c r="CU210" s="103"/>
      <c r="CV210" s="103"/>
      <c r="CW210" s="103"/>
      <c r="CX210" s="103"/>
      <c r="CY210" s="103"/>
      <c r="CZ210" s="103"/>
      <c r="DA210" s="103"/>
      <c r="DB210" s="103"/>
      <c r="DC210" s="103"/>
      <c r="DD210" s="103"/>
      <c r="DE210" s="103"/>
      <c r="DF210" s="103"/>
      <c r="DG210" s="103"/>
      <c r="DH210" s="103"/>
      <c r="DI210" s="103"/>
      <c r="DJ210" s="103"/>
      <c r="DK210" s="103"/>
      <c r="DL210" s="103"/>
      <c r="DM210" s="103"/>
      <c r="DN210" s="103"/>
      <c r="DO210" s="103"/>
      <c r="DP210" s="103"/>
      <c r="DQ210" s="103"/>
      <c r="DR210" s="103"/>
      <c r="DS210" s="103"/>
      <c r="DT210" s="103"/>
      <c r="DU210" s="103"/>
      <c r="DV210" s="103"/>
      <c r="DW210" s="103"/>
      <c r="DX210" s="103"/>
      <c r="DY210" s="103"/>
      <c r="DZ210" s="103"/>
      <c r="EA210" s="103"/>
      <c r="EB210" s="103"/>
      <c r="EC210" s="103"/>
      <c r="ED210" s="103"/>
      <c r="EE210" s="103"/>
      <c r="EF210" s="103"/>
      <c r="EG210" s="103"/>
      <c r="EH210" s="103"/>
      <c r="EI210" s="103"/>
      <c r="EJ210" s="103"/>
      <c r="EK210" s="103"/>
      <c r="EL210" s="103"/>
      <c r="EM210" s="103"/>
      <c r="EN210" s="103"/>
    </row>
    <row r="211" spans="1:255">
      <c r="A211" s="127"/>
      <c r="B211" s="127"/>
      <c r="C211" s="127"/>
      <c r="D211" s="127"/>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c r="AA211" s="127"/>
      <c r="AB211" s="127"/>
      <c r="AC211" s="127"/>
      <c r="AD211" s="127"/>
      <c r="AE211" s="127"/>
      <c r="AG211" s="127"/>
      <c r="AH211" s="127"/>
      <c r="AI211" s="127"/>
      <c r="AJ211" s="127"/>
      <c r="AK211" s="127"/>
      <c r="AL211" s="127"/>
      <c r="AM211" s="127"/>
      <c r="AN211" s="127"/>
      <c r="AO211" s="127"/>
      <c r="AP211" s="127"/>
      <c r="AQ211" s="127"/>
      <c r="AR211" s="127"/>
      <c r="AS211" s="127"/>
      <c r="AT211" s="127"/>
      <c r="AU211" s="127"/>
      <c r="AV211" s="127"/>
      <c r="AW211" s="127"/>
      <c r="AX211" s="127"/>
      <c r="AY211" s="127"/>
      <c r="AZ211" s="127"/>
      <c r="BA211" s="127"/>
      <c r="BB211" s="127"/>
      <c r="BC211" s="127"/>
      <c r="BD211" s="127"/>
      <c r="BE211" s="127"/>
      <c r="BF211" s="127"/>
      <c r="BG211" s="127"/>
      <c r="BH211" s="127"/>
      <c r="BI211" s="127"/>
      <c r="BJ211" s="127"/>
      <c r="BK211" s="127"/>
      <c r="BL211" s="127"/>
      <c r="BM211" s="127"/>
      <c r="BN211" s="127"/>
      <c r="BO211" s="127"/>
      <c r="BP211" s="127"/>
      <c r="BQ211" s="127"/>
      <c r="BR211" s="127"/>
      <c r="BS211" s="127"/>
      <c r="BT211" s="127"/>
      <c r="BU211" s="127"/>
      <c r="BV211" s="127"/>
      <c r="BW211" s="127"/>
      <c r="BX211" s="127"/>
      <c r="BY211" s="127"/>
      <c r="BZ211" s="127"/>
      <c r="CA211" s="127"/>
      <c r="CB211" s="127"/>
      <c r="CC211" s="127"/>
      <c r="CD211" s="127"/>
      <c r="CE211" s="127"/>
      <c r="CF211" s="127"/>
      <c r="CG211" s="127"/>
      <c r="CH211" s="127"/>
      <c r="CI211" s="127"/>
      <c r="CJ211" s="127"/>
      <c r="CK211" s="127"/>
      <c r="CL211" s="127"/>
      <c r="CM211" s="127"/>
      <c r="CN211" s="127"/>
      <c r="CO211" s="127"/>
      <c r="CP211" s="127"/>
      <c r="CQ211" s="127"/>
      <c r="CR211" s="127"/>
      <c r="CS211" s="127"/>
      <c r="CT211" s="127"/>
      <c r="CU211" s="127"/>
      <c r="CV211" s="127"/>
      <c r="CW211" s="127"/>
      <c r="CX211" s="127"/>
      <c r="CY211" s="127"/>
      <c r="CZ211" s="127"/>
      <c r="DA211" s="127"/>
      <c r="DB211" s="127"/>
      <c r="DC211" s="127"/>
      <c r="DD211" s="127"/>
      <c r="DE211" s="127"/>
      <c r="DF211" s="127"/>
      <c r="DG211" s="127"/>
      <c r="DH211" s="127"/>
      <c r="DI211" s="127"/>
      <c r="DJ211" s="127"/>
      <c r="DK211" s="127"/>
      <c r="DL211" s="127"/>
      <c r="DM211" s="127"/>
      <c r="DN211" s="127"/>
      <c r="DO211" s="127"/>
      <c r="DP211" s="127"/>
      <c r="DQ211" s="127"/>
      <c r="DR211" s="127"/>
      <c r="DS211" s="127"/>
      <c r="DT211" s="127"/>
      <c r="DU211" s="127"/>
      <c r="DV211" s="127"/>
      <c r="DW211" s="127"/>
      <c r="DX211" s="127"/>
      <c r="DY211" s="127"/>
      <c r="DZ211" s="127"/>
      <c r="EA211" s="127"/>
      <c r="EB211" s="127"/>
      <c r="EC211" s="127"/>
      <c r="ED211" s="127"/>
      <c r="EE211" s="127"/>
      <c r="EF211" s="127"/>
      <c r="EG211" s="127"/>
      <c r="EH211" s="127"/>
      <c r="EI211" s="127"/>
      <c r="EJ211" s="127"/>
      <c r="EK211" s="127"/>
      <c r="EL211" s="127"/>
      <c r="EM211" s="127"/>
      <c r="EN211" s="127"/>
    </row>
    <row r="212" spans="1:255">
      <c r="A212" s="106" t="s">
        <v>2430</v>
      </c>
      <c r="B212" s="106"/>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c r="Z212" s="106"/>
      <c r="AA212" s="106"/>
      <c r="AB212" s="106"/>
      <c r="AC212" s="106"/>
      <c r="AD212" s="106"/>
      <c r="AE212" s="106"/>
      <c r="AF212" s="107"/>
      <c r="AG212" s="106" t="s">
        <v>2430</v>
      </c>
      <c r="AH212" s="106"/>
      <c r="AI212" s="106"/>
      <c r="AJ212" s="106"/>
      <c r="AK212" s="106"/>
      <c r="AL212" s="106"/>
      <c r="AM212" s="106"/>
      <c r="AN212" s="106"/>
      <c r="AO212" s="106"/>
      <c r="AP212" s="106"/>
      <c r="AQ212" s="106"/>
      <c r="AR212" s="106"/>
      <c r="AS212" s="106"/>
      <c r="AT212" s="106"/>
      <c r="AU212" s="106"/>
      <c r="AV212" s="106"/>
      <c r="AW212" s="106"/>
      <c r="AX212" s="106"/>
      <c r="AY212" s="106"/>
      <c r="AZ212" s="106"/>
      <c r="BA212" s="106"/>
      <c r="BB212" s="106"/>
      <c r="BC212" s="106"/>
      <c r="BD212" s="106"/>
      <c r="BE212" s="106"/>
      <c r="BF212" s="106"/>
      <c r="BG212" s="106"/>
      <c r="BH212" s="106"/>
      <c r="BI212" s="106"/>
      <c r="BJ212" s="106"/>
      <c r="BK212" s="106"/>
      <c r="BL212" s="106"/>
      <c r="BM212" s="106"/>
      <c r="BN212" s="106"/>
      <c r="BO212" s="106"/>
      <c r="BP212" s="106"/>
      <c r="BQ212" s="106"/>
      <c r="BR212" s="106"/>
      <c r="BS212" s="106"/>
      <c r="BT212" s="106"/>
      <c r="BU212" s="106"/>
      <c r="BV212" s="106"/>
      <c r="BW212" s="106"/>
      <c r="BX212" s="106"/>
      <c r="BY212" s="106"/>
      <c r="BZ212" s="106"/>
      <c r="CA212" s="106"/>
      <c r="CB212" s="106"/>
      <c r="CC212" s="106"/>
      <c r="CD212" s="106"/>
      <c r="CE212" s="106"/>
      <c r="CF212" s="106"/>
      <c r="CG212" s="106"/>
      <c r="CH212" s="106"/>
      <c r="CI212" s="106"/>
      <c r="CJ212" s="106"/>
      <c r="CK212" s="106"/>
      <c r="CL212" s="106"/>
      <c r="CM212" s="106"/>
      <c r="CN212" s="106"/>
      <c r="CO212" s="106"/>
      <c r="CP212" s="106"/>
      <c r="CQ212" s="106"/>
      <c r="CR212" s="106"/>
      <c r="CS212" s="106"/>
      <c r="CT212" s="106"/>
      <c r="CU212" s="106"/>
      <c r="CV212" s="106"/>
      <c r="CW212" s="106"/>
      <c r="CX212" s="106"/>
      <c r="CY212" s="106"/>
      <c r="CZ212" s="106"/>
      <c r="DA212" s="106"/>
      <c r="DB212" s="106"/>
      <c r="DC212" s="106"/>
      <c r="DD212" s="106"/>
      <c r="DE212" s="106"/>
      <c r="DF212" s="106"/>
      <c r="DG212" s="106"/>
      <c r="DH212" s="106"/>
      <c r="DI212" s="106"/>
      <c r="DJ212" s="106"/>
      <c r="DK212" s="106"/>
      <c r="DL212" s="106"/>
      <c r="DM212" s="106"/>
      <c r="DN212" s="106"/>
      <c r="DO212" s="106"/>
      <c r="DP212" s="106"/>
      <c r="DQ212" s="106"/>
      <c r="DR212" s="106"/>
      <c r="DS212" s="106"/>
      <c r="DT212" s="106"/>
      <c r="DU212" s="106"/>
      <c r="DV212" s="106"/>
      <c r="DW212" s="106"/>
      <c r="DX212" s="106"/>
      <c r="DY212" s="106"/>
      <c r="DZ212" s="106"/>
      <c r="EA212" s="106"/>
      <c r="EB212" s="106"/>
      <c r="EC212" s="106"/>
      <c r="ED212" s="106"/>
      <c r="EE212" s="106"/>
      <c r="EF212" s="106"/>
      <c r="EG212" s="106"/>
      <c r="EH212" s="106"/>
      <c r="EI212" s="106"/>
      <c r="EJ212" s="106"/>
      <c r="EK212" s="106"/>
      <c r="EL212" s="106"/>
      <c r="EM212" s="106"/>
      <c r="EN212" s="106"/>
      <c r="EO212" s="107"/>
    </row>
    <row r="213" spans="1:255" ht="42">
      <c r="A213" s="108" t="s">
        <v>2016</v>
      </c>
      <c r="B213" s="109" t="s">
        <v>2017</v>
      </c>
      <c r="C213" s="109" t="s">
        <v>2018</v>
      </c>
      <c r="D213" s="109" t="s">
        <v>2019</v>
      </c>
      <c r="E213" s="109" t="s">
        <v>2020</v>
      </c>
      <c r="F213" s="109" t="s">
        <v>2021</v>
      </c>
      <c r="G213" s="109" t="s">
        <v>2431</v>
      </c>
      <c r="H213" s="109" t="s">
        <v>2432</v>
      </c>
      <c r="I213" s="109" t="s">
        <v>2433</v>
      </c>
      <c r="J213" s="109" t="s">
        <v>2434</v>
      </c>
      <c r="K213" s="109" t="s">
        <v>2435</v>
      </c>
      <c r="L213" s="109" t="s">
        <v>2027</v>
      </c>
      <c r="M213" s="109" t="s">
        <v>2028</v>
      </c>
      <c r="N213" s="109" t="s">
        <v>2029</v>
      </c>
      <c r="O213" s="109" t="s">
        <v>2436</v>
      </c>
      <c r="P213" s="109" t="s">
        <v>2437</v>
      </c>
      <c r="Q213" s="109" t="s">
        <v>2438</v>
      </c>
      <c r="R213" s="109" t="s">
        <v>2439</v>
      </c>
      <c r="S213" s="109" t="s">
        <v>2440</v>
      </c>
      <c r="T213" s="109" t="s">
        <v>2441</v>
      </c>
      <c r="U213" s="109" t="s">
        <v>2442</v>
      </c>
      <c r="V213" s="109" t="s">
        <v>2037</v>
      </c>
      <c r="W213" s="109" t="s">
        <v>2038</v>
      </c>
      <c r="X213" s="109" t="s">
        <v>2443</v>
      </c>
      <c r="Y213" s="109" t="s">
        <v>2444</v>
      </c>
      <c r="Z213" s="109" t="s">
        <v>2445</v>
      </c>
      <c r="AA213" s="109" t="s">
        <v>2042</v>
      </c>
      <c r="AB213" s="109" t="s">
        <v>2043</v>
      </c>
      <c r="AC213" s="109" t="s">
        <v>2044</v>
      </c>
      <c r="AD213" s="109" t="s">
        <v>2045</v>
      </c>
      <c r="AE213" s="109" t="s">
        <v>2046</v>
      </c>
      <c r="AG213" s="108" t="s">
        <v>2016</v>
      </c>
      <c r="AH213" s="109" t="s">
        <v>2047</v>
      </c>
      <c r="AI213" s="109" t="s">
        <v>2048</v>
      </c>
      <c r="AJ213" s="109" t="s">
        <v>2049</v>
      </c>
      <c r="AK213" s="109" t="s">
        <v>2050</v>
      </c>
      <c r="AL213" s="109" t="s">
        <v>2051</v>
      </c>
      <c r="AM213" s="109" t="s">
        <v>2052</v>
      </c>
      <c r="AN213" s="109" t="s">
        <v>2053</v>
      </c>
      <c r="AO213" s="109" t="s">
        <v>2054</v>
      </c>
      <c r="AP213" s="109" t="s">
        <v>2055</v>
      </c>
      <c r="AQ213" s="109" t="s">
        <v>2056</v>
      </c>
      <c r="AR213" s="109" t="s">
        <v>2057</v>
      </c>
      <c r="AS213" s="109" t="s">
        <v>2058</v>
      </c>
      <c r="AT213" s="109" t="s">
        <v>2059</v>
      </c>
      <c r="AU213" s="109" t="s">
        <v>2060</v>
      </c>
      <c r="AV213" s="109" t="s">
        <v>2061</v>
      </c>
      <c r="AW213" s="109" t="s">
        <v>2062</v>
      </c>
      <c r="AX213" s="109" t="s">
        <v>2063</v>
      </c>
      <c r="AY213" s="109" t="s">
        <v>2064</v>
      </c>
      <c r="AZ213" s="109" t="s">
        <v>2065</v>
      </c>
      <c r="BA213" s="109" t="s">
        <v>2446</v>
      </c>
      <c r="BB213" s="109" t="s">
        <v>2447</v>
      </c>
      <c r="BC213" s="109" t="s">
        <v>2448</v>
      </c>
      <c r="BD213" s="109" t="s">
        <v>2449</v>
      </c>
      <c r="BE213" s="109" t="s">
        <v>2450</v>
      </c>
      <c r="BF213" s="109" t="s">
        <v>2451</v>
      </c>
      <c r="BG213" s="109" t="s">
        <v>2452</v>
      </c>
      <c r="BH213" s="109" t="s">
        <v>2453</v>
      </c>
      <c r="BI213" s="109" t="s">
        <v>2454</v>
      </c>
      <c r="BJ213" s="109" t="s">
        <v>2455</v>
      </c>
      <c r="BK213" s="109" t="s">
        <v>2456</v>
      </c>
      <c r="BL213" s="109" t="s">
        <v>2457</v>
      </c>
      <c r="BM213" s="109" t="s">
        <v>2458</v>
      </c>
      <c r="BN213" s="109" t="s">
        <v>2459</v>
      </c>
      <c r="BO213" s="109" t="s">
        <v>2460</v>
      </c>
      <c r="BP213" s="109" t="s">
        <v>2461</v>
      </c>
      <c r="BQ213" s="109" t="s">
        <v>2462</v>
      </c>
      <c r="BR213" s="109" t="s">
        <v>2083</v>
      </c>
      <c r="BS213" s="109" t="s">
        <v>2084</v>
      </c>
      <c r="BT213" s="109" t="s">
        <v>2085</v>
      </c>
      <c r="BU213" s="109" t="s">
        <v>2086</v>
      </c>
      <c r="BV213" s="109" t="s">
        <v>2087</v>
      </c>
      <c r="BW213" s="109" t="s">
        <v>2088</v>
      </c>
      <c r="BX213" s="109" t="s">
        <v>2089</v>
      </c>
      <c r="BY213" s="109" t="s">
        <v>2090</v>
      </c>
      <c r="BZ213" s="109" t="s">
        <v>2091</v>
      </c>
      <c r="CA213" s="109" t="s">
        <v>2092</v>
      </c>
      <c r="CB213" s="109" t="s">
        <v>2463</v>
      </c>
      <c r="CC213" s="109" t="s">
        <v>2464</v>
      </c>
      <c r="CD213" s="109" t="s">
        <v>2465</v>
      </c>
      <c r="CE213" s="109" t="s">
        <v>2466</v>
      </c>
      <c r="CF213" s="109" t="s">
        <v>2467</v>
      </c>
      <c r="CG213" s="109" t="s">
        <v>2468</v>
      </c>
      <c r="CH213" s="109" t="s">
        <v>2469</v>
      </c>
      <c r="CI213" s="109" t="s">
        <v>2470</v>
      </c>
      <c r="CJ213" s="109" t="s">
        <v>2101</v>
      </c>
      <c r="CK213" s="109" t="s">
        <v>2102</v>
      </c>
      <c r="CL213" s="109" t="s">
        <v>2103</v>
      </c>
      <c r="CM213" s="109" t="s">
        <v>2104</v>
      </c>
      <c r="CN213" s="109" t="s">
        <v>2105</v>
      </c>
      <c r="CO213" s="109" t="s">
        <v>2106</v>
      </c>
      <c r="CP213" s="109" t="s">
        <v>2471</v>
      </c>
      <c r="CQ213" s="109" t="s">
        <v>2472</v>
      </c>
      <c r="CR213" s="109" t="s">
        <v>2473</v>
      </c>
      <c r="CS213" s="109" t="s">
        <v>2474</v>
      </c>
      <c r="CT213" s="109" t="s">
        <v>2111</v>
      </c>
      <c r="CU213" s="109" t="s">
        <v>2112</v>
      </c>
      <c r="CV213" s="109" t="s">
        <v>2113</v>
      </c>
      <c r="CW213" s="109" t="s">
        <v>2114</v>
      </c>
      <c r="CX213" s="109" t="s">
        <v>2115</v>
      </c>
      <c r="CY213" s="109" t="s">
        <v>2475</v>
      </c>
      <c r="CZ213" s="109" t="s">
        <v>2476</v>
      </c>
      <c r="DA213" s="109" t="s">
        <v>2477</v>
      </c>
      <c r="DB213" s="109" t="s">
        <v>2119</v>
      </c>
      <c r="DC213" s="109" t="s">
        <v>2120</v>
      </c>
      <c r="DD213" s="109" t="s">
        <v>2121</v>
      </c>
      <c r="DE213" s="109" t="s">
        <v>2122</v>
      </c>
      <c r="DF213" s="109" t="s">
        <v>2123</v>
      </c>
      <c r="DG213" s="109" t="s">
        <v>2124</v>
      </c>
      <c r="DH213" s="109" t="s">
        <v>2125</v>
      </c>
      <c r="DI213" s="109" t="s">
        <v>2126</v>
      </c>
      <c r="DJ213" s="109" t="s">
        <v>2127</v>
      </c>
      <c r="DK213" s="109" t="s">
        <v>2128</v>
      </c>
      <c r="DL213" s="109" t="s">
        <v>2129</v>
      </c>
      <c r="DM213" s="109" t="s">
        <v>2130</v>
      </c>
      <c r="DN213" s="109" t="s">
        <v>2478</v>
      </c>
      <c r="DO213" s="109" t="s">
        <v>2479</v>
      </c>
      <c r="DP213" s="109" t="s">
        <v>2480</v>
      </c>
      <c r="DQ213" s="109" t="s">
        <v>2481</v>
      </c>
      <c r="DR213" s="109" t="s">
        <v>2135</v>
      </c>
      <c r="DS213" s="109" t="s">
        <v>2136</v>
      </c>
      <c r="DT213" s="109" t="s">
        <v>2482</v>
      </c>
      <c r="DU213" s="109" t="s">
        <v>2483</v>
      </c>
      <c r="DV213" s="109" t="s">
        <v>2139</v>
      </c>
      <c r="DW213" s="109" t="s">
        <v>2140</v>
      </c>
      <c r="DX213" s="109" t="s">
        <v>2141</v>
      </c>
      <c r="DY213" s="109" t="s">
        <v>2142</v>
      </c>
      <c r="DZ213" s="109" t="s">
        <v>2143</v>
      </c>
      <c r="EA213" s="109" t="s">
        <v>2144</v>
      </c>
      <c r="EB213" s="109" t="s">
        <v>2145</v>
      </c>
      <c r="EC213" s="109" t="s">
        <v>2146</v>
      </c>
      <c r="ED213" s="109" t="s">
        <v>2147</v>
      </c>
      <c r="EE213" s="109" t="s">
        <v>2148</v>
      </c>
      <c r="EF213" s="109" t="s">
        <v>2149</v>
      </c>
      <c r="EG213" s="109" t="s">
        <v>2150</v>
      </c>
      <c r="EH213" s="109" t="s">
        <v>2151</v>
      </c>
      <c r="EI213" s="109" t="s">
        <v>2152</v>
      </c>
      <c r="EJ213" s="109" t="s">
        <v>2153</v>
      </c>
      <c r="EK213" s="109" t="s">
        <v>2154</v>
      </c>
      <c r="EL213" s="109" t="s">
        <v>2155</v>
      </c>
      <c r="EM213" s="109" t="s">
        <v>2156</v>
      </c>
      <c r="EN213" s="109" t="s">
        <v>2157</v>
      </c>
    </row>
    <row r="214" spans="1:255">
      <c r="A214" s="110" t="s">
        <v>2158</v>
      </c>
      <c r="B214" s="111" t="s">
        <v>673</v>
      </c>
      <c r="C214" s="111" t="s">
        <v>673</v>
      </c>
      <c r="D214" s="111" t="s">
        <v>673</v>
      </c>
      <c r="E214" s="111" t="s">
        <v>673</v>
      </c>
      <c r="F214" s="111" t="s">
        <v>673</v>
      </c>
      <c r="G214" s="111" t="s">
        <v>673</v>
      </c>
      <c r="H214" s="111" t="s">
        <v>673</v>
      </c>
      <c r="I214" s="111" t="s">
        <v>673</v>
      </c>
      <c r="J214" s="111" t="s">
        <v>673</v>
      </c>
      <c r="K214" s="111" t="s">
        <v>673</v>
      </c>
      <c r="L214" s="111" t="s">
        <v>673</v>
      </c>
      <c r="M214" s="111" t="s">
        <v>673</v>
      </c>
      <c r="N214" s="111" t="s">
        <v>673</v>
      </c>
      <c r="O214" s="111" t="s">
        <v>673</v>
      </c>
      <c r="P214" s="111" t="s">
        <v>673</v>
      </c>
      <c r="Q214" s="111" t="s">
        <v>673</v>
      </c>
      <c r="R214" s="111" t="s">
        <v>673</v>
      </c>
      <c r="S214" s="111" t="s">
        <v>673</v>
      </c>
      <c r="T214" s="111" t="s">
        <v>673</v>
      </c>
      <c r="U214" s="111" t="s">
        <v>673</v>
      </c>
      <c r="V214" s="111" t="s">
        <v>673</v>
      </c>
      <c r="W214" s="111" t="s">
        <v>673</v>
      </c>
      <c r="X214" s="111" t="s">
        <v>673</v>
      </c>
      <c r="Y214" s="111" t="s">
        <v>673</v>
      </c>
      <c r="Z214" s="111" t="s">
        <v>673</v>
      </c>
      <c r="AA214" s="111" t="s">
        <v>673</v>
      </c>
      <c r="AB214" s="111" t="s">
        <v>673</v>
      </c>
      <c r="AC214" s="111" t="s">
        <v>673</v>
      </c>
      <c r="AD214" s="111" t="s">
        <v>673</v>
      </c>
      <c r="AE214" s="111" t="s">
        <v>673</v>
      </c>
      <c r="AG214" s="110" t="s">
        <v>2158</v>
      </c>
      <c r="AH214" s="111" t="s">
        <v>673</v>
      </c>
      <c r="AI214" s="111" t="s">
        <v>673</v>
      </c>
      <c r="AJ214" s="111" t="s">
        <v>673</v>
      </c>
      <c r="AK214" s="111" t="s">
        <v>673</v>
      </c>
      <c r="AL214" s="111" t="s">
        <v>673</v>
      </c>
      <c r="AM214" s="111" t="s">
        <v>673</v>
      </c>
      <c r="AN214" s="111" t="s">
        <v>673</v>
      </c>
      <c r="AO214" s="111" t="s">
        <v>673</v>
      </c>
      <c r="AP214" s="111" t="s">
        <v>673</v>
      </c>
      <c r="AQ214" s="111" t="s">
        <v>673</v>
      </c>
      <c r="AR214" s="111" t="s">
        <v>673</v>
      </c>
      <c r="AS214" s="111" t="s">
        <v>673</v>
      </c>
      <c r="AT214" s="111" t="s">
        <v>673</v>
      </c>
      <c r="AU214" s="111" t="s">
        <v>673</v>
      </c>
      <c r="AV214" s="111" t="s">
        <v>673</v>
      </c>
      <c r="AW214" s="111" t="s">
        <v>673</v>
      </c>
      <c r="AX214" s="111" t="s">
        <v>673</v>
      </c>
      <c r="AY214" s="111" t="s">
        <v>673</v>
      </c>
      <c r="AZ214" s="111" t="s">
        <v>673</v>
      </c>
      <c r="BA214" s="111" t="s">
        <v>673</v>
      </c>
      <c r="BB214" s="111" t="s">
        <v>673</v>
      </c>
      <c r="BC214" s="111" t="s">
        <v>673</v>
      </c>
      <c r="BD214" s="111" t="s">
        <v>673</v>
      </c>
      <c r="BE214" s="111" t="s">
        <v>673</v>
      </c>
      <c r="BF214" s="111" t="s">
        <v>673</v>
      </c>
      <c r="BG214" s="111" t="s">
        <v>673</v>
      </c>
      <c r="BH214" s="111" t="s">
        <v>673</v>
      </c>
      <c r="BI214" s="111" t="s">
        <v>673</v>
      </c>
      <c r="BJ214" s="111" t="s">
        <v>673</v>
      </c>
      <c r="BK214" s="111" t="s">
        <v>673</v>
      </c>
      <c r="BL214" s="111" t="s">
        <v>673</v>
      </c>
      <c r="BM214" s="111" t="s">
        <v>673</v>
      </c>
      <c r="BN214" s="111" t="s">
        <v>673</v>
      </c>
      <c r="BO214" s="111" t="s">
        <v>673</v>
      </c>
      <c r="BP214" s="111" t="s">
        <v>673</v>
      </c>
      <c r="BQ214" s="111" t="s">
        <v>673</v>
      </c>
      <c r="BR214" s="111" t="s">
        <v>673</v>
      </c>
      <c r="BS214" s="111" t="s">
        <v>673</v>
      </c>
      <c r="BT214" s="111" t="s">
        <v>673</v>
      </c>
      <c r="BU214" s="111" t="s">
        <v>673</v>
      </c>
      <c r="BV214" s="111" t="s">
        <v>673</v>
      </c>
      <c r="BW214" s="111" t="s">
        <v>673</v>
      </c>
      <c r="BX214" s="111" t="s">
        <v>673</v>
      </c>
      <c r="BY214" s="111" t="s">
        <v>673</v>
      </c>
      <c r="BZ214" s="111" t="s">
        <v>673</v>
      </c>
      <c r="CA214" s="111" t="s">
        <v>673</v>
      </c>
      <c r="CB214" s="111" t="s">
        <v>673</v>
      </c>
      <c r="CC214" s="111" t="s">
        <v>673</v>
      </c>
      <c r="CD214" s="111" t="s">
        <v>673</v>
      </c>
      <c r="CE214" s="111" t="s">
        <v>673</v>
      </c>
      <c r="CF214" s="111" t="s">
        <v>673</v>
      </c>
      <c r="CG214" s="111" t="s">
        <v>673</v>
      </c>
      <c r="CH214" s="111" t="s">
        <v>673</v>
      </c>
      <c r="CI214" s="111" t="s">
        <v>673</v>
      </c>
      <c r="CJ214" s="111" t="s">
        <v>673</v>
      </c>
      <c r="CK214" s="111" t="s">
        <v>673</v>
      </c>
      <c r="CL214" s="111" t="s">
        <v>673</v>
      </c>
      <c r="CM214" s="111" t="s">
        <v>673</v>
      </c>
      <c r="CN214" s="111" t="s">
        <v>673</v>
      </c>
      <c r="CO214" s="111" t="s">
        <v>673</v>
      </c>
      <c r="CP214" s="111" t="s">
        <v>673</v>
      </c>
      <c r="CQ214" s="111" t="s">
        <v>673</v>
      </c>
      <c r="CR214" s="111" t="s">
        <v>673</v>
      </c>
      <c r="CS214" s="111" t="s">
        <v>673</v>
      </c>
      <c r="CT214" s="111" t="s">
        <v>673</v>
      </c>
      <c r="CU214" s="111" t="s">
        <v>673</v>
      </c>
      <c r="CV214" s="111" t="s">
        <v>673</v>
      </c>
      <c r="CW214" s="111" t="s">
        <v>673</v>
      </c>
      <c r="CX214" s="111" t="s">
        <v>673</v>
      </c>
      <c r="CY214" s="111" t="s">
        <v>673</v>
      </c>
      <c r="CZ214" s="111" t="s">
        <v>673</v>
      </c>
      <c r="DA214" s="111" t="s">
        <v>673</v>
      </c>
      <c r="DB214" s="111" t="s">
        <v>673</v>
      </c>
      <c r="DC214" s="111" t="s">
        <v>673</v>
      </c>
      <c r="DD214" s="111" t="s">
        <v>673</v>
      </c>
      <c r="DE214" s="111" t="s">
        <v>673</v>
      </c>
      <c r="DF214" s="111" t="s">
        <v>673</v>
      </c>
      <c r="DG214" s="111" t="s">
        <v>673</v>
      </c>
      <c r="DH214" s="111" t="s">
        <v>673</v>
      </c>
      <c r="DI214" s="111" t="s">
        <v>673</v>
      </c>
      <c r="DJ214" s="111" t="s">
        <v>673</v>
      </c>
      <c r="DK214" s="111" t="s">
        <v>673</v>
      </c>
      <c r="DL214" s="111" t="s">
        <v>673</v>
      </c>
      <c r="DM214" s="111" t="s">
        <v>673</v>
      </c>
      <c r="DN214" s="111" t="s">
        <v>673</v>
      </c>
      <c r="DO214" s="111" t="s">
        <v>673</v>
      </c>
      <c r="DP214" s="111" t="s">
        <v>673</v>
      </c>
      <c r="DQ214" s="111" t="s">
        <v>673</v>
      </c>
      <c r="DR214" s="111" t="s">
        <v>673</v>
      </c>
      <c r="DS214" s="111" t="s">
        <v>673</v>
      </c>
      <c r="DT214" s="111" t="s">
        <v>673</v>
      </c>
      <c r="DU214" s="111" t="s">
        <v>673</v>
      </c>
      <c r="DV214" s="111" t="s">
        <v>673</v>
      </c>
      <c r="DW214" s="111" t="s">
        <v>673</v>
      </c>
      <c r="DX214" s="111" t="s">
        <v>673</v>
      </c>
      <c r="DY214" s="111" t="s">
        <v>673</v>
      </c>
      <c r="DZ214" s="111" t="s">
        <v>673</v>
      </c>
      <c r="EA214" s="111" t="s">
        <v>673</v>
      </c>
      <c r="EB214" s="111" t="s">
        <v>673</v>
      </c>
      <c r="EC214" s="111" t="s">
        <v>673</v>
      </c>
      <c r="ED214" s="111" t="s">
        <v>673</v>
      </c>
      <c r="EE214" s="111" t="s">
        <v>673</v>
      </c>
      <c r="EF214" s="111" t="s">
        <v>673</v>
      </c>
      <c r="EG214" s="111" t="s">
        <v>673</v>
      </c>
      <c r="EH214" s="111" t="s">
        <v>673</v>
      </c>
      <c r="EI214" s="111" t="s">
        <v>673</v>
      </c>
      <c r="EJ214" s="111" t="s">
        <v>673</v>
      </c>
      <c r="EK214" s="111" t="s">
        <v>673</v>
      </c>
      <c r="EL214" s="111" t="s">
        <v>673</v>
      </c>
      <c r="EM214" s="111" t="s">
        <v>673</v>
      </c>
      <c r="EN214" s="111" t="s">
        <v>673</v>
      </c>
    </row>
    <row r="215" spans="1:255" ht="10.5">
      <c r="A215" s="112" t="s">
        <v>401</v>
      </c>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G215" s="112" t="s">
        <v>401</v>
      </c>
      <c r="AH215" s="103"/>
      <c r="AI215" s="103"/>
      <c r="AJ215" s="103"/>
      <c r="AK215" s="103"/>
      <c r="AL215" s="103"/>
      <c r="AM215" s="103"/>
      <c r="AN215" s="103"/>
      <c r="AO215" s="103"/>
      <c r="AP215" s="103"/>
      <c r="AQ215" s="103"/>
      <c r="AR215" s="103"/>
      <c r="AS215" s="103"/>
      <c r="AT215" s="103"/>
      <c r="AU215" s="103"/>
      <c r="AV215" s="103"/>
      <c r="AW215" s="103"/>
      <c r="AX215" s="103"/>
      <c r="AY215" s="103"/>
      <c r="AZ215" s="103"/>
      <c r="BA215" s="103"/>
      <c r="BB215" s="103"/>
      <c r="BC215" s="103"/>
      <c r="BD215" s="103"/>
      <c r="BE215" s="103"/>
      <c r="BF215" s="103"/>
      <c r="BG215" s="103"/>
      <c r="BH215" s="103"/>
      <c r="BI215" s="103"/>
      <c r="BJ215" s="103"/>
      <c r="BK215" s="103"/>
      <c r="BL215" s="103"/>
      <c r="BM215" s="103"/>
      <c r="BN215" s="103"/>
      <c r="BO215" s="103"/>
      <c r="BP215" s="103"/>
      <c r="BQ215" s="103"/>
      <c r="BR215" s="103"/>
      <c r="BS215" s="103"/>
      <c r="BT215" s="103"/>
      <c r="BU215" s="103"/>
      <c r="BV215" s="103"/>
      <c r="BW215" s="103"/>
      <c r="BX215" s="103"/>
      <c r="BY215" s="103"/>
      <c r="BZ215" s="103"/>
      <c r="CA215" s="103"/>
      <c r="CB215" s="103"/>
      <c r="CC215" s="103"/>
      <c r="CD215" s="103"/>
      <c r="CE215" s="103"/>
      <c r="CF215" s="103"/>
      <c r="CG215" s="103"/>
      <c r="CH215" s="103"/>
      <c r="CI215" s="103"/>
      <c r="CJ215" s="103"/>
      <c r="CK215" s="103"/>
      <c r="CL215" s="103"/>
      <c r="CM215" s="103"/>
      <c r="CN215" s="103"/>
      <c r="CO215" s="103"/>
      <c r="CP215" s="103"/>
      <c r="CQ215" s="103"/>
      <c r="CR215" s="103"/>
      <c r="CS215" s="103"/>
      <c r="CT215" s="103"/>
      <c r="CU215" s="103"/>
      <c r="CV215" s="103"/>
      <c r="CW215" s="103"/>
      <c r="CX215" s="103"/>
      <c r="CY215" s="103"/>
      <c r="CZ215" s="103"/>
      <c r="DA215" s="103"/>
      <c r="DB215" s="103"/>
      <c r="DC215" s="103"/>
      <c r="DD215" s="103"/>
      <c r="DE215" s="103"/>
      <c r="DF215" s="103"/>
      <c r="DG215" s="103"/>
      <c r="DH215" s="103"/>
      <c r="DI215" s="103"/>
      <c r="DJ215" s="103"/>
      <c r="DK215" s="103"/>
      <c r="DL215" s="103"/>
      <c r="DM215" s="103"/>
      <c r="DN215" s="103"/>
      <c r="DO215" s="103"/>
      <c r="DP215" s="103"/>
      <c r="DQ215" s="103"/>
      <c r="DR215" s="103"/>
      <c r="DS215" s="103"/>
      <c r="DT215" s="103"/>
      <c r="DU215" s="103"/>
      <c r="DV215" s="103"/>
      <c r="DW215" s="103"/>
      <c r="DX215" s="103"/>
      <c r="DY215" s="103"/>
      <c r="DZ215" s="103"/>
      <c r="EA215" s="103"/>
      <c r="EB215" s="103"/>
      <c r="EC215" s="103"/>
      <c r="ED215" s="103"/>
      <c r="EE215" s="103"/>
      <c r="EF215" s="103"/>
      <c r="EG215" s="103"/>
      <c r="EH215" s="103"/>
      <c r="EI215" s="103"/>
      <c r="EJ215" s="103"/>
      <c r="EK215" s="103"/>
      <c r="EL215" s="103"/>
      <c r="EM215" s="103"/>
      <c r="EN215" s="103"/>
    </row>
    <row r="216" spans="1:255" ht="10.5">
      <c r="A216" s="112" t="s">
        <v>300</v>
      </c>
      <c r="B216" s="115">
        <v>463</v>
      </c>
      <c r="C216" s="115">
        <v>708</v>
      </c>
      <c r="D216" s="115">
        <v>953</v>
      </c>
      <c r="E216" s="115">
        <v>1146</v>
      </c>
      <c r="F216" s="115">
        <v>1453</v>
      </c>
      <c r="G216" s="115">
        <v>2195</v>
      </c>
      <c r="H216" s="115">
        <v>3454</v>
      </c>
      <c r="I216" s="115">
        <v>4490</v>
      </c>
      <c r="J216" s="115">
        <v>7785</v>
      </c>
      <c r="K216" s="115">
        <v>9421</v>
      </c>
      <c r="L216" s="115">
        <v>7346</v>
      </c>
      <c r="M216" s="115">
        <v>5355</v>
      </c>
      <c r="N216" s="115">
        <v>7531</v>
      </c>
      <c r="O216" s="115">
        <v>8168</v>
      </c>
      <c r="P216" s="115">
        <v>12254</v>
      </c>
      <c r="Q216" s="115">
        <v>12599</v>
      </c>
      <c r="R216" s="115">
        <v>14065</v>
      </c>
      <c r="S216" s="115">
        <v>17681</v>
      </c>
      <c r="T216" s="115">
        <v>14569</v>
      </c>
      <c r="U216" s="115">
        <v>18760</v>
      </c>
      <c r="V216" s="115">
        <v>23150</v>
      </c>
      <c r="W216" s="115">
        <v>16978</v>
      </c>
      <c r="X216" s="115">
        <v>21863</v>
      </c>
      <c r="Y216" s="115">
        <v>22074</v>
      </c>
      <c r="Z216" s="115">
        <v>12193</v>
      </c>
      <c r="AA216" s="115">
        <v>20539</v>
      </c>
      <c r="AB216" s="115">
        <v>25489</v>
      </c>
      <c r="AC216" s="115">
        <v>16571</v>
      </c>
      <c r="AD216" s="115">
        <v>39240</v>
      </c>
      <c r="AE216" s="115">
        <v>46266</v>
      </c>
      <c r="AG216" s="112" t="s">
        <v>300</v>
      </c>
      <c r="AH216" s="115">
        <v>222.5</v>
      </c>
      <c r="AI216" s="115">
        <v>222.5</v>
      </c>
      <c r="AJ216" s="115">
        <v>243</v>
      </c>
      <c r="AK216" s="115">
        <v>265</v>
      </c>
      <c r="AL216" s="115">
        <v>239</v>
      </c>
      <c r="AM216" s="115">
        <v>289</v>
      </c>
      <c r="AN216" s="115">
        <v>256</v>
      </c>
      <c r="AO216" s="115">
        <v>362</v>
      </c>
      <c r="AP216" s="115">
        <v>316</v>
      </c>
      <c r="AQ216" s="115">
        <v>373</v>
      </c>
      <c r="AR216" s="115">
        <v>396</v>
      </c>
      <c r="AS216" s="115">
        <v>368</v>
      </c>
      <c r="AT216" s="115">
        <v>499</v>
      </c>
      <c r="AU216" s="115">
        <v>575</v>
      </c>
      <c r="AV216" s="115">
        <v>562</v>
      </c>
      <c r="AW216" s="115">
        <v>559</v>
      </c>
      <c r="AX216" s="115">
        <v>614</v>
      </c>
      <c r="AY216" s="115">
        <v>741</v>
      </c>
      <c r="AZ216" s="115">
        <v>1042</v>
      </c>
      <c r="BA216" s="115">
        <v>1057</v>
      </c>
      <c r="BB216" s="115">
        <v>663</v>
      </c>
      <c r="BC216" s="115">
        <v>1133</v>
      </c>
      <c r="BD216" s="115">
        <v>1337</v>
      </c>
      <c r="BE216" s="115">
        <v>1357</v>
      </c>
      <c r="BF216" s="115">
        <v>1683</v>
      </c>
      <c r="BG216" s="115">
        <v>1983</v>
      </c>
      <c r="BH216" s="115">
        <v>1917</v>
      </c>
      <c r="BI216" s="115">
        <v>2202</v>
      </c>
      <c r="BJ216" s="115">
        <v>2191</v>
      </c>
      <c r="BK216" s="115">
        <v>2436</v>
      </c>
      <c r="BL216" s="115">
        <v>2385</v>
      </c>
      <c r="BM216" s="115">
        <v>2409</v>
      </c>
      <c r="BN216" s="115">
        <v>2206</v>
      </c>
      <c r="BO216" s="115">
        <v>2624</v>
      </c>
      <c r="BP216" s="115">
        <v>2451</v>
      </c>
      <c r="BQ216" s="115">
        <v>65</v>
      </c>
      <c r="BR216" s="115">
        <v>1283</v>
      </c>
      <c r="BS216" s="115">
        <v>2283</v>
      </c>
      <c r="BT216" s="115">
        <v>2738</v>
      </c>
      <c r="BU216" s="115">
        <v>1525</v>
      </c>
      <c r="BV216" s="115">
        <v>2041</v>
      </c>
      <c r="BW216" s="115">
        <v>1865</v>
      </c>
      <c r="BX216" s="115">
        <v>2142</v>
      </c>
      <c r="BY216" s="115">
        <v>1483</v>
      </c>
      <c r="BZ216" s="115">
        <v>2614</v>
      </c>
      <c r="CA216" s="115">
        <v>1549</v>
      </c>
      <c r="CB216" s="115">
        <v>1315</v>
      </c>
      <c r="CC216" s="115">
        <v>2690</v>
      </c>
      <c r="CD216" s="115">
        <v>2528</v>
      </c>
      <c r="CE216" s="115">
        <v>3463</v>
      </c>
      <c r="CF216" s="115">
        <v>2563</v>
      </c>
      <c r="CG216" s="115">
        <v>3700</v>
      </c>
      <c r="CH216" s="115">
        <v>3141</v>
      </c>
      <c r="CI216" s="115">
        <v>3653</v>
      </c>
      <c r="CJ216" s="115">
        <v>2977</v>
      </c>
      <c r="CK216" s="115">
        <v>2828</v>
      </c>
      <c r="CL216" s="115">
        <v>3478</v>
      </c>
      <c r="CM216" s="115">
        <v>2626</v>
      </c>
      <c r="CN216" s="115">
        <v>4926</v>
      </c>
      <c r="CO216" s="115">
        <v>3035</v>
      </c>
      <c r="CP216" s="115">
        <v>4289</v>
      </c>
      <c r="CQ216" s="115">
        <v>4707</v>
      </c>
      <c r="CR216" s="115">
        <v>4388</v>
      </c>
      <c r="CS216" s="115">
        <v>4297</v>
      </c>
      <c r="CT216" s="115">
        <v>4373</v>
      </c>
      <c r="CU216" s="115">
        <v>4174</v>
      </c>
      <c r="CV216" s="115">
        <v>2977</v>
      </c>
      <c r="CW216" s="115">
        <v>3045</v>
      </c>
      <c r="CX216" s="115">
        <v>3574</v>
      </c>
      <c r="CY216" s="115">
        <v>6662</v>
      </c>
      <c r="CZ216" s="115">
        <v>4006</v>
      </c>
      <c r="DA216" s="115">
        <v>4518</v>
      </c>
      <c r="DB216" s="115">
        <v>5410</v>
      </c>
      <c r="DC216" s="115">
        <v>6634</v>
      </c>
      <c r="DD216" s="115">
        <v>5232</v>
      </c>
      <c r="DE216" s="115">
        <v>5874</v>
      </c>
      <c r="DF216" s="115">
        <v>5738</v>
      </c>
      <c r="DG216" s="115">
        <v>6624</v>
      </c>
      <c r="DH216" s="115">
        <v>5108</v>
      </c>
      <c r="DI216" s="115">
        <v>-492</v>
      </c>
      <c r="DJ216" s="115">
        <v>4466</v>
      </c>
      <c r="DK216" s="115">
        <v>6377</v>
      </c>
      <c r="DL216" s="115">
        <v>6055</v>
      </c>
      <c r="DM216" s="115">
        <v>4965</v>
      </c>
      <c r="DN216" s="115">
        <v>5244</v>
      </c>
      <c r="DO216" s="115">
        <v>6558</v>
      </c>
      <c r="DP216" s="115">
        <v>5660</v>
      </c>
      <c r="DQ216" s="115">
        <v>4612</v>
      </c>
      <c r="DR216" s="115">
        <v>4540</v>
      </c>
      <c r="DS216" s="115">
        <v>5863</v>
      </c>
      <c r="DT216" s="115">
        <v>4985</v>
      </c>
      <c r="DU216" s="115">
        <v>-3195</v>
      </c>
      <c r="DV216" s="115">
        <v>4902</v>
      </c>
      <c r="DW216" s="115">
        <v>5018</v>
      </c>
      <c r="DX216" s="115">
        <v>3756</v>
      </c>
      <c r="DY216" s="115">
        <v>3122</v>
      </c>
      <c r="DZ216" s="115">
        <v>5667</v>
      </c>
      <c r="EA216" s="115">
        <v>6267</v>
      </c>
      <c r="EB216" s="115">
        <v>5486</v>
      </c>
      <c r="EC216" s="115">
        <v>8069</v>
      </c>
      <c r="ED216" s="115">
        <v>6576</v>
      </c>
      <c r="EE216" s="115">
        <v>-6302</v>
      </c>
      <c r="EF216" s="115">
        <v>7424</v>
      </c>
      <c r="EG216" s="115">
        <v>8873</v>
      </c>
      <c r="EH216" s="115">
        <v>8824</v>
      </c>
      <c r="EI216" s="115">
        <v>8420</v>
      </c>
      <c r="EJ216" s="115">
        <v>8809</v>
      </c>
      <c r="EK216" s="115">
        <v>13187</v>
      </c>
      <c r="EL216" s="115">
        <v>10678</v>
      </c>
      <c r="EM216" s="115">
        <v>11649</v>
      </c>
      <c r="EN216" s="115">
        <v>10752</v>
      </c>
    </row>
    <row r="217" spans="1:255">
      <c r="A217" s="103" t="s">
        <v>2165</v>
      </c>
      <c r="B217" s="113">
        <v>56</v>
      </c>
      <c r="C217" s="113">
        <v>112</v>
      </c>
      <c r="D217" s="113">
        <v>151</v>
      </c>
      <c r="E217" s="113">
        <v>237</v>
      </c>
      <c r="F217" s="113">
        <v>269</v>
      </c>
      <c r="G217" s="113">
        <v>480</v>
      </c>
      <c r="H217" s="113">
        <v>353</v>
      </c>
      <c r="I217" s="113">
        <v>528</v>
      </c>
      <c r="J217" s="113">
        <v>483</v>
      </c>
      <c r="K217" s="113">
        <v>668</v>
      </c>
      <c r="L217" s="113">
        <v>764</v>
      </c>
      <c r="M217" s="113">
        <v>820</v>
      </c>
      <c r="N217" s="113">
        <v>929</v>
      </c>
      <c r="O217" s="113">
        <v>647</v>
      </c>
      <c r="P217" s="113">
        <v>723</v>
      </c>
      <c r="Q217" s="113">
        <v>776</v>
      </c>
      <c r="R217" s="113">
        <v>1200</v>
      </c>
      <c r="S217" s="113">
        <v>1400</v>
      </c>
      <c r="T217" s="113">
        <v>1700</v>
      </c>
      <c r="U217" s="113">
        <v>1800</v>
      </c>
      <c r="V217" s="113">
        <v>2000</v>
      </c>
      <c r="W217" s="113">
        <v>2200</v>
      </c>
      <c r="X217" s="113">
        <v>2600</v>
      </c>
      <c r="Y217" s="113">
        <v>3400</v>
      </c>
      <c r="Z217" s="113">
        <v>4100</v>
      </c>
      <c r="AA217" s="113">
        <v>4900</v>
      </c>
      <c r="AB217" s="113">
        <v>6100</v>
      </c>
      <c r="AC217" s="113">
        <v>7700</v>
      </c>
      <c r="AD217" s="113">
        <v>9700</v>
      </c>
      <c r="AE217" s="113">
        <v>10534</v>
      </c>
      <c r="AG217" s="103" t="s">
        <v>2165</v>
      </c>
      <c r="AH217" s="113">
        <v>37</v>
      </c>
      <c r="AI217" s="113">
        <v>37</v>
      </c>
      <c r="AJ217" s="113">
        <v>38</v>
      </c>
      <c r="AK217" s="113">
        <v>39</v>
      </c>
      <c r="AL217" s="113">
        <v>41</v>
      </c>
      <c r="AM217" s="113">
        <v>47</v>
      </c>
      <c r="AN217" s="113">
        <v>73</v>
      </c>
      <c r="AO217" s="113">
        <v>76</v>
      </c>
      <c r="AP217" s="113">
        <v>67</v>
      </c>
      <c r="AQ217" s="113">
        <v>66</v>
      </c>
      <c r="AR217" s="113">
        <v>70</v>
      </c>
      <c r="AS217" s="113">
        <v>24</v>
      </c>
      <c r="AT217" s="113">
        <v>69</v>
      </c>
      <c r="AU217" s="113">
        <v>78</v>
      </c>
      <c r="AV217" s="113">
        <v>189</v>
      </c>
      <c r="AW217" s="113">
        <v>27</v>
      </c>
      <c r="AX217" s="113">
        <v>162</v>
      </c>
      <c r="AY217" s="113">
        <v>144</v>
      </c>
      <c r="AZ217" s="113">
        <v>108</v>
      </c>
      <c r="BA217" s="113">
        <v>143</v>
      </c>
      <c r="BB217" s="113">
        <v>228</v>
      </c>
      <c r="BC217" s="113">
        <v>269</v>
      </c>
      <c r="BD217" s="113">
        <v>279</v>
      </c>
      <c r="BE217" s="113">
        <v>248</v>
      </c>
      <c r="BF217" s="113">
        <v>179</v>
      </c>
      <c r="BG217" s="113">
        <v>177</v>
      </c>
      <c r="BH217" s="113">
        <v>158</v>
      </c>
      <c r="BI217" s="113">
        <v>-31</v>
      </c>
      <c r="BJ217" s="113">
        <v>345</v>
      </c>
      <c r="BK217" s="113">
        <v>325</v>
      </c>
      <c r="BL217" s="113">
        <v>275</v>
      </c>
      <c r="BM217" s="113">
        <v>-52</v>
      </c>
      <c r="BN217" s="113">
        <v>250</v>
      </c>
      <c r="BO217" s="113">
        <v>239</v>
      </c>
      <c r="BP217" s="113">
        <v>483</v>
      </c>
      <c r="BQ217" s="113">
        <v>-6</v>
      </c>
      <c r="BR217" s="113">
        <v>282</v>
      </c>
      <c r="BS217" s="113">
        <v>295</v>
      </c>
      <c r="BT217" s="113">
        <v>148</v>
      </c>
      <c r="BU217" s="113">
        <v>95</v>
      </c>
      <c r="BV217" s="113">
        <v>273</v>
      </c>
      <c r="BW217" s="113">
        <v>275</v>
      </c>
      <c r="BX217" s="113">
        <v>383</v>
      </c>
      <c r="BY217" s="113">
        <v>159</v>
      </c>
      <c r="BZ217" s="113">
        <v>328</v>
      </c>
      <c r="CA217" s="113">
        <v>300</v>
      </c>
      <c r="CB217" s="113">
        <v>249</v>
      </c>
      <c r="CC217" s="113">
        <v>-60</v>
      </c>
      <c r="CD217" s="113">
        <v>183</v>
      </c>
      <c r="CE217" s="113">
        <v>108</v>
      </c>
      <c r="CF217" s="113">
        <v>282</v>
      </c>
      <c r="CG217" s="113">
        <v>150</v>
      </c>
      <c r="CH217" s="113">
        <v>234</v>
      </c>
      <c r="CI217" s="113">
        <v>231</v>
      </c>
      <c r="CJ217" s="113">
        <v>177</v>
      </c>
      <c r="CK217" s="113">
        <v>221</v>
      </c>
      <c r="CL217" s="113">
        <v>211</v>
      </c>
      <c r="CM217" s="113">
        <v>313</v>
      </c>
      <c r="CN217" s="113">
        <v>387</v>
      </c>
      <c r="CO217" s="113">
        <v>293</v>
      </c>
      <c r="CP217" s="113">
        <v>333</v>
      </c>
      <c r="CQ217" s="113">
        <v>369</v>
      </c>
      <c r="CR217" s="113">
        <v>411</v>
      </c>
      <c r="CS217" s="113">
        <v>287</v>
      </c>
      <c r="CT217" s="113">
        <v>445</v>
      </c>
      <c r="CU217" s="113">
        <v>487</v>
      </c>
      <c r="CV217" s="113">
        <v>508</v>
      </c>
      <c r="CW217" s="113">
        <v>260</v>
      </c>
      <c r="CX217" s="113">
        <v>497</v>
      </c>
      <c r="CY217" s="113">
        <v>446</v>
      </c>
      <c r="CZ217" s="113">
        <v>496</v>
      </c>
      <c r="DA217" s="113">
        <v>361</v>
      </c>
      <c r="DB217" s="113">
        <v>544</v>
      </c>
      <c r="DC217" s="113">
        <v>507</v>
      </c>
      <c r="DD217" s="113">
        <v>720</v>
      </c>
      <c r="DE217" s="113">
        <v>460</v>
      </c>
      <c r="DF217" s="113">
        <v>588</v>
      </c>
      <c r="DG217" s="113">
        <v>495</v>
      </c>
      <c r="DH217" s="113">
        <v>596</v>
      </c>
      <c r="DI217" s="113">
        <v>521</v>
      </c>
      <c r="DJ217" s="113">
        <v>492</v>
      </c>
      <c r="DK217" s="113">
        <v>750</v>
      </c>
      <c r="DL217" s="113">
        <v>814</v>
      </c>
      <c r="DM217" s="113">
        <v>544</v>
      </c>
      <c r="DN217" s="113">
        <v>746</v>
      </c>
      <c r="DO217" s="113">
        <v>1045</v>
      </c>
      <c r="DP217" s="113">
        <v>1035</v>
      </c>
      <c r="DQ217" s="113">
        <v>574</v>
      </c>
      <c r="DR217" s="113">
        <v>1016</v>
      </c>
      <c r="DS217" s="113">
        <v>1177</v>
      </c>
      <c r="DT217" s="113">
        <v>1141</v>
      </c>
      <c r="DU217" s="113">
        <v>804</v>
      </c>
      <c r="DV217" s="113">
        <v>1201</v>
      </c>
      <c r="DW217" s="113">
        <v>1277</v>
      </c>
      <c r="DX217" s="113">
        <v>1440</v>
      </c>
      <c r="DY217" s="113">
        <v>983</v>
      </c>
      <c r="DZ217" s="113">
        <v>1602</v>
      </c>
      <c r="EA217" s="113">
        <v>1851</v>
      </c>
      <c r="EB217" s="113">
        <v>1864</v>
      </c>
      <c r="EC217" s="113">
        <v>832</v>
      </c>
      <c r="ED217" s="113">
        <v>1936</v>
      </c>
      <c r="EE217" s="113">
        <v>1974</v>
      </c>
      <c r="EF217" s="113">
        <v>2150</v>
      </c>
      <c r="EG217" s="113">
        <v>1655</v>
      </c>
      <c r="EH217" s="113">
        <v>2281</v>
      </c>
      <c r="EI217" s="113">
        <v>2465</v>
      </c>
      <c r="EJ217" s="113">
        <v>2495</v>
      </c>
      <c r="EK217" s="113">
        <v>2442</v>
      </c>
      <c r="EL217" s="113">
        <v>2537</v>
      </c>
      <c r="EM217" s="113">
        <v>2792</v>
      </c>
      <c r="EN217" s="113">
        <v>2762</v>
      </c>
    </row>
    <row r="218" spans="1:255">
      <c r="A218" s="103" t="s">
        <v>2484</v>
      </c>
      <c r="B218" s="113">
        <v>20</v>
      </c>
      <c r="C218" s="113">
        <v>0</v>
      </c>
      <c r="D218" s="113">
        <v>0</v>
      </c>
      <c r="E218" s="113">
        <v>0</v>
      </c>
      <c r="F218" s="113">
        <v>0</v>
      </c>
      <c r="G218" s="113">
        <v>0</v>
      </c>
      <c r="H218" s="113">
        <v>204</v>
      </c>
      <c r="I218" s="113">
        <v>0</v>
      </c>
      <c r="J218" s="113">
        <v>0</v>
      </c>
      <c r="K218" s="113">
        <v>348</v>
      </c>
      <c r="L218" s="113">
        <v>772</v>
      </c>
      <c r="M218" s="113">
        <v>118</v>
      </c>
      <c r="N218" s="113">
        <v>464</v>
      </c>
      <c r="O218" s="113">
        <v>170</v>
      </c>
      <c r="P218" s="113">
        <v>161</v>
      </c>
      <c r="Q218" s="113">
        <v>127</v>
      </c>
      <c r="R218" s="113">
        <v>236</v>
      </c>
      <c r="S218" s="113">
        <v>472</v>
      </c>
      <c r="T218" s="113">
        <v>591</v>
      </c>
      <c r="U218" s="113">
        <v>707</v>
      </c>
      <c r="V218" s="113">
        <v>537</v>
      </c>
      <c r="W218" s="113">
        <v>558</v>
      </c>
      <c r="X218" s="113">
        <v>739</v>
      </c>
      <c r="Y218" s="113">
        <v>845</v>
      </c>
      <c r="Z218" s="113">
        <v>1300</v>
      </c>
      <c r="AA218" s="113">
        <v>978</v>
      </c>
      <c r="AB218" s="113">
        <v>1700</v>
      </c>
      <c r="AC218" s="113">
        <v>2200</v>
      </c>
      <c r="AD218" s="113">
        <v>1900</v>
      </c>
      <c r="AE218" s="113">
        <v>1600</v>
      </c>
      <c r="AG218" s="103" t="s">
        <v>2484</v>
      </c>
      <c r="AH218" s="113">
        <v>0</v>
      </c>
      <c r="AI218" s="113">
        <v>0</v>
      </c>
      <c r="AJ218" s="113">
        <v>0</v>
      </c>
      <c r="AK218" s="113">
        <v>0</v>
      </c>
      <c r="AL218" s="113">
        <v>0</v>
      </c>
      <c r="AM218" s="113">
        <v>0</v>
      </c>
      <c r="AN218" s="113">
        <v>0</v>
      </c>
      <c r="AO218" s="113">
        <v>0</v>
      </c>
      <c r="AP218" s="113">
        <v>0</v>
      </c>
      <c r="AQ218" s="113">
        <v>0</v>
      </c>
      <c r="AR218" s="113">
        <v>0</v>
      </c>
      <c r="AS218" s="113">
        <v>42</v>
      </c>
      <c r="AT218" s="113">
        <v>0</v>
      </c>
      <c r="AU218" s="113">
        <v>0</v>
      </c>
      <c r="AV218" s="113">
        <v>0</v>
      </c>
      <c r="AW218" s="113">
        <v>117</v>
      </c>
      <c r="AX218" s="113">
        <v>0</v>
      </c>
      <c r="AY218" s="113">
        <v>0</v>
      </c>
      <c r="AZ218" s="113">
        <v>0</v>
      </c>
      <c r="BA218" s="113">
        <v>0</v>
      </c>
      <c r="BB218" s="113">
        <v>0</v>
      </c>
      <c r="BC218" s="113">
        <v>0</v>
      </c>
      <c r="BD218" s="113">
        <v>0</v>
      </c>
      <c r="BE218" s="113">
        <v>0</v>
      </c>
      <c r="BF218" s="113">
        <v>0</v>
      </c>
      <c r="BG218" s="113">
        <v>0</v>
      </c>
      <c r="BH218" s="113">
        <v>0</v>
      </c>
      <c r="BI218" s="113">
        <v>0</v>
      </c>
      <c r="BJ218" s="113">
        <v>0</v>
      </c>
      <c r="BK218" s="113">
        <v>0</v>
      </c>
      <c r="BL218" s="113">
        <v>0</v>
      </c>
      <c r="BM218" s="113">
        <v>0</v>
      </c>
      <c r="BN218" s="113">
        <v>0</v>
      </c>
      <c r="BO218" s="113">
        <v>0</v>
      </c>
      <c r="BP218" s="113">
        <v>0</v>
      </c>
      <c r="BQ218" s="113">
        <v>0</v>
      </c>
      <c r="BR218" s="113">
        <v>0</v>
      </c>
      <c r="BS218" s="113">
        <v>0</v>
      </c>
      <c r="BT218" s="113">
        <v>0</v>
      </c>
      <c r="BU218" s="113">
        <v>194</v>
      </c>
      <c r="BV218" s="113">
        <v>0</v>
      </c>
      <c r="BW218" s="113">
        <v>0</v>
      </c>
      <c r="BX218" s="113">
        <v>0</v>
      </c>
      <c r="BY218" s="113">
        <v>0</v>
      </c>
      <c r="BZ218" s="113">
        <v>0</v>
      </c>
      <c r="CA218" s="113">
        <v>0</v>
      </c>
      <c r="CB218" s="113">
        <v>0</v>
      </c>
      <c r="CC218" s="113">
        <v>0</v>
      </c>
      <c r="CD218" s="113">
        <v>0</v>
      </c>
      <c r="CE218" s="113">
        <v>0</v>
      </c>
      <c r="CF218" s="113">
        <v>0</v>
      </c>
      <c r="CG218" s="113">
        <v>161</v>
      </c>
      <c r="CH218" s="113">
        <v>0</v>
      </c>
      <c r="CI218" s="113">
        <v>0</v>
      </c>
      <c r="CJ218" s="113">
        <v>0</v>
      </c>
      <c r="CK218" s="113">
        <v>127</v>
      </c>
      <c r="CL218" s="113">
        <v>38</v>
      </c>
      <c r="CM218" s="113">
        <v>52</v>
      </c>
      <c r="CN218" s="113">
        <v>58</v>
      </c>
      <c r="CO218" s="113">
        <v>88</v>
      </c>
      <c r="CP218" s="113">
        <v>102</v>
      </c>
      <c r="CQ218" s="113">
        <v>112</v>
      </c>
      <c r="CR218" s="113">
        <v>121</v>
      </c>
      <c r="CS218" s="113">
        <v>137</v>
      </c>
      <c r="CT218" s="113">
        <v>140</v>
      </c>
      <c r="CU218" s="113">
        <v>145</v>
      </c>
      <c r="CV218" s="113">
        <v>156</v>
      </c>
      <c r="CW218" s="113">
        <v>150</v>
      </c>
      <c r="CX218" s="113">
        <v>149</v>
      </c>
      <c r="CY218" s="113">
        <v>169</v>
      </c>
      <c r="CZ218" s="113">
        <v>198</v>
      </c>
      <c r="DA218" s="113">
        <v>191</v>
      </c>
      <c r="DB218" s="113">
        <v>124</v>
      </c>
      <c r="DC218" s="113">
        <v>126</v>
      </c>
      <c r="DD218" s="113">
        <v>0</v>
      </c>
      <c r="DE218" s="113">
        <v>0</v>
      </c>
      <c r="DF218" s="113">
        <v>109</v>
      </c>
      <c r="DG218" s="113">
        <v>155</v>
      </c>
      <c r="DH218" s="113">
        <v>142</v>
      </c>
      <c r="DI218" s="113">
        <v>152</v>
      </c>
      <c r="DJ218" s="113">
        <v>178</v>
      </c>
      <c r="DK218" s="113">
        <v>198</v>
      </c>
      <c r="DL218" s="113">
        <v>187</v>
      </c>
      <c r="DM218" s="113">
        <v>176</v>
      </c>
      <c r="DN218" s="113">
        <v>162</v>
      </c>
      <c r="DO218" s="113">
        <v>166</v>
      </c>
      <c r="DP218" s="113">
        <v>170</v>
      </c>
      <c r="DQ218" s="113">
        <v>347</v>
      </c>
      <c r="DR218" s="113">
        <v>372</v>
      </c>
      <c r="DS218" s="113">
        <v>329</v>
      </c>
      <c r="DT218" s="113">
        <v>361</v>
      </c>
      <c r="DU218" s="113">
        <v>200</v>
      </c>
      <c r="DV218" s="113">
        <v>242</v>
      </c>
      <c r="DW218" s="113">
        <v>249</v>
      </c>
      <c r="DX218" s="113">
        <v>249</v>
      </c>
      <c r="DY218" s="113">
        <v>238</v>
      </c>
      <c r="DZ218" s="113">
        <v>214</v>
      </c>
      <c r="EA218" s="113">
        <v>315</v>
      </c>
      <c r="EB218" s="113">
        <v>589</v>
      </c>
      <c r="EC218" s="113">
        <v>533</v>
      </c>
      <c r="ED218" s="113">
        <v>563</v>
      </c>
      <c r="EE218" s="113">
        <v>562</v>
      </c>
      <c r="EF218" s="113">
        <v>560</v>
      </c>
      <c r="EG218" s="113">
        <v>500</v>
      </c>
      <c r="EH218" s="113">
        <v>556</v>
      </c>
      <c r="EI218" s="113">
        <v>530</v>
      </c>
      <c r="EJ218" s="113">
        <v>431</v>
      </c>
      <c r="EK218" s="113">
        <v>400</v>
      </c>
      <c r="EL218" s="113">
        <v>434</v>
      </c>
      <c r="EM218" s="113">
        <v>411</v>
      </c>
      <c r="EN218" s="113">
        <v>356</v>
      </c>
    </row>
    <row r="219" spans="1:255" ht="10.5">
      <c r="A219" s="112" t="s">
        <v>2485</v>
      </c>
      <c r="B219" s="114">
        <v>76</v>
      </c>
      <c r="C219" s="114">
        <v>112</v>
      </c>
      <c r="D219" s="114">
        <v>151</v>
      </c>
      <c r="E219" s="114">
        <v>237</v>
      </c>
      <c r="F219" s="114">
        <v>269</v>
      </c>
      <c r="G219" s="114">
        <v>480</v>
      </c>
      <c r="H219" s="114">
        <v>557</v>
      </c>
      <c r="I219" s="114">
        <v>528</v>
      </c>
      <c r="J219" s="114">
        <v>483</v>
      </c>
      <c r="K219" s="114">
        <v>1016</v>
      </c>
      <c r="L219" s="114">
        <v>1536</v>
      </c>
      <c r="M219" s="114">
        <v>938</v>
      </c>
      <c r="N219" s="114">
        <v>1393</v>
      </c>
      <c r="O219" s="114">
        <v>817</v>
      </c>
      <c r="P219" s="114">
        <v>884</v>
      </c>
      <c r="Q219" s="114">
        <v>903</v>
      </c>
      <c r="R219" s="114">
        <v>1436</v>
      </c>
      <c r="S219" s="114">
        <v>1872</v>
      </c>
      <c r="T219" s="114">
        <v>2291</v>
      </c>
      <c r="U219" s="114">
        <v>2507</v>
      </c>
      <c r="V219" s="114">
        <v>2537</v>
      </c>
      <c r="W219" s="114">
        <v>2758</v>
      </c>
      <c r="X219" s="114">
        <v>3339</v>
      </c>
      <c r="Y219" s="114">
        <v>4245</v>
      </c>
      <c r="Z219" s="114">
        <v>5400</v>
      </c>
      <c r="AA219" s="114">
        <v>5878</v>
      </c>
      <c r="AB219" s="114">
        <v>7800</v>
      </c>
      <c r="AC219" s="114">
        <v>9900</v>
      </c>
      <c r="AD219" s="114">
        <v>11600</v>
      </c>
      <c r="AE219" s="114">
        <v>12134</v>
      </c>
      <c r="AG219" s="112" t="s">
        <v>2485</v>
      </c>
      <c r="AH219" s="114">
        <v>37</v>
      </c>
      <c r="AI219" s="114">
        <v>37</v>
      </c>
      <c r="AJ219" s="114">
        <v>38</v>
      </c>
      <c r="AK219" s="114">
        <v>39</v>
      </c>
      <c r="AL219" s="114">
        <v>41</v>
      </c>
      <c r="AM219" s="114">
        <v>47</v>
      </c>
      <c r="AN219" s="114">
        <v>73</v>
      </c>
      <c r="AO219" s="114">
        <v>76</v>
      </c>
      <c r="AP219" s="114">
        <v>67</v>
      </c>
      <c r="AQ219" s="114">
        <v>66</v>
      </c>
      <c r="AR219" s="114">
        <v>70</v>
      </c>
      <c r="AS219" s="114">
        <v>66</v>
      </c>
      <c r="AT219" s="114">
        <v>69</v>
      </c>
      <c r="AU219" s="114">
        <v>78</v>
      </c>
      <c r="AV219" s="114">
        <v>189</v>
      </c>
      <c r="AW219" s="114">
        <v>144</v>
      </c>
      <c r="AX219" s="114">
        <v>162</v>
      </c>
      <c r="AY219" s="114">
        <v>144</v>
      </c>
      <c r="AZ219" s="114">
        <v>108</v>
      </c>
      <c r="BA219" s="114">
        <v>143</v>
      </c>
      <c r="BB219" s="114">
        <v>228</v>
      </c>
      <c r="BC219" s="114">
        <v>269</v>
      </c>
      <c r="BD219" s="114">
        <v>279</v>
      </c>
      <c r="BE219" s="114">
        <v>248</v>
      </c>
      <c r="BF219" s="114">
        <v>179</v>
      </c>
      <c r="BG219" s="114">
        <v>177</v>
      </c>
      <c r="BH219" s="114">
        <v>158</v>
      </c>
      <c r="BI219" s="114">
        <v>-31</v>
      </c>
      <c r="BJ219" s="114">
        <v>345</v>
      </c>
      <c r="BK219" s="114">
        <v>325</v>
      </c>
      <c r="BL219" s="114">
        <v>275</v>
      </c>
      <c r="BM219" s="114">
        <v>-52</v>
      </c>
      <c r="BN219" s="114">
        <v>250</v>
      </c>
      <c r="BO219" s="114">
        <v>239</v>
      </c>
      <c r="BP219" s="114">
        <v>483</v>
      </c>
      <c r="BQ219" s="114">
        <v>-6</v>
      </c>
      <c r="BR219" s="114">
        <v>282</v>
      </c>
      <c r="BS219" s="114">
        <v>295</v>
      </c>
      <c r="BT219" s="114">
        <v>148</v>
      </c>
      <c r="BU219" s="114">
        <v>289</v>
      </c>
      <c r="BV219" s="114">
        <v>273</v>
      </c>
      <c r="BW219" s="114">
        <v>275</v>
      </c>
      <c r="BX219" s="114">
        <v>383</v>
      </c>
      <c r="BY219" s="114">
        <v>159</v>
      </c>
      <c r="BZ219" s="114">
        <v>328</v>
      </c>
      <c r="CA219" s="114">
        <v>300</v>
      </c>
      <c r="CB219" s="114">
        <v>249</v>
      </c>
      <c r="CC219" s="114">
        <v>-60</v>
      </c>
      <c r="CD219" s="114">
        <v>183</v>
      </c>
      <c r="CE219" s="114">
        <v>108</v>
      </c>
      <c r="CF219" s="114">
        <v>282</v>
      </c>
      <c r="CG219" s="114">
        <v>311</v>
      </c>
      <c r="CH219" s="114">
        <v>234</v>
      </c>
      <c r="CI219" s="114">
        <v>231</v>
      </c>
      <c r="CJ219" s="114">
        <v>177</v>
      </c>
      <c r="CK219" s="114">
        <v>348</v>
      </c>
      <c r="CL219" s="114">
        <v>249</v>
      </c>
      <c r="CM219" s="114">
        <v>365</v>
      </c>
      <c r="CN219" s="114">
        <v>445</v>
      </c>
      <c r="CO219" s="114">
        <v>381</v>
      </c>
      <c r="CP219" s="114">
        <v>435</v>
      </c>
      <c r="CQ219" s="114">
        <v>481</v>
      </c>
      <c r="CR219" s="114">
        <v>532</v>
      </c>
      <c r="CS219" s="114">
        <v>424</v>
      </c>
      <c r="CT219" s="114">
        <v>585</v>
      </c>
      <c r="CU219" s="114">
        <v>632</v>
      </c>
      <c r="CV219" s="114">
        <v>664</v>
      </c>
      <c r="CW219" s="114">
        <v>410</v>
      </c>
      <c r="CX219" s="114">
        <v>646</v>
      </c>
      <c r="CY219" s="114">
        <v>615</v>
      </c>
      <c r="CZ219" s="114">
        <v>694</v>
      </c>
      <c r="DA219" s="114">
        <v>552</v>
      </c>
      <c r="DB219" s="114">
        <v>668</v>
      </c>
      <c r="DC219" s="114">
        <v>633</v>
      </c>
      <c r="DD219" s="114">
        <v>720</v>
      </c>
      <c r="DE219" s="114">
        <v>460</v>
      </c>
      <c r="DF219" s="114">
        <v>697</v>
      </c>
      <c r="DG219" s="114">
        <v>650</v>
      </c>
      <c r="DH219" s="114">
        <v>738</v>
      </c>
      <c r="DI219" s="114">
        <v>673</v>
      </c>
      <c r="DJ219" s="114">
        <v>670</v>
      </c>
      <c r="DK219" s="114">
        <v>948</v>
      </c>
      <c r="DL219" s="114">
        <v>1001</v>
      </c>
      <c r="DM219" s="114">
        <v>720</v>
      </c>
      <c r="DN219" s="114">
        <v>908</v>
      </c>
      <c r="DO219" s="114">
        <v>1211</v>
      </c>
      <c r="DP219" s="114">
        <v>1205</v>
      </c>
      <c r="DQ219" s="114">
        <v>921</v>
      </c>
      <c r="DR219" s="114">
        <v>1388</v>
      </c>
      <c r="DS219" s="114">
        <v>1506</v>
      </c>
      <c r="DT219" s="114">
        <v>1502</v>
      </c>
      <c r="DU219" s="114">
        <v>1004</v>
      </c>
      <c r="DV219" s="114">
        <v>1443</v>
      </c>
      <c r="DW219" s="114">
        <v>1526</v>
      </c>
      <c r="DX219" s="114">
        <v>1689</v>
      </c>
      <c r="DY219" s="114">
        <v>1221</v>
      </c>
      <c r="DZ219" s="114">
        <v>1816</v>
      </c>
      <c r="EA219" s="114">
        <v>2166</v>
      </c>
      <c r="EB219" s="114">
        <v>2453</v>
      </c>
      <c r="EC219" s="114">
        <v>1365</v>
      </c>
      <c r="ED219" s="114">
        <v>2499</v>
      </c>
      <c r="EE219" s="114">
        <v>2536</v>
      </c>
      <c r="EF219" s="114">
        <v>2710</v>
      </c>
      <c r="EG219" s="114">
        <v>2155</v>
      </c>
      <c r="EH219" s="114">
        <v>2837</v>
      </c>
      <c r="EI219" s="114">
        <v>2995</v>
      </c>
      <c r="EJ219" s="114">
        <v>2926</v>
      </c>
      <c r="EK219" s="114">
        <v>2842</v>
      </c>
      <c r="EL219" s="114">
        <v>2971</v>
      </c>
      <c r="EM219" s="114">
        <v>3203</v>
      </c>
      <c r="EN219" s="114">
        <v>3118</v>
      </c>
    </row>
    <row r="220" spans="1:255">
      <c r="A220" s="103"/>
      <c r="B220" s="103"/>
      <c r="C220" s="103"/>
      <c r="D220" s="103"/>
      <c r="E220" s="103"/>
      <c r="F220" s="103"/>
      <c r="G220" s="103"/>
      <c r="H220" s="103"/>
      <c r="I220" s="103"/>
      <c r="J220" s="103"/>
      <c r="K220" s="103"/>
      <c r="L220" s="103"/>
      <c r="M220" s="103"/>
      <c r="N220" s="103"/>
      <c r="O220" s="103"/>
      <c r="P220" s="103"/>
      <c r="Q220" s="103"/>
      <c r="R220" s="103"/>
      <c r="S220" s="103"/>
      <c r="T220" s="103"/>
      <c r="U220" s="103"/>
      <c r="V220" s="103"/>
      <c r="W220" s="103"/>
      <c r="X220" s="103"/>
      <c r="Y220" s="103"/>
      <c r="Z220" s="103"/>
      <c r="AA220" s="103"/>
      <c r="AB220" s="103"/>
      <c r="AC220" s="103"/>
      <c r="AD220" s="103"/>
      <c r="AE220" s="103"/>
      <c r="AG220" s="103"/>
      <c r="AH220" s="103"/>
      <c r="AI220" s="103"/>
      <c r="AJ220" s="103"/>
      <c r="AK220" s="103"/>
      <c r="AL220" s="103"/>
      <c r="AM220" s="103"/>
      <c r="AN220" s="103"/>
      <c r="AO220" s="103"/>
      <c r="AP220" s="103"/>
      <c r="AQ220" s="103"/>
      <c r="AR220" s="103"/>
      <c r="AS220" s="103"/>
      <c r="AT220" s="103"/>
      <c r="AU220" s="103"/>
      <c r="AV220" s="103"/>
      <c r="AW220" s="103"/>
      <c r="AX220" s="103"/>
      <c r="AY220" s="103"/>
      <c r="AZ220" s="103"/>
      <c r="BA220" s="103"/>
      <c r="BB220" s="103"/>
      <c r="BC220" s="103"/>
      <c r="BD220" s="103"/>
      <c r="BE220" s="103"/>
      <c r="BF220" s="103"/>
      <c r="BG220" s="103"/>
      <c r="BH220" s="103"/>
      <c r="BI220" s="103"/>
      <c r="BJ220" s="103"/>
      <c r="BK220" s="103"/>
      <c r="BL220" s="103"/>
      <c r="BM220" s="103"/>
      <c r="BN220" s="103"/>
      <c r="BO220" s="103"/>
      <c r="BP220" s="103"/>
      <c r="BQ220" s="103"/>
      <c r="BR220" s="103"/>
      <c r="BS220" s="103"/>
      <c r="BT220" s="103"/>
      <c r="BU220" s="103"/>
      <c r="BV220" s="103"/>
      <c r="BW220" s="103"/>
      <c r="BX220" s="103"/>
      <c r="BY220" s="103"/>
      <c r="BZ220" s="103"/>
      <c r="CA220" s="103"/>
      <c r="CB220" s="103"/>
      <c r="CC220" s="103"/>
      <c r="CD220" s="103"/>
      <c r="CE220" s="103"/>
      <c r="CF220" s="103"/>
      <c r="CG220" s="103"/>
      <c r="CH220" s="103"/>
      <c r="CI220" s="103"/>
      <c r="CJ220" s="103"/>
      <c r="CK220" s="103"/>
      <c r="CL220" s="103"/>
      <c r="CM220" s="103"/>
      <c r="CN220" s="103"/>
      <c r="CO220" s="103"/>
      <c r="CP220" s="103"/>
      <c r="CQ220" s="103"/>
      <c r="CR220" s="103"/>
      <c r="CS220" s="103"/>
      <c r="CT220" s="103"/>
      <c r="CU220" s="103"/>
      <c r="CV220" s="103"/>
      <c r="CW220" s="103"/>
      <c r="CX220" s="103"/>
      <c r="CY220" s="103"/>
      <c r="CZ220" s="103"/>
      <c r="DA220" s="103"/>
      <c r="DB220" s="103"/>
      <c r="DC220" s="103"/>
      <c r="DD220" s="103"/>
      <c r="DE220" s="103"/>
      <c r="DF220" s="103"/>
      <c r="DG220" s="103"/>
      <c r="DH220" s="103"/>
      <c r="DI220" s="103"/>
      <c r="DJ220" s="103"/>
      <c r="DK220" s="103"/>
      <c r="DL220" s="103"/>
      <c r="DM220" s="103"/>
      <c r="DN220" s="103"/>
      <c r="DO220" s="103"/>
      <c r="DP220" s="103"/>
      <c r="DQ220" s="103"/>
      <c r="DR220" s="103"/>
      <c r="DS220" s="103"/>
      <c r="DT220" s="103"/>
      <c r="DU220" s="103"/>
      <c r="DV220" s="103"/>
      <c r="DW220" s="103"/>
      <c r="DX220" s="103"/>
      <c r="DY220" s="103"/>
      <c r="DZ220" s="103"/>
      <c r="EA220" s="103"/>
      <c r="EB220" s="103"/>
      <c r="EC220" s="103"/>
      <c r="ED220" s="103"/>
      <c r="EE220" s="103"/>
      <c r="EF220" s="103"/>
      <c r="EG220" s="103"/>
      <c r="EH220" s="103"/>
      <c r="EI220" s="103"/>
      <c r="EJ220" s="103"/>
      <c r="EK220" s="103"/>
      <c r="EL220" s="103"/>
      <c r="EM220" s="103"/>
      <c r="EN220" s="103"/>
    </row>
    <row r="221" spans="1:255">
      <c r="A221" s="103" t="s">
        <v>2486</v>
      </c>
      <c r="B221" s="113">
        <v>0</v>
      </c>
      <c r="C221" s="113">
        <v>0</v>
      </c>
      <c r="D221" s="113">
        <v>0</v>
      </c>
      <c r="E221" s="113">
        <v>0</v>
      </c>
      <c r="F221" s="113">
        <v>0</v>
      </c>
      <c r="G221" s="113">
        <v>0</v>
      </c>
      <c r="H221" s="113">
        <v>0</v>
      </c>
      <c r="I221" s="113">
        <v>0</v>
      </c>
      <c r="J221" s="113">
        <v>0</v>
      </c>
      <c r="K221" s="113">
        <v>0</v>
      </c>
      <c r="L221" s="113">
        <v>0</v>
      </c>
      <c r="M221" s="113">
        <v>0</v>
      </c>
      <c r="N221" s="113">
        <v>0</v>
      </c>
      <c r="O221" s="113">
        <v>0</v>
      </c>
      <c r="P221" s="113">
        <v>0</v>
      </c>
      <c r="Q221" s="113">
        <v>0</v>
      </c>
      <c r="R221" s="113">
        <v>0</v>
      </c>
      <c r="S221" s="113">
        <v>0</v>
      </c>
      <c r="T221" s="113">
        <v>65</v>
      </c>
      <c r="U221" s="113">
        <v>97</v>
      </c>
      <c r="V221" s="113">
        <v>114</v>
      </c>
      <c r="W221" s="113">
        <v>117</v>
      </c>
      <c r="X221" s="113">
        <v>210</v>
      </c>
      <c r="Y221" s="113">
        <v>200</v>
      </c>
      <c r="Z221" s="113">
        <v>79</v>
      </c>
      <c r="AA221" s="113">
        <v>69</v>
      </c>
      <c r="AB221" s="113">
        <v>0</v>
      </c>
      <c r="AC221" s="113">
        <v>0</v>
      </c>
      <c r="AD221" s="113">
        <v>0</v>
      </c>
      <c r="AE221" s="113">
        <v>0</v>
      </c>
      <c r="AG221" s="103" t="s">
        <v>2486</v>
      </c>
      <c r="AH221" s="113">
        <v>0</v>
      </c>
      <c r="AI221" s="113">
        <v>0</v>
      </c>
      <c r="AJ221" s="113">
        <v>0</v>
      </c>
      <c r="AK221" s="113">
        <v>0</v>
      </c>
      <c r="AL221" s="113">
        <v>0</v>
      </c>
      <c r="AM221" s="113">
        <v>0</v>
      </c>
      <c r="AN221" s="113">
        <v>0</v>
      </c>
      <c r="AO221" s="113">
        <v>0</v>
      </c>
      <c r="AP221" s="113">
        <v>0</v>
      </c>
      <c r="AQ221" s="113">
        <v>0</v>
      </c>
      <c r="AR221" s="113">
        <v>0</v>
      </c>
      <c r="AS221" s="113">
        <v>0</v>
      </c>
      <c r="AT221" s="113">
        <v>0</v>
      </c>
      <c r="AU221" s="113">
        <v>0</v>
      </c>
      <c r="AV221" s="113">
        <v>0</v>
      </c>
      <c r="AW221" s="113">
        <v>0</v>
      </c>
      <c r="AX221" s="113">
        <v>0</v>
      </c>
      <c r="AY221" s="113">
        <v>0</v>
      </c>
      <c r="AZ221" s="113">
        <v>0</v>
      </c>
      <c r="BA221" s="113">
        <v>0</v>
      </c>
      <c r="BB221" s="113">
        <v>0</v>
      </c>
      <c r="BC221" s="113">
        <v>0</v>
      </c>
      <c r="BD221" s="113">
        <v>0</v>
      </c>
      <c r="BE221" s="113">
        <v>0</v>
      </c>
      <c r="BF221" s="113">
        <v>0</v>
      </c>
      <c r="BG221" s="113">
        <v>0</v>
      </c>
      <c r="BH221" s="113">
        <v>0</v>
      </c>
      <c r="BI221" s="113">
        <v>0</v>
      </c>
      <c r="BJ221" s="113">
        <v>0</v>
      </c>
      <c r="BK221" s="113">
        <v>0</v>
      </c>
      <c r="BL221" s="113">
        <v>0</v>
      </c>
      <c r="BM221" s="113">
        <v>0</v>
      </c>
      <c r="BN221" s="113">
        <v>0</v>
      </c>
      <c r="BO221" s="113">
        <v>0</v>
      </c>
      <c r="BP221" s="113">
        <v>0</v>
      </c>
      <c r="BQ221" s="113">
        <v>0</v>
      </c>
      <c r="BR221" s="113">
        <v>0</v>
      </c>
      <c r="BS221" s="113">
        <v>0</v>
      </c>
      <c r="BT221" s="113">
        <v>0</v>
      </c>
      <c r="BU221" s="113">
        <v>0</v>
      </c>
      <c r="BV221" s="113">
        <v>0</v>
      </c>
      <c r="BW221" s="113">
        <v>0</v>
      </c>
      <c r="BX221" s="113">
        <v>0</v>
      </c>
      <c r="BY221" s="113">
        <v>0</v>
      </c>
      <c r="BZ221" s="113">
        <v>0</v>
      </c>
      <c r="CA221" s="113">
        <v>0</v>
      </c>
      <c r="CB221" s="113">
        <v>0</v>
      </c>
      <c r="CC221" s="113">
        <v>0</v>
      </c>
      <c r="CD221" s="113">
        <v>0</v>
      </c>
      <c r="CE221" s="113">
        <v>0</v>
      </c>
      <c r="CF221" s="113">
        <v>0</v>
      </c>
      <c r="CG221" s="113">
        <v>0</v>
      </c>
      <c r="CH221" s="113">
        <v>0</v>
      </c>
      <c r="CI221" s="113">
        <v>0</v>
      </c>
      <c r="CJ221" s="113">
        <v>0</v>
      </c>
      <c r="CK221" s="113">
        <v>0</v>
      </c>
      <c r="CL221" s="113">
        <v>0</v>
      </c>
      <c r="CM221" s="113">
        <v>0</v>
      </c>
      <c r="CN221" s="113">
        <v>0</v>
      </c>
      <c r="CO221" s="113">
        <v>0</v>
      </c>
      <c r="CP221" s="113">
        <v>0</v>
      </c>
      <c r="CQ221" s="113">
        <v>0</v>
      </c>
      <c r="CR221" s="113">
        <v>0</v>
      </c>
      <c r="CS221" s="113">
        <v>0</v>
      </c>
      <c r="CT221" s="113">
        <v>0</v>
      </c>
      <c r="CU221" s="113">
        <v>0</v>
      </c>
      <c r="CV221" s="113">
        <v>0</v>
      </c>
      <c r="CW221" s="113">
        <v>0</v>
      </c>
      <c r="CX221" s="113">
        <v>0</v>
      </c>
      <c r="CY221" s="113">
        <v>0</v>
      </c>
      <c r="CZ221" s="113">
        <v>0</v>
      </c>
      <c r="DA221" s="113">
        <v>97</v>
      </c>
      <c r="DB221" s="113">
        <v>26</v>
      </c>
      <c r="DC221" s="113">
        <v>30</v>
      </c>
      <c r="DD221" s="113">
        <v>0</v>
      </c>
      <c r="DE221" s="113">
        <v>114</v>
      </c>
      <c r="DF221" s="113">
        <v>29</v>
      </c>
      <c r="DG221" s="113">
        <v>28</v>
      </c>
      <c r="DH221" s="113">
        <v>28</v>
      </c>
      <c r="DI221" s="113">
        <v>32</v>
      </c>
      <c r="DJ221" s="113">
        <v>40</v>
      </c>
      <c r="DK221" s="113">
        <v>61</v>
      </c>
      <c r="DL221" s="113">
        <v>52</v>
      </c>
      <c r="DM221" s="113">
        <v>57</v>
      </c>
      <c r="DN221" s="113">
        <v>46</v>
      </c>
      <c r="DO221" s="113">
        <v>50</v>
      </c>
      <c r="DP221" s="113">
        <v>50</v>
      </c>
      <c r="DQ221" s="113">
        <v>54</v>
      </c>
      <c r="DR221" s="113">
        <v>40</v>
      </c>
      <c r="DS221" s="113">
        <v>15</v>
      </c>
      <c r="DT221" s="113">
        <v>13</v>
      </c>
      <c r="DU221" s="113">
        <v>11</v>
      </c>
      <c r="DV221" s="113">
        <v>18</v>
      </c>
      <c r="DW221" s="113">
        <v>18</v>
      </c>
      <c r="DX221" s="113">
        <v>18</v>
      </c>
      <c r="DY221" s="113">
        <v>14</v>
      </c>
      <c r="DZ221" s="113">
        <v>0</v>
      </c>
      <c r="EA221" s="113">
        <v>0</v>
      </c>
      <c r="EB221" s="113">
        <v>0</v>
      </c>
      <c r="EC221" s="113">
        <v>55</v>
      </c>
      <c r="ED221" s="113">
        <v>0</v>
      </c>
      <c r="EE221" s="113">
        <v>0</v>
      </c>
      <c r="EF221" s="113">
        <v>0</v>
      </c>
      <c r="EG221" s="113">
        <v>0</v>
      </c>
      <c r="EH221" s="113">
        <v>0</v>
      </c>
      <c r="EI221" s="113">
        <v>0</v>
      </c>
      <c r="EJ221" s="113">
        <v>0</v>
      </c>
      <c r="EK221" s="113">
        <v>0</v>
      </c>
      <c r="EL221" s="113">
        <v>0</v>
      </c>
      <c r="EM221" s="113">
        <v>0</v>
      </c>
      <c r="EN221" s="113">
        <v>0</v>
      </c>
    </row>
    <row r="222" spans="1:255">
      <c r="A222" s="10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c r="AA222" s="113"/>
      <c r="AB222" s="113"/>
      <c r="AC222" s="113"/>
      <c r="AD222" s="113"/>
      <c r="AE222" s="113"/>
      <c r="AG222" s="103" t="s">
        <v>2487</v>
      </c>
      <c r="AH222" s="113">
        <v>0</v>
      </c>
      <c r="AI222" s="113">
        <v>0</v>
      </c>
      <c r="AJ222" s="113">
        <v>0</v>
      </c>
      <c r="AK222" s="113">
        <v>0</v>
      </c>
      <c r="AL222" s="113">
        <v>0</v>
      </c>
      <c r="AM222" s="113">
        <v>0</v>
      </c>
      <c r="AN222" s="113">
        <v>0</v>
      </c>
      <c r="AO222" s="113">
        <v>0</v>
      </c>
      <c r="AP222" s="113">
        <v>0</v>
      </c>
      <c r="AQ222" s="113">
        <v>0</v>
      </c>
      <c r="AR222" s="113">
        <v>0</v>
      </c>
      <c r="AS222" s="113">
        <v>0</v>
      </c>
      <c r="AT222" s="113">
        <v>0</v>
      </c>
      <c r="AU222" s="113">
        <v>0</v>
      </c>
      <c r="AV222" s="113">
        <v>0</v>
      </c>
      <c r="AW222" s="113">
        <v>0</v>
      </c>
      <c r="AX222" s="113">
        <v>0</v>
      </c>
      <c r="AY222" s="113">
        <v>0</v>
      </c>
      <c r="AZ222" s="113">
        <v>0</v>
      </c>
      <c r="BA222" s="113">
        <v>0</v>
      </c>
      <c r="BB222" s="113">
        <v>0</v>
      </c>
      <c r="BC222" s="113">
        <v>0</v>
      </c>
      <c r="BD222" s="113">
        <v>0</v>
      </c>
      <c r="BE222" s="113">
        <v>0</v>
      </c>
      <c r="BF222" s="113">
        <v>-160</v>
      </c>
      <c r="BG222" s="113">
        <v>0</v>
      </c>
      <c r="BH222" s="113">
        <v>0</v>
      </c>
      <c r="BI222" s="113">
        <v>0</v>
      </c>
      <c r="BJ222" s="113">
        <v>0</v>
      </c>
      <c r="BK222" s="113">
        <v>0</v>
      </c>
      <c r="BL222" s="113">
        <v>0</v>
      </c>
      <c r="BM222" s="113">
        <v>0</v>
      </c>
      <c r="BN222" s="113">
        <v>0</v>
      </c>
      <c r="BO222" s="113">
        <v>0</v>
      </c>
      <c r="BP222" s="113">
        <v>0</v>
      </c>
      <c r="BQ222" s="113">
        <v>0</v>
      </c>
      <c r="BR222" s="113">
        <v>0</v>
      </c>
      <c r="BS222" s="113">
        <v>0</v>
      </c>
      <c r="BT222" s="113">
        <v>0</v>
      </c>
      <c r="BU222" s="113">
        <v>0</v>
      </c>
      <c r="BV222" s="113">
        <v>0</v>
      </c>
      <c r="BW222" s="113">
        <v>0</v>
      </c>
      <c r="BX222" s="113">
        <v>0</v>
      </c>
      <c r="BY222" s="113">
        <v>0</v>
      </c>
      <c r="BZ222" s="113">
        <v>0</v>
      </c>
      <c r="CA222" s="113">
        <v>0</v>
      </c>
      <c r="CB222" s="113">
        <v>0</v>
      </c>
      <c r="CC222" s="113">
        <v>0</v>
      </c>
      <c r="CD222" s="113">
        <v>0</v>
      </c>
      <c r="CE222" s="113">
        <v>0</v>
      </c>
      <c r="CF222" s="113">
        <v>0</v>
      </c>
      <c r="CG222" s="113">
        <v>0</v>
      </c>
      <c r="CH222" s="113">
        <v>0</v>
      </c>
      <c r="CI222" s="113">
        <v>0</v>
      </c>
      <c r="CJ222" s="113">
        <v>0</v>
      </c>
      <c r="CK222" s="113">
        <v>0</v>
      </c>
      <c r="CL222" s="113">
        <v>0</v>
      </c>
      <c r="CM222" s="113">
        <v>0</v>
      </c>
      <c r="CN222" s="113">
        <v>0</v>
      </c>
      <c r="CO222" s="113">
        <v>0</v>
      </c>
      <c r="CP222" s="113">
        <v>0</v>
      </c>
      <c r="CQ222" s="113">
        <v>0</v>
      </c>
      <c r="CR222" s="113">
        <v>0</v>
      </c>
      <c r="CS222" s="113">
        <v>0</v>
      </c>
      <c r="CT222" s="113">
        <v>0</v>
      </c>
      <c r="CU222" s="113">
        <v>0</v>
      </c>
      <c r="CV222" s="113">
        <v>0</v>
      </c>
      <c r="CW222" s="113">
        <v>0</v>
      </c>
      <c r="CX222" s="113">
        <v>0</v>
      </c>
      <c r="CY222" s="113">
        <v>0</v>
      </c>
      <c r="CZ222" s="113">
        <v>0</v>
      </c>
      <c r="DA222" s="113">
        <v>0</v>
      </c>
      <c r="DB222" s="113">
        <v>0</v>
      </c>
      <c r="DC222" s="113">
        <v>0</v>
      </c>
      <c r="DD222" s="113">
        <v>0</v>
      </c>
      <c r="DE222" s="113">
        <v>0</v>
      </c>
      <c r="DF222" s="113">
        <v>0</v>
      </c>
      <c r="DG222" s="113">
        <v>0</v>
      </c>
      <c r="DH222" s="113">
        <v>0</v>
      </c>
      <c r="DI222" s="113">
        <v>0</v>
      </c>
      <c r="DJ222" s="113">
        <v>0</v>
      </c>
      <c r="DK222" s="113">
        <v>0</v>
      </c>
      <c r="DL222" s="113">
        <v>0</v>
      </c>
      <c r="DM222" s="113">
        <v>0</v>
      </c>
      <c r="DN222" s="113">
        <v>0</v>
      </c>
      <c r="DO222" s="113">
        <v>0</v>
      </c>
      <c r="DP222" s="113">
        <v>0</v>
      </c>
      <c r="DQ222" s="113">
        <v>0</v>
      </c>
      <c r="DR222" s="113">
        <v>0</v>
      </c>
      <c r="DS222" s="113">
        <v>0</v>
      </c>
      <c r="DT222" s="113">
        <v>0</v>
      </c>
      <c r="DU222" s="113">
        <v>0</v>
      </c>
      <c r="DV222" s="113">
        <v>0</v>
      </c>
      <c r="DW222" s="113">
        <v>0</v>
      </c>
      <c r="DX222" s="113">
        <v>0</v>
      </c>
      <c r="DY222" s="113">
        <v>0</v>
      </c>
      <c r="DZ222" s="113">
        <v>0</v>
      </c>
      <c r="EA222" s="113">
        <v>0</v>
      </c>
      <c r="EB222" s="113">
        <v>0</v>
      </c>
      <c r="EC222" s="113">
        <v>0</v>
      </c>
      <c r="ED222" s="113">
        <v>0</v>
      </c>
      <c r="EE222" s="113">
        <v>0</v>
      </c>
      <c r="EF222" s="113">
        <v>0</v>
      </c>
      <c r="EG222" s="113">
        <v>0</v>
      </c>
      <c r="EH222" s="113">
        <v>0</v>
      </c>
      <c r="EI222" s="113">
        <v>0</v>
      </c>
      <c r="EJ222" s="113">
        <v>0</v>
      </c>
      <c r="EK222" s="113">
        <v>0</v>
      </c>
      <c r="EL222" s="113">
        <v>0</v>
      </c>
      <c r="EM222" s="113">
        <v>0</v>
      </c>
      <c r="EN222" s="113">
        <v>0</v>
      </c>
    </row>
    <row r="223" spans="1:255">
      <c r="A223" s="103" t="s">
        <v>2488</v>
      </c>
      <c r="B223" s="113">
        <v>0</v>
      </c>
      <c r="C223" s="113">
        <v>0</v>
      </c>
      <c r="D223" s="113">
        <v>0</v>
      </c>
      <c r="E223" s="113">
        <v>0</v>
      </c>
      <c r="F223" s="113">
        <v>0</v>
      </c>
      <c r="G223" s="113">
        <v>0</v>
      </c>
      <c r="H223" s="113">
        <v>0</v>
      </c>
      <c r="I223" s="113">
        <v>0</v>
      </c>
      <c r="J223" s="113">
        <v>-803</v>
      </c>
      <c r="K223" s="113">
        <v>-1732</v>
      </c>
      <c r="L223" s="113">
        <v>2221</v>
      </c>
      <c r="M223" s="113">
        <v>2424</v>
      </c>
      <c r="N223" s="113">
        <v>380</v>
      </c>
      <c r="O223" s="113">
        <v>-1296</v>
      </c>
      <c r="P223" s="113">
        <v>-527</v>
      </c>
      <c r="Q223" s="113">
        <v>-270</v>
      </c>
      <c r="R223" s="113">
        <v>-292</v>
      </c>
      <c r="S223" s="113">
        <v>-572</v>
      </c>
      <c r="T223" s="113">
        <v>683</v>
      </c>
      <c r="U223" s="113">
        <v>-208</v>
      </c>
      <c r="V223" s="113">
        <v>-362</v>
      </c>
      <c r="W223" s="113">
        <v>-200</v>
      </c>
      <c r="X223" s="113">
        <v>80</v>
      </c>
      <c r="Y223" s="113">
        <v>-109</v>
      </c>
      <c r="Z223" s="113">
        <v>-443</v>
      </c>
      <c r="AA223" s="113">
        <v>-223</v>
      </c>
      <c r="AB223" s="113">
        <v>-2073</v>
      </c>
      <c r="AC223" s="113">
        <v>-2212</v>
      </c>
      <c r="AD223" s="113">
        <v>-792</v>
      </c>
      <c r="AE223" s="113">
        <v>-462</v>
      </c>
      <c r="AG223" s="103" t="s">
        <v>2488</v>
      </c>
      <c r="AH223" s="113">
        <v>0</v>
      </c>
      <c r="AI223" s="113">
        <v>0</v>
      </c>
      <c r="AJ223" s="113">
        <v>0</v>
      </c>
      <c r="AK223" s="113">
        <v>0</v>
      </c>
      <c r="AL223" s="113">
        <v>0</v>
      </c>
      <c r="AM223" s="113">
        <v>0</v>
      </c>
      <c r="AN223" s="113">
        <v>0</v>
      </c>
      <c r="AO223" s="113">
        <v>0</v>
      </c>
      <c r="AP223" s="113">
        <v>0</v>
      </c>
      <c r="AQ223" s="113">
        <v>0</v>
      </c>
      <c r="AR223" s="113">
        <v>0</v>
      </c>
      <c r="AS223" s="113">
        <v>0</v>
      </c>
      <c r="AT223" s="113">
        <v>0</v>
      </c>
      <c r="AU223" s="113">
        <v>0</v>
      </c>
      <c r="AV223" s="113">
        <v>0</v>
      </c>
      <c r="AW223" s="113">
        <v>0</v>
      </c>
      <c r="AX223" s="113">
        <v>0</v>
      </c>
      <c r="AY223" s="113">
        <v>0</v>
      </c>
      <c r="AZ223" s="113">
        <v>0</v>
      </c>
      <c r="BA223" s="113">
        <v>0</v>
      </c>
      <c r="BB223" s="113">
        <v>0</v>
      </c>
      <c r="BC223" s="113">
        <v>0</v>
      </c>
      <c r="BD223" s="113">
        <v>0</v>
      </c>
      <c r="BE223" s="113">
        <v>0</v>
      </c>
      <c r="BF223" s="113">
        <v>0</v>
      </c>
      <c r="BG223" s="113">
        <v>0</v>
      </c>
      <c r="BH223" s="113">
        <v>0</v>
      </c>
      <c r="BI223" s="113">
        <v>0</v>
      </c>
      <c r="BJ223" s="113">
        <v>-200</v>
      </c>
      <c r="BK223" s="113">
        <v>-391</v>
      </c>
      <c r="BL223" s="113">
        <v>-487</v>
      </c>
      <c r="BM223" s="113">
        <v>-654</v>
      </c>
      <c r="BN223" s="113">
        <v>-599</v>
      </c>
      <c r="BO223" s="113">
        <v>-244</v>
      </c>
      <c r="BP223" s="113">
        <v>-100</v>
      </c>
      <c r="BQ223" s="113">
        <v>3164</v>
      </c>
      <c r="BR223" s="113">
        <v>1517</v>
      </c>
      <c r="BS223" s="113">
        <v>-55</v>
      </c>
      <c r="BT223" s="113">
        <v>-210</v>
      </c>
      <c r="BU223" s="113">
        <v>1172</v>
      </c>
      <c r="BV223" s="113">
        <v>475</v>
      </c>
      <c r="BW223" s="113">
        <v>140</v>
      </c>
      <c r="BX223" s="113">
        <v>-17</v>
      </c>
      <c r="BY223" s="113">
        <v>-218</v>
      </c>
      <c r="BZ223" s="113">
        <v>-279</v>
      </c>
      <c r="CA223" s="113">
        <v>-321</v>
      </c>
      <c r="CB223" s="113">
        <v>-512</v>
      </c>
      <c r="CC223" s="113">
        <v>-184</v>
      </c>
      <c r="CD223" s="113">
        <v>165</v>
      </c>
      <c r="CE223" s="113">
        <v>74</v>
      </c>
      <c r="CF223" s="113">
        <v>-223</v>
      </c>
      <c r="CG223" s="113">
        <v>-543</v>
      </c>
      <c r="CH223" s="113">
        <v>-130</v>
      </c>
      <c r="CI223" s="113">
        <v>-75</v>
      </c>
      <c r="CJ223" s="113">
        <v>-59</v>
      </c>
      <c r="CK223" s="113">
        <v>-6</v>
      </c>
      <c r="CL223" s="113">
        <v>-206</v>
      </c>
      <c r="CM223" s="113">
        <v>-29</v>
      </c>
      <c r="CN223" s="113">
        <v>-61</v>
      </c>
      <c r="CO223" s="113">
        <v>4</v>
      </c>
      <c r="CP223" s="113">
        <v>-187</v>
      </c>
      <c r="CQ223" s="113">
        <v>-134</v>
      </c>
      <c r="CR223" s="113">
        <v>-179</v>
      </c>
      <c r="CS223" s="113">
        <v>-72</v>
      </c>
      <c r="CT223" s="113">
        <v>36</v>
      </c>
      <c r="CU223" s="113">
        <v>139</v>
      </c>
      <c r="CV223" s="113">
        <v>507</v>
      </c>
      <c r="CW223" s="113">
        <v>1</v>
      </c>
      <c r="CX223" s="113">
        <v>-66</v>
      </c>
      <c r="CY223" s="113">
        <v>-188</v>
      </c>
      <c r="CZ223" s="113">
        <v>-68</v>
      </c>
      <c r="DA223" s="113">
        <v>114</v>
      </c>
      <c r="DB223" s="113">
        <v>-29</v>
      </c>
      <c r="DC223" s="113">
        <v>-226</v>
      </c>
      <c r="DD223" s="113">
        <v>-122</v>
      </c>
      <c r="DE223" s="113">
        <v>15</v>
      </c>
      <c r="DF223" s="113">
        <v>-30</v>
      </c>
      <c r="DG223" s="113">
        <v>-112</v>
      </c>
      <c r="DH223" s="113">
        <v>68</v>
      </c>
      <c r="DI223" s="113">
        <v>-126</v>
      </c>
      <c r="DJ223" s="113">
        <v>11</v>
      </c>
      <c r="DK223" s="113">
        <v>22</v>
      </c>
      <c r="DL223" s="113">
        <v>-52</v>
      </c>
      <c r="DM223" s="113">
        <v>99</v>
      </c>
      <c r="DN223" s="113">
        <v>93</v>
      </c>
      <c r="DO223" s="113">
        <v>47</v>
      </c>
      <c r="DP223" s="113">
        <v>-40</v>
      </c>
      <c r="DQ223" s="113">
        <v>-209</v>
      </c>
      <c r="DR223" s="113">
        <v>55</v>
      </c>
      <c r="DS223" s="113">
        <v>-179</v>
      </c>
      <c r="DT223" s="113">
        <v>-55</v>
      </c>
      <c r="DU223" s="113">
        <v>-264</v>
      </c>
      <c r="DV223" s="113">
        <v>101</v>
      </c>
      <c r="DW223" s="113">
        <v>50</v>
      </c>
      <c r="DX223" s="113">
        <v>65</v>
      </c>
      <c r="DY223" s="113">
        <v>-439</v>
      </c>
      <c r="DZ223" s="113">
        <v>-311</v>
      </c>
      <c r="EA223" s="113">
        <v>-652</v>
      </c>
      <c r="EB223" s="113">
        <v>-590</v>
      </c>
      <c r="EC223" s="113">
        <v>-520</v>
      </c>
      <c r="ED223" s="113">
        <v>-523</v>
      </c>
      <c r="EE223" s="113">
        <v>-684</v>
      </c>
      <c r="EF223" s="113">
        <v>-438</v>
      </c>
      <c r="EG223" s="113">
        <v>-567</v>
      </c>
      <c r="EH223" s="113">
        <v>-240</v>
      </c>
      <c r="EI223" s="113">
        <v>-135</v>
      </c>
      <c r="EJ223" s="113">
        <v>-95</v>
      </c>
      <c r="EK223" s="113">
        <v>-322</v>
      </c>
      <c r="EL223" s="113">
        <v>11</v>
      </c>
      <c r="EM223" s="113">
        <v>-203</v>
      </c>
      <c r="EN223" s="113">
        <v>52</v>
      </c>
    </row>
    <row r="224" spans="1:255">
      <c r="A224" s="103" t="s">
        <v>2489</v>
      </c>
      <c r="B224" s="113">
        <v>0</v>
      </c>
      <c r="C224" s="113">
        <v>0</v>
      </c>
      <c r="D224" s="113">
        <v>0</v>
      </c>
      <c r="E224" s="113">
        <v>0</v>
      </c>
      <c r="F224" s="113">
        <v>0</v>
      </c>
      <c r="G224" s="113">
        <v>0</v>
      </c>
      <c r="H224" s="113">
        <v>0</v>
      </c>
      <c r="I224" s="113">
        <v>296</v>
      </c>
      <c r="J224" s="113">
        <v>0</v>
      </c>
      <c r="K224" s="113">
        <v>234</v>
      </c>
      <c r="L224" s="113">
        <v>0</v>
      </c>
      <c r="M224" s="113">
        <v>0</v>
      </c>
      <c r="N224" s="113">
        <v>0</v>
      </c>
      <c r="O224" s="113">
        <v>0</v>
      </c>
      <c r="P224" s="113">
        <v>0</v>
      </c>
      <c r="Q224" s="113">
        <v>0</v>
      </c>
      <c r="R224" s="113">
        <v>0</v>
      </c>
      <c r="S224" s="113">
        <v>0</v>
      </c>
      <c r="T224" s="113">
        <v>0</v>
      </c>
      <c r="U224" s="113">
        <v>0</v>
      </c>
      <c r="V224" s="113">
        <v>0</v>
      </c>
      <c r="W224" s="113">
        <v>6193</v>
      </c>
      <c r="X224" s="113">
        <v>0</v>
      </c>
      <c r="Y224" s="113">
        <v>0</v>
      </c>
      <c r="Z224" s="113">
        <v>7498</v>
      </c>
      <c r="AA224" s="113">
        <v>630</v>
      </c>
      <c r="AB224" s="113">
        <v>0</v>
      </c>
      <c r="AC224" s="113">
        <v>0</v>
      </c>
      <c r="AD224" s="113">
        <v>0</v>
      </c>
      <c r="AE224" s="113">
        <v>0</v>
      </c>
      <c r="AG224" s="103" t="s">
        <v>2489</v>
      </c>
      <c r="AH224" s="113">
        <v>0</v>
      </c>
      <c r="AI224" s="113">
        <v>0</v>
      </c>
      <c r="AJ224" s="113">
        <v>0</v>
      </c>
      <c r="AK224" s="113">
        <v>0</v>
      </c>
      <c r="AL224" s="113">
        <v>0</v>
      </c>
      <c r="AM224" s="113">
        <v>0</v>
      </c>
      <c r="AN224" s="113">
        <v>0</v>
      </c>
      <c r="AO224" s="113">
        <v>0</v>
      </c>
      <c r="AP224" s="113">
        <v>0</v>
      </c>
      <c r="AQ224" s="113">
        <v>0</v>
      </c>
      <c r="AR224" s="113">
        <v>0</v>
      </c>
      <c r="AS224" s="113">
        <v>0</v>
      </c>
      <c r="AT224" s="113">
        <v>0</v>
      </c>
      <c r="AU224" s="113">
        <v>0</v>
      </c>
      <c r="AV224" s="113">
        <v>0</v>
      </c>
      <c r="AW224" s="113">
        <v>0</v>
      </c>
      <c r="AX224" s="113">
        <v>0</v>
      </c>
      <c r="AY224" s="113">
        <v>0</v>
      </c>
      <c r="AZ224" s="113">
        <v>0</v>
      </c>
      <c r="BA224" s="113">
        <v>0</v>
      </c>
      <c r="BB224" s="113">
        <v>296</v>
      </c>
      <c r="BC224" s="113">
        <v>0</v>
      </c>
      <c r="BD224" s="113">
        <v>0</v>
      </c>
      <c r="BE224" s="113">
        <v>0</v>
      </c>
      <c r="BF224" s="113">
        <v>0</v>
      </c>
      <c r="BG224" s="113">
        <v>0</v>
      </c>
      <c r="BH224" s="113">
        <v>0</v>
      </c>
      <c r="BI224" s="113">
        <v>0</v>
      </c>
      <c r="BJ224" s="113">
        <v>0</v>
      </c>
      <c r="BK224" s="113">
        <v>0</v>
      </c>
      <c r="BL224" s="113">
        <v>0</v>
      </c>
      <c r="BM224" s="113">
        <v>0</v>
      </c>
      <c r="BN224" s="113">
        <v>0</v>
      </c>
      <c r="BO224" s="113">
        <v>0</v>
      </c>
      <c r="BP224" s="113">
        <v>0</v>
      </c>
      <c r="BQ224" s="113">
        <v>311</v>
      </c>
      <c r="BR224" s="113">
        <v>0</v>
      </c>
      <c r="BS224" s="113">
        <v>0</v>
      </c>
      <c r="BT224" s="113">
        <v>0</v>
      </c>
      <c r="BU224" s="113">
        <v>0</v>
      </c>
      <c r="BV224" s="113">
        <v>0</v>
      </c>
      <c r="BW224" s="113">
        <v>0</v>
      </c>
      <c r="BX224" s="113">
        <v>0</v>
      </c>
      <c r="BY224" s="113">
        <v>0</v>
      </c>
      <c r="BZ224" s="113">
        <v>0</v>
      </c>
      <c r="CA224" s="113">
        <v>0</v>
      </c>
      <c r="CB224" s="113">
        <v>0</v>
      </c>
      <c r="CC224" s="113">
        <v>0</v>
      </c>
      <c r="CD224" s="113">
        <v>0</v>
      </c>
      <c r="CE224" s="113">
        <v>0</v>
      </c>
      <c r="CF224" s="113">
        <v>0</v>
      </c>
      <c r="CG224" s="113">
        <v>0</v>
      </c>
      <c r="CH224" s="113">
        <v>0</v>
      </c>
      <c r="CI224" s="113">
        <v>0</v>
      </c>
      <c r="CJ224" s="113">
        <v>0</v>
      </c>
      <c r="CK224" s="113">
        <v>0</v>
      </c>
      <c r="CL224" s="113">
        <v>0</v>
      </c>
      <c r="CM224" s="113">
        <v>0</v>
      </c>
      <c r="CN224" s="113">
        <v>0</v>
      </c>
      <c r="CO224" s="113">
        <v>0</v>
      </c>
      <c r="CP224" s="113">
        <v>0</v>
      </c>
      <c r="CQ224" s="113">
        <v>0</v>
      </c>
      <c r="CR224" s="113">
        <v>0</v>
      </c>
      <c r="CS224" s="113">
        <v>0</v>
      </c>
      <c r="CT224" s="113">
        <v>0</v>
      </c>
      <c r="CU224" s="113">
        <v>0</v>
      </c>
      <c r="CV224" s="113">
        <v>0</v>
      </c>
      <c r="CW224" s="113">
        <v>0</v>
      </c>
      <c r="CX224" s="113">
        <v>0</v>
      </c>
      <c r="CY224" s="113">
        <v>0</v>
      </c>
      <c r="CZ224" s="113">
        <v>0</v>
      </c>
      <c r="DA224" s="113">
        <v>0</v>
      </c>
      <c r="DB224" s="113">
        <v>0</v>
      </c>
      <c r="DC224" s="113">
        <v>0</v>
      </c>
      <c r="DD224" s="113">
        <v>0</v>
      </c>
      <c r="DE224" s="113">
        <v>0</v>
      </c>
      <c r="DF224" s="113">
        <v>0</v>
      </c>
      <c r="DG224" s="113">
        <v>0</v>
      </c>
      <c r="DH224" s="113">
        <v>0</v>
      </c>
      <c r="DI224" s="113">
        <v>6193</v>
      </c>
      <c r="DJ224" s="113">
        <v>0</v>
      </c>
      <c r="DK224" s="113">
        <v>0</v>
      </c>
      <c r="DL224" s="113">
        <v>0</v>
      </c>
      <c r="DM224" s="113">
        <v>0</v>
      </c>
      <c r="DN224" s="113">
        <v>0</v>
      </c>
      <c r="DO224" s="113">
        <v>0</v>
      </c>
      <c r="DP224" s="113">
        <v>0</v>
      </c>
      <c r="DQ224" s="113">
        <v>0</v>
      </c>
      <c r="DR224" s="113">
        <v>0</v>
      </c>
      <c r="DS224" s="113">
        <v>0</v>
      </c>
      <c r="DT224" s="113">
        <v>0</v>
      </c>
      <c r="DU224" s="113">
        <v>7498</v>
      </c>
      <c r="DV224" s="113">
        <v>0</v>
      </c>
      <c r="DW224" s="113">
        <v>0</v>
      </c>
      <c r="DX224" s="113">
        <v>0</v>
      </c>
      <c r="DY224" s="113">
        <v>630</v>
      </c>
      <c r="DZ224" s="113">
        <v>0</v>
      </c>
      <c r="EA224" s="113">
        <v>0</v>
      </c>
      <c r="EB224" s="113">
        <v>0</v>
      </c>
      <c r="EC224" s="113">
        <v>0</v>
      </c>
      <c r="ED224" s="113">
        <v>0</v>
      </c>
      <c r="EE224" s="113">
        <v>0</v>
      </c>
      <c r="EF224" s="113">
        <v>0</v>
      </c>
      <c r="EG224" s="113">
        <v>0</v>
      </c>
      <c r="EH224" s="113">
        <v>0</v>
      </c>
      <c r="EI224" s="113">
        <v>0</v>
      </c>
      <c r="EJ224" s="113">
        <v>0</v>
      </c>
      <c r="EK224" s="113">
        <v>0</v>
      </c>
      <c r="EL224" s="113">
        <v>0</v>
      </c>
      <c r="EM224" s="113">
        <v>0</v>
      </c>
      <c r="EN224" s="113">
        <v>0</v>
      </c>
    </row>
    <row r="225" spans="1:144">
      <c r="A225" s="103" t="s">
        <v>2490</v>
      </c>
      <c r="B225" s="113">
        <v>0</v>
      </c>
      <c r="C225" s="113">
        <v>0</v>
      </c>
      <c r="D225" s="113">
        <v>0</v>
      </c>
      <c r="E225" s="113">
        <v>0</v>
      </c>
      <c r="F225" s="113">
        <v>0</v>
      </c>
      <c r="G225" s="113">
        <v>0</v>
      </c>
      <c r="H225" s="113">
        <v>0</v>
      </c>
      <c r="I225" s="113">
        <v>0</v>
      </c>
      <c r="J225" s="113">
        <v>0</v>
      </c>
      <c r="K225" s="113">
        <v>0</v>
      </c>
      <c r="L225" s="113">
        <v>0</v>
      </c>
      <c r="M225" s="113">
        <v>3784</v>
      </c>
      <c r="N225" s="113">
        <v>3749</v>
      </c>
      <c r="O225" s="113">
        <v>5734</v>
      </c>
      <c r="P225" s="113">
        <v>2448</v>
      </c>
      <c r="Q225" s="113">
        <v>1715</v>
      </c>
      <c r="R225" s="113">
        <v>1550</v>
      </c>
      <c r="S225" s="113">
        <v>1479</v>
      </c>
      <c r="T225" s="113">
        <v>1708</v>
      </c>
      <c r="U225" s="113">
        <v>1891</v>
      </c>
      <c r="V225" s="113">
        <v>2166</v>
      </c>
      <c r="W225" s="113">
        <v>2244</v>
      </c>
      <c r="X225" s="113">
        <v>2406</v>
      </c>
      <c r="Y225" s="113">
        <v>2446</v>
      </c>
      <c r="Z225" s="113">
        <v>2574</v>
      </c>
      <c r="AA225" s="113">
        <v>2668</v>
      </c>
      <c r="AB225" s="113">
        <v>3266</v>
      </c>
      <c r="AC225" s="113">
        <v>3940</v>
      </c>
      <c r="AD225" s="113">
        <v>4652</v>
      </c>
      <c r="AE225" s="113">
        <v>5130</v>
      </c>
      <c r="AG225" s="103" t="s">
        <v>2490</v>
      </c>
      <c r="AH225" s="113">
        <v>0</v>
      </c>
      <c r="AI225" s="113">
        <v>0</v>
      </c>
      <c r="AJ225" s="113">
        <v>0</v>
      </c>
      <c r="AK225" s="113">
        <v>0</v>
      </c>
      <c r="AL225" s="113">
        <v>0</v>
      </c>
      <c r="AM225" s="113">
        <v>0</v>
      </c>
      <c r="AN225" s="113">
        <v>0</v>
      </c>
      <c r="AO225" s="113">
        <v>0</v>
      </c>
      <c r="AP225" s="113">
        <v>0</v>
      </c>
      <c r="AQ225" s="113">
        <v>0</v>
      </c>
      <c r="AR225" s="113">
        <v>0</v>
      </c>
      <c r="AS225" s="113">
        <v>0</v>
      </c>
      <c r="AT225" s="113">
        <v>0</v>
      </c>
      <c r="AU225" s="113">
        <v>0</v>
      </c>
      <c r="AV225" s="113">
        <v>0</v>
      </c>
      <c r="AW225" s="113">
        <v>0</v>
      </c>
      <c r="AX225" s="113">
        <v>0</v>
      </c>
      <c r="AY225" s="113">
        <v>0</v>
      </c>
      <c r="AZ225" s="113">
        <v>0</v>
      </c>
      <c r="BA225" s="113">
        <v>0</v>
      </c>
      <c r="BB225" s="113">
        <v>0</v>
      </c>
      <c r="BC225" s="113">
        <v>0</v>
      </c>
      <c r="BD225" s="113">
        <v>0</v>
      </c>
      <c r="BE225" s="113">
        <v>0</v>
      </c>
      <c r="BF225" s="113">
        <v>0</v>
      </c>
      <c r="BG225" s="113">
        <v>0</v>
      </c>
      <c r="BH225" s="113">
        <v>0</v>
      </c>
      <c r="BI225" s="113">
        <v>0</v>
      </c>
      <c r="BJ225" s="113">
        <v>0</v>
      </c>
      <c r="BK225" s="113">
        <v>0</v>
      </c>
      <c r="BL225" s="113">
        <v>0</v>
      </c>
      <c r="BM225" s="113">
        <v>0</v>
      </c>
      <c r="BN225" s="113">
        <v>0</v>
      </c>
      <c r="BO225" s="113">
        <v>0</v>
      </c>
      <c r="BP225" s="113">
        <v>0</v>
      </c>
      <c r="BQ225" s="113">
        <v>0</v>
      </c>
      <c r="BR225" s="113">
        <v>0</v>
      </c>
      <c r="BS225" s="113">
        <v>0</v>
      </c>
      <c r="BT225" s="113">
        <v>0</v>
      </c>
      <c r="BU225" s="113">
        <v>0</v>
      </c>
      <c r="BV225" s="113">
        <v>1048</v>
      </c>
      <c r="BW225" s="113">
        <v>1058</v>
      </c>
      <c r="BX225" s="113">
        <v>978</v>
      </c>
      <c r="BY225" s="113">
        <v>665</v>
      </c>
      <c r="BZ225" s="113">
        <v>1015</v>
      </c>
      <c r="CA225" s="113">
        <v>3232</v>
      </c>
      <c r="CB225" s="113">
        <v>748</v>
      </c>
      <c r="CC225" s="113">
        <v>739</v>
      </c>
      <c r="CD225" s="113">
        <v>745</v>
      </c>
      <c r="CE225" s="113">
        <v>551</v>
      </c>
      <c r="CF225" s="113">
        <v>617</v>
      </c>
      <c r="CG225" s="113">
        <v>535</v>
      </c>
      <c r="CH225" s="113">
        <v>464</v>
      </c>
      <c r="CI225" s="113">
        <v>514</v>
      </c>
      <c r="CJ225" s="113">
        <v>374</v>
      </c>
      <c r="CK225" s="113">
        <v>363</v>
      </c>
      <c r="CL225" s="113">
        <v>456</v>
      </c>
      <c r="CM225" s="113">
        <v>437</v>
      </c>
      <c r="CN225" s="113">
        <v>321</v>
      </c>
      <c r="CO225" s="113">
        <v>336</v>
      </c>
      <c r="CP225" s="113">
        <v>333</v>
      </c>
      <c r="CQ225" s="113">
        <v>360</v>
      </c>
      <c r="CR225" s="113">
        <v>373</v>
      </c>
      <c r="CS225" s="113">
        <v>413</v>
      </c>
      <c r="CT225" s="113">
        <v>443</v>
      </c>
      <c r="CU225" s="113">
        <v>417</v>
      </c>
      <c r="CV225" s="113">
        <v>432</v>
      </c>
      <c r="CW225" s="113">
        <v>416</v>
      </c>
      <c r="CX225" s="113">
        <v>443</v>
      </c>
      <c r="CY225" s="113">
        <v>485</v>
      </c>
      <c r="CZ225" s="113">
        <v>481</v>
      </c>
      <c r="DA225" s="113">
        <v>482</v>
      </c>
      <c r="DB225" s="113">
        <v>528</v>
      </c>
      <c r="DC225" s="113">
        <v>553</v>
      </c>
      <c r="DD225" s="113">
        <v>541</v>
      </c>
      <c r="DE225" s="113">
        <v>544</v>
      </c>
      <c r="DF225" s="113">
        <v>558</v>
      </c>
      <c r="DG225" s="113">
        <v>575</v>
      </c>
      <c r="DH225" s="113">
        <v>591</v>
      </c>
      <c r="DI225" s="113">
        <v>520</v>
      </c>
      <c r="DJ225" s="113">
        <v>603</v>
      </c>
      <c r="DK225" s="113">
        <v>603</v>
      </c>
      <c r="DL225" s="113">
        <v>599</v>
      </c>
      <c r="DM225" s="113">
        <v>601</v>
      </c>
      <c r="DN225" s="113">
        <v>635</v>
      </c>
      <c r="DO225" s="113">
        <v>591</v>
      </c>
      <c r="DP225" s="113">
        <v>602</v>
      </c>
      <c r="DQ225" s="113">
        <v>618</v>
      </c>
      <c r="DR225" s="113">
        <v>646</v>
      </c>
      <c r="DS225" s="113">
        <v>633</v>
      </c>
      <c r="DT225" s="113">
        <v>641</v>
      </c>
      <c r="DU225" s="113">
        <v>654</v>
      </c>
      <c r="DV225" s="113">
        <v>674</v>
      </c>
      <c r="DW225" s="113">
        <v>658</v>
      </c>
      <c r="DX225" s="113">
        <v>672</v>
      </c>
      <c r="DY225" s="113">
        <v>664</v>
      </c>
      <c r="DZ225" s="113">
        <v>703</v>
      </c>
      <c r="EA225" s="113">
        <v>767</v>
      </c>
      <c r="EB225" s="113">
        <v>883</v>
      </c>
      <c r="EC225" s="113">
        <v>913</v>
      </c>
      <c r="ED225" s="113">
        <v>973</v>
      </c>
      <c r="EE225" s="113">
        <v>986</v>
      </c>
      <c r="EF225" s="113">
        <v>969</v>
      </c>
      <c r="EG225" s="113">
        <v>1012</v>
      </c>
      <c r="EH225" s="113">
        <v>1107</v>
      </c>
      <c r="EI225" s="113">
        <v>1183</v>
      </c>
      <c r="EJ225" s="113">
        <v>1172</v>
      </c>
      <c r="EK225" s="113">
        <v>1190</v>
      </c>
      <c r="EL225" s="113">
        <v>1262</v>
      </c>
      <c r="EM225" s="113">
        <v>1340</v>
      </c>
      <c r="EN225" s="113">
        <v>1338</v>
      </c>
    </row>
    <row r="226" spans="1:144">
      <c r="A226" s="103" t="s">
        <v>2491</v>
      </c>
      <c r="B226" s="113">
        <v>0</v>
      </c>
      <c r="C226" s="113">
        <v>0</v>
      </c>
      <c r="D226" s="113">
        <v>0</v>
      </c>
      <c r="E226" s="113">
        <v>0</v>
      </c>
      <c r="F226" s="113">
        <v>0</v>
      </c>
      <c r="G226" s="113">
        <v>0</v>
      </c>
      <c r="H226" s="113">
        <v>0</v>
      </c>
      <c r="I226" s="113">
        <v>1553</v>
      </c>
      <c r="J226" s="113">
        <v>3107</v>
      </c>
      <c r="K226" s="113">
        <v>5535</v>
      </c>
      <c r="L226" s="113">
        <v>2066</v>
      </c>
      <c r="M226" s="113">
        <v>1596</v>
      </c>
      <c r="N226" s="113">
        <v>1365</v>
      </c>
      <c r="O226" s="113">
        <v>1100</v>
      </c>
      <c r="P226" s="113">
        <v>668</v>
      </c>
      <c r="Q226" s="113">
        <v>-89</v>
      </c>
      <c r="R226" s="113">
        <v>-77</v>
      </c>
      <c r="S226" s="113">
        <v>-120</v>
      </c>
      <c r="T226" s="113">
        <v>-52</v>
      </c>
      <c r="U226" s="113">
        <v>-45</v>
      </c>
      <c r="V226" s="113">
        <v>-17</v>
      </c>
      <c r="W226" s="113">
        <v>-93</v>
      </c>
      <c r="X226" s="113">
        <v>-209</v>
      </c>
      <c r="Y226" s="113">
        <v>0</v>
      </c>
      <c r="Z226" s="113">
        <v>0</v>
      </c>
      <c r="AA226" s="113">
        <v>0</v>
      </c>
      <c r="AB226" s="113">
        <v>0</v>
      </c>
      <c r="AC226" s="113">
        <v>0</v>
      </c>
      <c r="AD226" s="113">
        <v>0</v>
      </c>
      <c r="AE226" s="113">
        <v>0</v>
      </c>
      <c r="AG226" s="103" t="s">
        <v>2491</v>
      </c>
      <c r="AH226" s="113">
        <v>0</v>
      </c>
      <c r="AI226" s="113">
        <v>0</v>
      </c>
      <c r="AJ226" s="113">
        <v>0</v>
      </c>
      <c r="AK226" s="113">
        <v>0</v>
      </c>
      <c r="AL226" s="113">
        <v>0</v>
      </c>
      <c r="AM226" s="113">
        <v>0</v>
      </c>
      <c r="AN226" s="113">
        <v>0</v>
      </c>
      <c r="AO226" s="113">
        <v>0</v>
      </c>
      <c r="AP226" s="113">
        <v>0</v>
      </c>
      <c r="AQ226" s="113">
        <v>0</v>
      </c>
      <c r="AR226" s="113">
        <v>0</v>
      </c>
      <c r="AS226" s="113">
        <v>0</v>
      </c>
      <c r="AT226" s="113">
        <v>0</v>
      </c>
      <c r="AU226" s="113">
        <v>0</v>
      </c>
      <c r="AV226" s="113">
        <v>0</v>
      </c>
      <c r="AW226" s="113">
        <v>0</v>
      </c>
      <c r="AX226" s="113">
        <v>0</v>
      </c>
      <c r="AY226" s="113">
        <v>0</v>
      </c>
      <c r="AZ226" s="113">
        <v>0</v>
      </c>
      <c r="BA226" s="113">
        <v>0</v>
      </c>
      <c r="BB226" s="113">
        <v>0</v>
      </c>
      <c r="BC226" s="113">
        <v>0</v>
      </c>
      <c r="BD226" s="113">
        <v>0</v>
      </c>
      <c r="BE226" s="113">
        <v>0</v>
      </c>
      <c r="BF226" s="113">
        <v>0</v>
      </c>
      <c r="BG226" s="113">
        <v>0</v>
      </c>
      <c r="BH226" s="113">
        <v>0</v>
      </c>
      <c r="BI226" s="113">
        <v>3107</v>
      </c>
      <c r="BJ226" s="113">
        <v>1215</v>
      </c>
      <c r="BK226" s="113">
        <v>1421</v>
      </c>
      <c r="BL226" s="113">
        <v>1366</v>
      </c>
      <c r="BM226" s="113">
        <v>1533</v>
      </c>
      <c r="BN226" s="113">
        <v>453</v>
      </c>
      <c r="BO226" s="113">
        <v>444</v>
      </c>
      <c r="BP226" s="113">
        <v>374</v>
      </c>
      <c r="BQ226" s="113">
        <v>795</v>
      </c>
      <c r="BR226" s="113">
        <v>415</v>
      </c>
      <c r="BS226" s="113">
        <v>336</v>
      </c>
      <c r="BT226" s="113">
        <v>346</v>
      </c>
      <c r="BU226" s="113">
        <v>499</v>
      </c>
      <c r="BV226" s="113">
        <v>365</v>
      </c>
      <c r="BW226" s="113">
        <v>296</v>
      </c>
      <c r="BX226" s="113">
        <v>329</v>
      </c>
      <c r="BY226" s="113">
        <v>375</v>
      </c>
      <c r="BZ226" s="113">
        <v>489</v>
      </c>
      <c r="CA226" s="113">
        <v>148</v>
      </c>
      <c r="CB226" s="113">
        <v>135</v>
      </c>
      <c r="CC226" s="113">
        <v>328</v>
      </c>
      <c r="CD226" s="113">
        <v>128</v>
      </c>
      <c r="CE226" s="113">
        <v>99</v>
      </c>
      <c r="CF226" s="113">
        <v>37</v>
      </c>
      <c r="CG226" s="113">
        <v>404</v>
      </c>
      <c r="CH226" s="113">
        <v>-31</v>
      </c>
      <c r="CI226" s="113">
        <v>-13</v>
      </c>
      <c r="CJ226" s="113">
        <v>-23</v>
      </c>
      <c r="CK226" s="113">
        <v>-22</v>
      </c>
      <c r="CL226" s="113">
        <v>-40</v>
      </c>
      <c r="CM226" s="113">
        <v>-8</v>
      </c>
      <c r="CN226" s="113">
        <v>-7</v>
      </c>
      <c r="CO226" s="113">
        <v>-22</v>
      </c>
      <c r="CP226" s="113">
        <v>-69</v>
      </c>
      <c r="CQ226" s="113">
        <v>-33</v>
      </c>
      <c r="CR226" s="113">
        <v>-9</v>
      </c>
      <c r="CS226" s="113">
        <v>-9</v>
      </c>
      <c r="CT226" s="113">
        <v>-44</v>
      </c>
      <c r="CU226" s="113">
        <v>-2</v>
      </c>
      <c r="CV226" s="113">
        <v>-2</v>
      </c>
      <c r="CW226" s="113">
        <v>-4</v>
      </c>
      <c r="CX226" s="113">
        <v>-9</v>
      </c>
      <c r="CY226" s="113">
        <v>-15</v>
      </c>
      <c r="CZ226" s="113">
        <v>-14</v>
      </c>
      <c r="DA226" s="113">
        <v>-7</v>
      </c>
      <c r="DB226" s="113">
        <v>-5</v>
      </c>
      <c r="DC226" s="113">
        <v>-4</v>
      </c>
      <c r="DD226" s="113">
        <v>-5</v>
      </c>
      <c r="DE226" s="113">
        <v>-3</v>
      </c>
      <c r="DF226" s="113">
        <v>-70</v>
      </c>
      <c r="DG226" s="113">
        <v>-4</v>
      </c>
      <c r="DH226" s="113">
        <v>-10</v>
      </c>
      <c r="DI226" s="113">
        <v>-9</v>
      </c>
      <c r="DJ226" s="113">
        <v>-177</v>
      </c>
      <c r="DK226" s="113">
        <v>-9</v>
      </c>
      <c r="DL226" s="113">
        <v>-6</v>
      </c>
      <c r="DM226" s="113">
        <v>-17</v>
      </c>
      <c r="DN226" s="113">
        <v>-205</v>
      </c>
      <c r="DO226" s="113">
        <v>-20</v>
      </c>
      <c r="DP226" s="113">
        <v>-22</v>
      </c>
      <c r="DQ226" s="113">
        <v>-24</v>
      </c>
      <c r="DR226" s="113">
        <v>-502</v>
      </c>
      <c r="DS226" s="113">
        <v>-22</v>
      </c>
      <c r="DT226" s="113">
        <v>0</v>
      </c>
      <c r="DU226" s="113">
        <v>0</v>
      </c>
      <c r="DV226" s="113">
        <v>0</v>
      </c>
      <c r="DW226" s="113">
        <v>0</v>
      </c>
      <c r="DX226" s="113">
        <v>0</v>
      </c>
      <c r="DY226" s="113">
        <v>0</v>
      </c>
      <c r="DZ226" s="113">
        <v>0</v>
      </c>
      <c r="EA226" s="113">
        <v>0</v>
      </c>
      <c r="EB226" s="113">
        <v>0</v>
      </c>
      <c r="EC226" s="113">
        <v>0</v>
      </c>
      <c r="ED226" s="113">
        <v>0</v>
      </c>
      <c r="EE226" s="113">
        <v>0</v>
      </c>
      <c r="EF226" s="113">
        <v>0</v>
      </c>
      <c r="EG226" s="113">
        <v>0</v>
      </c>
      <c r="EH226" s="113">
        <v>0</v>
      </c>
      <c r="EI226" s="113">
        <v>0</v>
      </c>
      <c r="EJ226" s="113">
        <v>0</v>
      </c>
      <c r="EK226" s="113">
        <v>0</v>
      </c>
      <c r="EL226" s="113">
        <v>0</v>
      </c>
      <c r="EM226" s="113">
        <v>0</v>
      </c>
      <c r="EN226" s="113">
        <v>0</v>
      </c>
    </row>
    <row r="227" spans="1:144">
      <c r="A227" s="103" t="s">
        <v>2492</v>
      </c>
      <c r="B227" s="113">
        <v>0</v>
      </c>
      <c r="C227" s="113">
        <v>0</v>
      </c>
      <c r="D227" s="113">
        <v>0</v>
      </c>
      <c r="E227" s="113">
        <v>0</v>
      </c>
      <c r="F227" s="113">
        <v>0</v>
      </c>
      <c r="G227" s="113">
        <v>0</v>
      </c>
      <c r="H227" s="113">
        <v>0</v>
      </c>
      <c r="I227" s="113">
        <v>496</v>
      </c>
      <c r="J227" s="113">
        <v>-207</v>
      </c>
      <c r="K227" s="113">
        <v>-425</v>
      </c>
      <c r="L227" s="113">
        <v>-45</v>
      </c>
      <c r="M227" s="113">
        <v>-1580</v>
      </c>
      <c r="N227" s="113">
        <v>-1348</v>
      </c>
      <c r="O227" s="113">
        <v>-1860</v>
      </c>
      <c r="P227" s="113">
        <v>704</v>
      </c>
      <c r="Q227" s="113">
        <v>1943</v>
      </c>
      <c r="R227" s="113">
        <v>2075</v>
      </c>
      <c r="S227" s="113">
        <v>3707</v>
      </c>
      <c r="T227" s="113">
        <v>-49</v>
      </c>
      <c r="U227" s="113">
        <v>410</v>
      </c>
      <c r="V227" s="113">
        <v>2409</v>
      </c>
      <c r="W227" s="113">
        <v>3803</v>
      </c>
      <c r="X227" s="113">
        <v>2519</v>
      </c>
      <c r="Y227" s="113">
        <v>3022</v>
      </c>
      <c r="Z227" s="113">
        <v>854</v>
      </c>
      <c r="AA227" s="113">
        <v>3154</v>
      </c>
      <c r="AB227" s="113">
        <v>149</v>
      </c>
      <c r="AC227" s="113">
        <v>-4782</v>
      </c>
      <c r="AD227" s="113">
        <v>-6381</v>
      </c>
      <c r="AE227" s="113">
        <v>-6077</v>
      </c>
      <c r="AG227" s="103" t="s">
        <v>2492</v>
      </c>
      <c r="AH227" s="113">
        <v>0</v>
      </c>
      <c r="AI227" s="113">
        <v>0</v>
      </c>
      <c r="AJ227" s="113">
        <v>0</v>
      </c>
      <c r="AK227" s="113">
        <v>0</v>
      </c>
      <c r="AL227" s="113">
        <v>0</v>
      </c>
      <c r="AM227" s="113">
        <v>0</v>
      </c>
      <c r="AN227" s="113">
        <v>0</v>
      </c>
      <c r="AO227" s="113">
        <v>0</v>
      </c>
      <c r="AP227" s="113">
        <v>0</v>
      </c>
      <c r="AQ227" s="113">
        <v>0</v>
      </c>
      <c r="AR227" s="113">
        <v>0</v>
      </c>
      <c r="AS227" s="113">
        <v>0</v>
      </c>
      <c r="AT227" s="113">
        <v>0</v>
      </c>
      <c r="AU227" s="113">
        <v>0</v>
      </c>
      <c r="AV227" s="113">
        <v>0</v>
      </c>
      <c r="AW227" s="113">
        <v>0</v>
      </c>
      <c r="AX227" s="113">
        <v>0</v>
      </c>
      <c r="AY227" s="113">
        <v>453</v>
      </c>
      <c r="AZ227" s="113">
        <v>0</v>
      </c>
      <c r="BA227" s="113">
        <v>0</v>
      </c>
      <c r="BB227" s="113">
        <v>0</v>
      </c>
      <c r="BC227" s="113">
        <v>0</v>
      </c>
      <c r="BD227" s="113">
        <v>0</v>
      </c>
      <c r="BE227" s="113">
        <v>0</v>
      </c>
      <c r="BF227" s="113">
        <v>0</v>
      </c>
      <c r="BG227" s="113">
        <v>0</v>
      </c>
      <c r="BH227" s="113">
        <v>0</v>
      </c>
      <c r="BI227" s="113">
        <v>443</v>
      </c>
      <c r="BJ227" s="113">
        <v>-427</v>
      </c>
      <c r="BK227" s="113">
        <v>0</v>
      </c>
      <c r="BL227" s="113">
        <v>876</v>
      </c>
      <c r="BM227" s="113">
        <v>-517</v>
      </c>
      <c r="BN227" s="113">
        <v>1109</v>
      </c>
      <c r="BO227" s="113">
        <v>262</v>
      </c>
      <c r="BP227" s="113">
        <v>361</v>
      </c>
      <c r="BQ227" s="113">
        <v>-1518</v>
      </c>
      <c r="BR227" s="113">
        <v>-839</v>
      </c>
      <c r="BS227" s="113">
        <v>940</v>
      </c>
      <c r="BT227" s="113">
        <v>-818</v>
      </c>
      <c r="BU227" s="113">
        <v>371</v>
      </c>
      <c r="BV227" s="113">
        <v>-939</v>
      </c>
      <c r="BW227" s="113">
        <v>-592</v>
      </c>
      <c r="BX227" s="113">
        <v>169</v>
      </c>
      <c r="BY227" s="113">
        <v>771</v>
      </c>
      <c r="BZ227" s="113">
        <v>6</v>
      </c>
      <c r="CA227" s="113">
        <v>-985</v>
      </c>
      <c r="CB227" s="113">
        <v>-272</v>
      </c>
      <c r="CC227" s="113">
        <v>1302</v>
      </c>
      <c r="CD227" s="113">
        <v>293</v>
      </c>
      <c r="CE227" s="113">
        <v>256</v>
      </c>
      <c r="CF227" s="113">
        <v>-321</v>
      </c>
      <c r="CG227" s="113">
        <v>939</v>
      </c>
      <c r="CH227" s="113">
        <v>-128</v>
      </c>
      <c r="CI227" s="113">
        <v>218</v>
      </c>
      <c r="CJ227" s="113">
        <v>-216</v>
      </c>
      <c r="CK227" s="113">
        <v>2369</v>
      </c>
      <c r="CL227" s="113">
        <v>-667</v>
      </c>
      <c r="CM227" s="113">
        <v>1247</v>
      </c>
      <c r="CN227" s="113">
        <v>-589</v>
      </c>
      <c r="CO227" s="113">
        <v>2080</v>
      </c>
      <c r="CP227" s="113">
        <v>-787</v>
      </c>
      <c r="CQ227" s="113">
        <v>950</v>
      </c>
      <c r="CR227" s="113">
        <v>-37</v>
      </c>
      <c r="CS227" s="113">
        <v>3581</v>
      </c>
      <c r="CT227" s="113">
        <v>-1482</v>
      </c>
      <c r="CU227" s="113">
        <v>59</v>
      </c>
      <c r="CV227" s="113">
        <v>-1139</v>
      </c>
      <c r="CW227" s="113">
        <v>2578</v>
      </c>
      <c r="CX227" s="113">
        <v>396</v>
      </c>
      <c r="CY227" s="113">
        <v>-1650</v>
      </c>
      <c r="CZ227" s="113">
        <v>-549</v>
      </c>
      <c r="DA227" s="113">
        <v>2213</v>
      </c>
      <c r="DB227" s="113">
        <v>-1129</v>
      </c>
      <c r="DC227" s="113">
        <v>-584</v>
      </c>
      <c r="DD227" s="113">
        <v>-469</v>
      </c>
      <c r="DE227" s="113">
        <v>4591</v>
      </c>
      <c r="DF227" s="113">
        <v>-1112</v>
      </c>
      <c r="DG227" s="113">
        <v>-499</v>
      </c>
      <c r="DH227" s="113">
        <v>-275</v>
      </c>
      <c r="DI227" s="113">
        <v>5689</v>
      </c>
      <c r="DJ227" s="113">
        <v>-523</v>
      </c>
      <c r="DK227" s="113">
        <v>394</v>
      </c>
      <c r="DL227" s="113">
        <v>-1687</v>
      </c>
      <c r="DM227" s="113">
        <v>4335</v>
      </c>
      <c r="DN227" s="113">
        <v>-1837</v>
      </c>
      <c r="DO227" s="113">
        <v>-909</v>
      </c>
      <c r="DP227" s="113">
        <v>-154</v>
      </c>
      <c r="DQ227" s="113">
        <v>5922</v>
      </c>
      <c r="DR227" s="113">
        <v>-2320</v>
      </c>
      <c r="DS227" s="113">
        <v>-981</v>
      </c>
      <c r="DT227" s="113">
        <v>-793</v>
      </c>
      <c r="DU227" s="113">
        <v>4948</v>
      </c>
      <c r="DV227" s="113">
        <v>-859</v>
      </c>
      <c r="DW227" s="113">
        <v>394</v>
      </c>
      <c r="DX227" s="113">
        <v>1214</v>
      </c>
      <c r="DY227" s="113">
        <v>8832</v>
      </c>
      <c r="DZ227" s="113">
        <v>540</v>
      </c>
      <c r="EA227" s="113">
        <v>5</v>
      </c>
      <c r="EB227" s="113">
        <v>-284</v>
      </c>
      <c r="EC227" s="113">
        <v>-167</v>
      </c>
      <c r="ED227" s="113">
        <v>-53</v>
      </c>
      <c r="EE227" s="113">
        <v>-2305</v>
      </c>
      <c r="EF227" s="113">
        <v>-396</v>
      </c>
      <c r="EG227" s="113">
        <v>-2028</v>
      </c>
      <c r="EH227" s="113">
        <v>-247</v>
      </c>
      <c r="EI227" s="113">
        <v>-173</v>
      </c>
      <c r="EJ227" s="113">
        <v>-320</v>
      </c>
      <c r="EK227" s="113">
        <v>-5641</v>
      </c>
      <c r="EL227" s="113">
        <v>-177</v>
      </c>
      <c r="EM227" s="113">
        <v>-53</v>
      </c>
      <c r="EN227" s="113">
        <v>-206</v>
      </c>
    </row>
    <row r="228" spans="1:144">
      <c r="A228" s="103" t="s">
        <v>2493</v>
      </c>
      <c r="B228" s="113">
        <v>-65</v>
      </c>
      <c r="C228" s="113">
        <v>-33</v>
      </c>
      <c r="D228" s="113">
        <v>-121</v>
      </c>
      <c r="E228" s="113">
        <v>-146</v>
      </c>
      <c r="F228" s="113">
        <v>-91</v>
      </c>
      <c r="G228" s="113">
        <v>-71</v>
      </c>
      <c r="H228" s="113">
        <v>-336</v>
      </c>
      <c r="I228" s="113">
        <v>-520</v>
      </c>
      <c r="J228" s="113">
        <v>-687</v>
      </c>
      <c r="K228" s="113">
        <v>-944</v>
      </c>
      <c r="L228" s="113">
        <v>-418</v>
      </c>
      <c r="M228" s="113">
        <v>-1623</v>
      </c>
      <c r="N228" s="113">
        <v>187</v>
      </c>
      <c r="O228" s="113">
        <v>-687</v>
      </c>
      <c r="P228" s="113">
        <v>-1243</v>
      </c>
      <c r="Q228" s="113">
        <v>-2071</v>
      </c>
      <c r="R228" s="113">
        <v>-1764</v>
      </c>
      <c r="S228" s="113">
        <v>-1569</v>
      </c>
      <c r="T228" s="113">
        <v>2215</v>
      </c>
      <c r="U228" s="113">
        <v>-2238</v>
      </c>
      <c r="V228" s="113">
        <v>-1451</v>
      </c>
      <c r="W228" s="113">
        <v>-1156</v>
      </c>
      <c r="X228" s="113">
        <v>-1807</v>
      </c>
      <c r="Y228" s="113">
        <v>-1120</v>
      </c>
      <c r="Z228" s="113">
        <v>1456</v>
      </c>
      <c r="AA228" s="113">
        <v>562</v>
      </c>
      <c r="AB228" s="113">
        <v>-1216</v>
      </c>
      <c r="AC228" s="113">
        <v>-3862</v>
      </c>
      <c r="AD228" s="113">
        <v>-2812</v>
      </c>
      <c r="AE228" s="113">
        <v>-3292</v>
      </c>
      <c r="AG228" s="103" t="s">
        <v>2493</v>
      </c>
      <c r="AH228" s="113">
        <v>-52.5</v>
      </c>
      <c r="AI228" s="113">
        <v>-52.5</v>
      </c>
      <c r="AJ228" s="113">
        <v>-107</v>
      </c>
      <c r="AK228" s="113">
        <v>91</v>
      </c>
      <c r="AL228" s="113">
        <v>-32</v>
      </c>
      <c r="AM228" s="113">
        <v>-98</v>
      </c>
      <c r="AN228" s="113">
        <v>-57</v>
      </c>
      <c r="AO228" s="113">
        <v>41</v>
      </c>
      <c r="AP228" s="113">
        <v>-59</v>
      </c>
      <c r="AQ228" s="113">
        <v>-75</v>
      </c>
      <c r="AR228" s="113">
        <v>94</v>
      </c>
      <c r="AS228" s="113">
        <v>-51</v>
      </c>
      <c r="AT228" s="113">
        <v>-504</v>
      </c>
      <c r="AU228" s="113">
        <v>317</v>
      </c>
      <c r="AV228" s="113">
        <v>33</v>
      </c>
      <c r="AW228" s="113">
        <v>83</v>
      </c>
      <c r="AX228" s="113">
        <v>-205</v>
      </c>
      <c r="AY228" s="113">
        <v>-121</v>
      </c>
      <c r="AZ228" s="113">
        <v>74</v>
      </c>
      <c r="BA228" s="113">
        <v>-84</v>
      </c>
      <c r="BB228" s="113">
        <v>180</v>
      </c>
      <c r="BC228" s="113">
        <v>-309</v>
      </c>
      <c r="BD228" s="113">
        <v>6</v>
      </c>
      <c r="BE228" s="113">
        <v>-397</v>
      </c>
      <c r="BF228" s="113">
        <v>341</v>
      </c>
      <c r="BG228" s="113">
        <v>-827</v>
      </c>
      <c r="BH228" s="113">
        <v>294</v>
      </c>
      <c r="BI228" s="113">
        <v>-495</v>
      </c>
      <c r="BJ228" s="113">
        <v>64</v>
      </c>
      <c r="BK228" s="113">
        <v>-1094</v>
      </c>
      <c r="BL228" s="113">
        <v>472</v>
      </c>
      <c r="BM228" s="113">
        <v>-386</v>
      </c>
      <c r="BN228" s="113">
        <v>116</v>
      </c>
      <c r="BO228" s="113">
        <v>-1014</v>
      </c>
      <c r="BP228" s="113">
        <v>617</v>
      </c>
      <c r="BQ228" s="113">
        <v>-137</v>
      </c>
      <c r="BR228" s="113">
        <v>69</v>
      </c>
      <c r="BS228" s="113">
        <v>-1468</v>
      </c>
      <c r="BT228" s="113">
        <v>654</v>
      </c>
      <c r="BU228" s="113">
        <v>-878</v>
      </c>
      <c r="BV228" s="113">
        <v>751</v>
      </c>
      <c r="BW228" s="113">
        <v>-349</v>
      </c>
      <c r="BX228" s="113">
        <v>823</v>
      </c>
      <c r="BY228" s="113">
        <v>-1038</v>
      </c>
      <c r="BZ228" s="113">
        <v>676</v>
      </c>
      <c r="CA228" s="113">
        <v>-1004</v>
      </c>
      <c r="CB228" s="113">
        <v>697</v>
      </c>
      <c r="CC228" s="113">
        <v>-1056</v>
      </c>
      <c r="CD228" s="113">
        <v>861</v>
      </c>
      <c r="CE228" s="113">
        <v>-1398</v>
      </c>
      <c r="CF228" s="113">
        <v>1001</v>
      </c>
      <c r="CG228" s="113">
        <v>-1707</v>
      </c>
      <c r="CH228" s="113">
        <v>1408</v>
      </c>
      <c r="CI228" s="113">
        <v>-2012</v>
      </c>
      <c r="CJ228" s="113">
        <v>972</v>
      </c>
      <c r="CK228" s="113">
        <v>-2439</v>
      </c>
      <c r="CL228" s="113">
        <v>2501</v>
      </c>
      <c r="CM228" s="113">
        <v>-2945</v>
      </c>
      <c r="CN228" s="113">
        <v>1455</v>
      </c>
      <c r="CO228" s="113">
        <v>-2775</v>
      </c>
      <c r="CP228" s="113">
        <v>2806</v>
      </c>
      <c r="CQ228" s="113">
        <v>-2586</v>
      </c>
      <c r="CR228" s="113">
        <v>1857</v>
      </c>
      <c r="CS228" s="113">
        <v>-3646</v>
      </c>
      <c r="CT228" s="113">
        <v>3985</v>
      </c>
      <c r="CU228" s="113">
        <v>-1647</v>
      </c>
      <c r="CV228" s="113">
        <v>1697</v>
      </c>
      <c r="CW228" s="113">
        <v>-1820</v>
      </c>
      <c r="CX228" s="113">
        <v>2748</v>
      </c>
      <c r="CY228" s="113">
        <v>-2789</v>
      </c>
      <c r="CZ228" s="113">
        <v>1947</v>
      </c>
      <c r="DA228" s="113">
        <v>-4144</v>
      </c>
      <c r="DB228" s="113">
        <v>3674</v>
      </c>
      <c r="DC228" s="113">
        <v>-3270</v>
      </c>
      <c r="DD228" s="113">
        <v>3031</v>
      </c>
      <c r="DE228" s="113">
        <v>-4886</v>
      </c>
      <c r="DF228" s="113">
        <v>4733</v>
      </c>
      <c r="DG228" s="113">
        <v>-3652</v>
      </c>
      <c r="DH228" s="113">
        <v>2770</v>
      </c>
      <c r="DI228" s="113">
        <v>-5007</v>
      </c>
      <c r="DJ228" s="113">
        <v>6156</v>
      </c>
      <c r="DK228" s="113">
        <v>-4488</v>
      </c>
      <c r="DL228" s="113">
        <v>2191</v>
      </c>
      <c r="DM228" s="113">
        <v>-5666</v>
      </c>
      <c r="DN228" s="113">
        <v>6617</v>
      </c>
      <c r="DO228" s="113">
        <v>-4875</v>
      </c>
      <c r="DP228" s="113">
        <v>2501</v>
      </c>
      <c r="DQ228" s="113">
        <v>-5363</v>
      </c>
      <c r="DR228" s="113">
        <v>6627</v>
      </c>
      <c r="DS228" s="113">
        <v>-3378</v>
      </c>
      <c r="DT228" s="113">
        <v>3655</v>
      </c>
      <c r="DU228" s="113">
        <v>-5448</v>
      </c>
      <c r="DV228" s="113">
        <v>6376</v>
      </c>
      <c r="DW228" s="113">
        <v>-3118</v>
      </c>
      <c r="DX228" s="113">
        <v>2288</v>
      </c>
      <c r="DY228" s="113">
        <v>-6076</v>
      </c>
      <c r="DZ228" s="113">
        <v>7187</v>
      </c>
      <c r="EA228" s="113">
        <v>-2789</v>
      </c>
      <c r="EB228" s="113">
        <v>1415</v>
      </c>
      <c r="EC228" s="113">
        <v>-7029</v>
      </c>
      <c r="ED228" s="113">
        <v>7949</v>
      </c>
      <c r="EE228" s="113">
        <v>-3908</v>
      </c>
      <c r="EF228" s="113">
        <v>1285</v>
      </c>
      <c r="EG228" s="113">
        <v>-9188</v>
      </c>
      <c r="EH228" s="113">
        <v>9194</v>
      </c>
      <c r="EI228" s="113">
        <v>-2396</v>
      </c>
      <c r="EJ228" s="113">
        <v>460</v>
      </c>
      <c r="EK228" s="113">
        <v>-10070</v>
      </c>
      <c r="EL228" s="113">
        <v>10090</v>
      </c>
      <c r="EM228" s="113">
        <v>-4203</v>
      </c>
      <c r="EN228" s="113">
        <v>891</v>
      </c>
    </row>
    <row r="229" spans="1:144">
      <c r="A229" s="103" t="s">
        <v>2494</v>
      </c>
      <c r="B229" s="113">
        <v>8</v>
      </c>
      <c r="C229" s="113">
        <v>-40</v>
      </c>
      <c r="D229" s="113">
        <v>-51</v>
      </c>
      <c r="E229" s="113">
        <v>0</v>
      </c>
      <c r="F229" s="113">
        <v>0</v>
      </c>
      <c r="G229" s="113">
        <v>0</v>
      </c>
      <c r="H229" s="113">
        <v>0</v>
      </c>
      <c r="I229" s="113">
        <v>0</v>
      </c>
      <c r="J229" s="113">
        <v>0</v>
      </c>
      <c r="K229" s="113">
        <v>0</v>
      </c>
      <c r="L229" s="113">
        <v>0</v>
      </c>
      <c r="M229" s="113">
        <v>0</v>
      </c>
      <c r="N229" s="113">
        <v>0</v>
      </c>
      <c r="O229" s="113">
        <v>0</v>
      </c>
      <c r="P229" s="113">
        <v>0</v>
      </c>
      <c r="Q229" s="113">
        <v>0</v>
      </c>
      <c r="R229" s="113">
        <v>0</v>
      </c>
      <c r="S229" s="113">
        <v>0</v>
      </c>
      <c r="T229" s="113">
        <v>255</v>
      </c>
      <c r="U229" s="113">
        <v>-44</v>
      </c>
      <c r="V229" s="113">
        <v>-561</v>
      </c>
      <c r="W229" s="113">
        <v>184</v>
      </c>
      <c r="X229" s="113">
        <v>-802</v>
      </c>
      <c r="Y229" s="113">
        <v>-161</v>
      </c>
      <c r="Z229" s="113">
        <v>-272</v>
      </c>
      <c r="AA229" s="113">
        <v>600</v>
      </c>
      <c r="AB229" s="113">
        <v>50</v>
      </c>
      <c r="AC229" s="113">
        <v>-465</v>
      </c>
      <c r="AD229" s="113">
        <v>597</v>
      </c>
      <c r="AE229" s="113">
        <v>306</v>
      </c>
      <c r="AG229" s="103" t="s">
        <v>2494</v>
      </c>
      <c r="AH229" s="113">
        <v>-11.5</v>
      </c>
      <c r="AI229" s="113">
        <v>-11.5</v>
      </c>
      <c r="AJ229" s="113">
        <v>-18</v>
      </c>
      <c r="AK229" s="113">
        <v>-10</v>
      </c>
      <c r="AL229" s="113">
        <v>31</v>
      </c>
      <c r="AM229" s="113">
        <v>-36</v>
      </c>
      <c r="AN229" s="113">
        <v>0</v>
      </c>
      <c r="AO229" s="113">
        <v>28</v>
      </c>
      <c r="AP229" s="113">
        <v>-7</v>
      </c>
      <c r="AQ229" s="113">
        <v>-10</v>
      </c>
      <c r="AR229" s="113">
        <v>34</v>
      </c>
      <c r="AS229" s="113">
        <v>-17</v>
      </c>
      <c r="AT229" s="113">
        <v>0</v>
      </c>
      <c r="AU229" s="113">
        <v>0</v>
      </c>
      <c r="AV229" s="113">
        <v>0</v>
      </c>
      <c r="AW229" s="113">
        <v>0</v>
      </c>
      <c r="AX229" s="113">
        <v>0</v>
      </c>
      <c r="AY229" s="113">
        <v>0</v>
      </c>
      <c r="AZ229" s="113">
        <v>0</v>
      </c>
      <c r="BA229" s="113">
        <v>0</v>
      </c>
      <c r="BB229" s="113">
        <v>0</v>
      </c>
      <c r="BC229" s="113">
        <v>0</v>
      </c>
      <c r="BD229" s="113">
        <v>0</v>
      </c>
      <c r="BE229" s="113">
        <v>0</v>
      </c>
      <c r="BF229" s="113">
        <v>0</v>
      </c>
      <c r="BG229" s="113">
        <v>0</v>
      </c>
      <c r="BH229" s="113">
        <v>0</v>
      </c>
      <c r="BI229" s="113">
        <v>0</v>
      </c>
      <c r="BJ229" s="113">
        <v>0</v>
      </c>
      <c r="BK229" s="113">
        <v>0</v>
      </c>
      <c r="BL229" s="113">
        <v>0</v>
      </c>
      <c r="BM229" s="113">
        <v>0</v>
      </c>
      <c r="BN229" s="113">
        <v>0</v>
      </c>
      <c r="BO229" s="113">
        <v>0</v>
      </c>
      <c r="BP229" s="113">
        <v>0</v>
      </c>
      <c r="BQ229" s="113">
        <v>0</v>
      </c>
      <c r="BR229" s="113">
        <v>0</v>
      </c>
      <c r="BS229" s="113">
        <v>0</v>
      </c>
      <c r="BT229" s="113">
        <v>0</v>
      </c>
      <c r="BU229" s="113">
        <v>0</v>
      </c>
      <c r="BV229" s="113">
        <v>0</v>
      </c>
      <c r="BW229" s="113">
        <v>0</v>
      </c>
      <c r="BX229" s="113">
        <v>0</v>
      </c>
      <c r="BY229" s="113">
        <v>0</v>
      </c>
      <c r="BZ229" s="113">
        <v>0</v>
      </c>
      <c r="CA229" s="113">
        <v>0</v>
      </c>
      <c r="CB229" s="113">
        <v>0</v>
      </c>
      <c r="CC229" s="113">
        <v>0</v>
      </c>
      <c r="CD229" s="113">
        <v>0</v>
      </c>
      <c r="CE229" s="113">
        <v>0</v>
      </c>
      <c r="CF229" s="113">
        <v>0</v>
      </c>
      <c r="CG229" s="113">
        <v>0</v>
      </c>
      <c r="CH229" s="113">
        <v>0</v>
      </c>
      <c r="CI229" s="113">
        <v>0</v>
      </c>
      <c r="CJ229" s="113">
        <v>0</v>
      </c>
      <c r="CK229" s="113">
        <v>0</v>
      </c>
      <c r="CL229" s="113">
        <v>0</v>
      </c>
      <c r="CM229" s="113">
        <v>0</v>
      </c>
      <c r="CN229" s="113">
        <v>0</v>
      </c>
      <c r="CO229" s="113">
        <v>0</v>
      </c>
      <c r="CP229" s="113">
        <v>0</v>
      </c>
      <c r="CQ229" s="113">
        <v>0</v>
      </c>
      <c r="CR229" s="113">
        <v>0</v>
      </c>
      <c r="CS229" s="113">
        <v>0</v>
      </c>
      <c r="CT229" s="113">
        <v>0</v>
      </c>
      <c r="CU229" s="113">
        <v>0</v>
      </c>
      <c r="CV229" s="113">
        <v>0</v>
      </c>
      <c r="CW229" s="113">
        <v>0</v>
      </c>
      <c r="CX229" s="113">
        <v>-419</v>
      </c>
      <c r="CY229" s="113">
        <v>558</v>
      </c>
      <c r="CZ229" s="113">
        <v>77</v>
      </c>
      <c r="DA229" s="113">
        <v>-260</v>
      </c>
      <c r="DB229" s="113">
        <v>-468</v>
      </c>
      <c r="DC229" s="113">
        <v>380</v>
      </c>
      <c r="DD229" s="113">
        <v>-170</v>
      </c>
      <c r="DE229" s="113">
        <v>-303</v>
      </c>
      <c r="DF229" s="113">
        <v>-920</v>
      </c>
      <c r="DG229" s="113">
        <v>891</v>
      </c>
      <c r="DH229" s="113">
        <v>-50</v>
      </c>
      <c r="DI229" s="113">
        <v>263</v>
      </c>
      <c r="DJ229" s="113">
        <v>-473</v>
      </c>
      <c r="DK229" s="113">
        <v>-33</v>
      </c>
      <c r="DL229" s="113">
        <v>-483</v>
      </c>
      <c r="DM229" s="113">
        <v>187</v>
      </c>
      <c r="DN229" s="113">
        <v>-667</v>
      </c>
      <c r="DO229" s="113">
        <v>1029</v>
      </c>
      <c r="DP229" s="113">
        <v>-324</v>
      </c>
      <c r="DQ229" s="113">
        <v>-199</v>
      </c>
      <c r="DR229" s="113">
        <v>-483</v>
      </c>
      <c r="DS229" s="113">
        <v>1070</v>
      </c>
      <c r="DT229" s="113">
        <v>-430</v>
      </c>
      <c r="DU229" s="113">
        <v>-429</v>
      </c>
      <c r="DV229" s="113">
        <v>-937</v>
      </c>
      <c r="DW229" s="113">
        <v>1104</v>
      </c>
      <c r="DX229" s="113">
        <v>241</v>
      </c>
      <c r="DY229" s="113">
        <v>192</v>
      </c>
      <c r="DZ229" s="113">
        <v>-867</v>
      </c>
      <c r="EA229" s="113">
        <v>1132</v>
      </c>
      <c r="EB229" s="113">
        <v>-16</v>
      </c>
      <c r="EC229" s="113">
        <v>-199</v>
      </c>
      <c r="ED229" s="113">
        <v>-1023</v>
      </c>
      <c r="EE229" s="113">
        <v>1205</v>
      </c>
      <c r="EF229" s="113">
        <v>-75</v>
      </c>
      <c r="EG229" s="113">
        <v>-572</v>
      </c>
      <c r="EH229" s="113">
        <v>-956</v>
      </c>
      <c r="EI229" s="113">
        <v>1654</v>
      </c>
      <c r="EJ229" s="113">
        <v>12</v>
      </c>
      <c r="EK229" s="113">
        <v>-113</v>
      </c>
      <c r="EL229" s="113">
        <v>-561</v>
      </c>
      <c r="EM229" s="113">
        <v>799</v>
      </c>
      <c r="EN229" s="113">
        <v>181</v>
      </c>
    </row>
    <row r="230" spans="1:144">
      <c r="A230" s="103" t="s">
        <v>2495</v>
      </c>
      <c r="B230" s="113">
        <v>0</v>
      </c>
      <c r="C230" s="113">
        <v>0</v>
      </c>
      <c r="D230" s="113">
        <v>0</v>
      </c>
      <c r="E230" s="113">
        <v>0</v>
      </c>
      <c r="F230" s="113">
        <v>0</v>
      </c>
      <c r="G230" s="113">
        <v>0</v>
      </c>
      <c r="H230" s="113">
        <v>0</v>
      </c>
      <c r="I230" s="113">
        <v>0</v>
      </c>
      <c r="J230" s="113">
        <v>0</v>
      </c>
      <c r="K230" s="113">
        <v>0</v>
      </c>
      <c r="L230" s="113">
        <v>0</v>
      </c>
      <c r="M230" s="113">
        <v>0</v>
      </c>
      <c r="N230" s="113">
        <v>0</v>
      </c>
      <c r="O230" s="113">
        <v>0</v>
      </c>
      <c r="P230" s="113">
        <v>0</v>
      </c>
      <c r="Q230" s="113">
        <v>0</v>
      </c>
      <c r="R230" s="113">
        <v>0</v>
      </c>
      <c r="S230" s="113">
        <v>0</v>
      </c>
      <c r="T230" s="113">
        <v>-671</v>
      </c>
      <c r="U230" s="113">
        <v>844</v>
      </c>
      <c r="V230" s="113">
        <v>58</v>
      </c>
      <c r="W230" s="113">
        <v>-31</v>
      </c>
      <c r="X230" s="113">
        <v>537</v>
      </c>
      <c r="Y230" s="113">
        <v>473</v>
      </c>
      <c r="Z230" s="113">
        <v>-1054</v>
      </c>
      <c r="AA230" s="113">
        <v>88</v>
      </c>
      <c r="AB230" s="113">
        <v>81</v>
      </c>
      <c r="AC230" s="113">
        <v>1148</v>
      </c>
      <c r="AD230" s="113">
        <v>232</v>
      </c>
      <c r="AE230" s="113">
        <v>1256</v>
      </c>
      <c r="AG230" s="103" t="s">
        <v>2495</v>
      </c>
      <c r="AH230" s="113">
        <v>0</v>
      </c>
      <c r="AI230" s="113">
        <v>0</v>
      </c>
      <c r="AJ230" s="113">
        <v>0</v>
      </c>
      <c r="AK230" s="113">
        <v>0</v>
      </c>
      <c r="AL230" s="113">
        <v>0</v>
      </c>
      <c r="AM230" s="113">
        <v>0</v>
      </c>
      <c r="AN230" s="113">
        <v>0</v>
      </c>
      <c r="AO230" s="113">
        <v>0</v>
      </c>
      <c r="AP230" s="113">
        <v>0</v>
      </c>
      <c r="AQ230" s="113">
        <v>0</v>
      </c>
      <c r="AR230" s="113">
        <v>0</v>
      </c>
      <c r="AS230" s="113">
        <v>0</v>
      </c>
      <c r="AT230" s="113">
        <v>0</v>
      </c>
      <c r="AU230" s="113">
        <v>0</v>
      </c>
      <c r="AV230" s="113">
        <v>0</v>
      </c>
      <c r="AW230" s="113">
        <v>0</v>
      </c>
      <c r="AX230" s="113">
        <v>0</v>
      </c>
      <c r="AY230" s="113">
        <v>0</v>
      </c>
      <c r="AZ230" s="113">
        <v>0</v>
      </c>
      <c r="BA230" s="113">
        <v>0</v>
      </c>
      <c r="BB230" s="113">
        <v>0</v>
      </c>
      <c r="BC230" s="113">
        <v>0</v>
      </c>
      <c r="BD230" s="113">
        <v>0</v>
      </c>
      <c r="BE230" s="113">
        <v>0</v>
      </c>
      <c r="BF230" s="113">
        <v>0</v>
      </c>
      <c r="BG230" s="113">
        <v>0</v>
      </c>
      <c r="BH230" s="113">
        <v>0</v>
      </c>
      <c r="BI230" s="113">
        <v>0</v>
      </c>
      <c r="BJ230" s="113">
        <v>0</v>
      </c>
      <c r="BK230" s="113">
        <v>0</v>
      </c>
      <c r="BL230" s="113">
        <v>0</v>
      </c>
      <c r="BM230" s="113">
        <v>0</v>
      </c>
      <c r="BN230" s="113">
        <v>0</v>
      </c>
      <c r="BO230" s="113">
        <v>0</v>
      </c>
      <c r="BP230" s="113">
        <v>0</v>
      </c>
      <c r="BQ230" s="113">
        <v>0</v>
      </c>
      <c r="BR230" s="113">
        <v>0</v>
      </c>
      <c r="BS230" s="113">
        <v>0</v>
      </c>
      <c r="BT230" s="113">
        <v>0</v>
      </c>
      <c r="BU230" s="113">
        <v>0</v>
      </c>
      <c r="BV230" s="113">
        <v>0</v>
      </c>
      <c r="BW230" s="113">
        <v>0</v>
      </c>
      <c r="BX230" s="113">
        <v>0</v>
      </c>
      <c r="BY230" s="113">
        <v>0</v>
      </c>
      <c r="BZ230" s="113">
        <v>0</v>
      </c>
      <c r="CA230" s="113">
        <v>0</v>
      </c>
      <c r="CB230" s="113">
        <v>0</v>
      </c>
      <c r="CC230" s="113">
        <v>0</v>
      </c>
      <c r="CD230" s="113">
        <v>0</v>
      </c>
      <c r="CE230" s="113">
        <v>0</v>
      </c>
      <c r="CF230" s="113">
        <v>0</v>
      </c>
      <c r="CG230" s="113">
        <v>0</v>
      </c>
      <c r="CH230" s="113">
        <v>0</v>
      </c>
      <c r="CI230" s="113">
        <v>0</v>
      </c>
      <c r="CJ230" s="113">
        <v>0</v>
      </c>
      <c r="CK230" s="113">
        <v>0</v>
      </c>
      <c r="CL230" s="113">
        <v>0</v>
      </c>
      <c r="CM230" s="113">
        <v>0</v>
      </c>
      <c r="CN230" s="113">
        <v>0</v>
      </c>
      <c r="CO230" s="113">
        <v>0</v>
      </c>
      <c r="CP230" s="113">
        <v>0</v>
      </c>
      <c r="CQ230" s="113">
        <v>0</v>
      </c>
      <c r="CR230" s="113">
        <v>0</v>
      </c>
      <c r="CS230" s="113">
        <v>0</v>
      </c>
      <c r="CT230" s="113">
        <v>0</v>
      </c>
      <c r="CU230" s="113">
        <v>0</v>
      </c>
      <c r="CV230" s="113">
        <v>0</v>
      </c>
      <c r="CW230" s="113">
        <v>0</v>
      </c>
      <c r="CX230" s="113">
        <v>-36</v>
      </c>
      <c r="CY230" s="113">
        <v>3</v>
      </c>
      <c r="CZ230" s="113">
        <v>122</v>
      </c>
      <c r="DA230" s="113">
        <v>755</v>
      </c>
      <c r="DB230" s="113">
        <v>-400</v>
      </c>
      <c r="DC230" s="113">
        <v>216</v>
      </c>
      <c r="DD230" s="113">
        <v>-51</v>
      </c>
      <c r="DE230" s="113">
        <v>293</v>
      </c>
      <c r="DF230" s="113">
        <v>-442</v>
      </c>
      <c r="DG230" s="113">
        <v>176</v>
      </c>
      <c r="DH230" s="113">
        <v>-114</v>
      </c>
      <c r="DI230" s="113">
        <v>349</v>
      </c>
      <c r="DJ230" s="113">
        <v>-567</v>
      </c>
      <c r="DK230" s="113">
        <v>685</v>
      </c>
      <c r="DL230" s="113">
        <v>-67</v>
      </c>
      <c r="DM230" s="113">
        <v>486</v>
      </c>
      <c r="DN230" s="113">
        <v>-276</v>
      </c>
      <c r="DO230" s="113">
        <v>602</v>
      </c>
      <c r="DP230" s="113">
        <v>-716</v>
      </c>
      <c r="DQ230" s="113">
        <v>863</v>
      </c>
      <c r="DR230" s="113">
        <v>-659</v>
      </c>
      <c r="DS230" s="113">
        <v>137</v>
      </c>
      <c r="DT230" s="113">
        <v>-390</v>
      </c>
      <c r="DU230" s="113">
        <v>-142</v>
      </c>
      <c r="DV230" s="113">
        <v>-135</v>
      </c>
      <c r="DW230" s="113">
        <v>369</v>
      </c>
      <c r="DX230" s="113">
        <v>-129</v>
      </c>
      <c r="DY230" s="113">
        <v>-17</v>
      </c>
      <c r="DZ230" s="113">
        <v>-443</v>
      </c>
      <c r="EA230" s="113">
        <v>99</v>
      </c>
      <c r="EB230" s="113">
        <v>-425</v>
      </c>
      <c r="EC230" s="113">
        <v>850</v>
      </c>
      <c r="ED230" s="113">
        <v>-407</v>
      </c>
      <c r="EE230" s="113">
        <v>938</v>
      </c>
      <c r="EF230" s="113">
        <v>-393</v>
      </c>
      <c r="EG230" s="113">
        <v>1010</v>
      </c>
      <c r="EH230" s="113">
        <v>-395</v>
      </c>
      <c r="EI230" s="113">
        <v>-440</v>
      </c>
      <c r="EJ230" s="113">
        <v>-197</v>
      </c>
      <c r="EK230" s="113">
        <v>1264</v>
      </c>
      <c r="EL230" s="113">
        <v>-547</v>
      </c>
      <c r="EM230" s="113">
        <v>-7</v>
      </c>
      <c r="EN230" s="113">
        <v>546</v>
      </c>
    </row>
    <row r="231" spans="1:144">
      <c r="A231" s="103" t="s">
        <v>2496</v>
      </c>
      <c r="B231" s="113">
        <v>0</v>
      </c>
      <c r="C231" s="113">
        <v>0</v>
      </c>
      <c r="D231" s="113">
        <v>0</v>
      </c>
      <c r="E231" s="113">
        <v>0</v>
      </c>
      <c r="F231" s="113">
        <v>15</v>
      </c>
      <c r="G231" s="113">
        <v>506</v>
      </c>
      <c r="H231" s="113">
        <v>858</v>
      </c>
      <c r="I231" s="113">
        <v>1470</v>
      </c>
      <c r="J231" s="113">
        <v>1351</v>
      </c>
      <c r="K231" s="113">
        <v>577</v>
      </c>
      <c r="L231" s="113">
        <v>601</v>
      </c>
      <c r="M231" s="113">
        <v>2223</v>
      </c>
      <c r="N231" s="113">
        <v>1227</v>
      </c>
      <c r="O231" s="113">
        <v>0</v>
      </c>
      <c r="P231" s="113">
        <v>0</v>
      </c>
      <c r="Q231" s="113">
        <v>0</v>
      </c>
      <c r="R231" s="113">
        <v>0</v>
      </c>
      <c r="S231" s="113">
        <v>0</v>
      </c>
      <c r="T231" s="113">
        <v>0</v>
      </c>
      <c r="U231" s="113">
        <v>0</v>
      </c>
      <c r="V231" s="113">
        <v>0</v>
      </c>
      <c r="W231" s="113">
        <v>0</v>
      </c>
      <c r="X231" s="113">
        <v>0</v>
      </c>
      <c r="Y231" s="113">
        <v>0</v>
      </c>
      <c r="Z231" s="113">
        <v>0</v>
      </c>
      <c r="AA231" s="113">
        <v>2565</v>
      </c>
      <c r="AB231" s="113">
        <v>3820</v>
      </c>
      <c r="AC231" s="113">
        <v>5922</v>
      </c>
      <c r="AD231" s="113">
        <v>4462</v>
      </c>
      <c r="AE231" s="113">
        <v>2441</v>
      </c>
      <c r="AG231" s="103" t="s">
        <v>2496</v>
      </c>
      <c r="AH231" s="113">
        <v>0</v>
      </c>
      <c r="AI231" s="113">
        <v>0</v>
      </c>
      <c r="AJ231" s="113">
        <v>0</v>
      </c>
      <c r="AK231" s="113">
        <v>0</v>
      </c>
      <c r="AL231" s="113">
        <v>0</v>
      </c>
      <c r="AM231" s="113">
        <v>0</v>
      </c>
      <c r="AN231" s="113">
        <v>0</v>
      </c>
      <c r="AO231" s="113">
        <v>0</v>
      </c>
      <c r="AP231" s="113">
        <v>0</v>
      </c>
      <c r="AQ231" s="113">
        <v>0</v>
      </c>
      <c r="AR231" s="113">
        <v>0</v>
      </c>
      <c r="AS231" s="113">
        <v>0</v>
      </c>
      <c r="AT231" s="113">
        <v>0</v>
      </c>
      <c r="AU231" s="113">
        <v>0</v>
      </c>
      <c r="AV231" s="113">
        <v>0</v>
      </c>
      <c r="AW231" s="113">
        <v>506</v>
      </c>
      <c r="AX231" s="113">
        <v>91</v>
      </c>
      <c r="AY231" s="113">
        <v>-91</v>
      </c>
      <c r="AZ231" s="113">
        <v>248</v>
      </c>
      <c r="BA231" s="113">
        <v>157</v>
      </c>
      <c r="BB231" s="113">
        <v>253</v>
      </c>
      <c r="BC231" s="113">
        <v>367</v>
      </c>
      <c r="BD231" s="113">
        <v>425</v>
      </c>
      <c r="BE231" s="113">
        <v>425</v>
      </c>
      <c r="BF231" s="113">
        <v>245</v>
      </c>
      <c r="BG231" s="113">
        <v>419</v>
      </c>
      <c r="BH231" s="113">
        <v>643</v>
      </c>
      <c r="BI231" s="113">
        <v>44</v>
      </c>
      <c r="BJ231" s="113">
        <v>-110</v>
      </c>
      <c r="BK231" s="113">
        <v>130</v>
      </c>
      <c r="BL231" s="113">
        <v>200</v>
      </c>
      <c r="BM231" s="113">
        <v>357</v>
      </c>
      <c r="BN231" s="113">
        <v>-50</v>
      </c>
      <c r="BO231" s="113">
        <v>358</v>
      </c>
      <c r="BP231" s="113">
        <v>181</v>
      </c>
      <c r="BQ231" s="113">
        <v>112</v>
      </c>
      <c r="BR231" s="113">
        <v>190</v>
      </c>
      <c r="BS231" s="113">
        <v>-190</v>
      </c>
      <c r="BT231" s="113">
        <v>1394</v>
      </c>
      <c r="BU231" s="113">
        <v>829</v>
      </c>
      <c r="BV231" s="113">
        <v>1350</v>
      </c>
      <c r="BW231" s="113">
        <v>-295</v>
      </c>
      <c r="BX231" s="113">
        <v>-307</v>
      </c>
      <c r="BY231" s="113">
        <v>479</v>
      </c>
      <c r="BZ231" s="113">
        <v>-769</v>
      </c>
      <c r="CA231" s="113">
        <v>-392</v>
      </c>
      <c r="CB231" s="113">
        <v>0</v>
      </c>
      <c r="CC231" s="113">
        <v>-750</v>
      </c>
      <c r="CD231" s="113">
        <v>-463</v>
      </c>
      <c r="CE231" s="113">
        <v>0</v>
      </c>
      <c r="CF231" s="113">
        <v>0</v>
      </c>
      <c r="CG231" s="113">
        <v>0</v>
      </c>
      <c r="CH231" s="113">
        <v>-387</v>
      </c>
      <c r="CI231" s="113">
        <v>0</v>
      </c>
      <c r="CJ231" s="113">
        <v>0</v>
      </c>
      <c r="CK231" s="113">
        <v>0</v>
      </c>
      <c r="CL231" s="113">
        <v>0</v>
      </c>
      <c r="CM231" s="113">
        <v>0</v>
      </c>
      <c r="CN231" s="113">
        <v>0</v>
      </c>
      <c r="CO231" s="113">
        <v>0</v>
      </c>
      <c r="CP231" s="113">
        <v>0</v>
      </c>
      <c r="CQ231" s="113">
        <v>0</v>
      </c>
      <c r="CR231" s="113">
        <v>0</v>
      </c>
      <c r="CS231" s="113">
        <v>0</v>
      </c>
      <c r="CT231" s="113">
        <v>0</v>
      </c>
      <c r="CU231" s="113">
        <v>0</v>
      </c>
      <c r="CV231" s="113">
        <v>0</v>
      </c>
      <c r="CW231" s="113">
        <v>0</v>
      </c>
      <c r="CX231" s="113">
        <v>0</v>
      </c>
      <c r="CY231" s="113">
        <v>0</v>
      </c>
      <c r="CZ231" s="113">
        <v>0</v>
      </c>
      <c r="DA231" s="113">
        <v>0</v>
      </c>
      <c r="DB231" s="113">
        <v>0</v>
      </c>
      <c r="DC231" s="113">
        <v>0</v>
      </c>
      <c r="DD231" s="113">
        <v>0</v>
      </c>
      <c r="DE231" s="113">
        <v>0</v>
      </c>
      <c r="DF231" s="113">
        <v>0</v>
      </c>
      <c r="DG231" s="113">
        <v>0</v>
      </c>
      <c r="DH231" s="113">
        <v>0</v>
      </c>
      <c r="DI231" s="113">
        <v>0</v>
      </c>
      <c r="DJ231" s="113">
        <v>0</v>
      </c>
      <c r="DK231" s="113">
        <v>0</v>
      </c>
      <c r="DL231" s="113">
        <v>0</v>
      </c>
      <c r="DM231" s="113">
        <v>0</v>
      </c>
      <c r="DN231" s="113">
        <v>0</v>
      </c>
      <c r="DO231" s="113">
        <v>0</v>
      </c>
      <c r="DP231" s="113">
        <v>0</v>
      </c>
      <c r="DQ231" s="113">
        <v>0</v>
      </c>
      <c r="DR231" s="113">
        <v>0</v>
      </c>
      <c r="DS231" s="113">
        <v>0</v>
      </c>
      <c r="DT231" s="113">
        <v>0</v>
      </c>
      <c r="DU231" s="113">
        <v>0</v>
      </c>
      <c r="DV231" s="113">
        <v>0</v>
      </c>
      <c r="DW231" s="113">
        <v>0</v>
      </c>
      <c r="DX231" s="113">
        <v>0</v>
      </c>
      <c r="DY231" s="113">
        <v>0</v>
      </c>
      <c r="DZ231" s="113">
        <v>-1807</v>
      </c>
      <c r="EA231" s="113">
        <v>-1077</v>
      </c>
      <c r="EB231" s="113">
        <v>-45</v>
      </c>
      <c r="EC231" s="113">
        <v>6749</v>
      </c>
      <c r="ED231" s="113">
        <v>-1806</v>
      </c>
      <c r="EE231" s="113">
        <v>-1065</v>
      </c>
      <c r="EF231" s="113">
        <v>91</v>
      </c>
      <c r="EG231" s="113">
        <v>8702</v>
      </c>
      <c r="EH231" s="113">
        <v>-2441</v>
      </c>
      <c r="EI231" s="113">
        <v>-2122</v>
      </c>
      <c r="EJ231" s="113">
        <v>20</v>
      </c>
      <c r="EK231" s="113">
        <v>9005</v>
      </c>
      <c r="EL231" s="113">
        <v>-2892</v>
      </c>
      <c r="EM231" s="113">
        <v>-2936</v>
      </c>
      <c r="EN231" s="113">
        <v>-736</v>
      </c>
    </row>
    <row r="232" spans="1:144">
      <c r="A232" s="103" t="s">
        <v>2497</v>
      </c>
      <c r="B232" s="113">
        <v>0</v>
      </c>
      <c r="C232" s="113">
        <v>0</v>
      </c>
      <c r="D232" s="113">
        <v>0</v>
      </c>
      <c r="E232" s="113">
        <v>0</v>
      </c>
      <c r="F232" s="113">
        <v>0</v>
      </c>
      <c r="G232" s="113">
        <v>0</v>
      </c>
      <c r="H232" s="113">
        <v>0</v>
      </c>
      <c r="I232" s="113">
        <v>0</v>
      </c>
      <c r="J232" s="113">
        <v>0</v>
      </c>
      <c r="K232" s="113">
        <v>0</v>
      </c>
      <c r="L232" s="113">
        <v>0</v>
      </c>
      <c r="M232" s="113">
        <v>0</v>
      </c>
      <c r="N232" s="113">
        <v>0</v>
      </c>
      <c r="O232" s="113">
        <v>0</v>
      </c>
      <c r="P232" s="113">
        <v>0</v>
      </c>
      <c r="Q232" s="113">
        <v>0</v>
      </c>
      <c r="R232" s="113">
        <v>0</v>
      </c>
      <c r="S232" s="113">
        <v>0</v>
      </c>
      <c r="T232" s="113">
        <v>0</v>
      </c>
      <c r="U232" s="113">
        <v>0</v>
      </c>
      <c r="V232" s="113">
        <v>0</v>
      </c>
      <c r="W232" s="113">
        <v>0</v>
      </c>
      <c r="X232" s="113">
        <v>0</v>
      </c>
      <c r="Y232" s="113">
        <v>0</v>
      </c>
      <c r="Z232" s="113">
        <v>0</v>
      </c>
      <c r="AA232" s="113">
        <v>-298</v>
      </c>
      <c r="AB232" s="113">
        <v>1792</v>
      </c>
      <c r="AC232" s="113">
        <v>18183</v>
      </c>
      <c r="AD232" s="113">
        <v>2929</v>
      </c>
      <c r="AE232" s="113">
        <v>766</v>
      </c>
      <c r="AG232" s="103" t="s">
        <v>2497</v>
      </c>
      <c r="AH232" s="113">
        <v>0</v>
      </c>
      <c r="AI232" s="113">
        <v>0</v>
      </c>
      <c r="AJ232" s="113">
        <v>0</v>
      </c>
      <c r="AK232" s="113">
        <v>0</v>
      </c>
      <c r="AL232" s="113">
        <v>0</v>
      </c>
      <c r="AM232" s="113">
        <v>0</v>
      </c>
      <c r="AN232" s="113">
        <v>0</v>
      </c>
      <c r="AO232" s="113">
        <v>0</v>
      </c>
      <c r="AP232" s="113">
        <v>0</v>
      </c>
      <c r="AQ232" s="113">
        <v>0</v>
      </c>
      <c r="AR232" s="113">
        <v>0</v>
      </c>
      <c r="AS232" s="113">
        <v>0</v>
      </c>
      <c r="AT232" s="113">
        <v>0</v>
      </c>
      <c r="AU232" s="113">
        <v>0</v>
      </c>
      <c r="AV232" s="113">
        <v>0</v>
      </c>
      <c r="AW232" s="113">
        <v>0</v>
      </c>
      <c r="AX232" s="113">
        <v>0</v>
      </c>
      <c r="AY232" s="113">
        <v>0</v>
      </c>
      <c r="AZ232" s="113">
        <v>0</v>
      </c>
      <c r="BA232" s="113">
        <v>0</v>
      </c>
      <c r="BB232" s="113">
        <v>0</v>
      </c>
      <c r="BC232" s="113">
        <v>0</v>
      </c>
      <c r="BD232" s="113">
        <v>0</v>
      </c>
      <c r="BE232" s="113">
        <v>0</v>
      </c>
      <c r="BF232" s="113">
        <v>0</v>
      </c>
      <c r="BG232" s="113">
        <v>0</v>
      </c>
      <c r="BH232" s="113">
        <v>0</v>
      </c>
      <c r="BI232" s="113">
        <v>0</v>
      </c>
      <c r="BJ232" s="113">
        <v>0</v>
      </c>
      <c r="BK232" s="113">
        <v>0</v>
      </c>
      <c r="BL232" s="113">
        <v>0</v>
      </c>
      <c r="BM232" s="113">
        <v>0</v>
      </c>
      <c r="BN232" s="113">
        <v>0</v>
      </c>
      <c r="BO232" s="113">
        <v>0</v>
      </c>
      <c r="BP232" s="113">
        <v>0</v>
      </c>
      <c r="BQ232" s="113">
        <v>0</v>
      </c>
      <c r="BR232" s="113">
        <v>0</v>
      </c>
      <c r="BS232" s="113">
        <v>0</v>
      </c>
      <c r="BT232" s="113">
        <v>0</v>
      </c>
      <c r="BU232" s="113">
        <v>0</v>
      </c>
      <c r="BV232" s="113">
        <v>0</v>
      </c>
      <c r="BW232" s="113">
        <v>0</v>
      </c>
      <c r="BX232" s="113">
        <v>0</v>
      </c>
      <c r="BY232" s="113">
        <v>0</v>
      </c>
      <c r="BZ232" s="113">
        <v>0</v>
      </c>
      <c r="CA232" s="113">
        <v>0</v>
      </c>
      <c r="CB232" s="113">
        <v>0</v>
      </c>
      <c r="CC232" s="113">
        <v>0</v>
      </c>
      <c r="CD232" s="113">
        <v>0</v>
      </c>
      <c r="CE232" s="113">
        <v>0</v>
      </c>
      <c r="CF232" s="113">
        <v>0</v>
      </c>
      <c r="CG232" s="113">
        <v>0</v>
      </c>
      <c r="CH232" s="113">
        <v>0</v>
      </c>
      <c r="CI232" s="113">
        <v>0</v>
      </c>
      <c r="CJ232" s="113">
        <v>0</v>
      </c>
      <c r="CK232" s="113">
        <v>0</v>
      </c>
      <c r="CL232" s="113">
        <v>0</v>
      </c>
      <c r="CM232" s="113">
        <v>0</v>
      </c>
      <c r="CN232" s="113">
        <v>0</v>
      </c>
      <c r="CO232" s="113">
        <v>0</v>
      </c>
      <c r="CP232" s="113">
        <v>0</v>
      </c>
      <c r="CQ232" s="113">
        <v>0</v>
      </c>
      <c r="CR232" s="113">
        <v>0</v>
      </c>
      <c r="CS232" s="113">
        <v>0</v>
      </c>
      <c r="CT232" s="113">
        <v>0</v>
      </c>
      <c r="CU232" s="113">
        <v>0</v>
      </c>
      <c r="CV232" s="113">
        <v>0</v>
      </c>
      <c r="CW232" s="113">
        <v>0</v>
      </c>
      <c r="CX232" s="113">
        <v>0</v>
      </c>
      <c r="CY232" s="113">
        <v>0</v>
      </c>
      <c r="CZ232" s="113">
        <v>0</v>
      </c>
      <c r="DA232" s="113">
        <v>0</v>
      </c>
      <c r="DB232" s="113">
        <v>0</v>
      </c>
      <c r="DC232" s="113">
        <v>0</v>
      </c>
      <c r="DD232" s="113">
        <v>0</v>
      </c>
      <c r="DE232" s="113">
        <v>0</v>
      </c>
      <c r="DF232" s="113">
        <v>0</v>
      </c>
      <c r="DG232" s="113">
        <v>0</v>
      </c>
      <c r="DH232" s="113">
        <v>0</v>
      </c>
      <c r="DI232" s="113">
        <v>0</v>
      </c>
      <c r="DJ232" s="113">
        <v>0</v>
      </c>
      <c r="DK232" s="113">
        <v>0</v>
      </c>
      <c r="DL232" s="113">
        <v>0</v>
      </c>
      <c r="DM232" s="113">
        <v>0</v>
      </c>
      <c r="DN232" s="113">
        <v>0</v>
      </c>
      <c r="DO232" s="113">
        <v>0</v>
      </c>
      <c r="DP232" s="113">
        <v>0</v>
      </c>
      <c r="DQ232" s="113">
        <v>0</v>
      </c>
      <c r="DR232" s="113">
        <v>0</v>
      </c>
      <c r="DS232" s="113">
        <v>0</v>
      </c>
      <c r="DT232" s="113">
        <v>0</v>
      </c>
      <c r="DU232" s="113">
        <v>0</v>
      </c>
      <c r="DV232" s="113">
        <v>0</v>
      </c>
      <c r="DW232" s="113">
        <v>0</v>
      </c>
      <c r="DX232" s="113">
        <v>0</v>
      </c>
      <c r="DY232" s="113">
        <v>0</v>
      </c>
      <c r="DZ232" s="113">
        <v>0</v>
      </c>
      <c r="EA232" s="113">
        <v>843</v>
      </c>
      <c r="EB232" s="113">
        <v>1247</v>
      </c>
      <c r="EC232" s="113">
        <v>-862</v>
      </c>
      <c r="ED232" s="113">
        <v>661</v>
      </c>
      <c r="EE232" s="113">
        <v>15974</v>
      </c>
      <c r="EF232" s="113">
        <v>645</v>
      </c>
      <c r="EG232" s="113">
        <v>903</v>
      </c>
      <c r="EH232" s="113">
        <v>-1091</v>
      </c>
      <c r="EI232" s="113">
        <v>-64</v>
      </c>
      <c r="EJ232" s="113">
        <v>276</v>
      </c>
      <c r="EK232" s="113">
        <v>3808</v>
      </c>
      <c r="EL232" s="113">
        <v>-3336</v>
      </c>
      <c r="EM232" s="113">
        <v>-471</v>
      </c>
      <c r="EN232" s="113">
        <v>765</v>
      </c>
    </row>
    <row r="233" spans="1:144">
      <c r="A233" s="103" t="s">
        <v>2498</v>
      </c>
      <c r="B233" s="113">
        <v>89</v>
      </c>
      <c r="C233" s="113">
        <v>149</v>
      </c>
      <c r="D233" s="113">
        <v>142</v>
      </c>
      <c r="E233" s="113">
        <v>356</v>
      </c>
      <c r="F233" s="113">
        <v>344</v>
      </c>
      <c r="G233" s="113">
        <v>609</v>
      </c>
      <c r="H233" s="113">
        <v>156</v>
      </c>
      <c r="I233" s="113">
        <v>120</v>
      </c>
      <c r="J233" s="113">
        <v>1117</v>
      </c>
      <c r="K233" s="113">
        <v>-2256</v>
      </c>
      <c r="L233" s="113">
        <v>115</v>
      </c>
      <c r="M233" s="113">
        <v>1392</v>
      </c>
      <c r="N233" s="113">
        <v>1313</v>
      </c>
      <c r="O233" s="113">
        <v>2650</v>
      </c>
      <c r="P233" s="113">
        <v>1417</v>
      </c>
      <c r="Q233" s="113">
        <v>-326</v>
      </c>
      <c r="R233" s="113">
        <v>803</v>
      </c>
      <c r="S233" s="113">
        <v>-866</v>
      </c>
      <c r="T233" s="113">
        <v>-1977</v>
      </c>
      <c r="U233" s="113">
        <v>2099</v>
      </c>
      <c r="V233" s="113">
        <v>-1049</v>
      </c>
      <c r="W233" s="113">
        <v>829</v>
      </c>
      <c r="X233" s="113">
        <v>697</v>
      </c>
      <c r="Y233" s="113">
        <v>1432</v>
      </c>
      <c r="Z233" s="113">
        <v>1383</v>
      </c>
      <c r="AA233" s="113">
        <v>-2907</v>
      </c>
      <c r="AB233" s="113">
        <v>349</v>
      </c>
      <c r="AC233" s="113">
        <v>-459</v>
      </c>
      <c r="AD233" s="113">
        <v>-1542</v>
      </c>
      <c r="AE233" s="113">
        <v>-358</v>
      </c>
      <c r="AG233" s="103" t="s">
        <v>2498</v>
      </c>
      <c r="AH233" s="113">
        <v>8</v>
      </c>
      <c r="AI233" s="113">
        <v>8</v>
      </c>
      <c r="AJ233" s="113">
        <v>110</v>
      </c>
      <c r="AK233" s="113">
        <v>16</v>
      </c>
      <c r="AL233" s="113">
        <v>37</v>
      </c>
      <c r="AM233" s="113">
        <v>147</v>
      </c>
      <c r="AN233" s="113">
        <v>151</v>
      </c>
      <c r="AO233" s="113">
        <v>-2</v>
      </c>
      <c r="AP233" s="113">
        <v>73</v>
      </c>
      <c r="AQ233" s="113">
        <v>91</v>
      </c>
      <c r="AR233" s="113">
        <v>49</v>
      </c>
      <c r="AS233" s="113">
        <v>146</v>
      </c>
      <c r="AT233" s="113">
        <v>436</v>
      </c>
      <c r="AU233" s="113">
        <v>431</v>
      </c>
      <c r="AV233" s="113">
        <v>121</v>
      </c>
      <c r="AW233" s="113">
        <v>-379</v>
      </c>
      <c r="AX233" s="113">
        <v>121</v>
      </c>
      <c r="AY233" s="113">
        <v>92</v>
      </c>
      <c r="AZ233" s="113">
        <v>146</v>
      </c>
      <c r="BA233" s="113">
        <v>-203</v>
      </c>
      <c r="BB233" s="113">
        <v>60</v>
      </c>
      <c r="BC233" s="113">
        <v>204</v>
      </c>
      <c r="BD233" s="113">
        <v>55</v>
      </c>
      <c r="BE233" s="113">
        <v>-199</v>
      </c>
      <c r="BF233" s="113">
        <v>296</v>
      </c>
      <c r="BG233" s="113">
        <v>399</v>
      </c>
      <c r="BH233" s="113">
        <v>-328</v>
      </c>
      <c r="BI233" s="113">
        <v>448</v>
      </c>
      <c r="BJ233" s="113">
        <v>-221</v>
      </c>
      <c r="BK233" s="113">
        <v>100</v>
      </c>
      <c r="BL233" s="113">
        <v>-2133</v>
      </c>
      <c r="BM233" s="113">
        <v>-2</v>
      </c>
      <c r="BN233" s="113">
        <v>-525</v>
      </c>
      <c r="BO233" s="113">
        <v>250</v>
      </c>
      <c r="BP233" s="113">
        <v>-403</v>
      </c>
      <c r="BQ233" s="113">
        <v>793</v>
      </c>
      <c r="BR233" s="113">
        <v>472</v>
      </c>
      <c r="BS233" s="113">
        <v>1424</v>
      </c>
      <c r="BT233" s="113">
        <v>-131</v>
      </c>
      <c r="BU233" s="113">
        <v>-373</v>
      </c>
      <c r="BV233" s="113">
        <v>808</v>
      </c>
      <c r="BW233" s="113">
        <v>369</v>
      </c>
      <c r="BX233" s="113">
        <v>-331</v>
      </c>
      <c r="BY233" s="113">
        <v>13</v>
      </c>
      <c r="BZ233" s="113">
        <v>-656</v>
      </c>
      <c r="CA233" s="113">
        <v>2047</v>
      </c>
      <c r="CB233" s="113">
        <v>2610</v>
      </c>
      <c r="CC233" s="113">
        <v>-1351</v>
      </c>
      <c r="CD233" s="113">
        <v>-433</v>
      </c>
      <c r="CE233" s="113">
        <v>466</v>
      </c>
      <c r="CF233" s="113">
        <v>1047</v>
      </c>
      <c r="CG233" s="113">
        <v>337</v>
      </c>
      <c r="CH233" s="113">
        <v>-242</v>
      </c>
      <c r="CI233" s="113">
        <v>-285</v>
      </c>
      <c r="CJ233" s="113">
        <v>361</v>
      </c>
      <c r="CK233" s="113">
        <v>-160</v>
      </c>
      <c r="CL233" s="113">
        <v>-1710</v>
      </c>
      <c r="CM233" s="113">
        <v>349</v>
      </c>
      <c r="CN233" s="113">
        <v>801</v>
      </c>
      <c r="CO233" s="113">
        <v>1363</v>
      </c>
      <c r="CP233" s="113">
        <v>-942</v>
      </c>
      <c r="CQ233" s="113">
        <v>822</v>
      </c>
      <c r="CR233" s="113">
        <v>157</v>
      </c>
      <c r="CS233" s="113">
        <v>-903</v>
      </c>
      <c r="CT233" s="113">
        <v>-4526</v>
      </c>
      <c r="CU233" s="113">
        <v>2010</v>
      </c>
      <c r="CV233" s="113">
        <v>908</v>
      </c>
      <c r="CW233" s="113">
        <v>-785</v>
      </c>
      <c r="CX233" s="113">
        <v>-1170</v>
      </c>
      <c r="CY233" s="113">
        <v>1288</v>
      </c>
      <c r="CZ233" s="113">
        <v>697</v>
      </c>
      <c r="DA233" s="113">
        <v>1284</v>
      </c>
      <c r="DB233" s="113">
        <v>-81</v>
      </c>
      <c r="DC233" s="113">
        <v>-176</v>
      </c>
      <c r="DD233" s="113">
        <v>-35</v>
      </c>
      <c r="DE233" s="113">
        <v>-757</v>
      </c>
      <c r="DF233" s="113">
        <v>-688</v>
      </c>
      <c r="DG233" s="113">
        <v>1185</v>
      </c>
      <c r="DH233" s="113">
        <v>740</v>
      </c>
      <c r="DI233" s="113">
        <v>-408</v>
      </c>
      <c r="DJ233" s="113">
        <v>-1722</v>
      </c>
      <c r="DK233" s="113">
        <v>220</v>
      </c>
      <c r="DL233" s="113">
        <v>2063</v>
      </c>
      <c r="DM233" s="113">
        <v>136</v>
      </c>
      <c r="DN233" s="113">
        <v>-2353</v>
      </c>
      <c r="DO233" s="113">
        <v>129</v>
      </c>
      <c r="DP233" s="113">
        <v>1337</v>
      </c>
      <c r="DQ233" s="113">
        <v>2319</v>
      </c>
      <c r="DR233" s="113">
        <v>-978</v>
      </c>
      <c r="DS233" s="113">
        <v>-324</v>
      </c>
      <c r="DT233" s="113">
        <v>473</v>
      </c>
      <c r="DU233" s="113">
        <v>2212</v>
      </c>
      <c r="DV233" s="113">
        <v>-2707</v>
      </c>
      <c r="DW233" s="113">
        <v>-401</v>
      </c>
      <c r="DX233" s="113">
        <v>553</v>
      </c>
      <c r="DY233" s="113">
        <v>321</v>
      </c>
      <c r="DZ233" s="113">
        <v>-936</v>
      </c>
      <c r="EA233" s="113">
        <v>-468</v>
      </c>
      <c r="EB233" s="113">
        <v>536</v>
      </c>
      <c r="EC233" s="113">
        <v>1781</v>
      </c>
      <c r="ED233" s="113">
        <v>-2406</v>
      </c>
      <c r="EE233" s="113">
        <v>500</v>
      </c>
      <c r="EF233" s="113">
        <v>329</v>
      </c>
      <c r="EG233" s="113">
        <v>1118</v>
      </c>
      <c r="EH233" s="113">
        <v>-2935</v>
      </c>
      <c r="EI233" s="113">
        <v>-22</v>
      </c>
      <c r="EJ233" s="113">
        <v>457</v>
      </c>
      <c r="EK233" s="113">
        <v>958</v>
      </c>
      <c r="EL233" s="113">
        <v>-3681</v>
      </c>
      <c r="EM233" s="113">
        <v>1562</v>
      </c>
      <c r="EN233" s="113">
        <v>803</v>
      </c>
    </row>
    <row r="234" spans="1:144" ht="10.5">
      <c r="A234" s="112" t="s">
        <v>2499</v>
      </c>
      <c r="B234" s="114">
        <v>571</v>
      </c>
      <c r="C234" s="114">
        <v>896</v>
      </c>
      <c r="D234" s="114">
        <v>1074</v>
      </c>
      <c r="E234" s="114">
        <v>1593</v>
      </c>
      <c r="F234" s="114">
        <v>1990</v>
      </c>
      <c r="G234" s="114">
        <v>3719</v>
      </c>
      <c r="H234" s="114">
        <v>4689</v>
      </c>
      <c r="I234" s="114">
        <v>8433</v>
      </c>
      <c r="J234" s="114">
        <v>12146</v>
      </c>
      <c r="K234" s="114">
        <v>11426</v>
      </c>
      <c r="L234" s="114">
        <v>13422</v>
      </c>
      <c r="M234" s="114">
        <v>14509</v>
      </c>
      <c r="N234" s="114">
        <v>15797</v>
      </c>
      <c r="O234" s="114">
        <v>14626</v>
      </c>
      <c r="P234" s="114">
        <v>16605</v>
      </c>
      <c r="Q234" s="114">
        <v>14404</v>
      </c>
      <c r="R234" s="114">
        <v>17796</v>
      </c>
      <c r="S234" s="114">
        <v>21612</v>
      </c>
      <c r="T234" s="114">
        <v>19037</v>
      </c>
      <c r="U234" s="114">
        <v>24073</v>
      </c>
      <c r="V234" s="114">
        <v>26994</v>
      </c>
      <c r="W234" s="114">
        <v>31626</v>
      </c>
      <c r="X234" s="114">
        <v>28833</v>
      </c>
      <c r="Y234" s="114">
        <v>32502</v>
      </c>
      <c r="Z234" s="114">
        <v>29668</v>
      </c>
      <c r="AA234" s="114">
        <v>33325</v>
      </c>
      <c r="AB234" s="114">
        <v>39507</v>
      </c>
      <c r="AC234" s="114">
        <v>43884</v>
      </c>
      <c r="AD234" s="114">
        <v>52185</v>
      </c>
      <c r="AE234" s="114">
        <v>58110</v>
      </c>
      <c r="AG234" s="112" t="s">
        <v>2499</v>
      </c>
      <c r="AH234" s="114">
        <v>203.5</v>
      </c>
      <c r="AI234" s="114">
        <v>203.5</v>
      </c>
      <c r="AJ234" s="114">
        <v>266</v>
      </c>
      <c r="AK234" s="114">
        <v>401</v>
      </c>
      <c r="AL234" s="114">
        <v>316</v>
      </c>
      <c r="AM234" s="114">
        <v>349</v>
      </c>
      <c r="AN234" s="114">
        <v>423</v>
      </c>
      <c r="AO234" s="114">
        <v>505</v>
      </c>
      <c r="AP234" s="114">
        <v>390</v>
      </c>
      <c r="AQ234" s="114">
        <v>445</v>
      </c>
      <c r="AR234" s="114">
        <v>643</v>
      </c>
      <c r="AS234" s="114">
        <v>512</v>
      </c>
      <c r="AT234" s="114">
        <v>500</v>
      </c>
      <c r="AU234" s="114">
        <v>1401</v>
      </c>
      <c r="AV234" s="114">
        <v>905</v>
      </c>
      <c r="AW234" s="114">
        <v>913</v>
      </c>
      <c r="AX234" s="114">
        <v>783</v>
      </c>
      <c r="AY234" s="114">
        <v>1218</v>
      </c>
      <c r="AZ234" s="114">
        <v>1618</v>
      </c>
      <c r="BA234" s="114">
        <v>1070</v>
      </c>
      <c r="BB234" s="114">
        <v>1680</v>
      </c>
      <c r="BC234" s="114">
        <v>1664</v>
      </c>
      <c r="BD234" s="114">
        <v>2102</v>
      </c>
      <c r="BE234" s="114">
        <v>1434</v>
      </c>
      <c r="BF234" s="114">
        <v>2584</v>
      </c>
      <c r="BG234" s="114">
        <v>2151</v>
      </c>
      <c r="BH234" s="114">
        <v>2684</v>
      </c>
      <c r="BI234" s="114">
        <v>5718</v>
      </c>
      <c r="BJ234" s="114">
        <v>2857</v>
      </c>
      <c r="BK234" s="114">
        <v>2927</v>
      </c>
      <c r="BL234" s="114">
        <v>2954</v>
      </c>
      <c r="BM234" s="114">
        <v>2688</v>
      </c>
      <c r="BN234" s="114">
        <v>2960</v>
      </c>
      <c r="BO234" s="114">
        <v>2919</v>
      </c>
      <c r="BP234" s="114">
        <v>3964</v>
      </c>
      <c r="BQ234" s="114">
        <v>3579</v>
      </c>
      <c r="BR234" s="114">
        <v>3389</v>
      </c>
      <c r="BS234" s="114">
        <v>3565</v>
      </c>
      <c r="BT234" s="114">
        <v>4121</v>
      </c>
      <c r="BU234" s="114">
        <v>3434</v>
      </c>
      <c r="BV234" s="114">
        <v>6172</v>
      </c>
      <c r="BW234" s="114">
        <v>2767</v>
      </c>
      <c r="BX234" s="114">
        <v>4169</v>
      </c>
      <c r="BY234" s="114">
        <v>2689</v>
      </c>
      <c r="BZ234" s="114">
        <v>3424</v>
      </c>
      <c r="CA234" s="114">
        <v>4574</v>
      </c>
      <c r="CB234" s="114">
        <v>4970</v>
      </c>
      <c r="CC234" s="114">
        <v>1658</v>
      </c>
      <c r="CD234" s="114">
        <v>4007</v>
      </c>
      <c r="CE234" s="114">
        <v>3619</v>
      </c>
      <c r="CF234" s="114">
        <v>5003</v>
      </c>
      <c r="CG234" s="114">
        <v>3976</v>
      </c>
      <c r="CH234" s="114">
        <v>4329</v>
      </c>
      <c r="CI234" s="114">
        <v>2231</v>
      </c>
      <c r="CJ234" s="114">
        <v>4563</v>
      </c>
      <c r="CK234" s="114">
        <v>3281</v>
      </c>
      <c r="CL234" s="114">
        <v>4061</v>
      </c>
      <c r="CM234" s="114">
        <v>2042</v>
      </c>
      <c r="CN234" s="114">
        <v>7291</v>
      </c>
      <c r="CO234" s="114">
        <v>4402</v>
      </c>
      <c r="CP234" s="114">
        <v>5878</v>
      </c>
      <c r="CQ234" s="114">
        <v>4567</v>
      </c>
      <c r="CR234" s="114">
        <v>7082</v>
      </c>
      <c r="CS234" s="114">
        <v>4085</v>
      </c>
      <c r="CT234" s="114">
        <v>3370</v>
      </c>
      <c r="CU234" s="114">
        <v>5782</v>
      </c>
      <c r="CV234" s="114">
        <v>6044</v>
      </c>
      <c r="CW234" s="114">
        <v>3841</v>
      </c>
      <c r="CX234" s="114">
        <v>6107</v>
      </c>
      <c r="CY234" s="114">
        <v>4969</v>
      </c>
      <c r="CZ234" s="114">
        <v>7393</v>
      </c>
      <c r="DA234" s="114">
        <v>5604</v>
      </c>
      <c r="DB234" s="114">
        <v>8194</v>
      </c>
      <c r="DC234" s="114">
        <v>4186</v>
      </c>
      <c r="DD234" s="114">
        <v>8672</v>
      </c>
      <c r="DE234" s="114">
        <v>5942</v>
      </c>
      <c r="DF234" s="114">
        <v>8493</v>
      </c>
      <c r="DG234" s="114">
        <v>5862</v>
      </c>
      <c r="DH234" s="114">
        <v>9594</v>
      </c>
      <c r="DI234" s="114">
        <v>7677</v>
      </c>
      <c r="DJ234" s="114">
        <v>8484</v>
      </c>
      <c r="DK234" s="114">
        <v>4780</v>
      </c>
      <c r="DL234" s="114">
        <v>9666</v>
      </c>
      <c r="DM234" s="114">
        <v>5903</v>
      </c>
      <c r="DN234" s="114">
        <v>8205</v>
      </c>
      <c r="DO234" s="114">
        <v>4413</v>
      </c>
      <c r="DP234" s="114">
        <v>10099</v>
      </c>
      <c r="DQ234" s="114">
        <v>9514</v>
      </c>
      <c r="DR234" s="114">
        <v>8354</v>
      </c>
      <c r="DS234" s="114">
        <v>4340</v>
      </c>
      <c r="DT234" s="114">
        <v>9601</v>
      </c>
      <c r="DU234" s="114">
        <v>6849</v>
      </c>
      <c r="DV234" s="114">
        <v>8876</v>
      </c>
      <c r="DW234" s="114">
        <v>5618</v>
      </c>
      <c r="DX234" s="114">
        <v>10367</v>
      </c>
      <c r="DY234" s="114">
        <v>8464</v>
      </c>
      <c r="DZ234" s="114">
        <v>11549</v>
      </c>
      <c r="EA234" s="114">
        <v>6293</v>
      </c>
      <c r="EB234" s="114">
        <v>10660</v>
      </c>
      <c r="EC234" s="114">
        <v>11005</v>
      </c>
      <c r="ED234" s="114">
        <v>12440</v>
      </c>
      <c r="EE234" s="114">
        <v>7875</v>
      </c>
      <c r="EF234" s="114">
        <v>12151</v>
      </c>
      <c r="EG234" s="114">
        <v>11418</v>
      </c>
      <c r="EH234" s="114">
        <v>13657</v>
      </c>
      <c r="EI234" s="114">
        <v>8900</v>
      </c>
      <c r="EJ234" s="114">
        <v>13520</v>
      </c>
      <c r="EK234" s="114">
        <v>16108</v>
      </c>
      <c r="EL234" s="114">
        <v>13818</v>
      </c>
      <c r="EM234" s="114">
        <v>10680</v>
      </c>
      <c r="EN234" s="114">
        <v>17504</v>
      </c>
    </row>
    <row r="235" spans="1:144">
      <c r="A235" s="103"/>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c r="BE235" s="103"/>
      <c r="BF235" s="103"/>
      <c r="BG235" s="103"/>
      <c r="BH235" s="103"/>
      <c r="BI235" s="103"/>
      <c r="BJ235" s="103"/>
      <c r="BK235" s="103"/>
      <c r="BL235" s="103"/>
      <c r="BM235" s="103"/>
      <c r="BN235" s="103"/>
      <c r="BO235" s="103"/>
      <c r="BP235" s="103"/>
      <c r="BQ235" s="103"/>
      <c r="BR235" s="103"/>
      <c r="BS235" s="103"/>
      <c r="BT235" s="103"/>
      <c r="BU235" s="103"/>
      <c r="BV235" s="103"/>
      <c r="BW235" s="103"/>
      <c r="BX235" s="103"/>
      <c r="BY235" s="103"/>
      <c r="BZ235" s="103"/>
      <c r="CA235" s="103"/>
      <c r="CB235" s="103"/>
      <c r="CC235" s="103"/>
      <c r="CD235" s="103"/>
      <c r="CE235" s="103"/>
      <c r="CF235" s="103"/>
      <c r="CG235" s="103"/>
      <c r="CH235" s="103"/>
      <c r="CI235" s="103"/>
      <c r="CJ235" s="103"/>
      <c r="CK235" s="103"/>
      <c r="CL235" s="103"/>
      <c r="CM235" s="103"/>
      <c r="CN235" s="103"/>
      <c r="CO235" s="103"/>
      <c r="CP235" s="103"/>
      <c r="CQ235" s="103"/>
      <c r="CR235" s="103"/>
      <c r="CS235" s="103"/>
      <c r="CT235" s="103"/>
      <c r="CU235" s="103"/>
      <c r="CV235" s="103"/>
      <c r="CW235" s="103"/>
      <c r="CX235" s="103"/>
      <c r="CY235" s="103"/>
      <c r="CZ235" s="103"/>
      <c r="DA235" s="103"/>
      <c r="DB235" s="103"/>
      <c r="DC235" s="103"/>
      <c r="DD235" s="103"/>
      <c r="DE235" s="103"/>
      <c r="DF235" s="103"/>
      <c r="DG235" s="103"/>
      <c r="DH235" s="103"/>
      <c r="DI235" s="103"/>
      <c r="DJ235" s="103"/>
      <c r="DK235" s="103"/>
      <c r="DL235" s="103"/>
      <c r="DM235" s="103"/>
      <c r="DN235" s="103"/>
      <c r="DO235" s="103"/>
      <c r="DP235" s="103"/>
      <c r="DQ235" s="103"/>
      <c r="DR235" s="103"/>
      <c r="DS235" s="103"/>
      <c r="DT235" s="103"/>
      <c r="DU235" s="103"/>
      <c r="DV235" s="103"/>
      <c r="DW235" s="103"/>
      <c r="DX235" s="103"/>
      <c r="DY235" s="103"/>
      <c r="DZ235" s="103"/>
      <c r="EA235" s="103"/>
      <c r="EB235" s="103"/>
      <c r="EC235" s="103"/>
      <c r="ED235" s="103"/>
      <c r="EE235" s="103"/>
      <c r="EF235" s="103"/>
      <c r="EG235" s="103"/>
      <c r="EH235" s="103"/>
      <c r="EI235" s="103"/>
      <c r="EJ235" s="103"/>
      <c r="EK235" s="103"/>
      <c r="EL235" s="103"/>
      <c r="EM235" s="103"/>
      <c r="EN235" s="103"/>
    </row>
    <row r="236" spans="1:144">
      <c r="A236" s="103" t="s">
        <v>2500</v>
      </c>
      <c r="B236" s="113">
        <v>-264</v>
      </c>
      <c r="C236" s="113">
        <v>-317</v>
      </c>
      <c r="D236" s="113">
        <v>-236</v>
      </c>
      <c r="E236" s="113">
        <v>-278</v>
      </c>
      <c r="F236" s="113">
        <v>-495</v>
      </c>
      <c r="G236" s="113">
        <v>-494</v>
      </c>
      <c r="H236" s="113">
        <v>-499</v>
      </c>
      <c r="I236" s="113">
        <v>-656</v>
      </c>
      <c r="J236" s="113">
        <v>-583</v>
      </c>
      <c r="K236" s="113">
        <v>-879</v>
      </c>
      <c r="L236" s="113">
        <v>-1103</v>
      </c>
      <c r="M236" s="113">
        <v>-770</v>
      </c>
      <c r="N236" s="113">
        <v>-891</v>
      </c>
      <c r="O236" s="113">
        <v>-1109</v>
      </c>
      <c r="P236" s="113">
        <v>-812</v>
      </c>
      <c r="Q236" s="113">
        <v>-1578</v>
      </c>
      <c r="R236" s="113">
        <v>-2264</v>
      </c>
      <c r="S236" s="113">
        <v>-3182</v>
      </c>
      <c r="T236" s="113">
        <v>-3119</v>
      </c>
      <c r="U236" s="113">
        <v>-1977</v>
      </c>
      <c r="V236" s="113">
        <v>-2355</v>
      </c>
      <c r="W236" s="113">
        <v>-2305</v>
      </c>
      <c r="X236" s="113">
        <v>-4257</v>
      </c>
      <c r="Y236" s="113">
        <v>-5485</v>
      </c>
      <c r="Z236" s="113">
        <v>-5944</v>
      </c>
      <c r="AA236" s="113">
        <v>-8343</v>
      </c>
      <c r="AB236" s="113">
        <v>-8129</v>
      </c>
      <c r="AC236" s="113">
        <v>-11632</v>
      </c>
      <c r="AD236" s="113">
        <v>-13925</v>
      </c>
      <c r="AE236" s="113">
        <v>-14748</v>
      </c>
      <c r="AG236" s="103" t="s">
        <v>2500</v>
      </c>
      <c r="AH236" s="113">
        <v>-50</v>
      </c>
      <c r="AI236" s="113">
        <v>-50</v>
      </c>
      <c r="AJ236" s="113">
        <v>-61</v>
      </c>
      <c r="AK236" s="113">
        <v>-75</v>
      </c>
      <c r="AL236" s="113">
        <v>-59</v>
      </c>
      <c r="AM236" s="113">
        <v>-63</v>
      </c>
      <c r="AN236" s="113">
        <v>-69</v>
      </c>
      <c r="AO236" s="113">
        <v>-87</v>
      </c>
      <c r="AP236" s="113">
        <v>-67</v>
      </c>
      <c r="AQ236" s="113">
        <v>-103</v>
      </c>
      <c r="AR236" s="113">
        <v>-102</v>
      </c>
      <c r="AS236" s="113">
        <v>-223</v>
      </c>
      <c r="AT236" s="113">
        <v>-116</v>
      </c>
      <c r="AU236" s="113">
        <v>-88</v>
      </c>
      <c r="AV236" s="113">
        <v>-132</v>
      </c>
      <c r="AW236" s="113">
        <v>-158</v>
      </c>
      <c r="AX236" s="113">
        <v>-99</v>
      </c>
      <c r="AY236" s="113">
        <v>-117</v>
      </c>
      <c r="AZ236" s="113">
        <v>-110</v>
      </c>
      <c r="BA236" s="113">
        <v>-173</v>
      </c>
      <c r="BB236" s="113">
        <v>-117</v>
      </c>
      <c r="BC236" s="113">
        <v>-151</v>
      </c>
      <c r="BD236" s="113">
        <v>-147</v>
      </c>
      <c r="BE236" s="113">
        <v>-241</v>
      </c>
      <c r="BF236" s="113">
        <v>-106</v>
      </c>
      <c r="BG236" s="113">
        <v>-135</v>
      </c>
      <c r="BH236" s="113">
        <v>-50</v>
      </c>
      <c r="BI236" s="113">
        <v>-292</v>
      </c>
      <c r="BJ236" s="113">
        <v>-139</v>
      </c>
      <c r="BK236" s="113">
        <v>-232</v>
      </c>
      <c r="BL236" s="113">
        <v>-246</v>
      </c>
      <c r="BM236" s="113">
        <v>-262</v>
      </c>
      <c r="BN236" s="113">
        <v>-245</v>
      </c>
      <c r="BO236" s="113">
        <v>-272</v>
      </c>
      <c r="BP236" s="113">
        <v>-264</v>
      </c>
      <c r="BQ236" s="113">
        <v>-322</v>
      </c>
      <c r="BR236" s="113">
        <v>-150</v>
      </c>
      <c r="BS236" s="113">
        <v>-172</v>
      </c>
      <c r="BT236" s="113">
        <v>-166</v>
      </c>
      <c r="BU236" s="113">
        <v>-282</v>
      </c>
      <c r="BV236" s="113">
        <v>-160</v>
      </c>
      <c r="BW236" s="113">
        <v>-276</v>
      </c>
      <c r="BX236" s="113">
        <v>-182</v>
      </c>
      <c r="BY236" s="113">
        <v>-273</v>
      </c>
      <c r="BZ236" s="113">
        <v>-167</v>
      </c>
      <c r="CA236" s="113">
        <v>-172</v>
      </c>
      <c r="CB236" s="113">
        <v>-213</v>
      </c>
      <c r="CC236" s="113">
        <v>-557</v>
      </c>
      <c r="CD236" s="113">
        <v>-173</v>
      </c>
      <c r="CE236" s="113">
        <v>-176</v>
      </c>
      <c r="CF236" s="113">
        <v>-203</v>
      </c>
      <c r="CG236" s="113">
        <v>-260</v>
      </c>
      <c r="CH236" s="113">
        <v>-213</v>
      </c>
      <c r="CI236" s="113">
        <v>-318</v>
      </c>
      <c r="CJ236" s="113">
        <v>-302</v>
      </c>
      <c r="CK236" s="113">
        <v>-745</v>
      </c>
      <c r="CL236" s="113">
        <v>-411</v>
      </c>
      <c r="CM236" s="113">
        <v>-572</v>
      </c>
      <c r="CN236" s="113">
        <v>-461</v>
      </c>
      <c r="CO236" s="113">
        <v>-820</v>
      </c>
      <c r="CP236" s="113">
        <v>-510</v>
      </c>
      <c r="CQ236" s="113">
        <v>-695</v>
      </c>
      <c r="CR236" s="113">
        <v>-759</v>
      </c>
      <c r="CS236" s="113">
        <v>-1218</v>
      </c>
      <c r="CT236" s="113">
        <v>-778</v>
      </c>
      <c r="CU236" s="113">
        <v>-842</v>
      </c>
      <c r="CV236" s="113">
        <v>-632</v>
      </c>
      <c r="CW236" s="113">
        <v>-867</v>
      </c>
      <c r="CX236" s="113">
        <v>-435</v>
      </c>
      <c r="CY236" s="113">
        <v>-376</v>
      </c>
      <c r="CZ236" s="113">
        <v>-408</v>
      </c>
      <c r="DA236" s="113">
        <v>-758</v>
      </c>
      <c r="DB236" s="113">
        <v>-564</v>
      </c>
      <c r="DC236" s="113">
        <v>-491</v>
      </c>
      <c r="DD236" s="113">
        <v>-658</v>
      </c>
      <c r="DE236" s="113">
        <v>-642</v>
      </c>
      <c r="DF236" s="113">
        <v>-436</v>
      </c>
      <c r="DG236" s="113">
        <v>-498</v>
      </c>
      <c r="DH236" s="113">
        <v>-749</v>
      </c>
      <c r="DI236" s="113">
        <v>-622</v>
      </c>
      <c r="DJ236" s="113">
        <v>-603</v>
      </c>
      <c r="DK236" s="113">
        <v>-930</v>
      </c>
      <c r="DL236" s="113">
        <v>-930</v>
      </c>
      <c r="DM236" s="113">
        <v>-1794</v>
      </c>
      <c r="DN236" s="113">
        <v>-1231</v>
      </c>
      <c r="DO236" s="113">
        <v>-1732</v>
      </c>
      <c r="DP236" s="113">
        <v>-1192</v>
      </c>
      <c r="DQ236" s="113">
        <v>-1330</v>
      </c>
      <c r="DR236" s="113">
        <v>-1282</v>
      </c>
      <c r="DS236" s="113">
        <v>-1490</v>
      </c>
      <c r="DT236" s="113">
        <v>-1391</v>
      </c>
      <c r="DU236" s="113">
        <v>-1781</v>
      </c>
      <c r="DV236" s="113">
        <v>-1356</v>
      </c>
      <c r="DW236" s="113">
        <v>-2024</v>
      </c>
      <c r="DX236" s="113">
        <v>-2308</v>
      </c>
      <c r="DY236" s="113">
        <v>-2655</v>
      </c>
      <c r="DZ236" s="113">
        <v>-2163</v>
      </c>
      <c r="EA236" s="113">
        <v>-1988</v>
      </c>
      <c r="EB236" s="113">
        <v>-1695</v>
      </c>
      <c r="EC236" s="113">
        <v>-2283</v>
      </c>
      <c r="ED236" s="113">
        <v>-2132</v>
      </c>
      <c r="EE236" s="113">
        <v>-2586</v>
      </c>
      <c r="EF236" s="113">
        <v>-2934</v>
      </c>
      <c r="EG236" s="113">
        <v>-3980</v>
      </c>
      <c r="EH236" s="113">
        <v>-3602</v>
      </c>
      <c r="EI236" s="113">
        <v>-3707</v>
      </c>
      <c r="EJ236" s="113">
        <v>-2565</v>
      </c>
      <c r="EK236" s="113">
        <v>-4051</v>
      </c>
      <c r="EL236" s="113">
        <v>-3385</v>
      </c>
      <c r="EM236" s="113">
        <v>-3545</v>
      </c>
      <c r="EN236" s="113">
        <v>-3767</v>
      </c>
    </row>
    <row r="237" spans="1:144">
      <c r="A237" s="103" t="s">
        <v>2501</v>
      </c>
      <c r="B237" s="113">
        <v>0</v>
      </c>
      <c r="C237" s="113">
        <v>0</v>
      </c>
      <c r="D237" s="113">
        <v>0</v>
      </c>
      <c r="E237" s="113">
        <v>0</v>
      </c>
      <c r="F237" s="113">
        <v>0</v>
      </c>
      <c r="G237" s="113">
        <v>0</v>
      </c>
      <c r="H237" s="113">
        <v>0</v>
      </c>
      <c r="I237" s="113">
        <v>-190</v>
      </c>
      <c r="J237" s="113">
        <v>0</v>
      </c>
      <c r="K237" s="113">
        <v>0</v>
      </c>
      <c r="L237" s="113">
        <v>0</v>
      </c>
      <c r="M237" s="113">
        <v>0</v>
      </c>
      <c r="N237" s="113">
        <v>-1063</v>
      </c>
      <c r="O237" s="113">
        <v>-4</v>
      </c>
      <c r="P237" s="113">
        <v>-207</v>
      </c>
      <c r="Q237" s="113">
        <v>-649</v>
      </c>
      <c r="R237" s="113">
        <v>-1150</v>
      </c>
      <c r="S237" s="113">
        <v>-8053</v>
      </c>
      <c r="T237" s="113">
        <v>-868</v>
      </c>
      <c r="U237" s="113">
        <v>-245</v>
      </c>
      <c r="V237" s="113">
        <v>-71</v>
      </c>
      <c r="W237" s="113">
        <v>-10112</v>
      </c>
      <c r="X237" s="113">
        <v>-1584</v>
      </c>
      <c r="Y237" s="113">
        <v>-5937</v>
      </c>
      <c r="Z237" s="113">
        <v>-3723</v>
      </c>
      <c r="AA237" s="113">
        <v>-1393</v>
      </c>
      <c r="AB237" s="113">
        <v>-25944</v>
      </c>
      <c r="AC237" s="113">
        <v>-888</v>
      </c>
      <c r="AD237" s="113">
        <v>-2388</v>
      </c>
      <c r="AE237" s="113">
        <v>-1152</v>
      </c>
      <c r="AG237" s="103" t="s">
        <v>2501</v>
      </c>
      <c r="AH237" s="113">
        <v>0</v>
      </c>
      <c r="AI237" s="113">
        <v>0</v>
      </c>
      <c r="AJ237" s="113">
        <v>0</v>
      </c>
      <c r="AK237" s="113">
        <v>0</v>
      </c>
      <c r="AL237" s="113">
        <v>0</v>
      </c>
      <c r="AM237" s="113">
        <v>0</v>
      </c>
      <c r="AN237" s="113">
        <v>0</v>
      </c>
      <c r="AO237" s="113">
        <v>0</v>
      </c>
      <c r="AP237" s="113">
        <v>0</v>
      </c>
      <c r="AQ237" s="113">
        <v>0</v>
      </c>
      <c r="AR237" s="113">
        <v>0</v>
      </c>
      <c r="AS237" s="113">
        <v>0</v>
      </c>
      <c r="AT237" s="113">
        <v>0</v>
      </c>
      <c r="AU237" s="113">
        <v>0</v>
      </c>
      <c r="AV237" s="113">
        <v>0</v>
      </c>
      <c r="AW237" s="113">
        <v>0</v>
      </c>
      <c r="AX237" s="113">
        <v>0</v>
      </c>
      <c r="AY237" s="113">
        <v>0</v>
      </c>
      <c r="AZ237" s="113">
        <v>0</v>
      </c>
      <c r="BA237" s="113">
        <v>0</v>
      </c>
      <c r="BB237" s="113">
        <v>-190</v>
      </c>
      <c r="BC237" s="113">
        <v>0</v>
      </c>
      <c r="BD237" s="113">
        <v>0</v>
      </c>
      <c r="BE237" s="113">
        <v>0</v>
      </c>
      <c r="BF237" s="113">
        <v>0</v>
      </c>
      <c r="BG237" s="113">
        <v>0</v>
      </c>
      <c r="BH237" s="113">
        <v>0</v>
      </c>
      <c r="BI237" s="113">
        <v>0</v>
      </c>
      <c r="BJ237" s="113">
        <v>0</v>
      </c>
      <c r="BK237" s="113">
        <v>0</v>
      </c>
      <c r="BL237" s="113">
        <v>0</v>
      </c>
      <c r="BM237" s="113">
        <v>0</v>
      </c>
      <c r="BN237" s="113">
        <v>0</v>
      </c>
      <c r="BO237" s="113">
        <v>0</v>
      </c>
      <c r="BP237" s="113">
        <v>0</v>
      </c>
      <c r="BQ237" s="113">
        <v>0</v>
      </c>
      <c r="BR237" s="113">
        <v>0</v>
      </c>
      <c r="BS237" s="113">
        <v>0</v>
      </c>
      <c r="BT237" s="113">
        <v>0</v>
      </c>
      <c r="BU237" s="113">
        <v>0</v>
      </c>
      <c r="BV237" s="113">
        <v>-870</v>
      </c>
      <c r="BW237" s="113">
        <v>-9</v>
      </c>
      <c r="BX237" s="113">
        <v>-12</v>
      </c>
      <c r="BY237" s="113">
        <v>-172</v>
      </c>
      <c r="BZ237" s="113">
        <v>-4</v>
      </c>
      <c r="CA237" s="113">
        <v>0</v>
      </c>
      <c r="CB237" s="113">
        <v>0</v>
      </c>
      <c r="CC237" s="113">
        <v>0</v>
      </c>
      <c r="CD237" s="113">
        <v>0</v>
      </c>
      <c r="CE237" s="113">
        <v>-1</v>
      </c>
      <c r="CF237" s="113">
        <v>-11</v>
      </c>
      <c r="CG237" s="113">
        <v>-195</v>
      </c>
      <c r="CH237" s="113">
        <v>-187</v>
      </c>
      <c r="CI237" s="113">
        <v>-63</v>
      </c>
      <c r="CJ237" s="113">
        <v>-83</v>
      </c>
      <c r="CK237" s="113">
        <v>-316</v>
      </c>
      <c r="CL237" s="113">
        <v>-336</v>
      </c>
      <c r="CM237" s="113">
        <v>-125</v>
      </c>
      <c r="CN237" s="113">
        <v>-41</v>
      </c>
      <c r="CO237" s="113">
        <v>-648</v>
      </c>
      <c r="CP237" s="113">
        <v>-5396</v>
      </c>
      <c r="CQ237" s="113">
        <v>-433</v>
      </c>
      <c r="CR237" s="113">
        <v>-138</v>
      </c>
      <c r="CS237" s="113">
        <v>-2086</v>
      </c>
      <c r="CT237" s="113">
        <v>-377</v>
      </c>
      <c r="CU237" s="113">
        <v>-450</v>
      </c>
      <c r="CV237" s="113">
        <v>0</v>
      </c>
      <c r="CW237" s="113">
        <v>-41</v>
      </c>
      <c r="CX237" s="113">
        <v>-39</v>
      </c>
      <c r="CY237" s="113">
        <v>-63</v>
      </c>
      <c r="CZ237" s="113">
        <v>-143</v>
      </c>
      <c r="DA237" s="113">
        <v>0</v>
      </c>
      <c r="DB237" s="113">
        <v>0</v>
      </c>
      <c r="DC237" s="113">
        <v>-69</v>
      </c>
      <c r="DD237" s="113">
        <v>0</v>
      </c>
      <c r="DE237" s="113">
        <v>-2</v>
      </c>
      <c r="DF237" s="113">
        <v>-875</v>
      </c>
      <c r="DG237" s="113">
        <v>-8627</v>
      </c>
      <c r="DH237" s="113">
        <v>-84</v>
      </c>
      <c r="DI237" s="113">
        <v>-526</v>
      </c>
      <c r="DJ237" s="113">
        <v>-1145</v>
      </c>
      <c r="DK237" s="113">
        <v>-311</v>
      </c>
      <c r="DL237" s="113">
        <v>-108</v>
      </c>
      <c r="DM237" s="113">
        <v>-20</v>
      </c>
      <c r="DN237" s="113">
        <v>-15</v>
      </c>
      <c r="DO237" s="113">
        <v>-139</v>
      </c>
      <c r="DP237" s="113">
        <v>-157</v>
      </c>
      <c r="DQ237" s="113">
        <v>-5626</v>
      </c>
      <c r="DR237" s="113">
        <v>-141</v>
      </c>
      <c r="DS237" s="113">
        <v>-2794</v>
      </c>
      <c r="DT237" s="113">
        <v>-162</v>
      </c>
      <c r="DU237" s="113">
        <v>-626</v>
      </c>
      <c r="DV237" s="113">
        <v>-390</v>
      </c>
      <c r="DW237" s="113">
        <v>-381</v>
      </c>
      <c r="DX237" s="113">
        <v>-559</v>
      </c>
      <c r="DY237" s="113">
        <v>-63</v>
      </c>
      <c r="DZ237" s="113">
        <v>-24</v>
      </c>
      <c r="EA237" s="113">
        <v>-24760</v>
      </c>
      <c r="EB237" s="113">
        <v>-802</v>
      </c>
      <c r="EC237" s="113">
        <v>-358</v>
      </c>
      <c r="ED237" s="113">
        <v>-179</v>
      </c>
      <c r="EE237" s="113">
        <v>-27</v>
      </c>
      <c r="EF237" s="113">
        <v>-248</v>
      </c>
      <c r="EG237" s="113">
        <v>-434</v>
      </c>
      <c r="EH237" s="113">
        <v>-245</v>
      </c>
      <c r="EI237" s="113">
        <v>-1593</v>
      </c>
      <c r="EJ237" s="113">
        <v>-269</v>
      </c>
      <c r="EK237" s="113">
        <v>-281</v>
      </c>
      <c r="EL237" s="113">
        <v>-462</v>
      </c>
      <c r="EM237" s="113">
        <v>-80</v>
      </c>
      <c r="EN237" s="113">
        <v>-329</v>
      </c>
    </row>
    <row r="238" spans="1:144">
      <c r="A238" s="103" t="s">
        <v>322</v>
      </c>
      <c r="B238" s="113">
        <v>0</v>
      </c>
      <c r="C238" s="113">
        <v>0</v>
      </c>
      <c r="D238" s="113">
        <v>0</v>
      </c>
      <c r="E238" s="113">
        <v>0</v>
      </c>
      <c r="F238" s="113">
        <v>0</v>
      </c>
      <c r="G238" s="113">
        <v>0</v>
      </c>
      <c r="H238" s="113">
        <v>0</v>
      </c>
      <c r="I238" s="113">
        <v>0</v>
      </c>
      <c r="J238" s="113">
        <v>0</v>
      </c>
      <c r="K238" s="113">
        <v>0</v>
      </c>
      <c r="L238" s="113">
        <v>0</v>
      </c>
      <c r="M238" s="113">
        <v>0</v>
      </c>
      <c r="N238" s="113">
        <v>0</v>
      </c>
      <c r="O238" s="113">
        <v>0</v>
      </c>
      <c r="P238" s="113">
        <v>0</v>
      </c>
      <c r="Q238" s="113">
        <v>0</v>
      </c>
      <c r="R238" s="113">
        <v>0</v>
      </c>
      <c r="S238" s="113">
        <v>0</v>
      </c>
      <c r="T238" s="113">
        <v>0</v>
      </c>
      <c r="U238" s="113">
        <v>0</v>
      </c>
      <c r="V238" s="113">
        <v>0</v>
      </c>
      <c r="W238" s="113">
        <v>0</v>
      </c>
      <c r="X238" s="113">
        <v>0</v>
      </c>
      <c r="Y238" s="113">
        <v>0</v>
      </c>
      <c r="Z238" s="113">
        <v>0</v>
      </c>
      <c r="AA238" s="113">
        <v>0</v>
      </c>
      <c r="AB238" s="113">
        <v>0</v>
      </c>
      <c r="AC238" s="113">
        <v>0</v>
      </c>
      <c r="AD238" s="113">
        <v>0</v>
      </c>
      <c r="AE238" s="113">
        <v>0</v>
      </c>
      <c r="AG238" s="103" t="s">
        <v>322</v>
      </c>
      <c r="AH238" s="113">
        <v>0</v>
      </c>
      <c r="AI238" s="113">
        <v>0</v>
      </c>
      <c r="AJ238" s="113">
        <v>0</v>
      </c>
      <c r="AK238" s="113">
        <v>0</v>
      </c>
      <c r="AL238" s="113">
        <v>0</v>
      </c>
      <c r="AM238" s="113">
        <v>0</v>
      </c>
      <c r="AN238" s="113">
        <v>0</v>
      </c>
      <c r="AO238" s="113">
        <v>0</v>
      </c>
      <c r="AP238" s="113">
        <v>0</v>
      </c>
      <c r="AQ238" s="113">
        <v>0</v>
      </c>
      <c r="AR238" s="113">
        <v>0</v>
      </c>
      <c r="AS238" s="113">
        <v>0</v>
      </c>
      <c r="AT238" s="113">
        <v>0</v>
      </c>
      <c r="AU238" s="113">
        <v>0</v>
      </c>
      <c r="AV238" s="113">
        <v>0</v>
      </c>
      <c r="AW238" s="113">
        <v>0</v>
      </c>
      <c r="AX238" s="113">
        <v>0</v>
      </c>
      <c r="AY238" s="113">
        <v>0</v>
      </c>
      <c r="AZ238" s="113">
        <v>0</v>
      </c>
      <c r="BA238" s="113">
        <v>0</v>
      </c>
      <c r="BB238" s="113">
        <v>0</v>
      </c>
      <c r="BC238" s="113">
        <v>0</v>
      </c>
      <c r="BD238" s="113">
        <v>0</v>
      </c>
      <c r="BE238" s="113">
        <v>0</v>
      </c>
      <c r="BF238" s="113">
        <v>79</v>
      </c>
      <c r="BG238" s="113">
        <v>0</v>
      </c>
      <c r="BH238" s="113">
        <v>0</v>
      </c>
      <c r="BI238" s="113">
        <v>0</v>
      </c>
      <c r="BJ238" s="113">
        <v>0</v>
      </c>
      <c r="BK238" s="113">
        <v>0</v>
      </c>
      <c r="BL238" s="113">
        <v>0</v>
      </c>
      <c r="BM238" s="113">
        <v>0</v>
      </c>
      <c r="BN238" s="113">
        <v>0</v>
      </c>
      <c r="BO238" s="113">
        <v>0</v>
      </c>
      <c r="BP238" s="113">
        <v>0</v>
      </c>
      <c r="BQ238" s="113">
        <v>0</v>
      </c>
      <c r="BR238" s="113">
        <v>0</v>
      </c>
      <c r="BS238" s="113">
        <v>0</v>
      </c>
      <c r="BT238" s="113">
        <v>0</v>
      </c>
      <c r="BU238" s="113">
        <v>0</v>
      </c>
      <c r="BV238" s="113">
        <v>0</v>
      </c>
      <c r="BW238" s="113">
        <v>0</v>
      </c>
      <c r="BX238" s="113">
        <v>0</v>
      </c>
      <c r="BY238" s="113">
        <v>0</v>
      </c>
      <c r="BZ238" s="113">
        <v>0</v>
      </c>
      <c r="CA238" s="113">
        <v>0</v>
      </c>
      <c r="CB238" s="113">
        <v>0</v>
      </c>
      <c r="CC238" s="113">
        <v>0</v>
      </c>
      <c r="CD238" s="113">
        <v>0</v>
      </c>
      <c r="CE238" s="113">
        <v>0</v>
      </c>
      <c r="CF238" s="113">
        <v>0</v>
      </c>
      <c r="CG238" s="113">
        <v>0</v>
      </c>
      <c r="CH238" s="113">
        <v>0</v>
      </c>
      <c r="CI238" s="113">
        <v>0</v>
      </c>
      <c r="CJ238" s="113">
        <v>0</v>
      </c>
      <c r="CK238" s="113">
        <v>0</v>
      </c>
      <c r="CL238" s="113">
        <v>0</v>
      </c>
      <c r="CM238" s="113">
        <v>0</v>
      </c>
      <c r="CN238" s="113">
        <v>0</v>
      </c>
      <c r="CO238" s="113">
        <v>0</v>
      </c>
      <c r="CP238" s="113">
        <v>0</v>
      </c>
      <c r="CQ238" s="113">
        <v>0</v>
      </c>
      <c r="CR238" s="113">
        <v>0</v>
      </c>
      <c r="CS238" s="113">
        <v>0</v>
      </c>
      <c r="CT238" s="113">
        <v>0</v>
      </c>
      <c r="CU238" s="113">
        <v>0</v>
      </c>
      <c r="CV238" s="113">
        <v>0</v>
      </c>
      <c r="CW238" s="113">
        <v>0</v>
      </c>
      <c r="CX238" s="113">
        <v>0</v>
      </c>
      <c r="CY238" s="113">
        <v>0</v>
      </c>
      <c r="CZ238" s="113">
        <v>0</v>
      </c>
      <c r="DA238" s="113">
        <v>0</v>
      </c>
      <c r="DB238" s="113">
        <v>0</v>
      </c>
      <c r="DC238" s="113">
        <v>0</v>
      </c>
      <c r="DD238" s="113">
        <v>0</v>
      </c>
      <c r="DE238" s="113">
        <v>0</v>
      </c>
      <c r="DF238" s="113">
        <v>0</v>
      </c>
      <c r="DG238" s="113">
        <v>0</v>
      </c>
      <c r="DH238" s="113">
        <v>0</v>
      </c>
      <c r="DI238" s="113">
        <v>0</v>
      </c>
      <c r="DJ238" s="113">
        <v>0</v>
      </c>
      <c r="DK238" s="113">
        <v>0</v>
      </c>
      <c r="DL238" s="113">
        <v>0</v>
      </c>
      <c r="DM238" s="113">
        <v>0</v>
      </c>
      <c r="DN238" s="113">
        <v>0</v>
      </c>
      <c r="DO238" s="113">
        <v>0</v>
      </c>
      <c r="DP238" s="113">
        <v>0</v>
      </c>
      <c r="DQ238" s="113">
        <v>0</v>
      </c>
      <c r="DR238" s="113">
        <v>0</v>
      </c>
      <c r="DS238" s="113">
        <v>0</v>
      </c>
      <c r="DT238" s="113">
        <v>0</v>
      </c>
      <c r="DU238" s="113">
        <v>0</v>
      </c>
      <c r="DV238" s="113">
        <v>0</v>
      </c>
      <c r="DW238" s="113">
        <v>0</v>
      </c>
      <c r="DX238" s="113">
        <v>0</v>
      </c>
      <c r="DY238" s="113">
        <v>0</v>
      </c>
      <c r="DZ238" s="113">
        <v>0</v>
      </c>
      <c r="EA238" s="113">
        <v>0</v>
      </c>
      <c r="EB238" s="113">
        <v>0</v>
      </c>
      <c r="EC238" s="113">
        <v>0</v>
      </c>
      <c r="ED238" s="113">
        <v>0</v>
      </c>
      <c r="EE238" s="113">
        <v>0</v>
      </c>
      <c r="EF238" s="113">
        <v>0</v>
      </c>
      <c r="EG238" s="113">
        <v>0</v>
      </c>
      <c r="EH238" s="113">
        <v>0</v>
      </c>
      <c r="EI238" s="113">
        <v>0</v>
      </c>
      <c r="EJ238" s="113">
        <v>0</v>
      </c>
      <c r="EK238" s="113">
        <v>0</v>
      </c>
      <c r="EL238" s="113">
        <v>0</v>
      </c>
      <c r="EM238" s="113">
        <v>0</v>
      </c>
      <c r="EN238" s="113">
        <v>0</v>
      </c>
    </row>
    <row r="239" spans="1:144">
      <c r="A239" s="103" t="s">
        <v>2502</v>
      </c>
      <c r="B239" s="113">
        <v>-77</v>
      </c>
      <c r="C239" s="113">
        <v>-284</v>
      </c>
      <c r="D239" s="113">
        <v>-723</v>
      </c>
      <c r="E239" s="113">
        <v>-860</v>
      </c>
      <c r="F239" s="113">
        <v>-881</v>
      </c>
      <c r="G239" s="113">
        <v>-2176</v>
      </c>
      <c r="H239" s="113">
        <v>-2590</v>
      </c>
      <c r="I239" s="113">
        <v>-6426</v>
      </c>
      <c r="J239" s="113">
        <v>-9617</v>
      </c>
      <c r="K239" s="113">
        <v>-8513</v>
      </c>
      <c r="L239" s="113">
        <v>-7631</v>
      </c>
      <c r="M239" s="113">
        <v>-10075</v>
      </c>
      <c r="N239" s="113">
        <v>-5541</v>
      </c>
      <c r="O239" s="113">
        <v>-2229</v>
      </c>
      <c r="P239" s="113">
        <v>16046</v>
      </c>
      <c r="Q239" s="113">
        <v>7113</v>
      </c>
      <c r="R239" s="113">
        <v>9879</v>
      </c>
      <c r="S239" s="113">
        <v>6775</v>
      </c>
      <c r="T239" s="113">
        <v>-10853</v>
      </c>
      <c r="U239" s="113">
        <v>-7590</v>
      </c>
      <c r="V239" s="113">
        <v>-13216</v>
      </c>
      <c r="W239" s="113">
        <v>-11975</v>
      </c>
      <c r="X239" s="113">
        <v>-17802</v>
      </c>
      <c r="Y239" s="113">
        <v>-7324</v>
      </c>
      <c r="Z239" s="113">
        <v>-12868</v>
      </c>
      <c r="AA239" s="113">
        <v>-14417</v>
      </c>
      <c r="AB239" s="113">
        <v>-12511</v>
      </c>
      <c r="AC239" s="113">
        <v>6557</v>
      </c>
      <c r="AD239" s="113">
        <v>540</v>
      </c>
      <c r="AE239" s="113">
        <v>882</v>
      </c>
      <c r="AG239" s="103" t="s">
        <v>2502</v>
      </c>
      <c r="AH239" s="113">
        <v>-204.5</v>
      </c>
      <c r="AI239" s="113">
        <v>-204.5</v>
      </c>
      <c r="AJ239" s="113">
        <v>-212</v>
      </c>
      <c r="AK239" s="113">
        <v>-102</v>
      </c>
      <c r="AL239" s="113">
        <v>-412</v>
      </c>
      <c r="AM239" s="113">
        <v>-156</v>
      </c>
      <c r="AN239" s="113">
        <v>-146</v>
      </c>
      <c r="AO239" s="113">
        <v>-146</v>
      </c>
      <c r="AP239" s="113">
        <v>-313</v>
      </c>
      <c r="AQ239" s="113">
        <v>-472</v>
      </c>
      <c r="AR239" s="113">
        <v>-338</v>
      </c>
      <c r="AS239" s="113">
        <v>472</v>
      </c>
      <c r="AT239" s="113">
        <v>-468</v>
      </c>
      <c r="AU239" s="113">
        <v>-641</v>
      </c>
      <c r="AV239" s="113">
        <v>-193</v>
      </c>
      <c r="AW239" s="113">
        <v>-874</v>
      </c>
      <c r="AX239" s="113">
        <v>103</v>
      </c>
      <c r="AY239" s="113">
        <v>-1894</v>
      </c>
      <c r="AZ239" s="113">
        <v>741</v>
      </c>
      <c r="BA239" s="113">
        <v>-1540</v>
      </c>
      <c r="BB239" s="113">
        <v>-884</v>
      </c>
      <c r="BC239" s="113">
        <v>-2543</v>
      </c>
      <c r="BD239" s="113">
        <v>-1281</v>
      </c>
      <c r="BE239" s="113">
        <v>-1718</v>
      </c>
      <c r="BF239" s="113">
        <v>-1845</v>
      </c>
      <c r="BG239" s="113">
        <v>-1913</v>
      </c>
      <c r="BH239" s="113">
        <v>-3673</v>
      </c>
      <c r="BI239" s="113">
        <v>-3256</v>
      </c>
      <c r="BJ239" s="113">
        <v>-2633</v>
      </c>
      <c r="BK239" s="113">
        <v>737</v>
      </c>
      <c r="BL239" s="113">
        <v>-3409</v>
      </c>
      <c r="BM239" s="113">
        <v>-3208</v>
      </c>
      <c r="BN239" s="113">
        <v>-3691</v>
      </c>
      <c r="BO239" s="113">
        <v>-46</v>
      </c>
      <c r="BP239" s="113">
        <v>-2067</v>
      </c>
      <c r="BQ239" s="113">
        <v>-1827</v>
      </c>
      <c r="BR239" s="113">
        <v>-3319</v>
      </c>
      <c r="BS239" s="113">
        <v>-1508</v>
      </c>
      <c r="BT239" s="113">
        <v>-3830</v>
      </c>
      <c r="BU239" s="113">
        <v>-1418</v>
      </c>
      <c r="BV239" s="113">
        <v>133</v>
      </c>
      <c r="BW239" s="113">
        <v>-1734</v>
      </c>
      <c r="BX239" s="113">
        <v>-4013</v>
      </c>
      <c r="BY239" s="113">
        <v>355</v>
      </c>
      <c r="BZ239" s="113">
        <v>-3577</v>
      </c>
      <c r="CA239" s="113">
        <v>-1777</v>
      </c>
      <c r="CB239" s="113">
        <v>-924</v>
      </c>
      <c r="CC239" s="113">
        <v>4130</v>
      </c>
      <c r="CD239" s="113">
        <v>-7941</v>
      </c>
      <c r="CE239" s="113">
        <v>24272</v>
      </c>
      <c r="CF239" s="113">
        <v>-1599</v>
      </c>
      <c r="CG239" s="113">
        <v>1314</v>
      </c>
      <c r="CH239" s="113">
        <v>-2861</v>
      </c>
      <c r="CI239" s="113">
        <v>7073</v>
      </c>
      <c r="CJ239" s="113">
        <v>-119</v>
      </c>
      <c r="CK239" s="113">
        <v>3020</v>
      </c>
      <c r="CL239" s="113">
        <v>6680</v>
      </c>
      <c r="CM239" s="113">
        <v>-329</v>
      </c>
      <c r="CN239" s="113">
        <v>695</v>
      </c>
      <c r="CO239" s="113">
        <v>2833</v>
      </c>
      <c r="CP239" s="113">
        <v>3453</v>
      </c>
      <c r="CQ239" s="113">
        <v>849</v>
      </c>
      <c r="CR239" s="113">
        <v>-190</v>
      </c>
      <c r="CS239" s="113">
        <v>2663</v>
      </c>
      <c r="CT239" s="113">
        <v>3293</v>
      </c>
      <c r="CU239" s="113">
        <v>-606</v>
      </c>
      <c r="CV239" s="113">
        <v>-6441</v>
      </c>
      <c r="CW239" s="113">
        <v>-7099</v>
      </c>
      <c r="CX239" s="113">
        <v>-2575</v>
      </c>
      <c r="CY239" s="113">
        <v>970</v>
      </c>
      <c r="CZ239" s="113">
        <v>-5236</v>
      </c>
      <c r="DA239" s="113">
        <v>-749</v>
      </c>
      <c r="DB239" s="113">
        <v>-5120</v>
      </c>
      <c r="DC239" s="113">
        <v>-1457</v>
      </c>
      <c r="DD239" s="113">
        <v>-6370</v>
      </c>
      <c r="DE239" s="113">
        <v>-269</v>
      </c>
      <c r="DF239" s="113">
        <v>-938</v>
      </c>
      <c r="DG239" s="113">
        <v>3849</v>
      </c>
      <c r="DH239" s="113">
        <v>-11769</v>
      </c>
      <c r="DI239" s="113">
        <v>-3117</v>
      </c>
      <c r="DJ239" s="113">
        <v>-5572</v>
      </c>
      <c r="DK239" s="113">
        <v>-959</v>
      </c>
      <c r="DL239" s="113">
        <v>-7165</v>
      </c>
      <c r="DM239" s="113">
        <v>-4106</v>
      </c>
      <c r="DN239" s="113">
        <v>-3304</v>
      </c>
      <c r="DO239" s="113">
        <v>679</v>
      </c>
      <c r="DP239" s="113">
        <v>-2981</v>
      </c>
      <c r="DQ239" s="113">
        <v>-1718</v>
      </c>
      <c r="DR239" s="113">
        <v>-5947</v>
      </c>
      <c r="DS239" s="113">
        <v>-670</v>
      </c>
      <c r="DT239" s="113">
        <v>-3594</v>
      </c>
      <c r="DU239" s="113">
        <v>-2657</v>
      </c>
      <c r="DV239" s="113">
        <v>-3382</v>
      </c>
      <c r="DW239" s="113">
        <v>-1208</v>
      </c>
      <c r="DX239" s="113">
        <v>-2550</v>
      </c>
      <c r="DY239" s="113">
        <v>-7277</v>
      </c>
      <c r="DZ239" s="113">
        <v>-16199</v>
      </c>
      <c r="EA239" s="113">
        <v>10927</v>
      </c>
      <c r="EB239" s="113">
        <v>-2614</v>
      </c>
      <c r="EC239" s="113">
        <v>-4625</v>
      </c>
      <c r="ED239" s="113">
        <v>-4699</v>
      </c>
      <c r="EE239" s="113">
        <v>2459</v>
      </c>
      <c r="EF239" s="113">
        <v>7045</v>
      </c>
      <c r="EG239" s="113">
        <v>1752</v>
      </c>
      <c r="EH239" s="113">
        <v>894</v>
      </c>
      <c r="EI239" s="113">
        <v>1100</v>
      </c>
      <c r="EJ239" s="113">
        <v>1471</v>
      </c>
      <c r="EK239" s="113">
        <v>-2925</v>
      </c>
      <c r="EL239" s="113">
        <v>2071</v>
      </c>
      <c r="EM239" s="113">
        <v>-2411</v>
      </c>
      <c r="EN239" s="113">
        <v>4147</v>
      </c>
    </row>
    <row r="240" spans="1:144">
      <c r="A240" s="103" t="s">
        <v>2503</v>
      </c>
      <c r="B240" s="113">
        <v>0</v>
      </c>
      <c r="C240" s="113">
        <v>0</v>
      </c>
      <c r="D240" s="113">
        <v>0</v>
      </c>
      <c r="E240" s="113">
        <v>0</v>
      </c>
      <c r="F240" s="113">
        <v>0</v>
      </c>
      <c r="G240" s="113">
        <v>0</v>
      </c>
      <c r="H240" s="113">
        <v>0</v>
      </c>
      <c r="I240" s="113">
        <v>0</v>
      </c>
      <c r="J240" s="113">
        <v>0</v>
      </c>
      <c r="K240" s="113">
        <v>0</v>
      </c>
      <c r="L240" s="113">
        <v>0</v>
      </c>
      <c r="M240" s="113">
        <v>0</v>
      </c>
      <c r="N240" s="113">
        <v>0</v>
      </c>
      <c r="O240" s="113">
        <v>0</v>
      </c>
      <c r="P240" s="113">
        <v>0</v>
      </c>
      <c r="Q240" s="113">
        <v>0</v>
      </c>
      <c r="R240" s="113">
        <v>0</v>
      </c>
      <c r="S240" s="113">
        <v>0</v>
      </c>
      <c r="T240" s="113">
        <v>0</v>
      </c>
      <c r="U240" s="113">
        <v>0</v>
      </c>
      <c r="V240" s="113">
        <v>0</v>
      </c>
      <c r="W240" s="113">
        <v>0</v>
      </c>
      <c r="X240" s="113">
        <v>0</v>
      </c>
      <c r="Y240" s="113">
        <v>0</v>
      </c>
      <c r="Z240" s="113">
        <v>0</v>
      </c>
      <c r="AA240" s="113">
        <v>0</v>
      </c>
      <c r="AB240" s="113">
        <v>0</v>
      </c>
      <c r="AC240" s="113">
        <v>0</v>
      </c>
      <c r="AD240" s="113">
        <v>0</v>
      </c>
      <c r="AE240" s="113">
        <v>0</v>
      </c>
      <c r="AG240" s="103" t="s">
        <v>2503</v>
      </c>
      <c r="AH240" s="113">
        <v>0</v>
      </c>
      <c r="AI240" s="113">
        <v>0</v>
      </c>
      <c r="AJ240" s="113">
        <v>0</v>
      </c>
      <c r="AK240" s="113">
        <v>0</v>
      </c>
      <c r="AL240" s="113">
        <v>0</v>
      </c>
      <c r="AM240" s="113">
        <v>0</v>
      </c>
      <c r="AN240" s="113">
        <v>0</v>
      </c>
      <c r="AO240" s="113">
        <v>0</v>
      </c>
      <c r="AP240" s="113">
        <v>0</v>
      </c>
      <c r="AQ240" s="113">
        <v>0</v>
      </c>
      <c r="AR240" s="113">
        <v>0</v>
      </c>
      <c r="AS240" s="113">
        <v>0</v>
      </c>
      <c r="AT240" s="113">
        <v>0</v>
      </c>
      <c r="AU240" s="113">
        <v>0</v>
      </c>
      <c r="AV240" s="113">
        <v>0</v>
      </c>
      <c r="AW240" s="113">
        <v>0</v>
      </c>
      <c r="AX240" s="113">
        <v>0</v>
      </c>
      <c r="AY240" s="113">
        <v>0</v>
      </c>
      <c r="AZ240" s="113">
        <v>0</v>
      </c>
      <c r="BA240" s="113">
        <v>0</v>
      </c>
      <c r="BB240" s="113">
        <v>0</v>
      </c>
      <c r="BC240" s="113">
        <v>0</v>
      </c>
      <c r="BD240" s="113">
        <v>0</v>
      </c>
      <c r="BE240" s="113">
        <v>0</v>
      </c>
      <c r="BF240" s="113">
        <v>0</v>
      </c>
      <c r="BG240" s="113">
        <v>0</v>
      </c>
      <c r="BH240" s="113">
        <v>0</v>
      </c>
      <c r="BI240" s="113">
        <v>0</v>
      </c>
      <c r="BJ240" s="113">
        <v>0</v>
      </c>
      <c r="BK240" s="113">
        <v>0</v>
      </c>
      <c r="BL240" s="113">
        <v>0</v>
      </c>
      <c r="BM240" s="113">
        <v>0</v>
      </c>
      <c r="BN240" s="113">
        <v>0</v>
      </c>
      <c r="BO240" s="113">
        <v>0</v>
      </c>
      <c r="BP240" s="113">
        <v>0</v>
      </c>
      <c r="BQ240" s="113">
        <v>0</v>
      </c>
      <c r="BR240" s="113">
        <v>0</v>
      </c>
      <c r="BS240" s="113">
        <v>0</v>
      </c>
      <c r="BT240" s="113">
        <v>0</v>
      </c>
      <c r="BU240" s="113">
        <v>0</v>
      </c>
      <c r="BV240" s="113">
        <v>0</v>
      </c>
      <c r="BW240" s="113">
        <v>0</v>
      </c>
      <c r="BX240" s="113">
        <v>0</v>
      </c>
      <c r="BY240" s="113">
        <v>0</v>
      </c>
      <c r="BZ240" s="113">
        <v>0</v>
      </c>
      <c r="CA240" s="113">
        <v>0</v>
      </c>
      <c r="CB240" s="113">
        <v>0</v>
      </c>
      <c r="CC240" s="113">
        <v>0</v>
      </c>
      <c r="CD240" s="113">
        <v>0</v>
      </c>
      <c r="CE240" s="113">
        <v>0</v>
      </c>
      <c r="CF240" s="113">
        <v>0</v>
      </c>
      <c r="CG240" s="113">
        <v>0</v>
      </c>
      <c r="CH240" s="113">
        <v>0</v>
      </c>
      <c r="CI240" s="113">
        <v>0</v>
      </c>
      <c r="CJ240" s="113">
        <v>0</v>
      </c>
      <c r="CK240" s="113">
        <v>0</v>
      </c>
      <c r="CL240" s="113">
        <v>0</v>
      </c>
      <c r="CM240" s="113">
        <v>0</v>
      </c>
      <c r="CN240" s="113">
        <v>0</v>
      </c>
      <c r="CO240" s="113">
        <v>0</v>
      </c>
      <c r="CP240" s="113">
        <v>0</v>
      </c>
      <c r="CQ240" s="113">
        <v>0</v>
      </c>
      <c r="CR240" s="113">
        <v>0</v>
      </c>
      <c r="CS240" s="113">
        <v>0</v>
      </c>
      <c r="CT240" s="113">
        <v>0</v>
      </c>
      <c r="CU240" s="113">
        <v>0</v>
      </c>
      <c r="CV240" s="113">
        <v>0</v>
      </c>
      <c r="CW240" s="113">
        <v>0</v>
      </c>
      <c r="CX240" s="113">
        <v>0</v>
      </c>
      <c r="CY240" s="113">
        <v>0</v>
      </c>
      <c r="CZ240" s="113">
        <v>0</v>
      </c>
      <c r="DA240" s="113">
        <v>0</v>
      </c>
      <c r="DB240" s="113">
        <v>0</v>
      </c>
      <c r="DC240" s="113">
        <v>0</v>
      </c>
      <c r="DD240" s="113">
        <v>0</v>
      </c>
      <c r="DE240" s="113">
        <v>0</v>
      </c>
      <c r="DF240" s="113">
        <v>0</v>
      </c>
      <c r="DG240" s="113">
        <v>0</v>
      </c>
      <c r="DH240" s="113">
        <v>0</v>
      </c>
      <c r="DI240" s="113">
        <v>0</v>
      </c>
      <c r="DJ240" s="113">
        <v>0</v>
      </c>
      <c r="DK240" s="113">
        <v>0</v>
      </c>
      <c r="DL240" s="113">
        <v>0</v>
      </c>
      <c r="DM240" s="113">
        <v>0</v>
      </c>
      <c r="DN240" s="113">
        <v>0</v>
      </c>
      <c r="DO240" s="113">
        <v>0</v>
      </c>
      <c r="DP240" s="113">
        <v>0</v>
      </c>
      <c r="DQ240" s="113">
        <v>0</v>
      </c>
      <c r="DR240" s="113">
        <v>0</v>
      </c>
      <c r="DS240" s="113">
        <v>0</v>
      </c>
      <c r="DT240" s="113">
        <v>0</v>
      </c>
      <c r="DU240" s="113">
        <v>0</v>
      </c>
      <c r="DV240" s="113">
        <v>0</v>
      </c>
      <c r="DW240" s="113">
        <v>0</v>
      </c>
      <c r="DX240" s="113">
        <v>0</v>
      </c>
      <c r="DY240" s="113">
        <v>0</v>
      </c>
      <c r="DZ240" s="113">
        <v>0</v>
      </c>
      <c r="EA240" s="113">
        <v>0</v>
      </c>
      <c r="EB240" s="113">
        <v>0</v>
      </c>
      <c r="EC240" s="113">
        <v>0</v>
      </c>
      <c r="ED240" s="113">
        <v>0</v>
      </c>
      <c r="EE240" s="113">
        <v>0</v>
      </c>
      <c r="EF240" s="113">
        <v>0</v>
      </c>
      <c r="EG240" s="113">
        <v>0</v>
      </c>
      <c r="EH240" s="113">
        <v>0</v>
      </c>
      <c r="EI240" s="113">
        <v>0</v>
      </c>
      <c r="EJ240" s="113">
        <v>0</v>
      </c>
      <c r="EK240" s="113">
        <v>0</v>
      </c>
      <c r="EL240" s="113">
        <v>0</v>
      </c>
      <c r="EM240" s="113">
        <v>0</v>
      </c>
      <c r="EN240" s="113">
        <v>0</v>
      </c>
    </row>
    <row r="241" spans="1:144">
      <c r="A241" s="103" t="s">
        <v>2504</v>
      </c>
      <c r="B241" s="113">
        <v>-40</v>
      </c>
      <c r="C241" s="113">
        <v>-41</v>
      </c>
      <c r="D241" s="113">
        <v>-17</v>
      </c>
      <c r="E241" s="113">
        <v>-64</v>
      </c>
      <c r="F241" s="113">
        <v>0</v>
      </c>
      <c r="G241" s="113">
        <v>0</v>
      </c>
      <c r="H241" s="113">
        <v>0</v>
      </c>
      <c r="I241" s="113">
        <v>0</v>
      </c>
      <c r="J241" s="113">
        <v>0</v>
      </c>
      <c r="K241" s="113">
        <v>0</v>
      </c>
      <c r="L241" s="113">
        <v>0</v>
      </c>
      <c r="M241" s="113">
        <v>0</v>
      </c>
      <c r="N241" s="113">
        <v>0</v>
      </c>
      <c r="O241" s="113">
        <v>0</v>
      </c>
      <c r="P241" s="113">
        <v>0</v>
      </c>
      <c r="Q241" s="113">
        <v>3117</v>
      </c>
      <c r="R241" s="113">
        <v>-376</v>
      </c>
      <c r="S241" s="113">
        <v>-127</v>
      </c>
      <c r="T241" s="113">
        <v>-930</v>
      </c>
      <c r="U241" s="113">
        <v>-1502</v>
      </c>
      <c r="V241" s="113">
        <v>1026</v>
      </c>
      <c r="W241" s="113">
        <v>-394</v>
      </c>
      <c r="X241" s="113">
        <v>-168</v>
      </c>
      <c r="Y241" s="113">
        <v>-87</v>
      </c>
      <c r="Z241" s="113">
        <v>-466</v>
      </c>
      <c r="AA241" s="113">
        <v>203</v>
      </c>
      <c r="AB241" s="113">
        <v>-197</v>
      </c>
      <c r="AC241" s="113">
        <v>-98</v>
      </c>
      <c r="AD241" s="113">
        <v>0</v>
      </c>
      <c r="AE241" s="113">
        <v>0</v>
      </c>
      <c r="AG241" s="103" t="s">
        <v>2504</v>
      </c>
      <c r="AH241" s="113">
        <v>-1</v>
      </c>
      <c r="AI241" s="113">
        <v>-1</v>
      </c>
      <c r="AJ241" s="113">
        <v>-10</v>
      </c>
      <c r="AK241" s="113">
        <v>-5</v>
      </c>
      <c r="AL241" s="113">
        <v>-3</v>
      </c>
      <c r="AM241" s="113">
        <v>-16</v>
      </c>
      <c r="AN241" s="113">
        <v>-13</v>
      </c>
      <c r="AO241" s="113">
        <v>-32</v>
      </c>
      <c r="AP241" s="113">
        <v>-35</v>
      </c>
      <c r="AQ241" s="113">
        <v>-55</v>
      </c>
      <c r="AR241" s="113">
        <v>-1</v>
      </c>
      <c r="AS241" s="113">
        <v>-139</v>
      </c>
      <c r="AT241" s="113">
        <v>0</v>
      </c>
      <c r="AU241" s="113">
        <v>0</v>
      </c>
      <c r="AV241" s="113">
        <v>0</v>
      </c>
      <c r="AW241" s="113">
        <v>0</v>
      </c>
      <c r="AX241" s="113">
        <v>0</v>
      </c>
      <c r="AY241" s="113">
        <v>0</v>
      </c>
      <c r="AZ241" s="113">
        <v>0</v>
      </c>
      <c r="BA241" s="113">
        <v>0</v>
      </c>
      <c r="BB241" s="113">
        <v>0</v>
      </c>
      <c r="BC241" s="113">
        <v>0</v>
      </c>
      <c r="BD241" s="113">
        <v>0</v>
      </c>
      <c r="BE241" s="113">
        <v>0</v>
      </c>
      <c r="BF241" s="113">
        <v>0</v>
      </c>
      <c r="BG241" s="113">
        <v>0</v>
      </c>
      <c r="BH241" s="113">
        <v>0</v>
      </c>
      <c r="BI241" s="113">
        <v>0</v>
      </c>
      <c r="BJ241" s="113">
        <v>0</v>
      </c>
      <c r="BK241" s="113">
        <v>0</v>
      </c>
      <c r="BL241" s="113">
        <v>0</v>
      </c>
      <c r="BM241" s="113">
        <v>0</v>
      </c>
      <c r="BN241" s="113">
        <v>0</v>
      </c>
      <c r="BO241" s="113">
        <v>0</v>
      </c>
      <c r="BP241" s="113">
        <v>0</v>
      </c>
      <c r="BQ241" s="113">
        <v>0</v>
      </c>
      <c r="BR241" s="113">
        <v>0</v>
      </c>
      <c r="BS241" s="113">
        <v>0</v>
      </c>
      <c r="BT241" s="113">
        <v>0</v>
      </c>
      <c r="BU241" s="113">
        <v>0</v>
      </c>
      <c r="BV241" s="113">
        <v>0</v>
      </c>
      <c r="BW241" s="113">
        <v>0</v>
      </c>
      <c r="BX241" s="113">
        <v>0</v>
      </c>
      <c r="BY241" s="113">
        <v>0</v>
      </c>
      <c r="BZ241" s="113">
        <v>0</v>
      </c>
      <c r="CA241" s="113">
        <v>0</v>
      </c>
      <c r="CB241" s="113">
        <v>0</v>
      </c>
      <c r="CC241" s="113">
        <v>0</v>
      </c>
      <c r="CD241" s="113">
        <v>0</v>
      </c>
      <c r="CE241" s="113">
        <v>0</v>
      </c>
      <c r="CF241" s="113">
        <v>0</v>
      </c>
      <c r="CG241" s="113">
        <v>0</v>
      </c>
      <c r="CH241" s="113">
        <v>0</v>
      </c>
      <c r="CI241" s="113">
        <v>0</v>
      </c>
      <c r="CJ241" s="113">
        <v>1337</v>
      </c>
      <c r="CK241" s="113">
        <v>1780</v>
      </c>
      <c r="CL241" s="113">
        <v>528</v>
      </c>
      <c r="CM241" s="113">
        <v>-932</v>
      </c>
      <c r="CN241" s="113">
        <v>318</v>
      </c>
      <c r="CO241" s="113">
        <v>-290</v>
      </c>
      <c r="CP241" s="113">
        <v>196</v>
      </c>
      <c r="CQ241" s="113">
        <v>-770</v>
      </c>
      <c r="CR241" s="113">
        <v>309</v>
      </c>
      <c r="CS241" s="113">
        <v>138</v>
      </c>
      <c r="CT241" s="113">
        <v>-1543</v>
      </c>
      <c r="CU241" s="113">
        <v>-601</v>
      </c>
      <c r="CV241" s="113">
        <v>1064</v>
      </c>
      <c r="CW241" s="113">
        <v>150</v>
      </c>
      <c r="CX241" s="113">
        <v>1850</v>
      </c>
      <c r="CY241" s="113">
        <v>-623</v>
      </c>
      <c r="CZ241" s="113">
        <v>-117</v>
      </c>
      <c r="DA241" s="113">
        <v>-2612</v>
      </c>
      <c r="DB241" s="113">
        <v>727</v>
      </c>
      <c r="DC241" s="113">
        <v>447</v>
      </c>
      <c r="DD241" s="113">
        <v>-111</v>
      </c>
      <c r="DE241" s="113">
        <v>-37</v>
      </c>
      <c r="DF241" s="113">
        <v>-66</v>
      </c>
      <c r="DG241" s="113">
        <v>-292</v>
      </c>
      <c r="DH241" s="113">
        <v>361</v>
      </c>
      <c r="DI241" s="113">
        <v>-397</v>
      </c>
      <c r="DJ241" s="113">
        <v>-399</v>
      </c>
      <c r="DK241" s="113">
        <v>-393</v>
      </c>
      <c r="DL241" s="113">
        <v>543</v>
      </c>
      <c r="DM241" s="113">
        <v>81</v>
      </c>
      <c r="DN241" s="113">
        <v>-64</v>
      </c>
      <c r="DO241" s="113">
        <v>167</v>
      </c>
      <c r="DP241" s="113">
        <v>46</v>
      </c>
      <c r="DQ241" s="113">
        <v>-236</v>
      </c>
      <c r="DR241" s="113">
        <v>-367</v>
      </c>
      <c r="DS241" s="113">
        <v>238</v>
      </c>
      <c r="DT241" s="113">
        <v>-334</v>
      </c>
      <c r="DU241" s="113">
        <v>-3</v>
      </c>
      <c r="DV241" s="113">
        <v>62</v>
      </c>
      <c r="DW241" s="113">
        <v>285</v>
      </c>
      <c r="DX241" s="113">
        <v>-66</v>
      </c>
      <c r="DY241" s="113">
        <v>-78</v>
      </c>
      <c r="DZ241" s="113">
        <v>-84</v>
      </c>
      <c r="EA241" s="113">
        <v>1070</v>
      </c>
      <c r="EB241" s="113">
        <v>-1080</v>
      </c>
      <c r="EC241" s="113">
        <v>-103</v>
      </c>
      <c r="ED241" s="113">
        <v>106</v>
      </c>
      <c r="EE241" s="113">
        <v>-177</v>
      </c>
      <c r="EF241" s="113">
        <v>-19</v>
      </c>
      <c r="EG241" s="113">
        <v>-8</v>
      </c>
      <c r="EH241" s="113">
        <v>0</v>
      </c>
      <c r="EI241" s="113">
        <v>0</v>
      </c>
      <c r="EJ241" s="113">
        <v>0</v>
      </c>
      <c r="EK241" s="113">
        <v>0</v>
      </c>
      <c r="EL241" s="113">
        <v>0</v>
      </c>
      <c r="EM241" s="113">
        <v>0</v>
      </c>
      <c r="EN241" s="113">
        <v>0</v>
      </c>
    </row>
    <row r="242" spans="1:144" ht="10.5">
      <c r="A242" s="112" t="s">
        <v>2505</v>
      </c>
      <c r="B242" s="114">
        <v>-381</v>
      </c>
      <c r="C242" s="114">
        <v>-642</v>
      </c>
      <c r="D242" s="114">
        <v>-976</v>
      </c>
      <c r="E242" s="114">
        <v>-1202</v>
      </c>
      <c r="F242" s="114">
        <v>-1376</v>
      </c>
      <c r="G242" s="114">
        <v>-2670</v>
      </c>
      <c r="H242" s="114">
        <v>-3089</v>
      </c>
      <c r="I242" s="114">
        <v>-7272</v>
      </c>
      <c r="J242" s="114">
        <v>-10200</v>
      </c>
      <c r="K242" s="114">
        <v>-9392</v>
      </c>
      <c r="L242" s="114">
        <v>-8734</v>
      </c>
      <c r="M242" s="114">
        <v>-10845</v>
      </c>
      <c r="N242" s="114">
        <v>-7495</v>
      </c>
      <c r="O242" s="114">
        <v>-3342</v>
      </c>
      <c r="P242" s="114">
        <v>15027</v>
      </c>
      <c r="Q242" s="114">
        <v>8003</v>
      </c>
      <c r="R242" s="114">
        <v>6089</v>
      </c>
      <c r="S242" s="114">
        <v>-4587</v>
      </c>
      <c r="T242" s="114">
        <v>-15770</v>
      </c>
      <c r="U242" s="114">
        <v>-11314</v>
      </c>
      <c r="V242" s="114">
        <v>-14616</v>
      </c>
      <c r="W242" s="114">
        <v>-24786</v>
      </c>
      <c r="X242" s="114">
        <v>-23811</v>
      </c>
      <c r="Y242" s="114">
        <v>-18833</v>
      </c>
      <c r="Z242" s="114">
        <v>-23001</v>
      </c>
      <c r="AA242" s="114">
        <v>-23950</v>
      </c>
      <c r="AB242" s="114">
        <v>-46781</v>
      </c>
      <c r="AC242" s="114">
        <v>-6061</v>
      </c>
      <c r="AD242" s="114">
        <v>-15773</v>
      </c>
      <c r="AE242" s="114">
        <v>-15018</v>
      </c>
      <c r="AG242" s="112" t="s">
        <v>2505</v>
      </c>
      <c r="AH242" s="114">
        <v>-255.5</v>
      </c>
      <c r="AI242" s="114">
        <v>-255.5</v>
      </c>
      <c r="AJ242" s="114">
        <v>-283</v>
      </c>
      <c r="AK242" s="114">
        <v>-182</v>
      </c>
      <c r="AL242" s="114">
        <v>-474</v>
      </c>
      <c r="AM242" s="114">
        <v>-235</v>
      </c>
      <c r="AN242" s="114">
        <v>-228</v>
      </c>
      <c r="AO242" s="114">
        <v>-265</v>
      </c>
      <c r="AP242" s="114">
        <v>-415</v>
      </c>
      <c r="AQ242" s="114">
        <v>-630</v>
      </c>
      <c r="AR242" s="114">
        <v>-441</v>
      </c>
      <c r="AS242" s="114">
        <v>110</v>
      </c>
      <c r="AT242" s="114">
        <v>-584</v>
      </c>
      <c r="AU242" s="114">
        <v>-729</v>
      </c>
      <c r="AV242" s="114">
        <v>-325</v>
      </c>
      <c r="AW242" s="114">
        <v>-1032</v>
      </c>
      <c r="AX242" s="114">
        <v>4</v>
      </c>
      <c r="AY242" s="114">
        <v>-2011</v>
      </c>
      <c r="AZ242" s="114">
        <v>631</v>
      </c>
      <c r="BA242" s="114">
        <v>-1713</v>
      </c>
      <c r="BB242" s="114">
        <v>-1191</v>
      </c>
      <c r="BC242" s="114">
        <v>-2694</v>
      </c>
      <c r="BD242" s="114">
        <v>-1428</v>
      </c>
      <c r="BE242" s="114">
        <v>-1959</v>
      </c>
      <c r="BF242" s="114">
        <v>-1872</v>
      </c>
      <c r="BG242" s="114">
        <v>-2048</v>
      </c>
      <c r="BH242" s="114">
        <v>-3723</v>
      </c>
      <c r="BI242" s="114">
        <v>-3548</v>
      </c>
      <c r="BJ242" s="114">
        <v>-2772</v>
      </c>
      <c r="BK242" s="114">
        <v>505</v>
      </c>
      <c r="BL242" s="114">
        <v>-3655</v>
      </c>
      <c r="BM242" s="114">
        <v>-3470</v>
      </c>
      <c r="BN242" s="114">
        <v>-3936</v>
      </c>
      <c r="BO242" s="114">
        <v>-318</v>
      </c>
      <c r="BP242" s="114">
        <v>-2331</v>
      </c>
      <c r="BQ242" s="114">
        <v>-2149</v>
      </c>
      <c r="BR242" s="114">
        <v>-3469</v>
      </c>
      <c r="BS242" s="114">
        <v>-1680</v>
      </c>
      <c r="BT242" s="114">
        <v>-3996</v>
      </c>
      <c r="BU242" s="114">
        <v>-1700</v>
      </c>
      <c r="BV242" s="114">
        <v>-897</v>
      </c>
      <c r="BW242" s="114">
        <v>-2019</v>
      </c>
      <c r="BX242" s="114">
        <v>-4207</v>
      </c>
      <c r="BY242" s="114">
        <v>-90</v>
      </c>
      <c r="BZ242" s="114">
        <v>-3748</v>
      </c>
      <c r="CA242" s="114">
        <v>-1949</v>
      </c>
      <c r="CB242" s="114">
        <v>-1137</v>
      </c>
      <c r="CC242" s="114">
        <v>3573</v>
      </c>
      <c r="CD242" s="114">
        <v>-8114</v>
      </c>
      <c r="CE242" s="114">
        <v>24095</v>
      </c>
      <c r="CF242" s="114">
        <v>-1813</v>
      </c>
      <c r="CG242" s="114">
        <v>859</v>
      </c>
      <c r="CH242" s="114">
        <v>-3261</v>
      </c>
      <c r="CI242" s="114">
        <v>6692</v>
      </c>
      <c r="CJ242" s="114">
        <v>833</v>
      </c>
      <c r="CK242" s="114">
        <v>3739</v>
      </c>
      <c r="CL242" s="114">
        <v>6461</v>
      </c>
      <c r="CM242" s="114">
        <v>-1958</v>
      </c>
      <c r="CN242" s="114">
        <v>511</v>
      </c>
      <c r="CO242" s="114">
        <v>1075</v>
      </c>
      <c r="CP242" s="114">
        <v>-2257</v>
      </c>
      <c r="CQ242" s="114">
        <v>-1049</v>
      </c>
      <c r="CR242" s="114">
        <v>-778</v>
      </c>
      <c r="CS242" s="114">
        <v>-503</v>
      </c>
      <c r="CT242" s="114">
        <v>595</v>
      </c>
      <c r="CU242" s="114">
        <v>-2499</v>
      </c>
      <c r="CV242" s="114">
        <v>-6009</v>
      </c>
      <c r="CW242" s="114">
        <v>-7857</v>
      </c>
      <c r="CX242" s="114">
        <v>-1199</v>
      </c>
      <c r="CY242" s="114">
        <v>-92</v>
      </c>
      <c r="CZ242" s="114">
        <v>-5904</v>
      </c>
      <c r="DA242" s="114">
        <v>-4119</v>
      </c>
      <c r="DB242" s="114">
        <v>-4957</v>
      </c>
      <c r="DC242" s="114">
        <v>-1570</v>
      </c>
      <c r="DD242" s="114">
        <v>-7139</v>
      </c>
      <c r="DE242" s="114">
        <v>-950</v>
      </c>
      <c r="DF242" s="114">
        <v>-2315</v>
      </c>
      <c r="DG242" s="114">
        <v>-5568</v>
      </c>
      <c r="DH242" s="114">
        <v>-12241</v>
      </c>
      <c r="DI242" s="114">
        <v>-4662</v>
      </c>
      <c r="DJ242" s="114">
        <v>-7719</v>
      </c>
      <c r="DK242" s="114">
        <v>-2593</v>
      </c>
      <c r="DL242" s="114">
        <v>-7660</v>
      </c>
      <c r="DM242" s="114">
        <v>-5839</v>
      </c>
      <c r="DN242" s="114">
        <v>-4614</v>
      </c>
      <c r="DO242" s="114">
        <v>-1025</v>
      </c>
      <c r="DP242" s="114">
        <v>-4284</v>
      </c>
      <c r="DQ242" s="114">
        <v>-8910</v>
      </c>
      <c r="DR242" s="114">
        <v>-7737</v>
      </c>
      <c r="DS242" s="114">
        <v>-4716</v>
      </c>
      <c r="DT242" s="114">
        <v>-5481</v>
      </c>
      <c r="DU242" s="114">
        <v>-5067</v>
      </c>
      <c r="DV242" s="114">
        <v>-5066</v>
      </c>
      <c r="DW242" s="114">
        <v>-3328</v>
      </c>
      <c r="DX242" s="114">
        <v>-5483</v>
      </c>
      <c r="DY242" s="114">
        <v>-10073</v>
      </c>
      <c r="DZ242" s="114">
        <v>-18470</v>
      </c>
      <c r="EA242" s="114">
        <v>-14751</v>
      </c>
      <c r="EB242" s="114">
        <v>-6191</v>
      </c>
      <c r="EC242" s="114">
        <v>-7369</v>
      </c>
      <c r="ED242" s="114">
        <v>-6904</v>
      </c>
      <c r="EE242" s="114">
        <v>-331</v>
      </c>
      <c r="EF242" s="114">
        <v>3844</v>
      </c>
      <c r="EG242" s="114">
        <v>-2670</v>
      </c>
      <c r="EH242" s="114">
        <v>-2953</v>
      </c>
      <c r="EI242" s="114">
        <v>-4200</v>
      </c>
      <c r="EJ242" s="114">
        <v>-1363</v>
      </c>
      <c r="EK242" s="114">
        <v>-7257</v>
      </c>
      <c r="EL242" s="114">
        <v>-1776</v>
      </c>
      <c r="EM242" s="114">
        <v>-6036</v>
      </c>
      <c r="EN242" s="114">
        <v>51</v>
      </c>
    </row>
    <row r="243" spans="1:144">
      <c r="A243" s="103"/>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c r="BE243" s="103"/>
      <c r="BF243" s="103"/>
      <c r="BG243" s="103"/>
      <c r="BH243" s="103"/>
      <c r="BI243" s="103"/>
      <c r="BJ243" s="103"/>
      <c r="BK243" s="103"/>
      <c r="BL243" s="103"/>
      <c r="BM243" s="103"/>
      <c r="BN243" s="103"/>
      <c r="BO243" s="103"/>
      <c r="BP243" s="103"/>
      <c r="BQ243" s="103"/>
      <c r="BR243" s="103"/>
      <c r="BS243" s="103"/>
      <c r="BT243" s="103"/>
      <c r="BU243" s="103"/>
      <c r="BV243" s="103"/>
      <c r="BW243" s="103"/>
      <c r="BX243" s="103"/>
      <c r="BY243" s="103"/>
      <c r="BZ243" s="103"/>
      <c r="CA243" s="103"/>
      <c r="CB243" s="103"/>
      <c r="CC243" s="103"/>
      <c r="CD243" s="103"/>
      <c r="CE243" s="103"/>
      <c r="CF243" s="103"/>
      <c r="CG243" s="103"/>
      <c r="CH243" s="103"/>
      <c r="CI243" s="103"/>
      <c r="CJ243" s="103"/>
      <c r="CK243" s="103"/>
      <c r="CL243" s="103"/>
      <c r="CM243" s="103"/>
      <c r="CN243" s="103"/>
      <c r="CO243" s="103"/>
      <c r="CP243" s="103"/>
      <c r="CQ243" s="103"/>
      <c r="CR243" s="103"/>
      <c r="CS243" s="103"/>
      <c r="CT243" s="103"/>
      <c r="CU243" s="103"/>
      <c r="CV243" s="103"/>
      <c r="CW243" s="103"/>
      <c r="CX243" s="103"/>
      <c r="CY243" s="103"/>
      <c r="CZ243" s="103"/>
      <c r="DA243" s="103"/>
      <c r="DB243" s="103"/>
      <c r="DC243" s="103"/>
      <c r="DD243" s="103"/>
      <c r="DE243" s="103"/>
      <c r="DF243" s="103"/>
      <c r="DG243" s="103"/>
      <c r="DH243" s="103"/>
      <c r="DI243" s="103"/>
      <c r="DJ243" s="103"/>
      <c r="DK243" s="103"/>
      <c r="DL243" s="103"/>
      <c r="DM243" s="103"/>
      <c r="DN243" s="103"/>
      <c r="DO243" s="103"/>
      <c r="DP243" s="103"/>
      <c r="DQ243" s="103"/>
      <c r="DR243" s="103"/>
      <c r="DS243" s="103"/>
      <c r="DT243" s="103"/>
      <c r="DU243" s="103"/>
      <c r="DV243" s="103"/>
      <c r="DW243" s="103"/>
      <c r="DX243" s="103"/>
      <c r="DY243" s="103"/>
      <c r="DZ243" s="103"/>
      <c r="EA243" s="103"/>
      <c r="EB243" s="103"/>
      <c r="EC243" s="103"/>
      <c r="ED243" s="103"/>
      <c r="EE243" s="103"/>
      <c r="EF243" s="103"/>
      <c r="EG243" s="103"/>
      <c r="EH243" s="103"/>
      <c r="EI243" s="103"/>
      <c r="EJ243" s="103"/>
      <c r="EK243" s="103"/>
      <c r="EL243" s="103"/>
      <c r="EM243" s="103"/>
      <c r="EN243" s="103"/>
    </row>
    <row r="244" spans="1:144">
      <c r="A244" s="103" t="s">
        <v>2506</v>
      </c>
      <c r="B244" s="113">
        <v>0</v>
      </c>
      <c r="C244" s="113">
        <v>0</v>
      </c>
      <c r="D244" s="113">
        <v>0</v>
      </c>
      <c r="E244" s="113">
        <v>0</v>
      </c>
      <c r="F244" s="113">
        <v>0</v>
      </c>
      <c r="G244" s="113">
        <v>0</v>
      </c>
      <c r="H244" s="113">
        <v>0</v>
      </c>
      <c r="I244" s="113">
        <v>0</v>
      </c>
      <c r="J244" s="113">
        <v>0</v>
      </c>
      <c r="K244" s="113">
        <v>0</v>
      </c>
      <c r="L244" s="113">
        <v>0</v>
      </c>
      <c r="M244" s="113">
        <v>0</v>
      </c>
      <c r="N244" s="113">
        <v>0</v>
      </c>
      <c r="O244" s="113">
        <v>0</v>
      </c>
      <c r="P244" s="113">
        <v>0</v>
      </c>
      <c r="Q244" s="113">
        <v>0</v>
      </c>
      <c r="R244" s="113">
        <v>0</v>
      </c>
      <c r="S244" s="113">
        <v>0</v>
      </c>
      <c r="T244" s="113">
        <v>1178</v>
      </c>
      <c r="U244" s="113">
        <v>0</v>
      </c>
      <c r="V244" s="113">
        <v>0</v>
      </c>
      <c r="W244" s="113">
        <v>0</v>
      </c>
      <c r="X244" s="113">
        <v>0</v>
      </c>
      <c r="Y244" s="113">
        <v>500</v>
      </c>
      <c r="Z244" s="113">
        <v>4481</v>
      </c>
      <c r="AA244" s="113">
        <v>7195</v>
      </c>
      <c r="AB244" s="113">
        <v>0</v>
      </c>
      <c r="AC244" s="113">
        <v>0</v>
      </c>
      <c r="AD244" s="113">
        <v>0</v>
      </c>
      <c r="AE244" s="113">
        <v>0</v>
      </c>
      <c r="AG244" s="103" t="s">
        <v>2506</v>
      </c>
      <c r="AH244" s="113">
        <v>0</v>
      </c>
      <c r="AI244" s="113">
        <v>0</v>
      </c>
      <c r="AJ244" s="113">
        <v>0</v>
      </c>
      <c r="AK244" s="113">
        <v>0</v>
      </c>
      <c r="AL244" s="113">
        <v>0</v>
      </c>
      <c r="AM244" s="113">
        <v>0</v>
      </c>
      <c r="AN244" s="113">
        <v>0</v>
      </c>
      <c r="AO244" s="113">
        <v>0</v>
      </c>
      <c r="AP244" s="113">
        <v>0</v>
      </c>
      <c r="AQ244" s="113">
        <v>0</v>
      </c>
      <c r="AR244" s="113">
        <v>0</v>
      </c>
      <c r="AS244" s="113">
        <v>0</v>
      </c>
      <c r="AT244" s="113">
        <v>0</v>
      </c>
      <c r="AU244" s="113">
        <v>0</v>
      </c>
      <c r="AV244" s="113">
        <v>0</v>
      </c>
      <c r="AW244" s="113">
        <v>0</v>
      </c>
      <c r="AX244" s="113">
        <v>0</v>
      </c>
      <c r="AY244" s="113">
        <v>0</v>
      </c>
      <c r="AZ244" s="113">
        <v>0</v>
      </c>
      <c r="BA244" s="113">
        <v>0</v>
      </c>
      <c r="BB244" s="113">
        <v>0</v>
      </c>
      <c r="BC244" s="113">
        <v>0</v>
      </c>
      <c r="BD244" s="113">
        <v>0</v>
      </c>
      <c r="BE244" s="113">
        <v>0</v>
      </c>
      <c r="BF244" s="113">
        <v>0</v>
      </c>
      <c r="BG244" s="113">
        <v>0</v>
      </c>
      <c r="BH244" s="113">
        <v>0</v>
      </c>
      <c r="BI244" s="113">
        <v>0</v>
      </c>
      <c r="BJ244" s="113">
        <v>0</v>
      </c>
      <c r="BK244" s="113">
        <v>0</v>
      </c>
      <c r="BL244" s="113">
        <v>0</v>
      </c>
      <c r="BM244" s="113">
        <v>0</v>
      </c>
      <c r="BN244" s="113">
        <v>0</v>
      </c>
      <c r="BO244" s="113">
        <v>0</v>
      </c>
      <c r="BP244" s="113">
        <v>0</v>
      </c>
      <c r="BQ244" s="113">
        <v>0</v>
      </c>
      <c r="BR244" s="113">
        <v>0</v>
      </c>
      <c r="BS244" s="113">
        <v>0</v>
      </c>
      <c r="BT244" s="113">
        <v>0</v>
      </c>
      <c r="BU244" s="113">
        <v>0</v>
      </c>
      <c r="BV244" s="113">
        <v>0</v>
      </c>
      <c r="BW244" s="113">
        <v>0</v>
      </c>
      <c r="BX244" s="113">
        <v>0</v>
      </c>
      <c r="BY244" s="113">
        <v>0</v>
      </c>
      <c r="BZ244" s="113">
        <v>0</v>
      </c>
      <c r="CA244" s="113">
        <v>0</v>
      </c>
      <c r="CB244" s="113">
        <v>0</v>
      </c>
      <c r="CC244" s="113">
        <v>0</v>
      </c>
      <c r="CD244" s="113">
        <v>0</v>
      </c>
      <c r="CE244" s="113">
        <v>0</v>
      </c>
      <c r="CF244" s="113">
        <v>0</v>
      </c>
      <c r="CG244" s="113">
        <v>0</v>
      </c>
      <c r="CH244" s="113">
        <v>0</v>
      </c>
      <c r="CI244" s="113">
        <v>0</v>
      </c>
      <c r="CJ244" s="113">
        <v>0</v>
      </c>
      <c r="CK244" s="113">
        <v>0</v>
      </c>
      <c r="CL244" s="113">
        <v>0</v>
      </c>
      <c r="CM244" s="113">
        <v>0</v>
      </c>
      <c r="CN244" s="113">
        <v>0</v>
      </c>
      <c r="CO244" s="113">
        <v>0</v>
      </c>
      <c r="CP244" s="113">
        <v>0</v>
      </c>
      <c r="CQ244" s="113">
        <v>0</v>
      </c>
      <c r="CR244" s="113">
        <v>0</v>
      </c>
      <c r="CS244" s="113">
        <v>0</v>
      </c>
      <c r="CT244" s="113">
        <v>1975</v>
      </c>
      <c r="CU244" s="113">
        <v>21</v>
      </c>
      <c r="CV244" s="113">
        <v>0</v>
      </c>
      <c r="CW244" s="113">
        <v>0</v>
      </c>
      <c r="CX244" s="113">
        <v>378</v>
      </c>
      <c r="CY244" s="113">
        <v>0</v>
      </c>
      <c r="CZ244" s="113">
        <v>0</v>
      </c>
      <c r="DA244" s="113">
        <v>0</v>
      </c>
      <c r="DB244" s="113">
        <v>814</v>
      </c>
      <c r="DC244" s="113">
        <v>0</v>
      </c>
      <c r="DD244" s="113">
        <v>0</v>
      </c>
      <c r="DE244" s="113">
        <v>0</v>
      </c>
      <c r="DF244" s="113">
        <v>0</v>
      </c>
      <c r="DG244" s="113">
        <v>0</v>
      </c>
      <c r="DH244" s="113">
        <v>0</v>
      </c>
      <c r="DI244" s="113">
        <v>0</v>
      </c>
      <c r="DJ244" s="113">
        <v>0</v>
      </c>
      <c r="DK244" s="113">
        <v>0</v>
      </c>
      <c r="DL244" s="113">
        <v>0</v>
      </c>
      <c r="DM244" s="113">
        <v>0</v>
      </c>
      <c r="DN244" s="113">
        <v>712</v>
      </c>
      <c r="DO244" s="113">
        <v>0</v>
      </c>
      <c r="DP244" s="113">
        <v>0</v>
      </c>
      <c r="DQ244" s="113">
        <v>0</v>
      </c>
      <c r="DR244" s="113">
        <v>2999</v>
      </c>
      <c r="DS244" s="113">
        <v>4798</v>
      </c>
      <c r="DT244" s="113">
        <v>0</v>
      </c>
      <c r="DU244" s="113">
        <v>0</v>
      </c>
      <c r="DV244" s="113">
        <v>4890</v>
      </c>
      <c r="DW244" s="113">
        <v>0</v>
      </c>
      <c r="DX244" s="113">
        <v>2622</v>
      </c>
      <c r="DY244" s="113">
        <v>0</v>
      </c>
      <c r="DZ244" s="113">
        <v>0</v>
      </c>
      <c r="EA244" s="113">
        <v>0</v>
      </c>
      <c r="EB244" s="113">
        <v>0</v>
      </c>
      <c r="EC244" s="113">
        <v>0</v>
      </c>
      <c r="ED244" s="113">
        <v>0</v>
      </c>
      <c r="EE244" s="113">
        <v>3759</v>
      </c>
      <c r="EF244" s="113">
        <v>0</v>
      </c>
      <c r="EG244" s="113">
        <v>0</v>
      </c>
      <c r="EH244" s="113">
        <v>0</v>
      </c>
      <c r="EI244" s="113">
        <v>0</v>
      </c>
      <c r="EJ244" s="113">
        <v>0</v>
      </c>
      <c r="EK244" s="113">
        <v>0</v>
      </c>
      <c r="EL244" s="113">
        <v>0</v>
      </c>
      <c r="EM244" s="113">
        <v>0</v>
      </c>
      <c r="EN244" s="113">
        <v>0</v>
      </c>
    </row>
    <row r="245" spans="1:144">
      <c r="A245" s="103" t="s">
        <v>2507</v>
      </c>
      <c r="B245" s="113">
        <v>0</v>
      </c>
      <c r="C245" s="113">
        <v>0</v>
      </c>
      <c r="D245" s="113">
        <v>0</v>
      </c>
      <c r="E245" s="113">
        <v>0</v>
      </c>
      <c r="F245" s="113">
        <v>0</v>
      </c>
      <c r="G245" s="113">
        <v>0</v>
      </c>
      <c r="H245" s="113">
        <v>0</v>
      </c>
      <c r="I245" s="113">
        <v>0</v>
      </c>
      <c r="J245" s="113">
        <v>0</v>
      </c>
      <c r="K245" s="113">
        <v>0</v>
      </c>
      <c r="L245" s="113">
        <v>0</v>
      </c>
      <c r="M245" s="113">
        <v>0</v>
      </c>
      <c r="N245" s="113">
        <v>0</v>
      </c>
      <c r="O245" s="113">
        <v>0</v>
      </c>
      <c r="P245" s="113">
        <v>0</v>
      </c>
      <c r="Q245" s="113">
        <v>0</v>
      </c>
      <c r="R245" s="113">
        <v>0</v>
      </c>
      <c r="S245" s="113">
        <v>0</v>
      </c>
      <c r="T245" s="113">
        <v>4796</v>
      </c>
      <c r="U245" s="113">
        <v>4167</v>
      </c>
      <c r="V245" s="113">
        <v>6960</v>
      </c>
      <c r="W245" s="113">
        <v>0</v>
      </c>
      <c r="X245" s="113">
        <v>4883</v>
      </c>
      <c r="Y245" s="113">
        <v>10350</v>
      </c>
      <c r="Z245" s="113">
        <v>10680</v>
      </c>
      <c r="AA245" s="113">
        <v>13884</v>
      </c>
      <c r="AB245" s="113">
        <v>44344</v>
      </c>
      <c r="AC245" s="113">
        <v>7183</v>
      </c>
      <c r="AD245" s="113">
        <v>0</v>
      </c>
      <c r="AE245" s="113">
        <v>0</v>
      </c>
      <c r="AG245" s="103" t="s">
        <v>2507</v>
      </c>
      <c r="AH245" s="113">
        <v>0</v>
      </c>
      <c r="AI245" s="113">
        <v>0</v>
      </c>
      <c r="AJ245" s="113">
        <v>0</v>
      </c>
      <c r="AK245" s="113">
        <v>0</v>
      </c>
      <c r="AL245" s="113">
        <v>0</v>
      </c>
      <c r="AM245" s="113">
        <v>0</v>
      </c>
      <c r="AN245" s="113">
        <v>0</v>
      </c>
      <c r="AO245" s="113">
        <v>0</v>
      </c>
      <c r="AP245" s="113">
        <v>0</v>
      </c>
      <c r="AQ245" s="113">
        <v>0</v>
      </c>
      <c r="AR245" s="113">
        <v>0</v>
      </c>
      <c r="AS245" s="113">
        <v>0</v>
      </c>
      <c r="AT245" s="113">
        <v>0</v>
      </c>
      <c r="AU245" s="113">
        <v>0</v>
      </c>
      <c r="AV245" s="113">
        <v>0</v>
      </c>
      <c r="AW245" s="113">
        <v>0</v>
      </c>
      <c r="AX245" s="113">
        <v>0</v>
      </c>
      <c r="AY245" s="113">
        <v>0</v>
      </c>
      <c r="AZ245" s="113">
        <v>0</v>
      </c>
      <c r="BA245" s="113">
        <v>0</v>
      </c>
      <c r="BB245" s="113">
        <v>0</v>
      </c>
      <c r="BC245" s="113">
        <v>0</v>
      </c>
      <c r="BD245" s="113">
        <v>0</v>
      </c>
      <c r="BE245" s="113">
        <v>0</v>
      </c>
      <c r="BF245" s="113">
        <v>0</v>
      </c>
      <c r="BG245" s="113">
        <v>0</v>
      </c>
      <c r="BH245" s="113">
        <v>0</v>
      </c>
      <c r="BI245" s="113">
        <v>0</v>
      </c>
      <c r="BJ245" s="113">
        <v>0</v>
      </c>
      <c r="BK245" s="113">
        <v>0</v>
      </c>
      <c r="BL245" s="113">
        <v>0</v>
      </c>
      <c r="BM245" s="113">
        <v>0</v>
      </c>
      <c r="BN245" s="113">
        <v>0</v>
      </c>
      <c r="BO245" s="113">
        <v>0</v>
      </c>
      <c r="BP245" s="113">
        <v>0</v>
      </c>
      <c r="BQ245" s="113">
        <v>0</v>
      </c>
      <c r="BR245" s="113">
        <v>0</v>
      </c>
      <c r="BS245" s="113">
        <v>0</v>
      </c>
      <c r="BT245" s="113">
        <v>0</v>
      </c>
      <c r="BU245" s="113">
        <v>0</v>
      </c>
      <c r="BV245" s="113">
        <v>0</v>
      </c>
      <c r="BW245" s="113">
        <v>0</v>
      </c>
      <c r="BX245" s="113">
        <v>0</v>
      </c>
      <c r="BY245" s="113">
        <v>0</v>
      </c>
      <c r="BZ245" s="113">
        <v>0</v>
      </c>
      <c r="CA245" s="113">
        <v>0</v>
      </c>
      <c r="CB245" s="113">
        <v>0</v>
      </c>
      <c r="CC245" s="113">
        <v>0</v>
      </c>
      <c r="CD245" s="113">
        <v>0</v>
      </c>
      <c r="CE245" s="113">
        <v>0</v>
      </c>
      <c r="CF245" s="113">
        <v>0</v>
      </c>
      <c r="CG245" s="113">
        <v>0</v>
      </c>
      <c r="CH245" s="113">
        <v>0</v>
      </c>
      <c r="CI245" s="113">
        <v>0</v>
      </c>
      <c r="CJ245" s="113">
        <v>0</v>
      </c>
      <c r="CK245" s="113">
        <v>0</v>
      </c>
      <c r="CL245" s="113">
        <v>0</v>
      </c>
      <c r="CM245" s="113">
        <v>0</v>
      </c>
      <c r="CN245" s="113">
        <v>0</v>
      </c>
      <c r="CO245" s="113">
        <v>0</v>
      </c>
      <c r="CP245" s="113">
        <v>0</v>
      </c>
      <c r="CQ245" s="113">
        <v>0</v>
      </c>
      <c r="CR245" s="113">
        <v>0</v>
      </c>
      <c r="CS245" s="113">
        <v>0</v>
      </c>
      <c r="CT245" s="113">
        <v>0</v>
      </c>
      <c r="CU245" s="113">
        <v>0</v>
      </c>
      <c r="CV245" s="113">
        <v>328</v>
      </c>
      <c r="CW245" s="113">
        <v>0</v>
      </c>
      <c r="CX245" s="113">
        <v>695</v>
      </c>
      <c r="CY245" s="113">
        <v>1046</v>
      </c>
      <c r="CZ245" s="113">
        <v>851</v>
      </c>
      <c r="DA245" s="113">
        <v>0</v>
      </c>
      <c r="DB245" s="113">
        <v>4721</v>
      </c>
      <c r="DC245" s="113">
        <v>0</v>
      </c>
      <c r="DD245" s="113">
        <v>2239</v>
      </c>
      <c r="DE245" s="113">
        <v>0</v>
      </c>
      <c r="DF245" s="113">
        <v>0</v>
      </c>
      <c r="DG245" s="113">
        <v>0</v>
      </c>
      <c r="DH245" s="113">
        <v>0</v>
      </c>
      <c r="DI245" s="113">
        <v>0</v>
      </c>
      <c r="DJ245" s="113">
        <v>0</v>
      </c>
      <c r="DK245" s="113">
        <v>2232</v>
      </c>
      <c r="DL245" s="113">
        <v>0</v>
      </c>
      <c r="DM245" s="113">
        <v>0</v>
      </c>
      <c r="DN245" s="113">
        <v>588</v>
      </c>
      <c r="DO245" s="113">
        <v>8262</v>
      </c>
      <c r="DP245" s="113">
        <v>0</v>
      </c>
      <c r="DQ245" s="113">
        <v>0</v>
      </c>
      <c r="DR245" s="113">
        <v>0</v>
      </c>
      <c r="DS245" s="113">
        <v>0</v>
      </c>
      <c r="DT245" s="113">
        <v>10680</v>
      </c>
      <c r="DU245" s="113">
        <v>0</v>
      </c>
      <c r="DV245" s="113">
        <v>121</v>
      </c>
      <c r="DW245" s="113">
        <v>13128</v>
      </c>
      <c r="DX245" s="113">
        <v>25</v>
      </c>
      <c r="DY245" s="113">
        <v>0</v>
      </c>
      <c r="DZ245" s="113">
        <v>24977</v>
      </c>
      <c r="EA245" s="113">
        <v>17069</v>
      </c>
      <c r="EB245" s="113">
        <v>547</v>
      </c>
      <c r="EC245" s="113">
        <v>0</v>
      </c>
      <c r="ED245" s="113">
        <v>3954</v>
      </c>
      <c r="EE245" s="113">
        <v>3229</v>
      </c>
      <c r="EF245" s="113">
        <v>0</v>
      </c>
      <c r="EG245" s="113">
        <v>0</v>
      </c>
      <c r="EH245" s="113">
        <v>0</v>
      </c>
      <c r="EI245" s="113">
        <v>0</v>
      </c>
      <c r="EJ245" s="113">
        <v>0</v>
      </c>
      <c r="EK245" s="113">
        <v>0</v>
      </c>
      <c r="EL245" s="113">
        <v>0</v>
      </c>
      <c r="EM245" s="113">
        <v>0</v>
      </c>
      <c r="EN245" s="113">
        <v>0</v>
      </c>
    </row>
    <row r="246" spans="1:144" ht="10.5">
      <c r="A246" s="112" t="s">
        <v>2508</v>
      </c>
      <c r="B246" s="114">
        <v>0</v>
      </c>
      <c r="C246" s="114">
        <v>0</v>
      </c>
      <c r="D246" s="114">
        <v>0</v>
      </c>
      <c r="E246" s="114">
        <v>0</v>
      </c>
      <c r="F246" s="114">
        <v>0</v>
      </c>
      <c r="G246" s="114">
        <v>0</v>
      </c>
      <c r="H246" s="114">
        <v>0</v>
      </c>
      <c r="I246" s="114">
        <v>0</v>
      </c>
      <c r="J246" s="114">
        <v>0</v>
      </c>
      <c r="K246" s="114">
        <v>0</v>
      </c>
      <c r="L246" s="114">
        <v>0</v>
      </c>
      <c r="M246" s="114">
        <v>0</v>
      </c>
      <c r="N246" s="114">
        <v>0</v>
      </c>
      <c r="O246" s="114">
        <v>0</v>
      </c>
      <c r="P246" s="114">
        <v>0</v>
      </c>
      <c r="Q246" s="114">
        <v>0</v>
      </c>
      <c r="R246" s="114">
        <v>0</v>
      </c>
      <c r="S246" s="114">
        <v>0</v>
      </c>
      <c r="T246" s="114">
        <v>5974</v>
      </c>
      <c r="U246" s="114">
        <v>4167</v>
      </c>
      <c r="V246" s="114">
        <v>6960</v>
      </c>
      <c r="W246" s="114">
        <v>0</v>
      </c>
      <c r="X246" s="114">
        <v>4883</v>
      </c>
      <c r="Y246" s="114">
        <v>10850</v>
      </c>
      <c r="Z246" s="114">
        <v>15161</v>
      </c>
      <c r="AA246" s="114">
        <v>21079</v>
      </c>
      <c r="AB246" s="114">
        <v>44344</v>
      </c>
      <c r="AC246" s="114">
        <v>7183</v>
      </c>
      <c r="AD246" s="114">
        <v>0</v>
      </c>
      <c r="AE246" s="114">
        <v>0</v>
      </c>
      <c r="AG246" s="112" t="s">
        <v>2508</v>
      </c>
      <c r="AH246" s="114">
        <v>0</v>
      </c>
      <c r="AI246" s="114">
        <v>0</v>
      </c>
      <c r="AJ246" s="114">
        <v>0</v>
      </c>
      <c r="AK246" s="114">
        <v>0</v>
      </c>
      <c r="AL246" s="114">
        <v>0</v>
      </c>
      <c r="AM246" s="114">
        <v>0</v>
      </c>
      <c r="AN246" s="114">
        <v>0</v>
      </c>
      <c r="AO246" s="114">
        <v>0</v>
      </c>
      <c r="AP246" s="114">
        <v>0</v>
      </c>
      <c r="AQ246" s="114">
        <v>0</v>
      </c>
      <c r="AR246" s="114">
        <v>0</v>
      </c>
      <c r="AS246" s="114">
        <v>0</v>
      </c>
      <c r="AT246" s="114">
        <v>0</v>
      </c>
      <c r="AU246" s="114">
        <v>0</v>
      </c>
      <c r="AV246" s="114">
        <v>0</v>
      </c>
      <c r="AW246" s="114">
        <v>0</v>
      </c>
      <c r="AX246" s="114">
        <v>0</v>
      </c>
      <c r="AY246" s="114">
        <v>0</v>
      </c>
      <c r="AZ246" s="114">
        <v>0</v>
      </c>
      <c r="BA246" s="114">
        <v>0</v>
      </c>
      <c r="BB246" s="114">
        <v>0</v>
      </c>
      <c r="BC246" s="114">
        <v>0</v>
      </c>
      <c r="BD246" s="114">
        <v>0</v>
      </c>
      <c r="BE246" s="114">
        <v>0</v>
      </c>
      <c r="BF246" s="114">
        <v>0</v>
      </c>
      <c r="BG246" s="114">
        <v>0</v>
      </c>
      <c r="BH246" s="114">
        <v>0</v>
      </c>
      <c r="BI246" s="114">
        <v>0</v>
      </c>
      <c r="BJ246" s="114">
        <v>0</v>
      </c>
      <c r="BK246" s="114">
        <v>0</v>
      </c>
      <c r="BL246" s="114">
        <v>0</v>
      </c>
      <c r="BM246" s="114">
        <v>0</v>
      </c>
      <c r="BN246" s="114">
        <v>0</v>
      </c>
      <c r="BO246" s="114">
        <v>0</v>
      </c>
      <c r="BP246" s="114">
        <v>0</v>
      </c>
      <c r="BQ246" s="114">
        <v>0</v>
      </c>
      <c r="BR246" s="114">
        <v>0</v>
      </c>
      <c r="BS246" s="114">
        <v>0</v>
      </c>
      <c r="BT246" s="114">
        <v>0</v>
      </c>
      <c r="BU246" s="114">
        <v>0</v>
      </c>
      <c r="BV246" s="114">
        <v>0</v>
      </c>
      <c r="BW246" s="114">
        <v>0</v>
      </c>
      <c r="BX246" s="114">
        <v>0</v>
      </c>
      <c r="BY246" s="114">
        <v>0</v>
      </c>
      <c r="BZ246" s="114">
        <v>0</v>
      </c>
      <c r="CA246" s="114">
        <v>0</v>
      </c>
      <c r="CB246" s="114">
        <v>0</v>
      </c>
      <c r="CC246" s="114">
        <v>0</v>
      </c>
      <c r="CD246" s="114">
        <v>0</v>
      </c>
      <c r="CE246" s="114">
        <v>0</v>
      </c>
      <c r="CF246" s="114">
        <v>0</v>
      </c>
      <c r="CG246" s="114">
        <v>0</v>
      </c>
      <c r="CH246" s="114">
        <v>0</v>
      </c>
      <c r="CI246" s="114">
        <v>0</v>
      </c>
      <c r="CJ246" s="114">
        <v>0</v>
      </c>
      <c r="CK246" s="114">
        <v>0</v>
      </c>
      <c r="CL246" s="114">
        <v>0</v>
      </c>
      <c r="CM246" s="114">
        <v>0</v>
      </c>
      <c r="CN246" s="114">
        <v>0</v>
      </c>
      <c r="CO246" s="114">
        <v>0</v>
      </c>
      <c r="CP246" s="114">
        <v>0</v>
      </c>
      <c r="CQ246" s="114">
        <v>0</v>
      </c>
      <c r="CR246" s="114">
        <v>0</v>
      </c>
      <c r="CS246" s="114">
        <v>0</v>
      </c>
      <c r="CT246" s="114">
        <v>1975</v>
      </c>
      <c r="CU246" s="114">
        <v>21</v>
      </c>
      <c r="CV246" s="114">
        <v>328</v>
      </c>
      <c r="CW246" s="114">
        <v>3979</v>
      </c>
      <c r="CX246" s="114">
        <v>1073</v>
      </c>
      <c r="CY246" s="114">
        <v>1046</v>
      </c>
      <c r="CZ246" s="114">
        <v>851</v>
      </c>
      <c r="DA246" s="114">
        <v>1575</v>
      </c>
      <c r="DB246" s="114">
        <v>5535</v>
      </c>
      <c r="DC246" s="114">
        <v>0</v>
      </c>
      <c r="DD246" s="114">
        <v>2239</v>
      </c>
      <c r="DE246" s="114">
        <v>0</v>
      </c>
      <c r="DF246" s="114">
        <v>0</v>
      </c>
      <c r="DG246" s="114">
        <v>0</v>
      </c>
      <c r="DH246" s="114">
        <v>0</v>
      </c>
      <c r="DI246" s="114">
        <v>0</v>
      </c>
      <c r="DJ246" s="114">
        <v>0</v>
      </c>
      <c r="DK246" s="114">
        <v>2232</v>
      </c>
      <c r="DL246" s="114">
        <v>0</v>
      </c>
      <c r="DM246" s="114">
        <v>2651</v>
      </c>
      <c r="DN246" s="114">
        <v>1300</v>
      </c>
      <c r="DO246" s="114">
        <v>8262</v>
      </c>
      <c r="DP246" s="114">
        <v>0</v>
      </c>
      <c r="DQ246" s="114">
        <v>2000</v>
      </c>
      <c r="DR246" s="114">
        <v>2999</v>
      </c>
      <c r="DS246" s="114">
        <v>4798</v>
      </c>
      <c r="DT246" s="114">
        <v>10680</v>
      </c>
      <c r="DU246" s="114">
        <v>3259</v>
      </c>
      <c r="DV246" s="114">
        <v>5011</v>
      </c>
      <c r="DW246" s="114">
        <v>13128</v>
      </c>
      <c r="DX246" s="114">
        <v>2647</v>
      </c>
      <c r="DY246" s="114">
        <v>7324</v>
      </c>
      <c r="DZ246" s="114">
        <v>24977</v>
      </c>
      <c r="EA246" s="114">
        <v>17069</v>
      </c>
      <c r="EB246" s="114">
        <v>547</v>
      </c>
      <c r="EC246" s="114">
        <v>1751</v>
      </c>
      <c r="ED246" s="114">
        <v>3954</v>
      </c>
      <c r="EE246" s="114">
        <v>6988</v>
      </c>
      <c r="EF246" s="114">
        <v>0</v>
      </c>
      <c r="EG246" s="114">
        <v>0</v>
      </c>
      <c r="EH246" s="114">
        <v>0</v>
      </c>
      <c r="EI246" s="114">
        <v>0</v>
      </c>
      <c r="EJ246" s="114">
        <v>0</v>
      </c>
      <c r="EK246" s="114">
        <v>0</v>
      </c>
      <c r="EL246" s="114">
        <v>0</v>
      </c>
      <c r="EM246" s="114">
        <v>0</v>
      </c>
      <c r="EN246" s="114">
        <v>0</v>
      </c>
    </row>
    <row r="247" spans="1:144">
      <c r="A247" s="103" t="s">
        <v>2509</v>
      </c>
      <c r="B247" s="113">
        <v>0</v>
      </c>
      <c r="C247" s="113">
        <v>0</v>
      </c>
      <c r="D247" s="113">
        <v>0</v>
      </c>
      <c r="E247" s="113">
        <v>0</v>
      </c>
      <c r="F247" s="113">
        <v>0</v>
      </c>
      <c r="G247" s="113">
        <v>0</v>
      </c>
      <c r="H247" s="113">
        <v>0</v>
      </c>
      <c r="I247" s="113">
        <v>0</v>
      </c>
      <c r="J247" s="113">
        <v>0</v>
      </c>
      <c r="K247" s="113">
        <v>0</v>
      </c>
      <c r="L247" s="113">
        <v>0</v>
      </c>
      <c r="M247" s="113">
        <v>0</v>
      </c>
      <c r="N247" s="113">
        <v>0</v>
      </c>
      <c r="O247" s="113">
        <v>0</v>
      </c>
      <c r="P247" s="113">
        <v>0</v>
      </c>
      <c r="Q247" s="113">
        <v>0</v>
      </c>
      <c r="R247" s="113">
        <v>0</v>
      </c>
      <c r="S247" s="113">
        <v>0</v>
      </c>
      <c r="T247" s="113">
        <v>0</v>
      </c>
      <c r="U247" s="113">
        <v>-991</v>
      </c>
      <c r="V247" s="113">
        <v>-186</v>
      </c>
      <c r="W247" s="113">
        <v>0</v>
      </c>
      <c r="X247" s="113">
        <v>0</v>
      </c>
      <c r="Y247" s="113">
        <v>0</v>
      </c>
      <c r="Z247" s="113">
        <v>0</v>
      </c>
      <c r="AA247" s="113">
        <v>0</v>
      </c>
      <c r="AB247" s="113">
        <v>-4963</v>
      </c>
      <c r="AC247" s="113">
        <v>-7324</v>
      </c>
      <c r="AD247" s="113">
        <v>0</v>
      </c>
      <c r="AE247" s="113">
        <v>0</v>
      </c>
      <c r="AG247" s="103" t="s">
        <v>2509</v>
      </c>
      <c r="AH247" s="113">
        <v>0</v>
      </c>
      <c r="AI247" s="113">
        <v>0</v>
      </c>
      <c r="AJ247" s="113">
        <v>0</v>
      </c>
      <c r="AK247" s="113">
        <v>0</v>
      </c>
      <c r="AL247" s="113">
        <v>0</v>
      </c>
      <c r="AM247" s="113">
        <v>0</v>
      </c>
      <c r="AN247" s="113">
        <v>0</v>
      </c>
      <c r="AO247" s="113">
        <v>0</v>
      </c>
      <c r="AP247" s="113">
        <v>0</v>
      </c>
      <c r="AQ247" s="113">
        <v>0</v>
      </c>
      <c r="AR247" s="113">
        <v>0</v>
      </c>
      <c r="AS247" s="113">
        <v>0</v>
      </c>
      <c r="AT247" s="113">
        <v>0</v>
      </c>
      <c r="AU247" s="113">
        <v>0</v>
      </c>
      <c r="AV247" s="113">
        <v>0</v>
      </c>
      <c r="AW247" s="113">
        <v>0</v>
      </c>
      <c r="AX247" s="113">
        <v>0</v>
      </c>
      <c r="AY247" s="113">
        <v>0</v>
      </c>
      <c r="AZ247" s="113">
        <v>0</v>
      </c>
      <c r="BA247" s="113">
        <v>0</v>
      </c>
      <c r="BB247" s="113">
        <v>0</v>
      </c>
      <c r="BC247" s="113">
        <v>0</v>
      </c>
      <c r="BD247" s="113">
        <v>0</v>
      </c>
      <c r="BE247" s="113">
        <v>0</v>
      </c>
      <c r="BF247" s="113">
        <v>0</v>
      </c>
      <c r="BG247" s="113">
        <v>0</v>
      </c>
      <c r="BH247" s="113">
        <v>0</v>
      </c>
      <c r="BI247" s="113">
        <v>0</v>
      </c>
      <c r="BJ247" s="113">
        <v>0</v>
      </c>
      <c r="BK247" s="113">
        <v>0</v>
      </c>
      <c r="BL247" s="113">
        <v>0</v>
      </c>
      <c r="BM247" s="113">
        <v>0</v>
      </c>
      <c r="BN247" s="113">
        <v>0</v>
      </c>
      <c r="BO247" s="113">
        <v>0</v>
      </c>
      <c r="BP247" s="113">
        <v>0</v>
      </c>
      <c r="BQ247" s="113">
        <v>0</v>
      </c>
      <c r="BR247" s="113">
        <v>0</v>
      </c>
      <c r="BS247" s="113">
        <v>0</v>
      </c>
      <c r="BT247" s="113">
        <v>0</v>
      </c>
      <c r="BU247" s="113">
        <v>0</v>
      </c>
      <c r="BV247" s="113">
        <v>0</v>
      </c>
      <c r="BW247" s="113">
        <v>0</v>
      </c>
      <c r="BX247" s="113">
        <v>0</v>
      </c>
      <c r="BY247" s="113">
        <v>0</v>
      </c>
      <c r="BZ247" s="113">
        <v>0</v>
      </c>
      <c r="CA247" s="113">
        <v>0</v>
      </c>
      <c r="CB247" s="113">
        <v>0</v>
      </c>
      <c r="CC247" s="113">
        <v>0</v>
      </c>
      <c r="CD247" s="113">
        <v>0</v>
      </c>
      <c r="CE247" s="113">
        <v>0</v>
      </c>
      <c r="CF247" s="113">
        <v>0</v>
      </c>
      <c r="CG247" s="113">
        <v>0</v>
      </c>
      <c r="CH247" s="113">
        <v>0</v>
      </c>
      <c r="CI247" s="113">
        <v>0</v>
      </c>
      <c r="CJ247" s="113">
        <v>0</v>
      </c>
      <c r="CK247" s="113">
        <v>0</v>
      </c>
      <c r="CL247" s="113">
        <v>0</v>
      </c>
      <c r="CM247" s="113">
        <v>0</v>
      </c>
      <c r="CN247" s="113">
        <v>0</v>
      </c>
      <c r="CO247" s="113">
        <v>0</v>
      </c>
      <c r="CP247" s="113">
        <v>0</v>
      </c>
      <c r="CQ247" s="113">
        <v>0</v>
      </c>
      <c r="CR247" s="113">
        <v>0</v>
      </c>
      <c r="CS247" s="113">
        <v>0</v>
      </c>
      <c r="CT247" s="113">
        <v>0</v>
      </c>
      <c r="CU247" s="113">
        <v>0</v>
      </c>
      <c r="CV247" s="113">
        <v>-329</v>
      </c>
      <c r="CW247" s="113">
        <v>0</v>
      </c>
      <c r="CX247" s="113">
        <v>0</v>
      </c>
      <c r="CY247" s="113">
        <v>-475</v>
      </c>
      <c r="CZ247" s="113">
        <v>-349</v>
      </c>
      <c r="DA247" s="113">
        <v>0</v>
      </c>
      <c r="DB247" s="113">
        <v>0</v>
      </c>
      <c r="DC247" s="113">
        <v>-1000</v>
      </c>
      <c r="DD247" s="113">
        <v>0</v>
      </c>
      <c r="DE247" s="113">
        <v>0</v>
      </c>
      <c r="DF247" s="113">
        <v>0</v>
      </c>
      <c r="DG247" s="113">
        <v>0</v>
      </c>
      <c r="DH247" s="113">
        <v>0</v>
      </c>
      <c r="DI247" s="113">
        <v>0</v>
      </c>
      <c r="DJ247" s="113">
        <v>0</v>
      </c>
      <c r="DK247" s="113">
        <v>0</v>
      </c>
      <c r="DL247" s="113">
        <v>0</v>
      </c>
      <c r="DM247" s="113">
        <v>0</v>
      </c>
      <c r="DN247" s="113">
        <v>0</v>
      </c>
      <c r="DO247" s="113">
        <v>-712</v>
      </c>
      <c r="DP247" s="113">
        <v>0</v>
      </c>
      <c r="DQ247" s="113">
        <v>0</v>
      </c>
      <c r="DR247" s="113">
        <v>0</v>
      </c>
      <c r="DS247" s="113">
        <v>0</v>
      </c>
      <c r="DT247" s="113">
        <v>-6575</v>
      </c>
      <c r="DU247" s="113">
        <v>0</v>
      </c>
      <c r="DV247" s="113">
        <v>0</v>
      </c>
      <c r="DW247" s="113">
        <v>-7031</v>
      </c>
      <c r="DX247" s="113">
        <v>0</v>
      </c>
      <c r="DY247" s="113">
        <v>0</v>
      </c>
      <c r="DZ247" s="113">
        <v>-3390</v>
      </c>
      <c r="EA247" s="113">
        <v>-3755</v>
      </c>
      <c r="EB247" s="113">
        <v>-1302</v>
      </c>
      <c r="EC247" s="113">
        <v>0</v>
      </c>
      <c r="ED247" s="113">
        <v>-3710</v>
      </c>
      <c r="EE247" s="113">
        <v>0</v>
      </c>
      <c r="EF247" s="113">
        <v>-7373</v>
      </c>
      <c r="EG247" s="113">
        <v>0</v>
      </c>
      <c r="EH247" s="113">
        <v>0</v>
      </c>
      <c r="EI247" s="113">
        <v>0</v>
      </c>
      <c r="EJ247" s="113">
        <v>0</v>
      </c>
      <c r="EK247" s="113">
        <v>0</v>
      </c>
      <c r="EL247" s="113">
        <v>0</v>
      </c>
      <c r="EM247" s="113">
        <v>0</v>
      </c>
      <c r="EN247" s="113">
        <v>0</v>
      </c>
    </row>
    <row r="248" spans="1:144">
      <c r="A248" s="103" t="s">
        <v>2510</v>
      </c>
      <c r="B248" s="113">
        <v>0</v>
      </c>
      <c r="C248" s="113">
        <v>0</v>
      </c>
      <c r="D248" s="113">
        <v>0</v>
      </c>
      <c r="E248" s="113">
        <v>0</v>
      </c>
      <c r="F248" s="113">
        <v>0</v>
      </c>
      <c r="G248" s="113">
        <v>0</v>
      </c>
      <c r="H248" s="113">
        <v>0</v>
      </c>
      <c r="I248" s="113">
        <v>0</v>
      </c>
      <c r="J248" s="113">
        <v>0</v>
      </c>
      <c r="K248" s="113">
        <v>0</v>
      </c>
      <c r="L248" s="113">
        <v>0</v>
      </c>
      <c r="M248" s="113">
        <v>0</v>
      </c>
      <c r="N248" s="113">
        <v>0</v>
      </c>
      <c r="O248" s="113">
        <v>0</v>
      </c>
      <c r="P248" s="113">
        <v>0</v>
      </c>
      <c r="Q248" s="113">
        <v>0</v>
      </c>
      <c r="R248" s="113">
        <v>0</v>
      </c>
      <c r="S248" s="113">
        <v>0</v>
      </c>
      <c r="T248" s="113">
        <v>-228</v>
      </c>
      <c r="U248" s="113">
        <v>-2986</v>
      </c>
      <c r="V248" s="113">
        <v>-814</v>
      </c>
      <c r="W248" s="113">
        <v>0</v>
      </c>
      <c r="X248" s="113">
        <v>-1346</v>
      </c>
      <c r="Y248" s="113">
        <v>-3888</v>
      </c>
      <c r="Z248" s="113">
        <v>-1500</v>
      </c>
      <c r="AA248" s="113">
        <v>-2796</v>
      </c>
      <c r="AB248" s="113">
        <v>-7922</v>
      </c>
      <c r="AC248" s="113">
        <v>-10060</v>
      </c>
      <c r="AD248" s="113">
        <v>-4000</v>
      </c>
      <c r="AE248" s="113">
        <v>0</v>
      </c>
      <c r="AG248" s="103" t="s">
        <v>2510</v>
      </c>
      <c r="AH248" s="113">
        <v>0</v>
      </c>
      <c r="AI248" s="113">
        <v>0</v>
      </c>
      <c r="AJ248" s="113">
        <v>0</v>
      </c>
      <c r="AK248" s="113">
        <v>0</v>
      </c>
      <c r="AL248" s="113">
        <v>0</v>
      </c>
      <c r="AM248" s="113">
        <v>0</v>
      </c>
      <c r="AN248" s="113">
        <v>0</v>
      </c>
      <c r="AO248" s="113">
        <v>0</v>
      </c>
      <c r="AP248" s="113">
        <v>0</v>
      </c>
      <c r="AQ248" s="113">
        <v>0</v>
      </c>
      <c r="AR248" s="113">
        <v>0</v>
      </c>
      <c r="AS248" s="113">
        <v>0</v>
      </c>
      <c r="AT248" s="113">
        <v>0</v>
      </c>
      <c r="AU248" s="113">
        <v>0</v>
      </c>
      <c r="AV248" s="113">
        <v>0</v>
      </c>
      <c r="AW248" s="113">
        <v>0</v>
      </c>
      <c r="AX248" s="113">
        <v>0</v>
      </c>
      <c r="AY248" s="113">
        <v>0</v>
      </c>
      <c r="AZ248" s="113">
        <v>0</v>
      </c>
      <c r="BA248" s="113">
        <v>0</v>
      </c>
      <c r="BB248" s="113">
        <v>0</v>
      </c>
      <c r="BC248" s="113">
        <v>0</v>
      </c>
      <c r="BD248" s="113">
        <v>0</v>
      </c>
      <c r="BE248" s="113">
        <v>0</v>
      </c>
      <c r="BF248" s="113">
        <v>0</v>
      </c>
      <c r="BG248" s="113">
        <v>0</v>
      </c>
      <c r="BH248" s="113">
        <v>0</v>
      </c>
      <c r="BI248" s="113">
        <v>0</v>
      </c>
      <c r="BJ248" s="113">
        <v>0</v>
      </c>
      <c r="BK248" s="113">
        <v>0</v>
      </c>
      <c r="BL248" s="113">
        <v>0</v>
      </c>
      <c r="BM248" s="113">
        <v>0</v>
      </c>
      <c r="BN248" s="113">
        <v>0</v>
      </c>
      <c r="BO248" s="113">
        <v>0</v>
      </c>
      <c r="BP248" s="113">
        <v>0</v>
      </c>
      <c r="BQ248" s="113">
        <v>0</v>
      </c>
      <c r="BR248" s="113">
        <v>0</v>
      </c>
      <c r="BS248" s="113">
        <v>0</v>
      </c>
      <c r="BT248" s="113">
        <v>0</v>
      </c>
      <c r="BU248" s="113">
        <v>0</v>
      </c>
      <c r="BV248" s="113">
        <v>0</v>
      </c>
      <c r="BW248" s="113">
        <v>0</v>
      </c>
      <c r="BX248" s="113">
        <v>0</v>
      </c>
      <c r="BY248" s="113">
        <v>0</v>
      </c>
      <c r="BZ248" s="113">
        <v>0</v>
      </c>
      <c r="CA248" s="113">
        <v>0</v>
      </c>
      <c r="CB248" s="113">
        <v>0</v>
      </c>
      <c r="CC248" s="113">
        <v>0</v>
      </c>
      <c r="CD248" s="113">
        <v>0</v>
      </c>
      <c r="CE248" s="113">
        <v>0</v>
      </c>
      <c r="CF248" s="113">
        <v>0</v>
      </c>
      <c r="CG248" s="113">
        <v>0</v>
      </c>
      <c r="CH248" s="113">
        <v>0</v>
      </c>
      <c r="CI248" s="113">
        <v>0</v>
      </c>
      <c r="CJ248" s="113">
        <v>0</v>
      </c>
      <c r="CK248" s="113">
        <v>0</v>
      </c>
      <c r="CL248" s="113">
        <v>0</v>
      </c>
      <c r="CM248" s="113">
        <v>0</v>
      </c>
      <c r="CN248" s="113">
        <v>0</v>
      </c>
      <c r="CO248" s="113">
        <v>0</v>
      </c>
      <c r="CP248" s="113">
        <v>0</v>
      </c>
      <c r="CQ248" s="113">
        <v>0</v>
      </c>
      <c r="CR248" s="113">
        <v>0</v>
      </c>
      <c r="CS248" s="113">
        <v>0</v>
      </c>
      <c r="CT248" s="113">
        <v>0</v>
      </c>
      <c r="CU248" s="113">
        <v>0</v>
      </c>
      <c r="CV248" s="113">
        <v>0</v>
      </c>
      <c r="CW248" s="113">
        <v>0</v>
      </c>
      <c r="CX248" s="113">
        <v>-823</v>
      </c>
      <c r="CY248" s="113">
        <v>-573</v>
      </c>
      <c r="CZ248" s="113">
        <v>-502</v>
      </c>
      <c r="DA248" s="113">
        <v>0</v>
      </c>
      <c r="DB248" s="113">
        <v>-814</v>
      </c>
      <c r="DC248" s="113">
        <v>0</v>
      </c>
      <c r="DD248" s="113">
        <v>0</v>
      </c>
      <c r="DE248" s="113">
        <v>0</v>
      </c>
      <c r="DF248" s="113">
        <v>0</v>
      </c>
      <c r="DG248" s="113">
        <v>0</v>
      </c>
      <c r="DH248" s="113">
        <v>0</v>
      </c>
      <c r="DI248" s="113">
        <v>0</v>
      </c>
      <c r="DJ248" s="113">
        <v>0</v>
      </c>
      <c r="DK248" s="113">
        <v>0</v>
      </c>
      <c r="DL248" s="113">
        <v>0</v>
      </c>
      <c r="DM248" s="113">
        <v>0</v>
      </c>
      <c r="DN248" s="113">
        <v>-1000</v>
      </c>
      <c r="DO248" s="113">
        <v>-588</v>
      </c>
      <c r="DP248" s="113">
        <v>-300</v>
      </c>
      <c r="DQ248" s="113">
        <v>0</v>
      </c>
      <c r="DR248" s="113">
        <v>-1500</v>
      </c>
      <c r="DS248" s="113">
        <v>0</v>
      </c>
      <c r="DT248" s="113">
        <v>0</v>
      </c>
      <c r="DU248" s="113">
        <v>0</v>
      </c>
      <c r="DV248" s="113">
        <v>-1750</v>
      </c>
      <c r="DW248" s="113">
        <v>-121</v>
      </c>
      <c r="DX248" s="113">
        <v>-900</v>
      </c>
      <c r="DY248" s="113">
        <v>0</v>
      </c>
      <c r="DZ248" s="113">
        <v>-225</v>
      </c>
      <c r="EA248" s="113">
        <v>-4118</v>
      </c>
      <c r="EB248" s="113">
        <v>-211</v>
      </c>
      <c r="EC248" s="113">
        <v>0</v>
      </c>
      <c r="ED248" s="113">
        <v>-1169</v>
      </c>
      <c r="EE248" s="113">
        <v>-3327</v>
      </c>
      <c r="EF248" s="113">
        <v>-4883</v>
      </c>
      <c r="EG248" s="113">
        <v>0</v>
      </c>
      <c r="EH248" s="113">
        <v>0</v>
      </c>
      <c r="EI248" s="113">
        <v>-3000</v>
      </c>
      <c r="EJ248" s="113">
        <v>0</v>
      </c>
      <c r="EK248" s="113">
        <v>0</v>
      </c>
      <c r="EL248" s="113">
        <v>-2500</v>
      </c>
      <c r="EM248" s="113">
        <v>-18</v>
      </c>
      <c r="EN248" s="113">
        <v>-3000</v>
      </c>
    </row>
    <row r="249" spans="1:144" ht="10.5">
      <c r="A249" s="112" t="s">
        <v>2511</v>
      </c>
      <c r="B249" s="114">
        <v>0</v>
      </c>
      <c r="C249" s="114">
        <v>0</v>
      </c>
      <c r="D249" s="114">
        <v>0</v>
      </c>
      <c r="E249" s="114">
        <v>0</v>
      </c>
      <c r="F249" s="114">
        <v>0</v>
      </c>
      <c r="G249" s="114">
        <v>0</v>
      </c>
      <c r="H249" s="114">
        <v>0</v>
      </c>
      <c r="I249" s="114">
        <v>0</v>
      </c>
      <c r="J249" s="114">
        <v>0</v>
      </c>
      <c r="K249" s="114">
        <v>0</v>
      </c>
      <c r="L249" s="114">
        <v>0</v>
      </c>
      <c r="M249" s="114">
        <v>0</v>
      </c>
      <c r="N249" s="114">
        <v>0</v>
      </c>
      <c r="O249" s="114">
        <v>0</v>
      </c>
      <c r="P249" s="114">
        <v>0</v>
      </c>
      <c r="Q249" s="114">
        <v>0</v>
      </c>
      <c r="R249" s="114">
        <v>0</v>
      </c>
      <c r="S249" s="114">
        <v>0</v>
      </c>
      <c r="T249" s="114">
        <v>-228</v>
      </c>
      <c r="U249" s="114">
        <v>-3977</v>
      </c>
      <c r="V249" s="114">
        <v>-1000</v>
      </c>
      <c r="W249" s="114">
        <v>0</v>
      </c>
      <c r="X249" s="114">
        <v>-1346</v>
      </c>
      <c r="Y249" s="114">
        <v>-3888</v>
      </c>
      <c r="Z249" s="114">
        <v>-1500</v>
      </c>
      <c r="AA249" s="114">
        <v>-2796</v>
      </c>
      <c r="AB249" s="114">
        <v>-12885</v>
      </c>
      <c r="AC249" s="114">
        <v>-17384</v>
      </c>
      <c r="AD249" s="114">
        <v>-4000</v>
      </c>
      <c r="AE249" s="114">
        <v>-6518</v>
      </c>
      <c r="AG249" s="112" t="s">
        <v>2511</v>
      </c>
      <c r="AH249" s="114">
        <v>0</v>
      </c>
      <c r="AI249" s="114">
        <v>0</v>
      </c>
      <c r="AJ249" s="114">
        <v>0</v>
      </c>
      <c r="AK249" s="114">
        <v>0</v>
      </c>
      <c r="AL249" s="114">
        <v>0</v>
      </c>
      <c r="AM249" s="114">
        <v>0</v>
      </c>
      <c r="AN249" s="114">
        <v>0</v>
      </c>
      <c r="AO249" s="114">
        <v>0</v>
      </c>
      <c r="AP249" s="114">
        <v>0</v>
      </c>
      <c r="AQ249" s="114">
        <v>0</v>
      </c>
      <c r="AR249" s="114">
        <v>0</v>
      </c>
      <c r="AS249" s="114">
        <v>0</v>
      </c>
      <c r="AT249" s="114">
        <v>0</v>
      </c>
      <c r="AU249" s="114">
        <v>0</v>
      </c>
      <c r="AV249" s="114">
        <v>0</v>
      </c>
      <c r="AW249" s="114">
        <v>0</v>
      </c>
      <c r="AX249" s="114">
        <v>0</v>
      </c>
      <c r="AY249" s="114">
        <v>0</v>
      </c>
      <c r="AZ249" s="114">
        <v>0</v>
      </c>
      <c r="BA249" s="114">
        <v>0</v>
      </c>
      <c r="BB249" s="114">
        <v>0</v>
      </c>
      <c r="BC249" s="114">
        <v>0</v>
      </c>
      <c r="BD249" s="114">
        <v>0</v>
      </c>
      <c r="BE249" s="114">
        <v>0</v>
      </c>
      <c r="BF249" s="114">
        <v>0</v>
      </c>
      <c r="BG249" s="114">
        <v>0</v>
      </c>
      <c r="BH249" s="114">
        <v>0</v>
      </c>
      <c r="BI249" s="114">
        <v>0</v>
      </c>
      <c r="BJ249" s="114">
        <v>0</v>
      </c>
      <c r="BK249" s="114">
        <v>0</v>
      </c>
      <c r="BL249" s="114">
        <v>0</v>
      </c>
      <c r="BM249" s="114">
        <v>0</v>
      </c>
      <c r="BN249" s="114">
        <v>0</v>
      </c>
      <c r="BO249" s="114">
        <v>0</v>
      </c>
      <c r="BP249" s="114">
        <v>0</v>
      </c>
      <c r="BQ249" s="114">
        <v>0</v>
      </c>
      <c r="BR249" s="114">
        <v>0</v>
      </c>
      <c r="BS249" s="114">
        <v>0</v>
      </c>
      <c r="BT249" s="114">
        <v>0</v>
      </c>
      <c r="BU249" s="114">
        <v>0</v>
      </c>
      <c r="BV249" s="114">
        <v>0</v>
      </c>
      <c r="BW249" s="114">
        <v>0</v>
      </c>
      <c r="BX249" s="114">
        <v>0</v>
      </c>
      <c r="BY249" s="114">
        <v>0</v>
      </c>
      <c r="BZ249" s="114">
        <v>0</v>
      </c>
      <c r="CA249" s="114">
        <v>0</v>
      </c>
      <c r="CB249" s="114">
        <v>0</v>
      </c>
      <c r="CC249" s="114">
        <v>0</v>
      </c>
      <c r="CD249" s="114">
        <v>0</v>
      </c>
      <c r="CE249" s="114">
        <v>0</v>
      </c>
      <c r="CF249" s="114">
        <v>0</v>
      </c>
      <c r="CG249" s="114">
        <v>0</v>
      </c>
      <c r="CH249" s="114">
        <v>0</v>
      </c>
      <c r="CI249" s="114">
        <v>0</v>
      </c>
      <c r="CJ249" s="114">
        <v>0</v>
      </c>
      <c r="CK249" s="114">
        <v>0</v>
      </c>
      <c r="CL249" s="114">
        <v>0</v>
      </c>
      <c r="CM249" s="114">
        <v>0</v>
      </c>
      <c r="CN249" s="114">
        <v>0</v>
      </c>
      <c r="CO249" s="114">
        <v>0</v>
      </c>
      <c r="CP249" s="114">
        <v>0</v>
      </c>
      <c r="CQ249" s="114">
        <v>0</v>
      </c>
      <c r="CR249" s="114">
        <v>0</v>
      </c>
      <c r="CS249" s="114">
        <v>0</v>
      </c>
      <c r="CT249" s="114">
        <v>0</v>
      </c>
      <c r="CU249" s="114">
        <v>0</v>
      </c>
      <c r="CV249" s="114">
        <v>-329</v>
      </c>
      <c r="CW249" s="114">
        <v>-228</v>
      </c>
      <c r="CX249" s="114">
        <v>-823</v>
      </c>
      <c r="CY249" s="114">
        <v>-1048</v>
      </c>
      <c r="CZ249" s="114">
        <v>-851</v>
      </c>
      <c r="DA249" s="114">
        <v>-1633</v>
      </c>
      <c r="DB249" s="114">
        <v>-814</v>
      </c>
      <c r="DC249" s="114">
        <v>-1000</v>
      </c>
      <c r="DD249" s="114">
        <v>0</v>
      </c>
      <c r="DE249" s="114">
        <v>0</v>
      </c>
      <c r="DF249" s="114">
        <v>0</v>
      </c>
      <c r="DG249" s="114">
        <v>0</v>
      </c>
      <c r="DH249" s="114">
        <v>0</v>
      </c>
      <c r="DI249" s="114">
        <v>0</v>
      </c>
      <c r="DJ249" s="114">
        <v>0</v>
      </c>
      <c r="DK249" s="114">
        <v>0</v>
      </c>
      <c r="DL249" s="114">
        <v>0</v>
      </c>
      <c r="DM249" s="114">
        <v>-1346</v>
      </c>
      <c r="DN249" s="114">
        <v>-1000</v>
      </c>
      <c r="DO249" s="114">
        <v>-1300</v>
      </c>
      <c r="DP249" s="114">
        <v>-300</v>
      </c>
      <c r="DQ249" s="114">
        <v>-2000</v>
      </c>
      <c r="DR249" s="114">
        <v>-1500</v>
      </c>
      <c r="DS249" s="114">
        <v>0</v>
      </c>
      <c r="DT249" s="114">
        <v>-6575</v>
      </c>
      <c r="DU249" s="114">
        <v>0</v>
      </c>
      <c r="DV249" s="114">
        <v>-1750</v>
      </c>
      <c r="DW249" s="114">
        <v>-7152</v>
      </c>
      <c r="DX249" s="114">
        <v>-900</v>
      </c>
      <c r="DY249" s="114">
        <v>-25</v>
      </c>
      <c r="DZ249" s="114">
        <v>-3615</v>
      </c>
      <c r="EA249" s="114">
        <v>-7873</v>
      </c>
      <c r="EB249" s="114">
        <v>-1513</v>
      </c>
      <c r="EC249" s="114">
        <v>116</v>
      </c>
      <c r="ED249" s="114">
        <v>-4879</v>
      </c>
      <c r="EE249" s="114">
        <v>-3327</v>
      </c>
      <c r="EF249" s="114">
        <v>-12256</v>
      </c>
      <c r="EG249" s="114">
        <v>-681</v>
      </c>
      <c r="EH249" s="114">
        <v>0</v>
      </c>
      <c r="EI249" s="114">
        <v>-3000</v>
      </c>
      <c r="EJ249" s="114">
        <v>0</v>
      </c>
      <c r="EK249" s="114">
        <v>-1000</v>
      </c>
      <c r="EL249" s="114">
        <v>-2500</v>
      </c>
      <c r="EM249" s="114">
        <v>-18</v>
      </c>
      <c r="EN249" s="114">
        <v>-3000</v>
      </c>
    </row>
    <row r="250" spans="1:144">
      <c r="A250" s="103"/>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c r="BE250" s="103"/>
      <c r="BF250" s="103"/>
      <c r="BG250" s="103"/>
      <c r="BH250" s="103"/>
      <c r="BI250" s="103"/>
      <c r="BJ250" s="103"/>
      <c r="BK250" s="103"/>
      <c r="BL250" s="103"/>
      <c r="BM250" s="103"/>
      <c r="BN250" s="103"/>
      <c r="BO250" s="103"/>
      <c r="BP250" s="103"/>
      <c r="BQ250" s="103"/>
      <c r="BR250" s="103"/>
      <c r="BS250" s="103"/>
      <c r="BT250" s="103"/>
      <c r="BU250" s="103"/>
      <c r="BV250" s="103"/>
      <c r="BW250" s="103"/>
      <c r="BX250" s="103"/>
      <c r="BY250" s="103"/>
      <c r="BZ250" s="103"/>
      <c r="CA250" s="103"/>
      <c r="CB250" s="103"/>
      <c r="CC250" s="103"/>
      <c r="CD250" s="103"/>
      <c r="CE250" s="103"/>
      <c r="CF250" s="103"/>
      <c r="CG250" s="103"/>
      <c r="CH250" s="103"/>
      <c r="CI250" s="103"/>
      <c r="CJ250" s="103"/>
      <c r="CK250" s="103"/>
      <c r="CL250" s="103"/>
      <c r="CM250" s="103"/>
      <c r="CN250" s="103"/>
      <c r="CO250" s="103"/>
      <c r="CP250" s="103"/>
      <c r="CQ250" s="103"/>
      <c r="CR250" s="103"/>
      <c r="CS250" s="103"/>
      <c r="CT250" s="103"/>
      <c r="CU250" s="103"/>
      <c r="CV250" s="103"/>
      <c r="CW250" s="103"/>
      <c r="CX250" s="103"/>
      <c r="CY250" s="103"/>
      <c r="CZ250" s="103"/>
      <c r="DA250" s="103"/>
      <c r="DB250" s="103"/>
      <c r="DC250" s="103"/>
      <c r="DD250" s="103"/>
      <c r="DE250" s="103"/>
      <c r="DF250" s="103"/>
      <c r="DG250" s="103"/>
      <c r="DH250" s="103"/>
      <c r="DI250" s="103"/>
      <c r="DJ250" s="103"/>
      <c r="DK250" s="103"/>
      <c r="DL250" s="103"/>
      <c r="DM250" s="103"/>
      <c r="DN250" s="103"/>
      <c r="DO250" s="103"/>
      <c r="DP250" s="103"/>
      <c r="DQ250" s="103"/>
      <c r="DR250" s="103"/>
      <c r="DS250" s="103"/>
      <c r="DT250" s="103"/>
      <c r="DU250" s="103"/>
      <c r="DV250" s="103"/>
      <c r="DW250" s="103"/>
      <c r="DX250" s="103"/>
      <c r="DY250" s="103"/>
      <c r="DZ250" s="103"/>
      <c r="EA250" s="103"/>
      <c r="EB250" s="103"/>
      <c r="EC250" s="103"/>
      <c r="ED250" s="103"/>
      <c r="EE250" s="103"/>
      <c r="EF250" s="103"/>
      <c r="EG250" s="103"/>
      <c r="EH250" s="103"/>
      <c r="EI250" s="103"/>
      <c r="EJ250" s="103"/>
      <c r="EK250" s="103"/>
      <c r="EL250" s="103"/>
      <c r="EM250" s="103"/>
      <c r="EN250" s="103"/>
    </row>
    <row r="251" spans="1:144">
      <c r="A251" s="103" t="s">
        <v>2512</v>
      </c>
      <c r="B251" s="113">
        <v>95</v>
      </c>
      <c r="C251" s="113">
        <v>135</v>
      </c>
      <c r="D251" s="113">
        <v>229</v>
      </c>
      <c r="E251" s="113">
        <v>280</v>
      </c>
      <c r="F251" s="113">
        <v>332</v>
      </c>
      <c r="G251" s="113">
        <v>504</v>
      </c>
      <c r="H251" s="113">
        <v>744</v>
      </c>
      <c r="I251" s="113">
        <v>959</v>
      </c>
      <c r="J251" s="113">
        <v>1350</v>
      </c>
      <c r="K251" s="113">
        <v>2245</v>
      </c>
      <c r="L251" s="113">
        <v>1620</v>
      </c>
      <c r="M251" s="113">
        <v>1497</v>
      </c>
      <c r="N251" s="113">
        <v>2120</v>
      </c>
      <c r="O251" s="113">
        <v>2748</v>
      </c>
      <c r="P251" s="113">
        <v>3109</v>
      </c>
      <c r="Q251" s="113">
        <v>2101</v>
      </c>
      <c r="R251" s="113">
        <v>6782</v>
      </c>
      <c r="S251" s="113">
        <v>3494</v>
      </c>
      <c r="T251" s="113">
        <v>579</v>
      </c>
      <c r="U251" s="113">
        <v>2311</v>
      </c>
      <c r="V251" s="113">
        <v>2422</v>
      </c>
      <c r="W251" s="113">
        <v>1913</v>
      </c>
      <c r="X251" s="113">
        <v>931</v>
      </c>
      <c r="Y251" s="113">
        <v>607</v>
      </c>
      <c r="Z251" s="113">
        <v>634</v>
      </c>
      <c r="AA251" s="113">
        <v>668</v>
      </c>
      <c r="AB251" s="113">
        <v>772</v>
      </c>
      <c r="AC251" s="113">
        <v>1002</v>
      </c>
      <c r="AD251" s="113">
        <v>1142</v>
      </c>
      <c r="AE251" s="113">
        <v>1311</v>
      </c>
      <c r="AG251" s="103" t="s">
        <v>2512</v>
      </c>
      <c r="AH251" s="113">
        <v>58.5</v>
      </c>
      <c r="AI251" s="113">
        <v>58.5</v>
      </c>
      <c r="AJ251" s="113">
        <v>68</v>
      </c>
      <c r="AK251" s="113">
        <v>44</v>
      </c>
      <c r="AL251" s="113">
        <v>45</v>
      </c>
      <c r="AM251" s="113">
        <v>45</v>
      </c>
      <c r="AN251" s="113">
        <v>103</v>
      </c>
      <c r="AO251" s="113">
        <v>87</v>
      </c>
      <c r="AP251" s="113">
        <v>81</v>
      </c>
      <c r="AQ251" s="113">
        <v>59</v>
      </c>
      <c r="AR251" s="113">
        <v>119</v>
      </c>
      <c r="AS251" s="113">
        <v>88</v>
      </c>
      <c r="AT251" s="113">
        <v>98</v>
      </c>
      <c r="AU251" s="113">
        <v>75</v>
      </c>
      <c r="AV251" s="113">
        <v>211</v>
      </c>
      <c r="AW251" s="113">
        <v>120</v>
      </c>
      <c r="AX251" s="113">
        <v>215</v>
      </c>
      <c r="AY251" s="113">
        <v>176</v>
      </c>
      <c r="AZ251" s="113">
        <v>239</v>
      </c>
      <c r="BA251" s="113">
        <v>191</v>
      </c>
      <c r="BB251" s="113">
        <v>207</v>
      </c>
      <c r="BC251" s="113">
        <v>121</v>
      </c>
      <c r="BD251" s="113">
        <v>322</v>
      </c>
      <c r="BE251" s="113">
        <v>309</v>
      </c>
      <c r="BF251" s="113">
        <v>316</v>
      </c>
      <c r="BG251" s="113">
        <v>298</v>
      </c>
      <c r="BH251" s="113">
        <v>488</v>
      </c>
      <c r="BI251" s="113">
        <v>248</v>
      </c>
      <c r="BJ251" s="113">
        <v>461</v>
      </c>
      <c r="BK251" s="113">
        <v>452</v>
      </c>
      <c r="BL251" s="113">
        <v>837</v>
      </c>
      <c r="BM251" s="113">
        <v>495</v>
      </c>
      <c r="BN251" s="113">
        <v>375</v>
      </c>
      <c r="BO251" s="113">
        <v>323</v>
      </c>
      <c r="BP251" s="113">
        <v>397</v>
      </c>
      <c r="BQ251" s="113">
        <v>525</v>
      </c>
      <c r="BR251" s="113">
        <v>391</v>
      </c>
      <c r="BS251" s="113">
        <v>395</v>
      </c>
      <c r="BT251" s="113">
        <v>425</v>
      </c>
      <c r="BU251" s="113">
        <v>286</v>
      </c>
      <c r="BV251" s="113">
        <v>539</v>
      </c>
      <c r="BW251" s="113">
        <v>365</v>
      </c>
      <c r="BX251" s="113">
        <v>485</v>
      </c>
      <c r="BY251" s="113">
        <v>731</v>
      </c>
      <c r="BZ251" s="113">
        <v>695</v>
      </c>
      <c r="CA251" s="113">
        <v>189</v>
      </c>
      <c r="CB251" s="113">
        <v>568</v>
      </c>
      <c r="CC251" s="113">
        <v>1296</v>
      </c>
      <c r="CD251" s="113">
        <v>487</v>
      </c>
      <c r="CE251" s="113">
        <v>795</v>
      </c>
      <c r="CF251" s="113">
        <v>354</v>
      </c>
      <c r="CG251" s="113">
        <v>1473</v>
      </c>
      <c r="CH251" s="113">
        <v>1001</v>
      </c>
      <c r="CI251" s="113">
        <v>466</v>
      </c>
      <c r="CJ251" s="113">
        <v>442</v>
      </c>
      <c r="CK251" s="113">
        <v>192</v>
      </c>
      <c r="CL251" s="113">
        <v>385</v>
      </c>
      <c r="CM251" s="113">
        <v>4449</v>
      </c>
      <c r="CN251" s="113">
        <v>784</v>
      </c>
      <c r="CO251" s="113">
        <v>1164</v>
      </c>
      <c r="CP251" s="113">
        <v>646</v>
      </c>
      <c r="CQ251" s="113">
        <v>2335</v>
      </c>
      <c r="CR251" s="113">
        <v>268</v>
      </c>
      <c r="CS251" s="113">
        <v>245</v>
      </c>
      <c r="CT251" s="113">
        <v>228</v>
      </c>
      <c r="CU251" s="113">
        <v>96</v>
      </c>
      <c r="CV251" s="113">
        <v>112</v>
      </c>
      <c r="CW251" s="113">
        <v>143</v>
      </c>
      <c r="CX251" s="113">
        <v>248</v>
      </c>
      <c r="CY251" s="113">
        <v>729</v>
      </c>
      <c r="CZ251" s="113">
        <v>422</v>
      </c>
      <c r="DA251" s="113">
        <v>912</v>
      </c>
      <c r="DB251" s="113">
        <v>177</v>
      </c>
      <c r="DC251" s="113">
        <v>660</v>
      </c>
      <c r="DD251" s="113">
        <v>1405</v>
      </c>
      <c r="DE251" s="113">
        <v>180</v>
      </c>
      <c r="DF251" s="113">
        <v>336</v>
      </c>
      <c r="DG251" s="113">
        <v>208</v>
      </c>
      <c r="DH251" s="113">
        <v>1091</v>
      </c>
      <c r="DI251" s="113">
        <v>278</v>
      </c>
      <c r="DJ251" s="113">
        <v>417</v>
      </c>
      <c r="DK251" s="113">
        <v>145</v>
      </c>
      <c r="DL251" s="113">
        <v>203</v>
      </c>
      <c r="DM251" s="113">
        <v>166</v>
      </c>
      <c r="DN251" s="113">
        <v>203</v>
      </c>
      <c r="DO251" s="113">
        <v>117</v>
      </c>
      <c r="DP251" s="113">
        <v>141</v>
      </c>
      <c r="DQ251" s="113">
        <v>146</v>
      </c>
      <c r="DR251" s="113">
        <v>216</v>
      </c>
      <c r="DS251" s="113">
        <v>121</v>
      </c>
      <c r="DT251" s="113">
        <v>146</v>
      </c>
      <c r="DU251" s="113">
        <v>151</v>
      </c>
      <c r="DV251" s="113">
        <v>219</v>
      </c>
      <c r="DW251" s="113">
        <v>117</v>
      </c>
      <c r="DX251" s="113">
        <v>159</v>
      </c>
      <c r="DY251" s="113">
        <v>173</v>
      </c>
      <c r="DZ251" s="113">
        <v>241</v>
      </c>
      <c r="EA251" s="113">
        <v>131</v>
      </c>
      <c r="EB251" s="113">
        <v>179</v>
      </c>
      <c r="EC251" s="113">
        <v>221</v>
      </c>
      <c r="ED251" s="113">
        <v>307</v>
      </c>
      <c r="EE251" s="113">
        <v>189</v>
      </c>
      <c r="EF251" s="113">
        <v>251</v>
      </c>
      <c r="EG251" s="113">
        <v>255</v>
      </c>
      <c r="EH251" s="113">
        <v>360</v>
      </c>
      <c r="EI251" s="113">
        <v>200</v>
      </c>
      <c r="EJ251" s="113">
        <v>274</v>
      </c>
      <c r="EK251" s="113">
        <v>308</v>
      </c>
      <c r="EL251" s="113">
        <v>427</v>
      </c>
      <c r="EM251" s="113">
        <v>234</v>
      </c>
      <c r="EN251" s="113">
        <v>342</v>
      </c>
    </row>
    <row r="252" spans="1:144">
      <c r="A252" s="103" t="s">
        <v>2513</v>
      </c>
      <c r="B252" s="113">
        <v>-197</v>
      </c>
      <c r="C252" s="113">
        <v>-135</v>
      </c>
      <c r="D252" s="113">
        <v>-250</v>
      </c>
      <c r="E252" s="113">
        <v>-348</v>
      </c>
      <c r="F252" s="113">
        <v>-698</v>
      </c>
      <c r="G252" s="113">
        <v>-1385</v>
      </c>
      <c r="H252" s="113">
        <v>-3101</v>
      </c>
      <c r="I252" s="113">
        <v>-2468</v>
      </c>
      <c r="J252" s="113">
        <v>-2950</v>
      </c>
      <c r="K252" s="113">
        <v>-4896</v>
      </c>
      <c r="L252" s="113">
        <v>-6074</v>
      </c>
      <c r="M252" s="113">
        <v>-6069</v>
      </c>
      <c r="N252" s="113">
        <v>-6486</v>
      </c>
      <c r="O252" s="113">
        <v>-3383</v>
      </c>
      <c r="P252" s="113">
        <v>-8057</v>
      </c>
      <c r="Q252" s="113">
        <v>-19207</v>
      </c>
      <c r="R252" s="113">
        <v>-27575</v>
      </c>
      <c r="S252" s="113">
        <v>-12533</v>
      </c>
      <c r="T252" s="113">
        <v>-9353</v>
      </c>
      <c r="U252" s="113">
        <v>-11269</v>
      </c>
      <c r="V252" s="113">
        <v>-11555</v>
      </c>
      <c r="W252" s="113">
        <v>-5029</v>
      </c>
      <c r="X252" s="113">
        <v>-5360</v>
      </c>
      <c r="Y252" s="113">
        <v>-7316</v>
      </c>
      <c r="Z252" s="113">
        <v>-14443</v>
      </c>
      <c r="AA252" s="113">
        <v>-15969</v>
      </c>
      <c r="AB252" s="113">
        <v>-11788</v>
      </c>
      <c r="AC252" s="113">
        <v>-10721</v>
      </c>
      <c r="AD252" s="113">
        <v>-19543</v>
      </c>
      <c r="AE252" s="113">
        <v>-21810</v>
      </c>
      <c r="AG252" s="103" t="s">
        <v>2513</v>
      </c>
      <c r="AH252" s="113">
        <v>-40</v>
      </c>
      <c r="AI252" s="113">
        <v>-40</v>
      </c>
      <c r="AJ252" s="113">
        <v>-65</v>
      </c>
      <c r="AK252" s="113">
        <v>-105</v>
      </c>
      <c r="AL252" s="113">
        <v>-72</v>
      </c>
      <c r="AM252" s="113">
        <v>-92</v>
      </c>
      <c r="AN252" s="113">
        <v>-147</v>
      </c>
      <c r="AO252" s="113">
        <v>-37</v>
      </c>
      <c r="AP252" s="113">
        <v>-242</v>
      </c>
      <c r="AQ252" s="113">
        <v>-318</v>
      </c>
      <c r="AR252" s="113">
        <v>-104</v>
      </c>
      <c r="AS252" s="113">
        <v>0</v>
      </c>
      <c r="AT252" s="113">
        <v>-129</v>
      </c>
      <c r="AU252" s="113">
        <v>-343</v>
      </c>
      <c r="AV252" s="113">
        <v>-328</v>
      </c>
      <c r="AW252" s="113">
        <v>-585</v>
      </c>
      <c r="AX252" s="113">
        <v>-729</v>
      </c>
      <c r="AY252" s="113">
        <v>-372</v>
      </c>
      <c r="AZ252" s="113">
        <v>-2000</v>
      </c>
      <c r="BA252" s="113">
        <v>0</v>
      </c>
      <c r="BB252" s="113">
        <v>-913</v>
      </c>
      <c r="BC252" s="113">
        <v>-683</v>
      </c>
      <c r="BD252" s="113">
        <v>-9</v>
      </c>
      <c r="BE252" s="113">
        <v>-863</v>
      </c>
      <c r="BF252" s="113">
        <v>-504</v>
      </c>
      <c r="BG252" s="113">
        <v>-268</v>
      </c>
      <c r="BH252" s="113">
        <v>-755</v>
      </c>
      <c r="BI252" s="113">
        <v>-1423</v>
      </c>
      <c r="BJ252" s="113">
        <v>-1034</v>
      </c>
      <c r="BK252" s="113">
        <v>-3818</v>
      </c>
      <c r="BL252" s="113">
        <v>-20</v>
      </c>
      <c r="BM252" s="113">
        <v>-24</v>
      </c>
      <c r="BN252" s="113">
        <v>-1752</v>
      </c>
      <c r="BO252" s="113">
        <v>-1473</v>
      </c>
      <c r="BP252" s="113">
        <v>-1156</v>
      </c>
      <c r="BQ252" s="113">
        <v>-1693</v>
      </c>
      <c r="BR252" s="113">
        <v>-1125</v>
      </c>
      <c r="BS252" s="113">
        <v>-141</v>
      </c>
      <c r="BT252" s="113">
        <v>-676</v>
      </c>
      <c r="BU252" s="113">
        <v>-4127</v>
      </c>
      <c r="BV252" s="113">
        <v>-3497</v>
      </c>
      <c r="BW252" s="113">
        <v>-936</v>
      </c>
      <c r="BX252" s="113">
        <v>-839</v>
      </c>
      <c r="BY252" s="113">
        <v>-1214</v>
      </c>
      <c r="BZ252" s="113">
        <v>-1045</v>
      </c>
      <c r="CA252" s="113">
        <v>-730</v>
      </c>
      <c r="CB252" s="113">
        <v>-1608</v>
      </c>
      <c r="CC252" s="113">
        <v>0</v>
      </c>
      <c r="CD252" s="113">
        <v>-355</v>
      </c>
      <c r="CE252" s="113">
        <v>-969</v>
      </c>
      <c r="CF252" s="113">
        <v>-2427</v>
      </c>
      <c r="CG252" s="113">
        <v>-4306</v>
      </c>
      <c r="CH252" s="113">
        <v>-3116</v>
      </c>
      <c r="CI252" s="113">
        <v>-7435</v>
      </c>
      <c r="CJ252" s="113">
        <v>-4675</v>
      </c>
      <c r="CK252" s="113">
        <v>-3981</v>
      </c>
      <c r="CL252" s="113">
        <v>-7683</v>
      </c>
      <c r="CM252" s="113">
        <v>-5797</v>
      </c>
      <c r="CN252" s="113">
        <v>-6878</v>
      </c>
      <c r="CO252" s="113">
        <v>-7217</v>
      </c>
      <c r="CP252" s="113">
        <v>-2930</v>
      </c>
      <c r="CQ252" s="113">
        <v>-4057</v>
      </c>
      <c r="CR252" s="113">
        <v>-1240</v>
      </c>
      <c r="CS252" s="113">
        <v>-4306</v>
      </c>
      <c r="CT252" s="113">
        <v>-6493</v>
      </c>
      <c r="CU252" s="113">
        <v>-2820</v>
      </c>
      <c r="CV252" s="113">
        <v>-18</v>
      </c>
      <c r="CW252" s="113">
        <v>-22</v>
      </c>
      <c r="CX252" s="113">
        <v>-1540</v>
      </c>
      <c r="CY252" s="113">
        <v>-3867</v>
      </c>
      <c r="CZ252" s="113">
        <v>-2023</v>
      </c>
      <c r="DA252" s="113">
        <v>-3839</v>
      </c>
      <c r="DB252" s="113">
        <v>-4399</v>
      </c>
      <c r="DC252" s="113">
        <v>-5052</v>
      </c>
      <c r="DD252" s="113">
        <v>-848</v>
      </c>
      <c r="DE252" s="113">
        <v>-1256</v>
      </c>
      <c r="DF252" s="113">
        <v>-1934</v>
      </c>
      <c r="DG252" s="113">
        <v>-1042</v>
      </c>
      <c r="DH252" s="113">
        <v>-1023</v>
      </c>
      <c r="DI252" s="113">
        <v>-1030</v>
      </c>
      <c r="DJ252" s="113">
        <v>-1632</v>
      </c>
      <c r="DK252" s="113">
        <v>-1658</v>
      </c>
      <c r="DL252" s="113">
        <v>-1028</v>
      </c>
      <c r="DM252" s="113">
        <v>-1042</v>
      </c>
      <c r="DN252" s="113">
        <v>-2188</v>
      </c>
      <c r="DO252" s="113">
        <v>-2113</v>
      </c>
      <c r="DP252" s="113">
        <v>-1845</v>
      </c>
      <c r="DQ252" s="113">
        <v>-1170</v>
      </c>
      <c r="DR252" s="113">
        <v>-2888</v>
      </c>
      <c r="DS252" s="113">
        <v>-2145</v>
      </c>
      <c r="DT252" s="113">
        <v>-5131</v>
      </c>
      <c r="DU252" s="113">
        <v>-4279</v>
      </c>
      <c r="DV252" s="113">
        <v>-4757</v>
      </c>
      <c r="DW252" s="113">
        <v>-3678</v>
      </c>
      <c r="DX252" s="113">
        <v>-3857</v>
      </c>
      <c r="DY252" s="113">
        <v>-3677</v>
      </c>
      <c r="DZ252" s="113">
        <v>-4362</v>
      </c>
      <c r="EA252" s="113">
        <v>-3599</v>
      </c>
      <c r="EB252" s="113">
        <v>-2062</v>
      </c>
      <c r="EC252" s="113">
        <v>-1765</v>
      </c>
      <c r="ED252" s="113">
        <v>-2570</v>
      </c>
      <c r="EE252" s="113">
        <v>-2008</v>
      </c>
      <c r="EF252" s="113">
        <v>-3781</v>
      </c>
      <c r="EG252" s="113">
        <v>-2362</v>
      </c>
      <c r="EH252" s="113">
        <v>-3744</v>
      </c>
      <c r="EI252" s="113">
        <v>-6413</v>
      </c>
      <c r="EJ252" s="113">
        <v>-4753</v>
      </c>
      <c r="EK252" s="113">
        <v>-4633</v>
      </c>
      <c r="EL252" s="113">
        <v>-4912</v>
      </c>
      <c r="EM252" s="113">
        <v>-5206</v>
      </c>
      <c r="EN252" s="113">
        <v>-7059</v>
      </c>
    </row>
    <row r="253" spans="1:144">
      <c r="A253" s="103" t="s">
        <v>2514</v>
      </c>
      <c r="B253" s="113">
        <v>0</v>
      </c>
      <c r="C253" s="113">
        <v>0</v>
      </c>
      <c r="D253" s="113">
        <v>0</v>
      </c>
      <c r="E253" s="113">
        <v>0</v>
      </c>
      <c r="F253" s="113">
        <v>0</v>
      </c>
      <c r="G253" s="113">
        <v>0</v>
      </c>
      <c r="H253" s="113">
        <v>980</v>
      </c>
      <c r="I253" s="113">
        <v>0</v>
      </c>
      <c r="J253" s="113">
        <v>0</v>
      </c>
      <c r="K253" s="113">
        <v>0</v>
      </c>
      <c r="L253" s="113">
        <v>0</v>
      </c>
      <c r="M253" s="113">
        <v>0</v>
      </c>
      <c r="N253" s="113">
        <v>0</v>
      </c>
      <c r="O253" s="113">
        <v>0</v>
      </c>
      <c r="P253" s="113">
        <v>0</v>
      </c>
      <c r="Q253" s="113">
        <v>0</v>
      </c>
      <c r="R253" s="113">
        <v>0</v>
      </c>
      <c r="S253" s="113">
        <v>0</v>
      </c>
      <c r="T253" s="113">
        <v>0</v>
      </c>
      <c r="U253" s="113">
        <v>0</v>
      </c>
      <c r="V253" s="113">
        <v>0</v>
      </c>
      <c r="W253" s="113">
        <v>0</v>
      </c>
      <c r="X253" s="113">
        <v>0</v>
      </c>
      <c r="Y253" s="113">
        <v>0</v>
      </c>
      <c r="Z253" s="113">
        <v>0</v>
      </c>
      <c r="AA253" s="113">
        <v>0</v>
      </c>
      <c r="AB253" s="113">
        <v>0</v>
      </c>
      <c r="AC253" s="113">
        <v>0</v>
      </c>
      <c r="AD253" s="113">
        <v>0</v>
      </c>
      <c r="AE253" s="113">
        <v>0</v>
      </c>
      <c r="AG253" s="103" t="s">
        <v>2514</v>
      </c>
      <c r="AH253" s="113">
        <v>0</v>
      </c>
      <c r="AI253" s="113">
        <v>0</v>
      </c>
      <c r="AJ253" s="113">
        <v>0</v>
      </c>
      <c r="AK253" s="113">
        <v>0</v>
      </c>
      <c r="AL253" s="113">
        <v>0</v>
      </c>
      <c r="AM253" s="113">
        <v>0</v>
      </c>
      <c r="AN253" s="113">
        <v>0</v>
      </c>
      <c r="AO253" s="113">
        <v>0</v>
      </c>
      <c r="AP253" s="113">
        <v>0</v>
      </c>
      <c r="AQ253" s="113">
        <v>0</v>
      </c>
      <c r="AR253" s="113">
        <v>0</v>
      </c>
      <c r="AS253" s="113">
        <v>0</v>
      </c>
      <c r="AT253" s="113">
        <v>0</v>
      </c>
      <c r="AU253" s="113">
        <v>0</v>
      </c>
      <c r="AV253" s="113">
        <v>0</v>
      </c>
      <c r="AW253" s="113">
        <v>0</v>
      </c>
      <c r="AX253" s="113">
        <v>0</v>
      </c>
      <c r="AY253" s="113">
        <v>980</v>
      </c>
      <c r="AZ253" s="113">
        <v>0</v>
      </c>
      <c r="BA253" s="113">
        <v>0</v>
      </c>
      <c r="BB253" s="113">
        <v>0</v>
      </c>
      <c r="BC253" s="113">
        <v>0</v>
      </c>
      <c r="BD253" s="113">
        <v>0</v>
      </c>
      <c r="BE253" s="113">
        <v>0</v>
      </c>
      <c r="BF253" s="113">
        <v>0</v>
      </c>
      <c r="BG253" s="113">
        <v>0</v>
      </c>
      <c r="BH253" s="113">
        <v>0</v>
      </c>
      <c r="BI253" s="113">
        <v>0</v>
      </c>
      <c r="BJ253" s="113">
        <v>0</v>
      </c>
      <c r="BK253" s="113">
        <v>0</v>
      </c>
      <c r="BL253" s="113">
        <v>0</v>
      </c>
      <c r="BM253" s="113">
        <v>0</v>
      </c>
      <c r="BN253" s="113">
        <v>0</v>
      </c>
      <c r="BO253" s="113">
        <v>0</v>
      </c>
      <c r="BP253" s="113">
        <v>0</v>
      </c>
      <c r="BQ253" s="113">
        <v>0</v>
      </c>
      <c r="BR253" s="113">
        <v>0</v>
      </c>
      <c r="BS253" s="113">
        <v>0</v>
      </c>
      <c r="BT253" s="113">
        <v>0</v>
      </c>
      <c r="BU253" s="113">
        <v>0</v>
      </c>
      <c r="BV253" s="113">
        <v>0</v>
      </c>
      <c r="BW253" s="113">
        <v>0</v>
      </c>
      <c r="BX253" s="113">
        <v>0</v>
      </c>
      <c r="BY253" s="113">
        <v>0</v>
      </c>
      <c r="BZ253" s="113">
        <v>0</v>
      </c>
      <c r="CA253" s="113">
        <v>0</v>
      </c>
      <c r="CB253" s="113">
        <v>0</v>
      </c>
      <c r="CC253" s="113">
        <v>0</v>
      </c>
      <c r="CD253" s="113">
        <v>0</v>
      </c>
      <c r="CE253" s="113">
        <v>0</v>
      </c>
      <c r="CF253" s="113">
        <v>0</v>
      </c>
      <c r="CG253" s="113">
        <v>0</v>
      </c>
      <c r="CH253" s="113">
        <v>0</v>
      </c>
      <c r="CI253" s="113">
        <v>0</v>
      </c>
      <c r="CJ253" s="113">
        <v>0</v>
      </c>
      <c r="CK253" s="113">
        <v>0</v>
      </c>
      <c r="CL253" s="113">
        <v>0</v>
      </c>
      <c r="CM253" s="113">
        <v>0</v>
      </c>
      <c r="CN253" s="113">
        <v>0</v>
      </c>
      <c r="CO253" s="113">
        <v>0</v>
      </c>
      <c r="CP253" s="113">
        <v>0</v>
      </c>
      <c r="CQ253" s="113">
        <v>0</v>
      </c>
      <c r="CR253" s="113">
        <v>0</v>
      </c>
      <c r="CS253" s="113">
        <v>0</v>
      </c>
      <c r="CT253" s="113">
        <v>0</v>
      </c>
      <c r="CU253" s="113">
        <v>0</v>
      </c>
      <c r="CV253" s="113">
        <v>0</v>
      </c>
      <c r="CW253" s="113">
        <v>0</v>
      </c>
      <c r="CX253" s="113">
        <v>0</v>
      </c>
      <c r="CY253" s="113">
        <v>0</v>
      </c>
      <c r="CZ253" s="113">
        <v>0</v>
      </c>
      <c r="DA253" s="113">
        <v>0</v>
      </c>
      <c r="DB253" s="113">
        <v>0</v>
      </c>
      <c r="DC253" s="113">
        <v>0</v>
      </c>
      <c r="DD253" s="113">
        <v>0</v>
      </c>
      <c r="DE253" s="113">
        <v>0</v>
      </c>
      <c r="DF253" s="113">
        <v>0</v>
      </c>
      <c r="DG253" s="113">
        <v>0</v>
      </c>
      <c r="DH253" s="113">
        <v>0</v>
      </c>
      <c r="DI253" s="113">
        <v>0</v>
      </c>
      <c r="DJ253" s="113">
        <v>0</v>
      </c>
      <c r="DK253" s="113">
        <v>0</v>
      </c>
      <c r="DL253" s="113">
        <v>0</v>
      </c>
      <c r="DM253" s="113">
        <v>0</v>
      </c>
      <c r="DN253" s="113">
        <v>0</v>
      </c>
      <c r="DO253" s="113">
        <v>0</v>
      </c>
      <c r="DP253" s="113">
        <v>0</v>
      </c>
      <c r="DQ253" s="113">
        <v>0</v>
      </c>
      <c r="DR253" s="113">
        <v>0</v>
      </c>
      <c r="DS253" s="113">
        <v>0</v>
      </c>
      <c r="DT253" s="113">
        <v>0</v>
      </c>
      <c r="DU253" s="113">
        <v>0</v>
      </c>
      <c r="DV253" s="113">
        <v>0</v>
      </c>
      <c r="DW253" s="113">
        <v>0</v>
      </c>
      <c r="DX253" s="113">
        <v>0</v>
      </c>
      <c r="DY253" s="113">
        <v>0</v>
      </c>
      <c r="DZ253" s="113">
        <v>0</v>
      </c>
      <c r="EA253" s="113">
        <v>0</v>
      </c>
      <c r="EB253" s="113">
        <v>0</v>
      </c>
      <c r="EC253" s="113">
        <v>0</v>
      </c>
      <c r="ED253" s="113">
        <v>0</v>
      </c>
      <c r="EE253" s="113">
        <v>0</v>
      </c>
      <c r="EF253" s="113">
        <v>0</v>
      </c>
      <c r="EG253" s="113">
        <v>0</v>
      </c>
      <c r="EH253" s="113">
        <v>0</v>
      </c>
      <c r="EI253" s="113">
        <v>0</v>
      </c>
      <c r="EJ253" s="113">
        <v>0</v>
      </c>
      <c r="EK253" s="113">
        <v>0</v>
      </c>
      <c r="EL253" s="113">
        <v>0</v>
      </c>
      <c r="EM253" s="113">
        <v>0</v>
      </c>
      <c r="EN253" s="113">
        <v>0</v>
      </c>
    </row>
    <row r="254" spans="1:144">
      <c r="A254" s="103"/>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c r="BE254" s="103"/>
      <c r="BF254" s="103"/>
      <c r="BG254" s="103"/>
      <c r="BH254" s="103"/>
      <c r="BI254" s="103"/>
      <c r="BJ254" s="103"/>
      <c r="BK254" s="103"/>
      <c r="BL254" s="103"/>
      <c r="BM254" s="103"/>
      <c r="BN254" s="103"/>
      <c r="BO254" s="103"/>
      <c r="BP254" s="103"/>
      <c r="BQ254" s="103"/>
      <c r="BR254" s="103"/>
      <c r="BS254" s="103"/>
      <c r="BT254" s="103"/>
      <c r="BU254" s="103"/>
      <c r="BV254" s="103"/>
      <c r="BW254" s="103"/>
      <c r="BX254" s="103"/>
      <c r="BY254" s="103"/>
      <c r="BZ254" s="103"/>
      <c r="CA254" s="103"/>
      <c r="CB254" s="103"/>
      <c r="CC254" s="103"/>
      <c r="CD254" s="103"/>
      <c r="CE254" s="103"/>
      <c r="CF254" s="103"/>
      <c r="CG254" s="103"/>
      <c r="CH254" s="103"/>
      <c r="CI254" s="103"/>
      <c r="CJ254" s="103"/>
      <c r="CK254" s="103"/>
      <c r="CL254" s="103"/>
      <c r="CM254" s="103"/>
      <c r="CN254" s="103"/>
      <c r="CO254" s="103"/>
      <c r="CP254" s="103"/>
      <c r="CQ254" s="103"/>
      <c r="CR254" s="103"/>
      <c r="CS254" s="103"/>
      <c r="CT254" s="103"/>
      <c r="CU254" s="103"/>
      <c r="CV254" s="103"/>
      <c r="CW254" s="103"/>
      <c r="CX254" s="103"/>
      <c r="CY254" s="103"/>
      <c r="CZ254" s="103"/>
      <c r="DA254" s="103"/>
      <c r="DB254" s="103"/>
      <c r="DC254" s="103"/>
      <c r="DD254" s="103"/>
      <c r="DE254" s="103"/>
      <c r="DF254" s="103"/>
      <c r="DG254" s="103"/>
      <c r="DH254" s="103"/>
      <c r="DI254" s="103"/>
      <c r="DJ254" s="103"/>
      <c r="DK254" s="103"/>
      <c r="DL254" s="103"/>
      <c r="DM254" s="103"/>
      <c r="DN254" s="103"/>
      <c r="DO254" s="103"/>
      <c r="DP254" s="103"/>
      <c r="DQ254" s="103"/>
      <c r="DR254" s="103"/>
      <c r="DS254" s="103"/>
      <c r="DT254" s="103"/>
      <c r="DU254" s="103"/>
      <c r="DV254" s="103"/>
      <c r="DW254" s="103"/>
      <c r="DX254" s="103"/>
      <c r="DY254" s="103"/>
      <c r="DZ254" s="103"/>
      <c r="EA254" s="103"/>
      <c r="EB254" s="103"/>
      <c r="EC254" s="103"/>
      <c r="ED254" s="103"/>
      <c r="EE254" s="103"/>
      <c r="EF254" s="103"/>
      <c r="EG254" s="103"/>
      <c r="EH254" s="103"/>
      <c r="EI254" s="103"/>
      <c r="EJ254" s="103"/>
      <c r="EK254" s="103"/>
      <c r="EL254" s="103"/>
      <c r="EM254" s="103"/>
      <c r="EN254" s="103"/>
    </row>
    <row r="255" spans="1:144">
      <c r="A255" s="103" t="s">
        <v>2515</v>
      </c>
      <c r="B255" s="113">
        <v>0</v>
      </c>
      <c r="C255" s="113">
        <v>0</v>
      </c>
      <c r="D255" s="113">
        <v>0</v>
      </c>
      <c r="E255" s="113">
        <v>0</v>
      </c>
      <c r="F255" s="113">
        <v>0</v>
      </c>
      <c r="G255" s="113">
        <v>0</v>
      </c>
      <c r="H255" s="113">
        <v>0</v>
      </c>
      <c r="I255" s="113">
        <v>0</v>
      </c>
      <c r="J255" s="113">
        <v>0</v>
      </c>
      <c r="K255" s="113">
        <v>0</v>
      </c>
      <c r="L255" s="113">
        <v>0</v>
      </c>
      <c r="M255" s="113">
        <v>0</v>
      </c>
      <c r="N255" s="113">
        <v>-857</v>
      </c>
      <c r="O255" s="113">
        <v>-1729</v>
      </c>
      <c r="P255" s="113">
        <v>-3472</v>
      </c>
      <c r="Q255" s="113">
        <v>-3545</v>
      </c>
      <c r="R255" s="113">
        <v>-3805</v>
      </c>
      <c r="S255" s="113">
        <v>-4015</v>
      </c>
      <c r="T255" s="113">
        <v>-4468</v>
      </c>
      <c r="U255" s="113">
        <v>-4578</v>
      </c>
      <c r="V255" s="113">
        <v>-5180</v>
      </c>
      <c r="W255" s="113">
        <v>-6385</v>
      </c>
      <c r="X255" s="113">
        <v>-7455</v>
      </c>
      <c r="Y255" s="113">
        <v>-8879</v>
      </c>
      <c r="Z255" s="113">
        <v>-9882</v>
      </c>
      <c r="AA255" s="113">
        <v>-11006</v>
      </c>
      <c r="AB255" s="113">
        <v>-11845</v>
      </c>
      <c r="AC255" s="113">
        <v>-12699</v>
      </c>
      <c r="AD255" s="113">
        <v>-13811</v>
      </c>
      <c r="AE255" s="113">
        <v>-14793</v>
      </c>
      <c r="AG255" s="103" t="s">
        <v>2515</v>
      </c>
      <c r="AH255" s="113">
        <v>0</v>
      </c>
      <c r="AI255" s="113">
        <v>0</v>
      </c>
      <c r="AJ255" s="113">
        <v>0</v>
      </c>
      <c r="AK255" s="113">
        <v>0</v>
      </c>
      <c r="AL255" s="113">
        <v>0</v>
      </c>
      <c r="AM255" s="113">
        <v>0</v>
      </c>
      <c r="AN255" s="113">
        <v>0</v>
      </c>
      <c r="AO255" s="113">
        <v>0</v>
      </c>
      <c r="AP255" s="113">
        <v>0</v>
      </c>
      <c r="AQ255" s="113">
        <v>0</v>
      </c>
      <c r="AR255" s="113">
        <v>0</v>
      </c>
      <c r="AS255" s="113">
        <v>0</v>
      </c>
      <c r="AT255" s="113">
        <v>0</v>
      </c>
      <c r="AU255" s="113">
        <v>0</v>
      </c>
      <c r="AV255" s="113">
        <v>0</v>
      </c>
      <c r="AW255" s="113">
        <v>0</v>
      </c>
      <c r="AX255" s="113">
        <v>0</v>
      </c>
      <c r="AY255" s="113">
        <v>0</v>
      </c>
      <c r="AZ255" s="113">
        <v>0</v>
      </c>
      <c r="BA255" s="113">
        <v>0</v>
      </c>
      <c r="BB255" s="113">
        <v>0</v>
      </c>
      <c r="BC255" s="113">
        <v>0</v>
      </c>
      <c r="BD255" s="113">
        <v>0</v>
      </c>
      <c r="BE255" s="113">
        <v>0</v>
      </c>
      <c r="BF255" s="113">
        <v>0</v>
      </c>
      <c r="BG255" s="113">
        <v>0</v>
      </c>
      <c r="BH255" s="113">
        <v>0</v>
      </c>
      <c r="BI255" s="113">
        <v>0</v>
      </c>
      <c r="BJ255" s="113">
        <v>0</v>
      </c>
      <c r="BK255" s="113">
        <v>0</v>
      </c>
      <c r="BL255" s="113">
        <v>0</v>
      </c>
      <c r="BM255" s="113">
        <v>0</v>
      </c>
      <c r="BN255" s="113">
        <v>0</v>
      </c>
      <c r="BO255" s="113">
        <v>0</v>
      </c>
      <c r="BP255" s="113">
        <v>0</v>
      </c>
      <c r="BQ255" s="113">
        <v>0</v>
      </c>
      <c r="BR255" s="113">
        <v>0</v>
      </c>
      <c r="BS255" s="113">
        <v>0</v>
      </c>
      <c r="BT255" s="113">
        <v>0</v>
      </c>
      <c r="BU255" s="113">
        <v>0</v>
      </c>
      <c r="BV255" s="113">
        <v>0</v>
      </c>
      <c r="BW255" s="113">
        <v>0</v>
      </c>
      <c r="BX255" s="113">
        <v>-857</v>
      </c>
      <c r="BY255" s="113">
        <v>0</v>
      </c>
      <c r="BZ255" s="113">
        <v>0</v>
      </c>
      <c r="CA255" s="113">
        <v>-1729</v>
      </c>
      <c r="CB255" s="113">
        <v>0</v>
      </c>
      <c r="CC255" s="113">
        <v>0</v>
      </c>
      <c r="CD255" s="113">
        <v>-870</v>
      </c>
      <c r="CE255" s="113">
        <v>-858</v>
      </c>
      <c r="CF255" s="113">
        <v>-885</v>
      </c>
      <c r="CG255" s="113">
        <v>-859</v>
      </c>
      <c r="CH255" s="113">
        <v>-857</v>
      </c>
      <c r="CI255" s="113">
        <v>-846</v>
      </c>
      <c r="CJ255" s="113">
        <v>-925</v>
      </c>
      <c r="CK255" s="113">
        <v>-917</v>
      </c>
      <c r="CL255" s="113">
        <v>-897</v>
      </c>
      <c r="CM255" s="113">
        <v>-980</v>
      </c>
      <c r="CN255" s="113">
        <v>-976</v>
      </c>
      <c r="CO255" s="113">
        <v>-952</v>
      </c>
      <c r="CP255" s="113">
        <v>-938</v>
      </c>
      <c r="CQ255" s="113">
        <v>-1034</v>
      </c>
      <c r="CR255" s="113">
        <v>-1023</v>
      </c>
      <c r="CS255" s="113">
        <v>-1020</v>
      </c>
      <c r="CT255" s="113">
        <v>-998</v>
      </c>
      <c r="CU255" s="113">
        <v>-1157</v>
      </c>
      <c r="CV255" s="113">
        <v>-1155</v>
      </c>
      <c r="CW255" s="113">
        <v>-1158</v>
      </c>
      <c r="CX255" s="113">
        <v>-1157</v>
      </c>
      <c r="CY255" s="113">
        <v>-1152</v>
      </c>
      <c r="CZ255" s="113">
        <v>-1139</v>
      </c>
      <c r="DA255" s="113">
        <v>-1130</v>
      </c>
      <c r="DB255" s="113">
        <v>-1118</v>
      </c>
      <c r="DC255" s="113">
        <v>-1363</v>
      </c>
      <c r="DD255" s="113">
        <v>-1349</v>
      </c>
      <c r="DE255" s="113">
        <v>-1350</v>
      </c>
      <c r="DF255" s="113">
        <v>-1341</v>
      </c>
      <c r="DG255" s="113">
        <v>-1683</v>
      </c>
      <c r="DH255" s="113">
        <v>-1683</v>
      </c>
      <c r="DI255" s="113">
        <v>-1678</v>
      </c>
      <c r="DJ255" s="113">
        <v>-1676</v>
      </c>
      <c r="DK255" s="113">
        <v>-1933</v>
      </c>
      <c r="DL255" s="113">
        <v>-1925</v>
      </c>
      <c r="DM255" s="113">
        <v>-1921</v>
      </c>
      <c r="DN255" s="113">
        <v>-1916</v>
      </c>
      <c r="DO255" s="113">
        <v>-2332</v>
      </c>
      <c r="DP255" s="113">
        <v>-2322</v>
      </c>
      <c r="DQ255" s="113">
        <v>-2309</v>
      </c>
      <c r="DR255" s="113">
        <v>-2307</v>
      </c>
      <c r="DS255" s="113">
        <v>-2547</v>
      </c>
      <c r="DT255" s="113">
        <v>-2532</v>
      </c>
      <c r="DU255" s="113">
        <v>-2496</v>
      </c>
      <c r="DV255" s="113">
        <v>-2475</v>
      </c>
      <c r="DW255" s="113">
        <v>-2868</v>
      </c>
      <c r="DX255" s="113">
        <v>-2842</v>
      </c>
      <c r="DY255" s="113">
        <v>-2821</v>
      </c>
      <c r="DZ255" s="113">
        <v>-2800</v>
      </c>
      <c r="EA255" s="113">
        <v>-3024</v>
      </c>
      <c r="EB255" s="113">
        <v>-3012</v>
      </c>
      <c r="EC255" s="113">
        <v>-3009</v>
      </c>
      <c r="ED255" s="113">
        <v>-3003</v>
      </c>
      <c r="EE255" s="113">
        <v>-3238</v>
      </c>
      <c r="EF255" s="113">
        <v>-3232</v>
      </c>
      <c r="EG255" s="113">
        <v>-3226</v>
      </c>
      <c r="EH255" s="113">
        <v>-3220</v>
      </c>
      <c r="EI255" s="113">
        <v>-3544</v>
      </c>
      <c r="EJ255" s="113">
        <v>-3526</v>
      </c>
      <c r="EK255" s="113">
        <v>-3521</v>
      </c>
      <c r="EL255" s="113">
        <v>-3510</v>
      </c>
      <c r="EM255" s="113">
        <v>-3886</v>
      </c>
      <c r="EN255" s="113">
        <v>-3876</v>
      </c>
    </row>
    <row r="256" spans="1:144">
      <c r="A256" s="103" t="s">
        <v>2516</v>
      </c>
      <c r="B256" s="113">
        <v>0</v>
      </c>
      <c r="C256" s="113">
        <v>0</v>
      </c>
      <c r="D256" s="113">
        <v>0</v>
      </c>
      <c r="E256" s="113">
        <v>0</v>
      </c>
      <c r="F256" s="113">
        <v>0</v>
      </c>
      <c r="G256" s="113">
        <v>0</v>
      </c>
      <c r="H256" s="113">
        <v>-15</v>
      </c>
      <c r="I256" s="113">
        <v>-28</v>
      </c>
      <c r="J256" s="113">
        <v>-28</v>
      </c>
      <c r="K256" s="113">
        <v>-13</v>
      </c>
      <c r="L256" s="113">
        <v>0</v>
      </c>
      <c r="M256" s="113">
        <v>0</v>
      </c>
      <c r="N256" s="113">
        <v>0</v>
      </c>
      <c r="O256" s="113">
        <v>0</v>
      </c>
      <c r="P256" s="113">
        <v>0</v>
      </c>
      <c r="Q256" s="113">
        <v>0</v>
      </c>
      <c r="R256" s="113">
        <v>0</v>
      </c>
      <c r="S256" s="113">
        <v>0</v>
      </c>
      <c r="T256" s="113">
        <v>0</v>
      </c>
      <c r="U256" s="113">
        <v>0</v>
      </c>
      <c r="V256" s="113">
        <v>0</v>
      </c>
      <c r="W256" s="113">
        <v>0</v>
      </c>
      <c r="X256" s="113">
        <v>0</v>
      </c>
      <c r="Y256" s="113">
        <v>0</v>
      </c>
      <c r="Z256" s="113">
        <v>0</v>
      </c>
      <c r="AA256" s="113">
        <v>0</v>
      </c>
      <c r="AB256" s="113">
        <v>0</v>
      </c>
      <c r="AC256" s="113">
        <v>0</v>
      </c>
      <c r="AD256" s="113">
        <v>0</v>
      </c>
      <c r="AE256" s="113">
        <v>0</v>
      </c>
      <c r="AG256" s="103" t="s">
        <v>2516</v>
      </c>
      <c r="AH256" s="113">
        <v>0</v>
      </c>
      <c r="AI256" s="113">
        <v>0</v>
      </c>
      <c r="AJ256" s="113">
        <v>0</v>
      </c>
      <c r="AK256" s="113">
        <v>0</v>
      </c>
      <c r="AL256" s="113">
        <v>0</v>
      </c>
      <c r="AM256" s="113">
        <v>0</v>
      </c>
      <c r="AN256" s="113">
        <v>0</v>
      </c>
      <c r="AO256" s="113">
        <v>0</v>
      </c>
      <c r="AP256" s="113">
        <v>0</v>
      </c>
      <c r="AQ256" s="113">
        <v>0</v>
      </c>
      <c r="AR256" s="113">
        <v>0</v>
      </c>
      <c r="AS256" s="113">
        <v>0</v>
      </c>
      <c r="AT256" s="113">
        <v>0</v>
      </c>
      <c r="AU256" s="113">
        <v>0</v>
      </c>
      <c r="AV256" s="113">
        <v>0</v>
      </c>
      <c r="AW256" s="113">
        <v>0</v>
      </c>
      <c r="AX256" s="113">
        <v>0</v>
      </c>
      <c r="AY256" s="113">
        <v>0</v>
      </c>
      <c r="AZ256" s="113">
        <v>-7</v>
      </c>
      <c r="BA256" s="113">
        <v>-8</v>
      </c>
      <c r="BB256" s="113">
        <v>-7</v>
      </c>
      <c r="BC256" s="113">
        <v>-7</v>
      </c>
      <c r="BD256" s="113">
        <v>-7</v>
      </c>
      <c r="BE256" s="113">
        <v>-7</v>
      </c>
      <c r="BF256" s="113">
        <v>-7</v>
      </c>
      <c r="BG256" s="113">
        <v>-7</v>
      </c>
      <c r="BH256" s="113">
        <v>-7</v>
      </c>
      <c r="BI256" s="113">
        <v>-7</v>
      </c>
      <c r="BJ256" s="113">
        <v>-7</v>
      </c>
      <c r="BK256" s="113">
        <v>-6</v>
      </c>
      <c r="BL256" s="113">
        <v>0</v>
      </c>
      <c r="BM256" s="113">
        <v>0</v>
      </c>
      <c r="BN256" s="113">
        <v>0</v>
      </c>
      <c r="BO256" s="113">
        <v>0</v>
      </c>
      <c r="BP256" s="113">
        <v>0</v>
      </c>
      <c r="BQ256" s="113">
        <v>0</v>
      </c>
      <c r="BR256" s="113">
        <v>0</v>
      </c>
      <c r="BS256" s="113">
        <v>0</v>
      </c>
      <c r="BT256" s="113">
        <v>0</v>
      </c>
      <c r="BU256" s="113">
        <v>0</v>
      </c>
      <c r="BV256" s="113">
        <v>0</v>
      </c>
      <c r="BW256" s="113">
        <v>0</v>
      </c>
      <c r="BX256" s="113">
        <v>0</v>
      </c>
      <c r="BY256" s="113">
        <v>0</v>
      </c>
      <c r="BZ256" s="113">
        <v>0</v>
      </c>
      <c r="CA256" s="113">
        <v>0</v>
      </c>
      <c r="CB256" s="113">
        <v>0</v>
      </c>
      <c r="CC256" s="113">
        <v>0</v>
      </c>
      <c r="CD256" s="113">
        <v>0</v>
      </c>
      <c r="CE256" s="113">
        <v>0</v>
      </c>
      <c r="CF256" s="113">
        <v>0</v>
      </c>
      <c r="CG256" s="113">
        <v>0</v>
      </c>
      <c r="CH256" s="113">
        <v>0</v>
      </c>
      <c r="CI256" s="113">
        <v>0</v>
      </c>
      <c r="CJ256" s="113">
        <v>0</v>
      </c>
      <c r="CK256" s="113">
        <v>0</v>
      </c>
      <c r="CL256" s="113">
        <v>0</v>
      </c>
      <c r="CM256" s="113">
        <v>0</v>
      </c>
      <c r="CN256" s="113">
        <v>0</v>
      </c>
      <c r="CO256" s="113">
        <v>0</v>
      </c>
      <c r="CP256" s="113">
        <v>0</v>
      </c>
      <c r="CQ256" s="113">
        <v>0</v>
      </c>
      <c r="CR256" s="113">
        <v>0</v>
      </c>
      <c r="CS256" s="113">
        <v>0</v>
      </c>
      <c r="CT256" s="113">
        <v>0</v>
      </c>
      <c r="CU256" s="113">
        <v>0</v>
      </c>
      <c r="CV256" s="113">
        <v>0</v>
      </c>
      <c r="CW256" s="113">
        <v>0</v>
      </c>
      <c r="CX256" s="113">
        <v>0</v>
      </c>
      <c r="CY256" s="113">
        <v>0</v>
      </c>
      <c r="CZ256" s="113">
        <v>0</v>
      </c>
      <c r="DA256" s="113">
        <v>0</v>
      </c>
      <c r="DB256" s="113">
        <v>0</v>
      </c>
      <c r="DC256" s="113">
        <v>0</v>
      </c>
      <c r="DD256" s="113">
        <v>0</v>
      </c>
      <c r="DE256" s="113">
        <v>0</v>
      </c>
      <c r="DF256" s="113">
        <v>0</v>
      </c>
      <c r="DG256" s="113">
        <v>0</v>
      </c>
      <c r="DH256" s="113">
        <v>0</v>
      </c>
      <c r="DI256" s="113">
        <v>0</v>
      </c>
      <c r="DJ256" s="113">
        <v>0</v>
      </c>
      <c r="DK256" s="113">
        <v>0</v>
      </c>
      <c r="DL256" s="113">
        <v>0</v>
      </c>
      <c r="DM256" s="113">
        <v>0</v>
      </c>
      <c r="DN256" s="113">
        <v>0</v>
      </c>
      <c r="DO256" s="113">
        <v>0</v>
      </c>
      <c r="DP256" s="113">
        <v>0</v>
      </c>
      <c r="DQ256" s="113">
        <v>0</v>
      </c>
      <c r="DR256" s="113">
        <v>0</v>
      </c>
      <c r="DS256" s="113">
        <v>0</v>
      </c>
      <c r="DT256" s="113">
        <v>0</v>
      </c>
      <c r="DU256" s="113">
        <v>0</v>
      </c>
      <c r="DV256" s="113">
        <v>0</v>
      </c>
      <c r="DW256" s="113">
        <v>0</v>
      </c>
      <c r="DX256" s="113">
        <v>0</v>
      </c>
      <c r="DY256" s="113">
        <v>0</v>
      </c>
      <c r="DZ256" s="113">
        <v>0</v>
      </c>
      <c r="EA256" s="113">
        <v>0</v>
      </c>
      <c r="EB256" s="113">
        <v>0</v>
      </c>
      <c r="EC256" s="113">
        <v>0</v>
      </c>
      <c r="ED256" s="113">
        <v>0</v>
      </c>
      <c r="EE256" s="113">
        <v>0</v>
      </c>
      <c r="EF256" s="113">
        <v>0</v>
      </c>
      <c r="EG256" s="113">
        <v>0</v>
      </c>
      <c r="EH256" s="113">
        <v>0</v>
      </c>
      <c r="EI256" s="113">
        <v>0</v>
      </c>
      <c r="EJ256" s="113">
        <v>0</v>
      </c>
      <c r="EK256" s="113">
        <v>0</v>
      </c>
      <c r="EL256" s="113">
        <v>0</v>
      </c>
      <c r="EM256" s="113">
        <v>0</v>
      </c>
      <c r="EN256" s="113">
        <v>0</v>
      </c>
    </row>
    <row r="257" spans="1:144" ht="10.5">
      <c r="A257" s="112" t="s">
        <v>2517</v>
      </c>
      <c r="B257" s="114">
        <v>0</v>
      </c>
      <c r="C257" s="114">
        <v>0</v>
      </c>
      <c r="D257" s="114">
        <v>0</v>
      </c>
      <c r="E257" s="114">
        <v>0</v>
      </c>
      <c r="F257" s="114">
        <v>0</v>
      </c>
      <c r="G257" s="114">
        <v>0</v>
      </c>
      <c r="H257" s="114">
        <v>-15</v>
      </c>
      <c r="I257" s="114">
        <v>-28</v>
      </c>
      <c r="J257" s="114">
        <v>-28</v>
      </c>
      <c r="K257" s="114">
        <v>-13</v>
      </c>
      <c r="L257" s="114">
        <v>0</v>
      </c>
      <c r="M257" s="114">
        <v>0</v>
      </c>
      <c r="N257" s="114">
        <v>-857</v>
      </c>
      <c r="O257" s="114">
        <v>-1729</v>
      </c>
      <c r="P257" s="114">
        <v>-3472</v>
      </c>
      <c r="Q257" s="114">
        <v>-3545</v>
      </c>
      <c r="R257" s="114">
        <v>-3805</v>
      </c>
      <c r="S257" s="114">
        <v>-4015</v>
      </c>
      <c r="T257" s="114">
        <v>-4468</v>
      </c>
      <c r="U257" s="114">
        <v>-4578</v>
      </c>
      <c r="V257" s="114">
        <v>-5180</v>
      </c>
      <c r="W257" s="114">
        <v>-6385</v>
      </c>
      <c r="X257" s="114">
        <v>-7455</v>
      </c>
      <c r="Y257" s="114">
        <v>-8879</v>
      </c>
      <c r="Z257" s="114">
        <v>-9882</v>
      </c>
      <c r="AA257" s="114">
        <v>-11006</v>
      </c>
      <c r="AB257" s="114">
        <v>-11845</v>
      </c>
      <c r="AC257" s="114">
        <v>-12699</v>
      </c>
      <c r="AD257" s="114">
        <v>-13811</v>
      </c>
      <c r="AE257" s="114">
        <v>-14793</v>
      </c>
      <c r="AG257" s="112" t="s">
        <v>2517</v>
      </c>
      <c r="AH257" s="114">
        <v>0</v>
      </c>
      <c r="AI257" s="114">
        <v>0</v>
      </c>
      <c r="AJ257" s="114">
        <v>0</v>
      </c>
      <c r="AK257" s="114">
        <v>0</v>
      </c>
      <c r="AL257" s="114">
        <v>0</v>
      </c>
      <c r="AM257" s="114">
        <v>0</v>
      </c>
      <c r="AN257" s="114">
        <v>0</v>
      </c>
      <c r="AO257" s="114">
        <v>0</v>
      </c>
      <c r="AP257" s="114">
        <v>0</v>
      </c>
      <c r="AQ257" s="114">
        <v>0</v>
      </c>
      <c r="AR257" s="114">
        <v>0</v>
      </c>
      <c r="AS257" s="114">
        <v>0</v>
      </c>
      <c r="AT257" s="114">
        <v>0</v>
      </c>
      <c r="AU257" s="114">
        <v>0</v>
      </c>
      <c r="AV257" s="114">
        <v>0</v>
      </c>
      <c r="AW257" s="114">
        <v>0</v>
      </c>
      <c r="AX257" s="114">
        <v>0</v>
      </c>
      <c r="AY257" s="114">
        <v>0</v>
      </c>
      <c r="AZ257" s="114">
        <v>-7</v>
      </c>
      <c r="BA257" s="114">
        <v>-8</v>
      </c>
      <c r="BB257" s="114">
        <v>-7</v>
      </c>
      <c r="BC257" s="114">
        <v>-7</v>
      </c>
      <c r="BD257" s="114">
        <v>-7</v>
      </c>
      <c r="BE257" s="114">
        <v>-7</v>
      </c>
      <c r="BF257" s="114">
        <v>-7</v>
      </c>
      <c r="BG257" s="114">
        <v>-7</v>
      </c>
      <c r="BH257" s="114">
        <v>-7</v>
      </c>
      <c r="BI257" s="114">
        <v>-7</v>
      </c>
      <c r="BJ257" s="114">
        <v>-7</v>
      </c>
      <c r="BK257" s="114">
        <v>-6</v>
      </c>
      <c r="BL257" s="114">
        <v>0</v>
      </c>
      <c r="BM257" s="114">
        <v>0</v>
      </c>
      <c r="BN257" s="114">
        <v>0</v>
      </c>
      <c r="BO257" s="114">
        <v>0</v>
      </c>
      <c r="BP257" s="114">
        <v>0</v>
      </c>
      <c r="BQ257" s="114">
        <v>0</v>
      </c>
      <c r="BR257" s="114">
        <v>0</v>
      </c>
      <c r="BS257" s="114">
        <v>0</v>
      </c>
      <c r="BT257" s="114">
        <v>0</v>
      </c>
      <c r="BU257" s="114">
        <v>0</v>
      </c>
      <c r="BV257" s="114">
        <v>0</v>
      </c>
      <c r="BW257" s="114">
        <v>0</v>
      </c>
      <c r="BX257" s="114">
        <v>-857</v>
      </c>
      <c r="BY257" s="114">
        <v>0</v>
      </c>
      <c r="BZ257" s="114">
        <v>0</v>
      </c>
      <c r="CA257" s="114">
        <v>-1729</v>
      </c>
      <c r="CB257" s="114">
        <v>0</v>
      </c>
      <c r="CC257" s="114">
        <v>0</v>
      </c>
      <c r="CD257" s="114">
        <v>-870</v>
      </c>
      <c r="CE257" s="114">
        <v>-858</v>
      </c>
      <c r="CF257" s="114">
        <v>-885</v>
      </c>
      <c r="CG257" s="114">
        <v>-859</v>
      </c>
      <c r="CH257" s="114">
        <v>-857</v>
      </c>
      <c r="CI257" s="114">
        <v>-846</v>
      </c>
      <c r="CJ257" s="114">
        <v>-925</v>
      </c>
      <c r="CK257" s="114">
        <v>-917</v>
      </c>
      <c r="CL257" s="114">
        <v>-897</v>
      </c>
      <c r="CM257" s="114">
        <v>-980</v>
      </c>
      <c r="CN257" s="114">
        <v>-976</v>
      </c>
      <c r="CO257" s="114">
        <v>-952</v>
      </c>
      <c r="CP257" s="114">
        <v>-938</v>
      </c>
      <c r="CQ257" s="114">
        <v>-1034</v>
      </c>
      <c r="CR257" s="114">
        <v>-1023</v>
      </c>
      <c r="CS257" s="114">
        <v>-1020</v>
      </c>
      <c r="CT257" s="114">
        <v>-998</v>
      </c>
      <c r="CU257" s="114">
        <v>-1157</v>
      </c>
      <c r="CV257" s="114">
        <v>-1155</v>
      </c>
      <c r="CW257" s="114">
        <v>-1158</v>
      </c>
      <c r="CX257" s="114">
        <v>-1157</v>
      </c>
      <c r="CY257" s="114">
        <v>-1152</v>
      </c>
      <c r="CZ257" s="114">
        <v>-1139</v>
      </c>
      <c r="DA257" s="114">
        <v>-1130</v>
      </c>
      <c r="DB257" s="114">
        <v>-1118</v>
      </c>
      <c r="DC257" s="114">
        <v>-1363</v>
      </c>
      <c r="DD257" s="114">
        <v>-1349</v>
      </c>
      <c r="DE257" s="114">
        <v>-1350</v>
      </c>
      <c r="DF257" s="114">
        <v>-1341</v>
      </c>
      <c r="DG257" s="114">
        <v>-1683</v>
      </c>
      <c r="DH257" s="114">
        <v>-1683</v>
      </c>
      <c r="DI257" s="114">
        <v>-1678</v>
      </c>
      <c r="DJ257" s="114">
        <v>-1676</v>
      </c>
      <c r="DK257" s="114">
        <v>-1933</v>
      </c>
      <c r="DL257" s="114">
        <v>-1925</v>
      </c>
      <c r="DM257" s="114">
        <v>-1921</v>
      </c>
      <c r="DN257" s="114">
        <v>-1916</v>
      </c>
      <c r="DO257" s="114">
        <v>-2332</v>
      </c>
      <c r="DP257" s="114">
        <v>-2322</v>
      </c>
      <c r="DQ257" s="114">
        <v>-2309</v>
      </c>
      <c r="DR257" s="114">
        <v>-2307</v>
      </c>
      <c r="DS257" s="114">
        <v>-2547</v>
      </c>
      <c r="DT257" s="114">
        <v>-2532</v>
      </c>
      <c r="DU257" s="114">
        <v>-2496</v>
      </c>
      <c r="DV257" s="114">
        <v>-2475</v>
      </c>
      <c r="DW257" s="114">
        <v>-2868</v>
      </c>
      <c r="DX257" s="114">
        <v>-2842</v>
      </c>
      <c r="DY257" s="114">
        <v>-2821</v>
      </c>
      <c r="DZ257" s="114">
        <v>-2800</v>
      </c>
      <c r="EA257" s="114">
        <v>-3024</v>
      </c>
      <c r="EB257" s="114">
        <v>-3012</v>
      </c>
      <c r="EC257" s="114">
        <v>-3009</v>
      </c>
      <c r="ED257" s="114">
        <v>-3003</v>
      </c>
      <c r="EE257" s="114">
        <v>-3238</v>
      </c>
      <c r="EF257" s="114">
        <v>-3232</v>
      </c>
      <c r="EG257" s="114">
        <v>-3226</v>
      </c>
      <c r="EH257" s="114">
        <v>-3220</v>
      </c>
      <c r="EI257" s="114">
        <v>-3544</v>
      </c>
      <c r="EJ257" s="114">
        <v>-3526</v>
      </c>
      <c r="EK257" s="114">
        <v>-3521</v>
      </c>
      <c r="EL257" s="114">
        <v>-3510</v>
      </c>
      <c r="EM257" s="114">
        <v>-3886</v>
      </c>
      <c r="EN257" s="114">
        <v>-3876</v>
      </c>
    </row>
    <row r="258" spans="1:144">
      <c r="A258" s="103"/>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c r="BE258" s="103"/>
      <c r="BF258" s="103"/>
      <c r="BG258" s="103"/>
      <c r="BH258" s="103"/>
      <c r="BI258" s="103"/>
      <c r="BJ258" s="103"/>
      <c r="BK258" s="103"/>
      <c r="BL258" s="103"/>
      <c r="BM258" s="103"/>
      <c r="BN258" s="103"/>
      <c r="BO258" s="103"/>
      <c r="BP258" s="103"/>
      <c r="BQ258" s="103"/>
      <c r="BR258" s="103"/>
      <c r="BS258" s="103"/>
      <c r="BT258" s="103"/>
      <c r="BU258" s="103"/>
      <c r="BV258" s="103"/>
      <c r="BW258" s="103"/>
      <c r="BX258" s="103"/>
      <c r="BY258" s="103"/>
      <c r="BZ258" s="103"/>
      <c r="CA258" s="103"/>
      <c r="CB258" s="103"/>
      <c r="CC258" s="103"/>
      <c r="CD258" s="103"/>
      <c r="CE258" s="103"/>
      <c r="CF258" s="103"/>
      <c r="CG258" s="103"/>
      <c r="CH258" s="103"/>
      <c r="CI258" s="103"/>
      <c r="CJ258" s="103"/>
      <c r="CK258" s="103"/>
      <c r="CL258" s="103"/>
      <c r="CM258" s="103"/>
      <c r="CN258" s="103"/>
      <c r="CO258" s="103"/>
      <c r="CP258" s="103"/>
      <c r="CQ258" s="103"/>
      <c r="CR258" s="103"/>
      <c r="CS258" s="103"/>
      <c r="CT258" s="103"/>
      <c r="CU258" s="103"/>
      <c r="CV258" s="103"/>
      <c r="CW258" s="103"/>
      <c r="CX258" s="103"/>
      <c r="CY258" s="103"/>
      <c r="CZ258" s="103"/>
      <c r="DA258" s="103"/>
      <c r="DB258" s="103"/>
      <c r="DC258" s="103"/>
      <c r="DD258" s="103"/>
      <c r="DE258" s="103"/>
      <c r="DF258" s="103"/>
      <c r="DG258" s="103"/>
      <c r="DH258" s="103"/>
      <c r="DI258" s="103"/>
      <c r="DJ258" s="103"/>
      <c r="DK258" s="103"/>
      <c r="DL258" s="103"/>
      <c r="DM258" s="103"/>
      <c r="DN258" s="103"/>
      <c r="DO258" s="103"/>
      <c r="DP258" s="103"/>
      <c r="DQ258" s="103"/>
      <c r="DR258" s="103"/>
      <c r="DS258" s="103"/>
      <c r="DT258" s="103"/>
      <c r="DU258" s="103"/>
      <c r="DV258" s="103"/>
      <c r="DW258" s="103"/>
      <c r="DX258" s="103"/>
      <c r="DY258" s="103"/>
      <c r="DZ258" s="103"/>
      <c r="EA258" s="103"/>
      <c r="EB258" s="103"/>
      <c r="EC258" s="103"/>
      <c r="ED258" s="103"/>
      <c r="EE258" s="103"/>
      <c r="EF258" s="103"/>
      <c r="EG258" s="103"/>
      <c r="EH258" s="103"/>
      <c r="EI258" s="103"/>
      <c r="EJ258" s="103"/>
      <c r="EK258" s="103"/>
      <c r="EL258" s="103"/>
      <c r="EM258" s="103"/>
      <c r="EN258" s="103"/>
    </row>
    <row r="259" spans="1:144">
      <c r="A259" s="103" t="s">
        <v>2518</v>
      </c>
      <c r="B259" s="113">
        <v>0</v>
      </c>
      <c r="C259" s="113">
        <v>0</v>
      </c>
      <c r="D259" s="113">
        <v>0</v>
      </c>
      <c r="E259" s="113">
        <v>0</v>
      </c>
      <c r="F259" s="113">
        <v>0</v>
      </c>
      <c r="G259" s="113">
        <v>0</v>
      </c>
      <c r="H259" s="113">
        <v>0</v>
      </c>
      <c r="I259" s="113">
        <v>0</v>
      </c>
      <c r="J259" s="113">
        <v>0</v>
      </c>
      <c r="K259" s="113">
        <v>0</v>
      </c>
      <c r="L259" s="113">
        <v>0</v>
      </c>
      <c r="M259" s="113">
        <v>0</v>
      </c>
      <c r="N259" s="113">
        <v>0</v>
      </c>
      <c r="O259" s="113">
        <v>0</v>
      </c>
      <c r="P259" s="113">
        <v>-32640</v>
      </c>
      <c r="Q259" s="113">
        <v>0</v>
      </c>
      <c r="R259" s="113">
        <v>0</v>
      </c>
      <c r="S259" s="113">
        <v>0</v>
      </c>
      <c r="T259" s="113">
        <v>0</v>
      </c>
      <c r="U259" s="113">
        <v>0</v>
      </c>
      <c r="V259" s="113">
        <v>0</v>
      </c>
      <c r="W259" s="113">
        <v>0</v>
      </c>
      <c r="X259" s="113">
        <v>0</v>
      </c>
      <c r="Y259" s="113">
        <v>0</v>
      </c>
      <c r="Z259" s="113">
        <v>0</v>
      </c>
      <c r="AA259" s="113">
        <v>0</v>
      </c>
      <c r="AB259" s="113">
        <v>0</v>
      </c>
      <c r="AC259" s="113">
        <v>0</v>
      </c>
      <c r="AD259" s="113">
        <v>0</v>
      </c>
      <c r="AE259" s="113">
        <v>0</v>
      </c>
      <c r="AG259" s="103" t="s">
        <v>2518</v>
      </c>
      <c r="AH259" s="113">
        <v>0</v>
      </c>
      <c r="AI259" s="113">
        <v>0</v>
      </c>
      <c r="AJ259" s="113">
        <v>0</v>
      </c>
      <c r="AK259" s="113">
        <v>0</v>
      </c>
      <c r="AL259" s="113">
        <v>0</v>
      </c>
      <c r="AM259" s="113">
        <v>0</v>
      </c>
      <c r="AN259" s="113">
        <v>0</v>
      </c>
      <c r="AO259" s="113">
        <v>0</v>
      </c>
      <c r="AP259" s="113">
        <v>0</v>
      </c>
      <c r="AQ259" s="113">
        <v>0</v>
      </c>
      <c r="AR259" s="113">
        <v>0</v>
      </c>
      <c r="AS259" s="113">
        <v>0</v>
      </c>
      <c r="AT259" s="113">
        <v>0</v>
      </c>
      <c r="AU259" s="113">
        <v>0</v>
      </c>
      <c r="AV259" s="113">
        <v>0</v>
      </c>
      <c r="AW259" s="113">
        <v>0</v>
      </c>
      <c r="AX259" s="113">
        <v>0</v>
      </c>
      <c r="AY259" s="113">
        <v>0</v>
      </c>
      <c r="AZ259" s="113">
        <v>0</v>
      </c>
      <c r="BA259" s="113">
        <v>0</v>
      </c>
      <c r="BB259" s="113">
        <v>0</v>
      </c>
      <c r="BC259" s="113">
        <v>0</v>
      </c>
      <c r="BD259" s="113">
        <v>0</v>
      </c>
      <c r="BE259" s="113">
        <v>0</v>
      </c>
      <c r="BF259" s="113">
        <v>0</v>
      </c>
      <c r="BG259" s="113">
        <v>0</v>
      </c>
      <c r="BH259" s="113">
        <v>0</v>
      </c>
      <c r="BI259" s="113">
        <v>0</v>
      </c>
      <c r="BJ259" s="113">
        <v>0</v>
      </c>
      <c r="BK259" s="113">
        <v>0</v>
      </c>
      <c r="BL259" s="113">
        <v>0</v>
      </c>
      <c r="BM259" s="113">
        <v>0</v>
      </c>
      <c r="BN259" s="113">
        <v>0</v>
      </c>
      <c r="BO259" s="113">
        <v>0</v>
      </c>
      <c r="BP259" s="113">
        <v>0</v>
      </c>
      <c r="BQ259" s="113">
        <v>0</v>
      </c>
      <c r="BR259" s="113">
        <v>0</v>
      </c>
      <c r="BS259" s="113">
        <v>0</v>
      </c>
      <c r="BT259" s="113">
        <v>0</v>
      </c>
      <c r="BU259" s="113">
        <v>0</v>
      </c>
      <c r="BV259" s="113">
        <v>0</v>
      </c>
      <c r="BW259" s="113">
        <v>0</v>
      </c>
      <c r="BX259" s="113">
        <v>0</v>
      </c>
      <c r="BY259" s="113">
        <v>0</v>
      </c>
      <c r="BZ259" s="113">
        <v>0</v>
      </c>
      <c r="CA259" s="113">
        <v>0</v>
      </c>
      <c r="CB259" s="113">
        <v>0</v>
      </c>
      <c r="CC259" s="113">
        <v>0</v>
      </c>
      <c r="CD259" s="113">
        <v>0</v>
      </c>
      <c r="CE259" s="113">
        <v>-32640</v>
      </c>
      <c r="CF259" s="113">
        <v>0</v>
      </c>
      <c r="CG259" s="113">
        <v>0</v>
      </c>
      <c r="CH259" s="113">
        <v>0</v>
      </c>
      <c r="CI259" s="113">
        <v>0</v>
      </c>
      <c r="CJ259" s="113">
        <v>0</v>
      </c>
      <c r="CK259" s="113">
        <v>0</v>
      </c>
      <c r="CL259" s="113">
        <v>0</v>
      </c>
      <c r="CM259" s="113">
        <v>0</v>
      </c>
      <c r="CN259" s="113">
        <v>0</v>
      </c>
      <c r="CO259" s="113">
        <v>0</v>
      </c>
      <c r="CP259" s="113">
        <v>0</v>
      </c>
      <c r="CQ259" s="113">
        <v>0</v>
      </c>
      <c r="CR259" s="113">
        <v>0</v>
      </c>
      <c r="CS259" s="113">
        <v>0</v>
      </c>
      <c r="CT259" s="113">
        <v>0</v>
      </c>
      <c r="CU259" s="113">
        <v>0</v>
      </c>
      <c r="CV259" s="113">
        <v>0</v>
      </c>
      <c r="CW259" s="113">
        <v>0</v>
      </c>
      <c r="CX259" s="113">
        <v>0</v>
      </c>
      <c r="CY259" s="113">
        <v>0</v>
      </c>
      <c r="CZ259" s="113">
        <v>0</v>
      </c>
      <c r="DA259" s="113">
        <v>0</v>
      </c>
      <c r="DB259" s="113">
        <v>0</v>
      </c>
      <c r="DC259" s="113">
        <v>0</v>
      </c>
      <c r="DD259" s="113">
        <v>0</v>
      </c>
      <c r="DE259" s="113">
        <v>0</v>
      </c>
      <c r="DF259" s="113">
        <v>0</v>
      </c>
      <c r="DG259" s="113">
        <v>0</v>
      </c>
      <c r="DH259" s="113">
        <v>0</v>
      </c>
      <c r="DI259" s="113">
        <v>0</v>
      </c>
      <c r="DJ259" s="113">
        <v>0</v>
      </c>
      <c r="DK259" s="113">
        <v>0</v>
      </c>
      <c r="DL259" s="113">
        <v>0</v>
      </c>
      <c r="DM259" s="113">
        <v>0</v>
      </c>
      <c r="DN259" s="113">
        <v>0</v>
      </c>
      <c r="DO259" s="113">
        <v>0</v>
      </c>
      <c r="DP259" s="113">
        <v>0</v>
      </c>
      <c r="DQ259" s="113">
        <v>0</v>
      </c>
      <c r="DR259" s="113">
        <v>0</v>
      </c>
      <c r="DS259" s="113">
        <v>0</v>
      </c>
      <c r="DT259" s="113">
        <v>0</v>
      </c>
      <c r="DU259" s="113">
        <v>0</v>
      </c>
      <c r="DV259" s="113">
        <v>0</v>
      </c>
      <c r="DW259" s="113">
        <v>0</v>
      </c>
      <c r="DX259" s="113">
        <v>0</v>
      </c>
      <c r="DY259" s="113">
        <v>0</v>
      </c>
      <c r="DZ259" s="113">
        <v>0</v>
      </c>
      <c r="EA259" s="113">
        <v>0</v>
      </c>
      <c r="EB259" s="113">
        <v>0</v>
      </c>
      <c r="EC259" s="113">
        <v>0</v>
      </c>
      <c r="ED259" s="113">
        <v>0</v>
      </c>
      <c r="EE259" s="113">
        <v>0</v>
      </c>
      <c r="EF259" s="113">
        <v>0</v>
      </c>
      <c r="EG259" s="113">
        <v>0</v>
      </c>
      <c r="EH259" s="113">
        <v>0</v>
      </c>
      <c r="EI259" s="113">
        <v>0</v>
      </c>
      <c r="EJ259" s="113">
        <v>0</v>
      </c>
      <c r="EK259" s="113">
        <v>0</v>
      </c>
      <c r="EL259" s="113">
        <v>0</v>
      </c>
      <c r="EM259" s="113">
        <v>0</v>
      </c>
      <c r="EN259" s="113">
        <v>0</v>
      </c>
    </row>
    <row r="260" spans="1:144">
      <c r="A260" s="103" t="s">
        <v>2519</v>
      </c>
      <c r="B260" s="113">
        <v>85</v>
      </c>
      <c r="C260" s="113">
        <v>130</v>
      </c>
      <c r="D260" s="113">
        <v>207</v>
      </c>
      <c r="E260" s="113">
        <v>151</v>
      </c>
      <c r="F260" s="113">
        <v>228</v>
      </c>
      <c r="G260" s="113">
        <v>476</v>
      </c>
      <c r="H260" s="113">
        <v>891</v>
      </c>
      <c r="I260" s="113">
        <v>538</v>
      </c>
      <c r="J260" s="113">
        <v>766</v>
      </c>
      <c r="K260" s="113">
        <v>472</v>
      </c>
      <c r="L260" s="113">
        <v>-1132</v>
      </c>
      <c r="M260" s="113">
        <v>0</v>
      </c>
      <c r="N260" s="113">
        <v>0</v>
      </c>
      <c r="O260" s="113">
        <v>0</v>
      </c>
      <c r="P260" s="113">
        <v>-18</v>
      </c>
      <c r="Q260" s="113">
        <v>89</v>
      </c>
      <c r="R260" s="113">
        <v>54</v>
      </c>
      <c r="S260" s="113">
        <v>120</v>
      </c>
      <c r="T260" s="113">
        <v>33</v>
      </c>
      <c r="U260" s="113">
        <v>55</v>
      </c>
      <c r="V260" s="113">
        <v>-23</v>
      </c>
      <c r="W260" s="113">
        <v>93</v>
      </c>
      <c r="X260" s="113">
        <v>199</v>
      </c>
      <c r="Y260" s="113">
        <v>-39</v>
      </c>
      <c r="Z260" s="113">
        <v>362</v>
      </c>
      <c r="AA260" s="113">
        <v>-369</v>
      </c>
      <c r="AB260" s="113">
        <v>-190</v>
      </c>
      <c r="AC260" s="113">
        <v>-971</v>
      </c>
      <c r="AD260" s="113">
        <v>-675</v>
      </c>
      <c r="AE260" s="113">
        <v>-645</v>
      </c>
      <c r="AG260" s="103" t="s">
        <v>2519</v>
      </c>
      <c r="AH260" s="113">
        <v>68</v>
      </c>
      <c r="AI260" s="113">
        <v>68</v>
      </c>
      <c r="AJ260" s="113">
        <v>30</v>
      </c>
      <c r="AK260" s="113">
        <v>41</v>
      </c>
      <c r="AL260" s="113">
        <v>21</v>
      </c>
      <c r="AM260" s="113">
        <v>43</v>
      </c>
      <c r="AN260" s="113">
        <v>45</v>
      </c>
      <c r="AO260" s="113">
        <v>42</v>
      </c>
      <c r="AP260" s="113">
        <v>39</v>
      </c>
      <c r="AQ260" s="113">
        <v>39</v>
      </c>
      <c r="AR260" s="113">
        <v>45</v>
      </c>
      <c r="AS260" s="113">
        <v>56</v>
      </c>
      <c r="AT260" s="113">
        <v>58</v>
      </c>
      <c r="AU260" s="113">
        <v>13</v>
      </c>
      <c r="AV260" s="113">
        <v>172</v>
      </c>
      <c r="AW260" s="113">
        <v>233</v>
      </c>
      <c r="AX260" s="113">
        <v>138</v>
      </c>
      <c r="AY260" s="113">
        <v>88</v>
      </c>
      <c r="AZ260" s="113">
        <v>305</v>
      </c>
      <c r="BA260" s="113">
        <v>283</v>
      </c>
      <c r="BB260" s="113">
        <v>479</v>
      </c>
      <c r="BC260" s="113">
        <v>253</v>
      </c>
      <c r="BD260" s="113">
        <v>566</v>
      </c>
      <c r="BE260" s="113">
        <v>793</v>
      </c>
      <c r="BF260" s="113">
        <v>816</v>
      </c>
      <c r="BG260" s="113">
        <v>757</v>
      </c>
      <c r="BH260" s="113">
        <v>1422</v>
      </c>
      <c r="BI260" s="113">
        <v>-2229</v>
      </c>
      <c r="BJ260" s="113">
        <v>290</v>
      </c>
      <c r="BK260" s="113">
        <v>182</v>
      </c>
      <c r="BL260" s="113">
        <v>0</v>
      </c>
      <c r="BM260" s="113">
        <v>0</v>
      </c>
      <c r="BN260" s="113">
        <v>81</v>
      </c>
      <c r="BO260" s="113">
        <v>-486</v>
      </c>
      <c r="BP260" s="113">
        <v>-264</v>
      </c>
      <c r="BQ260" s="113">
        <v>-463</v>
      </c>
      <c r="BR260" s="113">
        <v>0</v>
      </c>
      <c r="BS260" s="113">
        <v>0</v>
      </c>
      <c r="BT260" s="113">
        <v>0</v>
      </c>
      <c r="BU260" s="113">
        <v>0</v>
      </c>
      <c r="BV260" s="113">
        <v>0</v>
      </c>
      <c r="BW260" s="113">
        <v>0</v>
      </c>
      <c r="BX260" s="113">
        <v>0</v>
      </c>
      <c r="BY260" s="113">
        <v>0</v>
      </c>
      <c r="BZ260" s="113">
        <v>0</v>
      </c>
      <c r="CA260" s="113">
        <v>0</v>
      </c>
      <c r="CB260" s="113">
        <v>0</v>
      </c>
      <c r="CC260" s="113">
        <v>0</v>
      </c>
      <c r="CD260" s="113">
        <v>0</v>
      </c>
      <c r="CE260" s="113">
        <v>0</v>
      </c>
      <c r="CF260" s="113">
        <v>0</v>
      </c>
      <c r="CG260" s="113">
        <v>-18</v>
      </c>
      <c r="CH260" s="113">
        <v>31</v>
      </c>
      <c r="CI260" s="113">
        <v>13</v>
      </c>
      <c r="CJ260" s="113">
        <v>23</v>
      </c>
      <c r="CK260" s="113">
        <v>22</v>
      </c>
      <c r="CL260" s="113">
        <v>20</v>
      </c>
      <c r="CM260" s="113">
        <v>5</v>
      </c>
      <c r="CN260" s="113">
        <v>7</v>
      </c>
      <c r="CO260" s="113">
        <v>22</v>
      </c>
      <c r="CP260" s="113">
        <v>69</v>
      </c>
      <c r="CQ260" s="113">
        <v>33</v>
      </c>
      <c r="CR260" s="113">
        <v>9</v>
      </c>
      <c r="CS260" s="113">
        <v>9</v>
      </c>
      <c r="CT260" s="113">
        <v>44</v>
      </c>
      <c r="CU260" s="113">
        <v>2</v>
      </c>
      <c r="CV260" s="113">
        <v>2</v>
      </c>
      <c r="CW260" s="113">
        <v>-15</v>
      </c>
      <c r="CX260" s="113">
        <v>9</v>
      </c>
      <c r="CY260" s="113">
        <v>15</v>
      </c>
      <c r="CZ260" s="113">
        <v>14</v>
      </c>
      <c r="DA260" s="113">
        <v>17</v>
      </c>
      <c r="DB260" s="113">
        <v>-20</v>
      </c>
      <c r="DC260" s="113">
        <v>4</v>
      </c>
      <c r="DD260" s="113">
        <v>-10</v>
      </c>
      <c r="DE260" s="113">
        <v>3</v>
      </c>
      <c r="DF260" s="113">
        <v>70</v>
      </c>
      <c r="DG260" s="113">
        <v>4</v>
      </c>
      <c r="DH260" s="113">
        <v>10</v>
      </c>
      <c r="DI260" s="113">
        <v>9</v>
      </c>
      <c r="DJ260" s="113">
        <v>177</v>
      </c>
      <c r="DK260" s="113">
        <v>-7</v>
      </c>
      <c r="DL260" s="113">
        <v>6</v>
      </c>
      <c r="DM260" s="113">
        <v>23</v>
      </c>
      <c r="DN260" s="113">
        <v>205</v>
      </c>
      <c r="DO260" s="113">
        <v>-19</v>
      </c>
      <c r="DP260" s="113">
        <v>22</v>
      </c>
      <c r="DQ260" s="113">
        <v>24</v>
      </c>
      <c r="DR260" s="113">
        <v>502</v>
      </c>
      <c r="DS260" s="113">
        <v>307</v>
      </c>
      <c r="DT260" s="113">
        <v>316</v>
      </c>
      <c r="DU260" s="113">
        <v>-239</v>
      </c>
      <c r="DV260" s="113">
        <v>-178</v>
      </c>
      <c r="DW260" s="113">
        <v>-65</v>
      </c>
      <c r="DX260" s="113">
        <v>-123</v>
      </c>
      <c r="DY260" s="113">
        <v>-3</v>
      </c>
      <c r="DZ260" s="113">
        <v>-112</v>
      </c>
      <c r="EA260" s="113">
        <v>312</v>
      </c>
      <c r="EB260" s="113">
        <v>-375</v>
      </c>
      <c r="EC260" s="113">
        <v>-15</v>
      </c>
      <c r="ED260" s="113">
        <v>-150</v>
      </c>
      <c r="EE260" s="113">
        <v>-156</v>
      </c>
      <c r="EF260" s="113">
        <v>-640</v>
      </c>
      <c r="EG260" s="113">
        <v>-25</v>
      </c>
      <c r="EH260" s="113">
        <v>-780</v>
      </c>
      <c r="EI260" s="113">
        <v>-459</v>
      </c>
      <c r="EJ260" s="113">
        <v>404</v>
      </c>
      <c r="EK260" s="113">
        <v>160</v>
      </c>
      <c r="EL260" s="113">
        <v>286</v>
      </c>
      <c r="EM260" s="113">
        <v>-39</v>
      </c>
      <c r="EN260" s="113">
        <v>-1052</v>
      </c>
    </row>
    <row r="261" spans="1:144" ht="10.5">
      <c r="A261" s="112" t="s">
        <v>2520</v>
      </c>
      <c r="B261" s="114">
        <v>-17</v>
      </c>
      <c r="C261" s="114">
        <v>130</v>
      </c>
      <c r="D261" s="114">
        <v>186</v>
      </c>
      <c r="E261" s="114">
        <v>83</v>
      </c>
      <c r="F261" s="114">
        <v>-138</v>
      </c>
      <c r="G261" s="114">
        <v>-405</v>
      </c>
      <c r="H261" s="114">
        <v>-501</v>
      </c>
      <c r="I261" s="114">
        <v>-999</v>
      </c>
      <c r="J261" s="114">
        <v>-862</v>
      </c>
      <c r="K261" s="114">
        <v>-2192</v>
      </c>
      <c r="L261" s="114">
        <v>-5586</v>
      </c>
      <c r="M261" s="114">
        <v>-4572</v>
      </c>
      <c r="N261" s="114">
        <v>-5223</v>
      </c>
      <c r="O261" s="114">
        <v>-2364</v>
      </c>
      <c r="P261" s="114">
        <v>-41078</v>
      </c>
      <c r="Q261" s="114">
        <v>-20562</v>
      </c>
      <c r="R261" s="114">
        <v>-24544</v>
      </c>
      <c r="S261" s="114">
        <v>-12934</v>
      </c>
      <c r="T261" s="114">
        <v>-7463</v>
      </c>
      <c r="U261" s="114">
        <v>-13291</v>
      </c>
      <c r="V261" s="114">
        <v>-8376</v>
      </c>
      <c r="W261" s="114">
        <v>-9408</v>
      </c>
      <c r="X261" s="114">
        <v>-8148</v>
      </c>
      <c r="Y261" s="114">
        <v>-8665</v>
      </c>
      <c r="Z261" s="114">
        <v>-9668</v>
      </c>
      <c r="AA261" s="114">
        <v>-8393</v>
      </c>
      <c r="AB261" s="114">
        <v>8408</v>
      </c>
      <c r="AC261" s="114">
        <v>-33590</v>
      </c>
      <c r="AD261" s="114">
        <v>-36887</v>
      </c>
      <c r="AE261" s="114">
        <v>-42455</v>
      </c>
      <c r="AG261" s="112" t="s">
        <v>2520</v>
      </c>
      <c r="AH261" s="114">
        <v>86.5</v>
      </c>
      <c r="AI261" s="114">
        <v>86.5</v>
      </c>
      <c r="AJ261" s="114">
        <v>33</v>
      </c>
      <c r="AK261" s="114">
        <v>-20</v>
      </c>
      <c r="AL261" s="114">
        <v>-6</v>
      </c>
      <c r="AM261" s="114">
        <v>-4</v>
      </c>
      <c r="AN261" s="114">
        <v>1</v>
      </c>
      <c r="AO261" s="114">
        <v>92</v>
      </c>
      <c r="AP261" s="114">
        <v>-122</v>
      </c>
      <c r="AQ261" s="114">
        <v>-220</v>
      </c>
      <c r="AR261" s="114">
        <v>60</v>
      </c>
      <c r="AS261" s="114">
        <v>144</v>
      </c>
      <c r="AT261" s="114">
        <v>27</v>
      </c>
      <c r="AU261" s="114">
        <v>-255</v>
      </c>
      <c r="AV261" s="114">
        <v>55</v>
      </c>
      <c r="AW261" s="114">
        <v>-232</v>
      </c>
      <c r="AX261" s="114">
        <v>-376</v>
      </c>
      <c r="AY261" s="114">
        <v>872</v>
      </c>
      <c r="AZ261" s="114">
        <v>-1463</v>
      </c>
      <c r="BA261" s="114">
        <v>466</v>
      </c>
      <c r="BB261" s="114">
        <v>-234</v>
      </c>
      <c r="BC261" s="114">
        <v>-316</v>
      </c>
      <c r="BD261" s="114">
        <v>872</v>
      </c>
      <c r="BE261" s="114">
        <v>232</v>
      </c>
      <c r="BF261" s="114">
        <v>621</v>
      </c>
      <c r="BG261" s="114">
        <v>780</v>
      </c>
      <c r="BH261" s="114">
        <v>1148</v>
      </c>
      <c r="BI261" s="114">
        <v>-3411</v>
      </c>
      <c r="BJ261" s="114">
        <v>-290</v>
      </c>
      <c r="BK261" s="114">
        <v>-3190</v>
      </c>
      <c r="BL261" s="114">
        <v>817</v>
      </c>
      <c r="BM261" s="114">
        <v>471</v>
      </c>
      <c r="BN261" s="114">
        <v>-1296</v>
      </c>
      <c r="BO261" s="114">
        <v>-1636</v>
      </c>
      <c r="BP261" s="114">
        <v>-1023</v>
      </c>
      <c r="BQ261" s="114">
        <v>-1631</v>
      </c>
      <c r="BR261" s="114">
        <v>-734</v>
      </c>
      <c r="BS261" s="114">
        <v>254</v>
      </c>
      <c r="BT261" s="114">
        <v>-251</v>
      </c>
      <c r="BU261" s="114">
        <v>-3841</v>
      </c>
      <c r="BV261" s="114">
        <v>-2958</v>
      </c>
      <c r="BW261" s="114">
        <v>-571</v>
      </c>
      <c r="BX261" s="114">
        <v>-1211</v>
      </c>
      <c r="BY261" s="114">
        <v>-483</v>
      </c>
      <c r="BZ261" s="114">
        <v>-350</v>
      </c>
      <c r="CA261" s="114">
        <v>-2270</v>
      </c>
      <c r="CB261" s="114">
        <v>-1040</v>
      </c>
      <c r="CC261" s="114">
        <v>1296</v>
      </c>
      <c r="CD261" s="114">
        <v>-738</v>
      </c>
      <c r="CE261" s="114">
        <v>-33672</v>
      </c>
      <c r="CF261" s="114">
        <v>-2958</v>
      </c>
      <c r="CG261" s="114">
        <v>-3710</v>
      </c>
      <c r="CH261" s="114">
        <v>-2941</v>
      </c>
      <c r="CI261" s="114">
        <v>-7802</v>
      </c>
      <c r="CJ261" s="114">
        <v>-5135</v>
      </c>
      <c r="CK261" s="114">
        <v>-4684</v>
      </c>
      <c r="CL261" s="114">
        <v>-8175</v>
      </c>
      <c r="CM261" s="114">
        <v>-2323</v>
      </c>
      <c r="CN261" s="114">
        <v>-7063</v>
      </c>
      <c r="CO261" s="114">
        <v>-6983</v>
      </c>
      <c r="CP261" s="114">
        <v>-3153</v>
      </c>
      <c r="CQ261" s="114">
        <v>-2723</v>
      </c>
      <c r="CR261" s="114">
        <v>-1986</v>
      </c>
      <c r="CS261" s="114">
        <v>-5072</v>
      </c>
      <c r="CT261" s="114">
        <v>-5244</v>
      </c>
      <c r="CU261" s="114">
        <v>-3858</v>
      </c>
      <c r="CV261" s="114">
        <v>-1060</v>
      </c>
      <c r="CW261" s="114">
        <v>2699</v>
      </c>
      <c r="CX261" s="114">
        <v>-2190</v>
      </c>
      <c r="CY261" s="114">
        <v>-4277</v>
      </c>
      <c r="CZ261" s="114">
        <v>-2726</v>
      </c>
      <c r="DA261" s="114">
        <v>-4098</v>
      </c>
      <c r="DB261" s="114">
        <v>-639</v>
      </c>
      <c r="DC261" s="114">
        <v>-6751</v>
      </c>
      <c r="DD261" s="114">
        <v>1437</v>
      </c>
      <c r="DE261" s="114">
        <v>-2423</v>
      </c>
      <c r="DF261" s="114">
        <v>-2869</v>
      </c>
      <c r="DG261" s="114">
        <v>-2513</v>
      </c>
      <c r="DH261" s="114">
        <v>-1605</v>
      </c>
      <c r="DI261" s="114">
        <v>-2421</v>
      </c>
      <c r="DJ261" s="114">
        <v>-2714</v>
      </c>
      <c r="DK261" s="114">
        <v>-1221</v>
      </c>
      <c r="DL261" s="114">
        <v>-2744</v>
      </c>
      <c r="DM261" s="114">
        <v>-1469</v>
      </c>
      <c r="DN261" s="114">
        <v>-3396</v>
      </c>
      <c r="DO261" s="114">
        <v>2615</v>
      </c>
      <c r="DP261" s="114">
        <v>-4304</v>
      </c>
      <c r="DQ261" s="114">
        <v>-3309</v>
      </c>
      <c r="DR261" s="114">
        <v>-2978</v>
      </c>
      <c r="DS261" s="114">
        <v>534</v>
      </c>
      <c r="DT261" s="114">
        <v>-3096</v>
      </c>
      <c r="DU261" s="114">
        <v>-3604</v>
      </c>
      <c r="DV261" s="114">
        <v>-3930</v>
      </c>
      <c r="DW261" s="114">
        <v>-518</v>
      </c>
      <c r="DX261" s="114">
        <v>-4916</v>
      </c>
      <c r="DY261" s="114">
        <v>971</v>
      </c>
      <c r="DZ261" s="114">
        <v>14329</v>
      </c>
      <c r="EA261" s="114">
        <v>3016</v>
      </c>
      <c r="EB261" s="114">
        <v>-6236</v>
      </c>
      <c r="EC261" s="114">
        <v>-2701</v>
      </c>
      <c r="ED261" s="114">
        <v>-6341</v>
      </c>
      <c r="EE261" s="114">
        <v>-1552</v>
      </c>
      <c r="EF261" s="114">
        <v>-19658</v>
      </c>
      <c r="EG261" s="114">
        <v>-6039</v>
      </c>
      <c r="EH261" s="114">
        <v>-7384</v>
      </c>
      <c r="EI261" s="114">
        <v>-13216</v>
      </c>
      <c r="EJ261" s="114">
        <v>-7601</v>
      </c>
      <c r="EK261" s="114">
        <v>-8686</v>
      </c>
      <c r="EL261" s="114">
        <v>-10209</v>
      </c>
      <c r="EM261" s="114">
        <v>-8915</v>
      </c>
      <c r="EN261" s="114">
        <v>-14645</v>
      </c>
    </row>
    <row r="262" spans="1:144">
      <c r="A262" s="103"/>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c r="BE262" s="103"/>
      <c r="BF262" s="103"/>
      <c r="BG262" s="103"/>
      <c r="BH262" s="103"/>
      <c r="BI262" s="103"/>
      <c r="BJ262" s="103"/>
      <c r="BK262" s="103"/>
      <c r="BL262" s="103"/>
      <c r="BM262" s="103"/>
      <c r="BN262" s="103"/>
      <c r="BO262" s="103"/>
      <c r="BP262" s="103"/>
      <c r="BQ262" s="103"/>
      <c r="BR262" s="103"/>
      <c r="BS262" s="103"/>
      <c r="BT262" s="103"/>
      <c r="BU262" s="103"/>
      <c r="BV262" s="103"/>
      <c r="BW262" s="103"/>
      <c r="BX262" s="103"/>
      <c r="BY262" s="103"/>
      <c r="BZ262" s="103"/>
      <c r="CA262" s="103"/>
      <c r="CB262" s="103"/>
      <c r="CC262" s="103"/>
      <c r="CD262" s="103"/>
      <c r="CE262" s="103"/>
      <c r="CF262" s="103"/>
      <c r="CG262" s="103"/>
      <c r="CH262" s="103"/>
      <c r="CI262" s="103"/>
      <c r="CJ262" s="103"/>
      <c r="CK262" s="103"/>
      <c r="CL262" s="103"/>
      <c r="CM262" s="103"/>
      <c r="CN262" s="103"/>
      <c r="CO262" s="103"/>
      <c r="CP262" s="103"/>
      <c r="CQ262" s="103"/>
      <c r="CR262" s="103"/>
      <c r="CS262" s="103"/>
      <c r="CT262" s="103"/>
      <c r="CU262" s="103"/>
      <c r="CV262" s="103"/>
      <c r="CW262" s="103"/>
      <c r="CX262" s="103"/>
      <c r="CY262" s="103"/>
      <c r="CZ262" s="103"/>
      <c r="DA262" s="103"/>
      <c r="DB262" s="103"/>
      <c r="DC262" s="103"/>
      <c r="DD262" s="103"/>
      <c r="DE262" s="103"/>
      <c r="DF262" s="103"/>
      <c r="DG262" s="103"/>
      <c r="DH262" s="103"/>
      <c r="DI262" s="103"/>
      <c r="DJ262" s="103"/>
      <c r="DK262" s="103"/>
      <c r="DL262" s="103"/>
      <c r="DM262" s="103"/>
      <c r="DN262" s="103"/>
      <c r="DO262" s="103"/>
      <c r="DP262" s="103"/>
      <c r="DQ262" s="103"/>
      <c r="DR262" s="103"/>
      <c r="DS262" s="103"/>
      <c r="DT262" s="103"/>
      <c r="DU262" s="103"/>
      <c r="DV262" s="103"/>
      <c r="DW262" s="103"/>
      <c r="DX262" s="103"/>
      <c r="DY262" s="103"/>
      <c r="DZ262" s="103"/>
      <c r="EA262" s="103"/>
      <c r="EB262" s="103"/>
      <c r="EC262" s="103"/>
      <c r="ED262" s="103"/>
      <c r="EE262" s="103"/>
      <c r="EF262" s="103"/>
      <c r="EG262" s="103"/>
      <c r="EH262" s="103"/>
      <c r="EI262" s="103"/>
      <c r="EJ262" s="103"/>
      <c r="EK262" s="103"/>
      <c r="EL262" s="103"/>
      <c r="EM262" s="103"/>
      <c r="EN262" s="103"/>
    </row>
    <row r="263" spans="1:144">
      <c r="A263" s="103" t="s">
        <v>2521</v>
      </c>
      <c r="B263" s="113">
        <v>-2</v>
      </c>
      <c r="C263" s="113">
        <v>-10</v>
      </c>
      <c r="D263" s="113">
        <v>-62</v>
      </c>
      <c r="E263" s="113">
        <v>-10</v>
      </c>
      <c r="F263" s="113">
        <v>9</v>
      </c>
      <c r="G263" s="113">
        <v>-5</v>
      </c>
      <c r="H263" s="113">
        <v>6</v>
      </c>
      <c r="I263" s="113">
        <v>-29</v>
      </c>
      <c r="J263" s="113">
        <v>52</v>
      </c>
      <c r="K263" s="113">
        <v>29</v>
      </c>
      <c r="L263" s="113">
        <v>-26</v>
      </c>
      <c r="M263" s="113">
        <v>2</v>
      </c>
      <c r="N263" s="113">
        <v>61</v>
      </c>
      <c r="O263" s="113">
        <v>27</v>
      </c>
      <c r="P263" s="113">
        <v>-7</v>
      </c>
      <c r="Q263" s="113">
        <v>18</v>
      </c>
      <c r="R263" s="113">
        <v>56</v>
      </c>
      <c r="S263" s="113">
        <v>137</v>
      </c>
      <c r="T263" s="113">
        <v>-67</v>
      </c>
      <c r="U263" s="113">
        <v>-39</v>
      </c>
      <c r="V263" s="113">
        <v>103</v>
      </c>
      <c r="W263" s="113">
        <v>-104</v>
      </c>
      <c r="X263" s="113">
        <v>-8</v>
      </c>
      <c r="Y263" s="113">
        <v>-139</v>
      </c>
      <c r="Z263" s="113">
        <v>-73</v>
      </c>
      <c r="AA263" s="113">
        <v>-67</v>
      </c>
      <c r="AB263" s="113">
        <v>19</v>
      </c>
      <c r="AC263" s="113">
        <v>50</v>
      </c>
      <c r="AD263" s="113">
        <v>-115</v>
      </c>
      <c r="AE263" s="113">
        <v>-139</v>
      </c>
      <c r="AG263" s="103" t="s">
        <v>2521</v>
      </c>
      <c r="AH263" s="113">
        <v>-10</v>
      </c>
      <c r="AI263" s="113">
        <v>-10</v>
      </c>
      <c r="AJ263" s="113">
        <v>-1</v>
      </c>
      <c r="AK263" s="113">
        <v>-41</v>
      </c>
      <c r="AL263" s="113">
        <v>-6</v>
      </c>
      <c r="AM263" s="113">
        <v>-2</v>
      </c>
      <c r="AN263" s="113">
        <v>5</v>
      </c>
      <c r="AO263" s="113">
        <v>-7</v>
      </c>
      <c r="AP263" s="113">
        <v>-4</v>
      </c>
      <c r="AQ263" s="113">
        <v>-4</v>
      </c>
      <c r="AR263" s="113">
        <v>26</v>
      </c>
      <c r="AS263" s="113">
        <v>-9</v>
      </c>
      <c r="AT263" s="113">
        <v>1</v>
      </c>
      <c r="AU263" s="113">
        <v>0</v>
      </c>
      <c r="AV263" s="113">
        <v>-21</v>
      </c>
      <c r="AW263" s="113">
        <v>15</v>
      </c>
      <c r="AX263" s="113">
        <v>6</v>
      </c>
      <c r="AY263" s="113">
        <v>-1</v>
      </c>
      <c r="AZ263" s="113">
        <v>-30</v>
      </c>
      <c r="BA263" s="113">
        <v>31</v>
      </c>
      <c r="BB263" s="113">
        <v>-16</v>
      </c>
      <c r="BC263" s="113">
        <v>-17</v>
      </c>
      <c r="BD263" s="113">
        <v>-18</v>
      </c>
      <c r="BE263" s="113">
        <v>22</v>
      </c>
      <c r="BF263" s="113">
        <v>19</v>
      </c>
      <c r="BG263" s="113">
        <v>39</v>
      </c>
      <c r="BH263" s="113">
        <v>-19</v>
      </c>
      <c r="BI263" s="113">
        <v>13</v>
      </c>
      <c r="BJ263" s="113">
        <v>19</v>
      </c>
      <c r="BK263" s="113">
        <v>1</v>
      </c>
      <c r="BL263" s="113">
        <v>44</v>
      </c>
      <c r="BM263" s="113">
        <v>-35</v>
      </c>
      <c r="BN263" s="113">
        <v>67</v>
      </c>
      <c r="BO263" s="113">
        <v>-75</v>
      </c>
      <c r="BP263" s="113">
        <v>8</v>
      </c>
      <c r="BQ263" s="113">
        <v>-26</v>
      </c>
      <c r="BR263" s="113">
        <v>5</v>
      </c>
      <c r="BS263" s="113">
        <v>4</v>
      </c>
      <c r="BT263" s="113">
        <v>-14</v>
      </c>
      <c r="BU263" s="113">
        <v>7</v>
      </c>
      <c r="BV263" s="113">
        <v>5</v>
      </c>
      <c r="BW263" s="113">
        <v>37</v>
      </c>
      <c r="BX263" s="113">
        <v>-3</v>
      </c>
      <c r="BY263" s="113">
        <v>22</v>
      </c>
      <c r="BZ263" s="113">
        <v>4</v>
      </c>
      <c r="CA263" s="113">
        <v>26</v>
      </c>
      <c r="CB263" s="113">
        <v>7</v>
      </c>
      <c r="CC263" s="113">
        <v>-10</v>
      </c>
      <c r="CD263" s="113">
        <v>3</v>
      </c>
      <c r="CE263" s="113">
        <v>54</v>
      </c>
      <c r="CF263" s="113">
        <v>-8</v>
      </c>
      <c r="CG263" s="113">
        <v>-56</v>
      </c>
      <c r="CH263" s="113">
        <v>-4</v>
      </c>
      <c r="CI263" s="113">
        <v>-12</v>
      </c>
      <c r="CJ263" s="113">
        <v>7</v>
      </c>
      <c r="CK263" s="113">
        <v>27</v>
      </c>
      <c r="CL263" s="113">
        <v>15</v>
      </c>
      <c r="CM263" s="113">
        <v>22</v>
      </c>
      <c r="CN263" s="113">
        <v>13</v>
      </c>
      <c r="CO263" s="113">
        <v>6</v>
      </c>
      <c r="CP263" s="113">
        <v>58</v>
      </c>
      <c r="CQ263" s="113">
        <v>28</v>
      </c>
      <c r="CR263" s="113">
        <v>42</v>
      </c>
      <c r="CS263" s="113">
        <v>9</v>
      </c>
      <c r="CT263" s="113">
        <v>-56</v>
      </c>
      <c r="CU263" s="113">
        <v>-83</v>
      </c>
      <c r="CV263" s="113">
        <v>-36</v>
      </c>
      <c r="CW263" s="113">
        <v>108</v>
      </c>
      <c r="CX263" s="113">
        <v>29</v>
      </c>
      <c r="CY263" s="113">
        <v>-1</v>
      </c>
      <c r="CZ263" s="113">
        <v>-30</v>
      </c>
      <c r="DA263" s="113">
        <v>-37</v>
      </c>
      <c r="DB263" s="113">
        <v>58</v>
      </c>
      <c r="DC263" s="113">
        <v>-3</v>
      </c>
      <c r="DD263" s="113">
        <v>28</v>
      </c>
      <c r="DE263" s="113">
        <v>20</v>
      </c>
      <c r="DF263" s="113">
        <v>-38</v>
      </c>
      <c r="DG263" s="113">
        <v>-52</v>
      </c>
      <c r="DH263" s="113">
        <v>30</v>
      </c>
      <c r="DI263" s="113">
        <v>-44</v>
      </c>
      <c r="DJ263" s="113">
        <v>47</v>
      </c>
      <c r="DK263" s="113">
        <v>15</v>
      </c>
      <c r="DL263" s="113">
        <v>-39</v>
      </c>
      <c r="DM263" s="113">
        <v>-31</v>
      </c>
      <c r="DN263" s="113">
        <v>24</v>
      </c>
      <c r="DO263" s="113">
        <v>33</v>
      </c>
      <c r="DP263" s="113">
        <v>2</v>
      </c>
      <c r="DQ263" s="113">
        <v>-198</v>
      </c>
      <c r="DR263" s="113">
        <v>-6</v>
      </c>
      <c r="DS263" s="113">
        <v>-34</v>
      </c>
      <c r="DT263" s="113">
        <v>-36</v>
      </c>
      <c r="DU263" s="113">
        <v>3</v>
      </c>
      <c r="DV263" s="113">
        <v>-44</v>
      </c>
      <c r="DW263" s="113">
        <v>-18</v>
      </c>
      <c r="DX263" s="113">
        <v>17</v>
      </c>
      <c r="DY263" s="113">
        <v>-22</v>
      </c>
      <c r="DZ263" s="113">
        <v>10</v>
      </c>
      <c r="EA263" s="113">
        <v>-18</v>
      </c>
      <c r="EB263" s="113">
        <v>12</v>
      </c>
      <c r="EC263" s="113">
        <v>15</v>
      </c>
      <c r="ED263" s="113">
        <v>26</v>
      </c>
      <c r="EE263" s="113">
        <v>-17</v>
      </c>
      <c r="EF263" s="113">
        <v>25</v>
      </c>
      <c r="EG263" s="113">
        <v>16</v>
      </c>
      <c r="EH263" s="113">
        <v>-129</v>
      </c>
      <c r="EI263" s="113">
        <v>17</v>
      </c>
      <c r="EJ263" s="113">
        <v>18</v>
      </c>
      <c r="EK263" s="113">
        <v>-21</v>
      </c>
      <c r="EL263" s="113">
        <v>-72</v>
      </c>
      <c r="EM263" s="113">
        <v>18</v>
      </c>
      <c r="EN263" s="113">
        <v>-64</v>
      </c>
    </row>
    <row r="264" spans="1:144" ht="10.5">
      <c r="A264" s="112" t="s">
        <v>2522</v>
      </c>
      <c r="B264" s="116">
        <v>171</v>
      </c>
      <c r="C264" s="116">
        <v>374</v>
      </c>
      <c r="D264" s="116">
        <v>222</v>
      </c>
      <c r="E264" s="116">
        <v>464</v>
      </c>
      <c r="F264" s="116">
        <v>485</v>
      </c>
      <c r="G264" s="116">
        <v>639</v>
      </c>
      <c r="H264" s="116">
        <v>1105</v>
      </c>
      <c r="I264" s="116">
        <v>133</v>
      </c>
      <c r="J264" s="116">
        <v>1136</v>
      </c>
      <c r="K264" s="116">
        <v>-129</v>
      </c>
      <c r="L264" s="116">
        <v>-924</v>
      </c>
      <c r="M264" s="116">
        <v>-906</v>
      </c>
      <c r="N264" s="116">
        <v>3140</v>
      </c>
      <c r="O264" s="116">
        <v>8947</v>
      </c>
      <c r="P264" s="116">
        <v>-9453</v>
      </c>
      <c r="Q264" s="116">
        <v>1863</v>
      </c>
      <c r="R264" s="116">
        <v>-603</v>
      </c>
      <c r="S264" s="116">
        <v>4228</v>
      </c>
      <c r="T264" s="116">
        <v>-4263</v>
      </c>
      <c r="U264" s="116">
        <v>-571</v>
      </c>
      <c r="V264" s="116">
        <v>4105</v>
      </c>
      <c r="W264" s="116">
        <v>-2672</v>
      </c>
      <c r="X264" s="116">
        <v>-3134</v>
      </c>
      <c r="Y264" s="116">
        <v>4865</v>
      </c>
      <c r="Z264" s="116">
        <v>-3074</v>
      </c>
      <c r="AA264" s="116">
        <v>915</v>
      </c>
      <c r="AB264" s="116">
        <v>1153</v>
      </c>
      <c r="AC264" s="116">
        <v>4283</v>
      </c>
      <c r="AD264" s="116">
        <v>-590</v>
      </c>
      <c r="AE264" s="116">
        <v>498</v>
      </c>
      <c r="AG264" s="112" t="s">
        <v>2522</v>
      </c>
      <c r="AH264" s="116">
        <v>24.5</v>
      </c>
      <c r="AI264" s="116">
        <v>24.5</v>
      </c>
      <c r="AJ264" s="116">
        <v>15</v>
      </c>
      <c r="AK264" s="116">
        <v>158</v>
      </c>
      <c r="AL264" s="116">
        <v>-170</v>
      </c>
      <c r="AM264" s="116">
        <v>108</v>
      </c>
      <c r="AN264" s="116">
        <v>201</v>
      </c>
      <c r="AO264" s="116">
        <v>325</v>
      </c>
      <c r="AP264" s="116">
        <v>-151</v>
      </c>
      <c r="AQ264" s="116">
        <v>-409</v>
      </c>
      <c r="AR264" s="116">
        <v>288</v>
      </c>
      <c r="AS264" s="116">
        <v>757</v>
      </c>
      <c r="AT264" s="116">
        <v>-56</v>
      </c>
      <c r="AU264" s="116">
        <v>417</v>
      </c>
      <c r="AV264" s="116">
        <v>614</v>
      </c>
      <c r="AW264" s="116">
        <v>-336</v>
      </c>
      <c r="AX264" s="116">
        <v>417</v>
      </c>
      <c r="AY264" s="116">
        <v>78</v>
      </c>
      <c r="AZ264" s="116">
        <v>756</v>
      </c>
      <c r="BA264" s="116">
        <v>-146</v>
      </c>
      <c r="BB264" s="116">
        <v>239</v>
      </c>
      <c r="BC264" s="116">
        <v>-1363</v>
      </c>
      <c r="BD264" s="116">
        <v>1528</v>
      </c>
      <c r="BE264" s="116">
        <v>-271</v>
      </c>
      <c r="BF264" s="116">
        <v>1352</v>
      </c>
      <c r="BG264" s="116">
        <v>922</v>
      </c>
      <c r="BH264" s="116">
        <v>90</v>
      </c>
      <c r="BI264" s="116">
        <v>-1228</v>
      </c>
      <c r="BJ264" s="116">
        <v>-186</v>
      </c>
      <c r="BK264" s="116">
        <v>243</v>
      </c>
      <c r="BL264" s="116">
        <v>160</v>
      </c>
      <c r="BM264" s="116">
        <v>-346</v>
      </c>
      <c r="BN264" s="116">
        <v>-2205</v>
      </c>
      <c r="BO264" s="116">
        <v>890</v>
      </c>
      <c r="BP264" s="116">
        <v>618</v>
      </c>
      <c r="BQ264" s="116">
        <v>-227</v>
      </c>
      <c r="BR264" s="116">
        <v>-809</v>
      </c>
      <c r="BS264" s="116">
        <v>2143</v>
      </c>
      <c r="BT264" s="116">
        <v>-140</v>
      </c>
      <c r="BU264" s="116">
        <v>-2100</v>
      </c>
      <c r="BV264" s="116">
        <v>2322</v>
      </c>
      <c r="BW264" s="116">
        <v>214</v>
      </c>
      <c r="BX264" s="116">
        <v>-1252</v>
      </c>
      <c r="BY264" s="116">
        <v>2138</v>
      </c>
      <c r="BZ264" s="116">
        <v>-670</v>
      </c>
      <c r="CA264" s="116">
        <v>381</v>
      </c>
      <c r="CB264" s="116">
        <v>2800</v>
      </c>
      <c r="CC264" s="116">
        <v>6517</v>
      </c>
      <c r="CD264" s="116">
        <v>-4842</v>
      </c>
      <c r="CE264" s="116">
        <v>-5904</v>
      </c>
      <c r="CF264" s="116">
        <v>224</v>
      </c>
      <c r="CG264" s="116">
        <v>1069</v>
      </c>
      <c r="CH264" s="116">
        <v>-1877</v>
      </c>
      <c r="CI264" s="116">
        <v>1109</v>
      </c>
      <c r="CJ264" s="116">
        <v>268</v>
      </c>
      <c r="CK264" s="116">
        <v>2363</v>
      </c>
      <c r="CL264" s="116">
        <v>2362</v>
      </c>
      <c r="CM264" s="116">
        <v>-2217</v>
      </c>
      <c r="CN264" s="116">
        <v>752</v>
      </c>
      <c r="CO264" s="116">
        <v>-1500</v>
      </c>
      <c r="CP264" s="116">
        <v>526</v>
      </c>
      <c r="CQ264" s="116">
        <v>823</v>
      </c>
      <c r="CR264" s="116">
        <v>4360</v>
      </c>
      <c r="CS264" s="116">
        <v>-1481</v>
      </c>
      <c r="CT264" s="116">
        <v>-1335</v>
      </c>
      <c r="CU264" s="116">
        <v>-658</v>
      </c>
      <c r="CV264" s="116">
        <v>-1061</v>
      </c>
      <c r="CW264" s="116">
        <v>-1209</v>
      </c>
      <c r="CX264" s="116">
        <v>2747</v>
      </c>
      <c r="CY264" s="116">
        <v>599</v>
      </c>
      <c r="CZ264" s="116">
        <v>-1267</v>
      </c>
      <c r="DA264" s="116">
        <v>-2650</v>
      </c>
      <c r="DB264" s="116">
        <v>2656</v>
      </c>
      <c r="DC264" s="116">
        <v>-4138</v>
      </c>
      <c r="DD264" s="116">
        <v>2998</v>
      </c>
      <c r="DE264" s="116">
        <v>2589</v>
      </c>
      <c r="DF264" s="116">
        <v>3271</v>
      </c>
      <c r="DG264" s="116">
        <v>-2271</v>
      </c>
      <c r="DH264" s="116">
        <v>-4222</v>
      </c>
      <c r="DI264" s="116">
        <v>550</v>
      </c>
      <c r="DJ264" s="116">
        <v>-1902</v>
      </c>
      <c r="DK264" s="116">
        <v>981</v>
      </c>
      <c r="DL264" s="116">
        <v>-777</v>
      </c>
      <c r="DM264" s="116">
        <v>-1436</v>
      </c>
      <c r="DN264" s="116">
        <v>219</v>
      </c>
      <c r="DO264" s="116">
        <v>6036</v>
      </c>
      <c r="DP264" s="116">
        <v>1513</v>
      </c>
      <c r="DQ264" s="116">
        <v>-2903</v>
      </c>
      <c r="DR264" s="116">
        <v>-2367</v>
      </c>
      <c r="DS264" s="116">
        <v>124</v>
      </c>
      <c r="DT264" s="116">
        <v>988</v>
      </c>
      <c r="DU264" s="116">
        <v>-1819</v>
      </c>
      <c r="DV264" s="116">
        <v>-164</v>
      </c>
      <c r="DW264" s="116">
        <v>1754</v>
      </c>
      <c r="DX264" s="116">
        <v>-15</v>
      </c>
      <c r="DY264" s="116">
        <v>-660</v>
      </c>
      <c r="DZ264" s="116">
        <v>7418</v>
      </c>
      <c r="EA264" s="116">
        <v>-5460</v>
      </c>
      <c r="EB264" s="116">
        <v>-1755</v>
      </c>
      <c r="EC264" s="116">
        <v>950</v>
      </c>
      <c r="ED264" s="116">
        <v>-779</v>
      </c>
      <c r="EE264" s="116">
        <v>5975</v>
      </c>
      <c r="EF264" s="116">
        <v>-3638</v>
      </c>
      <c r="EG264" s="116">
        <v>2725</v>
      </c>
      <c r="EH264" s="116">
        <v>3191</v>
      </c>
      <c r="EI264" s="116">
        <v>-8499</v>
      </c>
      <c r="EJ264" s="116">
        <v>4574</v>
      </c>
      <c r="EK264" s="116">
        <v>144</v>
      </c>
      <c r="EL264" s="116">
        <v>1761</v>
      </c>
      <c r="EM264" s="116">
        <v>-4253</v>
      </c>
      <c r="EN264" s="116">
        <v>2846</v>
      </c>
    </row>
    <row r="265" spans="1:144">
      <c r="A265" s="103"/>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c r="BE265" s="103"/>
      <c r="BF265" s="103"/>
      <c r="BG265" s="103"/>
      <c r="BH265" s="103"/>
      <c r="BI265" s="103"/>
      <c r="BJ265" s="103"/>
      <c r="BK265" s="103"/>
      <c r="BL265" s="103"/>
      <c r="BM265" s="103"/>
      <c r="BN265" s="103"/>
      <c r="BO265" s="103"/>
      <c r="BP265" s="103"/>
      <c r="BQ265" s="103"/>
      <c r="BR265" s="103"/>
      <c r="BS265" s="103"/>
      <c r="BT265" s="103"/>
      <c r="BU265" s="103"/>
      <c r="BV265" s="103"/>
      <c r="BW265" s="103"/>
      <c r="BX265" s="103"/>
      <c r="BY265" s="103"/>
      <c r="BZ265" s="103"/>
      <c r="CA265" s="103"/>
      <c r="CB265" s="103"/>
      <c r="CC265" s="103"/>
      <c r="CD265" s="103"/>
      <c r="CE265" s="103"/>
      <c r="CF265" s="103"/>
      <c r="CG265" s="103"/>
      <c r="CH265" s="103"/>
      <c r="CI265" s="103"/>
      <c r="CJ265" s="103"/>
      <c r="CK265" s="103"/>
      <c r="CL265" s="103"/>
      <c r="CM265" s="103"/>
      <c r="CN265" s="103"/>
      <c r="CO265" s="103"/>
      <c r="CP265" s="103"/>
      <c r="CQ265" s="103"/>
      <c r="CR265" s="103"/>
      <c r="CS265" s="103"/>
      <c r="CT265" s="103"/>
      <c r="CU265" s="103"/>
      <c r="CV265" s="103"/>
      <c r="CW265" s="103"/>
      <c r="CX265" s="103"/>
      <c r="CY265" s="103"/>
      <c r="CZ265" s="103"/>
      <c r="DA265" s="103"/>
      <c r="DB265" s="103"/>
      <c r="DC265" s="103"/>
      <c r="DD265" s="103"/>
      <c r="DE265" s="103"/>
      <c r="DF265" s="103"/>
      <c r="DG265" s="103"/>
      <c r="DH265" s="103"/>
      <c r="DI265" s="103"/>
      <c r="DJ265" s="103"/>
      <c r="DK265" s="103"/>
      <c r="DL265" s="103"/>
      <c r="DM265" s="103"/>
      <c r="DN265" s="103"/>
      <c r="DO265" s="103"/>
      <c r="DP265" s="103"/>
      <c r="DQ265" s="103"/>
      <c r="DR265" s="103"/>
      <c r="DS265" s="103"/>
      <c r="DT265" s="103"/>
      <c r="DU265" s="103"/>
      <c r="DV265" s="103"/>
      <c r="DW265" s="103"/>
      <c r="DX265" s="103"/>
      <c r="DY265" s="103"/>
      <c r="DZ265" s="103"/>
      <c r="EA265" s="103"/>
      <c r="EB265" s="103"/>
      <c r="EC265" s="103"/>
      <c r="ED265" s="103"/>
      <c r="EE265" s="103"/>
      <c r="EF265" s="103"/>
      <c r="EG265" s="103"/>
      <c r="EH265" s="103"/>
      <c r="EI265" s="103"/>
      <c r="EJ265" s="103"/>
      <c r="EK265" s="103"/>
      <c r="EL265" s="103"/>
      <c r="EM265" s="103"/>
      <c r="EN265" s="103"/>
    </row>
    <row r="266" spans="1:144" ht="10.5">
      <c r="A266" s="112" t="s">
        <v>2208</v>
      </c>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G266" s="112" t="s">
        <v>2208</v>
      </c>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c r="BE266" s="103"/>
      <c r="BF266" s="103"/>
      <c r="BG266" s="103"/>
      <c r="BH266" s="103"/>
      <c r="BI266" s="103"/>
      <c r="BJ266" s="103"/>
      <c r="BK266" s="103"/>
      <c r="BL266" s="103"/>
      <c r="BM266" s="103"/>
      <c r="BN266" s="103"/>
      <c r="BO266" s="103"/>
      <c r="BP266" s="103"/>
      <c r="BQ266" s="103"/>
      <c r="BR266" s="103"/>
      <c r="BS266" s="103"/>
      <c r="BT266" s="103"/>
      <c r="BU266" s="103"/>
      <c r="BV266" s="103"/>
      <c r="BW266" s="103"/>
      <c r="BX266" s="103"/>
      <c r="BY266" s="103"/>
      <c r="BZ266" s="103"/>
      <c r="CA266" s="103"/>
      <c r="CB266" s="103"/>
      <c r="CC266" s="103"/>
      <c r="CD266" s="103"/>
      <c r="CE266" s="103"/>
      <c r="CF266" s="103"/>
      <c r="CG266" s="103"/>
      <c r="CH266" s="103"/>
      <c r="CI266" s="103"/>
      <c r="CJ266" s="103"/>
      <c r="CK266" s="103"/>
      <c r="CL266" s="103"/>
      <c r="CM266" s="103"/>
      <c r="CN266" s="103"/>
      <c r="CO266" s="103"/>
      <c r="CP266" s="103"/>
      <c r="CQ266" s="103"/>
      <c r="CR266" s="103"/>
      <c r="CS266" s="103"/>
      <c r="CT266" s="103"/>
      <c r="CU266" s="103"/>
      <c r="CV266" s="103"/>
      <c r="CW266" s="103"/>
      <c r="CX266" s="103"/>
      <c r="CY266" s="103"/>
      <c r="CZ266" s="103"/>
      <c r="DA266" s="103"/>
      <c r="DB266" s="103"/>
      <c r="DC266" s="103"/>
      <c r="DD266" s="103"/>
      <c r="DE266" s="103"/>
      <c r="DF266" s="103"/>
      <c r="DG266" s="103"/>
      <c r="DH266" s="103"/>
      <c r="DI266" s="103"/>
      <c r="DJ266" s="103"/>
      <c r="DK266" s="103"/>
      <c r="DL266" s="103"/>
      <c r="DM266" s="103"/>
      <c r="DN266" s="103"/>
      <c r="DO266" s="103"/>
      <c r="DP266" s="103"/>
      <c r="DQ266" s="103"/>
      <c r="DR266" s="103"/>
      <c r="DS266" s="103"/>
      <c r="DT266" s="103"/>
      <c r="DU266" s="103"/>
      <c r="DV266" s="103"/>
      <c r="DW266" s="103"/>
      <c r="DX266" s="103"/>
      <c r="DY266" s="103"/>
      <c r="DZ266" s="103"/>
      <c r="EA266" s="103"/>
      <c r="EB266" s="103"/>
      <c r="EC266" s="103"/>
      <c r="ED266" s="103"/>
      <c r="EE266" s="103"/>
      <c r="EF266" s="103"/>
      <c r="EG266" s="103"/>
      <c r="EH266" s="103"/>
      <c r="EI266" s="103"/>
      <c r="EJ266" s="103"/>
      <c r="EK266" s="103"/>
      <c r="EL266" s="103"/>
      <c r="EM266" s="103"/>
      <c r="EN266" s="103"/>
    </row>
    <row r="267" spans="1:144">
      <c r="A267" s="103" t="s">
        <v>2523</v>
      </c>
      <c r="B267" s="113" t="s">
        <v>273</v>
      </c>
      <c r="C267" s="113" t="s">
        <v>273</v>
      </c>
      <c r="D267" s="113" t="s">
        <v>273</v>
      </c>
      <c r="E267" s="113" t="s">
        <v>273</v>
      </c>
      <c r="F267" s="113" t="s">
        <v>273</v>
      </c>
      <c r="G267" s="113" t="s">
        <v>273</v>
      </c>
      <c r="H267" s="113" t="s">
        <v>273</v>
      </c>
      <c r="I267" s="113" t="s">
        <v>273</v>
      </c>
      <c r="J267" s="113" t="s">
        <v>273</v>
      </c>
      <c r="K267" s="113" t="s">
        <v>273</v>
      </c>
      <c r="L267" s="113" t="s">
        <v>273</v>
      </c>
      <c r="M267" s="113" t="s">
        <v>273</v>
      </c>
      <c r="N267" s="113" t="s">
        <v>273</v>
      </c>
      <c r="O267" s="113" t="s">
        <v>273</v>
      </c>
      <c r="P267" s="113" t="s">
        <v>273</v>
      </c>
      <c r="Q267" s="113" t="s">
        <v>273</v>
      </c>
      <c r="R267" s="113" t="s">
        <v>273</v>
      </c>
      <c r="S267" s="113" t="s">
        <v>273</v>
      </c>
      <c r="T267" s="113" t="s">
        <v>273</v>
      </c>
      <c r="U267" s="113">
        <v>145</v>
      </c>
      <c r="V267" s="113">
        <v>197</v>
      </c>
      <c r="W267" s="113">
        <v>344</v>
      </c>
      <c r="X267" s="113">
        <v>371</v>
      </c>
      <c r="Y267" s="113">
        <v>509</v>
      </c>
      <c r="Z267" s="113">
        <v>620</v>
      </c>
      <c r="AA267" s="113">
        <v>1100</v>
      </c>
      <c r="AB267" s="113">
        <v>1600</v>
      </c>
      <c r="AC267" s="113">
        <v>2400</v>
      </c>
      <c r="AD267" s="113">
        <v>2400</v>
      </c>
      <c r="AE267" s="113">
        <v>2400</v>
      </c>
      <c r="AG267" s="103" t="s">
        <v>2523</v>
      </c>
      <c r="AH267" s="113" t="s">
        <v>273</v>
      </c>
      <c r="AI267" s="113" t="s">
        <v>273</v>
      </c>
      <c r="AJ267" s="113" t="s">
        <v>273</v>
      </c>
      <c r="AK267" s="113" t="s">
        <v>273</v>
      </c>
      <c r="AL267" s="113" t="s">
        <v>273</v>
      </c>
      <c r="AM267" s="113" t="s">
        <v>273</v>
      </c>
      <c r="AN267" s="113" t="s">
        <v>273</v>
      </c>
      <c r="AO267" s="113" t="s">
        <v>273</v>
      </c>
      <c r="AP267" s="113" t="s">
        <v>273</v>
      </c>
      <c r="AQ267" s="113" t="s">
        <v>273</v>
      </c>
      <c r="AR267" s="113" t="s">
        <v>273</v>
      </c>
      <c r="AS267" s="113" t="s">
        <v>273</v>
      </c>
      <c r="AT267" s="113" t="s">
        <v>273</v>
      </c>
      <c r="AU267" s="113" t="s">
        <v>273</v>
      </c>
      <c r="AV267" s="113" t="s">
        <v>273</v>
      </c>
      <c r="AW267" s="113" t="s">
        <v>273</v>
      </c>
      <c r="AX267" s="113" t="s">
        <v>273</v>
      </c>
      <c r="AY267" s="113" t="s">
        <v>273</v>
      </c>
      <c r="AZ267" s="113" t="s">
        <v>273</v>
      </c>
      <c r="BA267" s="113" t="s">
        <v>273</v>
      </c>
      <c r="BB267" s="113" t="s">
        <v>273</v>
      </c>
      <c r="BC267" s="113" t="s">
        <v>273</v>
      </c>
      <c r="BD267" s="113" t="s">
        <v>273</v>
      </c>
      <c r="BE267" s="113" t="s">
        <v>273</v>
      </c>
      <c r="BF267" s="113" t="s">
        <v>273</v>
      </c>
      <c r="BG267" s="113" t="s">
        <v>273</v>
      </c>
      <c r="BH267" s="113" t="s">
        <v>273</v>
      </c>
      <c r="BI267" s="113" t="s">
        <v>273</v>
      </c>
      <c r="BJ267" s="113" t="s">
        <v>273</v>
      </c>
      <c r="BK267" s="113" t="s">
        <v>273</v>
      </c>
      <c r="BL267" s="113" t="s">
        <v>273</v>
      </c>
      <c r="BM267" s="113" t="s">
        <v>273</v>
      </c>
      <c r="BN267" s="113" t="s">
        <v>273</v>
      </c>
      <c r="BO267" s="113" t="s">
        <v>273</v>
      </c>
      <c r="BP267" s="113" t="s">
        <v>273</v>
      </c>
      <c r="BQ267" s="113" t="s">
        <v>273</v>
      </c>
      <c r="BR267" s="113" t="s">
        <v>273</v>
      </c>
      <c r="BS267" s="113" t="s">
        <v>273</v>
      </c>
      <c r="BT267" s="113" t="s">
        <v>273</v>
      </c>
      <c r="BU267" s="113" t="s">
        <v>273</v>
      </c>
      <c r="BV267" s="113" t="s">
        <v>273</v>
      </c>
      <c r="BW267" s="113" t="s">
        <v>273</v>
      </c>
      <c r="BX267" s="113" t="s">
        <v>273</v>
      </c>
      <c r="BY267" s="113" t="s">
        <v>273</v>
      </c>
      <c r="BZ267" s="113" t="s">
        <v>273</v>
      </c>
      <c r="CA267" s="113" t="s">
        <v>273</v>
      </c>
      <c r="CB267" s="113" t="s">
        <v>273</v>
      </c>
      <c r="CC267" s="113" t="s">
        <v>273</v>
      </c>
      <c r="CD267" s="113" t="s">
        <v>273</v>
      </c>
      <c r="CE267" s="113" t="s">
        <v>273</v>
      </c>
      <c r="CF267" s="113" t="s">
        <v>273</v>
      </c>
      <c r="CG267" s="113" t="s">
        <v>273</v>
      </c>
      <c r="CH267" s="113" t="s">
        <v>273</v>
      </c>
      <c r="CI267" s="113" t="s">
        <v>273</v>
      </c>
      <c r="CJ267" s="113" t="s">
        <v>273</v>
      </c>
      <c r="CK267" s="113" t="s">
        <v>273</v>
      </c>
      <c r="CL267" s="113" t="s">
        <v>273</v>
      </c>
      <c r="CM267" s="113" t="s">
        <v>273</v>
      </c>
      <c r="CN267" s="113" t="s">
        <v>273</v>
      </c>
      <c r="CO267" s="113" t="s">
        <v>273</v>
      </c>
      <c r="CP267" s="113" t="s">
        <v>273</v>
      </c>
      <c r="CQ267" s="113" t="s">
        <v>273</v>
      </c>
      <c r="CR267" s="113" t="s">
        <v>273</v>
      </c>
      <c r="CS267" s="113" t="s">
        <v>273</v>
      </c>
      <c r="CT267" s="113" t="s">
        <v>273</v>
      </c>
      <c r="CU267" s="113" t="s">
        <v>273</v>
      </c>
      <c r="CV267" s="113" t="s">
        <v>273</v>
      </c>
      <c r="CW267" s="113" t="s">
        <v>273</v>
      </c>
      <c r="CX267" s="113" t="s">
        <v>273</v>
      </c>
      <c r="CY267" s="113" t="s">
        <v>273</v>
      </c>
      <c r="CZ267" s="113" t="s">
        <v>273</v>
      </c>
      <c r="DA267" s="113">
        <v>145</v>
      </c>
      <c r="DB267" s="113" t="s">
        <v>273</v>
      </c>
      <c r="DC267" s="113" t="s">
        <v>273</v>
      </c>
      <c r="DD267" s="113" t="s">
        <v>273</v>
      </c>
      <c r="DE267" s="113">
        <v>197</v>
      </c>
      <c r="DF267" s="113" t="s">
        <v>273</v>
      </c>
      <c r="DG267" s="113" t="s">
        <v>273</v>
      </c>
      <c r="DH267" s="113" t="s">
        <v>273</v>
      </c>
      <c r="DI267" s="113">
        <v>344</v>
      </c>
      <c r="DJ267" s="113" t="s">
        <v>273</v>
      </c>
      <c r="DK267" s="113" t="s">
        <v>273</v>
      </c>
      <c r="DL267" s="113" t="s">
        <v>273</v>
      </c>
      <c r="DM267" s="113">
        <v>371</v>
      </c>
      <c r="DN267" s="113" t="s">
        <v>273</v>
      </c>
      <c r="DO267" s="113" t="s">
        <v>273</v>
      </c>
      <c r="DP267" s="113" t="s">
        <v>273</v>
      </c>
      <c r="DQ267" s="113">
        <v>509</v>
      </c>
      <c r="DR267" s="113" t="s">
        <v>273</v>
      </c>
      <c r="DS267" s="113" t="s">
        <v>273</v>
      </c>
      <c r="DT267" s="113" t="s">
        <v>273</v>
      </c>
      <c r="DU267" s="113">
        <v>620</v>
      </c>
      <c r="DV267" s="113" t="s">
        <v>273</v>
      </c>
      <c r="DW267" s="113" t="s">
        <v>273</v>
      </c>
      <c r="DX267" s="113" t="s">
        <v>273</v>
      </c>
      <c r="DY267" s="113">
        <v>1100</v>
      </c>
      <c r="DZ267" s="113" t="s">
        <v>273</v>
      </c>
      <c r="EA267" s="113" t="s">
        <v>273</v>
      </c>
      <c r="EB267" s="113" t="s">
        <v>273</v>
      </c>
      <c r="EC267" s="113">
        <v>1600</v>
      </c>
      <c r="ED267" s="113" t="s">
        <v>273</v>
      </c>
      <c r="EE267" s="113" t="s">
        <v>273</v>
      </c>
      <c r="EF267" s="113" t="s">
        <v>273</v>
      </c>
      <c r="EG267" s="113">
        <v>2400</v>
      </c>
      <c r="EH267" s="113" t="s">
        <v>273</v>
      </c>
      <c r="EI267" s="113" t="s">
        <v>273</v>
      </c>
      <c r="EJ267" s="113" t="s">
        <v>273</v>
      </c>
      <c r="EK267" s="113">
        <v>2400</v>
      </c>
      <c r="EL267" s="113" t="s">
        <v>273</v>
      </c>
      <c r="EM267" s="113" t="s">
        <v>273</v>
      </c>
      <c r="EN267" s="113" t="s">
        <v>273</v>
      </c>
    </row>
    <row r="268" spans="1:144">
      <c r="A268" s="103" t="s">
        <v>2524</v>
      </c>
      <c r="B268" s="113">
        <v>121</v>
      </c>
      <c r="C268" s="113">
        <v>175</v>
      </c>
      <c r="D268" s="113">
        <v>187</v>
      </c>
      <c r="E268" s="113">
        <v>247</v>
      </c>
      <c r="F268" s="113">
        <v>430</v>
      </c>
      <c r="G268" s="113">
        <v>758</v>
      </c>
      <c r="H268" s="113">
        <v>1100</v>
      </c>
      <c r="I268" s="113">
        <v>1100</v>
      </c>
      <c r="J268" s="113">
        <v>874</v>
      </c>
      <c r="K268" s="113">
        <v>800</v>
      </c>
      <c r="L268" s="113">
        <v>1300</v>
      </c>
      <c r="M268" s="113">
        <v>1900</v>
      </c>
      <c r="N268" s="113">
        <v>2800</v>
      </c>
      <c r="O268" s="113">
        <v>2500</v>
      </c>
      <c r="P268" s="113">
        <v>4330</v>
      </c>
      <c r="Q268" s="113">
        <v>4800</v>
      </c>
      <c r="R268" s="113">
        <v>5200</v>
      </c>
      <c r="S268" s="113">
        <v>5400</v>
      </c>
      <c r="T268" s="113">
        <v>6600</v>
      </c>
      <c r="U268" s="113">
        <v>4100</v>
      </c>
      <c r="V268" s="113">
        <v>5300</v>
      </c>
      <c r="W268" s="113">
        <v>3500</v>
      </c>
      <c r="X268" s="113">
        <v>3900</v>
      </c>
      <c r="Y268" s="113">
        <v>5500</v>
      </c>
      <c r="Z268" s="113">
        <v>4400</v>
      </c>
      <c r="AA268" s="113">
        <v>3900</v>
      </c>
      <c r="AB268" s="113">
        <v>2400</v>
      </c>
      <c r="AC268" s="113">
        <v>5500</v>
      </c>
      <c r="AD268" s="113">
        <v>8400</v>
      </c>
      <c r="AE268" s="113">
        <v>8400</v>
      </c>
      <c r="AG268" s="103" t="s">
        <v>2524</v>
      </c>
      <c r="AH268" s="113" t="s">
        <v>273</v>
      </c>
      <c r="AI268" s="113" t="s">
        <v>273</v>
      </c>
      <c r="AJ268" s="113" t="s">
        <v>273</v>
      </c>
      <c r="AK268" s="113">
        <v>187</v>
      </c>
      <c r="AL268" s="113" t="s">
        <v>273</v>
      </c>
      <c r="AM268" s="113" t="s">
        <v>273</v>
      </c>
      <c r="AN268" s="113" t="s">
        <v>273</v>
      </c>
      <c r="AO268" s="113">
        <v>247</v>
      </c>
      <c r="AP268" s="113" t="s">
        <v>273</v>
      </c>
      <c r="AQ268" s="113" t="s">
        <v>273</v>
      </c>
      <c r="AR268" s="113" t="s">
        <v>273</v>
      </c>
      <c r="AS268" s="113">
        <v>430</v>
      </c>
      <c r="AT268" s="113" t="s">
        <v>273</v>
      </c>
      <c r="AU268" s="113" t="s">
        <v>273</v>
      </c>
      <c r="AV268" s="113" t="s">
        <v>273</v>
      </c>
      <c r="AW268" s="113">
        <v>758</v>
      </c>
      <c r="AX268" s="113" t="s">
        <v>273</v>
      </c>
      <c r="AY268" s="113" t="s">
        <v>273</v>
      </c>
      <c r="AZ268" s="113" t="s">
        <v>273</v>
      </c>
      <c r="BA268" s="113">
        <v>1100</v>
      </c>
      <c r="BB268" s="113" t="s">
        <v>273</v>
      </c>
      <c r="BC268" s="113" t="s">
        <v>273</v>
      </c>
      <c r="BD268" s="113" t="s">
        <v>273</v>
      </c>
      <c r="BE268" s="113">
        <v>1100</v>
      </c>
      <c r="BF268" s="113" t="s">
        <v>273</v>
      </c>
      <c r="BG268" s="113" t="s">
        <v>273</v>
      </c>
      <c r="BH268" s="113" t="s">
        <v>273</v>
      </c>
      <c r="BI268" s="113">
        <v>874</v>
      </c>
      <c r="BJ268" s="113" t="s">
        <v>273</v>
      </c>
      <c r="BK268" s="113" t="s">
        <v>273</v>
      </c>
      <c r="BL268" s="113" t="s">
        <v>273</v>
      </c>
      <c r="BM268" s="113">
        <v>800</v>
      </c>
      <c r="BN268" s="113" t="s">
        <v>273</v>
      </c>
      <c r="BO268" s="113" t="s">
        <v>273</v>
      </c>
      <c r="BP268" s="113" t="s">
        <v>273</v>
      </c>
      <c r="BQ268" s="113">
        <v>1300</v>
      </c>
      <c r="BR268" s="113" t="s">
        <v>273</v>
      </c>
      <c r="BS268" s="113" t="s">
        <v>273</v>
      </c>
      <c r="BT268" s="113" t="s">
        <v>273</v>
      </c>
      <c r="BU268" s="113">
        <v>1900</v>
      </c>
      <c r="BV268" s="113" t="s">
        <v>273</v>
      </c>
      <c r="BW268" s="113" t="s">
        <v>273</v>
      </c>
      <c r="BX268" s="113" t="s">
        <v>273</v>
      </c>
      <c r="BY268" s="113">
        <v>2800</v>
      </c>
      <c r="BZ268" s="113" t="s">
        <v>273</v>
      </c>
      <c r="CA268" s="113" t="s">
        <v>273</v>
      </c>
      <c r="CB268" s="113" t="s">
        <v>273</v>
      </c>
      <c r="CC268" s="113">
        <v>2500</v>
      </c>
      <c r="CD268" s="113" t="s">
        <v>273</v>
      </c>
      <c r="CE268" s="113" t="s">
        <v>273</v>
      </c>
      <c r="CF268" s="113" t="s">
        <v>273</v>
      </c>
      <c r="CG268" s="113">
        <v>4300</v>
      </c>
      <c r="CH268" s="113" t="s">
        <v>273</v>
      </c>
      <c r="CI268" s="113" t="s">
        <v>273</v>
      </c>
      <c r="CJ268" s="113" t="s">
        <v>273</v>
      </c>
      <c r="CK268" s="113">
        <v>4780</v>
      </c>
      <c r="CL268" s="113" t="s">
        <v>273</v>
      </c>
      <c r="CM268" s="113" t="s">
        <v>273</v>
      </c>
      <c r="CN268" s="113" t="s">
        <v>273</v>
      </c>
      <c r="CO268" s="113">
        <v>5200</v>
      </c>
      <c r="CP268" s="113" t="s">
        <v>273</v>
      </c>
      <c r="CQ268" s="113" t="s">
        <v>273</v>
      </c>
      <c r="CR268" s="113" t="s">
        <v>273</v>
      </c>
      <c r="CS268" s="113">
        <v>5400</v>
      </c>
      <c r="CT268" s="113" t="s">
        <v>273</v>
      </c>
      <c r="CU268" s="113" t="s">
        <v>273</v>
      </c>
      <c r="CV268" s="113" t="s">
        <v>273</v>
      </c>
      <c r="CW268" s="113">
        <v>6600</v>
      </c>
      <c r="CX268" s="113" t="s">
        <v>273</v>
      </c>
      <c r="CY268" s="113" t="s">
        <v>273</v>
      </c>
      <c r="CZ268" s="113" t="s">
        <v>273</v>
      </c>
      <c r="DA268" s="113">
        <v>4100</v>
      </c>
      <c r="DB268" s="113" t="s">
        <v>273</v>
      </c>
      <c r="DC268" s="113" t="s">
        <v>273</v>
      </c>
      <c r="DD268" s="113" t="s">
        <v>273</v>
      </c>
      <c r="DE268" s="113">
        <v>5300</v>
      </c>
      <c r="DF268" s="113" t="s">
        <v>273</v>
      </c>
      <c r="DG268" s="113" t="s">
        <v>273</v>
      </c>
      <c r="DH268" s="113" t="s">
        <v>273</v>
      </c>
      <c r="DI268" s="113">
        <v>3500</v>
      </c>
      <c r="DJ268" s="113" t="s">
        <v>273</v>
      </c>
      <c r="DK268" s="113" t="s">
        <v>273</v>
      </c>
      <c r="DL268" s="113" t="s">
        <v>273</v>
      </c>
      <c r="DM268" s="113">
        <v>3900</v>
      </c>
      <c r="DN268" s="113" t="s">
        <v>273</v>
      </c>
      <c r="DO268" s="113" t="s">
        <v>273</v>
      </c>
      <c r="DP268" s="113" t="s">
        <v>273</v>
      </c>
      <c r="DQ268" s="113">
        <v>5500</v>
      </c>
      <c r="DR268" s="113" t="s">
        <v>273</v>
      </c>
      <c r="DS268" s="113" t="s">
        <v>273</v>
      </c>
      <c r="DT268" s="113" t="s">
        <v>273</v>
      </c>
      <c r="DU268" s="113">
        <v>4400</v>
      </c>
      <c r="DV268" s="113" t="s">
        <v>273</v>
      </c>
      <c r="DW268" s="113" t="s">
        <v>273</v>
      </c>
      <c r="DX268" s="113" t="s">
        <v>273</v>
      </c>
      <c r="DY268" s="113">
        <v>3900</v>
      </c>
      <c r="DZ268" s="113" t="s">
        <v>273</v>
      </c>
      <c r="EA268" s="113" t="s">
        <v>273</v>
      </c>
      <c r="EB268" s="113" t="s">
        <v>273</v>
      </c>
      <c r="EC268" s="113">
        <v>2400</v>
      </c>
      <c r="ED268" s="113" t="s">
        <v>273</v>
      </c>
      <c r="EE268" s="113" t="s">
        <v>273</v>
      </c>
      <c r="EF268" s="113" t="s">
        <v>273</v>
      </c>
      <c r="EG268" s="113">
        <v>5500</v>
      </c>
      <c r="EH268" s="113" t="s">
        <v>273</v>
      </c>
      <c r="EI268" s="113" t="s">
        <v>273</v>
      </c>
      <c r="EJ268" s="113" t="s">
        <v>273</v>
      </c>
      <c r="EK268" s="113">
        <v>8400</v>
      </c>
      <c r="EL268" s="113" t="s">
        <v>273</v>
      </c>
      <c r="EM268" s="113" t="s">
        <v>273</v>
      </c>
      <c r="EN268" s="113" t="s">
        <v>273</v>
      </c>
    </row>
    <row r="269" spans="1:144">
      <c r="A269" s="103" t="s">
        <v>2525</v>
      </c>
      <c r="B269" s="113" t="s">
        <v>273</v>
      </c>
      <c r="C269" s="113">
        <v>506.54199999999997</v>
      </c>
      <c r="D269" s="113">
        <v>724.125</v>
      </c>
      <c r="E269" s="113">
        <v>1249.75</v>
      </c>
      <c r="F269" s="113">
        <v>1309.75</v>
      </c>
      <c r="G269" s="113">
        <v>2946.875</v>
      </c>
      <c r="H269" s="113">
        <v>3779.375</v>
      </c>
      <c r="I269" s="113">
        <v>5630.75</v>
      </c>
      <c r="J269" s="113">
        <v>6724.25</v>
      </c>
      <c r="K269" s="113">
        <v>5924.75</v>
      </c>
      <c r="L269" s="113">
        <v>6157</v>
      </c>
      <c r="M269" s="113">
        <v>10298</v>
      </c>
      <c r="N269" s="113">
        <v>11914.375</v>
      </c>
      <c r="O269" s="113">
        <v>13803</v>
      </c>
      <c r="P269" s="113">
        <v>13960.375</v>
      </c>
      <c r="Q269" s="113">
        <v>10784.5</v>
      </c>
      <c r="R269" s="113">
        <v>9793.375</v>
      </c>
      <c r="S269" s="113">
        <v>18448.125</v>
      </c>
      <c r="T269" s="113">
        <v>12488.375</v>
      </c>
      <c r="U269" s="113">
        <v>19464.875</v>
      </c>
      <c r="V269" s="113">
        <v>17448.25</v>
      </c>
      <c r="W269" s="113">
        <v>23625</v>
      </c>
      <c r="X269" s="113">
        <v>19701.5</v>
      </c>
      <c r="Y269" s="113">
        <v>23756.625</v>
      </c>
      <c r="Z269" s="113">
        <v>20926.375</v>
      </c>
      <c r="AA269" s="113">
        <v>20337.625</v>
      </c>
      <c r="AB269" s="113">
        <v>14658.125</v>
      </c>
      <c r="AC269" s="113">
        <v>25035.125</v>
      </c>
      <c r="AD269" s="113">
        <v>30932.625</v>
      </c>
      <c r="AE269" s="113">
        <v>36196.125</v>
      </c>
      <c r="AG269" s="103" t="s">
        <v>2525</v>
      </c>
      <c r="AH269" s="113" t="s">
        <v>273</v>
      </c>
      <c r="AI269" s="113" t="s">
        <v>273</v>
      </c>
      <c r="AJ269" s="113" t="s">
        <v>273</v>
      </c>
      <c r="AK269" s="113" t="s">
        <v>273</v>
      </c>
      <c r="AL269" s="113" t="s">
        <v>273</v>
      </c>
      <c r="AM269" s="113" t="s">
        <v>273</v>
      </c>
      <c r="AN269" s="113">
        <v>395</v>
      </c>
      <c r="AO269" s="113">
        <v>362.75</v>
      </c>
      <c r="AP269" s="113">
        <v>284.125</v>
      </c>
      <c r="AQ269" s="113">
        <v>301</v>
      </c>
      <c r="AR269" s="113">
        <v>435.125</v>
      </c>
      <c r="AS269" s="113">
        <v>289.5</v>
      </c>
      <c r="AT269" s="113">
        <v>324.5</v>
      </c>
      <c r="AU269" s="113">
        <v>1230.25</v>
      </c>
      <c r="AV269" s="113">
        <v>723.75</v>
      </c>
      <c r="AW269" s="113">
        <v>680.25</v>
      </c>
      <c r="AX269" s="113">
        <v>629.75</v>
      </c>
      <c r="AY269" s="113">
        <v>1035.625</v>
      </c>
      <c r="AZ269" s="113">
        <v>1457</v>
      </c>
      <c r="BA269" s="113">
        <v>657</v>
      </c>
      <c r="BB269" s="113">
        <v>1453.5</v>
      </c>
      <c r="BC269" s="113">
        <v>1393.125</v>
      </c>
      <c r="BD269" s="113">
        <v>1789.875</v>
      </c>
      <c r="BE269" s="113">
        <v>1490.25</v>
      </c>
      <c r="BF269" s="113">
        <v>2329.25</v>
      </c>
      <c r="BG269" s="113">
        <v>1914.25</v>
      </c>
      <c r="BH269" s="113">
        <v>2144.125</v>
      </c>
      <c r="BI269" s="113">
        <v>285.375</v>
      </c>
      <c r="BJ269" s="113">
        <v>2884.125</v>
      </c>
      <c r="BK269" s="113">
        <v>2980.875</v>
      </c>
      <c r="BL269" s="113">
        <v>2502.375</v>
      </c>
      <c r="BM269" s="113">
        <v>-2565.6</v>
      </c>
      <c r="BN269" s="113">
        <v>1119.625</v>
      </c>
      <c r="BO269" s="113">
        <v>837.25</v>
      </c>
      <c r="BP269" s="113">
        <v>2563.75</v>
      </c>
      <c r="BQ269" s="113">
        <v>817</v>
      </c>
      <c r="BR269" s="113">
        <v>4991.625</v>
      </c>
      <c r="BS269" s="113">
        <v>-573.9</v>
      </c>
      <c r="BT269" s="113">
        <v>2943.25</v>
      </c>
      <c r="BU269" s="113">
        <v>1915.25</v>
      </c>
      <c r="BV269" s="113">
        <v>4422.5</v>
      </c>
      <c r="BW269" s="113">
        <v>2504.875</v>
      </c>
      <c r="BX269" s="113">
        <v>3451</v>
      </c>
      <c r="BY269" s="113">
        <v>1534.875</v>
      </c>
      <c r="BZ269" s="113">
        <v>4904.5</v>
      </c>
      <c r="CA269" s="113">
        <v>2775.875</v>
      </c>
      <c r="CB269" s="113">
        <v>5977.875</v>
      </c>
      <c r="CC269" s="113">
        <v>-45.9</v>
      </c>
      <c r="CD269" s="113">
        <v>5608.75</v>
      </c>
      <c r="CE269" s="113">
        <v>1271.125</v>
      </c>
      <c r="CF269" s="113">
        <v>5632.25</v>
      </c>
      <c r="CG269" s="113">
        <v>1352</v>
      </c>
      <c r="CH269" s="113">
        <v>4650.375</v>
      </c>
      <c r="CI269" s="113">
        <v>885.875</v>
      </c>
      <c r="CJ269" s="113">
        <v>3417.125</v>
      </c>
      <c r="CK269" s="113">
        <v>1930</v>
      </c>
      <c r="CL269" s="113">
        <v>3482.625</v>
      </c>
      <c r="CM269" s="113">
        <v>1038.375</v>
      </c>
      <c r="CN269" s="113">
        <v>5495.125</v>
      </c>
      <c r="CO269" s="113">
        <v>-21.3</v>
      </c>
      <c r="CP269" s="113">
        <v>7782.625</v>
      </c>
      <c r="CQ269" s="113">
        <v>1785.125</v>
      </c>
      <c r="CR269" s="113">
        <v>9951.75</v>
      </c>
      <c r="CS269" s="113">
        <v>-1222</v>
      </c>
      <c r="CT269" s="113">
        <v>2645.375</v>
      </c>
      <c r="CU269" s="113">
        <v>4349.875</v>
      </c>
      <c r="CV269" s="113">
        <v>2461.625</v>
      </c>
      <c r="CW269" s="113">
        <v>3122.75</v>
      </c>
      <c r="CX269" s="113">
        <v>3673.5</v>
      </c>
      <c r="CY269" s="113">
        <v>3205.875</v>
      </c>
      <c r="CZ269" s="113">
        <v>6597.375</v>
      </c>
      <c r="DA269" s="113">
        <v>6025</v>
      </c>
      <c r="DB269" s="113">
        <v>6882.375</v>
      </c>
      <c r="DC269" s="113">
        <v>1406.125</v>
      </c>
      <c r="DD269" s="113">
        <v>6174.125</v>
      </c>
      <c r="DE269" s="113">
        <v>2912.5</v>
      </c>
      <c r="DF269" s="113">
        <v>6322.125</v>
      </c>
      <c r="DG269" s="113">
        <v>3330.875</v>
      </c>
      <c r="DH269" s="113">
        <v>8300.375</v>
      </c>
      <c r="DI269" s="113">
        <v>5671.625</v>
      </c>
      <c r="DJ269" s="113">
        <v>7145.125</v>
      </c>
      <c r="DK269" s="113">
        <v>2873.25</v>
      </c>
      <c r="DL269" s="113">
        <v>7083.5</v>
      </c>
      <c r="DM269" s="113">
        <v>2599.625</v>
      </c>
      <c r="DN269" s="113">
        <v>6785</v>
      </c>
      <c r="DO269" s="113">
        <v>761.25</v>
      </c>
      <c r="DP269" s="113">
        <v>7732.375</v>
      </c>
      <c r="DQ269" s="113">
        <v>8478</v>
      </c>
      <c r="DR269" s="113">
        <v>6626.375</v>
      </c>
      <c r="DS269" s="113">
        <v>181.625</v>
      </c>
      <c r="DT269" s="113">
        <v>8047.125</v>
      </c>
      <c r="DU269" s="113">
        <v>6071.25</v>
      </c>
      <c r="DV269" s="113">
        <v>4697</v>
      </c>
      <c r="DW269" s="113">
        <v>589.125</v>
      </c>
      <c r="DX269" s="113">
        <v>5604.375</v>
      </c>
      <c r="DY269" s="113">
        <v>5762.125</v>
      </c>
      <c r="DZ269" s="113">
        <v>7676.75</v>
      </c>
      <c r="EA269" s="113">
        <v>2691</v>
      </c>
      <c r="EB269" s="113">
        <v>4614.25</v>
      </c>
      <c r="EC269" s="113">
        <v>1163</v>
      </c>
      <c r="ED269" s="113">
        <v>4818.5</v>
      </c>
      <c r="EE269" s="113">
        <v>4114.125</v>
      </c>
      <c r="EF269" s="113">
        <v>10438.625</v>
      </c>
      <c r="EG269" s="113">
        <v>5663.875</v>
      </c>
      <c r="EH269" s="113">
        <v>9006.625</v>
      </c>
      <c r="EI269" s="113">
        <v>2616.25</v>
      </c>
      <c r="EJ269" s="113">
        <v>8893.75</v>
      </c>
      <c r="EK269" s="113">
        <v>10416</v>
      </c>
      <c r="EL269" s="113">
        <v>11885.625</v>
      </c>
      <c r="EM269" s="113">
        <v>3881.5</v>
      </c>
      <c r="EN269" s="113">
        <v>10013</v>
      </c>
    </row>
    <row r="270" spans="1:144">
      <c r="A270" s="103" t="s">
        <v>2526</v>
      </c>
      <c r="B270" s="113" t="s">
        <v>273</v>
      </c>
      <c r="C270" s="113">
        <v>507.79199999999997</v>
      </c>
      <c r="D270" s="113">
        <v>724.75</v>
      </c>
      <c r="E270" s="113">
        <v>1249.75</v>
      </c>
      <c r="F270" s="113">
        <v>1309.75</v>
      </c>
      <c r="G270" s="113">
        <v>2946.875</v>
      </c>
      <c r="H270" s="113">
        <v>3779.375</v>
      </c>
      <c r="I270" s="113">
        <v>5630.75</v>
      </c>
      <c r="J270" s="113">
        <v>6724.25</v>
      </c>
      <c r="K270" s="113">
        <v>5924.75</v>
      </c>
      <c r="L270" s="113">
        <v>6157</v>
      </c>
      <c r="M270" s="113">
        <v>10298</v>
      </c>
      <c r="N270" s="113">
        <v>11914.375</v>
      </c>
      <c r="O270" s="113">
        <v>13803</v>
      </c>
      <c r="P270" s="113">
        <v>13960.375</v>
      </c>
      <c r="Q270" s="113">
        <v>10784.5</v>
      </c>
      <c r="R270" s="113">
        <v>9937.125</v>
      </c>
      <c r="S270" s="113">
        <v>18514.375</v>
      </c>
      <c r="T270" s="113">
        <v>12512.125</v>
      </c>
      <c r="U270" s="113">
        <v>19559.25</v>
      </c>
      <c r="V270" s="113">
        <v>17632.625</v>
      </c>
      <c r="W270" s="113">
        <v>23862.5</v>
      </c>
      <c r="X270" s="113">
        <v>19969.625</v>
      </c>
      <c r="Y270" s="113">
        <v>24129.75</v>
      </c>
      <c r="Z270" s="113">
        <v>21414.5</v>
      </c>
      <c r="AA270" s="113">
        <v>21114.5</v>
      </c>
      <c r="AB270" s="113">
        <v>16046.875</v>
      </c>
      <c r="AC270" s="113">
        <v>26743.25</v>
      </c>
      <c r="AD270" s="113">
        <v>32611.375</v>
      </c>
      <c r="AE270" s="113">
        <v>37806.125</v>
      </c>
      <c r="AG270" s="103" t="s">
        <v>2526</v>
      </c>
      <c r="AH270" s="113" t="s">
        <v>273</v>
      </c>
      <c r="AI270" s="113" t="s">
        <v>273</v>
      </c>
      <c r="AJ270" s="113" t="s">
        <v>273</v>
      </c>
      <c r="AK270" s="113" t="s">
        <v>273</v>
      </c>
      <c r="AL270" s="113" t="s">
        <v>273</v>
      </c>
      <c r="AM270" s="113" t="s">
        <v>273</v>
      </c>
      <c r="AN270" s="113">
        <v>395</v>
      </c>
      <c r="AO270" s="113">
        <v>364</v>
      </c>
      <c r="AP270" s="113">
        <v>284.125</v>
      </c>
      <c r="AQ270" s="113">
        <v>301</v>
      </c>
      <c r="AR270" s="113">
        <v>435.125</v>
      </c>
      <c r="AS270" s="113">
        <v>289.5</v>
      </c>
      <c r="AT270" s="113">
        <v>324.5</v>
      </c>
      <c r="AU270" s="113">
        <v>1230.25</v>
      </c>
      <c r="AV270" s="113">
        <v>723.75</v>
      </c>
      <c r="AW270" s="113">
        <v>680.25</v>
      </c>
      <c r="AX270" s="113">
        <v>629.75</v>
      </c>
      <c r="AY270" s="113">
        <v>1035.625</v>
      </c>
      <c r="AZ270" s="113">
        <v>1457</v>
      </c>
      <c r="BA270" s="113">
        <v>657</v>
      </c>
      <c r="BB270" s="113">
        <v>1453.5</v>
      </c>
      <c r="BC270" s="113">
        <v>1393.125</v>
      </c>
      <c r="BD270" s="113">
        <v>1789.875</v>
      </c>
      <c r="BE270" s="113">
        <v>1490.25</v>
      </c>
      <c r="BF270" s="113">
        <v>2329.25</v>
      </c>
      <c r="BG270" s="113">
        <v>1914.25</v>
      </c>
      <c r="BH270" s="113">
        <v>2144.125</v>
      </c>
      <c r="BI270" s="113">
        <v>285.375</v>
      </c>
      <c r="BJ270" s="113">
        <v>2884.125</v>
      </c>
      <c r="BK270" s="113">
        <v>2980.875</v>
      </c>
      <c r="BL270" s="113">
        <v>2502.375</v>
      </c>
      <c r="BM270" s="113">
        <v>-2565.6</v>
      </c>
      <c r="BN270" s="113">
        <v>1119.625</v>
      </c>
      <c r="BO270" s="113">
        <v>837.25</v>
      </c>
      <c r="BP270" s="113">
        <v>2563.75</v>
      </c>
      <c r="BQ270" s="113">
        <v>1066.375</v>
      </c>
      <c r="BR270" s="113">
        <v>4991.625</v>
      </c>
      <c r="BS270" s="113">
        <v>-573.9</v>
      </c>
      <c r="BT270" s="113">
        <v>2943.25</v>
      </c>
      <c r="BU270" s="113">
        <v>1915.25</v>
      </c>
      <c r="BV270" s="113">
        <v>4422.5</v>
      </c>
      <c r="BW270" s="113">
        <v>2504.875</v>
      </c>
      <c r="BX270" s="113">
        <v>3451</v>
      </c>
      <c r="BY270" s="113">
        <v>1534.875</v>
      </c>
      <c r="BZ270" s="113">
        <v>4904.5</v>
      </c>
      <c r="CA270" s="113">
        <v>2775.875</v>
      </c>
      <c r="CB270" s="113">
        <v>5977.875</v>
      </c>
      <c r="CC270" s="113">
        <v>-45.9</v>
      </c>
      <c r="CD270" s="113">
        <v>5608.75</v>
      </c>
      <c r="CE270" s="113">
        <v>1271.125</v>
      </c>
      <c r="CF270" s="113">
        <v>5632.25</v>
      </c>
      <c r="CG270" s="113">
        <v>1352</v>
      </c>
      <c r="CH270" s="113">
        <v>4650.375</v>
      </c>
      <c r="CI270" s="113">
        <v>885.875</v>
      </c>
      <c r="CJ270" s="113">
        <v>3417.125</v>
      </c>
      <c r="CK270" s="113">
        <v>1930</v>
      </c>
      <c r="CL270" s="113">
        <v>3482.625</v>
      </c>
      <c r="CM270" s="113">
        <v>1038.375</v>
      </c>
      <c r="CN270" s="113">
        <v>5495.125</v>
      </c>
      <c r="CO270" s="113">
        <v>-21.3</v>
      </c>
      <c r="CP270" s="113">
        <v>7782.625</v>
      </c>
      <c r="CQ270" s="113">
        <v>1785.125</v>
      </c>
      <c r="CR270" s="113">
        <v>9951.75</v>
      </c>
      <c r="CS270" s="113">
        <v>-1155.8</v>
      </c>
      <c r="CT270" s="113">
        <v>2645.375</v>
      </c>
      <c r="CU270" s="113">
        <v>4349.875</v>
      </c>
      <c r="CV270" s="113">
        <v>2461.625</v>
      </c>
      <c r="CW270" s="113">
        <v>3146.5</v>
      </c>
      <c r="CX270" s="113">
        <v>3697.25</v>
      </c>
      <c r="CY270" s="113">
        <v>3229.625</v>
      </c>
      <c r="CZ270" s="113">
        <v>6621.125</v>
      </c>
      <c r="DA270" s="113">
        <v>6048.125</v>
      </c>
      <c r="DB270" s="113">
        <v>6910.5</v>
      </c>
      <c r="DC270" s="113">
        <v>1451.125</v>
      </c>
      <c r="DD270" s="113">
        <v>6174.125</v>
      </c>
      <c r="DE270" s="113">
        <v>3096.875</v>
      </c>
      <c r="DF270" s="113">
        <v>6380.875</v>
      </c>
      <c r="DG270" s="113">
        <v>3390.25</v>
      </c>
      <c r="DH270" s="113">
        <v>8359.75</v>
      </c>
      <c r="DI270" s="113">
        <v>5731.625</v>
      </c>
      <c r="DJ270" s="113">
        <v>7204.5</v>
      </c>
      <c r="DK270" s="113">
        <v>2938.875</v>
      </c>
      <c r="DL270" s="113">
        <v>7151.625</v>
      </c>
      <c r="DM270" s="113">
        <v>2674.625</v>
      </c>
      <c r="DN270" s="113">
        <v>6858.75</v>
      </c>
      <c r="DO270" s="113">
        <v>845.625</v>
      </c>
      <c r="DP270" s="113">
        <v>7841.75</v>
      </c>
      <c r="DQ270" s="113">
        <v>8583.625</v>
      </c>
      <c r="DR270" s="113">
        <v>6727</v>
      </c>
      <c r="DS270" s="113">
        <v>282.875</v>
      </c>
      <c r="DT270" s="113">
        <v>8179</v>
      </c>
      <c r="DU270" s="113">
        <v>6225.625</v>
      </c>
      <c r="DV270" s="113">
        <v>4852.625</v>
      </c>
      <c r="DW270" s="113">
        <v>782.25</v>
      </c>
      <c r="DX270" s="113">
        <v>5816.875</v>
      </c>
      <c r="DY270" s="113">
        <v>5977.75</v>
      </c>
      <c r="DZ270" s="113">
        <v>7949.875</v>
      </c>
      <c r="EA270" s="113">
        <v>3016.625</v>
      </c>
      <c r="EB270" s="113">
        <v>4994.875</v>
      </c>
      <c r="EC270" s="113">
        <v>1572.375</v>
      </c>
      <c r="ED270" s="113">
        <v>5238.5</v>
      </c>
      <c r="EE270" s="113">
        <v>4550.375</v>
      </c>
      <c r="EF270" s="113">
        <v>10870.5</v>
      </c>
      <c r="EG270" s="113">
        <v>6083.875</v>
      </c>
      <c r="EH270" s="113">
        <v>9427.875</v>
      </c>
      <c r="EI270" s="113">
        <v>3036.25</v>
      </c>
      <c r="EJ270" s="113">
        <v>9313.125</v>
      </c>
      <c r="EK270" s="113">
        <v>10834.125</v>
      </c>
      <c r="EL270" s="113">
        <v>12283.75</v>
      </c>
      <c r="EM270" s="113">
        <v>4290.875</v>
      </c>
      <c r="EN270" s="113">
        <v>10397.375</v>
      </c>
    </row>
    <row r="271" spans="1:144">
      <c r="A271" s="103" t="s">
        <v>2527</v>
      </c>
      <c r="B271" s="113" t="s">
        <v>273</v>
      </c>
      <c r="C271" s="113">
        <v>-90.3</v>
      </c>
      <c r="D271" s="113">
        <v>19</v>
      </c>
      <c r="E271" s="113">
        <v>-212</v>
      </c>
      <c r="F271" s="113">
        <v>-262</v>
      </c>
      <c r="G271" s="113">
        <v>-1049</v>
      </c>
      <c r="H271" s="113">
        <v>-677</v>
      </c>
      <c r="I271" s="113">
        <v>-1565</v>
      </c>
      <c r="J271" s="113">
        <v>-568</v>
      </c>
      <c r="K271" s="113">
        <v>1091</v>
      </c>
      <c r="L271" s="113">
        <v>1601</v>
      </c>
      <c r="M271" s="113">
        <v>-1176</v>
      </c>
      <c r="N271" s="113">
        <v>-1229</v>
      </c>
      <c r="O271" s="113">
        <v>-946</v>
      </c>
      <c r="P271" s="113">
        <v>-896</v>
      </c>
      <c r="Q271" s="113">
        <v>1363</v>
      </c>
      <c r="R271" s="113">
        <v>2628</v>
      </c>
      <c r="S271" s="113">
        <v>-3301</v>
      </c>
      <c r="T271" s="113">
        <v>1366</v>
      </c>
      <c r="U271" s="113">
        <v>-1980</v>
      </c>
      <c r="V271" s="113">
        <v>1805</v>
      </c>
      <c r="W271" s="113">
        <v>-3576</v>
      </c>
      <c r="X271" s="113">
        <v>-1086</v>
      </c>
      <c r="Y271" s="113">
        <v>-5295</v>
      </c>
      <c r="Z271" s="113">
        <v>-1698</v>
      </c>
      <c r="AA271" s="113">
        <v>-3850</v>
      </c>
      <c r="AB271" s="113">
        <v>5222</v>
      </c>
      <c r="AC271" s="113">
        <v>-2624</v>
      </c>
      <c r="AD271" s="113">
        <v>-3435</v>
      </c>
      <c r="AE271" s="113">
        <v>-2817</v>
      </c>
      <c r="AG271" s="103" t="s">
        <v>2527</v>
      </c>
      <c r="AH271" s="113" t="s">
        <v>273</v>
      </c>
      <c r="AI271" s="113" t="s">
        <v>273</v>
      </c>
      <c r="AJ271" s="113" t="s">
        <v>273</v>
      </c>
      <c r="AK271" s="113" t="s">
        <v>273</v>
      </c>
      <c r="AL271" s="113" t="s">
        <v>273</v>
      </c>
      <c r="AM271" s="113" t="s">
        <v>273</v>
      </c>
      <c r="AN271" s="113">
        <v>-91</v>
      </c>
      <c r="AO271" s="113">
        <v>-70</v>
      </c>
      <c r="AP271" s="113">
        <v>-11</v>
      </c>
      <c r="AQ271" s="113">
        <v>-13</v>
      </c>
      <c r="AR271" s="113">
        <v>-124</v>
      </c>
      <c r="AS271" s="113">
        <v>-114</v>
      </c>
      <c r="AT271" s="113">
        <v>71</v>
      </c>
      <c r="AU271" s="113">
        <v>-749</v>
      </c>
      <c r="AV271" s="113">
        <v>-183</v>
      </c>
      <c r="AW271" s="113">
        <v>-188</v>
      </c>
      <c r="AX271" s="113">
        <v>-3</v>
      </c>
      <c r="AY271" s="113">
        <v>-333</v>
      </c>
      <c r="AZ271" s="113">
        <v>-479</v>
      </c>
      <c r="BA271" s="113">
        <v>138</v>
      </c>
      <c r="BB271" s="113">
        <v>-495</v>
      </c>
      <c r="BC271" s="113">
        <v>-267</v>
      </c>
      <c r="BD271" s="113">
        <v>-491</v>
      </c>
      <c r="BE271" s="113">
        <v>-312</v>
      </c>
      <c r="BF271" s="113">
        <v>-955</v>
      </c>
      <c r="BG271" s="113">
        <v>-176</v>
      </c>
      <c r="BH271" s="113">
        <v>-643</v>
      </c>
      <c r="BI271" s="113">
        <v>1206</v>
      </c>
      <c r="BJ271" s="113">
        <v>-935</v>
      </c>
      <c r="BK271" s="113">
        <v>-1056</v>
      </c>
      <c r="BL271" s="113">
        <v>-764</v>
      </c>
      <c r="BM271" s="113">
        <v>3846</v>
      </c>
      <c r="BN271" s="113">
        <v>621</v>
      </c>
      <c r="BO271" s="113">
        <v>1126</v>
      </c>
      <c r="BP271" s="113">
        <v>-471</v>
      </c>
      <c r="BQ271" s="113">
        <v>325</v>
      </c>
      <c r="BR271" s="113">
        <v>-3049</v>
      </c>
      <c r="BS271" s="113">
        <v>2885</v>
      </c>
      <c r="BT271" s="113">
        <v>-900</v>
      </c>
      <c r="BU271" s="113">
        <v>-112</v>
      </c>
      <c r="BV271" s="113">
        <v>-1369</v>
      </c>
      <c r="BW271" s="113">
        <v>79</v>
      </c>
      <c r="BX271" s="113">
        <v>-557</v>
      </c>
      <c r="BY271" s="113">
        <v>618</v>
      </c>
      <c r="BZ271" s="113">
        <v>-1761</v>
      </c>
      <c r="CA271" s="113">
        <v>1506</v>
      </c>
      <c r="CB271" s="113">
        <v>-2817</v>
      </c>
      <c r="CC271" s="113">
        <v>2126</v>
      </c>
      <c r="CD271" s="113">
        <v>-2335</v>
      </c>
      <c r="CE271" s="113">
        <v>2180</v>
      </c>
      <c r="CF271" s="113">
        <v>-1990</v>
      </c>
      <c r="CG271" s="113">
        <v>1249</v>
      </c>
      <c r="CH271" s="113">
        <v>-1356</v>
      </c>
      <c r="CI271" s="113">
        <v>2493</v>
      </c>
      <c r="CJ271" s="113">
        <v>-490</v>
      </c>
      <c r="CK271" s="113">
        <v>716</v>
      </c>
      <c r="CL271" s="113">
        <v>-338</v>
      </c>
      <c r="CM271" s="113">
        <v>1431</v>
      </c>
      <c r="CN271" s="113">
        <v>-887</v>
      </c>
      <c r="CO271" s="113">
        <v>2422</v>
      </c>
      <c r="CP271" s="113">
        <v>-3869</v>
      </c>
      <c r="CQ271" s="113">
        <v>2394</v>
      </c>
      <c r="CR271" s="113">
        <v>-6187</v>
      </c>
      <c r="CS271" s="113">
        <v>4361</v>
      </c>
      <c r="CT271" s="113">
        <v>1354</v>
      </c>
      <c r="CU271" s="113">
        <v>-431</v>
      </c>
      <c r="CV271" s="113">
        <v>993</v>
      </c>
      <c r="CW271" s="113">
        <v>-550</v>
      </c>
      <c r="CX271" s="113">
        <v>-242</v>
      </c>
      <c r="CY271" s="113">
        <v>2815</v>
      </c>
      <c r="CZ271" s="113">
        <v>-2621</v>
      </c>
      <c r="DA271" s="113">
        <v>-1932</v>
      </c>
      <c r="DB271" s="113">
        <v>-1805</v>
      </c>
      <c r="DC271" s="113">
        <v>4377</v>
      </c>
      <c r="DD271" s="113">
        <v>-2003</v>
      </c>
      <c r="DE271" s="113">
        <v>1236</v>
      </c>
      <c r="DF271" s="113">
        <v>-1031</v>
      </c>
      <c r="DG271" s="113">
        <v>2361</v>
      </c>
      <c r="DH271" s="113">
        <v>-3768</v>
      </c>
      <c r="DI271" s="113">
        <v>-1138</v>
      </c>
      <c r="DJ271" s="113">
        <v>-3177</v>
      </c>
      <c r="DK271" s="113">
        <v>2600</v>
      </c>
      <c r="DL271" s="113">
        <v>-1214</v>
      </c>
      <c r="DM271" s="113">
        <v>705</v>
      </c>
      <c r="DN271" s="113">
        <v>-2542</v>
      </c>
      <c r="DO271" s="113">
        <v>4255</v>
      </c>
      <c r="DP271" s="113">
        <v>-2818</v>
      </c>
      <c r="DQ271" s="113">
        <v>-4190</v>
      </c>
      <c r="DR271" s="113">
        <v>-1570</v>
      </c>
      <c r="DS271" s="113">
        <v>5393</v>
      </c>
      <c r="DT271" s="113">
        <v>-3174</v>
      </c>
      <c r="DU271" s="113">
        <v>-2347</v>
      </c>
      <c r="DV271" s="113">
        <v>-453</v>
      </c>
      <c r="DW271" s="113">
        <v>3162</v>
      </c>
      <c r="DX271" s="113">
        <v>-2444</v>
      </c>
      <c r="DY271" s="113">
        <v>-4115</v>
      </c>
      <c r="DZ271" s="113">
        <v>-3397</v>
      </c>
      <c r="EA271" s="113">
        <v>2869</v>
      </c>
      <c r="EB271" s="113">
        <v>848</v>
      </c>
      <c r="EC271" s="113">
        <v>4902</v>
      </c>
      <c r="ED271" s="113">
        <v>919</v>
      </c>
      <c r="EE271" s="113">
        <v>1810</v>
      </c>
      <c r="EF271" s="113">
        <v>-4943</v>
      </c>
      <c r="EG271" s="113">
        <v>-410</v>
      </c>
      <c r="EH271" s="113">
        <v>-2864</v>
      </c>
      <c r="EI271" s="113">
        <v>3846</v>
      </c>
      <c r="EJ271" s="113">
        <v>-1317</v>
      </c>
      <c r="EK271" s="113">
        <v>-3100</v>
      </c>
      <c r="EL271" s="113">
        <v>-3507</v>
      </c>
      <c r="EM271" s="113">
        <v>5389</v>
      </c>
      <c r="EN271" s="113">
        <v>-1599</v>
      </c>
    </row>
    <row r="272" spans="1:144">
      <c r="A272" s="103" t="s">
        <v>2528</v>
      </c>
      <c r="B272" s="113" t="s">
        <v>273</v>
      </c>
      <c r="C272" s="113" t="s">
        <v>273</v>
      </c>
      <c r="D272" s="113" t="s">
        <v>273</v>
      </c>
      <c r="E272" s="113" t="s">
        <v>273</v>
      </c>
      <c r="F272" s="113" t="s">
        <v>273</v>
      </c>
      <c r="G272" s="113" t="s">
        <v>273</v>
      </c>
      <c r="H272" s="113" t="s">
        <v>273</v>
      </c>
      <c r="I272" s="113" t="s">
        <v>273</v>
      </c>
      <c r="J272" s="113" t="s">
        <v>273</v>
      </c>
      <c r="K272" s="113" t="s">
        <v>273</v>
      </c>
      <c r="L272" s="113" t="s">
        <v>273</v>
      </c>
      <c r="M272" s="113" t="s">
        <v>273</v>
      </c>
      <c r="N272" s="113" t="s">
        <v>273</v>
      </c>
      <c r="O272" s="113" t="s">
        <v>273</v>
      </c>
      <c r="P272" s="113" t="s">
        <v>273</v>
      </c>
      <c r="Q272" s="113" t="s">
        <v>273</v>
      </c>
      <c r="R272" s="113" t="s">
        <v>273</v>
      </c>
      <c r="S272" s="113" t="s">
        <v>273</v>
      </c>
      <c r="T272" s="113">
        <v>5746</v>
      </c>
      <c r="U272" s="113">
        <v>190</v>
      </c>
      <c r="V272" s="113">
        <v>5960</v>
      </c>
      <c r="W272" s="113" t="s">
        <v>273</v>
      </c>
      <c r="X272" s="113">
        <v>3537</v>
      </c>
      <c r="Y272" s="113">
        <v>6962</v>
      </c>
      <c r="Z272" s="113">
        <v>13661</v>
      </c>
      <c r="AA272" s="113">
        <v>18283</v>
      </c>
      <c r="AB272" s="113">
        <v>31459</v>
      </c>
      <c r="AC272" s="113">
        <v>-10201</v>
      </c>
      <c r="AD272" s="113">
        <v>-4000</v>
      </c>
      <c r="AE272" s="113">
        <v>-6518</v>
      </c>
      <c r="AG272" s="103" t="s">
        <v>2528</v>
      </c>
      <c r="AH272" s="113" t="s">
        <v>273</v>
      </c>
      <c r="AI272" s="113" t="s">
        <v>273</v>
      </c>
      <c r="AJ272" s="113" t="s">
        <v>273</v>
      </c>
      <c r="AK272" s="113" t="s">
        <v>273</v>
      </c>
      <c r="AL272" s="113" t="s">
        <v>273</v>
      </c>
      <c r="AM272" s="113" t="s">
        <v>273</v>
      </c>
      <c r="AN272" s="113" t="s">
        <v>273</v>
      </c>
      <c r="AO272" s="113" t="s">
        <v>273</v>
      </c>
      <c r="AP272" s="113" t="s">
        <v>273</v>
      </c>
      <c r="AQ272" s="113" t="s">
        <v>273</v>
      </c>
      <c r="AR272" s="113" t="s">
        <v>273</v>
      </c>
      <c r="AS272" s="113" t="s">
        <v>273</v>
      </c>
      <c r="AT272" s="113" t="s">
        <v>273</v>
      </c>
      <c r="AU272" s="113" t="s">
        <v>273</v>
      </c>
      <c r="AV272" s="113" t="s">
        <v>273</v>
      </c>
      <c r="AW272" s="113" t="s">
        <v>273</v>
      </c>
      <c r="AX272" s="113" t="s">
        <v>273</v>
      </c>
      <c r="AY272" s="113" t="s">
        <v>273</v>
      </c>
      <c r="AZ272" s="113" t="s">
        <v>273</v>
      </c>
      <c r="BA272" s="113" t="s">
        <v>273</v>
      </c>
      <c r="BB272" s="113" t="s">
        <v>273</v>
      </c>
      <c r="BC272" s="113" t="s">
        <v>273</v>
      </c>
      <c r="BD272" s="113" t="s">
        <v>273</v>
      </c>
      <c r="BE272" s="113" t="s">
        <v>273</v>
      </c>
      <c r="BF272" s="113" t="s">
        <v>273</v>
      </c>
      <c r="BG272" s="113" t="s">
        <v>273</v>
      </c>
      <c r="BH272" s="113" t="s">
        <v>273</v>
      </c>
      <c r="BI272" s="113" t="s">
        <v>273</v>
      </c>
      <c r="BJ272" s="113" t="s">
        <v>273</v>
      </c>
      <c r="BK272" s="113" t="s">
        <v>273</v>
      </c>
      <c r="BL272" s="113" t="s">
        <v>273</v>
      </c>
      <c r="BM272" s="113" t="s">
        <v>273</v>
      </c>
      <c r="BN272" s="113" t="s">
        <v>273</v>
      </c>
      <c r="BO272" s="113" t="s">
        <v>273</v>
      </c>
      <c r="BP272" s="113" t="s">
        <v>273</v>
      </c>
      <c r="BQ272" s="113" t="s">
        <v>273</v>
      </c>
      <c r="BR272" s="113" t="s">
        <v>273</v>
      </c>
      <c r="BS272" s="113" t="s">
        <v>273</v>
      </c>
      <c r="BT272" s="113" t="s">
        <v>273</v>
      </c>
      <c r="BU272" s="113" t="s">
        <v>273</v>
      </c>
      <c r="BV272" s="113" t="s">
        <v>273</v>
      </c>
      <c r="BW272" s="113" t="s">
        <v>273</v>
      </c>
      <c r="BX272" s="113" t="s">
        <v>273</v>
      </c>
      <c r="BY272" s="113" t="s">
        <v>273</v>
      </c>
      <c r="BZ272" s="113" t="s">
        <v>273</v>
      </c>
      <c r="CA272" s="113" t="s">
        <v>273</v>
      </c>
      <c r="CB272" s="113" t="s">
        <v>273</v>
      </c>
      <c r="CC272" s="113" t="s">
        <v>273</v>
      </c>
      <c r="CD272" s="113" t="s">
        <v>273</v>
      </c>
      <c r="CE272" s="113" t="s">
        <v>273</v>
      </c>
      <c r="CF272" s="113" t="s">
        <v>273</v>
      </c>
      <c r="CG272" s="113" t="s">
        <v>273</v>
      </c>
      <c r="CH272" s="113" t="s">
        <v>273</v>
      </c>
      <c r="CI272" s="113" t="s">
        <v>273</v>
      </c>
      <c r="CJ272" s="113" t="s">
        <v>273</v>
      </c>
      <c r="CK272" s="113" t="s">
        <v>273</v>
      </c>
      <c r="CL272" s="113" t="s">
        <v>273</v>
      </c>
      <c r="CM272" s="113" t="s">
        <v>273</v>
      </c>
      <c r="CN272" s="113" t="s">
        <v>273</v>
      </c>
      <c r="CO272" s="113" t="s">
        <v>273</v>
      </c>
      <c r="CP272" s="113" t="s">
        <v>273</v>
      </c>
      <c r="CQ272" s="113" t="s">
        <v>273</v>
      </c>
      <c r="CR272" s="113" t="s">
        <v>273</v>
      </c>
      <c r="CS272" s="113" t="s">
        <v>273</v>
      </c>
      <c r="CT272" s="113">
        <v>1975</v>
      </c>
      <c r="CU272" s="113">
        <v>21</v>
      </c>
      <c r="CV272" s="113">
        <v>-1</v>
      </c>
      <c r="CW272" s="113">
        <v>3751</v>
      </c>
      <c r="CX272" s="113">
        <v>250</v>
      </c>
      <c r="CY272" s="113">
        <v>-2</v>
      </c>
      <c r="CZ272" s="113">
        <v>0</v>
      </c>
      <c r="DA272" s="113">
        <v>-58</v>
      </c>
      <c r="DB272" s="113">
        <v>4721</v>
      </c>
      <c r="DC272" s="113">
        <v>-1000</v>
      </c>
      <c r="DD272" s="113">
        <v>2239</v>
      </c>
      <c r="DE272" s="113">
        <v>0</v>
      </c>
      <c r="DF272" s="113" t="s">
        <v>273</v>
      </c>
      <c r="DG272" s="113" t="s">
        <v>273</v>
      </c>
      <c r="DH272" s="113" t="s">
        <v>273</v>
      </c>
      <c r="DI272" s="113" t="s">
        <v>273</v>
      </c>
      <c r="DJ272" s="113" t="s">
        <v>273</v>
      </c>
      <c r="DK272" s="113">
        <v>2232</v>
      </c>
      <c r="DL272" s="113" t="s">
        <v>273</v>
      </c>
      <c r="DM272" s="113">
        <v>1305</v>
      </c>
      <c r="DN272" s="113">
        <v>300</v>
      </c>
      <c r="DO272" s="113">
        <v>6962</v>
      </c>
      <c r="DP272" s="113">
        <v>-300</v>
      </c>
      <c r="DQ272" s="113">
        <v>0</v>
      </c>
      <c r="DR272" s="113">
        <v>1499</v>
      </c>
      <c r="DS272" s="113">
        <v>4798</v>
      </c>
      <c r="DT272" s="113">
        <v>4105</v>
      </c>
      <c r="DU272" s="113">
        <v>3259</v>
      </c>
      <c r="DV272" s="113">
        <v>3261</v>
      </c>
      <c r="DW272" s="113">
        <v>5976</v>
      </c>
      <c r="DX272" s="113">
        <v>1747</v>
      </c>
      <c r="DY272" s="113">
        <v>7299</v>
      </c>
      <c r="DZ272" s="113">
        <v>21362</v>
      </c>
      <c r="EA272" s="113">
        <v>9196</v>
      </c>
      <c r="EB272" s="113">
        <v>-966</v>
      </c>
      <c r="EC272" s="113">
        <v>1867</v>
      </c>
      <c r="ED272" s="113">
        <v>-925</v>
      </c>
      <c r="EE272" s="113">
        <v>3661</v>
      </c>
      <c r="EF272" s="113">
        <v>-12256</v>
      </c>
      <c r="EG272" s="113">
        <v>-681</v>
      </c>
      <c r="EH272" s="113" t="s">
        <v>273</v>
      </c>
      <c r="EI272" s="113">
        <v>-3000</v>
      </c>
      <c r="EJ272" s="113" t="s">
        <v>273</v>
      </c>
      <c r="EK272" s="113">
        <v>-1000</v>
      </c>
      <c r="EL272" s="113">
        <v>-2500</v>
      </c>
      <c r="EM272" s="113">
        <v>-18</v>
      </c>
      <c r="EN272" s="113">
        <v>-3000</v>
      </c>
    </row>
    <row r="273" spans="1:256">
      <c r="A273" s="103" t="s">
        <v>2223</v>
      </c>
      <c r="B273" s="122">
        <v>34243</v>
      </c>
      <c r="C273" s="122">
        <v>34604</v>
      </c>
      <c r="D273" s="122">
        <v>34967</v>
      </c>
      <c r="E273" s="122">
        <v>35335</v>
      </c>
      <c r="F273" s="122">
        <v>35702</v>
      </c>
      <c r="G273" s="122">
        <v>36063</v>
      </c>
      <c r="H273" s="122">
        <v>36431</v>
      </c>
      <c r="I273" s="122">
        <v>36797</v>
      </c>
      <c r="J273" s="122">
        <v>37152</v>
      </c>
      <c r="K273" s="122">
        <v>37505</v>
      </c>
      <c r="L273" s="122">
        <v>37869</v>
      </c>
      <c r="M273" s="122">
        <v>38231</v>
      </c>
      <c r="N273" s="122">
        <v>38590</v>
      </c>
      <c r="O273" s="122">
        <v>38954</v>
      </c>
      <c r="P273" s="122">
        <v>39297</v>
      </c>
      <c r="Q273" s="122">
        <v>39660</v>
      </c>
      <c r="R273" s="122">
        <v>40024</v>
      </c>
      <c r="S273" s="122">
        <v>40389</v>
      </c>
      <c r="T273" s="122">
        <v>40752</v>
      </c>
      <c r="U273" s="122">
        <v>41116</v>
      </c>
      <c r="V273" s="122">
        <v>41485</v>
      </c>
      <c r="W273" s="122">
        <v>41851</v>
      </c>
      <c r="X273" s="122">
        <v>42216</v>
      </c>
      <c r="Y273" s="122">
        <v>42579</v>
      </c>
      <c r="Z273" s="122">
        <v>42949</v>
      </c>
      <c r="AA273" s="122">
        <v>43315</v>
      </c>
      <c r="AB273" s="122">
        <v>43678</v>
      </c>
      <c r="AC273" s="122">
        <v>43678</v>
      </c>
      <c r="AD273" s="122">
        <v>43678</v>
      </c>
      <c r="AE273" s="122">
        <v>43950</v>
      </c>
      <c r="AG273" s="103" t="s">
        <v>2223</v>
      </c>
      <c r="AH273" s="122">
        <v>34379</v>
      </c>
      <c r="AI273" s="122">
        <v>34379</v>
      </c>
      <c r="AJ273" s="122">
        <v>34457</v>
      </c>
      <c r="AK273" s="122">
        <v>34604</v>
      </c>
      <c r="AL273" s="122">
        <v>34654</v>
      </c>
      <c r="AM273" s="122">
        <v>34744</v>
      </c>
      <c r="AN273" s="122">
        <v>34831</v>
      </c>
      <c r="AO273" s="122">
        <v>34967</v>
      </c>
      <c r="AP273" s="122">
        <v>35017</v>
      </c>
      <c r="AQ273" s="122">
        <v>35108</v>
      </c>
      <c r="AR273" s="122">
        <v>35200</v>
      </c>
      <c r="AS273" s="122">
        <v>35335</v>
      </c>
      <c r="AT273" s="122">
        <v>35383</v>
      </c>
      <c r="AU273" s="122">
        <v>35475</v>
      </c>
      <c r="AV273" s="122">
        <v>35565</v>
      </c>
      <c r="AW273" s="122">
        <v>35702</v>
      </c>
      <c r="AX273" s="122">
        <v>35732</v>
      </c>
      <c r="AY273" s="122">
        <v>35949</v>
      </c>
      <c r="AZ273" s="122">
        <v>35930</v>
      </c>
      <c r="BA273" s="122">
        <v>36063</v>
      </c>
      <c r="BB273" s="122">
        <v>36111</v>
      </c>
      <c r="BC273" s="122">
        <v>36203</v>
      </c>
      <c r="BD273" s="122">
        <v>36294</v>
      </c>
      <c r="BE273" s="122">
        <v>36431</v>
      </c>
      <c r="BF273" s="122">
        <v>36469</v>
      </c>
      <c r="BG273" s="122">
        <v>36567</v>
      </c>
      <c r="BH273" s="122">
        <v>36658</v>
      </c>
      <c r="BI273" s="122">
        <v>36797</v>
      </c>
      <c r="BJ273" s="122">
        <v>36844</v>
      </c>
      <c r="BK273" s="122">
        <v>36936</v>
      </c>
      <c r="BL273" s="122">
        <v>37026</v>
      </c>
      <c r="BM273" s="122">
        <v>37152</v>
      </c>
      <c r="BN273" s="122">
        <v>37340</v>
      </c>
      <c r="BO273" s="122">
        <v>37340</v>
      </c>
      <c r="BP273" s="122">
        <v>37376</v>
      </c>
      <c r="BQ273" s="122">
        <v>37505</v>
      </c>
      <c r="BR273" s="122">
        <v>37574</v>
      </c>
      <c r="BS273" s="122">
        <v>37652</v>
      </c>
      <c r="BT273" s="122">
        <v>37753</v>
      </c>
      <c r="BU273" s="122">
        <v>37869</v>
      </c>
      <c r="BV273" s="122">
        <v>37938</v>
      </c>
      <c r="BW273" s="122">
        <v>38023</v>
      </c>
      <c r="BX273" s="122">
        <v>38110</v>
      </c>
      <c r="BY273" s="122">
        <v>38231</v>
      </c>
      <c r="BZ273" s="122">
        <v>38300</v>
      </c>
      <c r="CA273" s="122">
        <v>38379</v>
      </c>
      <c r="CB273" s="122">
        <v>38470</v>
      </c>
      <c r="CC273" s="122">
        <v>38590</v>
      </c>
      <c r="CD273" s="122">
        <v>38652</v>
      </c>
      <c r="CE273" s="122">
        <v>38743</v>
      </c>
      <c r="CF273" s="122">
        <v>38834</v>
      </c>
      <c r="CG273" s="122">
        <v>38954</v>
      </c>
      <c r="CH273" s="122">
        <v>39016</v>
      </c>
      <c r="CI273" s="122">
        <v>39107</v>
      </c>
      <c r="CJ273" s="122">
        <v>39198</v>
      </c>
      <c r="CK273" s="122">
        <v>39297</v>
      </c>
      <c r="CL273" s="122">
        <v>39380</v>
      </c>
      <c r="CM273" s="122">
        <v>39471</v>
      </c>
      <c r="CN273" s="122">
        <v>39562</v>
      </c>
      <c r="CO273" s="122">
        <v>39660</v>
      </c>
      <c r="CP273" s="122">
        <v>39744</v>
      </c>
      <c r="CQ273" s="122">
        <v>39835</v>
      </c>
      <c r="CR273" s="122">
        <v>39926</v>
      </c>
      <c r="CS273" s="122">
        <v>40024</v>
      </c>
      <c r="CT273" s="122">
        <v>40109</v>
      </c>
      <c r="CU273" s="122">
        <v>40206</v>
      </c>
      <c r="CV273" s="122">
        <v>40290</v>
      </c>
      <c r="CW273" s="122">
        <v>40389</v>
      </c>
      <c r="CX273" s="122">
        <v>40479</v>
      </c>
      <c r="CY273" s="122">
        <v>40570</v>
      </c>
      <c r="CZ273" s="122">
        <v>40661</v>
      </c>
      <c r="DA273" s="122">
        <v>40752</v>
      </c>
      <c r="DB273" s="122">
        <v>40836</v>
      </c>
      <c r="DC273" s="122">
        <v>40927</v>
      </c>
      <c r="DD273" s="122">
        <v>41089</v>
      </c>
      <c r="DE273" s="122">
        <v>41116</v>
      </c>
      <c r="DF273" s="122">
        <v>41200</v>
      </c>
      <c r="DG273" s="122">
        <v>41298</v>
      </c>
      <c r="DH273" s="122">
        <v>41382</v>
      </c>
      <c r="DI273" s="122">
        <v>41485</v>
      </c>
      <c r="DJ273" s="122">
        <v>41571</v>
      </c>
      <c r="DK273" s="122">
        <v>41662</v>
      </c>
      <c r="DL273" s="122">
        <v>41753</v>
      </c>
      <c r="DM273" s="122">
        <v>41851</v>
      </c>
      <c r="DN273" s="122">
        <v>41935</v>
      </c>
      <c r="DO273" s="122">
        <v>42030</v>
      </c>
      <c r="DP273" s="122">
        <v>42117</v>
      </c>
      <c r="DQ273" s="122">
        <v>42216</v>
      </c>
      <c r="DR273" s="122">
        <v>42299</v>
      </c>
      <c r="DS273" s="122">
        <v>42397</v>
      </c>
      <c r="DT273" s="122">
        <v>42481</v>
      </c>
      <c r="DU273" s="122">
        <v>42579</v>
      </c>
      <c r="DV273" s="122">
        <v>42663</v>
      </c>
      <c r="DW273" s="122">
        <v>42761</v>
      </c>
      <c r="DX273" s="122">
        <v>42852</v>
      </c>
      <c r="DY273" s="122">
        <v>42949</v>
      </c>
      <c r="DZ273" s="122">
        <v>43034</v>
      </c>
      <c r="EA273" s="122">
        <v>43131</v>
      </c>
      <c r="EB273" s="122">
        <v>43216</v>
      </c>
      <c r="EC273" s="122">
        <v>43315</v>
      </c>
      <c r="ED273" s="122">
        <v>43397</v>
      </c>
      <c r="EE273" s="122">
        <v>43495</v>
      </c>
      <c r="EF273" s="122">
        <v>43579</v>
      </c>
      <c r="EG273" s="122">
        <v>43678</v>
      </c>
      <c r="EH273" s="122">
        <v>43761</v>
      </c>
      <c r="EI273" s="122">
        <v>43859</v>
      </c>
      <c r="EJ273" s="122">
        <v>43950</v>
      </c>
      <c r="EK273" s="122">
        <v>43678</v>
      </c>
      <c r="EL273" s="122">
        <v>43761</v>
      </c>
      <c r="EM273" s="122">
        <v>43859</v>
      </c>
      <c r="EN273" s="122">
        <v>43950</v>
      </c>
      <c r="EP273" s="107"/>
      <c r="EQ273" s="107"/>
      <c r="ER273" s="107"/>
      <c r="ES273" s="107"/>
      <c r="ET273" s="107"/>
      <c r="EU273" s="107"/>
      <c r="EV273" s="107"/>
      <c r="EW273" s="107"/>
      <c r="EX273" s="107"/>
      <c r="EY273" s="107"/>
      <c r="EZ273" s="107"/>
      <c r="FA273" s="107"/>
      <c r="FB273" s="107"/>
      <c r="FC273" s="107"/>
      <c r="FD273" s="107"/>
      <c r="FE273" s="107"/>
      <c r="FF273" s="107"/>
      <c r="FG273" s="107"/>
      <c r="FH273" s="107"/>
      <c r="FI273" s="107"/>
      <c r="FJ273" s="107"/>
      <c r="FK273" s="107"/>
      <c r="FL273" s="107"/>
      <c r="FM273" s="107"/>
      <c r="FN273" s="107"/>
      <c r="FO273" s="107"/>
      <c r="FP273" s="107"/>
      <c r="FQ273" s="107"/>
      <c r="FR273" s="107"/>
      <c r="FS273" s="107"/>
      <c r="FT273" s="107"/>
      <c r="FU273" s="107"/>
      <c r="FV273" s="107"/>
      <c r="FW273" s="107"/>
      <c r="FX273" s="107"/>
      <c r="FY273" s="107"/>
      <c r="FZ273" s="107"/>
      <c r="GA273" s="107"/>
      <c r="GB273" s="107"/>
      <c r="GC273" s="107"/>
      <c r="GD273" s="107"/>
      <c r="GE273" s="107"/>
      <c r="GF273" s="107"/>
      <c r="GG273" s="107"/>
      <c r="GH273" s="107"/>
      <c r="GI273" s="107"/>
      <c r="GJ273" s="107"/>
      <c r="GK273" s="107"/>
      <c r="GL273" s="107"/>
      <c r="GM273" s="107"/>
      <c r="GN273" s="107"/>
      <c r="GO273" s="107"/>
      <c r="GP273" s="107"/>
      <c r="GQ273" s="107"/>
      <c r="GR273" s="107"/>
      <c r="GS273" s="107"/>
      <c r="GT273" s="107"/>
      <c r="GU273" s="107"/>
      <c r="GV273" s="107"/>
      <c r="GW273" s="107"/>
      <c r="GX273" s="107"/>
      <c r="GY273" s="107"/>
      <c r="GZ273" s="107"/>
      <c r="HA273" s="107"/>
      <c r="HB273" s="107"/>
      <c r="HC273" s="107"/>
      <c r="HD273" s="107"/>
      <c r="HE273" s="107"/>
      <c r="HF273" s="107"/>
      <c r="HG273" s="107"/>
      <c r="HH273" s="107"/>
      <c r="HI273" s="107"/>
      <c r="HJ273" s="107"/>
      <c r="HK273" s="107"/>
      <c r="HL273" s="107"/>
      <c r="HM273" s="107"/>
      <c r="HN273" s="107"/>
      <c r="HO273" s="107"/>
      <c r="HP273" s="107"/>
      <c r="HQ273" s="107"/>
      <c r="HR273" s="107"/>
      <c r="HS273" s="107"/>
      <c r="HT273" s="107"/>
      <c r="HU273" s="107"/>
      <c r="HV273" s="107"/>
      <c r="HW273" s="107"/>
      <c r="HX273" s="107"/>
      <c r="HY273" s="107"/>
      <c r="HZ273" s="107"/>
      <c r="IA273" s="107"/>
      <c r="IB273" s="107"/>
      <c r="IC273" s="107"/>
      <c r="ID273" s="107"/>
      <c r="IE273" s="107"/>
      <c r="IF273" s="107"/>
      <c r="IG273" s="107"/>
      <c r="IH273" s="107"/>
      <c r="II273" s="107"/>
      <c r="IJ273" s="107"/>
      <c r="IK273" s="107"/>
      <c r="IL273" s="107"/>
      <c r="IM273" s="107"/>
      <c r="IN273" s="107"/>
      <c r="IO273" s="107"/>
      <c r="IP273" s="107"/>
      <c r="IQ273" s="107"/>
      <c r="IR273" s="107"/>
      <c r="IS273" s="107"/>
      <c r="IT273" s="107"/>
      <c r="IU273" s="107"/>
      <c r="IV273" s="107"/>
    </row>
    <row r="274" spans="1:256">
      <c r="A274" s="103" t="s">
        <v>2224</v>
      </c>
      <c r="B274" s="119" t="s">
        <v>2225</v>
      </c>
      <c r="C274" s="119" t="s">
        <v>2225</v>
      </c>
      <c r="D274" s="119" t="s">
        <v>2226</v>
      </c>
      <c r="E274" s="119" t="s">
        <v>2226</v>
      </c>
      <c r="F274" s="119" t="s">
        <v>2226</v>
      </c>
      <c r="G274" s="119" t="s">
        <v>2226</v>
      </c>
      <c r="H274" s="119" t="s">
        <v>2226</v>
      </c>
      <c r="I274" s="119" t="s">
        <v>2225</v>
      </c>
      <c r="J274" s="119" t="s">
        <v>2225</v>
      </c>
      <c r="K274" s="119" t="s">
        <v>2225</v>
      </c>
      <c r="L274" s="119" t="s">
        <v>2226</v>
      </c>
      <c r="M274" s="119" t="s">
        <v>2225</v>
      </c>
      <c r="N274" s="119" t="s">
        <v>2225</v>
      </c>
      <c r="O274" s="119" t="s">
        <v>2225</v>
      </c>
      <c r="P274" s="119" t="s">
        <v>2226</v>
      </c>
      <c r="Q274" s="119" t="s">
        <v>2226</v>
      </c>
      <c r="R274" s="119" t="s">
        <v>2226</v>
      </c>
      <c r="S274" s="119" t="s">
        <v>2226</v>
      </c>
      <c r="T274" s="119" t="s">
        <v>2226</v>
      </c>
      <c r="U274" s="119" t="s">
        <v>2226</v>
      </c>
      <c r="V274" s="119" t="s">
        <v>2226</v>
      </c>
      <c r="W274" s="119" t="s">
        <v>2226</v>
      </c>
      <c r="X274" s="119" t="s">
        <v>2226</v>
      </c>
      <c r="Y274" s="119" t="s">
        <v>2225</v>
      </c>
      <c r="Z274" s="119" t="s">
        <v>2225</v>
      </c>
      <c r="AA274" s="119" t="s">
        <v>2225</v>
      </c>
      <c r="AB274" s="119" t="s">
        <v>2225</v>
      </c>
      <c r="AC274" s="119" t="s">
        <v>2226</v>
      </c>
      <c r="AD274" s="119" t="s">
        <v>2228</v>
      </c>
      <c r="AE274" s="119" t="s">
        <v>2228</v>
      </c>
      <c r="AG274" s="103" t="s">
        <v>2224</v>
      </c>
      <c r="AH274" s="119" t="s">
        <v>2228</v>
      </c>
      <c r="AI274" s="119" t="s">
        <v>2228</v>
      </c>
      <c r="AJ274" s="119" t="s">
        <v>2228</v>
      </c>
      <c r="AK274" s="119" t="s">
        <v>2228</v>
      </c>
      <c r="AL274" s="119" t="s">
        <v>2229</v>
      </c>
      <c r="AM274" s="119" t="s">
        <v>2226</v>
      </c>
      <c r="AN274" s="119" t="s">
        <v>2226</v>
      </c>
      <c r="AO274" s="119" t="s">
        <v>2226</v>
      </c>
      <c r="AP274" s="119" t="s">
        <v>2226</v>
      </c>
      <c r="AQ274" s="119" t="s">
        <v>2226</v>
      </c>
      <c r="AR274" s="119" t="s">
        <v>2226</v>
      </c>
      <c r="AS274" s="119" t="s">
        <v>2226</v>
      </c>
      <c r="AT274" s="119" t="s">
        <v>2226</v>
      </c>
      <c r="AU274" s="119" t="s">
        <v>2226</v>
      </c>
      <c r="AV274" s="119" t="s">
        <v>2226</v>
      </c>
      <c r="AW274" s="119" t="s">
        <v>2226</v>
      </c>
      <c r="AX274" s="119" t="s">
        <v>2226</v>
      </c>
      <c r="AY274" s="119" t="s">
        <v>2229</v>
      </c>
      <c r="AZ274" s="119" t="s">
        <v>2226</v>
      </c>
      <c r="BA274" s="119" t="s">
        <v>2226</v>
      </c>
      <c r="BB274" s="119" t="s">
        <v>2226</v>
      </c>
      <c r="BC274" s="119" t="s">
        <v>2226</v>
      </c>
      <c r="BD274" s="119" t="s">
        <v>2226</v>
      </c>
      <c r="BE274" s="119" t="s">
        <v>2226</v>
      </c>
      <c r="BF274" s="119" t="s">
        <v>2226</v>
      </c>
      <c r="BG274" s="119" t="s">
        <v>2226</v>
      </c>
      <c r="BH274" s="119" t="s">
        <v>2226</v>
      </c>
      <c r="BI274" s="119" t="s">
        <v>2225</v>
      </c>
      <c r="BJ274" s="119" t="s">
        <v>2225</v>
      </c>
      <c r="BK274" s="119" t="s">
        <v>2225</v>
      </c>
      <c r="BL274" s="119" t="s">
        <v>2225</v>
      </c>
      <c r="BM274" s="119" t="s">
        <v>2225</v>
      </c>
      <c r="BN274" s="119" t="s">
        <v>2229</v>
      </c>
      <c r="BO274" s="119" t="s">
        <v>2529</v>
      </c>
      <c r="BP274" s="119" t="s">
        <v>2225</v>
      </c>
      <c r="BQ274" s="119" t="s">
        <v>2226</v>
      </c>
      <c r="BR274" s="119" t="s">
        <v>2226</v>
      </c>
      <c r="BS274" s="119" t="s">
        <v>2226</v>
      </c>
      <c r="BT274" s="119" t="s">
        <v>2226</v>
      </c>
      <c r="BU274" s="119" t="s">
        <v>2226</v>
      </c>
      <c r="BV274" s="119" t="s">
        <v>2225</v>
      </c>
      <c r="BW274" s="119" t="s">
        <v>2225</v>
      </c>
      <c r="BX274" s="119" t="s">
        <v>2225</v>
      </c>
      <c r="BY274" s="119" t="s">
        <v>2225</v>
      </c>
      <c r="BZ274" s="119" t="s">
        <v>2226</v>
      </c>
      <c r="CA274" s="119" t="s">
        <v>2226</v>
      </c>
      <c r="CB274" s="119" t="s">
        <v>2225</v>
      </c>
      <c r="CC274" s="119" t="s">
        <v>2225</v>
      </c>
      <c r="CD274" s="119" t="s">
        <v>2225</v>
      </c>
      <c r="CE274" s="119" t="s">
        <v>2225</v>
      </c>
      <c r="CF274" s="119" t="s">
        <v>2226</v>
      </c>
      <c r="CG274" s="119" t="s">
        <v>2226</v>
      </c>
      <c r="CH274" s="119" t="s">
        <v>2226</v>
      </c>
      <c r="CI274" s="119" t="s">
        <v>2226</v>
      </c>
      <c r="CJ274" s="119" t="s">
        <v>2226</v>
      </c>
      <c r="CK274" s="119" t="s">
        <v>2226</v>
      </c>
      <c r="CL274" s="119" t="s">
        <v>2226</v>
      </c>
      <c r="CM274" s="119" t="s">
        <v>2226</v>
      </c>
      <c r="CN274" s="119" t="s">
        <v>2226</v>
      </c>
      <c r="CO274" s="119" t="s">
        <v>2226</v>
      </c>
      <c r="CP274" s="119" t="s">
        <v>2226</v>
      </c>
      <c r="CQ274" s="119" t="s">
        <v>2226</v>
      </c>
      <c r="CR274" s="119" t="s">
        <v>2226</v>
      </c>
      <c r="CS274" s="119" t="s">
        <v>2226</v>
      </c>
      <c r="CT274" s="119" t="s">
        <v>2226</v>
      </c>
      <c r="CU274" s="119" t="s">
        <v>2226</v>
      </c>
      <c r="CV274" s="119" t="s">
        <v>2226</v>
      </c>
      <c r="CW274" s="119" t="s">
        <v>2226</v>
      </c>
      <c r="CX274" s="119" t="s">
        <v>2226</v>
      </c>
      <c r="CY274" s="119" t="s">
        <v>2226</v>
      </c>
      <c r="CZ274" s="119" t="s">
        <v>2226</v>
      </c>
      <c r="DA274" s="119" t="s">
        <v>2226</v>
      </c>
      <c r="DB274" s="119" t="s">
        <v>2226</v>
      </c>
      <c r="DC274" s="119" t="s">
        <v>2226</v>
      </c>
      <c r="DD274" s="119" t="s">
        <v>2229</v>
      </c>
      <c r="DE274" s="119" t="s">
        <v>2226</v>
      </c>
      <c r="DF274" s="119" t="s">
        <v>2226</v>
      </c>
      <c r="DG274" s="119" t="s">
        <v>2226</v>
      </c>
      <c r="DH274" s="119" t="s">
        <v>2226</v>
      </c>
      <c r="DI274" s="119" t="s">
        <v>2226</v>
      </c>
      <c r="DJ274" s="119" t="s">
        <v>2226</v>
      </c>
      <c r="DK274" s="119" t="s">
        <v>2226</v>
      </c>
      <c r="DL274" s="119" t="s">
        <v>2226</v>
      </c>
      <c r="DM274" s="119" t="s">
        <v>2226</v>
      </c>
      <c r="DN274" s="119" t="s">
        <v>2226</v>
      </c>
      <c r="DO274" s="119" t="s">
        <v>2226</v>
      </c>
      <c r="DP274" s="119" t="s">
        <v>2226</v>
      </c>
      <c r="DQ274" s="119" t="s">
        <v>2226</v>
      </c>
      <c r="DR274" s="119" t="s">
        <v>2226</v>
      </c>
      <c r="DS274" s="119" t="s">
        <v>2226</v>
      </c>
      <c r="DT274" s="119" t="s">
        <v>2225</v>
      </c>
      <c r="DU274" s="119" t="s">
        <v>2225</v>
      </c>
      <c r="DV274" s="119" t="s">
        <v>2225</v>
      </c>
      <c r="DW274" s="119" t="s">
        <v>2225</v>
      </c>
      <c r="DX274" s="119" t="s">
        <v>2226</v>
      </c>
      <c r="DY274" s="119" t="s">
        <v>2226</v>
      </c>
      <c r="DZ274" s="119" t="s">
        <v>2225</v>
      </c>
      <c r="EA274" s="119" t="s">
        <v>2225</v>
      </c>
      <c r="EB274" s="119" t="s">
        <v>2225</v>
      </c>
      <c r="EC274" s="119" t="s">
        <v>2225</v>
      </c>
      <c r="ED274" s="119" t="s">
        <v>2226</v>
      </c>
      <c r="EE274" s="119" t="s">
        <v>2226</v>
      </c>
      <c r="EF274" s="119" t="s">
        <v>2226</v>
      </c>
      <c r="EG274" s="119" t="s">
        <v>2226</v>
      </c>
      <c r="EH274" s="119" t="s">
        <v>2226</v>
      </c>
      <c r="EI274" s="119" t="s">
        <v>2226</v>
      </c>
      <c r="EJ274" s="119" t="s">
        <v>2226</v>
      </c>
      <c r="EK274" s="119" t="s">
        <v>2228</v>
      </c>
      <c r="EL274" s="119" t="s">
        <v>2228</v>
      </c>
      <c r="EM274" s="119" t="s">
        <v>2228</v>
      </c>
      <c r="EN274" s="119" t="s">
        <v>2228</v>
      </c>
    </row>
    <row r="275" spans="1:256">
      <c r="A275" s="103" t="s">
        <v>2231</v>
      </c>
      <c r="B275" s="119" t="s">
        <v>2232</v>
      </c>
      <c r="C275" s="119" t="s">
        <v>2232</v>
      </c>
      <c r="D275" s="119" t="s">
        <v>2232</v>
      </c>
      <c r="E275" s="119" t="s">
        <v>2232</v>
      </c>
      <c r="F275" s="119" t="s">
        <v>2232</v>
      </c>
      <c r="G275" s="119" t="s">
        <v>2232</v>
      </c>
      <c r="H275" s="119" t="s">
        <v>2232</v>
      </c>
      <c r="I275" s="119" t="s">
        <v>2232</v>
      </c>
      <c r="J275" s="119" t="s">
        <v>2232</v>
      </c>
      <c r="K275" s="119" t="s">
        <v>2232</v>
      </c>
      <c r="L275" s="119" t="s">
        <v>2232</v>
      </c>
      <c r="M275" s="119" t="s">
        <v>2232</v>
      </c>
      <c r="N275" s="119" t="s">
        <v>2232</v>
      </c>
      <c r="O275" s="119" t="s">
        <v>2232</v>
      </c>
      <c r="P275" s="119" t="s">
        <v>2232</v>
      </c>
      <c r="Q275" s="119" t="s">
        <v>2232</v>
      </c>
      <c r="R275" s="119" t="s">
        <v>2232</v>
      </c>
      <c r="S275" s="119" t="s">
        <v>2232</v>
      </c>
      <c r="T275" s="119" t="s">
        <v>2232</v>
      </c>
      <c r="U275" s="119" t="s">
        <v>2232</v>
      </c>
      <c r="V275" s="119" t="s">
        <v>2232</v>
      </c>
      <c r="W275" s="119" t="s">
        <v>2232</v>
      </c>
      <c r="X275" s="119" t="s">
        <v>2232</v>
      </c>
      <c r="Y275" s="119" t="s">
        <v>2232</v>
      </c>
      <c r="Z275" s="119" t="s">
        <v>2232</v>
      </c>
      <c r="AA275" s="119" t="s">
        <v>2232</v>
      </c>
      <c r="AB275" s="119" t="s">
        <v>2232</v>
      </c>
      <c r="AC275" s="119" t="s">
        <v>2232</v>
      </c>
      <c r="AD275" s="119" t="s">
        <v>2232</v>
      </c>
      <c r="AE275" s="119" t="s">
        <v>1004</v>
      </c>
      <c r="AG275" s="103" t="s">
        <v>2231</v>
      </c>
      <c r="AH275" s="119" t="s">
        <v>2233</v>
      </c>
      <c r="AI275" s="119" t="s">
        <v>2233</v>
      </c>
      <c r="AJ275" s="119" t="s">
        <v>2530</v>
      </c>
      <c r="AK275" s="119" t="s">
        <v>2530</v>
      </c>
      <c r="AL275" s="119" t="s">
        <v>2232</v>
      </c>
      <c r="AM275" s="119" t="s">
        <v>2530</v>
      </c>
      <c r="AN275" s="119" t="s">
        <v>2530</v>
      </c>
      <c r="AO275" s="119" t="s">
        <v>2530</v>
      </c>
      <c r="AP275" s="119" t="s">
        <v>2232</v>
      </c>
      <c r="AQ275" s="119" t="s">
        <v>2530</v>
      </c>
      <c r="AR275" s="119" t="s">
        <v>2530</v>
      </c>
      <c r="AS275" s="119" t="s">
        <v>2530</v>
      </c>
      <c r="AT275" s="119" t="s">
        <v>2232</v>
      </c>
      <c r="AU275" s="119" t="s">
        <v>2530</v>
      </c>
      <c r="AV275" s="119" t="s">
        <v>2530</v>
      </c>
      <c r="AW275" s="119" t="s">
        <v>2530</v>
      </c>
      <c r="AX275" s="119" t="s">
        <v>2232</v>
      </c>
      <c r="AY275" s="119" t="s">
        <v>2530</v>
      </c>
      <c r="AZ275" s="119" t="s">
        <v>2530</v>
      </c>
      <c r="BA275" s="119" t="s">
        <v>2530</v>
      </c>
      <c r="BB275" s="119" t="s">
        <v>2232</v>
      </c>
      <c r="BC275" s="119" t="s">
        <v>2530</v>
      </c>
      <c r="BD275" s="119" t="s">
        <v>2530</v>
      </c>
      <c r="BE275" s="119" t="s">
        <v>2530</v>
      </c>
      <c r="BF275" s="119" t="s">
        <v>2232</v>
      </c>
      <c r="BG275" s="119" t="s">
        <v>2530</v>
      </c>
      <c r="BH275" s="119" t="s">
        <v>2530</v>
      </c>
      <c r="BI275" s="119" t="s">
        <v>2530</v>
      </c>
      <c r="BJ275" s="119" t="s">
        <v>2232</v>
      </c>
      <c r="BK275" s="119" t="s">
        <v>2530</v>
      </c>
      <c r="BL275" s="119" t="s">
        <v>2530</v>
      </c>
      <c r="BM275" s="119" t="s">
        <v>2530</v>
      </c>
      <c r="BN275" s="119" t="s">
        <v>2232</v>
      </c>
      <c r="BO275" s="119" t="s">
        <v>2530</v>
      </c>
      <c r="BP275" s="119" t="s">
        <v>2530</v>
      </c>
      <c r="BQ275" s="119" t="s">
        <v>2530</v>
      </c>
      <c r="BR275" s="119" t="s">
        <v>2232</v>
      </c>
      <c r="BS275" s="119" t="s">
        <v>2530</v>
      </c>
      <c r="BT275" s="119" t="s">
        <v>2530</v>
      </c>
      <c r="BU275" s="119" t="s">
        <v>2530</v>
      </c>
      <c r="BV275" s="119" t="s">
        <v>2232</v>
      </c>
      <c r="BW275" s="119" t="s">
        <v>2232</v>
      </c>
      <c r="BX275" s="119" t="s">
        <v>2232</v>
      </c>
      <c r="BY275" s="119" t="s">
        <v>2530</v>
      </c>
      <c r="BZ275" s="119" t="s">
        <v>2232</v>
      </c>
      <c r="CA275" s="119" t="s">
        <v>2232</v>
      </c>
      <c r="CB275" s="119" t="s">
        <v>2232</v>
      </c>
      <c r="CC275" s="119" t="s">
        <v>2530</v>
      </c>
      <c r="CD275" s="119" t="s">
        <v>2232</v>
      </c>
      <c r="CE275" s="119" t="s">
        <v>2232</v>
      </c>
      <c r="CF275" s="119" t="s">
        <v>2232</v>
      </c>
      <c r="CG275" s="119" t="s">
        <v>2530</v>
      </c>
      <c r="CH275" s="119" t="s">
        <v>2232</v>
      </c>
      <c r="CI275" s="119" t="s">
        <v>2232</v>
      </c>
      <c r="CJ275" s="119" t="s">
        <v>2232</v>
      </c>
      <c r="CK275" s="119" t="s">
        <v>2530</v>
      </c>
      <c r="CL275" s="119" t="s">
        <v>2232</v>
      </c>
      <c r="CM275" s="119" t="s">
        <v>2232</v>
      </c>
      <c r="CN275" s="119" t="s">
        <v>2232</v>
      </c>
      <c r="CO275" s="119" t="s">
        <v>2530</v>
      </c>
      <c r="CP275" s="119" t="s">
        <v>2232</v>
      </c>
      <c r="CQ275" s="119" t="s">
        <v>2232</v>
      </c>
      <c r="CR275" s="119" t="s">
        <v>2232</v>
      </c>
      <c r="CS275" s="119" t="s">
        <v>2530</v>
      </c>
      <c r="CT275" s="119" t="s">
        <v>2232</v>
      </c>
      <c r="CU275" s="119" t="s">
        <v>2232</v>
      </c>
      <c r="CV275" s="119" t="s">
        <v>2232</v>
      </c>
      <c r="CW275" s="119" t="s">
        <v>2530</v>
      </c>
      <c r="CX275" s="119" t="s">
        <v>2232</v>
      </c>
      <c r="CY275" s="119" t="s">
        <v>2232</v>
      </c>
      <c r="CZ275" s="119" t="s">
        <v>2232</v>
      </c>
      <c r="DA275" s="119" t="s">
        <v>2530</v>
      </c>
      <c r="DB275" s="119" t="s">
        <v>2232</v>
      </c>
      <c r="DC275" s="119" t="s">
        <v>2232</v>
      </c>
      <c r="DD275" s="119" t="s">
        <v>2232</v>
      </c>
      <c r="DE275" s="119" t="s">
        <v>2530</v>
      </c>
      <c r="DF275" s="119" t="s">
        <v>2232</v>
      </c>
      <c r="DG275" s="119" t="s">
        <v>2232</v>
      </c>
      <c r="DH275" s="119" t="s">
        <v>2232</v>
      </c>
      <c r="DI275" s="119" t="s">
        <v>2530</v>
      </c>
      <c r="DJ275" s="119" t="s">
        <v>2232</v>
      </c>
      <c r="DK275" s="119" t="s">
        <v>2232</v>
      </c>
      <c r="DL275" s="119" t="s">
        <v>2232</v>
      </c>
      <c r="DM275" s="119" t="s">
        <v>2530</v>
      </c>
      <c r="DN275" s="119" t="s">
        <v>2232</v>
      </c>
      <c r="DO275" s="119" t="s">
        <v>2232</v>
      </c>
      <c r="DP275" s="119" t="s">
        <v>2232</v>
      </c>
      <c r="DQ275" s="119" t="s">
        <v>2530</v>
      </c>
      <c r="DR275" s="119" t="s">
        <v>2232</v>
      </c>
      <c r="DS275" s="119" t="s">
        <v>2232</v>
      </c>
      <c r="DT275" s="119" t="s">
        <v>2232</v>
      </c>
      <c r="DU275" s="119" t="s">
        <v>2530</v>
      </c>
      <c r="DV275" s="119" t="s">
        <v>2232</v>
      </c>
      <c r="DW275" s="119" t="s">
        <v>2232</v>
      </c>
      <c r="DX275" s="119" t="s">
        <v>2232</v>
      </c>
      <c r="DY275" s="119" t="s">
        <v>2530</v>
      </c>
      <c r="DZ275" s="119" t="s">
        <v>2232</v>
      </c>
      <c r="EA275" s="119" t="s">
        <v>2232</v>
      </c>
      <c r="EB275" s="119" t="s">
        <v>2232</v>
      </c>
      <c r="EC275" s="119" t="s">
        <v>2530</v>
      </c>
      <c r="ED275" s="119" t="s">
        <v>2232</v>
      </c>
      <c r="EE275" s="119" t="s">
        <v>2232</v>
      </c>
      <c r="EF275" s="119" t="s">
        <v>2232</v>
      </c>
      <c r="EG275" s="119" t="s">
        <v>2530</v>
      </c>
      <c r="EH275" s="119" t="s">
        <v>2232</v>
      </c>
      <c r="EI275" s="119" t="s">
        <v>2232</v>
      </c>
      <c r="EJ275" s="119" t="s">
        <v>2232</v>
      </c>
      <c r="EK275" s="119" t="s">
        <v>2530</v>
      </c>
      <c r="EL275" s="119" t="s">
        <v>2232</v>
      </c>
      <c r="EM275" s="119" t="s">
        <v>2232</v>
      </c>
      <c r="EN275" s="119" t="s">
        <v>2232</v>
      </c>
    </row>
    <row r="276" spans="1:256">
      <c r="A276" s="103"/>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G276" s="103"/>
      <c r="AH276" s="103"/>
      <c r="AI276" s="103"/>
      <c r="AJ276" s="103"/>
      <c r="AK276" s="103"/>
      <c r="AL276" s="103"/>
      <c r="AM276" s="103"/>
      <c r="AN276" s="103"/>
      <c r="AO276" s="103"/>
      <c r="AP276" s="103"/>
      <c r="AQ276" s="103"/>
      <c r="AR276" s="103"/>
      <c r="AS276" s="103"/>
      <c r="AT276" s="103"/>
      <c r="AU276" s="103"/>
      <c r="AV276" s="103"/>
      <c r="AW276" s="103"/>
      <c r="AX276" s="103"/>
      <c r="AY276" s="103"/>
      <c r="AZ276" s="103"/>
      <c r="BA276" s="103"/>
      <c r="BB276" s="103"/>
      <c r="BC276" s="103"/>
      <c r="BD276" s="103"/>
      <c r="BE276" s="103"/>
      <c r="BF276" s="103"/>
      <c r="BG276" s="103"/>
      <c r="BH276" s="103"/>
      <c r="BI276" s="103"/>
      <c r="BJ276" s="103"/>
      <c r="BK276" s="103"/>
      <c r="BL276" s="103"/>
      <c r="BM276" s="103"/>
      <c r="BN276" s="103"/>
      <c r="BO276" s="103"/>
      <c r="BP276" s="103"/>
      <c r="BQ276" s="103"/>
      <c r="BR276" s="103"/>
      <c r="BS276" s="103"/>
      <c r="BT276" s="103"/>
      <c r="BU276" s="103"/>
      <c r="BV276" s="103"/>
      <c r="BW276" s="103"/>
      <c r="BX276" s="103"/>
      <c r="BY276" s="103"/>
      <c r="BZ276" s="103"/>
      <c r="CA276" s="103"/>
      <c r="CB276" s="103"/>
      <c r="CC276" s="103"/>
      <c r="CD276" s="103"/>
      <c r="CE276" s="103"/>
      <c r="CF276" s="103"/>
      <c r="CG276" s="103"/>
      <c r="CH276" s="103"/>
      <c r="CI276" s="103"/>
      <c r="CJ276" s="103"/>
      <c r="CK276" s="103"/>
      <c r="CL276" s="103"/>
      <c r="CM276" s="103"/>
      <c r="CN276" s="103"/>
      <c r="CO276" s="103"/>
      <c r="CP276" s="103"/>
      <c r="CQ276" s="103"/>
      <c r="CR276" s="103"/>
      <c r="CS276" s="103"/>
      <c r="CT276" s="103"/>
      <c r="CU276" s="103"/>
      <c r="CV276" s="103"/>
      <c r="CW276" s="103"/>
      <c r="CX276" s="103"/>
      <c r="CY276" s="103"/>
      <c r="CZ276" s="103"/>
      <c r="DA276" s="103"/>
      <c r="DB276" s="103"/>
      <c r="DC276" s="103"/>
      <c r="DD276" s="103"/>
      <c r="DE276" s="103"/>
      <c r="DF276" s="103"/>
      <c r="DG276" s="103"/>
      <c r="DH276" s="103"/>
      <c r="DI276" s="103"/>
      <c r="DJ276" s="103"/>
      <c r="DK276" s="103"/>
      <c r="DL276" s="103"/>
      <c r="DM276" s="103"/>
      <c r="DN276" s="103"/>
      <c r="DO276" s="103"/>
      <c r="DP276" s="103"/>
      <c r="DQ276" s="103"/>
      <c r="DR276" s="103"/>
      <c r="DS276" s="103"/>
      <c r="DT276" s="103"/>
      <c r="DU276" s="103"/>
      <c r="DV276" s="103"/>
      <c r="DW276" s="103"/>
      <c r="DX276" s="103"/>
      <c r="DY276" s="103"/>
      <c r="DZ276" s="103"/>
      <c r="EA276" s="103"/>
      <c r="EB276" s="103"/>
      <c r="EC276" s="103"/>
      <c r="ED276" s="103"/>
      <c r="EE276" s="103"/>
      <c r="EF276" s="103"/>
      <c r="EG276" s="103"/>
      <c r="EH276" s="103"/>
      <c r="EI276" s="103"/>
      <c r="EJ276" s="103"/>
      <c r="EK276" s="103"/>
      <c r="EL276" s="103"/>
      <c r="EM276" s="103"/>
      <c r="EN276" s="103"/>
    </row>
    <row r="277" spans="1:256" ht="60">
      <c r="A277" s="106" t="s">
        <v>2531</v>
      </c>
      <c r="B277" s="106"/>
      <c r="C277" s="106"/>
      <c r="D277" s="106"/>
      <c r="E277" s="106"/>
      <c r="F277" s="106"/>
      <c r="G277" s="106"/>
      <c r="H277" s="106"/>
      <c r="I277" s="106"/>
      <c r="J277" s="106"/>
      <c r="K277" s="106"/>
      <c r="L277" s="106"/>
      <c r="M277" s="106"/>
      <c r="N277" s="106"/>
      <c r="O277" s="106"/>
      <c r="P277" s="106"/>
      <c r="Q277" s="106"/>
      <c r="R277" s="106"/>
      <c r="S277" s="106"/>
      <c r="T277" s="106"/>
      <c r="U277" s="106"/>
      <c r="V277" s="106"/>
      <c r="W277" s="106"/>
      <c r="X277" s="106"/>
      <c r="Y277" s="106"/>
      <c r="Z277" s="106"/>
      <c r="AA277" s="106"/>
      <c r="AB277" s="106"/>
      <c r="AC277" s="106"/>
      <c r="AD277" s="106"/>
      <c r="AE277" s="107"/>
      <c r="AF277" s="107"/>
      <c r="AG277" s="129" t="s">
        <v>2532</v>
      </c>
      <c r="AH277" s="127"/>
      <c r="AI277" s="127"/>
      <c r="AJ277" s="127"/>
      <c r="AK277" s="127"/>
      <c r="AL277" s="127"/>
      <c r="AM277" s="127"/>
      <c r="AN277" s="127"/>
      <c r="AO277" s="127"/>
      <c r="AP277" s="127"/>
      <c r="AQ277" s="127"/>
      <c r="AR277" s="127"/>
      <c r="AS277" s="127"/>
      <c r="AT277" s="127"/>
      <c r="AU277" s="127"/>
      <c r="AV277" s="127"/>
      <c r="AW277" s="127"/>
      <c r="AX277" s="127"/>
      <c r="AY277" s="127"/>
      <c r="AZ277" s="127"/>
      <c r="BA277" s="127"/>
      <c r="BB277" s="127"/>
      <c r="BC277" s="127"/>
      <c r="BD277" s="127"/>
      <c r="BE277" s="127"/>
      <c r="BF277" s="127"/>
      <c r="BG277" s="127"/>
      <c r="BH277" s="127"/>
      <c r="BI277" s="127"/>
      <c r="BJ277" s="127"/>
      <c r="BK277" s="127"/>
      <c r="BL277" s="127"/>
      <c r="BM277" s="127"/>
      <c r="BN277" s="127"/>
      <c r="BO277" s="127"/>
      <c r="BP277" s="127"/>
      <c r="BQ277" s="127"/>
      <c r="BR277" s="127"/>
      <c r="BS277" s="127"/>
      <c r="BT277" s="127"/>
      <c r="BU277" s="127"/>
      <c r="BV277" s="127"/>
      <c r="BW277" s="127"/>
      <c r="BX277" s="127"/>
      <c r="BY277" s="127"/>
      <c r="BZ277" s="127"/>
      <c r="CA277" s="127"/>
      <c r="CB277" s="127"/>
      <c r="CC277" s="127"/>
      <c r="CD277" s="127"/>
      <c r="CE277" s="127"/>
      <c r="CF277" s="127"/>
      <c r="CG277" s="127"/>
      <c r="CH277" s="127"/>
      <c r="CI277" s="127"/>
      <c r="CJ277" s="127"/>
      <c r="CK277" s="127"/>
      <c r="CL277" s="127"/>
      <c r="CM277" s="127"/>
      <c r="CN277" s="127"/>
      <c r="CO277" s="127"/>
      <c r="CP277" s="127"/>
      <c r="CQ277" s="127"/>
      <c r="CR277" s="127"/>
      <c r="CS277" s="127"/>
      <c r="CT277" s="127"/>
      <c r="CU277" s="127"/>
      <c r="CV277" s="127"/>
      <c r="CW277" s="127"/>
      <c r="CX277" s="127"/>
      <c r="CY277" s="127"/>
      <c r="CZ277" s="127"/>
      <c r="DA277" s="127"/>
      <c r="DB277" s="127"/>
      <c r="DC277" s="127"/>
      <c r="DD277" s="127"/>
      <c r="DE277" s="127"/>
      <c r="DF277" s="127"/>
      <c r="DG277" s="127"/>
      <c r="DH277" s="127"/>
      <c r="DI277" s="127"/>
      <c r="DJ277" s="127"/>
      <c r="DK277" s="127"/>
      <c r="DL277" s="127"/>
      <c r="DM277" s="127"/>
      <c r="DN277" s="127"/>
      <c r="DO277" s="127"/>
      <c r="DP277" s="127"/>
      <c r="DQ277" s="127"/>
      <c r="DR277" s="127"/>
      <c r="DS277" s="127"/>
      <c r="DT277" s="127"/>
      <c r="DU277" s="127"/>
      <c r="DV277" s="127"/>
      <c r="DW277" s="127"/>
      <c r="DX277" s="127"/>
      <c r="DY277" s="127"/>
      <c r="DZ277" s="127"/>
      <c r="EA277" s="127"/>
      <c r="EB277" s="127"/>
      <c r="EC277" s="127"/>
      <c r="ED277" s="127"/>
      <c r="EE277" s="127"/>
      <c r="EF277" s="127"/>
      <c r="EG277" s="127"/>
      <c r="EH277" s="127"/>
      <c r="EI277" s="127"/>
      <c r="EJ277" s="127"/>
      <c r="EK277" s="127"/>
      <c r="EL277" s="127"/>
      <c r="EM277" s="127"/>
      <c r="EN277" s="127"/>
    </row>
    <row r="278" spans="1:256" ht="31.5">
      <c r="A278" s="108" t="s">
        <v>2016</v>
      </c>
      <c r="B278" s="108"/>
      <c r="C278" s="108"/>
      <c r="D278" s="108"/>
      <c r="E278" s="108"/>
      <c r="F278" s="108"/>
      <c r="G278" s="108"/>
      <c r="H278" s="109" t="s">
        <v>2023</v>
      </c>
      <c r="I278" s="109" t="s">
        <v>2024</v>
      </c>
      <c r="J278" s="109" t="s">
        <v>2025</v>
      </c>
      <c r="K278" s="109" t="s">
        <v>2026</v>
      </c>
      <c r="L278" s="109" t="s">
        <v>2027</v>
      </c>
      <c r="M278" s="109" t="s">
        <v>2028</v>
      </c>
      <c r="N278" s="109" t="s">
        <v>2029</v>
      </c>
      <c r="O278" s="109" t="s">
        <v>2030</v>
      </c>
      <c r="P278" s="109" t="s">
        <v>2031</v>
      </c>
      <c r="Q278" s="109" t="s">
        <v>2032</v>
      </c>
      <c r="R278" s="109" t="s">
        <v>2033</v>
      </c>
      <c r="S278" s="109" t="s">
        <v>2034</v>
      </c>
      <c r="T278" s="109" t="s">
        <v>2035</v>
      </c>
      <c r="U278" s="109" t="s">
        <v>2036</v>
      </c>
      <c r="V278" s="109" t="s">
        <v>2037</v>
      </c>
      <c r="W278" s="109" t="s">
        <v>2038</v>
      </c>
      <c r="X278" s="109" t="s">
        <v>2039</v>
      </c>
      <c r="Y278" s="109" t="s">
        <v>2040</v>
      </c>
      <c r="Z278" s="109" t="s">
        <v>2041</v>
      </c>
      <c r="AA278" s="109" t="s">
        <v>2042</v>
      </c>
      <c r="AB278" s="109" t="s">
        <v>2043</v>
      </c>
      <c r="AC278" s="109" t="s">
        <v>2044</v>
      </c>
      <c r="AD278" s="109" t="s">
        <v>2045</v>
      </c>
    </row>
    <row r="279" spans="1:256">
      <c r="A279" s="110" t="s">
        <v>2158</v>
      </c>
      <c r="B279" s="110"/>
      <c r="C279" s="110"/>
      <c r="D279" s="110"/>
      <c r="E279" s="110"/>
      <c r="F279" s="110"/>
      <c r="G279" s="110"/>
      <c r="H279" s="111" t="s">
        <v>673</v>
      </c>
      <c r="I279" s="111" t="s">
        <v>673</v>
      </c>
      <c r="J279" s="111" t="s">
        <v>673</v>
      </c>
      <c r="K279" s="111" t="s">
        <v>673</v>
      </c>
      <c r="L279" s="111" t="s">
        <v>673</v>
      </c>
      <c r="M279" s="111" t="s">
        <v>673</v>
      </c>
      <c r="N279" s="111" t="s">
        <v>673</v>
      </c>
      <c r="O279" s="111" t="s">
        <v>673</v>
      </c>
      <c r="P279" s="111" t="s">
        <v>673</v>
      </c>
      <c r="Q279" s="111" t="s">
        <v>673</v>
      </c>
      <c r="R279" s="111" t="s">
        <v>673</v>
      </c>
      <c r="S279" s="111" t="s">
        <v>673</v>
      </c>
      <c r="T279" s="111" t="s">
        <v>673</v>
      </c>
      <c r="U279" s="111" t="s">
        <v>673</v>
      </c>
      <c r="V279" s="111" t="s">
        <v>673</v>
      </c>
      <c r="W279" s="111" t="s">
        <v>673</v>
      </c>
      <c r="X279" s="111" t="s">
        <v>673</v>
      </c>
      <c r="Y279" s="111" t="s">
        <v>673</v>
      </c>
      <c r="Z279" s="111" t="s">
        <v>673</v>
      </c>
      <c r="AA279" s="111" t="s">
        <v>673</v>
      </c>
      <c r="AB279" s="111" t="s">
        <v>673</v>
      </c>
      <c r="AC279" s="111" t="s">
        <v>673</v>
      </c>
      <c r="AD279" s="111" t="s">
        <v>673</v>
      </c>
    </row>
    <row r="280" spans="1:256" ht="10.5">
      <c r="A280" s="112" t="s">
        <v>2533</v>
      </c>
      <c r="B280" s="112"/>
      <c r="C280" s="112"/>
      <c r="D280" s="112"/>
      <c r="E280" s="112"/>
      <c r="F280" s="112"/>
      <c r="G280" s="112"/>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row>
    <row r="281" spans="1:256">
      <c r="A281" s="103" t="s">
        <v>340</v>
      </c>
      <c r="B281" s="103"/>
      <c r="C281" s="103"/>
      <c r="D281" s="103"/>
      <c r="E281" s="103"/>
      <c r="F281" s="103"/>
      <c r="G281" s="103"/>
      <c r="H281" s="113">
        <v>0</v>
      </c>
      <c r="I281" s="113">
        <v>0</v>
      </c>
      <c r="J281" s="113">
        <v>0</v>
      </c>
      <c r="K281" s="113">
        <v>0</v>
      </c>
      <c r="L281" s="113">
        <v>0</v>
      </c>
      <c r="M281" s="113">
        <v>0</v>
      </c>
      <c r="N281" s="113">
        <v>0</v>
      </c>
      <c r="O281" s="113">
        <v>0</v>
      </c>
      <c r="P281" s="113">
        <v>0</v>
      </c>
      <c r="Q281" s="113">
        <v>0</v>
      </c>
      <c r="R281" s="113">
        <v>0</v>
      </c>
      <c r="S281" s="113">
        <v>0</v>
      </c>
      <c r="T281" s="113">
        <v>0</v>
      </c>
      <c r="U281" s="113">
        <v>0</v>
      </c>
      <c r="V281" s="113">
        <v>0</v>
      </c>
      <c r="W281" s="113">
        <v>0</v>
      </c>
      <c r="X281" s="113">
        <v>0</v>
      </c>
      <c r="Y281" s="113">
        <v>26976</v>
      </c>
      <c r="Z281" s="113">
        <v>26430</v>
      </c>
      <c r="AA281" s="113">
        <v>25792</v>
      </c>
      <c r="AB281" s="113">
        <v>29870</v>
      </c>
      <c r="AC281" s="113">
        <v>35865</v>
      </c>
      <c r="AD281" s="113">
        <v>41160</v>
      </c>
    </row>
    <row r="282" spans="1:256">
      <c r="A282" s="103" t="s">
        <v>342</v>
      </c>
      <c r="B282" s="103"/>
      <c r="C282" s="103"/>
      <c r="D282" s="103"/>
      <c r="E282" s="103"/>
      <c r="F282" s="103"/>
      <c r="G282" s="103"/>
      <c r="H282" s="113">
        <v>0</v>
      </c>
      <c r="I282" s="113">
        <v>0</v>
      </c>
      <c r="J282" s="113">
        <v>0</v>
      </c>
      <c r="K282" s="113">
        <v>0</v>
      </c>
      <c r="L282" s="113">
        <v>0</v>
      </c>
      <c r="M282" s="113">
        <v>0</v>
      </c>
      <c r="N282" s="113">
        <v>0</v>
      </c>
      <c r="O282" s="113">
        <v>0</v>
      </c>
      <c r="P282" s="113">
        <v>0</v>
      </c>
      <c r="Q282" s="113">
        <v>0</v>
      </c>
      <c r="R282" s="113">
        <v>0</v>
      </c>
      <c r="S282" s="113">
        <v>0</v>
      </c>
      <c r="T282" s="113">
        <v>0</v>
      </c>
      <c r="U282" s="113">
        <v>0</v>
      </c>
      <c r="V282" s="113">
        <v>0</v>
      </c>
      <c r="W282" s="113">
        <v>0</v>
      </c>
      <c r="X282" s="113">
        <v>0</v>
      </c>
      <c r="Y282" s="113">
        <v>21735</v>
      </c>
      <c r="Z282" s="113">
        <v>23715</v>
      </c>
      <c r="AA282" s="113">
        <v>24952</v>
      </c>
      <c r="AB282" s="113">
        <v>27407</v>
      </c>
      <c r="AC282" s="113">
        <v>32219</v>
      </c>
      <c r="AD282" s="113">
        <v>38985</v>
      </c>
    </row>
    <row r="283" spans="1:256">
      <c r="A283" s="103" t="s">
        <v>344</v>
      </c>
      <c r="B283" s="103"/>
      <c r="C283" s="103"/>
      <c r="D283" s="103"/>
      <c r="E283" s="103"/>
      <c r="F283" s="103"/>
      <c r="G283" s="103"/>
      <c r="H283" s="113">
        <v>0</v>
      </c>
      <c r="I283" s="113">
        <v>0</v>
      </c>
      <c r="J283" s="113">
        <v>0</v>
      </c>
      <c r="K283" s="113">
        <v>0</v>
      </c>
      <c r="L283" s="113">
        <v>0</v>
      </c>
      <c r="M283" s="113">
        <v>0</v>
      </c>
      <c r="N283" s="113">
        <v>0</v>
      </c>
      <c r="O283" s="113">
        <v>0</v>
      </c>
      <c r="P283" s="113">
        <v>0</v>
      </c>
      <c r="Q283" s="113">
        <v>0</v>
      </c>
      <c r="R283" s="113">
        <v>0</v>
      </c>
      <c r="S283" s="113">
        <v>0</v>
      </c>
      <c r="T283" s="113">
        <v>0</v>
      </c>
      <c r="U283" s="113">
        <v>0</v>
      </c>
      <c r="V283" s="113">
        <v>0</v>
      </c>
      <c r="W283" s="113">
        <v>0</v>
      </c>
      <c r="X283" s="113">
        <v>0</v>
      </c>
      <c r="Y283" s="113">
        <v>38460</v>
      </c>
      <c r="Z283" s="113">
        <v>43435</v>
      </c>
      <c r="AA283" s="113">
        <v>40410</v>
      </c>
      <c r="AB283" s="113">
        <v>39294</v>
      </c>
      <c r="AC283" s="113">
        <v>42276</v>
      </c>
      <c r="AD283" s="113">
        <v>45698</v>
      </c>
    </row>
    <row r="284" spans="1:256">
      <c r="A284" s="103" t="s">
        <v>345</v>
      </c>
      <c r="B284" s="103"/>
      <c r="C284" s="103"/>
      <c r="D284" s="103"/>
      <c r="E284" s="103"/>
      <c r="F284" s="103"/>
      <c r="G284" s="103"/>
      <c r="H284" s="113">
        <v>0</v>
      </c>
      <c r="I284" s="113">
        <v>0</v>
      </c>
      <c r="J284" s="113">
        <v>0</v>
      </c>
      <c r="K284" s="113">
        <v>0</v>
      </c>
      <c r="L284" s="113">
        <v>0</v>
      </c>
      <c r="M284" s="113">
        <v>0</v>
      </c>
      <c r="N284" s="113">
        <v>0</v>
      </c>
      <c r="O284" s="113">
        <v>0</v>
      </c>
      <c r="P284" s="113">
        <v>437</v>
      </c>
      <c r="Q284" s="113">
        <v>10</v>
      </c>
      <c r="R284" s="113">
        <v>178</v>
      </c>
      <c r="S284" s="113">
        <v>818</v>
      </c>
      <c r="T284" s="113">
        <v>451</v>
      </c>
      <c r="U284" s="113">
        <v>569</v>
      </c>
      <c r="V284" s="113">
        <v>574</v>
      </c>
      <c r="W284" s="113">
        <v>-485</v>
      </c>
      <c r="X284" s="113">
        <v>403</v>
      </c>
      <c r="Y284" s="113">
        <v>-338</v>
      </c>
      <c r="Z284" s="113">
        <v>0</v>
      </c>
      <c r="AA284" s="113">
        <v>0</v>
      </c>
      <c r="AB284" s="113">
        <v>0</v>
      </c>
      <c r="AC284" s="113">
        <v>0</v>
      </c>
      <c r="AD284" s="113">
        <v>0</v>
      </c>
    </row>
    <row r="285" spans="1:256">
      <c r="A285" s="103" t="s">
        <v>1290</v>
      </c>
      <c r="B285" s="103"/>
      <c r="C285" s="103"/>
      <c r="D285" s="103"/>
      <c r="E285" s="103"/>
      <c r="F285" s="103"/>
      <c r="G285" s="103"/>
      <c r="H285" s="113">
        <v>0</v>
      </c>
      <c r="I285" s="113">
        <v>0</v>
      </c>
      <c r="J285" s="113">
        <v>0</v>
      </c>
      <c r="K285" s="113">
        <v>0</v>
      </c>
      <c r="L285" s="113">
        <v>0</v>
      </c>
      <c r="M285" s="113">
        <v>0</v>
      </c>
      <c r="N285" s="113">
        <v>0</v>
      </c>
      <c r="O285" s="113">
        <v>0</v>
      </c>
      <c r="P285" s="113">
        <v>0</v>
      </c>
      <c r="Q285" s="113">
        <v>0</v>
      </c>
      <c r="R285" s="113">
        <v>0</v>
      </c>
      <c r="S285" s="113">
        <v>0</v>
      </c>
      <c r="T285" s="113">
        <v>0</v>
      </c>
      <c r="U285" s="113">
        <v>0</v>
      </c>
      <c r="V285" s="113">
        <v>0</v>
      </c>
      <c r="W285" s="113">
        <v>19495</v>
      </c>
      <c r="X285" s="113">
        <v>19427</v>
      </c>
      <c r="Y285" s="113">
        <v>0</v>
      </c>
      <c r="Z285" s="113">
        <v>0</v>
      </c>
      <c r="AA285" s="113">
        <v>0</v>
      </c>
      <c r="AB285" s="113">
        <v>0</v>
      </c>
      <c r="AC285" s="113">
        <v>0</v>
      </c>
      <c r="AD285" s="113">
        <v>0</v>
      </c>
    </row>
    <row r="286" spans="1:256">
      <c r="A286" s="103" t="s">
        <v>1291</v>
      </c>
      <c r="B286" s="103"/>
      <c r="C286" s="103"/>
      <c r="D286" s="103"/>
      <c r="E286" s="103"/>
      <c r="F286" s="103"/>
      <c r="G286" s="103"/>
      <c r="H286" s="113">
        <v>0</v>
      </c>
      <c r="I286" s="113">
        <v>0</v>
      </c>
      <c r="J286" s="113">
        <v>0</v>
      </c>
      <c r="K286" s="113">
        <v>0</v>
      </c>
      <c r="L286" s="113">
        <v>0</v>
      </c>
      <c r="M286" s="113">
        <v>0</v>
      </c>
      <c r="N286" s="113">
        <v>0</v>
      </c>
      <c r="O286" s="113">
        <v>0</v>
      </c>
      <c r="P286" s="113">
        <v>0</v>
      </c>
      <c r="Q286" s="113">
        <v>0</v>
      </c>
      <c r="R286" s="113">
        <v>0</v>
      </c>
      <c r="S286" s="113">
        <v>0</v>
      </c>
      <c r="T286" s="113">
        <v>0</v>
      </c>
      <c r="U286" s="113">
        <v>0</v>
      </c>
      <c r="V286" s="113">
        <v>0</v>
      </c>
      <c r="W286" s="113">
        <v>6740</v>
      </c>
      <c r="X286" s="113">
        <v>6149</v>
      </c>
      <c r="Y286" s="113">
        <v>0</v>
      </c>
      <c r="Z286" s="113">
        <v>0</v>
      </c>
      <c r="AA286" s="113">
        <v>0</v>
      </c>
      <c r="AB286" s="113">
        <v>0</v>
      </c>
      <c r="AC286" s="113">
        <v>0</v>
      </c>
      <c r="AD286" s="113">
        <v>0</v>
      </c>
    </row>
    <row r="287" spans="1:256">
      <c r="A287" s="103" t="s">
        <v>1294</v>
      </c>
      <c r="B287" s="103"/>
      <c r="C287" s="103"/>
      <c r="D287" s="103"/>
      <c r="E287" s="103"/>
      <c r="F287" s="103"/>
      <c r="G287" s="103"/>
      <c r="H287" s="113">
        <v>0</v>
      </c>
      <c r="I287" s="113">
        <v>0</v>
      </c>
      <c r="J287" s="113">
        <v>0</v>
      </c>
      <c r="K287" s="113">
        <v>0</v>
      </c>
      <c r="L287" s="113">
        <v>0</v>
      </c>
      <c r="M287" s="113">
        <v>0</v>
      </c>
      <c r="N287" s="113">
        <v>0</v>
      </c>
      <c r="O287" s="113">
        <v>0</v>
      </c>
      <c r="P287" s="113">
        <v>0</v>
      </c>
      <c r="Q287" s="113">
        <v>0</v>
      </c>
      <c r="R287" s="113">
        <v>0</v>
      </c>
      <c r="S287" s="113">
        <v>0</v>
      </c>
      <c r="T287" s="113">
        <v>0</v>
      </c>
      <c r="U287" s="113">
        <v>0</v>
      </c>
      <c r="V287" s="113">
        <v>0</v>
      </c>
      <c r="W287" s="113">
        <v>6203</v>
      </c>
      <c r="X287" s="113">
        <v>6431</v>
      </c>
      <c r="Y287" s="113">
        <v>0</v>
      </c>
      <c r="Z287" s="113">
        <v>0</v>
      </c>
      <c r="AA287" s="113">
        <v>0</v>
      </c>
      <c r="AB287" s="113">
        <v>0</v>
      </c>
      <c r="AC287" s="113">
        <v>0</v>
      </c>
      <c r="AD287" s="113">
        <v>0</v>
      </c>
    </row>
    <row r="288" spans="1:256">
      <c r="A288" s="103" t="s">
        <v>1296</v>
      </c>
      <c r="B288" s="103"/>
      <c r="C288" s="103"/>
      <c r="D288" s="103"/>
      <c r="E288" s="103"/>
      <c r="F288" s="103"/>
      <c r="G288" s="103"/>
      <c r="H288" s="113">
        <v>0</v>
      </c>
      <c r="I288" s="113">
        <v>0</v>
      </c>
      <c r="J288" s="113">
        <v>0</v>
      </c>
      <c r="K288" s="113">
        <v>0</v>
      </c>
      <c r="L288" s="113">
        <v>0</v>
      </c>
      <c r="M288" s="113">
        <v>0</v>
      </c>
      <c r="N288" s="113">
        <v>0</v>
      </c>
      <c r="O288" s="113">
        <v>0</v>
      </c>
      <c r="P288" s="113">
        <v>0</v>
      </c>
      <c r="Q288" s="113">
        <v>0</v>
      </c>
      <c r="R288" s="113">
        <v>0</v>
      </c>
      <c r="S288" s="113">
        <v>0</v>
      </c>
      <c r="T288" s="113">
        <v>0</v>
      </c>
      <c r="U288" s="113">
        <v>0</v>
      </c>
      <c r="V288" s="113">
        <v>0</v>
      </c>
      <c r="W288" s="113">
        <v>37126</v>
      </c>
      <c r="X288" s="113">
        <v>39778</v>
      </c>
      <c r="Y288" s="113">
        <v>0</v>
      </c>
      <c r="Z288" s="113">
        <v>0</v>
      </c>
      <c r="AA288" s="113">
        <v>0</v>
      </c>
      <c r="AB288" s="113">
        <v>0</v>
      </c>
      <c r="AC288" s="113">
        <v>0</v>
      </c>
      <c r="AD288" s="113">
        <v>0</v>
      </c>
    </row>
    <row r="289" spans="1:30">
      <c r="A289" s="103" t="s">
        <v>1297</v>
      </c>
      <c r="B289" s="103"/>
      <c r="C289" s="103"/>
      <c r="D289" s="103"/>
      <c r="E289" s="103"/>
      <c r="F289" s="103"/>
      <c r="G289" s="103"/>
      <c r="H289" s="113">
        <v>0</v>
      </c>
      <c r="I289" s="113">
        <v>0</v>
      </c>
      <c r="J289" s="113">
        <v>0</v>
      </c>
      <c r="K289" s="113">
        <v>0</v>
      </c>
      <c r="L289" s="113">
        <v>0</v>
      </c>
      <c r="M289" s="113">
        <v>0</v>
      </c>
      <c r="N289" s="113">
        <v>0</v>
      </c>
      <c r="O289" s="113">
        <v>0</v>
      </c>
      <c r="P289" s="113">
        <v>0</v>
      </c>
      <c r="Q289" s="113">
        <v>0</v>
      </c>
      <c r="R289" s="113">
        <v>0</v>
      </c>
      <c r="S289" s="113">
        <v>0</v>
      </c>
      <c r="T289" s="113">
        <v>0</v>
      </c>
      <c r="U289" s="113">
        <v>0</v>
      </c>
      <c r="V289" s="113">
        <v>0</v>
      </c>
      <c r="W289" s="113">
        <v>4644</v>
      </c>
      <c r="X289" s="113">
        <v>5661</v>
      </c>
      <c r="Y289" s="113">
        <v>0</v>
      </c>
      <c r="Z289" s="113">
        <v>0</v>
      </c>
      <c r="AA289" s="113">
        <v>0</v>
      </c>
      <c r="AB289" s="113">
        <v>0</v>
      </c>
      <c r="AC289" s="113">
        <v>0</v>
      </c>
      <c r="AD289" s="113">
        <v>0</v>
      </c>
    </row>
    <row r="290" spans="1:30">
      <c r="A290" s="103" t="s">
        <v>2534</v>
      </c>
      <c r="B290" s="103"/>
      <c r="C290" s="103"/>
      <c r="D290" s="103"/>
      <c r="E290" s="103"/>
      <c r="F290" s="103"/>
      <c r="G290" s="103"/>
      <c r="H290" s="113">
        <v>5213</v>
      </c>
      <c r="I290" s="113">
        <v>6236</v>
      </c>
      <c r="J290" s="113">
        <v>0</v>
      </c>
      <c r="K290" s="113">
        <v>0</v>
      </c>
      <c r="L290" s="113">
        <v>0</v>
      </c>
      <c r="M290" s="113">
        <v>9350</v>
      </c>
      <c r="N290" s="113">
        <v>10304</v>
      </c>
      <c r="O290" s="113">
        <v>11293</v>
      </c>
      <c r="P290" s="113">
        <v>11901</v>
      </c>
      <c r="Q290" s="113">
        <v>13077</v>
      </c>
      <c r="R290" s="113">
        <v>14779</v>
      </c>
      <c r="S290" s="113">
        <v>16815</v>
      </c>
      <c r="T290" s="113">
        <v>15563</v>
      </c>
      <c r="U290" s="113">
        <v>18789</v>
      </c>
      <c r="V290" s="113">
        <v>18815</v>
      </c>
      <c r="W290" s="113">
        <v>0</v>
      </c>
      <c r="X290" s="113">
        <v>0</v>
      </c>
      <c r="Y290" s="113">
        <v>0</v>
      </c>
      <c r="Z290" s="113">
        <v>0</v>
      </c>
      <c r="AA290" s="113">
        <v>0</v>
      </c>
      <c r="AB290" s="113">
        <v>0</v>
      </c>
      <c r="AC290" s="113">
        <v>0</v>
      </c>
      <c r="AD290" s="113">
        <v>0</v>
      </c>
    </row>
    <row r="291" spans="1:30">
      <c r="A291" s="103" t="s">
        <v>2535</v>
      </c>
      <c r="B291" s="103"/>
      <c r="C291" s="103"/>
      <c r="D291" s="103"/>
      <c r="E291" s="103"/>
      <c r="F291" s="103"/>
      <c r="G291" s="103"/>
      <c r="H291" s="113">
        <v>0</v>
      </c>
      <c r="I291" s="113">
        <v>0</v>
      </c>
      <c r="J291" s="113">
        <v>0</v>
      </c>
      <c r="K291" s="113">
        <v>0</v>
      </c>
      <c r="L291" s="113">
        <v>0</v>
      </c>
      <c r="M291" s="113">
        <v>5632</v>
      </c>
      <c r="N291" s="113">
        <v>6786</v>
      </c>
      <c r="O291" s="113">
        <v>8031</v>
      </c>
      <c r="P291" s="113">
        <v>8314</v>
      </c>
      <c r="Q291" s="113">
        <v>9670</v>
      </c>
      <c r="R291" s="113">
        <v>11117</v>
      </c>
      <c r="S291" s="113">
        <v>13217</v>
      </c>
      <c r="T291" s="113">
        <v>14686</v>
      </c>
      <c r="U291" s="113">
        <v>15121</v>
      </c>
      <c r="V291" s="113">
        <v>16571</v>
      </c>
      <c r="W291" s="113">
        <v>0</v>
      </c>
      <c r="X291" s="113">
        <v>0</v>
      </c>
      <c r="Y291" s="113">
        <v>0</v>
      </c>
      <c r="Z291" s="113">
        <v>0</v>
      </c>
      <c r="AA291" s="113">
        <v>0</v>
      </c>
      <c r="AB291" s="113">
        <v>0</v>
      </c>
      <c r="AC291" s="113">
        <v>0</v>
      </c>
      <c r="AD291" s="113">
        <v>0</v>
      </c>
    </row>
    <row r="292" spans="1:30">
      <c r="A292" s="103" t="s">
        <v>2536</v>
      </c>
      <c r="B292" s="103"/>
      <c r="C292" s="103"/>
      <c r="D292" s="103"/>
      <c r="E292" s="103"/>
      <c r="F292" s="103"/>
      <c r="G292" s="103"/>
      <c r="H292" s="113">
        <v>0</v>
      </c>
      <c r="I292" s="113">
        <v>0</v>
      </c>
      <c r="J292" s="113">
        <v>0</v>
      </c>
      <c r="K292" s="113">
        <v>0</v>
      </c>
      <c r="L292" s="113">
        <v>0</v>
      </c>
      <c r="M292" s="113">
        <v>0</v>
      </c>
      <c r="N292" s="113">
        <v>0</v>
      </c>
      <c r="O292" s="113">
        <v>0</v>
      </c>
      <c r="P292" s="113">
        <v>2353</v>
      </c>
      <c r="Q292" s="113">
        <v>2303</v>
      </c>
      <c r="R292" s="113">
        <v>2434</v>
      </c>
      <c r="S292" s="113">
        <v>2164</v>
      </c>
      <c r="T292" s="113">
        <v>2110</v>
      </c>
      <c r="U292" s="113">
        <v>2345</v>
      </c>
      <c r="V292" s="113">
        <v>2680</v>
      </c>
      <c r="W292" s="113">
        <v>0</v>
      </c>
      <c r="X292" s="113">
        <v>0</v>
      </c>
      <c r="Y292" s="113">
        <v>0</v>
      </c>
      <c r="Z292" s="113">
        <v>0</v>
      </c>
      <c r="AA292" s="113">
        <v>0</v>
      </c>
      <c r="AB292" s="113">
        <v>0</v>
      </c>
      <c r="AC292" s="113">
        <v>0</v>
      </c>
      <c r="AD292" s="113">
        <v>0</v>
      </c>
    </row>
    <row r="293" spans="1:30">
      <c r="A293" s="103" t="s">
        <v>2537</v>
      </c>
      <c r="B293" s="103"/>
      <c r="C293" s="103"/>
      <c r="D293" s="103"/>
      <c r="E293" s="103"/>
      <c r="F293" s="103"/>
      <c r="G293" s="103"/>
      <c r="H293" s="113">
        <v>0</v>
      </c>
      <c r="I293" s="113">
        <v>0</v>
      </c>
      <c r="J293" s="113">
        <v>0</v>
      </c>
      <c r="K293" s="113">
        <v>0</v>
      </c>
      <c r="L293" s="113">
        <v>0</v>
      </c>
      <c r="M293" s="113">
        <v>308</v>
      </c>
      <c r="N293" s="113">
        <v>641</v>
      </c>
      <c r="O293" s="113">
        <v>735</v>
      </c>
      <c r="P293" s="113">
        <v>13298</v>
      </c>
      <c r="Q293" s="113">
        <v>14461</v>
      </c>
      <c r="R293" s="113">
        <v>16478</v>
      </c>
      <c r="S293" s="113">
        <v>18904</v>
      </c>
      <c r="T293" s="113">
        <v>19211</v>
      </c>
      <c r="U293" s="113">
        <v>19525</v>
      </c>
      <c r="V293" s="113">
        <v>22407</v>
      </c>
      <c r="W293" s="113">
        <v>0</v>
      </c>
      <c r="X293" s="113">
        <v>0</v>
      </c>
      <c r="Y293" s="113">
        <v>0</v>
      </c>
      <c r="Z293" s="113">
        <v>0</v>
      </c>
      <c r="AA293" s="113">
        <v>0</v>
      </c>
      <c r="AB293" s="113">
        <v>0</v>
      </c>
      <c r="AC293" s="113">
        <v>0</v>
      </c>
      <c r="AD293" s="113">
        <v>0</v>
      </c>
    </row>
    <row r="294" spans="1:30">
      <c r="A294" s="103" t="s">
        <v>2538</v>
      </c>
      <c r="B294" s="103"/>
      <c r="C294" s="103"/>
      <c r="D294" s="103"/>
      <c r="E294" s="103"/>
      <c r="F294" s="103"/>
      <c r="G294" s="103"/>
      <c r="H294" s="113">
        <v>0</v>
      </c>
      <c r="I294" s="113">
        <v>0</v>
      </c>
      <c r="J294" s="113">
        <v>0</v>
      </c>
      <c r="K294" s="113">
        <v>0</v>
      </c>
      <c r="L294" s="113">
        <v>0</v>
      </c>
      <c r="M294" s="113">
        <v>0</v>
      </c>
      <c r="N294" s="113">
        <v>0</v>
      </c>
      <c r="O294" s="113">
        <v>0</v>
      </c>
      <c r="P294" s="113">
        <v>3485</v>
      </c>
      <c r="Q294" s="113">
        <v>4761</v>
      </c>
      <c r="R294" s="113">
        <v>6136</v>
      </c>
      <c r="S294" s="113">
        <v>8502</v>
      </c>
      <c r="T294" s="113">
        <v>6416</v>
      </c>
      <c r="U294" s="113">
        <v>6135</v>
      </c>
      <c r="V294" s="113">
        <v>8896</v>
      </c>
      <c r="W294" s="113">
        <v>0</v>
      </c>
      <c r="X294" s="113">
        <v>0</v>
      </c>
      <c r="Y294" s="113">
        <v>0</v>
      </c>
      <c r="Z294" s="113">
        <v>0</v>
      </c>
      <c r="AA294" s="113">
        <v>0</v>
      </c>
      <c r="AB294" s="113">
        <v>0</v>
      </c>
      <c r="AC294" s="113">
        <v>0</v>
      </c>
      <c r="AD294" s="113">
        <v>0</v>
      </c>
    </row>
    <row r="295" spans="1:30">
      <c r="A295" s="103" t="s">
        <v>2539</v>
      </c>
      <c r="B295" s="103"/>
      <c r="C295" s="103"/>
      <c r="D295" s="103"/>
      <c r="E295" s="103"/>
      <c r="F295" s="103"/>
      <c r="G295" s="103"/>
      <c r="H295" s="113">
        <v>-398</v>
      </c>
      <c r="I295" s="113">
        <v>-197</v>
      </c>
      <c r="J295" s="113">
        <v>134</v>
      </c>
      <c r="K295" s="113">
        <v>19</v>
      </c>
      <c r="L295" s="113">
        <v>0</v>
      </c>
      <c r="M295" s="113">
        <v>288</v>
      </c>
      <c r="N295" s="113">
        <v>-508</v>
      </c>
      <c r="O295" s="113">
        <v>372</v>
      </c>
      <c r="P295" s="113">
        <v>0</v>
      </c>
      <c r="Q295" s="113">
        <v>0</v>
      </c>
      <c r="R295" s="113">
        <v>0</v>
      </c>
      <c r="S295" s="113">
        <v>0</v>
      </c>
      <c r="T295" s="113">
        <v>0</v>
      </c>
      <c r="U295" s="113">
        <v>0</v>
      </c>
      <c r="V295" s="113">
        <v>0</v>
      </c>
      <c r="W295" s="113">
        <v>0</v>
      </c>
      <c r="X295" s="113">
        <v>0</v>
      </c>
      <c r="Y295" s="113">
        <v>0</v>
      </c>
      <c r="Z295" s="113">
        <v>0</v>
      </c>
      <c r="AA295" s="113">
        <v>0</v>
      </c>
      <c r="AB295" s="113">
        <v>0</v>
      </c>
      <c r="AC295" s="113">
        <v>0</v>
      </c>
      <c r="AD295" s="113">
        <v>0</v>
      </c>
    </row>
    <row r="296" spans="1:30">
      <c r="A296" s="103" t="s">
        <v>2540</v>
      </c>
      <c r="B296" s="103"/>
      <c r="C296" s="103"/>
      <c r="D296" s="103"/>
      <c r="E296" s="103"/>
      <c r="F296" s="103"/>
      <c r="G296" s="103"/>
      <c r="H296" s="113">
        <v>0</v>
      </c>
      <c r="I296" s="113">
        <v>0</v>
      </c>
      <c r="J296" s="113">
        <v>0</v>
      </c>
      <c r="K296" s="113">
        <v>0</v>
      </c>
      <c r="L296" s="113">
        <v>0</v>
      </c>
      <c r="M296" s="113">
        <v>8328</v>
      </c>
      <c r="N296" s="113">
        <v>9636</v>
      </c>
      <c r="O296" s="113">
        <v>10990</v>
      </c>
      <c r="P296" s="113">
        <v>0</v>
      </c>
      <c r="Q296" s="113">
        <v>0</v>
      </c>
      <c r="R296" s="113">
        <v>0</v>
      </c>
      <c r="S296" s="113">
        <v>0</v>
      </c>
      <c r="T296" s="113">
        <v>0</v>
      </c>
      <c r="U296" s="113">
        <v>0</v>
      </c>
      <c r="V296" s="113">
        <v>0</v>
      </c>
      <c r="W296" s="113">
        <v>0</v>
      </c>
      <c r="X296" s="113">
        <v>0</v>
      </c>
      <c r="Y296" s="113">
        <v>0</v>
      </c>
      <c r="Z296" s="113">
        <v>0</v>
      </c>
      <c r="AA296" s="113">
        <v>0</v>
      </c>
      <c r="AB296" s="113">
        <v>0</v>
      </c>
      <c r="AC296" s="113">
        <v>0</v>
      </c>
      <c r="AD296" s="113">
        <v>0</v>
      </c>
    </row>
    <row r="297" spans="1:30">
      <c r="A297" s="103" t="s">
        <v>2541</v>
      </c>
      <c r="B297" s="103"/>
      <c r="C297" s="103"/>
      <c r="D297" s="103"/>
      <c r="E297" s="103"/>
      <c r="F297" s="103"/>
      <c r="G297" s="103"/>
      <c r="H297" s="113">
        <v>0</v>
      </c>
      <c r="I297" s="113">
        <v>0</v>
      </c>
      <c r="J297" s="113">
        <v>0</v>
      </c>
      <c r="K297" s="113">
        <v>0</v>
      </c>
      <c r="L297" s="113">
        <v>0</v>
      </c>
      <c r="M297" s="113">
        <v>1924</v>
      </c>
      <c r="N297" s="113">
        <v>2396</v>
      </c>
      <c r="O297" s="113">
        <v>2498</v>
      </c>
      <c r="P297" s="113">
        <v>0</v>
      </c>
      <c r="Q297" s="113">
        <v>0</v>
      </c>
      <c r="R297" s="113">
        <v>0</v>
      </c>
      <c r="S297" s="113">
        <v>0</v>
      </c>
      <c r="T297" s="113">
        <v>0</v>
      </c>
      <c r="U297" s="113">
        <v>0</v>
      </c>
      <c r="V297" s="113">
        <v>0</v>
      </c>
      <c r="W297" s="113">
        <v>0</v>
      </c>
      <c r="X297" s="113">
        <v>0</v>
      </c>
      <c r="Y297" s="113">
        <v>0</v>
      </c>
      <c r="Z297" s="113">
        <v>0</v>
      </c>
      <c r="AA297" s="113">
        <v>0</v>
      </c>
      <c r="AB297" s="113">
        <v>0</v>
      </c>
      <c r="AC297" s="113">
        <v>0</v>
      </c>
      <c r="AD297" s="113">
        <v>0</v>
      </c>
    </row>
    <row r="298" spans="1:30">
      <c r="A298" s="103" t="s">
        <v>2542</v>
      </c>
      <c r="B298" s="103"/>
      <c r="C298" s="103"/>
      <c r="D298" s="103"/>
      <c r="E298" s="103"/>
      <c r="F298" s="103"/>
      <c r="G298" s="103"/>
      <c r="H298" s="113">
        <v>0</v>
      </c>
      <c r="I298" s="113">
        <v>0</v>
      </c>
      <c r="J298" s="113">
        <v>0</v>
      </c>
      <c r="K298" s="113">
        <v>0</v>
      </c>
      <c r="L298" s="113">
        <v>0</v>
      </c>
      <c r="M298" s="113">
        <v>124</v>
      </c>
      <c r="N298" s="113">
        <v>153</v>
      </c>
      <c r="O298" s="113">
        <v>185</v>
      </c>
      <c r="P298" s="113">
        <v>0</v>
      </c>
      <c r="Q298" s="113">
        <v>0</v>
      </c>
      <c r="R298" s="113">
        <v>0</v>
      </c>
      <c r="S298" s="113">
        <v>0</v>
      </c>
      <c r="T298" s="113">
        <v>0</v>
      </c>
      <c r="U298" s="113">
        <v>0</v>
      </c>
      <c r="V298" s="113">
        <v>0</v>
      </c>
      <c r="W298" s="113">
        <v>0</v>
      </c>
      <c r="X298" s="113">
        <v>0</v>
      </c>
      <c r="Y298" s="113">
        <v>0</v>
      </c>
      <c r="Z298" s="113">
        <v>0</v>
      </c>
      <c r="AA298" s="113">
        <v>0</v>
      </c>
      <c r="AB298" s="113">
        <v>0</v>
      </c>
      <c r="AC298" s="113">
        <v>0</v>
      </c>
      <c r="AD298" s="113">
        <v>0</v>
      </c>
    </row>
    <row r="299" spans="1:30">
      <c r="A299" s="103" t="s">
        <v>2543</v>
      </c>
      <c r="B299" s="103"/>
      <c r="C299" s="103"/>
      <c r="D299" s="103"/>
      <c r="E299" s="103"/>
      <c r="F299" s="103"/>
      <c r="G299" s="103"/>
      <c r="H299" s="113">
        <v>0</v>
      </c>
      <c r="I299" s="113">
        <v>0</v>
      </c>
      <c r="J299" s="113">
        <v>0</v>
      </c>
      <c r="K299" s="113">
        <v>0</v>
      </c>
      <c r="L299" s="113">
        <v>0</v>
      </c>
      <c r="M299" s="113">
        <v>2411</v>
      </c>
      <c r="N299" s="113">
        <v>2779</v>
      </c>
      <c r="O299" s="113">
        <v>2731</v>
      </c>
      <c r="P299" s="113">
        <v>0</v>
      </c>
      <c r="Q299" s="113">
        <v>0</v>
      </c>
      <c r="R299" s="113">
        <v>0</v>
      </c>
      <c r="S299" s="113">
        <v>0</v>
      </c>
      <c r="T299" s="113">
        <v>0</v>
      </c>
      <c r="U299" s="113">
        <v>0</v>
      </c>
      <c r="V299" s="113">
        <v>0</v>
      </c>
      <c r="W299" s="113">
        <v>0</v>
      </c>
      <c r="X299" s="113">
        <v>0</v>
      </c>
      <c r="Y299" s="113">
        <v>0</v>
      </c>
      <c r="Z299" s="113">
        <v>0</v>
      </c>
      <c r="AA299" s="113">
        <v>0</v>
      </c>
      <c r="AB299" s="113">
        <v>0</v>
      </c>
      <c r="AC299" s="113">
        <v>0</v>
      </c>
      <c r="AD299" s="113">
        <v>0</v>
      </c>
    </row>
    <row r="300" spans="1:30">
      <c r="A300" s="103" t="s">
        <v>2544</v>
      </c>
      <c r="B300" s="103"/>
      <c r="C300" s="103"/>
      <c r="D300" s="103"/>
      <c r="E300" s="103"/>
      <c r="F300" s="103"/>
      <c r="G300" s="103"/>
      <c r="H300" s="113">
        <v>0</v>
      </c>
      <c r="I300" s="113">
        <v>0</v>
      </c>
      <c r="J300" s="113">
        <v>17810</v>
      </c>
      <c r="K300" s="113">
        <v>20410</v>
      </c>
      <c r="L300" s="113">
        <v>0</v>
      </c>
      <c r="M300" s="113">
        <v>0</v>
      </c>
      <c r="N300" s="113">
        <v>0</v>
      </c>
      <c r="O300" s="113">
        <v>0</v>
      </c>
      <c r="P300" s="113">
        <v>0</v>
      </c>
      <c r="Q300" s="113">
        <v>0</v>
      </c>
      <c r="R300" s="113">
        <v>0</v>
      </c>
      <c r="S300" s="113">
        <v>0</v>
      </c>
      <c r="T300" s="113">
        <v>0</v>
      </c>
      <c r="U300" s="113">
        <v>0</v>
      </c>
      <c r="V300" s="113">
        <v>0</v>
      </c>
      <c r="W300" s="113">
        <v>0</v>
      </c>
      <c r="X300" s="113">
        <v>0</v>
      </c>
      <c r="Y300" s="113">
        <v>0</v>
      </c>
      <c r="Z300" s="113">
        <v>0</v>
      </c>
      <c r="AA300" s="113">
        <v>0</v>
      </c>
      <c r="AB300" s="113">
        <v>0</v>
      </c>
      <c r="AC300" s="113">
        <v>0</v>
      </c>
      <c r="AD300" s="113">
        <v>0</v>
      </c>
    </row>
    <row r="301" spans="1:30">
      <c r="A301" s="103" t="s">
        <v>2545</v>
      </c>
      <c r="B301" s="103"/>
      <c r="C301" s="103"/>
      <c r="D301" s="103"/>
      <c r="E301" s="103"/>
      <c r="F301" s="103"/>
      <c r="G301" s="103"/>
      <c r="H301" s="113">
        <v>0</v>
      </c>
      <c r="I301" s="113">
        <v>0</v>
      </c>
      <c r="J301" s="113">
        <v>1148</v>
      </c>
      <c r="K301" s="113">
        <v>1654</v>
      </c>
      <c r="L301" s="113">
        <v>0</v>
      </c>
      <c r="M301" s="113">
        <v>0</v>
      </c>
      <c r="N301" s="113">
        <v>0</v>
      </c>
      <c r="O301" s="113">
        <v>0</v>
      </c>
      <c r="P301" s="113">
        <v>0</v>
      </c>
      <c r="Q301" s="113">
        <v>0</v>
      </c>
      <c r="R301" s="113">
        <v>0</v>
      </c>
      <c r="S301" s="113">
        <v>0</v>
      </c>
      <c r="T301" s="113">
        <v>0</v>
      </c>
      <c r="U301" s="113">
        <v>0</v>
      </c>
      <c r="V301" s="113">
        <v>0</v>
      </c>
      <c r="W301" s="113">
        <v>0</v>
      </c>
      <c r="X301" s="113">
        <v>0</v>
      </c>
      <c r="Y301" s="113">
        <v>0</v>
      </c>
      <c r="Z301" s="113">
        <v>0</v>
      </c>
      <c r="AA301" s="113">
        <v>0</v>
      </c>
      <c r="AB301" s="113">
        <v>0</v>
      </c>
      <c r="AC301" s="113">
        <v>0</v>
      </c>
      <c r="AD301" s="113">
        <v>0</v>
      </c>
    </row>
    <row r="302" spans="1:30">
      <c r="A302" s="103" t="s">
        <v>2546</v>
      </c>
      <c r="B302" s="103"/>
      <c r="C302" s="103"/>
      <c r="D302" s="103"/>
      <c r="E302" s="103"/>
      <c r="F302" s="103"/>
      <c r="G302" s="103"/>
      <c r="H302" s="113">
        <v>0</v>
      </c>
      <c r="I302" s="113">
        <v>0</v>
      </c>
      <c r="J302" s="113">
        <v>62</v>
      </c>
      <c r="K302" s="113">
        <v>182</v>
      </c>
      <c r="L302" s="113">
        <v>0</v>
      </c>
      <c r="M302" s="113">
        <v>0</v>
      </c>
      <c r="N302" s="113">
        <v>0</v>
      </c>
      <c r="O302" s="113">
        <v>0</v>
      </c>
      <c r="P302" s="113">
        <v>0</v>
      </c>
      <c r="Q302" s="113">
        <v>0</v>
      </c>
      <c r="R302" s="113">
        <v>0</v>
      </c>
      <c r="S302" s="113">
        <v>0</v>
      </c>
      <c r="T302" s="113">
        <v>0</v>
      </c>
      <c r="U302" s="113">
        <v>0</v>
      </c>
      <c r="V302" s="113">
        <v>0</v>
      </c>
      <c r="W302" s="113">
        <v>0</v>
      </c>
      <c r="X302" s="113">
        <v>0</v>
      </c>
      <c r="Y302" s="113">
        <v>0</v>
      </c>
      <c r="Z302" s="113">
        <v>0</v>
      </c>
      <c r="AA302" s="113">
        <v>0</v>
      </c>
      <c r="AB302" s="113">
        <v>0</v>
      </c>
      <c r="AC302" s="113">
        <v>0</v>
      </c>
      <c r="AD302" s="113">
        <v>0</v>
      </c>
    </row>
    <row r="303" spans="1:30">
      <c r="A303" s="103" t="s">
        <v>200</v>
      </c>
      <c r="B303" s="103"/>
      <c r="C303" s="103"/>
      <c r="D303" s="103"/>
      <c r="E303" s="103"/>
      <c r="F303" s="103"/>
      <c r="G303" s="103"/>
      <c r="H303" s="113">
        <v>0</v>
      </c>
      <c r="I303" s="113">
        <v>0</v>
      </c>
      <c r="J303" s="113">
        <v>593</v>
      </c>
      <c r="K303" s="113">
        <v>691</v>
      </c>
      <c r="L303" s="113">
        <v>0</v>
      </c>
      <c r="M303" s="113">
        <v>0</v>
      </c>
      <c r="N303" s="113">
        <v>0</v>
      </c>
      <c r="O303" s="113">
        <v>0</v>
      </c>
      <c r="P303" s="113">
        <v>0</v>
      </c>
      <c r="Q303" s="113">
        <v>0</v>
      </c>
      <c r="R303" s="113">
        <v>0</v>
      </c>
      <c r="S303" s="113">
        <v>0</v>
      </c>
      <c r="T303" s="113">
        <v>0</v>
      </c>
      <c r="U303" s="113">
        <v>0</v>
      </c>
      <c r="V303" s="113">
        <v>0</v>
      </c>
      <c r="W303" s="113">
        <v>0</v>
      </c>
      <c r="X303" s="113">
        <v>0</v>
      </c>
      <c r="Y303" s="113">
        <v>0</v>
      </c>
      <c r="Z303" s="113">
        <v>0</v>
      </c>
      <c r="AA303" s="113">
        <v>0</v>
      </c>
      <c r="AB303" s="113">
        <v>0</v>
      </c>
      <c r="AC303" s="113">
        <v>0</v>
      </c>
      <c r="AD303" s="113">
        <v>0</v>
      </c>
    </row>
    <row r="304" spans="1:30">
      <c r="A304" s="103" t="s">
        <v>2547</v>
      </c>
      <c r="B304" s="103"/>
      <c r="C304" s="103"/>
      <c r="D304" s="103"/>
      <c r="E304" s="103"/>
      <c r="F304" s="103"/>
      <c r="G304" s="103"/>
      <c r="H304" s="113">
        <v>5992</v>
      </c>
      <c r="I304" s="113">
        <v>7458</v>
      </c>
      <c r="J304" s="113">
        <v>0</v>
      </c>
      <c r="K304" s="113">
        <v>0</v>
      </c>
      <c r="L304" s="113">
        <v>0</v>
      </c>
      <c r="M304" s="113">
        <v>0</v>
      </c>
      <c r="N304" s="113">
        <v>0</v>
      </c>
      <c r="O304" s="113">
        <v>0</v>
      </c>
      <c r="P304" s="113">
        <v>0</v>
      </c>
      <c r="Q304" s="113">
        <v>0</v>
      </c>
      <c r="R304" s="113">
        <v>0</v>
      </c>
      <c r="S304" s="113">
        <v>0</v>
      </c>
      <c r="T304" s="113">
        <v>0</v>
      </c>
      <c r="U304" s="113">
        <v>0</v>
      </c>
      <c r="V304" s="113">
        <v>0</v>
      </c>
      <c r="W304" s="113">
        <v>0</v>
      </c>
      <c r="X304" s="113">
        <v>0</v>
      </c>
      <c r="Y304" s="113">
        <v>0</v>
      </c>
      <c r="Z304" s="113">
        <v>0</v>
      </c>
      <c r="AA304" s="113">
        <v>0</v>
      </c>
      <c r="AB304" s="113">
        <v>0</v>
      </c>
      <c r="AC304" s="113">
        <v>0</v>
      </c>
      <c r="AD304" s="113">
        <v>0</v>
      </c>
    </row>
    <row r="305" spans="1:30">
      <c r="A305" s="103" t="s">
        <v>2548</v>
      </c>
      <c r="B305" s="103"/>
      <c r="C305" s="103"/>
      <c r="D305" s="103"/>
      <c r="E305" s="103"/>
      <c r="F305" s="103"/>
      <c r="G305" s="103"/>
      <c r="H305" s="113">
        <v>1129</v>
      </c>
      <c r="I305" s="113">
        <v>1765</v>
      </c>
      <c r="J305" s="113">
        <v>0</v>
      </c>
      <c r="K305" s="113">
        <v>0</v>
      </c>
      <c r="L305" s="113">
        <v>0</v>
      </c>
      <c r="M305" s="113">
        <v>0</v>
      </c>
      <c r="N305" s="113">
        <v>0</v>
      </c>
      <c r="O305" s="113">
        <v>0</v>
      </c>
      <c r="P305" s="113">
        <v>0</v>
      </c>
      <c r="Q305" s="113">
        <v>0</v>
      </c>
      <c r="R305" s="113">
        <v>0</v>
      </c>
      <c r="S305" s="113">
        <v>0</v>
      </c>
      <c r="T305" s="113">
        <v>0</v>
      </c>
      <c r="U305" s="113">
        <v>0</v>
      </c>
      <c r="V305" s="113">
        <v>0</v>
      </c>
      <c r="W305" s="113">
        <v>0</v>
      </c>
      <c r="X305" s="113">
        <v>0</v>
      </c>
      <c r="Y305" s="113">
        <v>0</v>
      </c>
      <c r="Z305" s="113">
        <v>0</v>
      </c>
      <c r="AA305" s="113">
        <v>0</v>
      </c>
      <c r="AB305" s="113">
        <v>0</v>
      </c>
      <c r="AC305" s="113">
        <v>0</v>
      </c>
      <c r="AD305" s="113">
        <v>0</v>
      </c>
    </row>
    <row r="306" spans="1:30" ht="10.5">
      <c r="A306" s="112" t="s">
        <v>2549</v>
      </c>
      <c r="B306" s="112"/>
      <c r="C306" s="112"/>
      <c r="D306" s="112"/>
      <c r="E306" s="112"/>
      <c r="F306" s="112"/>
      <c r="G306" s="112"/>
      <c r="H306" s="115">
        <v>11936</v>
      </c>
      <c r="I306" s="115">
        <v>15262</v>
      </c>
      <c r="J306" s="115">
        <v>19747</v>
      </c>
      <c r="K306" s="115">
        <v>22956</v>
      </c>
      <c r="L306" s="115">
        <v>0</v>
      </c>
      <c r="M306" s="115">
        <v>28365</v>
      </c>
      <c r="N306" s="115">
        <v>32187</v>
      </c>
      <c r="O306" s="115">
        <v>36835</v>
      </c>
      <c r="P306" s="115">
        <v>39788</v>
      </c>
      <c r="Q306" s="115">
        <v>44282</v>
      </c>
      <c r="R306" s="115">
        <v>51122</v>
      </c>
      <c r="S306" s="115">
        <v>60420</v>
      </c>
      <c r="T306" s="115">
        <v>58437</v>
      </c>
      <c r="U306" s="115">
        <v>62484</v>
      </c>
      <c r="V306" s="115">
        <v>69943</v>
      </c>
      <c r="W306" s="115">
        <v>73723</v>
      </c>
      <c r="X306" s="115">
        <v>77849</v>
      </c>
      <c r="Y306" s="115">
        <v>86833</v>
      </c>
      <c r="Z306" s="115">
        <v>93580</v>
      </c>
      <c r="AA306" s="115">
        <v>91154</v>
      </c>
      <c r="AB306" s="115">
        <v>96571</v>
      </c>
      <c r="AC306" s="115">
        <v>110360</v>
      </c>
      <c r="AD306" s="115">
        <v>125843</v>
      </c>
    </row>
    <row r="307" spans="1:30">
      <c r="A307" s="103"/>
      <c r="B307" s="103"/>
      <c r="C307" s="103"/>
      <c r="D307" s="103"/>
      <c r="E307" s="103"/>
      <c r="F307" s="10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row>
    <row r="308" spans="1:30" ht="10.5">
      <c r="A308" s="112" t="s">
        <v>2550</v>
      </c>
      <c r="B308" s="112"/>
      <c r="C308" s="112"/>
      <c r="D308" s="112"/>
      <c r="E308" s="112"/>
      <c r="F308" s="112"/>
      <c r="G308" s="112"/>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row>
    <row r="309" spans="1:30">
      <c r="A309" s="103" t="s">
        <v>345</v>
      </c>
      <c r="B309" s="103"/>
      <c r="C309" s="103"/>
      <c r="D309" s="103"/>
      <c r="E309" s="103"/>
      <c r="F309" s="103"/>
      <c r="G309" s="103"/>
      <c r="H309" s="113">
        <v>0</v>
      </c>
      <c r="I309" s="113">
        <v>0</v>
      </c>
      <c r="J309" s="113">
        <v>0</v>
      </c>
      <c r="K309" s="113">
        <v>0</v>
      </c>
      <c r="L309" s="113">
        <v>0</v>
      </c>
      <c r="M309" s="113">
        <v>0</v>
      </c>
      <c r="N309" s="113">
        <v>0</v>
      </c>
      <c r="O309" s="113">
        <v>0</v>
      </c>
      <c r="P309" s="113">
        <v>0</v>
      </c>
      <c r="Q309" s="113">
        <v>0</v>
      </c>
      <c r="R309" s="113">
        <v>0</v>
      </c>
      <c r="S309" s="113">
        <v>0</v>
      </c>
      <c r="T309" s="113">
        <v>0</v>
      </c>
      <c r="U309" s="113">
        <v>0</v>
      </c>
      <c r="V309" s="113">
        <v>0</v>
      </c>
      <c r="W309" s="113">
        <v>-582</v>
      </c>
      <c r="X309" s="113">
        <v>370</v>
      </c>
      <c r="Y309" s="113">
        <v>0</v>
      </c>
      <c r="Z309" s="113">
        <v>0</v>
      </c>
      <c r="AA309" s="113">
        <v>0</v>
      </c>
      <c r="AB309" s="113">
        <v>0</v>
      </c>
      <c r="AC309" s="113">
        <v>0</v>
      </c>
      <c r="AD309" s="113">
        <v>0</v>
      </c>
    </row>
    <row r="310" spans="1:30">
      <c r="A310" s="103" t="s">
        <v>1290</v>
      </c>
      <c r="B310" s="103"/>
      <c r="C310" s="103"/>
      <c r="D310" s="103"/>
      <c r="E310" s="103"/>
      <c r="F310" s="103"/>
      <c r="G310" s="103"/>
      <c r="H310" s="113">
        <v>0</v>
      </c>
      <c r="I310" s="113">
        <v>0</v>
      </c>
      <c r="J310" s="113">
        <v>0</v>
      </c>
      <c r="K310" s="113">
        <v>0</v>
      </c>
      <c r="L310" s="113">
        <v>0</v>
      </c>
      <c r="M310" s="113">
        <v>0</v>
      </c>
      <c r="N310" s="113">
        <v>0</v>
      </c>
      <c r="O310" s="113">
        <v>0</v>
      </c>
      <c r="P310" s="113">
        <v>0</v>
      </c>
      <c r="Q310" s="113">
        <v>0</v>
      </c>
      <c r="R310" s="113">
        <v>0</v>
      </c>
      <c r="S310" s="113">
        <v>0</v>
      </c>
      <c r="T310" s="113">
        <v>0</v>
      </c>
      <c r="U310" s="113">
        <v>0</v>
      </c>
      <c r="V310" s="113">
        <v>0</v>
      </c>
      <c r="W310" s="113">
        <v>17240</v>
      </c>
      <c r="X310" s="113">
        <v>16985</v>
      </c>
      <c r="Y310" s="113">
        <v>0</v>
      </c>
      <c r="Z310" s="113">
        <v>0</v>
      </c>
      <c r="AA310" s="113">
        <v>0</v>
      </c>
      <c r="AB310" s="113">
        <v>0</v>
      </c>
      <c r="AC310" s="113">
        <v>0</v>
      </c>
      <c r="AD310" s="113">
        <v>0</v>
      </c>
    </row>
    <row r="311" spans="1:30">
      <c r="A311" s="103" t="s">
        <v>1291</v>
      </c>
      <c r="B311" s="103"/>
      <c r="C311" s="103"/>
      <c r="D311" s="103"/>
      <c r="E311" s="103"/>
      <c r="F311" s="103"/>
      <c r="G311" s="103"/>
      <c r="H311" s="113">
        <v>0</v>
      </c>
      <c r="I311" s="113">
        <v>0</v>
      </c>
      <c r="J311" s="113">
        <v>0</v>
      </c>
      <c r="K311" s="113">
        <v>0</v>
      </c>
      <c r="L311" s="113">
        <v>0</v>
      </c>
      <c r="M311" s="113">
        <v>0</v>
      </c>
      <c r="N311" s="113">
        <v>0</v>
      </c>
      <c r="O311" s="113">
        <v>0</v>
      </c>
      <c r="P311" s="113">
        <v>0</v>
      </c>
      <c r="Q311" s="113">
        <v>0</v>
      </c>
      <c r="R311" s="113">
        <v>0</v>
      </c>
      <c r="S311" s="113">
        <v>0</v>
      </c>
      <c r="T311" s="113">
        <v>0</v>
      </c>
      <c r="U311" s="113">
        <v>0</v>
      </c>
      <c r="V311" s="113">
        <v>0</v>
      </c>
      <c r="W311" s="113">
        <v>2495</v>
      </c>
      <c r="X311" s="113">
        <v>956</v>
      </c>
      <c r="Y311" s="113">
        <v>0</v>
      </c>
      <c r="Z311" s="113">
        <v>0</v>
      </c>
      <c r="AA311" s="113">
        <v>0</v>
      </c>
      <c r="AB311" s="113">
        <v>0</v>
      </c>
      <c r="AC311" s="113">
        <v>0</v>
      </c>
      <c r="AD311" s="113">
        <v>0</v>
      </c>
    </row>
    <row r="312" spans="1:30">
      <c r="A312" s="103" t="s">
        <v>1294</v>
      </c>
      <c r="B312" s="103"/>
      <c r="C312" s="103"/>
      <c r="D312" s="103"/>
      <c r="E312" s="103"/>
      <c r="F312" s="103"/>
      <c r="G312" s="103"/>
      <c r="H312" s="113">
        <v>0</v>
      </c>
      <c r="I312" s="113">
        <v>0</v>
      </c>
      <c r="J312" s="113">
        <v>0</v>
      </c>
      <c r="K312" s="113">
        <v>0</v>
      </c>
      <c r="L312" s="113">
        <v>0</v>
      </c>
      <c r="M312" s="113">
        <v>0</v>
      </c>
      <c r="N312" s="113">
        <v>0</v>
      </c>
      <c r="O312" s="113">
        <v>0</v>
      </c>
      <c r="P312" s="113">
        <v>0</v>
      </c>
      <c r="Q312" s="113">
        <v>0</v>
      </c>
      <c r="R312" s="113">
        <v>0</v>
      </c>
      <c r="S312" s="113">
        <v>0</v>
      </c>
      <c r="T312" s="113">
        <v>0</v>
      </c>
      <c r="U312" s="113">
        <v>0</v>
      </c>
      <c r="V312" s="113">
        <v>0</v>
      </c>
      <c r="W312" s="113">
        <v>1998</v>
      </c>
      <c r="X312" s="113">
        <v>1951</v>
      </c>
      <c r="Y312" s="113">
        <v>0</v>
      </c>
      <c r="Z312" s="113">
        <v>0</v>
      </c>
      <c r="AA312" s="113">
        <v>0</v>
      </c>
      <c r="AB312" s="113">
        <v>0</v>
      </c>
      <c r="AC312" s="113">
        <v>0</v>
      </c>
      <c r="AD312" s="113">
        <v>0</v>
      </c>
    </row>
    <row r="313" spans="1:30">
      <c r="A313" s="103" t="s">
        <v>1296</v>
      </c>
      <c r="B313" s="103"/>
      <c r="C313" s="103"/>
      <c r="D313" s="103"/>
      <c r="E313" s="103"/>
      <c r="F313" s="103"/>
      <c r="G313" s="103"/>
      <c r="H313" s="113">
        <v>0</v>
      </c>
      <c r="I313" s="113">
        <v>0</v>
      </c>
      <c r="J313" s="113">
        <v>0</v>
      </c>
      <c r="K313" s="113">
        <v>0</v>
      </c>
      <c r="L313" s="113">
        <v>0</v>
      </c>
      <c r="M313" s="113">
        <v>0</v>
      </c>
      <c r="N313" s="113">
        <v>0</v>
      </c>
      <c r="O313" s="113">
        <v>0</v>
      </c>
      <c r="P313" s="113">
        <v>0</v>
      </c>
      <c r="Q313" s="113">
        <v>0</v>
      </c>
      <c r="R313" s="113">
        <v>0</v>
      </c>
      <c r="S313" s="113">
        <v>0</v>
      </c>
      <c r="T313" s="113">
        <v>0</v>
      </c>
      <c r="U313" s="113">
        <v>0</v>
      </c>
      <c r="V313" s="113">
        <v>0</v>
      </c>
      <c r="W313" s="113">
        <v>34463</v>
      </c>
      <c r="X313" s="113">
        <v>36280</v>
      </c>
      <c r="Y313" s="113">
        <v>0</v>
      </c>
      <c r="Z313" s="113">
        <v>0</v>
      </c>
      <c r="AA313" s="113">
        <v>0</v>
      </c>
      <c r="AB313" s="113">
        <v>0</v>
      </c>
      <c r="AC313" s="113">
        <v>0</v>
      </c>
      <c r="AD313" s="113">
        <v>0</v>
      </c>
    </row>
    <row r="314" spans="1:30">
      <c r="A314" s="103" t="s">
        <v>1297</v>
      </c>
      <c r="B314" s="103"/>
      <c r="C314" s="103"/>
      <c r="D314" s="103"/>
      <c r="E314" s="103"/>
      <c r="F314" s="103"/>
      <c r="G314" s="103"/>
      <c r="H314" s="113">
        <v>0</v>
      </c>
      <c r="I314" s="113">
        <v>0</v>
      </c>
      <c r="J314" s="113">
        <v>0</v>
      </c>
      <c r="K314" s="113">
        <v>0</v>
      </c>
      <c r="L314" s="113">
        <v>0</v>
      </c>
      <c r="M314" s="113">
        <v>0</v>
      </c>
      <c r="N314" s="113">
        <v>0</v>
      </c>
      <c r="O314" s="113">
        <v>0</v>
      </c>
      <c r="P314" s="113">
        <v>0</v>
      </c>
      <c r="Q314" s="113">
        <v>0</v>
      </c>
      <c r="R314" s="113">
        <v>0</v>
      </c>
      <c r="S314" s="113">
        <v>0</v>
      </c>
      <c r="T314" s="113">
        <v>0</v>
      </c>
      <c r="U314" s="113">
        <v>0</v>
      </c>
      <c r="V314" s="113">
        <v>0</v>
      </c>
      <c r="W314" s="113">
        <v>579</v>
      </c>
      <c r="X314" s="113">
        <v>922</v>
      </c>
      <c r="Y314" s="113">
        <v>0</v>
      </c>
      <c r="Z314" s="113">
        <v>0</v>
      </c>
      <c r="AA314" s="113">
        <v>0</v>
      </c>
      <c r="AB314" s="113">
        <v>0</v>
      </c>
      <c r="AC314" s="113">
        <v>0</v>
      </c>
      <c r="AD314" s="113">
        <v>0</v>
      </c>
    </row>
    <row r="315" spans="1:30" ht="10.5">
      <c r="A315" s="112" t="s">
        <v>2551</v>
      </c>
      <c r="B315" s="112"/>
      <c r="C315" s="112"/>
      <c r="D315" s="112"/>
      <c r="E315" s="112"/>
      <c r="F315" s="112"/>
      <c r="G315" s="112"/>
      <c r="H315" s="115">
        <v>0</v>
      </c>
      <c r="I315" s="115">
        <v>0</v>
      </c>
      <c r="J315" s="115">
        <v>0</v>
      </c>
      <c r="K315" s="115">
        <v>0</v>
      </c>
      <c r="L315" s="115">
        <v>0</v>
      </c>
      <c r="M315" s="115">
        <v>0</v>
      </c>
      <c r="N315" s="115">
        <v>0</v>
      </c>
      <c r="O315" s="115">
        <v>0</v>
      </c>
      <c r="P315" s="115">
        <v>0</v>
      </c>
      <c r="Q315" s="115">
        <v>0</v>
      </c>
      <c r="R315" s="115">
        <v>0</v>
      </c>
      <c r="S315" s="115">
        <v>0</v>
      </c>
      <c r="T315" s="115">
        <v>0</v>
      </c>
      <c r="U315" s="115">
        <v>0</v>
      </c>
      <c r="V315" s="115">
        <v>0</v>
      </c>
      <c r="W315" s="115">
        <v>56193</v>
      </c>
      <c r="X315" s="115">
        <v>57464</v>
      </c>
      <c r="Y315" s="115">
        <v>0</v>
      </c>
      <c r="Z315" s="115">
        <v>0</v>
      </c>
      <c r="AA315" s="115">
        <v>0</v>
      </c>
      <c r="AB315" s="115">
        <v>0</v>
      </c>
      <c r="AC315" s="115">
        <v>0</v>
      </c>
      <c r="AD315" s="115">
        <v>0</v>
      </c>
    </row>
    <row r="316" spans="1:30">
      <c r="A316" s="103"/>
      <c r="B316" s="103"/>
      <c r="C316" s="103"/>
      <c r="D316" s="103"/>
      <c r="E316" s="103"/>
      <c r="F316" s="10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row>
    <row r="317" spans="1:30" ht="10.5">
      <c r="A317" s="112" t="s">
        <v>2552</v>
      </c>
      <c r="B317" s="112"/>
      <c r="C317" s="112"/>
      <c r="D317" s="112"/>
      <c r="E317" s="112"/>
      <c r="F317" s="112"/>
      <c r="G317" s="112"/>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row>
    <row r="318" spans="1:30">
      <c r="A318" s="103" t="s">
        <v>340</v>
      </c>
      <c r="B318" s="103"/>
      <c r="C318" s="103"/>
      <c r="D318" s="103"/>
      <c r="E318" s="103"/>
      <c r="F318" s="103"/>
      <c r="G318" s="103"/>
      <c r="H318" s="113">
        <v>0</v>
      </c>
      <c r="I318" s="113">
        <v>0</v>
      </c>
      <c r="J318" s="113">
        <v>0</v>
      </c>
      <c r="K318" s="113">
        <v>0</v>
      </c>
      <c r="L318" s="113">
        <v>0</v>
      </c>
      <c r="M318" s="113">
        <v>0</v>
      </c>
      <c r="N318" s="113">
        <v>0</v>
      </c>
      <c r="O318" s="113">
        <v>0</v>
      </c>
      <c r="P318" s="113">
        <v>0</v>
      </c>
      <c r="Q318" s="113">
        <v>0</v>
      </c>
      <c r="R318" s="113">
        <v>0</v>
      </c>
      <c r="S318" s="113">
        <v>0</v>
      </c>
      <c r="T318" s="113">
        <v>0</v>
      </c>
      <c r="U318" s="113">
        <v>0</v>
      </c>
      <c r="V318" s="113">
        <v>0</v>
      </c>
      <c r="W318" s="113">
        <v>0</v>
      </c>
      <c r="X318" s="113">
        <v>0</v>
      </c>
      <c r="Y318" s="113">
        <v>14173</v>
      </c>
      <c r="Z318" s="113">
        <v>13274</v>
      </c>
      <c r="AA318" s="113">
        <v>11756</v>
      </c>
      <c r="AB318" s="113">
        <v>11389</v>
      </c>
      <c r="AC318" s="113">
        <v>12924</v>
      </c>
      <c r="AD318" s="113">
        <v>16219</v>
      </c>
    </row>
    <row r="319" spans="1:30">
      <c r="A319" s="103" t="s">
        <v>342</v>
      </c>
      <c r="B319" s="103"/>
      <c r="C319" s="103"/>
      <c r="D319" s="103"/>
      <c r="E319" s="103"/>
      <c r="F319" s="103"/>
      <c r="G319" s="103"/>
      <c r="H319" s="113">
        <v>0</v>
      </c>
      <c r="I319" s="113">
        <v>0</v>
      </c>
      <c r="J319" s="113">
        <v>0</v>
      </c>
      <c r="K319" s="113">
        <v>0</v>
      </c>
      <c r="L319" s="113">
        <v>0</v>
      </c>
      <c r="M319" s="113">
        <v>0</v>
      </c>
      <c r="N319" s="113">
        <v>0</v>
      </c>
      <c r="O319" s="113">
        <v>0</v>
      </c>
      <c r="P319" s="113">
        <v>0</v>
      </c>
      <c r="Q319" s="113">
        <v>0</v>
      </c>
      <c r="R319" s="113">
        <v>0</v>
      </c>
      <c r="S319" s="113">
        <v>0</v>
      </c>
      <c r="T319" s="113">
        <v>0</v>
      </c>
      <c r="U319" s="113">
        <v>0</v>
      </c>
      <c r="V319" s="113">
        <v>0</v>
      </c>
      <c r="W319" s="113">
        <v>0</v>
      </c>
      <c r="X319" s="113">
        <v>0</v>
      </c>
      <c r="Y319" s="113">
        <v>8446</v>
      </c>
      <c r="Z319" s="113">
        <v>9803</v>
      </c>
      <c r="AA319" s="113">
        <v>9249</v>
      </c>
      <c r="AB319" s="113">
        <v>9127</v>
      </c>
      <c r="AC319" s="113">
        <v>11524</v>
      </c>
      <c r="AD319" s="113">
        <v>13920</v>
      </c>
    </row>
    <row r="320" spans="1:30">
      <c r="A320" s="103" t="s">
        <v>344</v>
      </c>
      <c r="B320" s="103"/>
      <c r="C320" s="103"/>
      <c r="D320" s="103"/>
      <c r="E320" s="103"/>
      <c r="F320" s="103"/>
      <c r="G320" s="103"/>
      <c r="H320" s="113">
        <v>0</v>
      </c>
      <c r="I320" s="113">
        <v>0</v>
      </c>
      <c r="J320" s="113">
        <v>0</v>
      </c>
      <c r="K320" s="113">
        <v>0</v>
      </c>
      <c r="L320" s="113">
        <v>0</v>
      </c>
      <c r="M320" s="113">
        <v>0</v>
      </c>
      <c r="N320" s="113">
        <v>0</v>
      </c>
      <c r="O320" s="113">
        <v>0</v>
      </c>
      <c r="P320" s="113">
        <v>0</v>
      </c>
      <c r="Q320" s="113">
        <v>0</v>
      </c>
      <c r="R320" s="113">
        <v>0</v>
      </c>
      <c r="S320" s="113">
        <v>0</v>
      </c>
      <c r="T320" s="113">
        <v>0</v>
      </c>
      <c r="U320" s="113">
        <v>0</v>
      </c>
      <c r="V320" s="113">
        <v>0</v>
      </c>
      <c r="W320" s="113">
        <v>0</v>
      </c>
      <c r="X320" s="113">
        <v>0</v>
      </c>
      <c r="Y320" s="113">
        <v>5605</v>
      </c>
      <c r="Z320" s="113">
        <v>5095</v>
      </c>
      <c r="AA320" s="113">
        <v>6183</v>
      </c>
      <c r="AB320" s="113">
        <v>8815</v>
      </c>
      <c r="AC320" s="113">
        <v>10610</v>
      </c>
      <c r="AD320" s="113">
        <v>12820</v>
      </c>
    </row>
    <row r="321" spans="1:30">
      <c r="A321" s="103" t="s">
        <v>345</v>
      </c>
      <c r="B321" s="103"/>
      <c r="C321" s="103"/>
      <c r="D321" s="103"/>
      <c r="E321" s="103"/>
      <c r="F321" s="103"/>
      <c r="G321" s="103"/>
      <c r="H321" s="113">
        <v>0</v>
      </c>
      <c r="I321" s="113">
        <v>0</v>
      </c>
      <c r="J321" s="113">
        <v>0</v>
      </c>
      <c r="K321" s="113">
        <v>0</v>
      </c>
      <c r="L321" s="113">
        <v>0</v>
      </c>
      <c r="M321" s="113">
        <v>0</v>
      </c>
      <c r="N321" s="113">
        <v>0</v>
      </c>
      <c r="O321" s="113">
        <v>0</v>
      </c>
      <c r="P321" s="113">
        <v>0</v>
      </c>
      <c r="Q321" s="113">
        <v>0</v>
      </c>
      <c r="R321" s="113">
        <v>0</v>
      </c>
      <c r="S321" s="113">
        <v>0</v>
      </c>
      <c r="T321" s="113">
        <v>0</v>
      </c>
      <c r="U321" s="113">
        <v>0</v>
      </c>
      <c r="V321" s="113">
        <v>0</v>
      </c>
      <c r="W321" s="113">
        <v>-3671</v>
      </c>
      <c r="X321" s="113">
        <v>-4102</v>
      </c>
      <c r="Y321" s="113">
        <v>0</v>
      </c>
      <c r="Z321" s="113">
        <v>0</v>
      </c>
      <c r="AA321" s="113">
        <v>0</v>
      </c>
      <c r="AB321" s="113">
        <v>0</v>
      </c>
      <c r="AC321" s="113">
        <v>0</v>
      </c>
      <c r="AD321" s="113">
        <v>0</v>
      </c>
    </row>
    <row r="322" spans="1:30">
      <c r="A322" s="103" t="s">
        <v>2553</v>
      </c>
      <c r="B322" s="103"/>
      <c r="C322" s="103"/>
      <c r="D322" s="103"/>
      <c r="E322" s="103"/>
      <c r="F322" s="103"/>
      <c r="G322" s="103"/>
      <c r="H322" s="113">
        <v>0</v>
      </c>
      <c r="I322" s="113">
        <v>0</v>
      </c>
      <c r="J322" s="113">
        <v>0</v>
      </c>
      <c r="K322" s="113">
        <v>0</v>
      </c>
      <c r="L322" s="113">
        <v>0</v>
      </c>
      <c r="M322" s="113">
        <v>288</v>
      </c>
      <c r="N322" s="113">
        <v>-508</v>
      </c>
      <c r="O322" s="113">
        <v>372</v>
      </c>
      <c r="P322" s="113">
        <v>437</v>
      </c>
      <c r="Q322" s="113">
        <v>-7</v>
      </c>
      <c r="R322" s="113">
        <v>120</v>
      </c>
      <c r="S322" s="113">
        <v>396</v>
      </c>
      <c r="T322" s="113">
        <v>256</v>
      </c>
      <c r="U322" s="113">
        <v>314</v>
      </c>
      <c r="V322" s="113">
        <v>380</v>
      </c>
      <c r="W322" s="113">
        <v>-485</v>
      </c>
      <c r="X322" s="113">
        <v>403</v>
      </c>
      <c r="Y322" s="113">
        <v>-338</v>
      </c>
      <c r="Z322" s="113">
        <v>0</v>
      </c>
      <c r="AA322" s="113">
        <v>0</v>
      </c>
      <c r="AB322" s="113">
        <v>0</v>
      </c>
      <c r="AC322" s="113">
        <v>0</v>
      </c>
      <c r="AD322" s="113">
        <v>0</v>
      </c>
    </row>
    <row r="323" spans="1:30">
      <c r="A323" s="103" t="s">
        <v>2554</v>
      </c>
      <c r="B323" s="103"/>
      <c r="C323" s="103"/>
      <c r="D323" s="103"/>
      <c r="E323" s="103"/>
      <c r="F323" s="103"/>
      <c r="G323" s="103"/>
      <c r="H323" s="113">
        <v>0</v>
      </c>
      <c r="I323" s="113">
        <v>0</v>
      </c>
      <c r="J323" s="113">
        <v>0</v>
      </c>
      <c r="K323" s="113">
        <v>0</v>
      </c>
      <c r="L323" s="113">
        <v>0</v>
      </c>
      <c r="M323" s="113">
        <v>-889</v>
      </c>
      <c r="N323" s="113">
        <v>803</v>
      </c>
      <c r="O323" s="113">
        <v>385</v>
      </c>
      <c r="P323" s="113">
        <v>130</v>
      </c>
      <c r="Q323" s="113">
        <v>-132</v>
      </c>
      <c r="R323" s="113">
        <v>78</v>
      </c>
      <c r="S323" s="113">
        <v>14</v>
      </c>
      <c r="T323" s="113">
        <v>-19</v>
      </c>
      <c r="U323" s="113">
        <v>110</v>
      </c>
      <c r="V323" s="113">
        <v>-2</v>
      </c>
      <c r="W323" s="113">
        <v>0</v>
      </c>
      <c r="X323" s="113">
        <v>0</v>
      </c>
      <c r="Y323" s="113">
        <v>0</v>
      </c>
      <c r="Z323" s="113">
        <v>0</v>
      </c>
      <c r="AA323" s="113">
        <v>0</v>
      </c>
      <c r="AB323" s="113">
        <v>0</v>
      </c>
      <c r="AC323" s="113">
        <v>0</v>
      </c>
      <c r="AD323" s="113">
        <v>0</v>
      </c>
    </row>
    <row r="324" spans="1:30">
      <c r="A324" s="103" t="s">
        <v>1295</v>
      </c>
      <c r="B324" s="103"/>
      <c r="C324" s="103"/>
      <c r="D324" s="103"/>
      <c r="E324" s="103"/>
      <c r="F324" s="103"/>
      <c r="G324" s="103"/>
      <c r="H324" s="113">
        <v>0</v>
      </c>
      <c r="I324" s="113">
        <v>0</v>
      </c>
      <c r="J324" s="113">
        <v>0</v>
      </c>
      <c r="K324" s="113">
        <v>0</v>
      </c>
      <c r="L324" s="113">
        <v>0</v>
      </c>
      <c r="M324" s="113">
        <v>0</v>
      </c>
      <c r="N324" s="113">
        <v>0</v>
      </c>
      <c r="O324" s="113">
        <v>0</v>
      </c>
      <c r="P324" s="113">
        <v>0</v>
      </c>
      <c r="Q324" s="113">
        <v>0</v>
      </c>
      <c r="R324" s="113">
        <v>0</v>
      </c>
      <c r="S324" s="113">
        <v>0</v>
      </c>
      <c r="T324" s="113">
        <v>0</v>
      </c>
      <c r="U324" s="113">
        <v>0</v>
      </c>
      <c r="V324" s="113">
        <v>0</v>
      </c>
      <c r="W324" s="113">
        <v>6051</v>
      </c>
      <c r="X324" s="113">
        <v>9267</v>
      </c>
      <c r="Y324" s="113">
        <v>0</v>
      </c>
      <c r="Z324" s="113">
        <v>0</v>
      </c>
      <c r="AA324" s="113">
        <v>0</v>
      </c>
      <c r="AB324" s="113">
        <v>0</v>
      </c>
      <c r="AC324" s="113">
        <v>0</v>
      </c>
      <c r="AD324" s="113">
        <v>0</v>
      </c>
    </row>
    <row r="325" spans="1:30">
      <c r="A325" s="103" t="s">
        <v>1298</v>
      </c>
      <c r="B325" s="103"/>
      <c r="C325" s="103"/>
      <c r="D325" s="103"/>
      <c r="E325" s="103"/>
      <c r="F325" s="103"/>
      <c r="G325" s="103"/>
      <c r="H325" s="113">
        <v>0</v>
      </c>
      <c r="I325" s="113">
        <v>0</v>
      </c>
      <c r="J325" s="113">
        <v>0</v>
      </c>
      <c r="K325" s="113">
        <v>0</v>
      </c>
      <c r="L325" s="113">
        <v>0</v>
      </c>
      <c r="M325" s="113">
        <v>0</v>
      </c>
      <c r="N325" s="113">
        <v>0</v>
      </c>
      <c r="O325" s="113">
        <v>0</v>
      </c>
      <c r="P325" s="113">
        <v>0</v>
      </c>
      <c r="Q325" s="113">
        <v>0</v>
      </c>
      <c r="R325" s="113">
        <v>0</v>
      </c>
      <c r="S325" s="113">
        <v>0</v>
      </c>
      <c r="T325" s="113">
        <v>0</v>
      </c>
      <c r="U325" s="113">
        <v>0</v>
      </c>
      <c r="V325" s="113">
        <v>0</v>
      </c>
      <c r="W325" s="113">
        <v>19978</v>
      </c>
      <c r="X325" s="113">
        <v>21152</v>
      </c>
      <c r="Y325" s="113">
        <v>0</v>
      </c>
      <c r="Z325" s="113">
        <v>0</v>
      </c>
      <c r="AA325" s="113">
        <v>0</v>
      </c>
      <c r="AB325" s="113">
        <v>0</v>
      </c>
      <c r="AC325" s="113">
        <v>0</v>
      </c>
      <c r="AD325" s="113">
        <v>0</v>
      </c>
    </row>
    <row r="326" spans="1:30">
      <c r="A326" s="103" t="s">
        <v>2555</v>
      </c>
      <c r="B326" s="103"/>
      <c r="C326" s="103"/>
      <c r="D326" s="103"/>
      <c r="E326" s="103"/>
      <c r="F326" s="103"/>
      <c r="G326" s="103"/>
      <c r="H326" s="113">
        <v>0</v>
      </c>
      <c r="I326" s="113">
        <v>0</v>
      </c>
      <c r="J326" s="113">
        <v>0</v>
      </c>
      <c r="K326" s="113">
        <v>0</v>
      </c>
      <c r="L326" s="113">
        <v>0</v>
      </c>
      <c r="M326" s="113">
        <v>0</v>
      </c>
      <c r="N326" s="113">
        <v>0</v>
      </c>
      <c r="O326" s="113">
        <v>0</v>
      </c>
      <c r="P326" s="113">
        <v>0</v>
      </c>
      <c r="Q326" s="113">
        <v>0</v>
      </c>
      <c r="R326" s="113">
        <v>0</v>
      </c>
      <c r="S326" s="113">
        <v>0</v>
      </c>
      <c r="T326" s="113">
        <v>0</v>
      </c>
      <c r="U326" s="113">
        <v>0</v>
      </c>
      <c r="V326" s="113">
        <v>0</v>
      </c>
      <c r="W326" s="113">
        <v>-97</v>
      </c>
      <c r="X326" s="113">
        <v>-31</v>
      </c>
      <c r="Y326" s="113">
        <v>0</v>
      </c>
      <c r="Z326" s="113">
        <v>0</v>
      </c>
      <c r="AA326" s="113">
        <v>0</v>
      </c>
      <c r="AB326" s="113">
        <v>0</v>
      </c>
      <c r="AC326" s="113">
        <v>0</v>
      </c>
      <c r="AD326" s="113">
        <v>0</v>
      </c>
    </row>
    <row r="327" spans="1:30">
      <c r="A327" s="103" t="s">
        <v>2556</v>
      </c>
      <c r="B327" s="103"/>
      <c r="C327" s="103"/>
      <c r="D327" s="103"/>
      <c r="E327" s="103"/>
      <c r="F327" s="103"/>
      <c r="G327" s="103"/>
      <c r="H327" s="113">
        <v>0</v>
      </c>
      <c r="I327" s="113">
        <v>0</v>
      </c>
      <c r="J327" s="113">
        <v>0</v>
      </c>
      <c r="K327" s="113">
        <v>0</v>
      </c>
      <c r="L327" s="113">
        <v>0</v>
      </c>
      <c r="M327" s="113">
        <v>0</v>
      </c>
      <c r="N327" s="113">
        <v>0</v>
      </c>
      <c r="O327" s="113">
        <v>0</v>
      </c>
      <c r="P327" s="113">
        <v>0</v>
      </c>
      <c r="Q327" s="113">
        <v>0</v>
      </c>
      <c r="R327" s="113">
        <v>0</v>
      </c>
      <c r="S327" s="113">
        <v>0</v>
      </c>
      <c r="T327" s="113">
        <v>0</v>
      </c>
      <c r="U327" s="113">
        <v>0</v>
      </c>
      <c r="V327" s="113">
        <v>0</v>
      </c>
      <c r="W327" s="113">
        <v>-13</v>
      </c>
      <c r="X327" s="113">
        <v>75</v>
      </c>
      <c r="Y327" s="113">
        <v>0</v>
      </c>
      <c r="Z327" s="113">
        <v>0</v>
      </c>
      <c r="AA327" s="113">
        <v>0</v>
      </c>
      <c r="AB327" s="113">
        <v>0</v>
      </c>
      <c r="AC327" s="113">
        <v>0</v>
      </c>
      <c r="AD327" s="113">
        <v>0</v>
      </c>
    </row>
    <row r="328" spans="1:30">
      <c r="A328" s="103" t="s">
        <v>2534</v>
      </c>
      <c r="B328" s="103"/>
      <c r="C328" s="103"/>
      <c r="D328" s="103"/>
      <c r="E328" s="103"/>
      <c r="F328" s="103"/>
      <c r="G328" s="103"/>
      <c r="H328" s="113">
        <v>0</v>
      </c>
      <c r="I328" s="113">
        <v>3661</v>
      </c>
      <c r="J328" s="113">
        <v>0</v>
      </c>
      <c r="K328" s="113">
        <v>0</v>
      </c>
      <c r="L328" s="113">
        <v>0</v>
      </c>
      <c r="M328" s="113">
        <v>7529</v>
      </c>
      <c r="N328" s="113">
        <v>8306</v>
      </c>
      <c r="O328" s="113">
        <v>9061</v>
      </c>
      <c r="P328" s="113">
        <v>9435</v>
      </c>
      <c r="Q328" s="113">
        <v>10176</v>
      </c>
      <c r="R328" s="113">
        <v>11295</v>
      </c>
      <c r="S328" s="113">
        <v>11876</v>
      </c>
      <c r="T328" s="113">
        <v>9372</v>
      </c>
      <c r="U328" s="113">
        <v>12193</v>
      </c>
      <c r="V328" s="113">
        <v>12040</v>
      </c>
      <c r="W328" s="113">
        <v>0</v>
      </c>
      <c r="X328" s="113">
        <v>0</v>
      </c>
      <c r="Y328" s="113">
        <v>0</v>
      </c>
      <c r="Z328" s="113">
        <v>0</v>
      </c>
      <c r="AA328" s="113">
        <v>0</v>
      </c>
      <c r="AB328" s="113">
        <v>0</v>
      </c>
      <c r="AC328" s="113">
        <v>0</v>
      </c>
      <c r="AD328" s="113">
        <v>0</v>
      </c>
    </row>
    <row r="329" spans="1:30">
      <c r="A329" s="103" t="s">
        <v>2535</v>
      </c>
      <c r="B329" s="103"/>
      <c r="C329" s="103"/>
      <c r="D329" s="103"/>
      <c r="E329" s="103"/>
      <c r="F329" s="103"/>
      <c r="G329" s="103"/>
      <c r="H329" s="113">
        <v>0</v>
      </c>
      <c r="I329" s="113">
        <v>0</v>
      </c>
      <c r="J329" s="113">
        <v>0</v>
      </c>
      <c r="K329" s="113">
        <v>0</v>
      </c>
      <c r="L329" s="113">
        <v>0</v>
      </c>
      <c r="M329" s="113">
        <v>1409</v>
      </c>
      <c r="N329" s="113">
        <v>1879</v>
      </c>
      <c r="O329" s="113">
        <v>2357</v>
      </c>
      <c r="P329" s="113">
        <v>2381</v>
      </c>
      <c r="Q329" s="113">
        <v>2980</v>
      </c>
      <c r="R329" s="113">
        <v>3520</v>
      </c>
      <c r="S329" s="113">
        <v>3845</v>
      </c>
      <c r="T329" s="113">
        <v>4627</v>
      </c>
      <c r="U329" s="113">
        <v>5378</v>
      </c>
      <c r="V329" s="113">
        <v>6132</v>
      </c>
      <c r="W329" s="113">
        <v>0</v>
      </c>
      <c r="X329" s="113">
        <v>0</v>
      </c>
      <c r="Y329" s="113">
        <v>0</v>
      </c>
      <c r="Z329" s="113">
        <v>0</v>
      </c>
      <c r="AA329" s="113">
        <v>0</v>
      </c>
      <c r="AB329" s="113">
        <v>0</v>
      </c>
      <c r="AC329" s="113">
        <v>0</v>
      </c>
      <c r="AD329" s="113">
        <v>0</v>
      </c>
    </row>
    <row r="330" spans="1:30">
      <c r="A330" s="103" t="s">
        <v>2536</v>
      </c>
      <c r="B330" s="103"/>
      <c r="C330" s="103"/>
      <c r="D330" s="103"/>
      <c r="E330" s="103"/>
      <c r="F330" s="103"/>
      <c r="G330" s="103"/>
      <c r="H330" s="113">
        <v>0</v>
      </c>
      <c r="I330" s="113">
        <v>0</v>
      </c>
      <c r="J330" s="113">
        <v>0</v>
      </c>
      <c r="K330" s="113">
        <v>0</v>
      </c>
      <c r="L330" s="113">
        <v>0</v>
      </c>
      <c r="M330" s="113">
        <v>0</v>
      </c>
      <c r="N330" s="113">
        <v>0</v>
      </c>
      <c r="O330" s="113">
        <v>0</v>
      </c>
      <c r="P330" s="113">
        <v>470</v>
      </c>
      <c r="Q330" s="113">
        <v>194</v>
      </c>
      <c r="R330" s="113">
        <v>-617</v>
      </c>
      <c r="S330" s="113">
        <v>-619</v>
      </c>
      <c r="T330" s="113">
        <v>-1749</v>
      </c>
      <c r="U330" s="113">
        <v>-2395</v>
      </c>
      <c r="V330" s="113">
        <v>-2649</v>
      </c>
      <c r="W330" s="113">
        <v>0</v>
      </c>
      <c r="X330" s="113">
        <v>0</v>
      </c>
      <c r="Y330" s="113">
        <v>0</v>
      </c>
      <c r="Z330" s="113">
        <v>0</v>
      </c>
      <c r="AA330" s="113">
        <v>0</v>
      </c>
      <c r="AB330" s="113">
        <v>0</v>
      </c>
      <c r="AC330" s="113">
        <v>0</v>
      </c>
      <c r="AD330" s="113">
        <v>0</v>
      </c>
    </row>
    <row r="331" spans="1:30">
      <c r="A331" s="103" t="s">
        <v>2537</v>
      </c>
      <c r="B331" s="103"/>
      <c r="C331" s="103"/>
      <c r="D331" s="103"/>
      <c r="E331" s="103"/>
      <c r="F331" s="103"/>
      <c r="G331" s="103"/>
      <c r="H331" s="113">
        <v>0</v>
      </c>
      <c r="I331" s="113">
        <v>0</v>
      </c>
      <c r="J331" s="113">
        <v>0</v>
      </c>
      <c r="K331" s="113">
        <v>0</v>
      </c>
      <c r="L331" s="113">
        <v>0</v>
      </c>
      <c r="M331" s="113">
        <v>-196</v>
      </c>
      <c r="N331" s="113">
        <v>-143</v>
      </c>
      <c r="O331" s="113">
        <v>-91</v>
      </c>
      <c r="P331" s="113">
        <v>9146</v>
      </c>
      <c r="Q331" s="113">
        <v>9567</v>
      </c>
      <c r="R331" s="113">
        <v>10757</v>
      </c>
      <c r="S331" s="113">
        <v>11681</v>
      </c>
      <c r="T331" s="113">
        <v>11153</v>
      </c>
      <c r="U331" s="113">
        <v>12109</v>
      </c>
      <c r="V331" s="113">
        <v>14467</v>
      </c>
      <c r="W331" s="113">
        <v>0</v>
      </c>
      <c r="X331" s="113">
        <v>0</v>
      </c>
      <c r="Y331" s="113">
        <v>0</v>
      </c>
      <c r="Z331" s="113">
        <v>0</v>
      </c>
      <c r="AA331" s="113">
        <v>0</v>
      </c>
      <c r="AB331" s="113">
        <v>0</v>
      </c>
      <c r="AC331" s="113">
        <v>0</v>
      </c>
      <c r="AD331" s="113">
        <v>0</v>
      </c>
    </row>
    <row r="332" spans="1:30">
      <c r="A332" s="103" t="s">
        <v>2538</v>
      </c>
      <c r="B332" s="103"/>
      <c r="C332" s="103"/>
      <c r="D332" s="103"/>
      <c r="E332" s="103"/>
      <c r="F332" s="103"/>
      <c r="G332" s="103"/>
      <c r="H332" s="113">
        <v>0</v>
      </c>
      <c r="I332" s="113">
        <v>0</v>
      </c>
      <c r="J332" s="113">
        <v>0</v>
      </c>
      <c r="K332" s="113">
        <v>0</v>
      </c>
      <c r="L332" s="113">
        <v>0</v>
      </c>
      <c r="M332" s="113">
        <v>0</v>
      </c>
      <c r="N332" s="113">
        <v>0</v>
      </c>
      <c r="O332" s="113">
        <v>0</v>
      </c>
      <c r="P332" s="113">
        <v>-464</v>
      </c>
      <c r="Q332" s="113">
        <v>-1329</v>
      </c>
      <c r="R332" s="113">
        <v>-1945</v>
      </c>
      <c r="S332" s="113">
        <v>314</v>
      </c>
      <c r="T332" s="113">
        <v>288</v>
      </c>
      <c r="U332" s="113">
        <v>525</v>
      </c>
      <c r="V332" s="113">
        <v>1299</v>
      </c>
      <c r="W332" s="113">
        <v>0</v>
      </c>
      <c r="X332" s="113">
        <v>0</v>
      </c>
      <c r="Y332" s="113">
        <v>0</v>
      </c>
      <c r="Z332" s="113">
        <v>0</v>
      </c>
      <c r="AA332" s="113">
        <v>0</v>
      </c>
      <c r="AB332" s="113">
        <v>0</v>
      </c>
      <c r="AC332" s="113">
        <v>0</v>
      </c>
      <c r="AD332" s="113">
        <v>0</v>
      </c>
    </row>
    <row r="333" spans="1:30">
      <c r="A333" s="103" t="s">
        <v>2557</v>
      </c>
      <c r="B333" s="103"/>
      <c r="C333" s="103"/>
      <c r="D333" s="103"/>
      <c r="E333" s="103"/>
      <c r="F333" s="103"/>
      <c r="G333" s="103"/>
      <c r="H333" s="113">
        <v>0</v>
      </c>
      <c r="I333" s="113">
        <v>0</v>
      </c>
      <c r="J333" s="113">
        <v>0</v>
      </c>
      <c r="K333" s="113">
        <v>0</v>
      </c>
      <c r="L333" s="113">
        <v>0</v>
      </c>
      <c r="M333" s="113">
        <v>0</v>
      </c>
      <c r="N333" s="113">
        <v>-1980</v>
      </c>
      <c r="O333" s="113">
        <v>-3128</v>
      </c>
      <c r="P333" s="113">
        <v>-5932</v>
      </c>
      <c r="Q333" s="113">
        <v>-4804</v>
      </c>
      <c r="R333" s="113">
        <v>-4893</v>
      </c>
      <c r="S333" s="113">
        <v>-6026</v>
      </c>
      <c r="T333" s="113">
        <v>-4318</v>
      </c>
      <c r="U333" s="113">
        <v>-4136</v>
      </c>
      <c r="V333" s="113">
        <v>-4506</v>
      </c>
      <c r="W333" s="113">
        <v>0</v>
      </c>
      <c r="X333" s="113">
        <v>0</v>
      </c>
      <c r="Y333" s="113">
        <v>0</v>
      </c>
      <c r="Z333" s="113">
        <v>0</v>
      </c>
      <c r="AA333" s="113">
        <v>0</v>
      </c>
      <c r="AB333" s="113">
        <v>0</v>
      </c>
      <c r="AC333" s="113">
        <v>0</v>
      </c>
      <c r="AD333" s="113">
        <v>0</v>
      </c>
    </row>
    <row r="334" spans="1:30">
      <c r="A334" s="103" t="s">
        <v>2558</v>
      </c>
      <c r="B334" s="103"/>
      <c r="C334" s="103"/>
      <c r="D334" s="103"/>
      <c r="E334" s="103"/>
      <c r="F334" s="103"/>
      <c r="G334" s="103"/>
      <c r="H334" s="113">
        <v>0</v>
      </c>
      <c r="I334" s="113">
        <v>0</v>
      </c>
      <c r="J334" s="113">
        <v>0</v>
      </c>
      <c r="K334" s="113">
        <v>0</v>
      </c>
      <c r="L334" s="113">
        <v>0</v>
      </c>
      <c r="M334" s="113">
        <v>-3784</v>
      </c>
      <c r="N334" s="113">
        <v>-3749</v>
      </c>
      <c r="O334" s="113">
        <v>-4516</v>
      </c>
      <c r="P334" s="113">
        <v>-1042</v>
      </c>
      <c r="Q334" s="113">
        <v>-173</v>
      </c>
      <c r="R334" s="113">
        <v>123</v>
      </c>
      <c r="S334" s="113">
        <v>790</v>
      </c>
      <c r="T334" s="113">
        <v>753</v>
      </c>
      <c r="U334" s="113">
        <v>0</v>
      </c>
      <c r="V334" s="113">
        <v>0</v>
      </c>
      <c r="W334" s="113">
        <v>0</v>
      </c>
      <c r="X334" s="113">
        <v>0</v>
      </c>
      <c r="Y334" s="113">
        <v>0</v>
      </c>
      <c r="Z334" s="113">
        <v>0</v>
      </c>
      <c r="AA334" s="113">
        <v>0</v>
      </c>
      <c r="AB334" s="113">
        <v>0</v>
      </c>
      <c r="AC334" s="113">
        <v>0</v>
      </c>
      <c r="AD334" s="113">
        <v>0</v>
      </c>
    </row>
    <row r="335" spans="1:30">
      <c r="A335" s="103" t="s">
        <v>2539</v>
      </c>
      <c r="B335" s="103"/>
      <c r="C335" s="103"/>
      <c r="D335" s="103"/>
      <c r="E335" s="103"/>
      <c r="F335" s="103"/>
      <c r="G335" s="103"/>
      <c r="H335" s="113">
        <v>0</v>
      </c>
      <c r="I335" s="113">
        <v>-1021</v>
      </c>
      <c r="J335" s="113">
        <v>0</v>
      </c>
      <c r="K335" s="113">
        <v>-1140</v>
      </c>
      <c r="L335" s="113">
        <v>0</v>
      </c>
      <c r="M335" s="113">
        <v>0</v>
      </c>
      <c r="N335" s="113">
        <v>0</v>
      </c>
      <c r="O335" s="113">
        <v>0</v>
      </c>
      <c r="P335" s="113">
        <v>0</v>
      </c>
      <c r="Q335" s="113">
        <v>0</v>
      </c>
      <c r="R335" s="113">
        <v>0</v>
      </c>
      <c r="S335" s="113">
        <v>0</v>
      </c>
      <c r="T335" s="113">
        <v>0</v>
      </c>
      <c r="U335" s="113">
        <v>0</v>
      </c>
      <c r="V335" s="113">
        <v>0</v>
      </c>
      <c r="W335" s="113">
        <v>0</v>
      </c>
      <c r="X335" s="113">
        <v>0</v>
      </c>
      <c r="Y335" s="113">
        <v>0</v>
      </c>
      <c r="Z335" s="113">
        <v>0</v>
      </c>
      <c r="AA335" s="113">
        <v>0</v>
      </c>
      <c r="AB335" s="113">
        <v>0</v>
      </c>
      <c r="AC335" s="113">
        <v>0</v>
      </c>
      <c r="AD335" s="113">
        <v>0</v>
      </c>
    </row>
    <row r="336" spans="1:30">
      <c r="A336" s="103" t="s">
        <v>2540</v>
      </c>
      <c r="B336" s="103"/>
      <c r="C336" s="103"/>
      <c r="D336" s="103"/>
      <c r="E336" s="103"/>
      <c r="F336" s="103"/>
      <c r="G336" s="103"/>
      <c r="H336" s="113">
        <v>0</v>
      </c>
      <c r="I336" s="113">
        <v>0</v>
      </c>
      <c r="J336" s="113">
        <v>0</v>
      </c>
      <c r="K336" s="113">
        <v>0</v>
      </c>
      <c r="L336" s="113">
        <v>0</v>
      </c>
      <c r="M336" s="113">
        <v>6440</v>
      </c>
      <c r="N336" s="113">
        <v>7500</v>
      </c>
      <c r="O336" s="113">
        <v>8160</v>
      </c>
      <c r="P336" s="113">
        <v>0</v>
      </c>
      <c r="Q336" s="113">
        <v>0</v>
      </c>
      <c r="R336" s="113">
        <v>0</v>
      </c>
      <c r="S336" s="113">
        <v>0</v>
      </c>
      <c r="T336" s="113">
        <v>0</v>
      </c>
      <c r="U336" s="113">
        <v>0</v>
      </c>
      <c r="V336" s="113">
        <v>0</v>
      </c>
      <c r="W336" s="113">
        <v>0</v>
      </c>
      <c r="X336" s="113">
        <v>0</v>
      </c>
      <c r="Y336" s="113">
        <v>0</v>
      </c>
      <c r="Z336" s="113">
        <v>0</v>
      </c>
      <c r="AA336" s="113">
        <v>0</v>
      </c>
      <c r="AB336" s="113">
        <v>0</v>
      </c>
      <c r="AC336" s="113">
        <v>0</v>
      </c>
      <c r="AD336" s="113">
        <v>0</v>
      </c>
    </row>
    <row r="337" spans="1:256">
      <c r="A337" s="103" t="s">
        <v>2541</v>
      </c>
      <c r="B337" s="103"/>
      <c r="C337" s="103"/>
      <c r="D337" s="103"/>
      <c r="E337" s="103"/>
      <c r="F337" s="103"/>
      <c r="G337" s="103"/>
      <c r="H337" s="113">
        <v>0</v>
      </c>
      <c r="I337" s="113">
        <v>0</v>
      </c>
      <c r="J337" s="113">
        <v>0</v>
      </c>
      <c r="K337" s="113">
        <v>0</v>
      </c>
      <c r="L337" s="113">
        <v>0</v>
      </c>
      <c r="M337" s="113">
        <v>-746</v>
      </c>
      <c r="N337" s="113">
        <v>-384</v>
      </c>
      <c r="O337" s="113">
        <v>393</v>
      </c>
      <c r="P337" s="113">
        <v>0</v>
      </c>
      <c r="Q337" s="113">
        <v>0</v>
      </c>
      <c r="R337" s="113">
        <v>0</v>
      </c>
      <c r="S337" s="113">
        <v>0</v>
      </c>
      <c r="T337" s="113">
        <v>0</v>
      </c>
      <c r="U337" s="113">
        <v>0</v>
      </c>
      <c r="V337" s="113">
        <v>0</v>
      </c>
      <c r="W337" s="113">
        <v>0</v>
      </c>
      <c r="X337" s="113">
        <v>0</v>
      </c>
      <c r="Y337" s="113">
        <v>0</v>
      </c>
      <c r="Z337" s="113">
        <v>0</v>
      </c>
      <c r="AA337" s="113">
        <v>0</v>
      </c>
      <c r="AB337" s="113">
        <v>0</v>
      </c>
      <c r="AC337" s="113">
        <v>0</v>
      </c>
      <c r="AD337" s="113">
        <v>0</v>
      </c>
    </row>
    <row r="338" spans="1:256">
      <c r="A338" s="103" t="s">
        <v>2542</v>
      </c>
      <c r="B338" s="103"/>
      <c r="C338" s="103"/>
      <c r="D338" s="103"/>
      <c r="E338" s="103"/>
      <c r="F338" s="103"/>
      <c r="G338" s="103"/>
      <c r="H338" s="113">
        <v>0</v>
      </c>
      <c r="I338" s="113">
        <v>0</v>
      </c>
      <c r="J338" s="113">
        <v>0</v>
      </c>
      <c r="K338" s="113">
        <v>0</v>
      </c>
      <c r="L338" s="113">
        <v>0</v>
      </c>
      <c r="M338" s="113">
        <v>-240</v>
      </c>
      <c r="N338" s="113">
        <v>-162</v>
      </c>
      <c r="O338" s="113">
        <v>-116</v>
      </c>
      <c r="P338" s="113">
        <v>0</v>
      </c>
      <c r="Q338" s="113">
        <v>0</v>
      </c>
      <c r="R338" s="113">
        <v>0</v>
      </c>
      <c r="S338" s="113">
        <v>0</v>
      </c>
      <c r="T338" s="113">
        <v>0</v>
      </c>
      <c r="U338" s="113">
        <v>0</v>
      </c>
      <c r="V338" s="113">
        <v>0</v>
      </c>
      <c r="W338" s="113">
        <v>0</v>
      </c>
      <c r="X338" s="113">
        <v>0</v>
      </c>
      <c r="Y338" s="113">
        <v>0</v>
      </c>
      <c r="Z338" s="113">
        <v>0</v>
      </c>
      <c r="AA338" s="113">
        <v>0</v>
      </c>
      <c r="AB338" s="113">
        <v>0</v>
      </c>
      <c r="AC338" s="113">
        <v>0</v>
      </c>
      <c r="AD338" s="113">
        <v>0</v>
      </c>
    </row>
    <row r="339" spans="1:256">
      <c r="A339" s="103" t="s">
        <v>2543</v>
      </c>
      <c r="B339" s="103"/>
      <c r="C339" s="103"/>
      <c r="D339" s="103"/>
      <c r="E339" s="103"/>
      <c r="F339" s="103"/>
      <c r="G339" s="103"/>
      <c r="H339" s="113">
        <v>0</v>
      </c>
      <c r="I339" s="113">
        <v>0</v>
      </c>
      <c r="J339" s="113">
        <v>0</v>
      </c>
      <c r="K339" s="113">
        <v>0</v>
      </c>
      <c r="L339" s="113">
        <v>0</v>
      </c>
      <c r="M339" s="113">
        <v>-866</v>
      </c>
      <c r="N339" s="113">
        <v>-938</v>
      </c>
      <c r="O339" s="113">
        <v>-1011</v>
      </c>
      <c r="P339" s="113">
        <v>0</v>
      </c>
      <c r="Q339" s="113">
        <v>0</v>
      </c>
      <c r="R339" s="113">
        <v>0</v>
      </c>
      <c r="S339" s="113">
        <v>0</v>
      </c>
      <c r="T339" s="113">
        <v>0</v>
      </c>
      <c r="U339" s="113">
        <v>0</v>
      </c>
      <c r="V339" s="113">
        <v>0</v>
      </c>
      <c r="W339" s="113">
        <v>0</v>
      </c>
      <c r="X339" s="113">
        <v>0</v>
      </c>
      <c r="Y339" s="113">
        <v>0</v>
      </c>
      <c r="Z339" s="113">
        <v>0</v>
      </c>
      <c r="AA339" s="113">
        <v>0</v>
      </c>
      <c r="AB339" s="113">
        <v>0</v>
      </c>
      <c r="AC339" s="113">
        <v>0</v>
      </c>
      <c r="AD339" s="113">
        <v>0</v>
      </c>
    </row>
    <row r="340" spans="1:256">
      <c r="A340" s="103" t="s">
        <v>2544</v>
      </c>
      <c r="B340" s="103"/>
      <c r="C340" s="103"/>
      <c r="D340" s="103"/>
      <c r="E340" s="103"/>
      <c r="F340" s="103"/>
      <c r="G340" s="103"/>
      <c r="H340" s="113">
        <v>0</v>
      </c>
      <c r="I340" s="113">
        <v>0</v>
      </c>
      <c r="J340" s="113">
        <v>0</v>
      </c>
      <c r="K340" s="113">
        <v>13210</v>
      </c>
      <c r="L340" s="113">
        <v>0</v>
      </c>
      <c r="M340" s="113">
        <v>0</v>
      </c>
      <c r="N340" s="113">
        <v>0</v>
      </c>
      <c r="O340" s="113">
        <v>0</v>
      </c>
      <c r="P340" s="113">
        <v>0</v>
      </c>
      <c r="Q340" s="113">
        <v>0</v>
      </c>
      <c r="R340" s="113">
        <v>0</v>
      </c>
      <c r="S340" s="113">
        <v>0</v>
      </c>
      <c r="T340" s="113">
        <v>0</v>
      </c>
      <c r="U340" s="113">
        <v>0</v>
      </c>
      <c r="V340" s="113">
        <v>0</v>
      </c>
      <c r="W340" s="113">
        <v>0</v>
      </c>
      <c r="X340" s="113">
        <v>0</v>
      </c>
      <c r="Y340" s="113">
        <v>0</v>
      </c>
      <c r="Z340" s="113">
        <v>0</v>
      </c>
      <c r="AA340" s="113">
        <v>0</v>
      </c>
      <c r="AB340" s="113">
        <v>0</v>
      </c>
      <c r="AC340" s="113">
        <v>0</v>
      </c>
      <c r="AD340" s="113">
        <v>0</v>
      </c>
    </row>
    <row r="341" spans="1:256">
      <c r="A341" s="103" t="s">
        <v>2545</v>
      </c>
      <c r="B341" s="103"/>
      <c r="C341" s="103"/>
      <c r="D341" s="103"/>
      <c r="E341" s="103"/>
      <c r="F341" s="103"/>
      <c r="G341" s="103"/>
      <c r="H341" s="113">
        <v>0</v>
      </c>
      <c r="I341" s="113">
        <v>0</v>
      </c>
      <c r="J341" s="113">
        <v>0</v>
      </c>
      <c r="K341" s="113">
        <v>-1090</v>
      </c>
      <c r="L341" s="113">
        <v>0</v>
      </c>
      <c r="M341" s="113">
        <v>0</v>
      </c>
      <c r="N341" s="113">
        <v>0</v>
      </c>
      <c r="O341" s="113">
        <v>0</v>
      </c>
      <c r="P341" s="113">
        <v>0</v>
      </c>
      <c r="Q341" s="113">
        <v>0</v>
      </c>
      <c r="R341" s="113">
        <v>0</v>
      </c>
      <c r="S341" s="113">
        <v>0</v>
      </c>
      <c r="T341" s="113">
        <v>0</v>
      </c>
      <c r="U341" s="113">
        <v>0</v>
      </c>
      <c r="V341" s="113">
        <v>0</v>
      </c>
      <c r="W341" s="113">
        <v>0</v>
      </c>
      <c r="X341" s="113">
        <v>0</v>
      </c>
      <c r="Y341" s="113">
        <v>0</v>
      </c>
      <c r="Z341" s="113">
        <v>0</v>
      </c>
      <c r="AA341" s="113">
        <v>0</v>
      </c>
      <c r="AB341" s="113">
        <v>0</v>
      </c>
      <c r="AC341" s="113">
        <v>0</v>
      </c>
      <c r="AD341" s="113">
        <v>0</v>
      </c>
    </row>
    <row r="342" spans="1:256">
      <c r="A342" s="103" t="s">
        <v>2546</v>
      </c>
      <c r="B342" s="103"/>
      <c r="C342" s="103"/>
      <c r="D342" s="103"/>
      <c r="E342" s="103"/>
      <c r="F342" s="103"/>
      <c r="G342" s="103"/>
      <c r="H342" s="113">
        <v>0</v>
      </c>
      <c r="I342" s="113">
        <v>0</v>
      </c>
      <c r="J342" s="113">
        <v>0</v>
      </c>
      <c r="K342" s="113">
        <v>-60</v>
      </c>
      <c r="L342" s="113">
        <v>0</v>
      </c>
      <c r="M342" s="113">
        <v>0</v>
      </c>
      <c r="N342" s="113">
        <v>0</v>
      </c>
      <c r="O342" s="113">
        <v>0</v>
      </c>
      <c r="P342" s="113">
        <v>0</v>
      </c>
      <c r="Q342" s="113">
        <v>0</v>
      </c>
      <c r="R342" s="113">
        <v>0</v>
      </c>
      <c r="S342" s="113">
        <v>0</v>
      </c>
      <c r="T342" s="113">
        <v>0</v>
      </c>
      <c r="U342" s="113">
        <v>0</v>
      </c>
      <c r="V342" s="113">
        <v>0</v>
      </c>
      <c r="W342" s="113">
        <v>0</v>
      </c>
      <c r="X342" s="113">
        <v>0</v>
      </c>
      <c r="Y342" s="113">
        <v>0</v>
      </c>
      <c r="Z342" s="113">
        <v>0</v>
      </c>
      <c r="AA342" s="113">
        <v>0</v>
      </c>
      <c r="AB342" s="113">
        <v>0</v>
      </c>
      <c r="AC342" s="113">
        <v>0</v>
      </c>
      <c r="AD342" s="113">
        <v>0</v>
      </c>
    </row>
    <row r="343" spans="1:256">
      <c r="A343" s="103" t="s">
        <v>200</v>
      </c>
      <c r="B343" s="103"/>
      <c r="C343" s="103"/>
      <c r="D343" s="103"/>
      <c r="E343" s="103"/>
      <c r="F343" s="103"/>
      <c r="G343" s="103"/>
      <c r="H343" s="113">
        <v>0</v>
      </c>
      <c r="I343" s="113">
        <v>0</v>
      </c>
      <c r="J343" s="113">
        <v>0</v>
      </c>
      <c r="K343" s="113">
        <v>86</v>
      </c>
      <c r="L343" s="113">
        <v>0</v>
      </c>
      <c r="M343" s="113">
        <v>0</v>
      </c>
      <c r="N343" s="113">
        <v>0</v>
      </c>
      <c r="O343" s="113">
        <v>0</v>
      </c>
      <c r="P343" s="113">
        <v>0</v>
      </c>
      <c r="Q343" s="113">
        <v>0</v>
      </c>
      <c r="R343" s="113">
        <v>0</v>
      </c>
      <c r="S343" s="113">
        <v>0</v>
      </c>
      <c r="T343" s="113">
        <v>0</v>
      </c>
      <c r="U343" s="113">
        <v>0</v>
      </c>
      <c r="V343" s="113">
        <v>0</v>
      </c>
      <c r="W343" s="113">
        <v>0</v>
      </c>
      <c r="X343" s="113">
        <v>0</v>
      </c>
      <c r="Y343" s="113">
        <v>0</v>
      </c>
      <c r="Z343" s="113">
        <v>0</v>
      </c>
      <c r="AA343" s="113">
        <v>0</v>
      </c>
      <c r="AB343" s="113">
        <v>0</v>
      </c>
      <c r="AC343" s="113">
        <v>0</v>
      </c>
      <c r="AD343" s="113">
        <v>0</v>
      </c>
    </row>
    <row r="344" spans="1:256">
      <c r="A344" s="103" t="s">
        <v>2547</v>
      </c>
      <c r="B344" s="103"/>
      <c r="C344" s="103"/>
      <c r="D344" s="103"/>
      <c r="E344" s="103"/>
      <c r="F344" s="103"/>
      <c r="G344" s="103"/>
      <c r="H344" s="113">
        <v>0</v>
      </c>
      <c r="I344" s="113">
        <v>4824</v>
      </c>
      <c r="J344" s="113">
        <v>0</v>
      </c>
      <c r="K344" s="113">
        <v>0</v>
      </c>
      <c r="L344" s="113">
        <v>0</v>
      </c>
      <c r="M344" s="113">
        <v>0</v>
      </c>
      <c r="N344" s="113">
        <v>0</v>
      </c>
      <c r="O344" s="113">
        <v>0</v>
      </c>
      <c r="P344" s="113">
        <v>0</v>
      </c>
      <c r="Q344" s="113">
        <v>0</v>
      </c>
      <c r="R344" s="113">
        <v>0</v>
      </c>
      <c r="S344" s="113">
        <v>0</v>
      </c>
      <c r="T344" s="113">
        <v>0</v>
      </c>
      <c r="U344" s="113">
        <v>0</v>
      </c>
      <c r="V344" s="113">
        <v>0</v>
      </c>
      <c r="W344" s="113">
        <v>0</v>
      </c>
      <c r="X344" s="113">
        <v>0</v>
      </c>
      <c r="Y344" s="113">
        <v>0</v>
      </c>
      <c r="Z344" s="113">
        <v>0</v>
      </c>
      <c r="AA344" s="113">
        <v>0</v>
      </c>
      <c r="AB344" s="113">
        <v>0</v>
      </c>
      <c r="AC344" s="113">
        <v>0</v>
      </c>
      <c r="AD344" s="113">
        <v>0</v>
      </c>
    </row>
    <row r="345" spans="1:256">
      <c r="A345" s="103" t="s">
        <v>2548</v>
      </c>
      <c r="B345" s="103"/>
      <c r="C345" s="103"/>
      <c r="D345" s="103"/>
      <c r="E345" s="103"/>
      <c r="F345" s="103"/>
      <c r="G345" s="103"/>
      <c r="H345" s="113">
        <v>0</v>
      </c>
      <c r="I345" s="113">
        <v>-1050</v>
      </c>
      <c r="J345" s="113">
        <v>0</v>
      </c>
      <c r="K345" s="113">
        <v>0</v>
      </c>
      <c r="L345" s="113">
        <v>0</v>
      </c>
      <c r="M345" s="113">
        <v>0</v>
      </c>
      <c r="N345" s="113">
        <v>0</v>
      </c>
      <c r="O345" s="113">
        <v>0</v>
      </c>
      <c r="P345" s="113">
        <v>0</v>
      </c>
      <c r="Q345" s="113">
        <v>0</v>
      </c>
      <c r="R345" s="113">
        <v>0</v>
      </c>
      <c r="S345" s="113">
        <v>0</v>
      </c>
      <c r="T345" s="113">
        <v>0</v>
      </c>
      <c r="U345" s="113">
        <v>0</v>
      </c>
      <c r="V345" s="113">
        <v>0</v>
      </c>
      <c r="W345" s="113">
        <v>0</v>
      </c>
      <c r="X345" s="113">
        <v>0</v>
      </c>
      <c r="Y345" s="113">
        <v>0</v>
      </c>
      <c r="Z345" s="113">
        <v>0</v>
      </c>
      <c r="AA345" s="113">
        <v>0</v>
      </c>
      <c r="AB345" s="113">
        <v>0</v>
      </c>
      <c r="AC345" s="113">
        <v>0</v>
      </c>
      <c r="AD345" s="113">
        <v>0</v>
      </c>
    </row>
    <row r="346" spans="1:256" ht="10.5">
      <c r="A346" s="112" t="s">
        <v>2559</v>
      </c>
      <c r="B346" s="112"/>
      <c r="C346" s="112"/>
      <c r="D346" s="112"/>
      <c r="E346" s="112"/>
      <c r="F346" s="112"/>
      <c r="G346" s="112"/>
      <c r="H346" s="115">
        <v>0</v>
      </c>
      <c r="I346" s="115">
        <v>6414</v>
      </c>
      <c r="J346" s="115">
        <v>0</v>
      </c>
      <c r="K346" s="115">
        <v>11006</v>
      </c>
      <c r="L346" s="115">
        <v>0</v>
      </c>
      <c r="M346" s="115">
        <v>8945</v>
      </c>
      <c r="N346" s="115">
        <v>10624</v>
      </c>
      <c r="O346" s="115">
        <v>11866</v>
      </c>
      <c r="P346" s="115">
        <v>14561</v>
      </c>
      <c r="Q346" s="115">
        <v>16472</v>
      </c>
      <c r="R346" s="115">
        <v>18438</v>
      </c>
      <c r="S346" s="115">
        <v>22271</v>
      </c>
      <c r="T346" s="115">
        <v>20363</v>
      </c>
      <c r="U346" s="115">
        <v>24098</v>
      </c>
      <c r="V346" s="115">
        <v>27161</v>
      </c>
      <c r="W346" s="115">
        <v>21763</v>
      </c>
      <c r="X346" s="115">
        <v>26764</v>
      </c>
      <c r="Y346" s="115">
        <v>27886</v>
      </c>
      <c r="Z346" s="115">
        <v>28172</v>
      </c>
      <c r="AA346" s="115">
        <v>27188</v>
      </c>
      <c r="AB346" s="115">
        <v>29331</v>
      </c>
      <c r="AC346" s="115">
        <v>35058</v>
      </c>
      <c r="AD346" s="115">
        <v>42959</v>
      </c>
    </row>
    <row r="347" spans="1:256">
      <c r="A347" s="103"/>
      <c r="B347" s="103"/>
      <c r="C347" s="103"/>
      <c r="D347" s="103"/>
      <c r="E347" s="103"/>
      <c r="F347" s="10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row>
    <row r="348" spans="1:256">
      <c r="A348" s="103"/>
      <c r="B348" s="103"/>
      <c r="C348" s="103"/>
      <c r="D348" s="103"/>
      <c r="E348" s="103"/>
      <c r="F348" s="103"/>
      <c r="G348" s="103"/>
      <c r="H348" s="103" t="s">
        <v>401</v>
      </c>
      <c r="I348" s="103" t="s">
        <v>401</v>
      </c>
      <c r="J348" s="103" t="s">
        <v>401</v>
      </c>
      <c r="K348" s="103" t="s">
        <v>401</v>
      </c>
      <c r="L348" s="103" t="s">
        <v>401</v>
      </c>
      <c r="M348" s="103" t="s">
        <v>401</v>
      </c>
      <c r="N348" s="103" t="s">
        <v>401</v>
      </c>
      <c r="O348" s="103" t="s">
        <v>401</v>
      </c>
      <c r="P348" s="103" t="s">
        <v>401</v>
      </c>
      <c r="Q348" s="103" t="s">
        <v>401</v>
      </c>
      <c r="R348" s="103" t="s">
        <v>401</v>
      </c>
      <c r="S348" s="103" t="s">
        <v>401</v>
      </c>
      <c r="T348" s="103" t="s">
        <v>401</v>
      </c>
      <c r="U348" s="103" t="s">
        <v>401</v>
      </c>
      <c r="V348" s="103" t="s">
        <v>401</v>
      </c>
      <c r="W348" s="103" t="s">
        <v>401</v>
      </c>
      <c r="X348" s="103" t="s">
        <v>401</v>
      </c>
      <c r="Y348" s="103" t="s">
        <v>401</v>
      </c>
      <c r="Z348" s="103" t="s">
        <v>401</v>
      </c>
      <c r="AA348" s="103" t="s">
        <v>401</v>
      </c>
      <c r="AB348" s="103" t="s">
        <v>401</v>
      </c>
      <c r="AC348" s="103" t="s">
        <v>401</v>
      </c>
      <c r="AD348" s="103" t="s">
        <v>401</v>
      </c>
      <c r="EP348" s="107"/>
      <c r="EQ348" s="107"/>
      <c r="ER348" s="107"/>
      <c r="ES348" s="107"/>
      <c r="ET348" s="107"/>
      <c r="EU348" s="107"/>
      <c r="EV348" s="107"/>
      <c r="EW348" s="107"/>
      <c r="EX348" s="107"/>
      <c r="EY348" s="107"/>
      <c r="EZ348" s="107"/>
      <c r="FA348" s="107"/>
      <c r="FB348" s="107"/>
      <c r="FC348" s="107"/>
      <c r="FD348" s="107"/>
      <c r="FE348" s="107"/>
      <c r="FF348" s="107"/>
      <c r="FG348" s="107"/>
      <c r="FH348" s="107"/>
      <c r="FI348" s="107"/>
      <c r="FJ348" s="107"/>
      <c r="FK348" s="107"/>
      <c r="FL348" s="107"/>
      <c r="FM348" s="107"/>
      <c r="FN348" s="107"/>
      <c r="FO348" s="107"/>
      <c r="FP348" s="107"/>
      <c r="FQ348" s="107"/>
      <c r="FR348" s="107"/>
      <c r="FS348" s="107"/>
      <c r="FT348" s="107"/>
      <c r="FU348" s="107"/>
      <c r="FV348" s="107"/>
      <c r="FW348" s="107"/>
      <c r="FX348" s="107"/>
      <c r="FY348" s="107"/>
      <c r="FZ348" s="107"/>
      <c r="GA348" s="107"/>
      <c r="GB348" s="107"/>
      <c r="GC348" s="107"/>
      <c r="GD348" s="107"/>
      <c r="GE348" s="107"/>
      <c r="GF348" s="107"/>
      <c r="GG348" s="107"/>
      <c r="GH348" s="107"/>
      <c r="GI348" s="107"/>
      <c r="GJ348" s="107"/>
      <c r="GK348" s="107"/>
      <c r="GL348" s="107"/>
      <c r="GM348" s="107"/>
      <c r="GN348" s="107"/>
      <c r="GO348" s="107"/>
      <c r="GP348" s="107"/>
      <c r="GQ348" s="107"/>
      <c r="GR348" s="107"/>
      <c r="GS348" s="107"/>
      <c r="GT348" s="107"/>
      <c r="GU348" s="107"/>
      <c r="GV348" s="107"/>
      <c r="GW348" s="107"/>
      <c r="GX348" s="107"/>
      <c r="GY348" s="107"/>
      <c r="GZ348" s="107"/>
      <c r="HA348" s="107"/>
      <c r="HB348" s="107"/>
      <c r="HC348" s="107"/>
      <c r="HD348" s="107"/>
      <c r="HE348" s="107"/>
      <c r="HF348" s="107"/>
      <c r="HG348" s="107"/>
      <c r="HH348" s="107"/>
      <c r="HI348" s="107"/>
      <c r="HJ348" s="107"/>
      <c r="HK348" s="107"/>
      <c r="HL348" s="107"/>
      <c r="HM348" s="107"/>
      <c r="HN348" s="107"/>
      <c r="HO348" s="107"/>
      <c r="HP348" s="107"/>
      <c r="HQ348" s="107"/>
      <c r="HR348" s="107"/>
      <c r="HS348" s="107"/>
      <c r="HT348" s="107"/>
      <c r="HU348" s="107"/>
      <c r="HV348" s="107"/>
      <c r="HW348" s="107"/>
      <c r="HX348" s="107"/>
      <c r="HY348" s="107"/>
      <c r="HZ348" s="107"/>
      <c r="IA348" s="107"/>
      <c r="IB348" s="107"/>
      <c r="IC348" s="107"/>
      <c r="ID348" s="107"/>
      <c r="IE348" s="107"/>
      <c r="IF348" s="107"/>
      <c r="IG348" s="107"/>
      <c r="IH348" s="107"/>
      <c r="II348" s="107"/>
      <c r="IJ348" s="107"/>
      <c r="IK348" s="107"/>
      <c r="IL348" s="107"/>
      <c r="IM348" s="107"/>
      <c r="IN348" s="107"/>
      <c r="IO348" s="107"/>
      <c r="IP348" s="107"/>
      <c r="IQ348" s="107"/>
      <c r="IR348" s="107"/>
      <c r="IS348" s="107"/>
      <c r="IT348" s="107"/>
      <c r="IU348" s="107"/>
      <c r="IV348" s="107"/>
    </row>
    <row r="349" spans="1:256">
      <c r="A349" s="103" t="s">
        <v>2223</v>
      </c>
      <c r="B349" s="103"/>
      <c r="C349" s="103"/>
      <c r="D349" s="103"/>
      <c r="E349" s="103"/>
      <c r="F349" s="103"/>
      <c r="G349" s="103"/>
      <c r="H349" s="122">
        <v>36431</v>
      </c>
      <c r="I349" s="122">
        <v>36797</v>
      </c>
      <c r="J349" s="122">
        <v>37152</v>
      </c>
      <c r="K349" s="122">
        <v>37505</v>
      </c>
      <c r="L349" s="122">
        <v>37869</v>
      </c>
      <c r="M349" s="122">
        <v>38231</v>
      </c>
      <c r="N349" s="122">
        <v>38590</v>
      </c>
      <c r="O349" s="122">
        <v>38954</v>
      </c>
      <c r="P349" s="122">
        <v>39297</v>
      </c>
      <c r="Q349" s="122">
        <v>39660</v>
      </c>
      <c r="R349" s="122">
        <v>40024</v>
      </c>
      <c r="S349" s="122">
        <v>40389</v>
      </c>
      <c r="T349" s="122">
        <v>40752</v>
      </c>
      <c r="U349" s="122">
        <v>41116</v>
      </c>
      <c r="V349" s="122">
        <v>41485</v>
      </c>
      <c r="W349" s="122">
        <v>41851</v>
      </c>
      <c r="X349" s="122">
        <v>42216</v>
      </c>
      <c r="Y349" s="122">
        <v>42579</v>
      </c>
      <c r="Z349" s="122">
        <v>42949</v>
      </c>
      <c r="AA349" s="122">
        <v>43315</v>
      </c>
      <c r="AB349" s="122">
        <v>43678</v>
      </c>
      <c r="AC349" s="122">
        <v>43678</v>
      </c>
      <c r="AD349" s="122">
        <v>43678</v>
      </c>
    </row>
    <row r="350" spans="1:256">
      <c r="A350" s="127"/>
      <c r="B350" s="127"/>
      <c r="C350" s="127"/>
      <c r="D350" s="127"/>
      <c r="E350" s="127"/>
      <c r="F350" s="127"/>
      <c r="G350" s="127"/>
      <c r="H350" s="127"/>
      <c r="I350" s="127"/>
      <c r="J350" s="127"/>
      <c r="K350" s="127"/>
      <c r="L350" s="127"/>
      <c r="M350" s="127"/>
      <c r="N350" s="127"/>
      <c r="O350" s="127"/>
      <c r="P350" s="127"/>
      <c r="Q350" s="127"/>
      <c r="R350" s="127"/>
      <c r="S350" s="127"/>
      <c r="T350" s="127"/>
      <c r="U350" s="127"/>
      <c r="V350" s="127"/>
      <c r="W350" s="127"/>
      <c r="X350" s="127"/>
      <c r="Y350" s="127"/>
      <c r="Z350" s="127"/>
      <c r="AA350" s="127"/>
      <c r="AB350" s="127"/>
      <c r="AC350" s="127"/>
      <c r="AD350" s="127"/>
    </row>
    <row r="352" spans="1:256">
      <c r="A352" s="106" t="s">
        <v>2560</v>
      </c>
      <c r="B352" s="106"/>
      <c r="C352" s="106"/>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06"/>
      <c r="Z352" s="106"/>
      <c r="AA352" s="106"/>
      <c r="AB352" s="106"/>
      <c r="AC352" s="106"/>
      <c r="AD352" s="106"/>
      <c r="AE352" s="107"/>
      <c r="AF352" s="107"/>
    </row>
    <row r="353" spans="1:30" ht="31.5">
      <c r="A353" s="108" t="s">
        <v>2016</v>
      </c>
      <c r="B353" s="108"/>
      <c r="C353" s="108"/>
      <c r="D353" s="108"/>
      <c r="E353" s="108"/>
      <c r="F353" s="108"/>
      <c r="G353" s="108"/>
      <c r="H353" s="109" t="s">
        <v>2023</v>
      </c>
      <c r="I353" s="109" t="s">
        <v>2024</v>
      </c>
      <c r="J353" s="109" t="s">
        <v>2025</v>
      </c>
      <c r="K353" s="109" t="s">
        <v>2026</v>
      </c>
      <c r="L353" s="109" t="s">
        <v>2027</v>
      </c>
      <c r="M353" s="109" t="s">
        <v>2028</v>
      </c>
      <c r="N353" s="109" t="s">
        <v>2029</v>
      </c>
      <c r="O353" s="109" t="s">
        <v>2030</v>
      </c>
      <c r="P353" s="109" t="s">
        <v>2031</v>
      </c>
      <c r="Q353" s="109" t="s">
        <v>2032</v>
      </c>
      <c r="R353" s="109" t="s">
        <v>2033</v>
      </c>
      <c r="S353" s="109" t="s">
        <v>2034</v>
      </c>
      <c r="T353" s="109" t="s">
        <v>2035</v>
      </c>
      <c r="U353" s="109" t="s">
        <v>2036</v>
      </c>
      <c r="V353" s="109" t="s">
        <v>2037</v>
      </c>
      <c r="W353" s="109" t="s">
        <v>2038</v>
      </c>
      <c r="X353" s="109" t="s">
        <v>2039</v>
      </c>
      <c r="Y353" s="109" t="s">
        <v>2040</v>
      </c>
      <c r="Z353" s="109" t="s">
        <v>2041</v>
      </c>
      <c r="AA353" s="109" t="s">
        <v>2042</v>
      </c>
      <c r="AB353" s="109" t="s">
        <v>2043</v>
      </c>
      <c r="AC353" s="109" t="s">
        <v>2044</v>
      </c>
      <c r="AD353" s="109" t="s">
        <v>2045</v>
      </c>
    </row>
    <row r="354" spans="1:30">
      <c r="A354" s="110" t="s">
        <v>2158</v>
      </c>
      <c r="B354" s="110"/>
      <c r="C354" s="110"/>
      <c r="D354" s="110"/>
      <c r="E354" s="110"/>
      <c r="F354" s="110"/>
      <c r="G354" s="110"/>
      <c r="H354" s="111" t="s">
        <v>673</v>
      </c>
      <c r="I354" s="111" t="s">
        <v>673</v>
      </c>
      <c r="J354" s="111" t="s">
        <v>673</v>
      </c>
      <c r="K354" s="111" t="s">
        <v>673</v>
      </c>
      <c r="L354" s="111" t="s">
        <v>673</v>
      </c>
      <c r="M354" s="111" t="s">
        <v>673</v>
      </c>
      <c r="N354" s="111" t="s">
        <v>673</v>
      </c>
      <c r="O354" s="111" t="s">
        <v>673</v>
      </c>
      <c r="P354" s="111" t="s">
        <v>673</v>
      </c>
      <c r="Q354" s="111" t="s">
        <v>673</v>
      </c>
      <c r="R354" s="111" t="s">
        <v>673</v>
      </c>
      <c r="S354" s="111" t="s">
        <v>673</v>
      </c>
      <c r="T354" s="111" t="s">
        <v>673</v>
      </c>
      <c r="U354" s="111" t="s">
        <v>673</v>
      </c>
      <c r="V354" s="111" t="s">
        <v>673</v>
      </c>
      <c r="W354" s="111" t="s">
        <v>673</v>
      </c>
      <c r="X354" s="111" t="s">
        <v>673</v>
      </c>
      <c r="Y354" s="111" t="s">
        <v>673</v>
      </c>
      <c r="Z354" s="111" t="s">
        <v>673</v>
      </c>
      <c r="AA354" s="111" t="s">
        <v>673</v>
      </c>
      <c r="AB354" s="111" t="s">
        <v>673</v>
      </c>
      <c r="AC354" s="111" t="s">
        <v>673</v>
      </c>
      <c r="AD354" s="111" t="s">
        <v>673</v>
      </c>
    </row>
    <row r="355" spans="1:30" ht="10.5">
      <c r="A355" s="112" t="s">
        <v>2533</v>
      </c>
      <c r="B355" s="112"/>
      <c r="C355" s="112"/>
      <c r="D355" s="112"/>
      <c r="E355" s="112"/>
      <c r="F355" s="112"/>
      <c r="G355" s="112"/>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row>
    <row r="356" spans="1:30">
      <c r="A356" s="103" t="s">
        <v>2561</v>
      </c>
      <c r="B356" s="103"/>
      <c r="C356" s="103"/>
      <c r="D356" s="103"/>
      <c r="E356" s="103"/>
      <c r="F356" s="103"/>
      <c r="G356" s="103"/>
      <c r="H356" s="113">
        <v>7800</v>
      </c>
      <c r="I356" s="113">
        <v>10100</v>
      </c>
      <c r="J356" s="113">
        <v>13700</v>
      </c>
      <c r="K356" s="113">
        <v>15700</v>
      </c>
      <c r="L356" s="113">
        <v>17800</v>
      </c>
      <c r="M356" s="113">
        <v>20066</v>
      </c>
      <c r="N356" s="113">
        <v>22077</v>
      </c>
      <c r="O356" s="113">
        <v>25046</v>
      </c>
      <c r="P356" s="113">
        <v>25427</v>
      </c>
      <c r="Q356" s="113">
        <v>27957</v>
      </c>
      <c r="R356" s="113">
        <v>31346</v>
      </c>
      <c r="S356" s="113">
        <v>35928</v>
      </c>
      <c r="T356" s="113">
        <v>33052</v>
      </c>
      <c r="U356" s="113">
        <v>36173</v>
      </c>
      <c r="V356" s="113">
        <v>38008</v>
      </c>
      <c r="W356" s="113">
        <v>38846</v>
      </c>
      <c r="X356" s="113">
        <v>41344</v>
      </c>
      <c r="Y356" s="113">
        <v>43474</v>
      </c>
      <c r="Z356" s="113">
        <v>42941</v>
      </c>
      <c r="AA356" s="113">
        <v>46416</v>
      </c>
      <c r="AB356" s="113">
        <v>51078</v>
      </c>
      <c r="AC356" s="113">
        <v>55926</v>
      </c>
      <c r="AD356" s="113">
        <v>64199</v>
      </c>
    </row>
    <row r="357" spans="1:30">
      <c r="A357" s="103" t="s">
        <v>2562</v>
      </c>
      <c r="B357" s="103"/>
      <c r="C357" s="103"/>
      <c r="D357" s="103"/>
      <c r="E357" s="103"/>
      <c r="F357" s="103"/>
      <c r="G357" s="103"/>
      <c r="H357" s="113">
        <v>4100</v>
      </c>
      <c r="I357" s="113">
        <v>5200</v>
      </c>
      <c r="J357" s="113">
        <v>6000</v>
      </c>
      <c r="K357" s="113">
        <v>7300</v>
      </c>
      <c r="L357" s="113">
        <v>7500</v>
      </c>
      <c r="M357" s="113">
        <v>8299</v>
      </c>
      <c r="N357" s="113">
        <v>10110</v>
      </c>
      <c r="O357" s="113">
        <v>11789</v>
      </c>
      <c r="P357" s="113">
        <v>14361</v>
      </c>
      <c r="Q357" s="113">
        <v>16325</v>
      </c>
      <c r="R357" s="113">
        <v>19776</v>
      </c>
      <c r="S357" s="113">
        <v>24492</v>
      </c>
      <c r="T357" s="113">
        <v>25385</v>
      </c>
      <c r="U357" s="113">
        <v>26311</v>
      </c>
      <c r="V357" s="113">
        <v>31935</v>
      </c>
      <c r="W357" s="113">
        <v>34877</v>
      </c>
      <c r="X357" s="113">
        <v>36505</v>
      </c>
      <c r="Y357" s="113">
        <v>43359</v>
      </c>
      <c r="Z357" s="113">
        <v>50639</v>
      </c>
      <c r="AA357" s="113">
        <v>44738</v>
      </c>
      <c r="AB357" s="113">
        <v>45493</v>
      </c>
      <c r="AC357" s="113">
        <v>54434</v>
      </c>
      <c r="AD357" s="113">
        <v>61644</v>
      </c>
    </row>
    <row r="358" spans="1:30" ht="10.5">
      <c r="A358" s="112" t="s">
        <v>2549</v>
      </c>
      <c r="B358" s="112"/>
      <c r="C358" s="112"/>
      <c r="D358" s="112"/>
      <c r="E358" s="112"/>
      <c r="F358" s="112"/>
      <c r="G358" s="112"/>
      <c r="H358" s="115">
        <v>11900</v>
      </c>
      <c r="I358" s="115">
        <v>15300</v>
      </c>
      <c r="J358" s="115">
        <v>19700</v>
      </c>
      <c r="K358" s="115">
        <v>23000</v>
      </c>
      <c r="L358" s="115">
        <v>25300</v>
      </c>
      <c r="M358" s="115">
        <v>28365</v>
      </c>
      <c r="N358" s="115">
        <v>32187</v>
      </c>
      <c r="O358" s="115">
        <v>36835</v>
      </c>
      <c r="P358" s="115">
        <v>39788</v>
      </c>
      <c r="Q358" s="115">
        <v>44282</v>
      </c>
      <c r="R358" s="115">
        <v>51122</v>
      </c>
      <c r="S358" s="115">
        <v>60420</v>
      </c>
      <c r="T358" s="115">
        <v>58437</v>
      </c>
      <c r="U358" s="115">
        <v>62484</v>
      </c>
      <c r="V358" s="115">
        <v>69943</v>
      </c>
      <c r="W358" s="115">
        <v>73723</v>
      </c>
      <c r="X358" s="115">
        <v>77849</v>
      </c>
      <c r="Y358" s="115">
        <v>86833</v>
      </c>
      <c r="Z358" s="115">
        <v>93580</v>
      </c>
      <c r="AA358" s="115">
        <v>91154</v>
      </c>
      <c r="AB358" s="115">
        <v>96571</v>
      </c>
      <c r="AC358" s="115">
        <v>110360</v>
      </c>
      <c r="AD358" s="115">
        <v>125843</v>
      </c>
    </row>
    <row r="359" spans="1:30">
      <c r="A359" s="103"/>
      <c r="B359" s="103"/>
      <c r="C359" s="103"/>
      <c r="D359" s="103"/>
      <c r="E359" s="103"/>
      <c r="F359" s="10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row>
    <row r="360" spans="1:30" ht="10.5">
      <c r="A360" s="112" t="s">
        <v>2563</v>
      </c>
      <c r="B360" s="112"/>
      <c r="C360" s="112"/>
      <c r="D360" s="112"/>
      <c r="E360" s="112"/>
      <c r="F360" s="112"/>
      <c r="G360" s="112"/>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row>
    <row r="361" spans="1:30">
      <c r="A361" s="103" t="s">
        <v>2561</v>
      </c>
      <c r="B361" s="103"/>
      <c r="C361" s="103"/>
      <c r="D361" s="103"/>
      <c r="E361" s="103"/>
      <c r="F361" s="103"/>
      <c r="G361" s="103"/>
      <c r="H361" s="113">
        <v>3775</v>
      </c>
      <c r="I361" s="113">
        <v>5072</v>
      </c>
      <c r="J361" s="113">
        <v>10649</v>
      </c>
      <c r="K361" s="113">
        <v>0</v>
      </c>
      <c r="L361" s="113">
        <v>0</v>
      </c>
      <c r="M361" s="113">
        <v>0</v>
      </c>
      <c r="N361" s="113">
        <v>0</v>
      </c>
      <c r="O361" s="113">
        <v>0</v>
      </c>
      <c r="P361" s="113">
        <v>0</v>
      </c>
      <c r="Q361" s="113">
        <v>0</v>
      </c>
      <c r="R361" s="113">
        <v>0</v>
      </c>
      <c r="S361" s="113">
        <v>0</v>
      </c>
      <c r="T361" s="113">
        <v>0</v>
      </c>
      <c r="U361" s="113">
        <v>0</v>
      </c>
      <c r="V361" s="113">
        <v>0</v>
      </c>
      <c r="W361" s="113">
        <v>0</v>
      </c>
      <c r="X361" s="113">
        <v>0</v>
      </c>
      <c r="Y361" s="113">
        <v>0</v>
      </c>
      <c r="Z361" s="113">
        <v>0</v>
      </c>
      <c r="AA361" s="113">
        <v>0</v>
      </c>
      <c r="AB361" s="113">
        <v>0</v>
      </c>
      <c r="AC361" s="113">
        <v>0</v>
      </c>
      <c r="AD361" s="113">
        <v>0</v>
      </c>
    </row>
    <row r="362" spans="1:30">
      <c r="A362" s="103" t="s">
        <v>2562</v>
      </c>
      <c r="B362" s="103"/>
      <c r="C362" s="103"/>
      <c r="D362" s="103"/>
      <c r="E362" s="103"/>
      <c r="F362" s="103"/>
      <c r="G362" s="103"/>
      <c r="H362" s="113">
        <v>1539</v>
      </c>
      <c r="I362" s="113">
        <v>2045</v>
      </c>
      <c r="J362" s="113">
        <v>1242</v>
      </c>
      <c r="K362" s="113">
        <v>0</v>
      </c>
      <c r="L362" s="113">
        <v>0</v>
      </c>
      <c r="M362" s="113">
        <v>0</v>
      </c>
      <c r="N362" s="113">
        <v>0</v>
      </c>
      <c r="O362" s="113">
        <v>0</v>
      </c>
      <c r="P362" s="113">
        <v>0</v>
      </c>
      <c r="Q362" s="113">
        <v>0</v>
      </c>
      <c r="R362" s="113">
        <v>0</v>
      </c>
      <c r="S362" s="113">
        <v>0</v>
      </c>
      <c r="T362" s="113">
        <v>0</v>
      </c>
      <c r="U362" s="113">
        <v>0</v>
      </c>
      <c r="V362" s="113">
        <v>0</v>
      </c>
      <c r="W362" s="113">
        <v>0</v>
      </c>
      <c r="X362" s="113">
        <v>0</v>
      </c>
      <c r="Y362" s="113">
        <v>0</v>
      </c>
      <c r="Z362" s="113">
        <v>0</v>
      </c>
      <c r="AA362" s="113">
        <v>0</v>
      </c>
      <c r="AB362" s="113">
        <v>0</v>
      </c>
      <c r="AC362" s="113">
        <v>0</v>
      </c>
      <c r="AD362" s="113">
        <v>0</v>
      </c>
    </row>
    <row r="363" spans="1:30" ht="10.5">
      <c r="A363" s="112" t="s">
        <v>2564</v>
      </c>
      <c r="B363" s="112"/>
      <c r="C363" s="112"/>
      <c r="D363" s="112"/>
      <c r="E363" s="112"/>
      <c r="F363" s="112"/>
      <c r="G363" s="112"/>
      <c r="H363" s="115">
        <v>5314</v>
      </c>
      <c r="I363" s="115">
        <v>7117</v>
      </c>
      <c r="J363" s="115">
        <v>11891</v>
      </c>
      <c r="K363" s="115">
        <v>0</v>
      </c>
      <c r="L363" s="115">
        <v>0</v>
      </c>
      <c r="M363" s="115">
        <v>0</v>
      </c>
      <c r="N363" s="115">
        <v>0</v>
      </c>
      <c r="O363" s="115">
        <v>0</v>
      </c>
      <c r="P363" s="115">
        <v>0</v>
      </c>
      <c r="Q363" s="115">
        <v>0</v>
      </c>
      <c r="R363" s="115">
        <v>0</v>
      </c>
      <c r="S363" s="115">
        <v>0</v>
      </c>
      <c r="T363" s="115">
        <v>0</v>
      </c>
      <c r="U363" s="115">
        <v>0</v>
      </c>
      <c r="V363" s="115">
        <v>0</v>
      </c>
      <c r="W363" s="115">
        <v>0</v>
      </c>
      <c r="X363" s="115">
        <v>0</v>
      </c>
      <c r="Y363" s="115">
        <v>0</v>
      </c>
      <c r="Z363" s="115">
        <v>0</v>
      </c>
      <c r="AA363" s="115">
        <v>0</v>
      </c>
      <c r="AB363" s="115">
        <v>0</v>
      </c>
      <c r="AC363" s="115">
        <v>0</v>
      </c>
      <c r="AD363" s="115">
        <v>0</v>
      </c>
    </row>
    <row r="364" spans="1:30">
      <c r="A364" s="103"/>
      <c r="B364" s="103"/>
      <c r="C364" s="103"/>
      <c r="D364" s="103"/>
      <c r="E364" s="103"/>
      <c r="F364" s="10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row>
    <row r="365" spans="1:30" ht="10.5">
      <c r="A365" s="112" t="s">
        <v>623</v>
      </c>
      <c r="B365" s="112"/>
      <c r="C365" s="112"/>
      <c r="D365" s="112"/>
      <c r="E365" s="112"/>
      <c r="F365" s="112"/>
      <c r="G365" s="112"/>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row>
    <row r="366" spans="1:30">
      <c r="A366" s="103" t="s">
        <v>2561</v>
      </c>
      <c r="B366" s="103"/>
      <c r="C366" s="103"/>
      <c r="D366" s="103"/>
      <c r="E366" s="103"/>
      <c r="F366" s="103"/>
      <c r="G366" s="103"/>
      <c r="H366" s="113">
        <v>0</v>
      </c>
      <c r="I366" s="113">
        <v>1200</v>
      </c>
      <c r="J366" s="113">
        <v>1500</v>
      </c>
      <c r="K366" s="113">
        <v>1800</v>
      </c>
      <c r="L366" s="113">
        <v>2200</v>
      </c>
      <c r="M366" s="113">
        <v>2000</v>
      </c>
      <c r="N366" s="113">
        <v>3773</v>
      </c>
      <c r="O366" s="113">
        <v>5365</v>
      </c>
      <c r="P366" s="113">
        <v>5506</v>
      </c>
      <c r="Q366" s="113">
        <v>6661</v>
      </c>
      <c r="R366" s="113">
        <v>9132</v>
      </c>
      <c r="S366" s="113">
        <v>19129</v>
      </c>
      <c r="T366" s="113">
        <v>19362</v>
      </c>
      <c r="U366" s="113">
        <v>18716</v>
      </c>
      <c r="V366" s="113">
        <v>18498</v>
      </c>
      <c r="W366" s="113">
        <v>14081</v>
      </c>
      <c r="X366" s="113">
        <v>16615</v>
      </c>
      <c r="Y366" s="113">
        <v>17653</v>
      </c>
      <c r="Z366" s="113">
        <v>19562</v>
      </c>
      <c r="AA366" s="113">
        <v>25145</v>
      </c>
      <c r="AB366" s="113">
        <v>42730</v>
      </c>
      <c r="AC366" s="113">
        <v>44501</v>
      </c>
      <c r="AD366" s="113">
        <v>55252</v>
      </c>
    </row>
    <row r="367" spans="1:30">
      <c r="A367" s="103" t="s">
        <v>2562</v>
      </c>
      <c r="B367" s="103"/>
      <c r="C367" s="103"/>
      <c r="D367" s="103"/>
      <c r="E367" s="103"/>
      <c r="F367" s="103"/>
      <c r="G367" s="103"/>
      <c r="H367" s="113">
        <v>0</v>
      </c>
      <c r="I367" s="113">
        <v>287</v>
      </c>
      <c r="J367" s="113">
        <v>154</v>
      </c>
      <c r="K367" s="113">
        <v>126</v>
      </c>
      <c r="L367" s="113">
        <v>154</v>
      </c>
      <c r="M367" s="113">
        <v>220</v>
      </c>
      <c r="N367" s="113">
        <v>1962</v>
      </c>
      <c r="O367" s="113">
        <v>645</v>
      </c>
      <c r="P367" s="113">
        <v>648</v>
      </c>
      <c r="Q367" s="113">
        <v>788</v>
      </c>
      <c r="R367" s="113">
        <v>856</v>
      </c>
      <c r="S367" s="113">
        <v>1194</v>
      </c>
      <c r="T367" s="113">
        <v>2435</v>
      </c>
      <c r="U367" s="113">
        <v>2466</v>
      </c>
      <c r="V367" s="113">
        <v>2989</v>
      </c>
      <c r="W367" s="113">
        <v>3827</v>
      </c>
      <c r="X367" s="113">
        <v>4159</v>
      </c>
      <c r="Y367" s="113">
        <v>5713</v>
      </c>
      <c r="Z367" s="113">
        <v>8469</v>
      </c>
      <c r="AA367" s="113">
        <v>11047</v>
      </c>
      <c r="AB367" s="113">
        <v>19898</v>
      </c>
      <c r="AC367" s="113">
        <v>22538</v>
      </c>
      <c r="AD367" s="113">
        <v>25422</v>
      </c>
    </row>
    <row r="368" spans="1:30">
      <c r="A368" s="103" t="s">
        <v>2565</v>
      </c>
      <c r="B368" s="103"/>
      <c r="C368" s="103"/>
      <c r="D368" s="103"/>
      <c r="E368" s="103"/>
      <c r="F368" s="103"/>
      <c r="G368" s="103"/>
      <c r="H368" s="113">
        <v>0</v>
      </c>
      <c r="I368" s="113">
        <v>0</v>
      </c>
      <c r="J368" s="113">
        <v>0</v>
      </c>
      <c r="K368" s="113">
        <v>0</v>
      </c>
      <c r="L368" s="113">
        <v>0</v>
      </c>
      <c r="M368" s="113">
        <v>0</v>
      </c>
      <c r="N368" s="113">
        <v>0</v>
      </c>
      <c r="O368" s="113">
        <v>0</v>
      </c>
      <c r="P368" s="113">
        <v>0</v>
      </c>
      <c r="Q368" s="113">
        <v>0</v>
      </c>
      <c r="R368" s="113">
        <v>0</v>
      </c>
      <c r="S368" s="113">
        <v>0</v>
      </c>
      <c r="T368" s="113">
        <v>0</v>
      </c>
      <c r="U368" s="113">
        <v>0</v>
      </c>
      <c r="V368" s="113">
        <v>0</v>
      </c>
      <c r="W368" s="113">
        <v>0</v>
      </c>
      <c r="X368" s="113">
        <v>0</v>
      </c>
      <c r="Y368" s="113">
        <v>0</v>
      </c>
      <c r="Z368" s="113">
        <v>1595</v>
      </c>
      <c r="AA368" s="113">
        <v>2099</v>
      </c>
      <c r="AB368" s="113">
        <v>12889</v>
      </c>
      <c r="AC368" s="113">
        <v>12843</v>
      </c>
      <c r="AD368" s="113">
        <v>12958</v>
      </c>
    </row>
    <row r="369" spans="1:30">
      <c r="A369" s="103" t="s">
        <v>2566</v>
      </c>
      <c r="B369" s="103"/>
      <c r="C369" s="103"/>
      <c r="D369" s="103"/>
      <c r="E369" s="103"/>
      <c r="F369" s="103"/>
      <c r="G369" s="103"/>
      <c r="H369" s="113">
        <v>0</v>
      </c>
      <c r="I369" s="113">
        <v>0</v>
      </c>
      <c r="J369" s="113">
        <v>0</v>
      </c>
      <c r="K369" s="113">
        <v>0</v>
      </c>
      <c r="L369" s="113">
        <v>0</v>
      </c>
      <c r="M369" s="113">
        <v>0</v>
      </c>
      <c r="N369" s="113">
        <v>0</v>
      </c>
      <c r="O369" s="113">
        <v>0</v>
      </c>
      <c r="P369" s="113">
        <v>0</v>
      </c>
      <c r="Q369" s="113">
        <v>0</v>
      </c>
      <c r="R369" s="113">
        <v>0</v>
      </c>
      <c r="S369" s="113">
        <v>0</v>
      </c>
      <c r="T369" s="113">
        <v>0</v>
      </c>
      <c r="U369" s="113">
        <v>0</v>
      </c>
      <c r="V369" s="113">
        <v>0</v>
      </c>
      <c r="W369" s="113">
        <v>6975</v>
      </c>
      <c r="X369" s="113">
        <v>6943</v>
      </c>
      <c r="Y369" s="113">
        <v>6913</v>
      </c>
      <c r="Z369" s="113">
        <v>6879</v>
      </c>
      <c r="AA369" s="113">
        <v>6868</v>
      </c>
      <c r="AB369" s="113">
        <v>0</v>
      </c>
      <c r="AC369" s="113">
        <v>0</v>
      </c>
      <c r="AD369" s="113">
        <v>0</v>
      </c>
    </row>
    <row r="370" spans="1:30">
      <c r="A370" s="103" t="s">
        <v>2567</v>
      </c>
      <c r="B370" s="103"/>
      <c r="C370" s="103"/>
      <c r="D370" s="103"/>
      <c r="E370" s="103"/>
      <c r="F370" s="103"/>
      <c r="G370" s="103"/>
      <c r="H370" s="113">
        <v>0</v>
      </c>
      <c r="I370" s="113">
        <v>0</v>
      </c>
      <c r="J370" s="113">
        <v>0</v>
      </c>
      <c r="K370" s="113">
        <v>0</v>
      </c>
      <c r="L370" s="113">
        <v>0</v>
      </c>
      <c r="M370" s="113">
        <v>0</v>
      </c>
      <c r="N370" s="113">
        <v>0</v>
      </c>
      <c r="O370" s="113">
        <v>0</v>
      </c>
      <c r="P370" s="113">
        <v>0</v>
      </c>
      <c r="Q370" s="113">
        <v>0</v>
      </c>
      <c r="R370" s="113">
        <v>0</v>
      </c>
      <c r="S370" s="113">
        <v>0</v>
      </c>
      <c r="T370" s="113">
        <v>0</v>
      </c>
      <c r="U370" s="113">
        <v>0</v>
      </c>
      <c r="V370" s="113">
        <v>0</v>
      </c>
      <c r="W370" s="113">
        <v>8</v>
      </c>
      <c r="X370" s="113">
        <v>12</v>
      </c>
      <c r="Y370" s="113">
        <v>9840</v>
      </c>
      <c r="Z370" s="113">
        <v>0</v>
      </c>
      <c r="AA370" s="113">
        <v>0</v>
      </c>
      <c r="AB370" s="113">
        <v>0</v>
      </c>
      <c r="AC370" s="113">
        <v>0</v>
      </c>
      <c r="AD370" s="113">
        <v>0</v>
      </c>
    </row>
    <row r="371" spans="1:30" ht="10.5">
      <c r="A371" s="112" t="s">
        <v>2568</v>
      </c>
      <c r="B371" s="112"/>
      <c r="C371" s="112"/>
      <c r="D371" s="112"/>
      <c r="E371" s="112"/>
      <c r="F371" s="112"/>
      <c r="G371" s="112"/>
      <c r="H371" s="115">
        <v>0</v>
      </c>
      <c r="I371" s="115">
        <v>1487</v>
      </c>
      <c r="J371" s="115">
        <v>1654</v>
      </c>
      <c r="K371" s="115">
        <v>1926</v>
      </c>
      <c r="L371" s="115">
        <v>2354</v>
      </c>
      <c r="M371" s="115">
        <v>2220</v>
      </c>
      <c r="N371" s="115">
        <v>5735</v>
      </c>
      <c r="O371" s="115">
        <v>6010</v>
      </c>
      <c r="P371" s="115">
        <v>6154</v>
      </c>
      <c r="Q371" s="115">
        <v>7449</v>
      </c>
      <c r="R371" s="115">
        <v>9988</v>
      </c>
      <c r="S371" s="115">
        <v>20323</v>
      </c>
      <c r="T371" s="115">
        <v>21797</v>
      </c>
      <c r="U371" s="115">
        <v>21182</v>
      </c>
      <c r="V371" s="115">
        <v>21487</v>
      </c>
      <c r="W371" s="115">
        <v>24891</v>
      </c>
      <c r="X371" s="115">
        <v>27729</v>
      </c>
      <c r="Y371" s="115">
        <v>40119</v>
      </c>
      <c r="Z371" s="115">
        <v>36505</v>
      </c>
      <c r="AA371" s="115">
        <v>45159</v>
      </c>
      <c r="AB371" s="115">
        <v>75517</v>
      </c>
      <c r="AC371" s="115">
        <v>79882</v>
      </c>
      <c r="AD371" s="115">
        <v>93632</v>
      </c>
    </row>
    <row r="372" spans="1:30">
      <c r="A372" s="103"/>
      <c r="B372" s="103"/>
      <c r="C372" s="103"/>
      <c r="D372" s="103"/>
      <c r="E372" s="103"/>
      <c r="F372" s="10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row>
    <row r="373" spans="1:30">
      <c r="A373" s="103"/>
      <c r="B373" s="103"/>
      <c r="C373" s="103"/>
      <c r="D373" s="103"/>
      <c r="E373" s="103"/>
      <c r="F373" s="103"/>
      <c r="G373" s="103"/>
      <c r="H373" s="103" t="s">
        <v>401</v>
      </c>
      <c r="I373" s="103" t="s">
        <v>401</v>
      </c>
      <c r="J373" s="103" t="s">
        <v>401</v>
      </c>
      <c r="K373" s="103" t="s">
        <v>401</v>
      </c>
      <c r="L373" s="103" t="s">
        <v>401</v>
      </c>
      <c r="M373" s="103" t="s">
        <v>401</v>
      </c>
      <c r="N373" s="103" t="s">
        <v>401</v>
      </c>
      <c r="O373" s="103" t="s">
        <v>401</v>
      </c>
      <c r="P373" s="103" t="s">
        <v>401</v>
      </c>
      <c r="Q373" s="103" t="s">
        <v>401</v>
      </c>
      <c r="R373" s="103" t="s">
        <v>401</v>
      </c>
      <c r="S373" s="103" t="s">
        <v>401</v>
      </c>
      <c r="T373" s="103" t="s">
        <v>401</v>
      </c>
      <c r="U373" s="103" t="s">
        <v>401</v>
      </c>
      <c r="V373" s="103" t="s">
        <v>401</v>
      </c>
      <c r="W373" s="103" t="s">
        <v>401</v>
      </c>
      <c r="X373" s="103" t="s">
        <v>401</v>
      </c>
      <c r="Y373" s="103" t="s">
        <v>401</v>
      </c>
      <c r="Z373" s="103" t="s">
        <v>401</v>
      </c>
      <c r="AA373" s="103" t="s">
        <v>401</v>
      </c>
      <c r="AB373" s="103" t="s">
        <v>401</v>
      </c>
      <c r="AC373" s="103" t="s">
        <v>401</v>
      </c>
      <c r="AD373" s="103" t="s">
        <v>401</v>
      </c>
    </row>
    <row r="374" spans="1:30">
      <c r="A374" s="103" t="s">
        <v>2223</v>
      </c>
      <c r="B374" s="103"/>
      <c r="C374" s="103"/>
      <c r="D374" s="103"/>
      <c r="E374" s="103"/>
      <c r="F374" s="103"/>
      <c r="G374" s="103"/>
      <c r="H374" s="122">
        <v>36431</v>
      </c>
      <c r="I374" s="122">
        <v>36797</v>
      </c>
      <c r="J374" s="122">
        <v>37152</v>
      </c>
      <c r="K374" s="122">
        <v>37505</v>
      </c>
      <c r="L374" s="122">
        <v>37869</v>
      </c>
      <c r="M374" s="122">
        <v>38231</v>
      </c>
      <c r="N374" s="122">
        <v>38590</v>
      </c>
      <c r="O374" s="122">
        <v>38954</v>
      </c>
      <c r="P374" s="122">
        <v>39297</v>
      </c>
      <c r="Q374" s="122">
        <v>39660</v>
      </c>
      <c r="R374" s="122">
        <v>40024</v>
      </c>
      <c r="S374" s="122">
        <v>40389</v>
      </c>
      <c r="T374" s="122">
        <v>40752</v>
      </c>
      <c r="U374" s="122">
        <v>41116</v>
      </c>
      <c r="V374" s="122">
        <v>41485</v>
      </c>
      <c r="W374" s="122">
        <v>41851</v>
      </c>
      <c r="X374" s="122">
        <v>42216</v>
      </c>
      <c r="Y374" s="122">
        <v>42579</v>
      </c>
      <c r="Z374" s="122">
        <v>42949</v>
      </c>
      <c r="AA374" s="122">
        <v>43315</v>
      </c>
      <c r="AB374" s="122">
        <v>43678</v>
      </c>
      <c r="AC374" s="122">
        <v>43678</v>
      </c>
      <c r="AD374" s="122">
        <v>43678</v>
      </c>
    </row>
    <row r="375" spans="1:30">
      <c r="A375" s="127"/>
      <c r="B375" s="127"/>
      <c r="C375" s="127"/>
      <c r="D375" s="127"/>
      <c r="E375" s="127"/>
      <c r="F375" s="127"/>
      <c r="G375" s="127"/>
      <c r="H375" s="127"/>
      <c r="I375" s="127"/>
      <c r="J375" s="127"/>
      <c r="K375" s="127"/>
      <c r="L375" s="127"/>
      <c r="M375" s="127"/>
      <c r="N375" s="127"/>
      <c r="O375" s="127"/>
      <c r="P375" s="127"/>
      <c r="Q375" s="127"/>
      <c r="R375" s="127"/>
      <c r="S375" s="127"/>
      <c r="T375" s="127"/>
      <c r="U375" s="127"/>
      <c r="V375" s="127"/>
      <c r="W375" s="127"/>
      <c r="X375" s="127"/>
      <c r="Y375" s="127"/>
      <c r="Z375" s="127"/>
      <c r="AA375" s="127"/>
      <c r="AB375" s="127"/>
      <c r="AC375" s="127"/>
      <c r="AD375" s="127"/>
    </row>
    <row r="376" spans="1:30">
      <c r="A376" s="128" t="s">
        <v>2532</v>
      </c>
      <c r="B376" s="128"/>
      <c r="C376" s="128"/>
      <c r="D376" s="128"/>
      <c r="E376" s="128"/>
      <c r="F376" s="128"/>
      <c r="G376" s="128"/>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61EBD-5AE2-4638-B890-7D19A38CE262}">
  <dimension ref="A7:M24"/>
  <sheetViews>
    <sheetView topLeftCell="A5" workbookViewId="0">
      <selection activeCell="K23" sqref="K23"/>
    </sheetView>
  </sheetViews>
  <sheetFormatPr defaultRowHeight="9.9499999999999993"/>
  <cols>
    <col min="1" max="1" width="28.1640625" bestFit="1" customWidth="1"/>
    <col min="2" max="2" width="3.6640625" customWidth="1"/>
    <col min="3" max="4" width="10" bestFit="1" customWidth="1"/>
    <col min="5" max="5" width="4.1640625" customWidth="1"/>
    <col min="6" max="8" width="11" customWidth="1"/>
    <col min="11" max="11" width="10" bestFit="1" customWidth="1"/>
    <col min="12" max="12" width="4.1640625" customWidth="1"/>
    <col min="13" max="13" width="9.83203125" bestFit="1" customWidth="1"/>
  </cols>
  <sheetData>
    <row r="7" spans="1:13" ht="10.5">
      <c r="A7" s="1" t="s">
        <v>2569</v>
      </c>
      <c r="M7" s="240">
        <f ca="1">TODAY()</f>
        <v>45797</v>
      </c>
    </row>
    <row r="8" spans="1:13">
      <c r="K8" s="7" t="s">
        <v>2570</v>
      </c>
    </row>
    <row r="9" spans="1:13" ht="10.5">
      <c r="C9" s="46" t="s">
        <v>2571</v>
      </c>
      <c r="D9" s="47"/>
      <c r="E9" s="229"/>
      <c r="F9" s="230" t="s">
        <v>2572</v>
      </c>
      <c r="G9" s="230" t="s">
        <v>2573</v>
      </c>
      <c r="H9" s="231" t="s">
        <v>2574</v>
      </c>
      <c r="J9" s="46" t="s">
        <v>2575</v>
      </c>
      <c r="K9" s="47"/>
      <c r="L9" s="229"/>
      <c r="M9" s="231" t="s">
        <v>2576</v>
      </c>
    </row>
    <row r="10" spans="1:13">
      <c r="A10" t="s">
        <v>2577</v>
      </c>
      <c r="C10" s="232">
        <v>12750</v>
      </c>
      <c r="D10" s="233">
        <v>13000</v>
      </c>
      <c r="E10" s="233"/>
      <c r="F10" s="233">
        <v>13009</v>
      </c>
      <c r="G10" s="233">
        <f>+'Historical Financials'!Y223</f>
        <v>13353</v>
      </c>
      <c r="H10" s="234">
        <v>12628</v>
      </c>
      <c r="I10" s="227"/>
      <c r="J10" s="232">
        <v>11650</v>
      </c>
      <c r="K10" s="233">
        <v>11900</v>
      </c>
      <c r="L10" s="233"/>
      <c r="M10" s="234">
        <f>+'Historical Financials'!X223</f>
        <v>12319</v>
      </c>
    </row>
    <row r="11" spans="1:13" s="3" customFormat="1">
      <c r="A11" s="13" t="s">
        <v>113</v>
      </c>
      <c r="C11" s="235">
        <f>+C10/'Historical Financials'!U223-1</f>
        <v>7.8132927447996048E-2</v>
      </c>
      <c r="D11" s="228">
        <f>+D10/'Historical Financials'!U223-1</f>
        <v>9.9272788770505604E-2</v>
      </c>
      <c r="E11" s="228"/>
      <c r="F11" s="228">
        <f>+F10/'Historical Financials'!U223-1</f>
        <v>0.10003382377811598</v>
      </c>
      <c r="G11" s="228">
        <f>+G10/'Historical Financials'!U223-1</f>
        <v>0.12912227295788936</v>
      </c>
      <c r="H11" s="236">
        <f>+H10/'Historical Financials'!U223-1</f>
        <v>6.7816675122611247E-2</v>
      </c>
      <c r="I11" s="228"/>
      <c r="J11" s="235">
        <f>+J10/'Historical Financials'!$T$223-1</f>
        <v>5.1728807438837121E-2</v>
      </c>
      <c r="K11" s="228">
        <f>+K10/'Historical Financials'!$T$223-1</f>
        <v>7.429809515211705E-2</v>
      </c>
      <c r="L11" s="228"/>
      <c r="M11" s="236">
        <f>+M10/'Historical Financials'!$T$223-1</f>
        <v>0.11212422135957389</v>
      </c>
    </row>
    <row r="12" spans="1:13">
      <c r="C12" s="232"/>
      <c r="D12" s="233"/>
      <c r="E12" s="233"/>
      <c r="F12" s="233"/>
      <c r="G12" s="233"/>
      <c r="H12" s="234"/>
      <c r="I12" s="227"/>
      <c r="J12" s="232"/>
      <c r="K12" s="233"/>
      <c r="L12" s="233"/>
      <c r="M12" s="234"/>
    </row>
    <row r="13" spans="1:13">
      <c r="A13" t="s">
        <v>342</v>
      </c>
      <c r="C13" s="232">
        <v>13550</v>
      </c>
      <c r="D13" s="233">
        <v>13800</v>
      </c>
      <c r="E13" s="233"/>
      <c r="F13" s="233">
        <v>14243</v>
      </c>
      <c r="G13" s="233">
        <f>+'Historical Financials'!Y224</f>
        <v>14601</v>
      </c>
      <c r="H13" s="234">
        <v>13747</v>
      </c>
      <c r="I13" s="227"/>
      <c r="J13" s="232">
        <v>12550</v>
      </c>
      <c r="K13" s="233">
        <v>12800</v>
      </c>
      <c r="L13" s="233"/>
      <c r="M13" s="234">
        <f>+'Historical Financials'!X224</f>
        <v>12986</v>
      </c>
    </row>
    <row r="14" spans="1:13" s="3" customFormat="1">
      <c r="A14" s="13" t="s">
        <v>113</v>
      </c>
      <c r="C14" s="235">
        <f>+C13/'Historical Financials'!$U$224-1</f>
        <v>0.14162945488246703</v>
      </c>
      <c r="D14" s="228">
        <f>+D13/'Historical Financials'!$U$224-1</f>
        <v>0.1626927289577893</v>
      </c>
      <c r="E14" s="228"/>
      <c r="F14" s="228">
        <f>+F13/'Historical Financials'!$U$224-1</f>
        <v>0.20001685061926033</v>
      </c>
      <c r="G14" s="228">
        <f>+G13/'Historical Financials'!$U$224-1</f>
        <v>0.23017945909512183</v>
      </c>
      <c r="H14" s="236">
        <f>+H13/'Historical Financials'!$U$224-1</f>
        <v>0.15822731485382091</v>
      </c>
      <c r="I14" s="228"/>
      <c r="J14" s="235">
        <f>+J13/'Historical Financials'!$T$224-1</f>
        <v>0.15721530659290006</v>
      </c>
      <c r="K14" s="228">
        <f>+K13/'Historical Financials'!$T$224-1</f>
        <v>0.1802674043337944</v>
      </c>
      <c r="L14" s="228"/>
      <c r="M14" s="236">
        <f>+M13/'Historical Financials'!$T$224-1</f>
        <v>0.19741816505301979</v>
      </c>
    </row>
    <row r="15" spans="1:13">
      <c r="C15" s="232"/>
      <c r="D15" s="233"/>
      <c r="E15" s="233"/>
      <c r="F15" s="233"/>
      <c r="G15" s="233"/>
      <c r="H15" s="234"/>
      <c r="I15" s="227"/>
      <c r="J15" s="232"/>
      <c r="K15" s="233"/>
      <c r="L15" s="233"/>
      <c r="M15" s="234"/>
    </row>
    <row r="16" spans="1:13">
      <c r="A16" t="s">
        <v>344</v>
      </c>
      <c r="C16" s="232">
        <v>13200</v>
      </c>
      <c r="D16" s="233">
        <v>13600</v>
      </c>
      <c r="E16" s="233"/>
      <c r="F16" s="233">
        <v>13211</v>
      </c>
      <c r="G16" s="233">
        <f>+'Historical Financials'!Y225</f>
        <v>15122</v>
      </c>
      <c r="H16" s="234">
        <v>14002</v>
      </c>
      <c r="I16" s="227"/>
      <c r="J16" s="232">
        <v>10950</v>
      </c>
      <c r="K16" s="233">
        <v>11350</v>
      </c>
      <c r="L16" s="233"/>
      <c r="M16" s="234">
        <f>+'Historical Financials'!X225</f>
        <v>11849</v>
      </c>
    </row>
    <row r="17" spans="1:13" s="3" customFormat="1">
      <c r="A17" s="13" t="s">
        <v>113</v>
      </c>
      <c r="C17" s="235">
        <f>+C16/'Historical Financials'!$U$225-1</f>
        <v>-8.3263946711076287E-4</v>
      </c>
      <c r="D17" s="228">
        <f>+D16/'Historical Financials'!$U$225-1</f>
        <v>2.9445159336916271E-2</v>
      </c>
      <c r="E17" s="228"/>
      <c r="F17" s="228">
        <f>+F16/'Historical Financials'!$U$225-1</f>
        <v>0</v>
      </c>
      <c r="G17" s="228">
        <f>+G16/'Historical Financials'!$U$225-1</f>
        <v>0.14465218378623868</v>
      </c>
      <c r="H17" s="236">
        <f>+H16/'Historical Financials'!$U$225-1</f>
        <v>5.9874347134963202E-2</v>
      </c>
      <c r="I17" s="228"/>
      <c r="J17" s="235">
        <f>+J16/'Historical Financials'!$T$225-1</f>
        <v>-1.6437617892751333E-2</v>
      </c>
      <c r="K17" s="228">
        <f>+K16/'Historical Financials'!$T$225-1</f>
        <v>1.9491601544956438E-2</v>
      </c>
      <c r="L17" s="228"/>
      <c r="M17" s="236">
        <f>+M16/'Historical Financials'!$T$225-1</f>
        <v>6.4313302793496785E-2</v>
      </c>
    </row>
    <row r="18" spans="1:13">
      <c r="C18" s="232"/>
      <c r="D18" s="233"/>
      <c r="E18" s="233"/>
      <c r="F18" s="233"/>
      <c r="G18" s="233"/>
      <c r="H18" s="234"/>
      <c r="I18" s="227"/>
      <c r="J18" s="232"/>
      <c r="K18" s="233"/>
      <c r="L18" s="233"/>
      <c r="M18" s="234"/>
    </row>
    <row r="19" spans="1:13">
      <c r="A19" t="s">
        <v>346</v>
      </c>
      <c r="C19" s="232">
        <f>+C16+C13+C10</f>
        <v>39500</v>
      </c>
      <c r="D19" s="233">
        <f>+D16+D13+D10</f>
        <v>40400</v>
      </c>
      <c r="E19" s="233"/>
      <c r="F19" s="233">
        <f>+F16+F13+F10-0.8</f>
        <v>40462.199999999997</v>
      </c>
      <c r="G19" s="233">
        <f>+G16+G13+G10</f>
        <v>43076</v>
      </c>
      <c r="H19" s="234">
        <f>+H16+H13+H10</f>
        <v>40377</v>
      </c>
      <c r="I19" s="227"/>
      <c r="J19" s="232">
        <f t="shared" ref="J19:K19" si="0">+J16+J13+J10</f>
        <v>35150</v>
      </c>
      <c r="K19" s="233">
        <f t="shared" si="0"/>
        <v>36050</v>
      </c>
      <c r="L19" s="233"/>
      <c r="M19" s="234">
        <f t="shared" ref="M19" si="1">+M16+M13+M10</f>
        <v>37154</v>
      </c>
    </row>
    <row r="20" spans="1:13" s="3" customFormat="1">
      <c r="A20" s="13" t="s">
        <v>113</v>
      </c>
      <c r="C20" s="235">
        <f>+C19/'Historical Financials'!$U$227-1</f>
        <v>7.0286674253508874E-2</v>
      </c>
      <c r="D20" s="228">
        <f>+D19/'Historical Financials'!$U$227-1</f>
        <v>9.4672952907386421E-2</v>
      </c>
      <c r="E20" s="228"/>
      <c r="F20" s="228">
        <f>+F19/'Historical Financials'!$U$227-1</f>
        <v>9.6358315721020826E-2</v>
      </c>
      <c r="G20" s="228">
        <f>+G19/'Historical Financials'!$U$227-1</f>
        <v>0.16718148810491518</v>
      </c>
      <c r="H20" s="236">
        <f>+H19/'Historical Financials'!$U$227-1</f>
        <v>9.4049748008453893E-2</v>
      </c>
      <c r="I20" s="228"/>
      <c r="J20" s="235">
        <f>+J19/'Historical Financials'!$T$227-1</f>
        <v>6.3379216457419396E-2</v>
      </c>
      <c r="K20" s="228">
        <f>+K19/'Historical Financials'!$T$227-1</f>
        <v>9.0606564816215318E-2</v>
      </c>
      <c r="L20" s="228"/>
      <c r="M20" s="236">
        <f>+M19/'Historical Financials'!$T$227-1</f>
        <v>0.12400544546967174</v>
      </c>
    </row>
    <row r="21" spans="1:13">
      <c r="C21" s="232"/>
      <c r="D21" s="233"/>
      <c r="E21" s="233"/>
      <c r="F21" s="233"/>
      <c r="G21" s="233"/>
      <c r="H21" s="234"/>
      <c r="I21" s="227"/>
      <c r="J21" s="232"/>
      <c r="K21" s="233"/>
      <c r="L21" s="233"/>
      <c r="M21" s="234"/>
    </row>
    <row r="22" spans="1:13">
      <c r="A22" t="s">
        <v>352</v>
      </c>
      <c r="C22" s="232">
        <v>14350</v>
      </c>
      <c r="D22" s="233">
        <v>14950</v>
      </c>
      <c r="E22" s="233"/>
      <c r="F22" s="233">
        <v>15630</v>
      </c>
      <c r="G22" s="233">
        <f>+'Historical Financials'!Y259</f>
        <v>17897</v>
      </c>
      <c r="H22" s="234">
        <v>14758</v>
      </c>
      <c r="I22" s="227"/>
      <c r="J22" s="232">
        <v>13700</v>
      </c>
      <c r="K22" s="233">
        <v>14300</v>
      </c>
      <c r="L22" s="233"/>
      <c r="M22" s="234">
        <f>+'Historical Financials'!X259</f>
        <v>15876</v>
      </c>
    </row>
    <row r="23" spans="1:13" s="3" customFormat="1">
      <c r="A23" s="13" t="s">
        <v>113</v>
      </c>
      <c r="C23" s="235">
        <f>+C22/'Historical Financials'!$U$259-1</f>
        <v>3.3042977467425017E-2</v>
      </c>
      <c r="D23" s="228">
        <f>+D22/'Historical Financials'!$U$259-1</f>
        <v>7.6236412065366022E-2</v>
      </c>
      <c r="E23" s="228"/>
      <c r="F23" s="228">
        <f>+F22/'Historical Financials'!$U$259-1</f>
        <v>0.12518897127636608</v>
      </c>
      <c r="G23" s="228">
        <f>+G22/'Historical Financials'!$U$259-1</f>
        <v>0.28838816499892017</v>
      </c>
      <c r="H23" s="236">
        <f>+H22/'Historical Financials'!$U$259-1</f>
        <v>6.2414512994025007E-2</v>
      </c>
      <c r="I23" s="228"/>
      <c r="J23" s="235">
        <f>+J22/'Historical Financials'!$T$259-1</f>
        <v>7.9930632192968698E-2</v>
      </c>
      <c r="K23" s="228">
        <f>+K22/'Historical Financials'!$T$259-1</f>
        <v>0.127226864259814</v>
      </c>
      <c r="L23" s="228"/>
      <c r="M23" s="236">
        <f>+M22/'Historical Financials'!$T$259-1</f>
        <v>0.25145830048872764</v>
      </c>
    </row>
    <row r="24" spans="1:13" s="3" customFormat="1">
      <c r="A24" s="13" t="s">
        <v>123</v>
      </c>
      <c r="C24" s="237">
        <f>+C22/C19</f>
        <v>0.36329113924050632</v>
      </c>
      <c r="D24" s="238">
        <f t="shared" ref="D24:H24" si="2">+D22/D19</f>
        <v>0.37004950495049505</v>
      </c>
      <c r="E24" s="238"/>
      <c r="F24" s="238">
        <f t="shared" si="2"/>
        <v>0.38628645995521749</v>
      </c>
      <c r="G24" s="238">
        <f t="shared" si="2"/>
        <v>0.41547497446373849</v>
      </c>
      <c r="H24" s="239">
        <f t="shared" si="2"/>
        <v>0.36550511429774374</v>
      </c>
      <c r="I24" s="228"/>
      <c r="J24" s="237">
        <f>+J22/J19</f>
        <v>0.38975817923186346</v>
      </c>
      <c r="K24" s="238">
        <f t="shared" ref="K24:M24" si="3">+K22/K19</f>
        <v>0.39667128987517336</v>
      </c>
      <c r="L24" s="238"/>
      <c r="M24" s="239">
        <f t="shared" si="3"/>
        <v>0.42730257845723207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7B54F80F9326D4AB5846AC1C3383526" ma:contentTypeVersion="18" ma:contentTypeDescription="Create a new document." ma:contentTypeScope="" ma:versionID="a429a91d62400243b3cba045310d747f">
  <xsd:schema xmlns:xsd="http://www.w3.org/2001/XMLSchema" xmlns:xs="http://www.w3.org/2001/XMLSchema" xmlns:p="http://schemas.microsoft.com/office/2006/metadata/properties" xmlns:ns2="700f816a-2d70-48f7-98b4-aa062cbdb163" xmlns:ns3="684023ab-f3fa-4f75-8c85-aad38775666c" targetNamespace="http://schemas.microsoft.com/office/2006/metadata/properties" ma:root="true" ma:fieldsID="9fd41046c3a9fbdd1121c909508001eb" ns2:_="" ns3:_="">
    <xsd:import namespace="700f816a-2d70-48f7-98b4-aa062cbdb163"/>
    <xsd:import namespace="684023ab-f3fa-4f75-8c85-aad38775666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00f816a-2d70-48f7-98b4-aa062cbdb16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dceb9303-a7f0-4f8a-8c8a-ed661295ba06"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84023ab-f3fa-4f75-8c85-aad38775666c"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493c1c2-3348-4bb2-9cf0-bfee56a9355e}" ma:internalName="TaxCatchAll" ma:showField="CatchAllData" ma:web="684023ab-f3fa-4f75-8c85-aad38775666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684023ab-f3fa-4f75-8c85-aad38775666c" xsi:nil="true"/>
    <lcf76f155ced4ddcb4097134ff3c332f xmlns="700f816a-2d70-48f7-98b4-aa062cbdb16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1B290970-CE04-496D-928C-2475DB6067C2}"/>
</file>

<file path=customXml/itemProps2.xml><?xml version="1.0" encoding="utf-8"?>
<ds:datastoreItem xmlns:ds="http://schemas.openxmlformats.org/officeDocument/2006/customXml" ds:itemID="{8C492906-29F4-48F0-AF2F-8BD604EFF753}"/>
</file>

<file path=customXml/itemProps3.xml><?xml version="1.0" encoding="utf-8"?>
<ds:datastoreItem xmlns:ds="http://schemas.openxmlformats.org/officeDocument/2006/customXml" ds:itemID="{E9208385-A71E-4875-9A05-1786D644B88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 Nicolau</dc:creator>
  <cp:keywords/>
  <dc:description/>
  <cp:lastModifiedBy>Ben Hoban</cp:lastModifiedBy>
  <cp:revision/>
  <dcterms:created xsi:type="dcterms:W3CDTF">2018-08-03T12:45:14Z</dcterms:created>
  <dcterms:modified xsi:type="dcterms:W3CDTF">2025-05-20T22:23:58Z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0x01010097B54F80F9326D4AB5846AC1C3383526</vt:lpwstr>
  </property>
  <property fmtid="{D5CDD505-2E9C-101B-9397-08002B2CF9AE}" pid="3" name="Order">
    <vt:r8>4401600</vt:r8>
  </property>
  <property fmtid="{D5CDD505-2E9C-101B-9397-08002B2CF9AE}" pid="4" name="MediaServiceImageTags">
    <vt:lpwstr/>
  </property>
  <property fmtid="{D5CDD505-2E9C-101B-9397-08002B2CF9AE}" pid="5" name="{A44787D4-0540-4523-9961-78E4036D8C6D}">
    <vt:lpwstr>{EBB7CD18-2501-4E0A-9221-442C7E875A46}</vt:lpwstr>
  </property>
</Properties>
</file>